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FF7 PSX" sheetId="1" r:id="rId3"/>
    <sheet state="visible" name="FF7 PC" sheetId="2" r:id="rId4"/>
    <sheet state="visible" name="LGP FILES" sheetId="3" r:id="rId5"/>
    <sheet state="visible" name="BATTLE.LGP" sheetId="4" r:id="rId6"/>
    <sheet state="visible" name="CHAR.LGP" sheetId="5" r:id="rId7"/>
    <sheet state="visible" name="MAGIC.LGP" sheetId="6" r:id="rId8"/>
  </sheets>
  <definedNames/>
  <calcPr/>
</workbook>
</file>

<file path=xl/comments1.xml><?xml version="1.0" encoding="utf-8"?>
<comments xmlns:r="http://schemas.openxmlformats.org/officeDocument/2006/relationships" xmlns="http://schemas.openxmlformats.org/spreadsheetml/2006/main">
  <authors>
    <author/>
  </authors>
  <commentList>
    <comment authorId="0" ref="E205">
      <text>
        <t xml:space="preserve">Wutai Area Start --vegeta.ss4.ff7 Lunes, 31 de Agosto de 2009 04:08:19</t>
      </text>
    </comment>
    <comment authorId="0" ref="E216">
      <text>
        <t xml:space="preserve">Wutai Pagoda Area Start --
vegeta.ss4.ff7 Lunes, 31 de Agosto de 2009 04:32:51</t>
      </text>
    </comment>
    <comment authorId="0" ref="E223">
      <text>
        <t xml:space="preserve">Ancient Temple Start
--vegeta.ss4.ff7 Lunes, 31 de Agosto de 2009 04:38:23</t>
      </text>
    </comment>
    <comment authorId="0" ref="E226">
      <text>
        <t xml:space="preserve">Temple Island Area Start
--vegeta.ss4.ff7 Lunes, 31 de Agosto de 2009 04:55:17</t>
      </text>
    </comment>
    <comment authorId="0" ref="E228">
      <text>
        <t xml:space="preserve">Bone Beach Area
--vegeta.ss4.ff7 Lunes, 31 de Agosto de 2009 04:57:07</t>
      </text>
    </comment>
    <comment authorId="0" ref="E229">
      <text>
        <t xml:space="preserve">Temple Island Area Start
--vegeta.ss4.ff7 Lunes, 31 de Agosto de 2009 04:55:17</t>
      </text>
    </comment>
    <comment authorId="0" ref="E237">
      <text>
        <t xml:space="preserve">Bone Beach Area Start
--vegeta.ss4.ff7 Lunes, 31 de Agosto de 2009 05:07:01</t>
      </text>
    </comment>
    <comment authorId="0" ref="E240">
      <text>
        <t xml:space="preserve">Ancient City Area Start
--vegeta.ss4.ff7 Lunes, 31 de Agosto de 2009 05:28:28</t>
      </text>
    </comment>
    <comment authorId="0" ref="E245">
      <text>
        <t xml:space="preserve">Ice Maze Area Start
--vegeta.ss4.ff7 Lunes, 31 de Agosto de 2009 06:01:44</t>
      </text>
    </comment>
    <comment authorId="0" ref="E263">
      <text>
        <t xml:space="preserve">Crater Area Start
--vegeta.ss4.ff7 Lunes, 31 de Agosto de 2009 06:22:43</t>
      </text>
    </comment>
    <comment authorId="0" ref="E275">
      <text>
        <t xml:space="preserve">Junon Area Start
--vegeta.ss4.ff7 Lunes, 31 de Agosto de 2009 07:39:31</t>
      </text>
    </comment>
    <comment authorId="0" ref="E324">
      <text>
        <t xml:space="preserve">Area: Fort Condor
--vegeta.ss4.ff7 Lunes, 31 de Agosto de 2009 08:08:34</t>
      </text>
    </comment>
  </commentList>
</comments>
</file>

<file path=xl/sharedStrings.xml><?xml version="1.0" encoding="utf-8"?>
<sst xmlns="http://schemas.openxmlformats.org/spreadsheetml/2006/main" count="107285" uniqueCount="43972">
  <si>
    <t>PC Files</t>
  </si>
  <si>
    <t>PSX Files</t>
  </si>
  <si>
    <t>Status</t>
  </si>
  <si>
    <t>FileSize</t>
  </si>
  <si>
    <t>Identified?</t>
  </si>
  <si>
    <t>File Contents</t>
  </si>
  <si>
    <t xml:space="preserve">PC File Equivalent </t>
  </si>
  <si>
    <t>Notes</t>
  </si>
  <si>
    <t>File Size</t>
  </si>
  <si>
    <t>Disk Number</t>
  </si>
  <si>
    <t>BATTLE</t>
  </si>
  <si>
    <t xml:space="preserve">PSX File Equivalent </t>
  </si>
  <si>
    <t>Type</t>
  </si>
  <si>
    <t>Picture</t>
  </si>
  <si>
    <t>ENEMY1</t>
  </si>
  <si>
    <t>Folder with all Enemy models in</t>
  </si>
  <si>
    <t>Battle.lgp</t>
  </si>
  <si>
    <t>AWE.LGP</t>
  </si>
  <si>
    <t>ENEMY2</t>
  </si>
  <si>
    <t>ENEMY3</t>
  </si>
  <si>
    <t>ENEMY4</t>
  </si>
  <si>
    <t>ENEMY5</t>
  </si>
  <si>
    <t>ENEMY6</t>
  </si>
  <si>
    <t>Folder with all Enemy and Player models in</t>
  </si>
  <si>
    <t>FIELD</t>
  </si>
  <si>
    <t xml:space="preserve">Contains Midi Files Music For the game </t>
  </si>
  <si>
    <t>All lpg Files Contents Can Be View in The LGP Files Sheet, With Exception of Battle, char and magic each have there own sheet</t>
  </si>
  <si>
    <t>INIT</t>
  </si>
  <si>
    <t>MAGIC</t>
  </si>
  <si>
    <t>MENU</t>
  </si>
  <si>
    <t>MINI</t>
  </si>
  <si>
    <t>MINT</t>
  </si>
  <si>
    <t>MOVIE</t>
  </si>
  <si>
    <t>FMV's For FF7</t>
  </si>
  <si>
    <t xml:space="preserve">Files In /Data/Movie/ </t>
  </si>
  <si>
    <t>SCUS_941.63</t>
  </si>
  <si>
    <t>PSX boot executable and engine kernel</t>
  </si>
  <si>
    <t>FF7.EXE</t>
  </si>
  <si>
    <t>SOUND</t>
  </si>
  <si>
    <t>STAGE1</t>
  </si>
  <si>
    <t>STAGE2</t>
  </si>
  <si>
    <t>STARTUP</t>
  </si>
  <si>
    <t>SYSTEM.CNF</t>
  </si>
  <si>
    <t xml:space="preserve">PSX load state configuration file. </t>
  </si>
  <si>
    <t>WORLD</t>
  </si>
  <si>
    <t>There Are Named Ranges For Easier Viewing USE  Edit-&gt;Named Ranges -&gt;Manage Ranges To Find What you need.</t>
  </si>
  <si>
    <t>./BATTLE</t>
  </si>
  <si>
    <t>MAIN FOLDER</t>
  </si>
  <si>
    <t>BATINI.X</t>
  </si>
  <si>
    <t>BATRES.X</t>
  </si>
  <si>
    <t>BATTLE.X</t>
  </si>
  <si>
    <t>BROM.X</t>
  </si>
  <si>
    <t>CO.BIN</t>
  </si>
  <si>
    <t>Battle Arena Slot data and textures</t>
  </si>
  <si>
    <t>/battle/co.bin</t>
  </si>
  <si>
    <t>SCENE.BIN</t>
  </si>
  <si>
    <t>All Battle stats for Enemies (Hp, Mp, A.I., etc)</t>
  </si>
  <si>
    <t>/battle/scene.bin</t>
  </si>
  <si>
    <t>Same in both versions</t>
  </si>
  <si>
    <t>LGP file</t>
  </si>
  <si>
    <t>TITLE.BIN</t>
  </si>
  <si>
    <t>See AWE.LGP (row 23)</t>
  </si>
  <si>
    <t>./ENEMY1</t>
  </si>
  <si>
    <t>BATTLE.LGP</t>
  </si>
  <si>
    <t>ENEMY000.LZS</t>
  </si>
  <si>
    <t>Unused Pyramid</t>
  </si>
  <si>
    <t>aa**</t>
  </si>
  <si>
    <t>ENEMY001.LZS</t>
  </si>
  <si>
    <t>ab**</t>
  </si>
  <si>
    <t>ENEMY002.LZS</t>
  </si>
  <si>
    <t>ac**</t>
  </si>
  <si>
    <t>Textures and models of the characters, enemies and Battle Fields</t>
  </si>
  <si>
    <t>ENEMY003.LZS</t>
  </si>
  <si>
    <t>ad**</t>
  </si>
  <si>
    <t>ENEMY004.LZS</t>
  </si>
  <si>
    <t>ae**</t>
  </si>
  <si>
    <t>ENEMY005.LZS</t>
  </si>
  <si>
    <t>af**</t>
  </si>
  <si>
    <t>ENEMY006.LZS</t>
  </si>
  <si>
    <t>ag**</t>
  </si>
  <si>
    <t>ENEMY007.LZS</t>
  </si>
  <si>
    <t>ah**</t>
  </si>
  <si>
    <t>ENEMY008.LZS</t>
  </si>
  <si>
    <t>ai**</t>
  </si>
  <si>
    <t>ENEMY009.LZS</t>
  </si>
  <si>
    <t>ENEMY1/ENEMY6</t>
  </si>
  <si>
    <t>aj**</t>
  </si>
  <si>
    <t>ENEMY010.LZS</t>
  </si>
  <si>
    <t>Diamand Weapon Model</t>
  </si>
  <si>
    <t>ak**</t>
  </si>
  <si>
    <t>ENEMY011.LZS</t>
  </si>
  <si>
    <t>Ruby Weapon Model</t>
  </si>
  <si>
    <t>al**</t>
  </si>
  <si>
    <t>ENEMY012.LZS</t>
  </si>
  <si>
    <t>Ruby Tenticle</t>
  </si>
  <si>
    <t>am**</t>
  </si>
  <si>
    <t>ENEMY013.LZS</t>
  </si>
  <si>
    <t>Emerald Weapon Top half</t>
  </si>
  <si>
    <t>an**</t>
  </si>
  <si>
    <t>ENEMY014.LZS</t>
  </si>
  <si>
    <t>Emerald Weapon Bottom Half</t>
  </si>
  <si>
    <t>ao**</t>
  </si>
  <si>
    <t>ENEMY015.LZS</t>
  </si>
  <si>
    <t>Emerald Weapon Eye</t>
  </si>
  <si>
    <t>ap**</t>
  </si>
  <si>
    <t>No actual model associated with animation file</t>
  </si>
  <si>
    <t>ENEMY016.LZS</t>
  </si>
  <si>
    <t>MP</t>
  </si>
  <si>
    <t>aq**</t>
  </si>
  <si>
    <t>ENEMY017.LZS</t>
  </si>
  <si>
    <t>\DATA</t>
  </si>
  <si>
    <t>Guard Hound</t>
  </si>
  <si>
    <t>ar**</t>
  </si>
  <si>
    <t>ENEMY018.LZS</t>
  </si>
  <si>
    <t>Mono Drive</t>
  </si>
  <si>
    <t>as**</t>
  </si>
  <si>
    <t>ENEMY019.LZS</t>
  </si>
  <si>
    <t>Grunt</t>
  </si>
  <si>
    <t>at**</t>
  </si>
  <si>
    <t>ENEMY020.LZS</t>
  </si>
  <si>
    <t>1st Ray</t>
  </si>
  <si>
    <t>See BATTLE.LGP sheet</t>
  </si>
  <si>
    <t>ENEMY021.LZS</t>
  </si>
  <si>
    <t>Sweeper</t>
  </si>
  <si>
    <t>av**</t>
  </si>
  <si>
    <t>ENEMY022.LZS</t>
  </si>
  <si>
    <t>Guard Scorpion</t>
  </si>
  <si>
    <t>CHOCOBO.LGP</t>
  </si>
  <si>
    <t>aw**</t>
  </si>
  <si>
    <t>ENEMY023.LZS</t>
  </si>
  <si>
    <t>Grashtrike</t>
  </si>
  <si>
    <t>Textures and models of chocobo minigame</t>
  </si>
  <si>
    <t>ax**</t>
  </si>
  <si>
    <t>ENEMY024.LZS</t>
  </si>
  <si>
    <t>Different filename depending on the language (r120)</t>
  </si>
  <si>
    <t>Rocket Launcher</t>
  </si>
  <si>
    <t>ay**</t>
  </si>
  <si>
    <t>COASTER.LGP</t>
  </si>
  <si>
    <t>ENEMY025.LZS</t>
  </si>
  <si>
    <t>Textures of the speed coaster minigame</t>
  </si>
  <si>
    <t>Whole Eater</t>
  </si>
  <si>
    <t>az**</t>
  </si>
  <si>
    <t>See COASTER.LGP(row 799)</t>
  </si>
  <si>
    <t>ENEMY026.LZS</t>
  </si>
  <si>
    <t>Chuse Tank</t>
  </si>
  <si>
    <t>CONDOR.LGP</t>
  </si>
  <si>
    <t>ba**</t>
  </si>
  <si>
    <t>Textures and models of fort condor minigame</t>
  </si>
  <si>
    <t>Different filename depending on the language(r812)</t>
  </si>
  <si>
    <t>CR_US.LGP</t>
  </si>
  <si>
    <t>Textures of credits</t>
  </si>
  <si>
    <t>Different filename depending on the language(r1455)</t>
  </si>
  <si>
    <t>CHAR.LGP</t>
  </si>
  <si>
    <t>Textures and models for field characters and npcs</t>
  </si>
  <si>
    <t>See CHAR.LGP sheet</t>
  </si>
  <si>
    <t>DISC_US.LGP</t>
  </si>
  <si>
    <t>Textures of disc changing images</t>
  </si>
  <si>
    <t>Different filename depending on the language(r1500)(r2831)</t>
  </si>
  <si>
    <t>FLEVEL.LGP</t>
  </si>
  <si>
    <t>Dialogues, fields, npc positions, textures for blinking eyes</t>
  </si>
  <si>
    <t>Directory containing Data for ff7.exe</t>
  </si>
  <si>
    <t>See .\DATA section of sheet (r17)</t>
  </si>
  <si>
    <t>\Movies</t>
  </si>
  <si>
    <t>Different filename depending on the language(r1564)</t>
  </si>
  <si>
    <t>HIGH-US.LGP</t>
  </si>
  <si>
    <t>Textures and models of motorcycle minigame</t>
  </si>
  <si>
    <t>Different filename depending on the language(r2295)</t>
  </si>
  <si>
    <t>MAGIC.LGP</t>
  </si>
  <si>
    <t>Textures and models of magic effects and summons</t>
  </si>
  <si>
    <t>See MAGIC.LGP sheet</t>
  </si>
  <si>
    <t>MENU_US.LGP</t>
  </si>
  <si>
    <t>Directory Containing Movie Data</t>
  </si>
  <si>
    <t>See .\MOVIES section of this sheet (r121)</t>
  </si>
  <si>
    <t>\SAVE</t>
  </si>
  <si>
    <t>Directory Containing Save Game Data</t>
  </si>
  <si>
    <t>MemCard =&gt; BASCUS-94163FF7-S01 (s01-s15)</t>
  </si>
  <si>
    <t>See .\SAVE section of this sheet (r109)</t>
  </si>
  <si>
    <t>CDCHECK.EXE</t>
  </si>
  <si>
    <t>Textures of the menu and some misc ones like battle square</t>
  </si>
  <si>
    <t>ENEMY027.LZS</t>
  </si>
  <si>
    <t>Blugu</t>
  </si>
  <si>
    <t>bb**</t>
  </si>
  <si>
    <t>ENEMY028.LZS</t>
  </si>
  <si>
    <t>Hedgehog Pie</t>
  </si>
  <si>
    <t>bc**</t>
  </si>
  <si>
    <t>ENEMY029.LZS</t>
  </si>
  <si>
    <t>Smogger</t>
  </si>
  <si>
    <t>bd**</t>
  </si>
  <si>
    <t>ENEMY030.LZS</t>
  </si>
  <si>
    <t>Special Combatant</t>
  </si>
  <si>
    <t>be**</t>
  </si>
  <si>
    <t>ENEMY031.LZS</t>
  </si>
  <si>
    <t>Blood Taste</t>
  </si>
  <si>
    <t>Different filename depending on the language(r2831)</t>
  </si>
  <si>
    <t>bf**</t>
  </si>
  <si>
    <t>ENEMY032.LZS</t>
  </si>
  <si>
    <t>Proto Machinegun</t>
  </si>
  <si>
    <t>MIDI.LGP</t>
  </si>
  <si>
    <t>bg**</t>
  </si>
  <si>
    <t>ENEMY033.LZS</t>
  </si>
  <si>
    <t>Air Buster</t>
  </si>
  <si>
    <t>bh**</t>
  </si>
  <si>
    <t>For A General Midi Player(r2883)</t>
  </si>
  <si>
    <t>used by ff7.exe to check for cd in drive?</t>
  </si>
  <si>
    <t>EIDOS.URL</t>
  </si>
  <si>
    <t>Url shortcut to eidos page</t>
  </si>
  <si>
    <t>FF7 PC MANUAL.RTF</t>
  </si>
  <si>
    <t>ENEMY034.LZS</t>
  </si>
  <si>
    <t>Vice</t>
  </si>
  <si>
    <t>bi**</t>
  </si>
  <si>
    <t>ENEMY035.LZS</t>
  </si>
  <si>
    <t>Corneo Lackey</t>
  </si>
  <si>
    <t>bj**</t>
  </si>
  <si>
    <t>ENEMY036.LZS</t>
  </si>
  <si>
    <t>Corneo Lackey - Scotch</t>
  </si>
  <si>
    <t>bk**</t>
  </si>
  <si>
    <t>ENEMY037.LZS</t>
  </si>
  <si>
    <t>Alps</t>
  </si>
  <si>
    <t>MOVIECAM.LGP</t>
  </si>
  <si>
    <t>ENEMY038.LZS</t>
  </si>
  <si>
    <t>Sahagin</t>
  </si>
  <si>
    <t>bm**</t>
  </si>
  <si>
    <t>ENEMY039.LZS</t>
  </si>
  <si>
    <t>Caesar</t>
  </si>
  <si>
    <t>bn**</t>
  </si>
  <si>
    <t>See MOVIECAM.LGP (row 2979) found in both \movies and \data\cd</t>
  </si>
  <si>
    <t>ENEMY040.LZS</t>
  </si>
  <si>
    <t>Eligor</t>
  </si>
  <si>
    <t>SNOWBOARD-US.LGP</t>
  </si>
  <si>
    <t>bo**</t>
  </si>
  <si>
    <t>ENEMY041.LZS</t>
  </si>
  <si>
    <t>Textures and models of the snowboard minigame</t>
  </si>
  <si>
    <t>Ghost</t>
  </si>
  <si>
    <t>bp**</t>
  </si>
  <si>
    <t>Different filename depending on the language(r3105)</t>
  </si>
  <si>
    <t>User Manual For Final Fantasy 7</t>
  </si>
  <si>
    <t>ENEMY042.LZS</t>
  </si>
  <si>
    <t>Instruction Booklet</t>
  </si>
  <si>
    <t>Cripshay</t>
  </si>
  <si>
    <t>SUB.LGP</t>
  </si>
  <si>
    <t>bq**</t>
  </si>
  <si>
    <t>Textures and models of the submarine minigame</t>
  </si>
  <si>
    <t>ENEMY043.LZS</t>
  </si>
  <si>
    <t>Different filename depending on the language(r3139)</t>
  </si>
  <si>
    <t>Deenglow</t>
  </si>
  <si>
    <t>br**</t>
  </si>
  <si>
    <t>WORLD_US.LGP</t>
  </si>
  <si>
    <t>ENEMY044.LZS</t>
  </si>
  <si>
    <t>Textures and models of the worldmap</t>
  </si>
  <si>
    <t>Hell House</t>
  </si>
  <si>
    <t>bs**</t>
  </si>
  <si>
    <t>Different filename depending on the language(r3151)</t>
  </si>
  <si>
    <t>ENEMY045.LZS</t>
  </si>
  <si>
    <t>Hell House Emurged</t>
  </si>
  <si>
    <t>XG.LGP</t>
  </si>
  <si>
    <t>bt**</t>
  </si>
  <si>
    <t>ENEMY046.LZS</t>
  </si>
  <si>
    <t>See XG.LGP (row 4138)</t>
  </si>
  <si>
    <t>Aero Combatant</t>
  </si>
  <si>
    <t>bu**</t>
  </si>
  <si>
    <t>ENEMY047.LZS</t>
  </si>
  <si>
    <t>YGM.LGP</t>
  </si>
  <si>
    <t>Aero Combatant Downed</t>
  </si>
  <si>
    <t>bv**</t>
  </si>
  <si>
    <t>ENEMY048.LZS</t>
  </si>
  <si>
    <t>Reno</t>
  </si>
  <si>
    <t>bw**</t>
  </si>
  <si>
    <t>ENEMY049.LZS</t>
  </si>
  <si>
    <t>Reno's Pyramid</t>
  </si>
  <si>
    <t>bx**</t>
  </si>
  <si>
    <t>ENEMY050.LZS</t>
  </si>
  <si>
    <t>Warning Board</t>
  </si>
  <si>
    <t>by**</t>
  </si>
  <si>
    <t>ENEMY051.LZS</t>
  </si>
  <si>
    <t>Machine Gun</t>
  </si>
  <si>
    <t>bz**</t>
  </si>
  <si>
    <t>ENEMY052.LZS</t>
  </si>
  <si>
    <t>Laser Cannon</t>
  </si>
  <si>
    <t>ca**</t>
  </si>
  <si>
    <t>ENEMY053.LZS</t>
  </si>
  <si>
    <t>Hammer Blaster</t>
  </si>
  <si>
    <t>cb**</t>
  </si>
  <si>
    <t>ENEMY054.LZS</t>
  </si>
  <si>
    <t>Blaster's Pod</t>
  </si>
  <si>
    <t>cc**</t>
  </si>
  <si>
    <t>ENEMY055.LZS</t>
  </si>
  <si>
    <t>Sword Dance</t>
  </si>
  <si>
    <t>cd**</t>
  </si>
  <si>
    <t>ENEMY056.LZS</t>
  </si>
  <si>
    <t>Soldier 3rd</t>
  </si>
  <si>
    <t>ce**</t>
  </si>
  <si>
    <t>ENEMY057.LZS</t>
  </si>
  <si>
    <t>Mighty Grunt</t>
  </si>
  <si>
    <t>cf**</t>
  </si>
  <si>
    <t>ENEMY058.LZS</t>
  </si>
  <si>
    <t>Mighty Grunts inside</t>
  </si>
  <si>
    <t>cg**</t>
  </si>
  <si>
    <t>ENEMY059.LZS</t>
  </si>
  <si>
    <t>Moth Slasher</t>
  </si>
  <si>
    <t>ch**</t>
  </si>
  <si>
    <t>./ENEMY2</t>
  </si>
  <si>
    <t>ENEMY060.LZS</t>
  </si>
  <si>
    <t>Grenade Combatant</t>
  </si>
  <si>
    <t>ci**</t>
  </si>
  <si>
    <t>ENEMY061.LZS</t>
  </si>
  <si>
    <t>Brain Pod</t>
  </si>
  <si>
    <t>cj**</t>
  </si>
  <si>
    <t>ENEMY062.LZS</t>
  </si>
  <si>
    <t>Vargid Police</t>
  </si>
  <si>
    <t>ck**</t>
  </si>
  <si>
    <t>ENEMY063.LZS</t>
  </si>
  <si>
    <t>Zenene</t>
  </si>
  <si>
    <t>cl**</t>
  </si>
  <si>
    <t>ENEMY064.LZS</t>
  </si>
  <si>
    <t>Sample:H0512</t>
  </si>
  <si>
    <t>cm**</t>
  </si>
  <si>
    <t>ENEMY065.LZS</t>
  </si>
  <si>
    <t>Sample:H0512 opt</t>
  </si>
  <si>
    <t>cn**</t>
  </si>
  <si>
    <t>Yamaha Midi Player Midi (optional) (r4238)</t>
  </si>
  <si>
    <t>ENEMY066.LZS</t>
  </si>
  <si>
    <t>Hundred Gunner</t>
  </si>
  <si>
    <t>co**</t>
  </si>
  <si>
    <t>ENEMY067.LZS</t>
  </si>
  <si>
    <t>Heli Gunner</t>
  </si>
  <si>
    <t>cp**</t>
  </si>
  <si>
    <t>ENEMY068.LZS</t>
  </si>
  <si>
    <t>Rufus</t>
  </si>
  <si>
    <t>FF7 README.TXT</t>
  </si>
  <si>
    <t>cq**</t>
  </si>
  <si>
    <t>ENEMY069.LZS</t>
  </si>
  <si>
    <t>Dark Nation</t>
  </si>
  <si>
    <t>Pc Requirements and basic info</t>
  </si>
  <si>
    <t>cr**</t>
  </si>
  <si>
    <t>ENEMY070.LZS</t>
  </si>
  <si>
    <t>Rufus's Helicopter</t>
  </si>
  <si>
    <t>cs**</t>
  </si>
  <si>
    <t>helicoptor model may also used in the scene where the plate falls on sector 7</t>
  </si>
  <si>
    <t>ENEMY071.LZS</t>
  </si>
  <si>
    <t>Motor Ball</t>
  </si>
  <si>
    <t>ct**</t>
  </si>
  <si>
    <t>ENEMY072.LZS</t>
  </si>
  <si>
    <t>Devil Ride</t>
  </si>
  <si>
    <t>cu**</t>
  </si>
  <si>
    <t>ENEMY073.LZS</t>
  </si>
  <si>
    <t>Custom Sweeper</t>
  </si>
  <si>
    <t>cv**</t>
  </si>
  <si>
    <t>ENEMY074.LZS</t>
  </si>
  <si>
    <t>Kalm Fang??</t>
  </si>
  <si>
    <t>cw**?</t>
  </si>
  <si>
    <t>ENEMY075.LZS</t>
  </si>
  <si>
    <t>Prowler</t>
  </si>
  <si>
    <t>cx**</t>
  </si>
  <si>
    <t>ENEMY076.LZS</t>
  </si>
  <si>
    <t>Elfadunk</t>
  </si>
  <si>
    <t>cy**</t>
  </si>
  <si>
    <t>ENEMY077.LZS</t>
  </si>
  <si>
    <t>Mu</t>
  </si>
  <si>
    <t>cz**</t>
  </si>
  <si>
    <t>ENEMY078.LZS</t>
  </si>
  <si>
    <t>Mu's Rock</t>
  </si>
  <si>
    <t>da**</t>
  </si>
  <si>
    <t>ENEMY079.LZS</t>
  </si>
  <si>
    <t>Mandragora</t>
  </si>
  <si>
    <t>db**</t>
  </si>
  <si>
    <t>ENEMY080.LZS</t>
  </si>
  <si>
    <t>Levrikon</t>
  </si>
  <si>
    <t>dc**</t>
  </si>
  <si>
    <t>ENEMY081.LZS</t>
  </si>
  <si>
    <t xml:space="preserve">Midgar Zolom </t>
  </si>
  <si>
    <t>dd**</t>
  </si>
  <si>
    <t>ENEMY082.LZS</t>
  </si>
  <si>
    <t>Madouge</t>
  </si>
  <si>
    <t>de**</t>
  </si>
  <si>
    <t>ENEMY083.LZS</t>
  </si>
  <si>
    <t xml:space="preserve">FF7's exe containing the games engine </t>
  </si>
  <si>
    <t>Crawler</t>
  </si>
  <si>
    <t>df**</t>
  </si>
  <si>
    <t>File Size according to v1.02</t>
  </si>
  <si>
    <t>ENEMY084.LZS</t>
  </si>
  <si>
    <t>FF7CONFIG.EXE</t>
  </si>
  <si>
    <t>Ark Dragon</t>
  </si>
  <si>
    <t>dg**</t>
  </si>
  <si>
    <t>ENEMY085.LZS</t>
  </si>
  <si>
    <t>Castanets</t>
  </si>
  <si>
    <t>Program To Configure FF7's Options</t>
  </si>
  <si>
    <t>dh**</t>
  </si>
  <si>
    <t xml:space="preserve">NONE </t>
  </si>
  <si>
    <t>ENEMY086.LZS</t>
  </si>
  <si>
    <t>REGISTER.URL</t>
  </si>
  <si>
    <t>Zemzelet</t>
  </si>
  <si>
    <t>di**</t>
  </si>
  <si>
    <t>ENEMY087.LZS</t>
  </si>
  <si>
    <t>link to the ff7 regester site</t>
  </si>
  <si>
    <t>NONE</t>
  </si>
  <si>
    <t>Nerosuferoth</t>
  </si>
  <si>
    <t>dj**</t>
  </si>
  <si>
    <t>http://www.squaresoft.com/reg.html</t>
  </si>
  <si>
    <t>ENEMY088.LZS</t>
  </si>
  <si>
    <t>Hell Rider VR2</t>
  </si>
  <si>
    <t>dk**</t>
  </si>
  <si>
    <t>ENEMY089.LZS</t>
  </si>
  <si>
    <t>Formula</t>
  </si>
  <si>
    <t>dl**</t>
  </si>
  <si>
    <t>ENEMY090.LZS</t>
  </si>
  <si>
    <t>Capparwire</t>
  </si>
  <si>
    <t>dm**</t>
  </si>
  <si>
    <t>ENEMY091.LZS</t>
  </si>
  <si>
    <t>Bottomswell</t>
  </si>
  <si>
    <t>dn**</t>
  </si>
  <si>
    <t>ENEMY092.LZS</t>
  </si>
  <si>
    <t>BSwell's Waterpolo</t>
  </si>
  <si>
    <t>do**</t>
  </si>
  <si>
    <t>ENEMY093.LZS</t>
  </si>
  <si>
    <t>Scrutin Eye</t>
  </si>
  <si>
    <t>dp**</t>
  </si>
  <si>
    <t>ENEMY094.LZS</t>
  </si>
  <si>
    <t>Marine</t>
  </si>
  <si>
    <t>dq**</t>
  </si>
  <si>
    <t>ENEMY095.LZS</t>
  </si>
  <si>
    <t>Jenova-BIRTH</t>
  </si>
  <si>
    <t>dr**</t>
  </si>
  <si>
    <t>ENEMY096.LZS</t>
  </si>
  <si>
    <t>Grangalan</t>
  </si>
  <si>
    <t>ds**</t>
  </si>
  <si>
    <t>ENEMY097.LZS</t>
  </si>
  <si>
    <t>Grangalan Jr.</t>
  </si>
  <si>
    <t>dt**</t>
  </si>
  <si>
    <t>ENEMY098.LZS</t>
  </si>
  <si>
    <t>Grangalan Jr. Jr.</t>
  </si>
  <si>
    <t>du**</t>
  </si>
  <si>
    <t>ENEMY099.LZS</t>
  </si>
  <si>
    <t>Beachplug</t>
  </si>
  <si>
    <t>dv**</t>
  </si>
  <si>
    <t>ENEMY100.LZS</t>
  </si>
  <si>
    <t>Search Crown</t>
  </si>
  <si>
    <t>dw**</t>
  </si>
  <si>
    <t>ENEMY101.LZS</t>
  </si>
  <si>
    <t>Needle Kiss</t>
  </si>
  <si>
    <t>dx**</t>
  </si>
  <si>
    <t>ENEMY102.LZS</t>
  </si>
  <si>
    <t>Bloatfloat</t>
  </si>
  <si>
    <t>dy**</t>
  </si>
  <si>
    <t>ENEMY103.LZS</t>
  </si>
  <si>
    <t>Bagnadrana</t>
  </si>
  <si>
    <t>dz**</t>
  </si>
  <si>
    <t>ENEMY104.LZS</t>
  </si>
  <si>
    <t>Cokatolis</t>
  </si>
  <si>
    <t>ea**</t>
  </si>
  <si>
    <t>ENEMY105.LZS</t>
  </si>
  <si>
    <t>Bomb</t>
  </si>
  <si>
    <t>eb**</t>
  </si>
  <si>
    <t>ENEMY106.LZS</t>
  </si>
  <si>
    <t>Death Claw</t>
  </si>
  <si>
    <t>ec**</t>
  </si>
  <si>
    <t>ENEMY107.LZS</t>
  </si>
  <si>
    <t xml:space="preserve">2-Faced </t>
  </si>
  <si>
    <t>ed**</t>
  </si>
  <si>
    <t>Confirmed</t>
  </si>
  <si>
    <t>ENEMY108.LZS</t>
  </si>
  <si>
    <t>Bandit</t>
  </si>
  <si>
    <t>aseri.mid</t>
  </si>
  <si>
    <t>ee**</t>
  </si>
  <si>
    <t>ENEMY109.LZS</t>
  </si>
  <si>
    <t>Hurry!</t>
  </si>
  <si>
    <t>Midi file</t>
  </si>
  <si>
    <t>SFMAN FOR AWE32,64 README.TXT</t>
  </si>
  <si>
    <t>Bullmotor</t>
  </si>
  <si>
    <t>ef**</t>
  </si>
  <si>
    <t>info for awe users on the use of sfman</t>
  </si>
  <si>
    <t>seems to be the same as ENEMY112.LZS</t>
  </si>
  <si>
    <t>aseri2.mid</t>
  </si>
  <si>
    <t>Hurry Faster!</t>
  </si>
  <si>
    <t>ENEMY110.LZS</t>
  </si>
  <si>
    <t>Land Worm</t>
  </si>
  <si>
    <t>eg**</t>
  </si>
  <si>
    <t>ENEMY111.LZS</t>
  </si>
  <si>
    <t>Dyne</t>
  </si>
  <si>
    <t>eh**</t>
  </si>
  <si>
    <t>ENEMY112.LZS</t>
  </si>
  <si>
    <t>ei**</t>
  </si>
  <si>
    <t>seems to be the same as ENEMY109.LZS</t>
  </si>
  <si>
    <t>ENEMY113.LZS</t>
  </si>
  <si>
    <t>Spencer</t>
  </si>
  <si>
    <t>ej**</t>
  </si>
  <si>
    <t>ENEMY114.LZS</t>
  </si>
  <si>
    <t>Joker</t>
  </si>
  <si>
    <t>ek**</t>
  </si>
  <si>
    <t>ENEMY115.LZS</t>
  </si>
  <si>
    <t>UNINST.ISU</t>
  </si>
  <si>
    <t>Flapbeat</t>
  </si>
  <si>
    <t>el**</t>
  </si>
  <si>
    <t>ENEMY116.LZS</t>
  </si>
  <si>
    <t>ayasi.mid</t>
  </si>
  <si>
    <t>Uninstall Data</t>
  </si>
  <si>
    <t>Harpy</t>
  </si>
  <si>
    <t>Lurking in the Darkness</t>
  </si>
  <si>
    <t>em**</t>
  </si>
  <si>
    <t>ENEMY117.LZS</t>
  </si>
  <si>
    <t>barret.mid</t>
  </si>
  <si>
    <t>Grand Horn</t>
  </si>
  <si>
    <t>en**</t>
  </si>
  <si>
    <t>.\DATA</t>
  </si>
  <si>
    <t>Barret's Theme</t>
  </si>
  <si>
    <t>ENEMY118.LZS</t>
  </si>
  <si>
    <t>Gagighandi</t>
  </si>
  <si>
    <t>eo**</t>
  </si>
  <si>
    <t>ENEMY119.LZS</t>
  </si>
  <si>
    <t>bat.mid</t>
  </si>
  <si>
    <t>Touch Me</t>
  </si>
  <si>
    <t>ep**</t>
  </si>
  <si>
    <t>Fighting</t>
  </si>
  <si>
    <t>./ENEMY3</t>
  </si>
  <si>
    <t>bee.mid</t>
  </si>
  <si>
    <t>ENEMY120.LZS</t>
  </si>
  <si>
    <t>Crown Lance</t>
  </si>
  <si>
    <t>Honeybee Manor</t>
  </si>
  <si>
    <t>eq**</t>
  </si>
  <si>
    <t>ENEMY121.LZS</t>
  </si>
  <si>
    <t>Flower Prong (small)</t>
  </si>
  <si>
    <t>er**</t>
  </si>
  <si>
    <t>bokujo.mid</t>
  </si>
  <si>
    <t>ENEMY122.LZS</t>
  </si>
  <si>
    <t>Farm Boy</t>
  </si>
  <si>
    <t>Flower Prong (medium)</t>
  </si>
  <si>
    <t>es**</t>
  </si>
  <si>
    <t>ENEMY123.LZS</t>
  </si>
  <si>
    <t>Flower Prong (big)</t>
  </si>
  <si>
    <t>et**</t>
  </si>
  <si>
    <t>boo.mid</t>
  </si>
  <si>
    <t>ENEMY124.LZS</t>
  </si>
  <si>
    <t>Slaps</t>
  </si>
  <si>
    <t>The Flow Of Life / Lifestream</t>
  </si>
  <si>
    <t>eu**</t>
  </si>
  <si>
    <t>ENEMY125.LZS</t>
  </si>
  <si>
    <t>Kimara Bug</t>
  </si>
  <si>
    <t>ev**</t>
  </si>
  <si>
    <t>ENEMY126.LZS</t>
  </si>
  <si>
    <t>Heavy Tank</t>
  </si>
  <si>
    <t>ew**</t>
  </si>
  <si>
    <t>ENEMY127.LZS</t>
  </si>
  <si>
    <t>Turks: Reno</t>
  </si>
  <si>
    <t>ex**</t>
  </si>
  <si>
    <t>Turks: Reno (2/Gongaga)</t>
  </si>
  <si>
    <t>ENEMY128.LZS</t>
  </si>
  <si>
    <t>Turks: Rude</t>
  </si>
  <si>
    <t>ey**</t>
  </si>
  <si>
    <t>Turks: Rude (1/Gongaga)</t>
  </si>
  <si>
    <t>ENEMY129.LZS</t>
  </si>
  <si>
    <t>Skeeskee</t>
  </si>
  <si>
    <t>ez**</t>
  </si>
  <si>
    <t>ENEMY130.LZS</t>
  </si>
  <si>
    <t>Griffin</t>
  </si>
  <si>
    <t>fa**</t>
  </si>
  <si>
    <t>ENEMY131.LZS</t>
  </si>
  <si>
    <t>Golem</t>
  </si>
  <si>
    <t>fb**</t>
  </si>
  <si>
    <t>ENEMY132.LZS</t>
  </si>
  <si>
    <t>\BATTLE</t>
  </si>
  <si>
    <t>Bagrisk</t>
  </si>
  <si>
    <t>fc**</t>
  </si>
  <si>
    <t>ENEMY133.LZS</t>
  </si>
  <si>
    <t>Desert Sahagin</t>
  </si>
  <si>
    <t>fd**</t>
  </si>
  <si>
    <t>ENEMY134.LZS</t>
  </si>
  <si>
    <t>Gi Spector</t>
  </si>
  <si>
    <t>fe**</t>
  </si>
  <si>
    <t>ENEMY135.LZS</t>
  </si>
  <si>
    <t>Sneaky Step</t>
  </si>
  <si>
    <t>ff**</t>
  </si>
  <si>
    <t>ENEMY136.LZS</t>
  </si>
  <si>
    <t>Heg</t>
  </si>
  <si>
    <t>fg**</t>
  </si>
  <si>
    <t>ENEMY137.LZS</t>
  </si>
  <si>
    <t>Stinger</t>
  </si>
  <si>
    <t>fh**</t>
  </si>
  <si>
    <t>ENEMY138.LZS</t>
  </si>
  <si>
    <t>Nattak's Soul Fire</t>
  </si>
  <si>
    <t>fi**</t>
  </si>
  <si>
    <t>cannon.mid</t>
  </si>
  <si>
    <t>ENEMY139.LZS</t>
  </si>
  <si>
    <t>The Makou Cannon Is Fired</t>
  </si>
  <si>
    <t>Gi Nattak</t>
  </si>
  <si>
    <t>fj**</t>
  </si>
  <si>
    <t>ENEMY140.LZS</t>
  </si>
  <si>
    <t>Not included Shinra Explodes</t>
  </si>
  <si>
    <t>Nibel Wolf</t>
  </si>
  <si>
    <t>fk**</t>
  </si>
  <si>
    <t>ENEMY141.LZS</t>
  </si>
  <si>
    <t>canyon.mid</t>
  </si>
  <si>
    <t>Velcher Task</t>
  </si>
  <si>
    <t>The Valley Of The Fallen Star</t>
  </si>
  <si>
    <t>fl**</t>
  </si>
  <si>
    <t>ENEMY142.LZS</t>
  </si>
  <si>
    <t>Cosmo Canyon</t>
  </si>
  <si>
    <t>Bahba Velamyu</t>
  </si>
  <si>
    <t>fm**</t>
  </si>
  <si>
    <t>ENEMY143.LZS</t>
  </si>
  <si>
    <t>Valron</t>
  </si>
  <si>
    <t>fn**</t>
  </si>
  <si>
    <t>ENEMY144.LZS</t>
  </si>
  <si>
    <t>Battery Cap</t>
  </si>
  <si>
    <t>fo**</t>
  </si>
  <si>
    <t>ENEMY145.LZS</t>
  </si>
  <si>
    <t>Mirage</t>
  </si>
  <si>
    <t>fp**</t>
  </si>
  <si>
    <t>ENEMY146.LZS</t>
  </si>
  <si>
    <t>Dorky Face</t>
  </si>
  <si>
    <t>fq**</t>
  </si>
  <si>
    <t>ENEMY147.LZS</t>
  </si>
  <si>
    <t>Jersey</t>
  </si>
  <si>
    <t>fr**</t>
  </si>
  <si>
    <t>ENEMY148.LZS</t>
  </si>
  <si>
    <t>Black Bat</t>
  </si>
  <si>
    <t>fs**</t>
  </si>
  <si>
    <t>Directory Containing Battle Related Items</t>
  </si>
  <si>
    <t>ENEMY149.LZS</t>
  </si>
  <si>
    <t>models , magic animation, etc..</t>
  </si>
  <si>
    <t>Ghirofelgo</t>
  </si>
  <si>
    <t>ft**</t>
  </si>
  <si>
    <t>\CD</t>
  </si>
  <si>
    <t>ENEMY150.LZS</t>
  </si>
  <si>
    <t>Ghirofelgo's Chain</t>
  </si>
  <si>
    <t>fu**</t>
  </si>
  <si>
    <t>ENEMY151.LZS</t>
  </si>
  <si>
    <t>Ying</t>
  </si>
  <si>
    <t>fv**</t>
  </si>
  <si>
    <t>ENEMY152.LZS</t>
  </si>
  <si>
    <t>Yang</t>
  </si>
  <si>
    <t>fw**</t>
  </si>
  <si>
    <t>ENEMY153.LZS</t>
  </si>
  <si>
    <t>Directory</t>
  </si>
  <si>
    <t>Ying/Yang (body)</t>
  </si>
  <si>
    <t>fx**</t>
  </si>
  <si>
    <t>\FIELD</t>
  </si>
  <si>
    <t>cephiros.mid</t>
  </si>
  <si>
    <t>ENEMY154.LZS</t>
  </si>
  <si>
    <t>Lost Number</t>
  </si>
  <si>
    <t>Those Chosen by The Planet</t>
  </si>
  <si>
    <t>fy**</t>
  </si>
  <si>
    <t>\KERNEL</t>
  </si>
  <si>
    <t>Phase 1: Red Haired &amp; Violet</t>
  </si>
  <si>
    <t>Directory Contains Kernel Items</t>
  </si>
  <si>
    <t>ENEMY155.LZS</t>
  </si>
  <si>
    <t>\MENU</t>
  </si>
  <si>
    <t>chase.mid</t>
  </si>
  <si>
    <t>Lost Number: Psychic</t>
  </si>
  <si>
    <t>fz**</t>
  </si>
  <si>
    <t>Directory Contains The Menu items</t>
  </si>
  <si>
    <t>Crazy Motorcycle Chase</t>
  </si>
  <si>
    <t>Phase 2: Red Haired Part Only</t>
  </si>
  <si>
    <t>\MIDI</t>
  </si>
  <si>
    <t>ENEMY156.LZS</t>
  </si>
  <si>
    <t>Directory Contains Midi Tracks</t>
  </si>
  <si>
    <t>Lost Number: Psysic</t>
  </si>
  <si>
    <t>\MINIGAME</t>
  </si>
  <si>
    <t>chu.mid</t>
  </si>
  <si>
    <t>ga**</t>
  </si>
  <si>
    <t>Phase 2: Violet Part Only</t>
  </si>
  <si>
    <t>Still More Fighting</t>
  </si>
  <si>
    <t>Directory containing minigames lpg files</t>
  </si>
  <si>
    <t>ENEMY157.LZS</t>
  </si>
  <si>
    <t>\MUSIC</t>
  </si>
  <si>
    <t>Dragon</t>
  </si>
  <si>
    <t>gb**</t>
  </si>
  <si>
    <t>ENEMY158.LZS</t>
  </si>
  <si>
    <t>chu2.mid</t>
  </si>
  <si>
    <t>\SOUND</t>
  </si>
  <si>
    <t>Sonic Speed</t>
  </si>
  <si>
    <t>J-E-N-O-V-A</t>
  </si>
  <si>
    <t>gc**</t>
  </si>
  <si>
    <t>\WM</t>
  </si>
  <si>
    <t>ENEMY159.LZS</t>
  </si>
  <si>
    <t>Twin Brain</t>
  </si>
  <si>
    <t>gd**</t>
  </si>
  <si>
    <t>cinco.mid</t>
  </si>
  <si>
    <t>ENEMY160.LZS</t>
  </si>
  <si>
    <t>Cinco de Chocobo</t>
  </si>
  <si>
    <t>Zuu</t>
  </si>
  <si>
    <t>ge**</t>
  </si>
  <si>
    <t>ENEMY161.LZS</t>
  </si>
  <si>
    <t>Kyuvilduns</t>
  </si>
  <si>
    <t>cintro.mid</t>
  </si>
  <si>
    <t>gf**</t>
  </si>
  <si>
    <t>Those Chosen by The Planet (short version)</t>
  </si>
  <si>
    <t>ENEMY162.LZS</t>
  </si>
  <si>
    <t>Screamer</t>
  </si>
  <si>
    <t>gg**</t>
  </si>
  <si>
    <t>ENEMY163.LZS</t>
  </si>
  <si>
    <t>Materia Keeper</t>
  </si>
  <si>
    <t>gh**</t>
  </si>
  <si>
    <t>.\DATA\BATTLE</t>
  </si>
  <si>
    <t>ENEMY164.LZS</t>
  </si>
  <si>
    <t>Palmer</t>
  </si>
  <si>
    <t>gi**</t>
  </si>
  <si>
    <t>ENEMY165.LZS</t>
  </si>
  <si>
    <t>Tiny Bronco</t>
  </si>
  <si>
    <t>gj**</t>
  </si>
  <si>
    <t>ENEMY166.LZS</t>
  </si>
  <si>
    <t>Shinra Truck</t>
  </si>
  <si>
    <t>gk**</t>
  </si>
  <si>
    <t>ENEMY167.LZS</t>
  </si>
  <si>
    <t>Thunderbird</t>
  </si>
  <si>
    <t>gl**</t>
  </si>
  <si>
    <t>comical.mid</t>
  </si>
  <si>
    <t>Unused</t>
  </si>
  <si>
    <t>condor.mid</t>
  </si>
  <si>
    <t>Fortress of The Condor</t>
  </si>
  <si>
    <t>corel.mid</t>
  </si>
  <si>
    <t>Mining Town</t>
  </si>
  <si>
    <t>corneo.mid</t>
  </si>
  <si>
    <t>Don of The Slums</t>
  </si>
  <si>
    <t>costa.mid</t>
  </si>
  <si>
    <t>ENEMY1 / ENEMY6</t>
  </si>
  <si>
    <t>Costa del Sol</t>
  </si>
  <si>
    <t>See BATTLE.LGP Sheet</t>
  </si>
  <si>
    <t>CAMDAT0.BIN</t>
  </si>
  <si>
    <t>ENEMY168.LZS</t>
  </si>
  <si>
    <t>Instructional scripts for battle camera</t>
  </si>
  <si>
    <t>crlost.mid</t>
  </si>
  <si>
    <t>Razor Weed</t>
  </si>
  <si>
    <t>CAMDAT0.LZS</t>
  </si>
  <si>
    <t>gm**</t>
  </si>
  <si>
    <t>PSX files are compressed</t>
  </si>
  <si>
    <t>Tango of Tears</t>
  </si>
  <si>
    <t>ENEMY169.LZS</t>
  </si>
  <si>
    <t>CAMDAT1.BIN</t>
  </si>
  <si>
    <t>Edgehead</t>
  </si>
  <si>
    <t>gn**</t>
  </si>
  <si>
    <t>CAMDAT1.LZS</t>
  </si>
  <si>
    <t>crwin.mid</t>
  </si>
  <si>
    <t>ENEMY170.LZS</t>
  </si>
  <si>
    <t>Bizzare bug</t>
  </si>
  <si>
    <t>CAMDAT2.BIN</t>
  </si>
  <si>
    <t>A Great Success</t>
  </si>
  <si>
    <t>go**</t>
  </si>
  <si>
    <t>ENEMY171.LZS</t>
  </si>
  <si>
    <t>CAMDAT2.LZS</t>
  </si>
  <si>
    <t>Tail vault</t>
  </si>
  <si>
    <t>gp**</t>
  </si>
  <si>
    <t>date.mid</t>
  </si>
  <si>
    <t>Interrupted by Fireworks</t>
  </si>
  <si>
    <t>ENEMY172.LZS</t>
  </si>
  <si>
    <t>Adamantaimai</t>
  </si>
  <si>
    <t>gq**</t>
  </si>
  <si>
    <t>ENEMY012.DAT</t>
  </si>
  <si>
    <t>dokubo.mid</t>
  </si>
  <si>
    <t>ENEMY173.LZS</t>
  </si>
  <si>
    <t>Underneath the Rotting Pizza</t>
  </si>
  <si>
    <t>Attack Squad</t>
  </si>
  <si>
    <t>ENEMY331.DAT</t>
  </si>
  <si>
    <t>gr**</t>
  </si>
  <si>
    <t>ENEMY174.LZS</t>
  </si>
  <si>
    <t>KAGE.DAT</t>
  </si>
  <si>
    <t>dun2.mid</t>
  </si>
  <si>
    <t>Foulander</t>
  </si>
  <si>
    <t>Chasing the Black-Caped Man</t>
  </si>
  <si>
    <t>gs**</t>
  </si>
  <si>
    <t>ENEMY175.LZS</t>
  </si>
  <si>
    <t>Garuda</t>
  </si>
  <si>
    <t>earis.mid</t>
  </si>
  <si>
    <t>gt**</t>
  </si>
  <si>
    <t>MAGIC folder</t>
  </si>
  <si>
    <t>Aerith's Theme</t>
  </si>
  <si>
    <t xml:space="preserve">See MAGIC.LGP Sheet </t>
  </si>
  <si>
    <t>ENEMY176.LZS</t>
  </si>
  <si>
    <t>MARK.DAT</t>
  </si>
  <si>
    <t>Jayjujayme</t>
  </si>
  <si>
    <t>gu**</t>
  </si>
  <si>
    <t>earislo.mid</t>
  </si>
  <si>
    <t>RAIN7.TEX</t>
  </si>
  <si>
    <t>ENEMY177.LZS</t>
  </si>
  <si>
    <t>Flowers Blooming in the Church</t>
  </si>
  <si>
    <t>RAPPS</t>
  </si>
  <si>
    <t>gv**</t>
  </si>
  <si>
    <t>ENEMY178.LZS</t>
  </si>
  <si>
    <t>elec.mid</t>
  </si>
  <si>
    <t>GORKHII</t>
  </si>
  <si>
    <t>gw**</t>
  </si>
  <si>
    <t>Electric de Chocobo</t>
  </si>
  <si>
    <t>ENEMY179.LZS</t>
  </si>
  <si>
    <t>fan2.mid</t>
  </si>
  <si>
    <t>SHAKE</t>
  </si>
  <si>
    <t>Fanfare</t>
  </si>
  <si>
    <t>gx**</t>
  </si>
  <si>
    <t>./ENEMY4</t>
  </si>
  <si>
    <t>fanfare.mid</t>
  </si>
  <si>
    <t>ENEMY180.LZS</t>
  </si>
  <si>
    <t>Fanfare (Short)</t>
  </si>
  <si>
    <t>CHEKHOV</t>
  </si>
  <si>
    <t>gy**</t>
  </si>
  <si>
    <t>Junon Parade</t>
  </si>
  <si>
    <t>ENEMY181.LZS</t>
  </si>
  <si>
    <t>fiddle.mid</t>
  </si>
  <si>
    <t>STANIV</t>
  </si>
  <si>
    <t>gz**</t>
  </si>
  <si>
    <t>Fiddle de Chocobo</t>
  </si>
  <si>
    <t>Scene.bin</t>
  </si>
  <si>
    <t>Same In Both Versions</t>
  </si>
  <si>
    <t>ENEMY182.LZS</t>
  </si>
  <si>
    <t>SEFFECT1.TEX</t>
  </si>
  <si>
    <t>GODO</t>
  </si>
  <si>
    <t>ha**</t>
  </si>
  <si>
    <t>fin.mid</t>
  </si>
  <si>
    <t>ENEMY183.LZS</t>
  </si>
  <si>
    <t>World Crisis</t>
  </si>
  <si>
    <t>geki.mid</t>
  </si>
  <si>
    <t>Big Toxic Frog</t>
  </si>
  <si>
    <t>hb**</t>
  </si>
  <si>
    <t>Debut</t>
  </si>
  <si>
    <t>ENEMY184.LZS</t>
  </si>
  <si>
    <t>gold1.mid</t>
  </si>
  <si>
    <t>hc**</t>
  </si>
  <si>
    <t>Gold Saucer</t>
  </si>
  <si>
    <t>Model Identical to ENEMY183, but is not used?</t>
  </si>
  <si>
    <t>ENEMY185.LZS</t>
  </si>
  <si>
    <t>Under Lizard</t>
  </si>
  <si>
    <t>SEFFECT2.TEX</t>
  </si>
  <si>
    <t>hd**</t>
  </si>
  <si>
    <t>guitar2.mid</t>
  </si>
  <si>
    <t>ENEMY186.LZS</t>
  </si>
  <si>
    <t>On the Other Side of the Mountain</t>
  </si>
  <si>
    <t>Kalzmelzer</t>
  </si>
  <si>
    <t>he**</t>
  </si>
  <si>
    <t>gun.mid</t>
  </si>
  <si>
    <t>ENEMY187.LZS</t>
  </si>
  <si>
    <t>A Full Scale Attack</t>
  </si>
  <si>
    <t>Dual Horn</t>
  </si>
  <si>
    <t>hf**</t>
  </si>
  <si>
    <t>ENEMY188.LZS</t>
  </si>
  <si>
    <t>Tonadu</t>
  </si>
  <si>
    <t>hen.mid</t>
  </si>
  <si>
    <t>hg**</t>
  </si>
  <si>
    <t>Who Am I</t>
  </si>
  <si>
    <t>ENEMY189.LZS</t>
  </si>
  <si>
    <t>Toxic Frog</t>
  </si>
  <si>
    <t>hh**</t>
  </si>
  <si>
    <t>hiku.mid</t>
  </si>
  <si>
    <t>Highwind Takes to the Skies</t>
  </si>
  <si>
    <t>ENEMY190.LZS</t>
  </si>
  <si>
    <t>SEFFECT3.TEX</t>
  </si>
  <si>
    <t>Jemnezmy</t>
  </si>
  <si>
    <t>hi**</t>
  </si>
  <si>
    <t>horror.mid</t>
  </si>
  <si>
    <t>Trail of Blood</t>
  </si>
  <si>
    <t>ENEMY191.LZS</t>
  </si>
  <si>
    <t>Doorbull</t>
  </si>
  <si>
    <t>hj**</t>
  </si>
  <si>
    <t>ENEMY192.LZS</t>
  </si>
  <si>
    <t>iseki.mid</t>
  </si>
  <si>
    <t>Ancient Dragon</t>
  </si>
  <si>
    <t>hk**</t>
  </si>
  <si>
    <t>You Can Hear the Cry of the Planet</t>
  </si>
  <si>
    <t>ENEMY193.LZS</t>
  </si>
  <si>
    <t>Red Dragon</t>
  </si>
  <si>
    <t>hl**</t>
  </si>
  <si>
    <t>jukai.mid</t>
  </si>
  <si>
    <t>Forest Temple</t>
  </si>
  <si>
    <t>ENEMY194.LZS</t>
  </si>
  <si>
    <t>8-eye</t>
  </si>
  <si>
    <t>SKY_A.LMD</t>
  </si>
  <si>
    <t>hm**</t>
  </si>
  <si>
    <t>junon.mid</t>
  </si>
  <si>
    <t>ENEMY195.LZS</t>
  </si>
  <si>
    <t>SKY_B.PLY</t>
  </si>
  <si>
    <t>Off the Edge of Despair</t>
  </si>
  <si>
    <t>DEMONS GATE</t>
  </si>
  <si>
    <t>hn**</t>
  </si>
  <si>
    <t>ENEMY196.LZS</t>
  </si>
  <si>
    <t>SKY_C.LMD</t>
  </si>
  <si>
    <t>jyro.mid</t>
  </si>
  <si>
    <t>Jenova LIFE</t>
  </si>
  <si>
    <t>ho**</t>
  </si>
  <si>
    <t>Steal the Tiny Bronco</t>
  </si>
  <si>
    <t>SKY_D.PLY</t>
  </si>
  <si>
    <t>ENEMY197.LZS</t>
  </si>
  <si>
    <t>Vlakorados</t>
  </si>
  <si>
    <t>STAGE57.DAT</t>
  </si>
  <si>
    <t>hp**</t>
  </si>
  <si>
    <t>ketc.mid</t>
  </si>
  <si>
    <t>Cait Sith's Theme</t>
  </si>
  <si>
    <t>ENEMY198.LZS</t>
  </si>
  <si>
    <t>.\DATA\CD</t>
  </si>
  <si>
    <t>TrickPlay</t>
  </si>
  <si>
    <t>kita.mid</t>
  </si>
  <si>
    <t>hq**</t>
  </si>
  <si>
    <t>The Great Northern Cave</t>
  </si>
  <si>
    <t>ENEMY199.LZS</t>
  </si>
  <si>
    <t>kurai.mid</t>
  </si>
  <si>
    <t>Different filename depending on the language</t>
  </si>
  <si>
    <t>TrickPlay's hole</t>
  </si>
  <si>
    <t>hr**</t>
  </si>
  <si>
    <t>Different orientation</t>
  </si>
  <si>
    <t>ENEMY200.LZS</t>
  </si>
  <si>
    <t>Bound Fat</t>
  </si>
  <si>
    <t>hs**</t>
  </si>
  <si>
    <t>ENEMY201.LZS</t>
  </si>
  <si>
    <t>Anxious Heart</t>
  </si>
  <si>
    <t>Mall Dancer</t>
  </si>
  <si>
    <t>also found in .\movies (see LGP sheet)</t>
  </si>
  <si>
    <t>ht**</t>
  </si>
  <si>
    <t>ENEMY202.LZS</t>
  </si>
  <si>
    <t>lb1.mid</t>
  </si>
  <si>
    <t>.\DATA\FIELD</t>
  </si>
  <si>
    <t>Grimguard</t>
  </si>
  <si>
    <t>hu**</t>
  </si>
  <si>
    <t>The Birth of God</t>
  </si>
  <si>
    <t>ENEMY203.LZS</t>
  </si>
  <si>
    <t>Hungry</t>
  </si>
  <si>
    <t>bizzaro sephiroth</t>
  </si>
  <si>
    <t>hv**</t>
  </si>
  <si>
    <t>See CHAR.LGP Sheet.</t>
  </si>
  <si>
    <t>ENEMY204.LZS</t>
  </si>
  <si>
    <t>lb2.mid</t>
  </si>
  <si>
    <t>Acrophies</t>
  </si>
  <si>
    <t>hw**</t>
  </si>
  <si>
    <t>One-Winged Angel</t>
  </si>
  <si>
    <t>ENEMY205.LZS</t>
  </si>
  <si>
    <t>text for character dialog. seems to also have music cues as well.</t>
  </si>
  <si>
    <t>final sephiroth</t>
  </si>
  <si>
    <t>Ice Golem</t>
  </si>
  <si>
    <t>hx**</t>
  </si>
  <si>
    <t>lb2_awe.mid</t>
  </si>
  <si>
    <t>.\DATA\KERNEL</t>
  </si>
  <si>
    <t>ENEMY206.LZS</t>
  </si>
  <si>
    <t>awe version of One-winged angel?</t>
  </si>
  <si>
    <t>KERNEL2.BIN</t>
  </si>
  <si>
    <t>Shred</t>
  </si>
  <si>
    <t>hy**</t>
  </si>
  <si>
    <t>Secondary Kernel holding only text data for the game</t>
  </si>
  <si>
    <t>ld.mid</t>
  </si>
  <si>
    <t>ENEMY207.LZS</t>
  </si>
  <si>
    <t>Judgment Day</t>
  </si>
  <si>
    <t>Lessaloploth</t>
  </si>
  <si>
    <t>hz**</t>
  </si>
  <si>
    <t>ENEMY208.LZS</t>
  </si>
  <si>
    <t>Frozen Nail</t>
  </si>
  <si>
    <t>ia**</t>
  </si>
  <si>
    <t>makoro.mid</t>
  </si>
  <si>
    <t>ENEMY209.LZS</t>
  </si>
  <si>
    <t>Jumping</t>
  </si>
  <si>
    <t>Mako Reactor</t>
  </si>
  <si>
    <t>ib**</t>
  </si>
  <si>
    <t>ENEMY210.LZS</t>
  </si>
  <si>
    <t>mati.mid</t>
  </si>
  <si>
    <t>Ahead on Our Way</t>
  </si>
  <si>
    <t>KERNEL.BIN</t>
  </si>
  <si>
    <t>mekyu.mid</t>
  </si>
  <si>
    <t>Reunion</t>
  </si>
  <si>
    <t>All the static data and menu text for the game</t>
  </si>
  <si>
    <t>mogu.mid</t>
  </si>
  <si>
    <t>Snow</t>
  </si>
  <si>
    <t>Highwind takes to the Skies</t>
  </si>
  <si>
    <t>ic**</t>
  </si>
  <si>
    <t>WINDOW.BIN</t>
  </si>
  <si>
    <t>Short Version</t>
  </si>
  <si>
    <t>ENEMY211.LZS</t>
  </si>
  <si>
    <t>Menu textures and fonts</t>
  </si>
  <si>
    <t>Bandersnatch</t>
  </si>
  <si>
    <t>mura1.mid</t>
  </si>
  <si>
    <t>id**</t>
  </si>
  <si>
    <t>Parochial Town</t>
  </si>
  <si>
    <t>ENEMY212.LZS</t>
  </si>
  <si>
    <t>.\DATA\MENU</t>
  </si>
  <si>
    <t>Magnade</t>
  </si>
  <si>
    <t>ie**</t>
  </si>
  <si>
    <t>nointro.mid</t>
  </si>
  <si>
    <t>ENEMY213.LZS</t>
  </si>
  <si>
    <t>if**</t>
  </si>
  <si>
    <t>Magnade Shield</t>
  </si>
  <si>
    <t>(No intro version)</t>
  </si>
  <si>
    <t>ENEMY214.LZS</t>
  </si>
  <si>
    <t>MENU folder</t>
  </si>
  <si>
    <t>oa.mid</t>
  </si>
  <si>
    <t>ig**</t>
  </si>
  <si>
    <t>Magnade Shield, different from above</t>
  </si>
  <si>
    <t>Opening - Bombing Mission</t>
  </si>
  <si>
    <t>.\DATA\MIDI</t>
  </si>
  <si>
    <t>ENEMY215.LZS</t>
  </si>
  <si>
    <t>Malboro</t>
  </si>
  <si>
    <t>ih**</t>
  </si>
  <si>
    <t>\SF2</t>
  </si>
  <si>
    <t>ob.mid</t>
  </si>
  <si>
    <t>ENEMY216.LZS</t>
  </si>
  <si>
    <t>Bombing Mission</t>
  </si>
  <si>
    <t>Blue Dragon</t>
  </si>
  <si>
    <t>(row 75)</t>
  </si>
  <si>
    <t>ii**</t>
  </si>
  <si>
    <t>JUST Bombing Mission</t>
  </si>
  <si>
    <t>ENEMY217.LZS</t>
  </si>
  <si>
    <t xml:space="preserve">Mid Files Music For the game </t>
  </si>
  <si>
    <t>Icycle</t>
  </si>
  <si>
    <t>odds.mid</t>
  </si>
  <si>
    <t>Racing Chocobos</t>
  </si>
  <si>
    <t>ENEMY218.LZS</t>
  </si>
  <si>
    <t>HeadBomber</t>
  </si>
  <si>
    <t>For A General Midi Player</t>
  </si>
  <si>
    <t>ik**</t>
  </si>
  <si>
    <t>over2.mid</t>
  </si>
  <si>
    <t>ENEMY219.LZS</t>
  </si>
  <si>
    <t>Requiem</t>
  </si>
  <si>
    <t>Stilva</t>
  </si>
  <si>
    <t>il**</t>
  </si>
  <si>
    <t>Game Over - Continue</t>
  </si>
  <si>
    <t>ENEMY220.LZS</t>
  </si>
  <si>
    <t>Zolokalter</t>
  </si>
  <si>
    <t>parade.mid</t>
  </si>
  <si>
    <t>im**</t>
  </si>
  <si>
    <t>Rufus' Welcoming Ceremony</t>
  </si>
  <si>
    <t>ENEMY221.LZS</t>
  </si>
  <si>
    <t>Evilhead</t>
  </si>
  <si>
    <t>in**</t>
  </si>
  <si>
    <t>ENEMY222.LZS</t>
  </si>
  <si>
    <t>Mid Files Music For the game</t>
  </si>
  <si>
    <t>pj.mid</t>
  </si>
  <si>
    <t>For The Yamaha Midi Player that is an optional install</t>
  </si>
  <si>
    <t>Jenova Absolute</t>
  </si>
  <si>
    <t>.\DATA\MIDI\SF2</t>
  </si>
  <si>
    <t>pre.mid</t>
  </si>
  <si>
    <t>FF7.SF2</t>
  </si>
  <si>
    <t>Prelude</t>
  </si>
  <si>
    <t>FF7M.SF2</t>
  </si>
  <si>
    <t>red.mid</t>
  </si>
  <si>
    <t>FF7S.SF2</t>
  </si>
  <si>
    <t>Red XIII's Theme</t>
  </si>
  <si>
    <t>LB2.SF2</t>
  </si>
  <si>
    <t>rhythm.mid</t>
  </si>
  <si>
    <t>Turk's Theme</t>
  </si>
  <si>
    <t>.\DATA\MINIGAME</t>
  </si>
  <si>
    <t>riku.mid</t>
  </si>
  <si>
    <t>Cuahl</t>
  </si>
  <si>
    <t xml:space="preserve">Shinra Explodes </t>
  </si>
  <si>
    <t>io**</t>
  </si>
  <si>
    <t>Version 1</t>
  </si>
  <si>
    <t>ENEMY223.LZS</t>
  </si>
  <si>
    <t>Gigas</t>
  </si>
  <si>
    <t>ro.mid</t>
  </si>
  <si>
    <t>ip**</t>
  </si>
  <si>
    <t>The Countdown Begins</t>
  </si>
  <si>
    <t>ENEMY224.LZS</t>
  </si>
  <si>
    <t>rocket.mid</t>
  </si>
  <si>
    <t>Grenade</t>
  </si>
  <si>
    <t>Oppressed People</t>
  </si>
  <si>
    <t>iq**</t>
  </si>
  <si>
    <t>ENEMY225.LZS</t>
  </si>
  <si>
    <t>Gremlin</t>
  </si>
  <si>
    <t>roll.mid</t>
  </si>
  <si>
    <t>ir**</t>
  </si>
  <si>
    <t>Staff Roll</t>
  </si>
  <si>
    <t>ENEMY226.LZS</t>
  </si>
  <si>
    <t>Ironite</t>
  </si>
  <si>
    <t>is**</t>
  </si>
  <si>
    <t>ENEMY227.LZS</t>
  </si>
  <si>
    <t>rukei.mid</t>
  </si>
  <si>
    <t>Sandy Badlands</t>
  </si>
  <si>
    <t>Sculpture</t>
  </si>
  <si>
    <t>it**</t>
  </si>
  <si>
    <t>ENEMY228.LZS</t>
  </si>
  <si>
    <t>Schizo(Right)</t>
  </si>
  <si>
    <t>iu**</t>
  </si>
  <si>
    <t>sadbar.mid</t>
  </si>
  <si>
    <t>Contains Body as well</t>
  </si>
  <si>
    <t>Mark of the Traitor</t>
  </si>
  <si>
    <t>ENEMY229.LZS</t>
  </si>
  <si>
    <t>Schizo(Left)</t>
  </si>
  <si>
    <t>iv**</t>
  </si>
  <si>
    <t>Only Head</t>
  </si>
  <si>
    <t>sadsid.mid</t>
  </si>
  <si>
    <t>Sending a Dream Into the Universe</t>
  </si>
  <si>
    <t>ENEMY230.LZS</t>
  </si>
  <si>
    <t>Wind Wing</t>
  </si>
  <si>
    <t>iw**</t>
  </si>
  <si>
    <t>Object offset error in animation</t>
  </si>
  <si>
    <t>sea.mid</t>
  </si>
  <si>
    <t>ENEMY231.LZS</t>
  </si>
  <si>
    <t>A Secret, Sleeping in the Deep Sea</t>
  </si>
  <si>
    <t>Dragon Rider</t>
  </si>
  <si>
    <t>ix**</t>
  </si>
  <si>
    <t>ENEMY232.LZS</t>
  </si>
  <si>
    <t>seto.mid</t>
  </si>
  <si>
    <t>Killbin</t>
  </si>
  <si>
    <t>iy**</t>
  </si>
  <si>
    <t>Animation error</t>
  </si>
  <si>
    <t>ENEMY233.LZS</t>
  </si>
  <si>
    <t>Great Warrior</t>
  </si>
  <si>
    <t>Tonberry</t>
  </si>
  <si>
    <t>iz**</t>
  </si>
  <si>
    <t>.\DATA\MUSIC</t>
  </si>
  <si>
    <t>ENEMY234.LZS</t>
  </si>
  <si>
    <t>si.mid</t>
  </si>
  <si>
    <t>Jenova DEATH</t>
  </si>
  <si>
    <t>ja**</t>
  </si>
  <si>
    <t>HEART.WAV</t>
  </si>
  <si>
    <t>Shinra Explodes</t>
  </si>
  <si>
    <t>ENEMY235.LZS</t>
  </si>
  <si>
    <t>Roulette Cannon</t>
  </si>
  <si>
    <t>Version 2</t>
  </si>
  <si>
    <t>MUSIC.IDX</t>
  </si>
  <si>
    <t>jb**</t>
  </si>
  <si>
    <t>sid2.mid</t>
  </si>
  <si>
    <t>SATO.WAV</t>
  </si>
  <si>
    <t>Cid's Theme</t>
  </si>
  <si>
    <t>ENEMY236.LZS</t>
  </si>
  <si>
    <t>Pedestal</t>
  </si>
  <si>
    <t>SENSUI.WAV</t>
  </si>
  <si>
    <t>jc**</t>
  </si>
  <si>
    <t>sido.mid</t>
  </si>
  <si>
    <t>ENEMY237.LZS</t>
  </si>
  <si>
    <t>WIND.WAV</t>
  </si>
  <si>
    <t>It's Difficult to Stand on Both Feet, Isn't It?</t>
  </si>
  <si>
    <t>Soldier 2nd</t>
  </si>
  <si>
    <t>jd**</t>
  </si>
  <si>
    <t>ENEMY238.LZS</t>
  </si>
  <si>
    <t>Death Machine</t>
  </si>
  <si>
    <t>je**</t>
  </si>
  <si>
    <t>ENEMY239.LZS</t>
  </si>
  <si>
    <t>Slalom</t>
  </si>
  <si>
    <t>.\DATA\SOUND</t>
  </si>
  <si>
    <t>jf**</t>
  </si>
  <si>
    <t>AUDIO.DAT</t>
  </si>
  <si>
    <t>./ENEMY5</t>
  </si>
  <si>
    <t>siera.mid</t>
  </si>
  <si>
    <t>Sound effects</t>
  </si>
  <si>
    <t>ENEMY240.LZS</t>
  </si>
  <si>
    <t>If You Open Your Heart</t>
  </si>
  <si>
    <t>Scissors</t>
  </si>
  <si>
    <t>AUDIO.FMT</t>
  </si>
  <si>
    <t>jg**</t>
  </si>
  <si>
    <t>ENEMY241.LZS</t>
  </si>
  <si>
    <t>sinra.mid</t>
  </si>
  <si>
    <t>Scissors - Top</t>
  </si>
  <si>
    <t>jh**</t>
  </si>
  <si>
    <t>Shinra Corporation</t>
  </si>
  <si>
    <t>ENEMY242.LZS</t>
  </si>
  <si>
    <t>Scissors - Bot</t>
  </si>
  <si>
    <t>sinraslo.mid</t>
  </si>
  <si>
    <t>ji**</t>
  </si>
  <si>
    <t>Infiltrating Shinra Tower</t>
  </si>
  <si>
    <t>ENEMY243.LZS</t>
  </si>
  <si>
    <t>Guard System</t>
  </si>
  <si>
    <t>jj**</t>
  </si>
  <si>
    <t>ENEMY244.LZS</t>
  </si>
  <si>
    <t>Quick Machine Gun</t>
  </si>
  <si>
    <t>snow.mid</t>
  </si>
  <si>
    <t>jk**</t>
  </si>
  <si>
    <t>Buried In The Snow</t>
  </si>
  <si>
    <t>ENEMY245.LZS</t>
  </si>
  <si>
    <t>jl**</t>
  </si>
  <si>
    <t>ENEMY246.LZS</t>
  </si>
  <si>
    <t>ta.mid</t>
  </si>
  <si>
    <t>Ghost Ship</t>
  </si>
  <si>
    <t>FF VII Main Theme</t>
  </si>
  <si>
    <t>jm**</t>
  </si>
  <si>
    <t>ENEMY247.LZS</t>
  </si>
  <si>
    <t>Corvette</t>
  </si>
  <si>
    <t>jn**</t>
  </si>
  <si>
    <t>ENEMY248.LZS</t>
  </si>
  <si>
    <t>.\DATA\WM</t>
  </si>
  <si>
    <t>tb.mid</t>
  </si>
  <si>
    <t>Diver Nest</t>
  </si>
  <si>
    <t>jo**</t>
  </si>
  <si>
    <t>ENEMY249.LZS</t>
  </si>
  <si>
    <t>FF VII Main Theme (short version)</t>
  </si>
  <si>
    <t>Submarine Crew</t>
  </si>
  <si>
    <t>jp**</t>
  </si>
  <si>
    <t>WM0.BOT</t>
  </si>
  <si>
    <t>Used only once, in the lifestream</t>
  </si>
  <si>
    <t>ENEMY250.LZS</t>
  </si>
  <si>
    <t>Submarine Capt</t>
  </si>
  <si>
    <t>Normal World Map</t>
  </si>
  <si>
    <t>jq**</t>
  </si>
  <si>
    <t>tender.mid</t>
  </si>
  <si>
    <t>ENEMY251.LZS</t>
  </si>
  <si>
    <t>WM0.MAP</t>
  </si>
  <si>
    <t>Holding My Thoughts In My Heart</t>
  </si>
  <si>
    <t>UnderwaterMP</t>
  </si>
  <si>
    <t>jr**</t>
  </si>
  <si>
    <t>ENEMY252.LZS</t>
  </si>
  <si>
    <t>Senior Grunt</t>
  </si>
  <si>
    <t>WM2.BOT</t>
  </si>
  <si>
    <t>tifa.mid</t>
  </si>
  <si>
    <t>js**</t>
  </si>
  <si>
    <t>ENEMY253.LZS</t>
  </si>
  <si>
    <t>Tifa's Theme</t>
  </si>
  <si>
    <t>Hard Attacker</t>
  </si>
  <si>
    <t>Underwater World Map</t>
  </si>
  <si>
    <t>jt**</t>
  </si>
  <si>
    <t>WM2.MAP</t>
  </si>
  <si>
    <t>ENEMY254.LZS</t>
  </si>
  <si>
    <t>Guardian</t>
  </si>
  <si>
    <t>tm.mid</t>
  </si>
  <si>
    <t>ju**</t>
  </si>
  <si>
    <t>ENEMY255.LZS</t>
  </si>
  <si>
    <t>On That Day, Five Years Ago</t>
  </si>
  <si>
    <t>WM3.BOT</t>
  </si>
  <si>
    <t>Guardian(Right)</t>
  </si>
  <si>
    <t>jv**</t>
  </si>
  <si>
    <t>Mace-like hand</t>
  </si>
  <si>
    <t>ENEMY256.LZS</t>
  </si>
  <si>
    <t>Guardian(Left)</t>
  </si>
  <si>
    <t>WM3.MAP</t>
  </si>
  <si>
    <t>jw**</t>
  </si>
  <si>
    <t>utai.mid</t>
  </si>
  <si>
    <t>ENEMY257.LZS</t>
  </si>
  <si>
    <t>Wutai</t>
  </si>
  <si>
    <t>Gun Carrier</t>
  </si>
  <si>
    <t>jx**</t>
  </si>
  <si>
    <t>ENEMY258.LZS</t>
  </si>
  <si>
    <t>CARRY ARMOR</t>
  </si>
  <si>
    <t>World folder</t>
  </si>
  <si>
    <t>vincent.mid</t>
  </si>
  <si>
    <t>jy**</t>
  </si>
  <si>
    <t>The Nightmare's Beginning</t>
  </si>
  <si>
    <t>ENEMY259.LZS</t>
  </si>
  <si>
    <t>Carry's Left Arm</t>
  </si>
  <si>
    <t>.\SAVE</t>
  </si>
  <si>
    <t>Vincent's Theme</t>
  </si>
  <si>
    <t>jz**</t>
  </si>
  <si>
    <t>ENEMY260.LZS</t>
  </si>
  <si>
    <t>Carry's Right Arm</t>
  </si>
  <si>
    <t>ka**</t>
  </si>
  <si>
    <t>walz.mid</t>
  </si>
  <si>
    <t>SAVE00.FF7</t>
  </si>
  <si>
    <t>ENEMY261.LZS</t>
  </si>
  <si>
    <t>Rilfsak</t>
  </si>
  <si>
    <t>Waltz de Chocobo</t>
  </si>
  <si>
    <t>kb**</t>
  </si>
  <si>
    <t>save1 "save data" file</t>
  </si>
  <si>
    <t>ENEMY262.LZS</t>
  </si>
  <si>
    <t xml:space="preserve">Each one of these </t>
  </si>
  <si>
    <t>Diablo</t>
  </si>
  <si>
    <t>kc**</t>
  </si>
  <si>
    <t>ENEMY263.LZS</t>
  </si>
  <si>
    <t>weapon.mid</t>
  </si>
  <si>
    <t>Epilonis</t>
  </si>
  <si>
    <t>kd**</t>
  </si>
  <si>
    <t>Weapon Raid</t>
  </si>
  <si>
    <t>ENEMY264.LZS</t>
  </si>
  <si>
    <t>HOCHU</t>
  </si>
  <si>
    <t>ke**</t>
  </si>
  <si>
    <t>ENEMY265.LZS</t>
  </si>
  <si>
    <t>Gas Ducter</t>
  </si>
  <si>
    <t>kf**</t>
  </si>
  <si>
    <t>yado.mid</t>
  </si>
  <si>
    <t>ENEMY266.LZS</t>
  </si>
  <si>
    <t>Wolf Meister</t>
  </si>
  <si>
    <t>kg**</t>
  </si>
  <si>
    <t>Good Night, Until Tomorrow</t>
  </si>
  <si>
    <t>ENEMY267.LZS</t>
  </si>
  <si>
    <t>Files created when saveX is saved to</t>
  </si>
  <si>
    <t>Eagle Gun</t>
  </si>
  <si>
    <t>kh**</t>
  </si>
  <si>
    <t>SAVE01.FF7</t>
  </si>
  <si>
    <t>ENEMY268.LZS</t>
  </si>
  <si>
    <t>Serpent</t>
  </si>
  <si>
    <t>ki**</t>
  </si>
  <si>
    <t>yufi.mid</t>
  </si>
  <si>
    <t>ENEMY269.LZS</t>
  </si>
  <si>
    <t>Poodler</t>
  </si>
  <si>
    <t>kj**</t>
  </si>
  <si>
    <t>Stolen Materia</t>
  </si>
  <si>
    <t>ENEMY270.LZS</t>
  </si>
  <si>
    <t>Bad Rap</t>
  </si>
  <si>
    <t>kk**</t>
  </si>
  <si>
    <t>ENEMY271.LZS</t>
  </si>
  <si>
    <t>Unknown (tongue)</t>
  </si>
  <si>
    <t>kl**</t>
  </si>
  <si>
    <t>yufi2.mid</t>
  </si>
  <si>
    <t>ENEMY272.LZS</t>
  </si>
  <si>
    <t>Descendant of Shinobi</t>
  </si>
  <si>
    <t>Unknown3 (creep)</t>
  </si>
  <si>
    <t>km**</t>
  </si>
  <si>
    <t>save2 "save data" file</t>
  </si>
  <si>
    <t>ENEMY273.LZS</t>
  </si>
  <si>
    <t xml:space="preserve">is the equivalent </t>
  </si>
  <si>
    <t>Unknown2 (needle)</t>
  </si>
  <si>
    <t>kn**</t>
  </si>
  <si>
    <t>Each file can hold 15 saved games</t>
  </si>
  <si>
    <t>ENEMY274.LZS</t>
  </si>
  <si>
    <t>yume.mid</t>
  </si>
  <si>
    <t>TURKS: Reno</t>
  </si>
  <si>
    <t>ko**</t>
  </si>
  <si>
    <t>Turks: Reno (3/Gelnika)</t>
  </si>
  <si>
    <t>Who Are You?</t>
  </si>
  <si>
    <t>ENEMY275.LZS</t>
  </si>
  <si>
    <t>TURKS: Rude</t>
  </si>
  <si>
    <t>kp**</t>
  </si>
  <si>
    <t>Turks: Rude (3/Gelnika)</t>
  </si>
  <si>
    <t>ENEMY276.LZS</t>
  </si>
  <si>
    <t>Hippogriff</t>
  </si>
  <si>
    <t>kq**</t>
  </si>
  <si>
    <t>SAVE02.FF7</t>
  </si>
  <si>
    <t>ENEMY277.LZS</t>
  </si>
  <si>
    <t>Head Hunter</t>
  </si>
  <si>
    <t>kr**</t>
  </si>
  <si>
    <t>save3 "save data" file</t>
  </si>
  <si>
    <t>ENEMY278.LZS</t>
  </si>
  <si>
    <t>of having one Playstation</t>
  </si>
  <si>
    <t>Spiral</t>
  </si>
  <si>
    <t>ks**</t>
  </si>
  <si>
    <t>SAVE03.FF7</t>
  </si>
  <si>
    <t>ENEMY279.LZS</t>
  </si>
  <si>
    <t>save4 "save data" file</t>
  </si>
  <si>
    <t>Crysales</t>
  </si>
  <si>
    <t>kt**</t>
  </si>
  <si>
    <t xml:space="preserve">memory card full </t>
  </si>
  <si>
    <t>ENEMY280.LZS</t>
  </si>
  <si>
    <t>Sea Worm</t>
  </si>
  <si>
    <t>SAVE04.FF7</t>
  </si>
  <si>
    <t>ku**</t>
  </si>
  <si>
    <t>ENEMY281.LZS</t>
  </si>
  <si>
    <t>save5 "save data" file</t>
  </si>
  <si>
    <t>kv**</t>
  </si>
  <si>
    <t xml:space="preserve">of final fantay 7 saves </t>
  </si>
  <si>
    <t>Turks: Rude (2/Rocket Town)</t>
  </si>
  <si>
    <t>ENEMY282.LZS</t>
  </si>
  <si>
    <t>SAVE05.FF7</t>
  </si>
  <si>
    <t>Commander</t>
  </si>
  <si>
    <t>kw**</t>
  </si>
  <si>
    <t>save6 "save data" file</t>
  </si>
  <si>
    <t>BASCUS-94163FF7-S01</t>
  </si>
  <si>
    <t>ENEMY283.LZS</t>
  </si>
  <si>
    <t>SAVE06.FF7</t>
  </si>
  <si>
    <t>kx**</t>
  </si>
  <si>
    <t>ENEMY284.LZS</t>
  </si>
  <si>
    <t>save7 "save data" file</t>
  </si>
  <si>
    <t>ky**</t>
  </si>
  <si>
    <t>is SAVE-- 's first save game and</t>
  </si>
  <si>
    <t>ENEMY285.LZS</t>
  </si>
  <si>
    <t>SAVE07.FF7</t>
  </si>
  <si>
    <t>Behemoth</t>
  </si>
  <si>
    <t>kz**</t>
  </si>
  <si>
    <t>ENEMY286.LZS</t>
  </si>
  <si>
    <t>save8 "save data" file</t>
  </si>
  <si>
    <t>BASCUS-94163FF7-S15</t>
  </si>
  <si>
    <t>Cromwell</t>
  </si>
  <si>
    <t>la**</t>
  </si>
  <si>
    <t>ENEMY287.LZS</t>
  </si>
  <si>
    <t>aa.tex</t>
  </si>
  <si>
    <t>SAVE08.FF7</t>
  </si>
  <si>
    <t>Manhole</t>
  </si>
  <si>
    <t>lb**</t>
  </si>
  <si>
    <t>ENEMY288.LZS</t>
  </si>
  <si>
    <t>save9 "save data" file</t>
  </si>
  <si>
    <t>Background A class</t>
  </si>
  <si>
    <t>Manhole cover</t>
  </si>
  <si>
    <t>is SAVE--'s last save game</t>
  </si>
  <si>
    <t>lc**</t>
  </si>
  <si>
    <t>Texture</t>
  </si>
  <si>
    <t>ENEMY289.LZS</t>
  </si>
  <si>
    <t>SAVE09.FF7</t>
  </si>
  <si>
    <t>Crazy Saw</t>
  </si>
  <si>
    <t>ld**</t>
  </si>
  <si>
    <t>ENEMY290.LZS</t>
  </si>
  <si>
    <t>save10 "save data" file</t>
  </si>
  <si>
    <t>ShadowMaker</t>
  </si>
  <si>
    <t>le**</t>
  </si>
  <si>
    <t>ENEMY291.LZS</t>
  </si>
  <si>
    <t>GrossPanzer big</t>
  </si>
  <si>
    <t>lf**</t>
  </si>
  <si>
    <t>.\MOVIES</t>
  </si>
  <si>
    <t>ENEMY292.LZS</t>
  </si>
  <si>
    <t>GrossPanzer small</t>
  </si>
  <si>
    <t>lg**</t>
  </si>
  <si>
    <t>ENEMY293.LZS</t>
  </si>
  <si>
    <t>biglight.avi</t>
  </si>
  <si>
    <t>GrossPanzer mobile</t>
  </si>
  <si>
    <t>lh**</t>
  </si>
  <si>
    <t>ENEMY294.LZS</t>
  </si>
  <si>
    <t>Gargoyle stoned</t>
  </si>
  <si>
    <t>li**</t>
  </si>
  <si>
    <t>ENEMY295.LZS</t>
  </si>
  <si>
    <t>Gargoyle</t>
  </si>
  <si>
    <t>lj**</t>
  </si>
  <si>
    <t>When The Weapons Wake Up</t>
  </si>
  <si>
    <t>ENEMY296.LZS</t>
  </si>
  <si>
    <t>1m 11s - 1st time at the n.crater</t>
  </si>
  <si>
    <t>TURKS: Elena</t>
  </si>
  <si>
    <t>lk**</t>
  </si>
  <si>
    <t>ENEMY297.LZS</t>
  </si>
  <si>
    <t>ll**</t>
  </si>
  <si>
    <t>Turks: Reno (4/Midgar)</t>
  </si>
  <si>
    <t>ENEMY298.LZS</t>
  </si>
  <si>
    <t>lm**</t>
  </si>
  <si>
    <t>Turks: Rude (4/Midgar)</t>
  </si>
  <si>
    <t>ENEMY299.LZS</t>
  </si>
  <si>
    <t>PROUD CLOD</t>
  </si>
  <si>
    <t>ln**</t>
  </si>
  <si>
    <t>./ENEMY6</t>
  </si>
  <si>
    <t>BARRETT2.LZS</t>
  </si>
  <si>
    <t>Barret</t>
  </si>
  <si>
    <t>sc**</t>
  </si>
  <si>
    <t>bike.avi</t>
  </si>
  <si>
    <t>BARRETT3.LZS</t>
  </si>
  <si>
    <t>sd**</t>
  </si>
  <si>
    <t>BARRETT4.LZS</t>
  </si>
  <si>
    <t>Leaving shin-ra building</t>
  </si>
  <si>
    <t>BIKEGET.MOV</t>
  </si>
  <si>
    <t>se**</t>
  </si>
  <si>
    <t>BARRETT.LZS</t>
  </si>
  <si>
    <t>50s - Plays Right before the bike minigame</t>
  </si>
  <si>
    <t>sb**</t>
  </si>
  <si>
    <t>biskdead.avi</t>
  </si>
  <si>
    <t>CHAOS.LZS</t>
  </si>
  <si>
    <t>Chaos</t>
  </si>
  <si>
    <t>sm**</t>
  </si>
  <si>
    <t>Vincent Limit</t>
  </si>
  <si>
    <t>backround for when dyne dies</t>
  </si>
  <si>
    <t>CID.LZS</t>
  </si>
  <si>
    <t>BISKDEAD.STR</t>
  </si>
  <si>
    <t>Cid</t>
  </si>
  <si>
    <t>rz**</t>
  </si>
  <si>
    <t>9s - Models are drawn on top on this bkrnd</t>
  </si>
  <si>
    <t>CLOUD.LZS</t>
  </si>
  <si>
    <t>Cloud</t>
  </si>
  <si>
    <t>boogdemo.avi</t>
  </si>
  <si>
    <t>rt**</t>
  </si>
  <si>
    <t>DEATHGIG.LZS</t>
  </si>
  <si>
    <t>ab.tex</t>
  </si>
  <si>
    <t xml:space="preserve">Planetarium Video </t>
  </si>
  <si>
    <t>Death Gigas</t>
  </si>
  <si>
    <t>BOOGDEMO.STR</t>
  </si>
  <si>
    <t>sk**</t>
  </si>
  <si>
    <t>Background part A class</t>
  </si>
  <si>
    <t>32s - Inital video that you see when u enter ?</t>
  </si>
  <si>
    <t>EARITH.LZS</t>
  </si>
  <si>
    <t>Aerith</t>
  </si>
  <si>
    <t>rv**</t>
  </si>
  <si>
    <t>ENEMY300.LZS</t>
  </si>
  <si>
    <t>Jamar Armor</t>
  </si>
  <si>
    <t>lo**</t>
  </si>
  <si>
    <t>ENEMY301.LZS</t>
  </si>
  <si>
    <t>Soldier 1st</t>
  </si>
  <si>
    <t>lp**</t>
  </si>
  <si>
    <t>ENEMY302.LZS</t>
  </si>
  <si>
    <t>X-Cannon</t>
  </si>
  <si>
    <t>lq**</t>
  </si>
  <si>
    <t>ENEMY303.LZS</t>
  </si>
  <si>
    <t>lr**</t>
  </si>
  <si>
    <t>Looks like Support Materia or a Blueish Mover without eyes (Emerald's Eyes?)</t>
  </si>
  <si>
    <t>ENEMY304.LZS</t>
  </si>
  <si>
    <t>Maximum Kimaira</t>
  </si>
  <si>
    <t>ls**</t>
  </si>
  <si>
    <t>ENEMY305.LZS</t>
  </si>
  <si>
    <t>HOJO</t>
  </si>
  <si>
    <t>lt**</t>
  </si>
  <si>
    <t>ENEMY306.LZS</t>
  </si>
  <si>
    <t>HELETIC HOJO (head)</t>
  </si>
  <si>
    <t>lu**</t>
  </si>
  <si>
    <t>boogdown.avi</t>
  </si>
  <si>
    <t>ENEMY307.LZS</t>
  </si>
  <si>
    <t>Hojo's Left Arm</t>
  </si>
  <si>
    <t>lv**</t>
  </si>
  <si>
    <t>Going Down from The Planetarium</t>
  </si>
  <si>
    <t>ENEMY308.LZS</t>
  </si>
  <si>
    <t>BOOGDOWN.STR</t>
  </si>
  <si>
    <t>Hojo's Right Arm</t>
  </si>
  <si>
    <t>lw**</t>
  </si>
  <si>
    <t>3s - Elevator Down</t>
  </si>
  <si>
    <t>ENEMY309.LZS</t>
  </si>
  <si>
    <t>LIFEFORM HOJO</t>
  </si>
  <si>
    <t>lx**</t>
  </si>
  <si>
    <t>boogstar.avi</t>
  </si>
  <si>
    <t>ENEMY310.LZS</t>
  </si>
  <si>
    <t>Magic Pot</t>
  </si>
  <si>
    <t>ly**</t>
  </si>
  <si>
    <t>ENEMY311.LZS</t>
  </si>
  <si>
    <t>Planetarium video on "lifestream"</t>
  </si>
  <si>
    <t>BOOGSTAR.STR</t>
  </si>
  <si>
    <t>Christopher</t>
  </si>
  <si>
    <t>lz**</t>
  </si>
  <si>
    <t xml:space="preserve">1m 18s - shows during lifestream talk </t>
  </si>
  <si>
    <t>ENEMY312.LZS</t>
  </si>
  <si>
    <t>Gighee</t>
  </si>
  <si>
    <t>ac.tex</t>
  </si>
  <si>
    <t>ma**</t>
  </si>
  <si>
    <t>boogup.avi</t>
  </si>
  <si>
    <t>ENEMY313.LZS</t>
  </si>
  <si>
    <t>Interface rectangles A class 1</t>
  </si>
  <si>
    <t>Going up To The Planetarium</t>
  </si>
  <si>
    <t>King Behemoth</t>
  </si>
  <si>
    <t>mb**</t>
  </si>
  <si>
    <t>BOOGUP.STR</t>
  </si>
  <si>
    <t>3s - Elevator Up</t>
  </si>
  <si>
    <t>ENEMY314.LZS</t>
  </si>
  <si>
    <t>Allemagne</t>
  </si>
  <si>
    <t>mc**</t>
  </si>
  <si>
    <t>brgnvl.avi</t>
  </si>
  <si>
    <t>ENEMY315.LZS</t>
  </si>
  <si>
    <t>Dragon Zombie</t>
  </si>
  <si>
    <t>md**</t>
  </si>
  <si>
    <t>Rope Bridge Breaking (Nibelheim)</t>
  </si>
  <si>
    <t>ENEMY316.LZS</t>
  </si>
  <si>
    <t>BRGNVL.MOV</t>
  </si>
  <si>
    <t>Armored Golem</t>
  </si>
  <si>
    <t>13s - Brige snaping in clouds flashback?</t>
  </si>
  <si>
    <t>canon.avi</t>
  </si>
  <si>
    <t>me**</t>
  </si>
  <si>
    <t>ENEMY317.LZS</t>
  </si>
  <si>
    <t>Midgar mako Cannon Scene (part 1)</t>
  </si>
  <si>
    <t>Master Tonberri</t>
  </si>
  <si>
    <t>CANON.MOV</t>
  </si>
  <si>
    <t>mf**</t>
  </si>
  <si>
    <t>1m 17s - Cannon Warms up and Fires</t>
  </si>
  <si>
    <t>ENEMY318.LZS</t>
  </si>
  <si>
    <t>Pollensalta</t>
  </si>
  <si>
    <t>mg**</t>
  </si>
  <si>
    <t>canonh1p.avi</t>
  </si>
  <si>
    <t>ENEMY319.LZS</t>
  </si>
  <si>
    <t>Mover</t>
  </si>
  <si>
    <t>Midgar mako Cannon Scene (part 2)</t>
  </si>
  <si>
    <t>mh**</t>
  </si>
  <si>
    <t>CANONH1P.MOV</t>
  </si>
  <si>
    <t>ad.tex</t>
  </si>
  <si>
    <t>ENEMY320.LZS</t>
  </si>
  <si>
    <t xml:space="preserve">7s - the energy traveling </t>
  </si>
  <si>
    <t>IronMan</t>
  </si>
  <si>
    <t>Interface rectangles A class 2</t>
  </si>
  <si>
    <t>mi**</t>
  </si>
  <si>
    <t>canonh3f.avi</t>
  </si>
  <si>
    <t>ENEMY321.LZS</t>
  </si>
  <si>
    <t>Parasite</t>
  </si>
  <si>
    <t>mj**</t>
  </si>
  <si>
    <t>Midgar mako Cannon Scene (part 3)</t>
  </si>
  <si>
    <t>ENEMY322.LZS</t>
  </si>
  <si>
    <t>CANONH3F.MOV</t>
  </si>
  <si>
    <t>Dark Dragon</t>
  </si>
  <si>
    <t>mk**</t>
  </si>
  <si>
    <t>18s - Reno in his office</t>
  </si>
  <si>
    <t>ENEMY323.LZS</t>
  </si>
  <si>
    <t>Death Dealer</t>
  </si>
  <si>
    <t>canonht0.avi</t>
  </si>
  <si>
    <t>ml**</t>
  </si>
  <si>
    <t>ENEMY324.LZS</t>
  </si>
  <si>
    <t>JENOVA SYNTHESIS</t>
  </si>
  <si>
    <t>mm**</t>
  </si>
  <si>
    <t>ENEMY325.LZS</t>
  </si>
  <si>
    <t>ae.tex</t>
  </si>
  <si>
    <t>Midgar mako Cannon Scene (part 4)</t>
  </si>
  <si>
    <t>Bizzaro-Sephiroth</t>
  </si>
  <si>
    <t>Position icon 1 A class</t>
  </si>
  <si>
    <t>CANONHT0.MOV</t>
  </si>
  <si>
    <t>mn**</t>
  </si>
  <si>
    <t>14s - Diamond Fires</t>
  </si>
  <si>
    <t>Scene E4 (228)</t>
  </si>
  <si>
    <t>ENEMY326.LZS</t>
  </si>
  <si>
    <t>canonht1.avi</t>
  </si>
  <si>
    <t>mo**</t>
  </si>
  <si>
    <t>Scene E5 (229)</t>
  </si>
  <si>
    <t>Midgar mako Cannon Scene (part 5)</t>
  </si>
  <si>
    <t>ENEMY327.LZS</t>
  </si>
  <si>
    <t>CANONHT1.MOV</t>
  </si>
  <si>
    <t>25s - Dimaond Gets Hit</t>
  </si>
  <si>
    <t>mp**</t>
  </si>
  <si>
    <t>Scene E8 (232)</t>
  </si>
  <si>
    <t>ENEMY328.LZS</t>
  </si>
  <si>
    <t>canonht2.avi</t>
  </si>
  <si>
    <t>mq**</t>
  </si>
  <si>
    <t>Scene E9 (233)</t>
  </si>
  <si>
    <t>Midgar mako Cannon Scene (part 6)</t>
  </si>
  <si>
    <t>ENEMY329.LZS</t>
  </si>
  <si>
    <t>CANONHT2.MOV</t>
  </si>
  <si>
    <t>13s - Shot Traveling Toward N.crater</t>
  </si>
  <si>
    <t>mr**</t>
  </si>
  <si>
    <t>Scene EA (234)</t>
  </si>
  <si>
    <t>canonon.avi</t>
  </si>
  <si>
    <t>ENEMY330.LZS</t>
  </si>
  <si>
    <t>ms**</t>
  </si>
  <si>
    <t>Midgar mako Cannon Scene (part 7)</t>
  </si>
  <si>
    <t>Scene E6 (230)</t>
  </si>
  <si>
    <t>CANONON.MOV</t>
  </si>
  <si>
    <t>ENEMY331.LZS</t>
  </si>
  <si>
    <t>af.tex</t>
  </si>
  <si>
    <t>44s - Opening portion of the scene</t>
  </si>
  <si>
    <t>Safer-Sephirot</t>
  </si>
  <si>
    <t>mt**</t>
  </si>
  <si>
    <t>Position icon 2 A class</t>
  </si>
  <si>
    <t>car_1209.avi</t>
  </si>
  <si>
    <t>ENEMY332.LZS</t>
  </si>
  <si>
    <t>Sephiroth</t>
  </si>
  <si>
    <t>mu**</t>
  </si>
  <si>
    <t>Shin-Ra Car Comerical</t>
  </si>
  <si>
    <t>(Final)</t>
  </si>
  <si>
    <t>CAR_1209.STR</t>
  </si>
  <si>
    <t>ENEMY333.LZS</t>
  </si>
  <si>
    <t>1m 11s -  Not sure where in game</t>
  </si>
  <si>
    <t>ULTIMA WEAPON</t>
  </si>
  <si>
    <t>mv**</t>
  </si>
  <si>
    <t>ENEMY334.LZS</t>
  </si>
  <si>
    <t>c_scene1.avi</t>
  </si>
  <si>
    <t>N.crator Scene (part 1)</t>
  </si>
  <si>
    <t>C_SCENE1.MOV</t>
  </si>
  <si>
    <t>14s - First part of n.crater scene</t>
  </si>
  <si>
    <t>c_scene2.avi</t>
  </si>
  <si>
    <t>N.crator Scene (part 2)</t>
  </si>
  <si>
    <t>Ultima Weapon</t>
  </si>
  <si>
    <t>C_SCENE2.MOV</t>
  </si>
  <si>
    <t>mw**</t>
  </si>
  <si>
    <t>11s -  Second part of n.crater scene</t>
  </si>
  <si>
    <t>ENEMY335.LZS</t>
  </si>
  <si>
    <t>c_scene3.avi</t>
  </si>
  <si>
    <t>ag.tex</t>
  </si>
  <si>
    <t>mx**</t>
  </si>
  <si>
    <t>N.crator Scene (part 3)</t>
  </si>
  <si>
    <t>Fonts A class 1</t>
  </si>
  <si>
    <t>ENEMY336.LZS</t>
  </si>
  <si>
    <t>C_SCENE3.MOV</t>
  </si>
  <si>
    <t>13s - Third part of n.crater scene</t>
  </si>
  <si>
    <t>my**</t>
  </si>
  <si>
    <t>ENEMY337.LZS</t>
  </si>
  <si>
    <t>Cactuar</t>
  </si>
  <si>
    <t>mz**</t>
  </si>
  <si>
    <t>d_ropego.avi</t>
  </si>
  <si>
    <t>ENEMY338.LZS</t>
  </si>
  <si>
    <t>Goblin</t>
  </si>
  <si>
    <t>na**</t>
  </si>
  <si>
    <t>ENEMY339.LZS</t>
  </si>
  <si>
    <t>Rope Car Leaves For Gold Saucer</t>
  </si>
  <si>
    <t>Chocobo</t>
  </si>
  <si>
    <t>D_ROPEGO.MOV</t>
  </si>
  <si>
    <t>nb**</t>
  </si>
  <si>
    <t>9s</t>
  </si>
  <si>
    <t>ENEMY340.LZS</t>
  </si>
  <si>
    <t>nc**</t>
  </si>
  <si>
    <t>d_ropein.avi</t>
  </si>
  <si>
    <t>ENEMY341.LZS</t>
  </si>
  <si>
    <t>nd**</t>
  </si>
  <si>
    <t>Rope Car Comes Back From Gold Saucer</t>
  </si>
  <si>
    <t>ENEMY342.LZS</t>
  </si>
  <si>
    <t>D_ROPEIN.MOV</t>
  </si>
  <si>
    <t>10s</t>
  </si>
  <si>
    <t>ne**</t>
  </si>
  <si>
    <t>ENEMY343.LZS</t>
  </si>
  <si>
    <t>dumcrush.avi</t>
  </si>
  <si>
    <t>nf**</t>
  </si>
  <si>
    <t>ENEMY344.LZS</t>
  </si>
  <si>
    <t>Earthquake in Mideel</t>
  </si>
  <si>
    <t>ng**</t>
  </si>
  <si>
    <t>ENEMY345.LZS</t>
  </si>
  <si>
    <t>nh**</t>
  </si>
  <si>
    <t>ENEMY346.LZS</t>
  </si>
  <si>
    <t>ni**</t>
  </si>
  <si>
    <t>ENEMY347.LZS</t>
  </si>
  <si>
    <t>nj**</t>
  </si>
  <si>
    <t>ENEMY348.LZS</t>
  </si>
  <si>
    <t>DUMCRUSH.MOV</t>
  </si>
  <si>
    <t>nk**</t>
  </si>
  <si>
    <t>23s</t>
  </si>
  <si>
    <t>ENEMY349.LZS</t>
  </si>
  <si>
    <t>earithdd.avi</t>
  </si>
  <si>
    <t>nl**</t>
  </si>
  <si>
    <t>ENEMY350.LZS</t>
  </si>
  <si>
    <t>nm**</t>
  </si>
  <si>
    <t>ENEMY351.LZS</t>
  </si>
  <si>
    <t>nn**</t>
  </si>
  <si>
    <t>ENEMY352.LZS</t>
  </si>
  <si>
    <t>Aerith's Death</t>
  </si>
  <si>
    <t>EARITHDD.MOV</t>
  </si>
  <si>
    <t>no**</t>
  </si>
  <si>
    <t xml:space="preserve">1m 09s - </t>
  </si>
  <si>
    <t>ENEMY353.LZS</t>
  </si>
  <si>
    <t>Mystery Ninja(yuf)</t>
  </si>
  <si>
    <t>eidoslogo.avi</t>
  </si>
  <si>
    <t>ah.tex</t>
  </si>
  <si>
    <t>np**</t>
  </si>
  <si>
    <t>ENEMY354.LZS</t>
  </si>
  <si>
    <t>Fonts A class 2</t>
  </si>
  <si>
    <t>Yuffie (as Enemy)</t>
  </si>
  <si>
    <t>Eidos Logo</t>
  </si>
  <si>
    <t>nq**</t>
  </si>
  <si>
    <t>N/A</t>
  </si>
  <si>
    <t>ENEMY355.LZS</t>
  </si>
  <si>
    <t>nr**</t>
  </si>
  <si>
    <t>ENEMY356.LZS</t>
  </si>
  <si>
    <t>ns**</t>
  </si>
  <si>
    <t>ENEMY357.LZS</t>
  </si>
  <si>
    <t>nt**</t>
  </si>
  <si>
    <t>ENEMY358.LZS</t>
  </si>
  <si>
    <t>nu**</t>
  </si>
  <si>
    <t>ENEMY359.LZS</t>
  </si>
  <si>
    <t>Corneo's Lacky</t>
  </si>
  <si>
    <t>nv**</t>
  </si>
  <si>
    <t>ENEMY360.LZS</t>
  </si>
  <si>
    <t>ending1.avi</t>
  </si>
  <si>
    <t>nw**</t>
  </si>
  <si>
    <t>Cloud Decends for final battle</t>
  </si>
  <si>
    <t>ENEMY361.LZS</t>
  </si>
  <si>
    <t>ENDING01.MOV</t>
  </si>
  <si>
    <t>53s</t>
  </si>
  <si>
    <t>nx**</t>
  </si>
  <si>
    <t>ENEMY362.LZS</t>
  </si>
  <si>
    <t>ending2.avi</t>
  </si>
  <si>
    <t>Bad Rap Smpl.</t>
  </si>
  <si>
    <t>After final Battle.</t>
  </si>
  <si>
    <t>ny**</t>
  </si>
  <si>
    <t>ENDING2E.MOV</t>
  </si>
  <si>
    <t>ENEMY363.LZS</t>
  </si>
  <si>
    <t>8m 52s</t>
  </si>
  <si>
    <t>Poodler Smpl.</t>
  </si>
  <si>
    <t>nz**</t>
  </si>
  <si>
    <t>ending3.avi</t>
  </si>
  <si>
    <t>ENEMY364.LZS</t>
  </si>
  <si>
    <t>video after credits</t>
  </si>
  <si>
    <t>Cactuer</t>
  </si>
  <si>
    <t>ENDING3E.MOV</t>
  </si>
  <si>
    <t>ai.tex</t>
  </si>
  <si>
    <t>oa**</t>
  </si>
  <si>
    <t>1m 28s</t>
  </si>
  <si>
    <t>ENEMY365.LZS</t>
  </si>
  <si>
    <t>*A*</t>
  </si>
  <si>
    <t>Explode.avi</t>
  </si>
  <si>
    <t>Shinra Trooper</t>
  </si>
  <si>
    <t>ob**</t>
  </si>
  <si>
    <t>prelude banner explods</t>
  </si>
  <si>
    <t>02s - is this used?</t>
  </si>
  <si>
    <t>Not used</t>
  </si>
  <si>
    <t>ENEMY366.LZS</t>
  </si>
  <si>
    <t>fallpl.avi</t>
  </si>
  <si>
    <t>oc**</t>
  </si>
  <si>
    <t>Sector 7 Plate Falling</t>
  </si>
  <si>
    <t>ENEMY367.LZS</t>
  </si>
  <si>
    <t>FALLPL.MOV</t>
  </si>
  <si>
    <t>53s - used as background for models</t>
  </si>
  <si>
    <t>od**</t>
  </si>
  <si>
    <t>fcar.avi</t>
  </si>
  <si>
    <t>ENEMY368.LZS</t>
  </si>
  <si>
    <t>Shin-Ra Motor Mobiles</t>
  </si>
  <si>
    <t>oe**</t>
  </si>
  <si>
    <t>FCAR.STR</t>
  </si>
  <si>
    <t>1m 11s - same as car_1209</t>
  </si>
  <si>
    <t>ENEMY369.LZS</t>
  </si>
  <si>
    <t>of**</t>
  </si>
  <si>
    <t>feelwin0.avi</t>
  </si>
  <si>
    <t>FAN2.SND</t>
  </si>
  <si>
    <t>D.Weapon Heading Towads midgar (Part1)</t>
  </si>
  <si>
    <t>aj.tex</t>
  </si>
  <si>
    <t>FEELWIN0.MOV</t>
  </si>
  <si>
    <t>GALL.LZS</t>
  </si>
  <si>
    <t>20s</t>
  </si>
  <si>
    <t>Gallian Beast</t>
  </si>
  <si>
    <t>Prize icons A class</t>
  </si>
  <si>
    <t>sj**</t>
  </si>
  <si>
    <t>feelwin1.avi</t>
  </si>
  <si>
    <t>HELLMASK.LZS</t>
  </si>
  <si>
    <t>Hellmasker</t>
  </si>
  <si>
    <t>D.Weapon Heading Towads midgar (Part2)</t>
  </si>
  <si>
    <t>sl**</t>
  </si>
  <si>
    <t>FEELWIN1.MOV</t>
  </si>
  <si>
    <t>HICLOUD.LZS</t>
  </si>
  <si>
    <t>11s</t>
  </si>
  <si>
    <t>si**</t>
  </si>
  <si>
    <t>Cloud (hi res)? Offset error</t>
  </si>
  <si>
    <t>fship2.avi</t>
  </si>
  <si>
    <t>KETCY.LZS</t>
  </si>
  <si>
    <t>Cait Sith</t>
  </si>
  <si>
    <t>ry**</t>
  </si>
  <si>
    <t>Clouds From Above (Flying?)</t>
  </si>
  <si>
    <t>FSHIP2.BIN??</t>
  </si>
  <si>
    <t>OVER2.SND</t>
  </si>
  <si>
    <t>ak.tex</t>
  </si>
  <si>
    <t>RED13.LZS</t>
  </si>
  <si>
    <t>Red XIII</t>
  </si>
  <si>
    <t>rw**</t>
  </si>
  <si>
    <t>Background B class</t>
  </si>
  <si>
    <t>SEFFECT.LZS</t>
  </si>
  <si>
    <t>Character under Toad Status</t>
  </si>
  <si>
    <t>rs**</t>
  </si>
  <si>
    <t>Someone confirm?</t>
  </si>
  <si>
    <t>8s</t>
  </si>
  <si>
    <t>SEFIROS.LZS</t>
  </si>
  <si>
    <t>Sephiroth (Nib)</t>
  </si>
  <si>
    <t>sa**</t>
  </si>
  <si>
    <t>Sephiroth (Nibelheim)</t>
  </si>
  <si>
    <t>funeral.avi</t>
  </si>
  <si>
    <t>TIFA.LZS</t>
  </si>
  <si>
    <t>Tifa</t>
  </si>
  <si>
    <t>ru**</t>
  </si>
  <si>
    <t>Aerith's Funeral</t>
  </si>
  <si>
    <t>VINSENT2.LZS</t>
  </si>
  <si>
    <t>FUNERAL.STR</t>
  </si>
  <si>
    <t>Vincent</t>
  </si>
  <si>
    <t>35s</t>
  </si>
  <si>
    <t>sg**</t>
  </si>
  <si>
    <t>VINSENT3.LZS</t>
  </si>
  <si>
    <t>gelnica.avi</t>
  </si>
  <si>
    <t>sh**</t>
  </si>
  <si>
    <t>VINSENT.LZS</t>
  </si>
  <si>
    <t>Gelnica Taking Off From Junion</t>
  </si>
  <si>
    <t>GELNICA.MOV</t>
  </si>
  <si>
    <t>sf**</t>
  </si>
  <si>
    <t>YUFI.LZS</t>
  </si>
  <si>
    <t>Yuffie</t>
  </si>
  <si>
    <t>al.tex</t>
  </si>
  <si>
    <t>gold1.avi</t>
  </si>
  <si>
    <t>rx**</t>
  </si>
  <si>
    <t>Background part B class</t>
  </si>
  <si>
    <t>Video Of Gold Saucer First Rope Ride</t>
  </si>
  <si>
    <t>GOLD1.MOV</t>
  </si>
  <si>
    <t>./FIELD</t>
  </si>
  <si>
    <t>45s</t>
  </si>
  <si>
    <t>4SBWY_1.BSX</t>
  </si>
  <si>
    <t>gold2.avi</t>
  </si>
  <si>
    <t>flevel.lgp &gt; sbwy4_1</t>
  </si>
  <si>
    <t>more gold saucer (date scene?)</t>
  </si>
  <si>
    <t>4SBWY_1.DAT</t>
  </si>
  <si>
    <t>GOLD2.MOV</t>
  </si>
  <si>
    <t>13s - fly throu of "coster"</t>
  </si>
  <si>
    <t>gold3.avi</t>
  </si>
  <si>
    <t>4SBWY_1.MIM</t>
  </si>
  <si>
    <t>Gold Saucer (date scene?)</t>
  </si>
  <si>
    <t>GOLD3.MOV</t>
  </si>
  <si>
    <t>4SBWY_22.BSX</t>
  </si>
  <si>
    <t>11s - Chocobo race from afar.</t>
  </si>
  <si>
    <t>flevel.lgp &gt; sbwy4_22</t>
  </si>
  <si>
    <t>gold4.avi</t>
  </si>
  <si>
    <t>4SBWY_22.DAT</t>
  </si>
  <si>
    <t>am.tex</t>
  </si>
  <si>
    <t>Gold Saucer (date Scene?)</t>
  </si>
  <si>
    <t>GOLD4.MOV</t>
  </si>
  <si>
    <t>4SBWY_22.MIM</t>
  </si>
  <si>
    <t>Interface rectangles B class 1</t>
  </si>
  <si>
    <t>31s - Fly around dio statue</t>
  </si>
  <si>
    <t>gold5.avi</t>
  </si>
  <si>
    <t>4SBWY_2.BSX</t>
  </si>
  <si>
    <t>flevel.lgp &gt; sbwy4_2</t>
  </si>
  <si>
    <t>Gold Saucer First time to Haunted area</t>
  </si>
  <si>
    <t>4SBWY_2.DAT</t>
  </si>
  <si>
    <t>GOLD5.STR</t>
  </si>
  <si>
    <t>4SBWY_2.MIM</t>
  </si>
  <si>
    <t>gold6.avi</t>
  </si>
  <si>
    <t>4SBWY_3.BSX</t>
  </si>
  <si>
    <t>flevel.lgp &gt; sbwy4_3</t>
  </si>
  <si>
    <t>4SBWY_3.DAT</t>
  </si>
  <si>
    <t>GOLD6.MOV</t>
  </si>
  <si>
    <t>09s</t>
  </si>
  <si>
    <t>4SBWY_3.MIM</t>
  </si>
  <si>
    <t>gold7.avi</t>
  </si>
  <si>
    <t>4SBWY_4.BSX</t>
  </si>
  <si>
    <t>flevel.lgp &gt; sbwy4_4</t>
  </si>
  <si>
    <t>Fire Works @ Gold Saucer (part 1)</t>
  </si>
  <si>
    <t>an.tex</t>
  </si>
  <si>
    <t>GOLD7.MOV</t>
  </si>
  <si>
    <t>4SBWY_4.DAT</t>
  </si>
  <si>
    <t>17s</t>
  </si>
  <si>
    <t>Interface rectangles B class 2</t>
  </si>
  <si>
    <t>4SBWY_4.MIM</t>
  </si>
  <si>
    <t>gold7_2.avi</t>
  </si>
  <si>
    <t>4SBWY_5.BSX</t>
  </si>
  <si>
    <t>Fire Works @ Gold Saucer (part 2)</t>
  </si>
  <si>
    <t>flevel.lgp &gt; sbwy4_5</t>
  </si>
  <si>
    <t>GOLD7_2.MOV</t>
  </si>
  <si>
    <t>4SBWY_5.DAT</t>
  </si>
  <si>
    <t>greatpit.avi</t>
  </si>
  <si>
    <t>4SBWY_5.MIM</t>
  </si>
  <si>
    <t>4SBWY_6.BSX</t>
  </si>
  <si>
    <t>North Crator as you aproch for reunion.</t>
  </si>
  <si>
    <t>flevel.lgp &gt; sbwy4_6</t>
  </si>
  <si>
    <t>GREATPIT.MOV</t>
  </si>
  <si>
    <t>4SBWY_6.DAT</t>
  </si>
  <si>
    <t>33s</t>
  </si>
  <si>
    <t>hiwind0.avi</t>
  </si>
  <si>
    <t>4SBWY_6.MIM</t>
  </si>
  <si>
    <t>Climbing up to junion you can see the HWind</t>
  </si>
  <si>
    <t>5MIN1_1.BSX</t>
  </si>
  <si>
    <t>HIWIND0.MOV</t>
  </si>
  <si>
    <t>flevel.lgp &gt; min51_1</t>
  </si>
  <si>
    <t>18s</t>
  </si>
  <si>
    <t>ao.tex</t>
  </si>
  <si>
    <t>5MIN1_1.DAT</t>
  </si>
  <si>
    <t>hwindfly.avi</t>
  </si>
  <si>
    <t>Position icon 1 B class</t>
  </si>
  <si>
    <t>5MIN1_1.MIM</t>
  </si>
  <si>
    <t>Highwind Flys away from Junion</t>
  </si>
  <si>
    <t>HWINDFLY.MOV</t>
  </si>
  <si>
    <t>5MIN1_2.BSX</t>
  </si>
  <si>
    <t>50s</t>
  </si>
  <si>
    <t>flevel.lgp &gt; min51_2</t>
  </si>
  <si>
    <t>5MIN1_2.DAT</t>
  </si>
  <si>
    <t>hwindjet.avi</t>
  </si>
  <si>
    <t>5MIN1_2.MIM</t>
  </si>
  <si>
    <t>Highwind Turns In to jet</t>
  </si>
  <si>
    <t>HWINDJET.MOV</t>
  </si>
  <si>
    <t>5TOWER.BSX</t>
  </si>
  <si>
    <t>19s</t>
  </si>
  <si>
    <t>flevel.lgp &gt; tower5</t>
  </si>
  <si>
    <t>5TOWER.DAT</t>
  </si>
  <si>
    <t>jairofal.avi</t>
  </si>
  <si>
    <t>5TOWER.MIM</t>
  </si>
  <si>
    <t>The Tiny Bronco Crashes</t>
  </si>
  <si>
    <t>JAIROFAL.MOV</t>
  </si>
  <si>
    <t>7MIN1.BSX</t>
  </si>
  <si>
    <t>15s</t>
  </si>
  <si>
    <t>flevel.lgp &gt; min71</t>
  </si>
  <si>
    <t>7MIN1.DAT</t>
  </si>
  <si>
    <t>ap.tex</t>
  </si>
  <si>
    <t>jairofly.avi</t>
  </si>
  <si>
    <t>7MIN1.MIM</t>
  </si>
  <si>
    <t>Position icon 2 B class</t>
  </si>
  <si>
    <t>Tiny Bronco Take Off</t>
  </si>
  <si>
    <t>JAIROFLY.MOV</t>
  </si>
  <si>
    <t>ANCNT1.BSX</t>
  </si>
  <si>
    <t>42s</t>
  </si>
  <si>
    <t>flevel.lgp &gt; ancnt1</t>
  </si>
  <si>
    <t>ANCNT1.DAT</t>
  </si>
  <si>
    <t>jenova_e.avi</t>
  </si>
  <si>
    <t>ANCNT1.MIM</t>
  </si>
  <si>
    <t>Nibelheim reactor Sephiroth takes Jenova</t>
  </si>
  <si>
    <t>JENOVA_E.MOV</t>
  </si>
  <si>
    <t>ANCNT2.BSX</t>
  </si>
  <si>
    <t>flevel.lgp &gt; ancnt2</t>
  </si>
  <si>
    <t>junair_d.avi</t>
  </si>
  <si>
    <t>ANCNT2.DAT</t>
  </si>
  <si>
    <t>ANCNT2.MIM</t>
  </si>
  <si>
    <t>junion airport elevator down</t>
  </si>
  <si>
    <t>JUNAIRD.STR</t>
  </si>
  <si>
    <t>04s</t>
  </si>
  <si>
    <t>ANCNT3.BSX</t>
  </si>
  <si>
    <t>flevel.lgp &gt; ancnt3</t>
  </si>
  <si>
    <t>junair_u.avi</t>
  </si>
  <si>
    <t>ANCNT3.DAT</t>
  </si>
  <si>
    <t>aq.tex</t>
  </si>
  <si>
    <t>ANCNT3.MIM</t>
  </si>
  <si>
    <t>junion airport elevator up</t>
  </si>
  <si>
    <t>Fonts B class 1</t>
  </si>
  <si>
    <t>JUNAIRU.STR</t>
  </si>
  <si>
    <t>ANCNT4.BSX</t>
  </si>
  <si>
    <t>flevel.lgp &gt; ancnt4</t>
  </si>
  <si>
    <t>junelego.avi</t>
  </si>
  <si>
    <t>ANCNT4.DAT</t>
  </si>
  <si>
    <t>ANCNT4.MIM</t>
  </si>
  <si>
    <t xml:space="preserve">junion elevator down </t>
  </si>
  <si>
    <t>JUNELEGO.STR</t>
  </si>
  <si>
    <t>06s</t>
  </si>
  <si>
    <t>ANFRST_1.BSX</t>
  </si>
  <si>
    <t>flevel.lgp &gt; anfrst_1</t>
  </si>
  <si>
    <t>junelein.avi</t>
  </si>
  <si>
    <t>ANFRST_1.DAT</t>
  </si>
  <si>
    <t>junion elevator up</t>
  </si>
  <si>
    <t>ANFRST_1.MIM</t>
  </si>
  <si>
    <t>JUNELEIN.STR</t>
  </si>
  <si>
    <t>ANFRST_2.BSX</t>
  </si>
  <si>
    <t>flevel.lgp &gt; anfrst_2</t>
  </si>
  <si>
    <t>junin_go.avi</t>
  </si>
  <si>
    <t>ANFRST_2.DAT</t>
  </si>
  <si>
    <t>junion lower elevator up</t>
  </si>
  <si>
    <t>ANFRST_2.MIM</t>
  </si>
  <si>
    <t>JUNIN_GO.STR</t>
  </si>
  <si>
    <t>07s</t>
  </si>
  <si>
    <t>ANFRST_3.BSX</t>
  </si>
  <si>
    <t>flevel.lgp &gt; anfrst_3</t>
  </si>
  <si>
    <t>junin_in.avi</t>
  </si>
  <si>
    <t>ANFRST_3.DAT</t>
  </si>
  <si>
    <t>junion lower elevaor down</t>
  </si>
  <si>
    <t>ANFRST_3.MIM</t>
  </si>
  <si>
    <t>JUNIN_IN.STR</t>
  </si>
  <si>
    <t>ANFRST_4.BSX</t>
  </si>
  <si>
    <t>flevel.lgp &gt; anfrst_4</t>
  </si>
  <si>
    <t>junon.avi</t>
  </si>
  <si>
    <t>ANFRST_4.DAT</t>
  </si>
  <si>
    <t>ar.tex</t>
  </si>
  <si>
    <t>junion 1st time seeing gun</t>
  </si>
  <si>
    <t>ANFRST_4.MIM</t>
  </si>
  <si>
    <t>JUNON.STR</t>
  </si>
  <si>
    <t>Fonts B class 2</t>
  </si>
  <si>
    <t>32s</t>
  </si>
  <si>
    <t>ANFRST_5.BSX</t>
  </si>
  <si>
    <t>junsea.avi</t>
  </si>
  <si>
    <t>flevel.lgp &gt; anfrst_5</t>
  </si>
  <si>
    <t>ANFRST_5.DAT</t>
  </si>
  <si>
    <t>the sea view from junion</t>
  </si>
  <si>
    <t>JUNSEA.STR</t>
  </si>
  <si>
    <t>ANFRST_5.MIM</t>
  </si>
  <si>
    <t>ASTAGE_A.BSX</t>
  </si>
  <si>
    <t>last4_2.avi</t>
  </si>
  <si>
    <t>flevel.lgp &gt; astage_a</t>
  </si>
  <si>
    <t>ASTAGE_A.DAT</t>
  </si>
  <si>
    <t>enegry stream (part of last 4_4?)</t>
  </si>
  <si>
    <t>ASTAGE_A.MIM</t>
  </si>
  <si>
    <t>LAST4_2.BIN??</t>
  </si>
  <si>
    <t>&lt;1s</t>
  </si>
  <si>
    <t>last4_3.avi</t>
  </si>
  <si>
    <t>ASTAGE_B.BSX</t>
  </si>
  <si>
    <t>flevel.lgp &gt; astage_b</t>
  </si>
  <si>
    <t>ASTAGE_B.DAT</t>
  </si>
  <si>
    <t>LAST4_3.BIN??</t>
  </si>
  <si>
    <t>ASTAGE_B.MIM</t>
  </si>
  <si>
    <t>BALLET.BCX</t>
  </si>
  <si>
    <t>last4_4.avi</t>
  </si>
  <si>
    <t>flevel.lgp &gt; b_eye2.tex | b_eye2r.tex</t>
  </si>
  <si>
    <t>at the core of the planet after jenoia fight</t>
  </si>
  <si>
    <t>LAST4_4.MOV</t>
  </si>
  <si>
    <t>30s</t>
  </si>
  <si>
    <t>lastflor.avi</t>
  </si>
  <si>
    <t>background for right before bazaro fight</t>
  </si>
  <si>
    <t>LASTFLOR.MOV</t>
  </si>
  <si>
    <t>08s</t>
  </si>
  <si>
    <t>as.tex</t>
  </si>
  <si>
    <t>*B*</t>
  </si>
  <si>
    <t>lastmap.avi</t>
  </si>
  <si>
    <t>towards the end of game around bazaro fight</t>
  </si>
  <si>
    <t>LASTMAP.BIN</t>
  </si>
  <si>
    <t>03s</t>
  </si>
  <si>
    <t>BIGWHEEL.BSX</t>
  </si>
  <si>
    <t>loslake1.avi</t>
  </si>
  <si>
    <t>flevel.lgp &gt; bigwheel</t>
  </si>
  <si>
    <t>BIGWHEEL.DAT</t>
  </si>
  <si>
    <t>Anicent City Music Player</t>
  </si>
  <si>
    <t>LOSLAKE1.MOV</t>
  </si>
  <si>
    <t>BIGWHEEL.MIM</t>
  </si>
  <si>
    <t>lslmv.avi</t>
  </si>
  <si>
    <t>BLACKBG1.BSX</t>
  </si>
  <si>
    <t>flevel.lgp &gt; blackbg1</t>
  </si>
  <si>
    <t xml:space="preserve">Anicent City Water Fall </t>
  </si>
  <si>
    <t>BLACKBG1.DAT</t>
  </si>
  <si>
    <t>LSLMV.STR</t>
  </si>
  <si>
    <t>at.tex</t>
  </si>
  <si>
    <t>BLACKBG1.MIM</t>
  </si>
  <si>
    <t>Prize icons B class</t>
  </si>
  <si>
    <t>BLACKBG2.BSX</t>
  </si>
  <si>
    <t>mainplr.avi</t>
  </si>
  <si>
    <t>flevel.lgp &gt; blackbg2</t>
  </si>
  <si>
    <t>BLACKBG2.DAT</t>
  </si>
  <si>
    <t>Train Around Midgar piller (1st ride?)</t>
  </si>
  <si>
    <t>MAINPLR.MOV</t>
  </si>
  <si>
    <t>BLACKBG2.MIM</t>
  </si>
  <si>
    <t>13s</t>
  </si>
  <si>
    <t>meteofix.avi</t>
  </si>
  <si>
    <t>BLACKBG3.BSX</t>
  </si>
  <si>
    <t>flevel.lgp &gt; blackbg3</t>
  </si>
  <si>
    <t>BLACKBG3.DAT</t>
  </si>
  <si>
    <t>The metor's Coming...</t>
  </si>
  <si>
    <t>METEOFIX.MOV</t>
  </si>
  <si>
    <t>24s</t>
  </si>
  <si>
    <t>BLACKBG3.MIM</t>
  </si>
  <si>
    <t>meteosky.avi</t>
  </si>
  <si>
    <t>BLACKBG4.BSX</t>
  </si>
  <si>
    <t>flevel.lgp &gt; blackbg4</t>
  </si>
  <si>
    <t xml:space="preserve">prison windows opens metor in sky </t>
  </si>
  <si>
    <t>BLACKBG4.DAT</t>
  </si>
  <si>
    <t>METEOSKY.MOV</t>
  </si>
  <si>
    <t>au.tex</t>
  </si>
  <si>
    <t>Background C class</t>
  </si>
  <si>
    <t>BLACKBG4.MIM</t>
  </si>
  <si>
    <t>mk8.avi</t>
  </si>
  <si>
    <t>BLACKBG5.BSX</t>
  </si>
  <si>
    <t>First reactor explodes</t>
  </si>
  <si>
    <t>MK8.STR</t>
  </si>
  <si>
    <t>flevel.lgp &gt; blackbg5</t>
  </si>
  <si>
    <t>03s - Models on top of...</t>
  </si>
  <si>
    <t>BLACKBG5.DAT</t>
  </si>
  <si>
    <t>mkup.avi</t>
  </si>
  <si>
    <t>BLACKBG5.MIM</t>
  </si>
  <si>
    <t>Fly in to see 1st reactor</t>
  </si>
  <si>
    <t>MKUP.STR</t>
  </si>
  <si>
    <t>BLACKBG6.BSX</t>
  </si>
  <si>
    <t>monitor.avi</t>
  </si>
  <si>
    <t>flevel.lgp &gt; blackbg6</t>
  </si>
  <si>
    <t>BLACKBG6.DAT</t>
  </si>
  <si>
    <t>guard sleeping in shinra tower</t>
  </si>
  <si>
    <t>MONITOR.STR</t>
  </si>
  <si>
    <t>moviecam.lgp</t>
  </si>
  <si>
    <t>BLACKBG6.MIM</t>
  </si>
  <si>
    <t>av.tex</t>
  </si>
  <si>
    <t>Background part C class</t>
  </si>
  <si>
    <t>LGP FILE&gt;&gt;&gt;&gt;&gt;&gt;</t>
  </si>
  <si>
    <t>NULL1MIN.DAT ??</t>
  </si>
  <si>
    <t>also found in /data/CD (see lgp sheet)</t>
  </si>
  <si>
    <t>mtcrl.avi</t>
  </si>
  <si>
    <t>Fall From The Train Tracks</t>
  </si>
  <si>
    <t>MTCRL.STR</t>
  </si>
  <si>
    <t>BLACKBG7.BSX</t>
  </si>
  <si>
    <t>mtnvl.avi</t>
  </si>
  <si>
    <t>flevel.lgp &gt; blackbg7</t>
  </si>
  <si>
    <t>BLACKBG7.DAT</t>
  </si>
  <si>
    <t>Pan around Nibelheim Reactor</t>
  </si>
  <si>
    <t>MTNVL.STR</t>
  </si>
  <si>
    <t>BLACKBG7.MIM</t>
  </si>
  <si>
    <t>mtnvl2.avi</t>
  </si>
  <si>
    <t>aw.tex</t>
  </si>
  <si>
    <t>Pan around Nibelheim Reactor #2</t>
  </si>
  <si>
    <t>BLACKBG8.BSX</t>
  </si>
  <si>
    <t>MTNVL2.STR</t>
  </si>
  <si>
    <t>Interface rectangles C class 1</t>
  </si>
  <si>
    <t>flevel.lgp &gt; blackbg8</t>
  </si>
  <si>
    <t>BLACKBG8.DAT</t>
  </si>
  <si>
    <t>nivlsfs.avi</t>
  </si>
  <si>
    <t>Sephiroth Walking Throu The Fire (Nibelheim)</t>
  </si>
  <si>
    <t>NIVLSFS.MOV</t>
  </si>
  <si>
    <t>BLACKBG8.MIM</t>
  </si>
  <si>
    <t>northmk.avi</t>
  </si>
  <si>
    <t>BLACKBG9.BSX</t>
  </si>
  <si>
    <t>Reactor Exploding</t>
  </si>
  <si>
    <t>NORTHMK.MOV</t>
  </si>
  <si>
    <t>flevel.lgp &gt; blackbg9</t>
  </si>
  <si>
    <t>BLACKBG9.DAT</t>
  </si>
  <si>
    <t>nrcrl.avi</t>
  </si>
  <si>
    <t>Train Exploding In N.Corel</t>
  </si>
  <si>
    <t>NRCRL.MOV</t>
  </si>
  <si>
    <t>BLACKBG9.MIM</t>
  </si>
  <si>
    <t>ax.tex</t>
  </si>
  <si>
    <t>Interface rectangles C class 2</t>
  </si>
  <si>
    <t>nrcrl_b.avi</t>
  </si>
  <si>
    <t>BLACKBGA.BSX</t>
  </si>
  <si>
    <t>???</t>
  </si>
  <si>
    <t>Train Stoping In N.Corel</t>
  </si>
  <si>
    <t>NRCRLB.MOV</t>
  </si>
  <si>
    <t>BLACKBGA.DAT</t>
  </si>
  <si>
    <t>BLACKBGA.MIM</t>
  </si>
  <si>
    <t>BLACKBGB.BSX</t>
  </si>
  <si>
    <t>flevel.lgp &gt; blackbgb</t>
  </si>
  <si>
    <t>BLACKBGB.DAT</t>
  </si>
  <si>
    <t>BLACKBGB.MIM</t>
  </si>
  <si>
    <t>BLACKBGC.BSX</t>
  </si>
  <si>
    <t>flevel.lgp &gt; blackbgc</t>
  </si>
  <si>
    <t>BLACKBGC.DAT</t>
  </si>
  <si>
    <t>nvlmk.avi</t>
  </si>
  <si>
    <t>ay.tex</t>
  </si>
  <si>
    <t>BLACKBGC.MIM</t>
  </si>
  <si>
    <t>Position icon 1 C class</t>
  </si>
  <si>
    <t>Nibelheim reactor pod cracks</t>
  </si>
  <si>
    <t>NVLMK.MOV</t>
  </si>
  <si>
    <t>BLACKBGD.BSX</t>
  </si>
  <si>
    <t>21s</t>
  </si>
  <si>
    <t>ontrain.avi</t>
  </si>
  <si>
    <t>flevel.lgp &gt; blackbgd</t>
  </si>
  <si>
    <t>Cloud Jumps on train after first mission</t>
  </si>
  <si>
    <t>BLACKBGD.DAT</t>
  </si>
  <si>
    <t>ONTRAIN.MOV</t>
  </si>
  <si>
    <t>12s</t>
  </si>
  <si>
    <t>BLACKBGD.MIM</t>
  </si>
  <si>
    <t>opening.avi</t>
  </si>
  <si>
    <t>BLACKBGE.BSX</t>
  </si>
  <si>
    <t>Opening Video Of The Game</t>
  </si>
  <si>
    <t>OPENINGE.MOV</t>
  </si>
  <si>
    <t>1m 59s</t>
  </si>
  <si>
    <t>flevel.lgp &gt; blackbge</t>
  </si>
  <si>
    <t>parashot.avi</t>
  </si>
  <si>
    <t>BLACKBGE.DAT</t>
  </si>
  <si>
    <t>Highwind Fling over Midgar (drop scene)</t>
  </si>
  <si>
    <t>az.tex</t>
  </si>
  <si>
    <t>PARASHOT.MOV</t>
  </si>
  <si>
    <t>BLACKBGE.MIM</t>
  </si>
  <si>
    <t>Position icon 2 C class</t>
  </si>
  <si>
    <t>phoenix.avi</t>
  </si>
  <si>
    <t>BLACKBGF.BSX</t>
  </si>
  <si>
    <t>Phoenix Dies On Fort Condor</t>
  </si>
  <si>
    <t>PHOENIX.MOV</t>
  </si>
  <si>
    <t>BLACKBGF.DAT</t>
  </si>
  <si>
    <t>26s</t>
  </si>
  <si>
    <t>BLACKBGF.MIM</t>
  </si>
  <si>
    <t>plrexp.avi</t>
  </si>
  <si>
    <t>BLACKBGG.BSX</t>
  </si>
  <si>
    <t>Panning UP for Sector 7 piller crash down</t>
  </si>
  <si>
    <t>PLREXP.MOV</t>
  </si>
  <si>
    <t>BLACKBGG.DAT</t>
  </si>
  <si>
    <t>rckethit0.avi</t>
  </si>
  <si>
    <t>BLACKBGG.MIM</t>
  </si>
  <si>
    <t>escape pod leaving rocket</t>
  </si>
  <si>
    <t>BLACKBGH.BSX</t>
  </si>
  <si>
    <t>RCKTFAIL.MOV</t>
  </si>
  <si>
    <t>14s</t>
  </si>
  <si>
    <t>flevel.lgp &gt; blackbgh</t>
  </si>
  <si>
    <t>BLACKBGH.DAT</t>
  </si>
  <si>
    <t>rckethit1.avi</t>
  </si>
  <si>
    <t>ba.tex</t>
  </si>
  <si>
    <t>BLACKBGH.MIM</t>
  </si>
  <si>
    <t>Fonts C class 1</t>
  </si>
  <si>
    <t xml:space="preserve">escape pod travel back down to planet </t>
  </si>
  <si>
    <t>RCKTHIT.MOV</t>
  </si>
  <si>
    <t>BLACKBGI.BSX</t>
  </si>
  <si>
    <t>26s - Rocket hits metor</t>
  </si>
  <si>
    <t>flevel.lgp &gt; blackbgi</t>
  </si>
  <si>
    <t>BLACKBGI.DAT</t>
  </si>
  <si>
    <t>rcketoff.avi</t>
  </si>
  <si>
    <t>BLACKBGI.MIM</t>
  </si>
  <si>
    <t>Rocket Taking Off...</t>
  </si>
  <si>
    <t>RCKTHIT2.MOV</t>
  </si>
  <si>
    <t>BLACKBGJ.BSX</t>
  </si>
  <si>
    <t>54s</t>
  </si>
  <si>
    <t>flevel.lgp &gt; blackbgj</t>
  </si>
  <si>
    <t>BLACKBGJ.DAT</t>
  </si>
  <si>
    <t>rcktfail.avi</t>
  </si>
  <si>
    <t>BLACKBGJ.MIM</t>
  </si>
  <si>
    <t>Rocket Failing Take off</t>
  </si>
  <si>
    <t>RCKTOFF.MOV</t>
  </si>
  <si>
    <t>BLACKBGK.BSX</t>
  </si>
  <si>
    <t>34s</t>
  </si>
  <si>
    <t>flevel.lgp &gt; blackbgk</t>
  </si>
  <si>
    <t>setogake.avi</t>
  </si>
  <si>
    <t>BLACKBGK.DAT</t>
  </si>
  <si>
    <t xml:space="preserve">Seto Pan Around </t>
  </si>
  <si>
    <t>BLACKBGK.MIM</t>
  </si>
  <si>
    <t>SETO.STR</t>
  </si>
  <si>
    <t>BLIN1.BSX</t>
  </si>
  <si>
    <t>flevel.lgp &gt; blin1</t>
  </si>
  <si>
    <t>BLIN1.DAT</t>
  </si>
  <si>
    <t>smk.avi</t>
  </si>
  <si>
    <t>BLIN1.MIM</t>
  </si>
  <si>
    <t>Walkway breaking, setting up southmk.avi</t>
  </si>
  <si>
    <t>BLIN2.BSX</t>
  </si>
  <si>
    <t>flevel.lgp &gt; blin2</t>
  </si>
  <si>
    <t>bb.tex</t>
  </si>
  <si>
    <t>BLIN2.DAT</t>
  </si>
  <si>
    <t>Fonts C class 2</t>
  </si>
  <si>
    <t>BLIN2.MIM</t>
  </si>
  <si>
    <t>BLIN2_I.BSX</t>
  </si>
  <si>
    <t>flevel.lgp &gt; blin2_i</t>
  </si>
  <si>
    <t>BLIN2_I.DAT</t>
  </si>
  <si>
    <t>BLIN2_I.MIM</t>
  </si>
  <si>
    <t>SMK.STR</t>
  </si>
  <si>
    <t>2s</t>
  </si>
  <si>
    <t>BLIN3_1.BSX</t>
  </si>
  <si>
    <t>southmk.avi</t>
  </si>
  <si>
    <t>flevel.lgp &gt; blin3_1</t>
  </si>
  <si>
    <t>Cloud Falls Down To Chruch</t>
  </si>
  <si>
    <t>SOUTHMK.MOV</t>
  </si>
  <si>
    <t>BLIN3_1.DAT</t>
  </si>
  <si>
    <t>16s</t>
  </si>
  <si>
    <t>sqlogo.AVI</t>
  </si>
  <si>
    <t>BLIN3_1.MIM</t>
  </si>
  <si>
    <t>BLIN59.BSX</t>
  </si>
  <si>
    <t>Squaresoft Logo</t>
  </si>
  <si>
    <t>N/A??</t>
  </si>
  <si>
    <t>flevel.lgp &gt; blin59</t>
  </si>
  <si>
    <t>BLIN59.DAT</t>
  </si>
  <si>
    <t>u_ropego.avi</t>
  </si>
  <si>
    <t>BLIN59.MIM</t>
  </si>
  <si>
    <t>Gold Saucer Rope Car Leaves</t>
  </si>
  <si>
    <t>U_ROPEGO.MOV</t>
  </si>
  <si>
    <t>BLIN60_1.BSX</t>
  </si>
  <si>
    <t>flevel.lgp &gt; blin60_1</t>
  </si>
  <si>
    <t>bc.tex</t>
  </si>
  <si>
    <t>BLIN60_1.DAT</t>
  </si>
  <si>
    <t>u_ropein.avi</t>
  </si>
  <si>
    <t>*C*</t>
  </si>
  <si>
    <t>Gold Saucer Rope Car Comes In</t>
  </si>
  <si>
    <t>BLIN60_1.MIM</t>
  </si>
  <si>
    <t>U_ROPEIN.MOV</t>
  </si>
  <si>
    <t>BLIN60_2.BSX</t>
  </si>
  <si>
    <t>flevel.lgp &gt; blin60_2</t>
  </si>
  <si>
    <t>weapon0.avi</t>
  </si>
  <si>
    <t>BLIN60_2.DAT</t>
  </si>
  <si>
    <t>Junion Prepars for Weapon</t>
  </si>
  <si>
    <t>BLIN60_2.MIM</t>
  </si>
  <si>
    <t>WEAPON0.MOV</t>
  </si>
  <si>
    <t>29s</t>
  </si>
  <si>
    <t>BLIN61.BSX</t>
  </si>
  <si>
    <t>weapon1.avi</t>
  </si>
  <si>
    <t>flevel.lgp &gt; blin61</t>
  </si>
  <si>
    <t>BLIN61.DAT</t>
  </si>
  <si>
    <t>Junion Fires At Weapon</t>
  </si>
  <si>
    <t>WEAPON1.MOV</t>
  </si>
  <si>
    <t>BLIN61.MIM</t>
  </si>
  <si>
    <t>weapon2.avi</t>
  </si>
  <si>
    <t>BLIN62_1.BSX</t>
  </si>
  <si>
    <t>flevel.lgp &gt; blin62_1</t>
  </si>
  <si>
    <t>Weapon Swims Towards Junion and they fire</t>
  </si>
  <si>
    <t>BLIN62_1.DAT</t>
  </si>
  <si>
    <t>WEAPON2.MOV</t>
  </si>
  <si>
    <t>25s</t>
  </si>
  <si>
    <t>bd.tex</t>
  </si>
  <si>
    <t>BLIN62_1.MIM</t>
  </si>
  <si>
    <t>weapon3.avi</t>
  </si>
  <si>
    <t>Prize icons C class</t>
  </si>
  <si>
    <t>BLIN62_2.BSX</t>
  </si>
  <si>
    <t>flevel.lgp &gt; blin62_2</t>
  </si>
  <si>
    <t>Junion Fireing at Weapon as he closes in</t>
  </si>
  <si>
    <t>WEAPON3.MOV</t>
  </si>
  <si>
    <t>BLIN62_2.DAT</t>
  </si>
  <si>
    <t>BLIN62_2.MIM</t>
  </si>
  <si>
    <t>weapon4.avi</t>
  </si>
  <si>
    <t>BLIN62_3.BSX</t>
  </si>
  <si>
    <t>weapon arives at junion</t>
  </si>
  <si>
    <t>flevel.lgp &gt; blin62_3</t>
  </si>
  <si>
    <t>BLIN62_3.DAT</t>
  </si>
  <si>
    <t>WEAPON4.MOV</t>
  </si>
  <si>
    <t>BLIN62_3.MIM</t>
  </si>
  <si>
    <t>weapon5.avi</t>
  </si>
  <si>
    <t>BLIN63_1.BSX</t>
  </si>
  <si>
    <t>flevel.lgp &gt; blin63_1</t>
  </si>
  <si>
    <t>Weapon attacks. then gets killed.</t>
  </si>
  <si>
    <t>BLIN63_1.DAT</t>
  </si>
  <si>
    <t>WEAPON5.MOV</t>
  </si>
  <si>
    <t>44s</t>
  </si>
  <si>
    <t>BLIN63_1.MIM</t>
  </si>
  <si>
    <t>be.tex</t>
  </si>
  <si>
    <t>BLIN63_T.BSX</t>
  </si>
  <si>
    <t>wh2e2.avi</t>
  </si>
  <si>
    <t>flevel.lgp &gt; blin63_t</t>
  </si>
  <si>
    <t>Background A+ class</t>
  </si>
  <si>
    <t>BLIN63_T.DAT</t>
  </si>
  <si>
    <t>Pan Around in Anicent City. water fall aerith</t>
  </si>
  <si>
    <t>WH2E2.STR</t>
  </si>
  <si>
    <t>BLIN63_T.MIM</t>
  </si>
  <si>
    <t>43s - where you first learn of holy</t>
  </si>
  <si>
    <t>BLIN64.BSX</t>
  </si>
  <si>
    <t>white2.avi</t>
  </si>
  <si>
    <t>flevel.lgp &gt; blin64</t>
  </si>
  <si>
    <t>BLIN64.DAT</t>
  </si>
  <si>
    <t>Same place as wh2e2 but static for models</t>
  </si>
  <si>
    <t>BLIN64.MIM</t>
  </si>
  <si>
    <t>WHITE2.BIN??</t>
  </si>
  <si>
    <t>BLIN65_1.BSX</t>
  </si>
  <si>
    <t>flevel.lgp &gt; blin65_1</t>
  </si>
  <si>
    <t>BLIN65_1.DAT</t>
  </si>
  <si>
    <t>zmind01.avi</t>
  </si>
  <si>
    <t>BLIN65_1.MIM</t>
  </si>
  <si>
    <t>Cloud's Flash Back Video 1</t>
  </si>
  <si>
    <t>BLIN65_2.BSX</t>
  </si>
  <si>
    <t>ZMIND11.STR</t>
  </si>
  <si>
    <t>flevel.lgp &gt; blin65_2</t>
  </si>
  <si>
    <t>zmind02.avi</t>
  </si>
  <si>
    <t>bf.tex</t>
  </si>
  <si>
    <t>BLIN65_2.DAT</t>
  </si>
  <si>
    <t>Background part A+ class</t>
  </si>
  <si>
    <t>Cloud's Flash Back Video 2</t>
  </si>
  <si>
    <t>ZMIND21.STR</t>
  </si>
  <si>
    <t>BLIN65_2.MIM</t>
  </si>
  <si>
    <t>zmind03.avi</t>
  </si>
  <si>
    <t>BLIN66_1.BSX</t>
  </si>
  <si>
    <t>Coud's Flash Back Video 3</t>
  </si>
  <si>
    <t>flevel.lgp &gt; blin66_1</t>
  </si>
  <si>
    <t>ZMIND31.STR</t>
  </si>
  <si>
    <t>BLIN66_1.DAT</t>
  </si>
  <si>
    <t>BLIN66_1.MIM</t>
  </si>
  <si>
    <t>BLIN66_2.BSX</t>
  </si>
  <si>
    <t>flevel.lgp &gt; blin66_2</t>
  </si>
  <si>
    <t>BLIN66_2.DAT</t>
  </si>
  <si>
    <t>BLIN66_2.MIM</t>
  </si>
  <si>
    <t>BLIN66_3.BSX</t>
  </si>
  <si>
    <t>bg.tex</t>
  </si>
  <si>
    <t>flevel.lgp &gt; blin66_3</t>
  </si>
  <si>
    <t>BLIN66_3.DAT</t>
  </si>
  <si>
    <t>Interface rectangles A+ class 1</t>
  </si>
  <si>
    <t>BLIN66_3.MIM</t>
  </si>
  <si>
    <t>BLIN66_4.BSX</t>
  </si>
  <si>
    <t>flevel.lgp &gt; blin66_4</t>
  </si>
  <si>
    <t>BLIN66_4.DAT</t>
  </si>
  <si>
    <t>BLIN66_4.MIM</t>
  </si>
  <si>
    <t>BLIN66_5.BSX</t>
  </si>
  <si>
    <t>flevel.lgp &gt; blin66_5</t>
  </si>
  <si>
    <t>BLIN66_5.DAT</t>
  </si>
  <si>
    <t>BLIN66_5.MIM</t>
  </si>
  <si>
    <t>BLIN66_6.BSX</t>
  </si>
  <si>
    <t>flevel.lgp &gt; blin66_6</t>
  </si>
  <si>
    <t>BLIN66_6.DAT</t>
  </si>
  <si>
    <t>BLIN66_6.MIM</t>
  </si>
  <si>
    <t>bh.tex</t>
  </si>
  <si>
    <t>BLIN671B.BSX</t>
  </si>
  <si>
    <t>flevel.lgp &gt; blin67b</t>
  </si>
  <si>
    <t>Interface rectangles A+ class 2</t>
  </si>
  <si>
    <t>BLIN671B.DAT</t>
  </si>
  <si>
    <t>BLIN671B.MIM</t>
  </si>
  <si>
    <t>BLIN673B.BSX</t>
  </si>
  <si>
    <t>flevel.lgp &gt; blin673b</t>
  </si>
  <si>
    <t>BLIN673B.DAT</t>
  </si>
  <si>
    <t>BLIN673B.MIM</t>
  </si>
  <si>
    <t>BLIN67_1.BSX</t>
  </si>
  <si>
    <t>flevel.lgp &gt; blin67_1</t>
  </si>
  <si>
    <t>BLIN67_1.DAT</t>
  </si>
  <si>
    <t>BLIN67_1.MIM</t>
  </si>
  <si>
    <t>BLIN67_2.BSX</t>
  </si>
  <si>
    <t>flevel.lgp &gt; blin67_2</t>
  </si>
  <si>
    <t>BLIN67_2.DAT</t>
  </si>
  <si>
    <t>BLIN67_2.MIM</t>
  </si>
  <si>
    <t>bi.tex</t>
  </si>
  <si>
    <t>BLIN67_3.BSX</t>
  </si>
  <si>
    <t>flevel.lgp &gt; blin67_3</t>
  </si>
  <si>
    <t>Position icon 1 A+ class</t>
  </si>
  <si>
    <t>BLIN67_3.DAT</t>
  </si>
  <si>
    <t>BLIN67_3.MIM</t>
  </si>
  <si>
    <t>BLIN67_4.BSX</t>
  </si>
  <si>
    <t>flevel.lgp &gt; blin67_4</t>
  </si>
  <si>
    <t>BLIN67_4.DAT</t>
  </si>
  <si>
    <t>BLIN67_4.MIM</t>
  </si>
  <si>
    <t>BLIN68_1.BSX</t>
  </si>
  <si>
    <t>flevel.lgp &gt; blin68_1</t>
  </si>
  <si>
    <t>BLIN68_1.DAT</t>
  </si>
  <si>
    <t>BLIN68_1.MIM</t>
  </si>
  <si>
    <t>BLIN68_2.BSX</t>
  </si>
  <si>
    <t>flevel.lgp &gt; blin68_2</t>
  </si>
  <si>
    <t>BLIN68_2.DAT</t>
  </si>
  <si>
    <t>BLIN68_2.MIM</t>
  </si>
  <si>
    <t>bj.tex</t>
  </si>
  <si>
    <t>BLIN69_1.BSX</t>
  </si>
  <si>
    <t>Position icon 2 A+ class</t>
  </si>
  <si>
    <t>flevel.lgp &gt; blin69_1</t>
  </si>
  <si>
    <t>BLIN69_1.DAT</t>
  </si>
  <si>
    <t>BLIN69_1.MIM</t>
  </si>
  <si>
    <t>BLIN69_2.BSX</t>
  </si>
  <si>
    <t>flevel.lgp &gt; blin69_2</t>
  </si>
  <si>
    <t>BLIN69_2.DAT</t>
  </si>
  <si>
    <t>BLIN69_2.MIM</t>
  </si>
  <si>
    <t>BLIN70_1.BSX</t>
  </si>
  <si>
    <t>flevel.lgp &gt; blin70_1</t>
  </si>
  <si>
    <t>BLIN70_1.DAT</t>
  </si>
  <si>
    <t>BLIN70_1.MIM</t>
  </si>
  <si>
    <t>BLIN70_2.BSX</t>
  </si>
  <si>
    <t>bk.tex</t>
  </si>
  <si>
    <t>flevel.lgp &gt; blin70_2</t>
  </si>
  <si>
    <t>BLIN70_2.DAT</t>
  </si>
  <si>
    <t>Fonts A+ class 1</t>
  </si>
  <si>
    <t>BLIN70_2.MIM</t>
  </si>
  <si>
    <t>BLIN70_3.BSX</t>
  </si>
  <si>
    <t>flevel.lgp &gt; blin70_3</t>
  </si>
  <si>
    <t>BLIN70_3.DAT</t>
  </si>
  <si>
    <t>BLIN70_3.MIM</t>
  </si>
  <si>
    <t>BLIN70_4.BSX</t>
  </si>
  <si>
    <t>flevel.lgp &gt; blin70_4</t>
  </si>
  <si>
    <t>BLIN70_4.DAT</t>
  </si>
  <si>
    <t>BLIN70_4.MIM</t>
  </si>
  <si>
    <t>BLINELE.BSX</t>
  </si>
  <si>
    <t>flevel.lgp &gt; blinele</t>
  </si>
  <si>
    <t>BLINELE.DAT</t>
  </si>
  <si>
    <t>BLINELE.MIM</t>
  </si>
  <si>
    <t>BLINST_1.BSX</t>
  </si>
  <si>
    <t>flevel.lgp &gt; blinst_1</t>
  </si>
  <si>
    <t>BLINST_1.DAT</t>
  </si>
  <si>
    <t>BLINST_1.MIM</t>
  </si>
  <si>
    <t>BLINST_2.BSX</t>
  </si>
  <si>
    <t>flevel.lgp &gt; blinst_2</t>
  </si>
  <si>
    <t>BLINST_2.DAT</t>
  </si>
  <si>
    <t>BLINST_2.MIM</t>
  </si>
  <si>
    <t>BLINST_3.BSX</t>
  </si>
  <si>
    <t>flevel.lgp &gt; blinst_3</t>
  </si>
  <si>
    <t>BLINST_3.DAT</t>
  </si>
  <si>
    <t>BLINST_3.MIM</t>
  </si>
  <si>
    <t>bl.tex</t>
  </si>
  <si>
    <t>BLUE_1.BSX</t>
  </si>
  <si>
    <t>flevel.lgp &gt; blue_1</t>
  </si>
  <si>
    <t>Fonts A+ class 2</t>
  </si>
  <si>
    <t>BLUE_1.DAT</t>
  </si>
  <si>
    <t>BLUE_1.MIM</t>
  </si>
  <si>
    <t>BLUE_2.BSX</t>
  </si>
  <si>
    <t>flevel.lgp &gt; blue_2</t>
  </si>
  <si>
    <t>BLUE_2.DAT</t>
  </si>
  <si>
    <t>BLUE_2.MIM</t>
  </si>
  <si>
    <t>BONEVIL.BSX</t>
  </si>
  <si>
    <t>flevel.lgp &gt; bonevil</t>
  </si>
  <si>
    <t>BONEVIL.DAT</t>
  </si>
  <si>
    <t>BONEVIL.MIM</t>
  </si>
  <si>
    <t>BONEVIL2.BSX</t>
  </si>
  <si>
    <t>flevel.lgp &gt; bonevil2</t>
  </si>
  <si>
    <t>BONEVIL2.DAT</t>
  </si>
  <si>
    <t>BONEVIL2.MIM</t>
  </si>
  <si>
    <t>BUGIN1A.BSX</t>
  </si>
  <si>
    <t>flevel.lgp &gt; bugin1a</t>
  </si>
  <si>
    <t>BUGIN1A.DAT</t>
  </si>
  <si>
    <t>BUGIN1A.MIM</t>
  </si>
  <si>
    <t>BUGIN1B.BSX</t>
  </si>
  <si>
    <t>flevel.lgp &gt; bugin1b</t>
  </si>
  <si>
    <t>BUGIN1B.DAT</t>
  </si>
  <si>
    <t>BUGIN1B.MIM</t>
  </si>
  <si>
    <t>BUGIN1C.BSX</t>
  </si>
  <si>
    <t>flevel.lgp &gt; bugin1c</t>
  </si>
  <si>
    <t>BUGIN1C.DAT</t>
  </si>
  <si>
    <t>bm.tex</t>
  </si>
  <si>
    <t>*A+*</t>
  </si>
  <si>
    <t>BUGIN1C.MIM</t>
  </si>
  <si>
    <t>BUGIN2.BSX</t>
  </si>
  <si>
    <t>flevel.lgp &gt; bugin2</t>
  </si>
  <si>
    <t>BUGIN2.DAT</t>
  </si>
  <si>
    <t>BUGIN2.MIM</t>
  </si>
  <si>
    <t>BUGIN3.BSX</t>
  </si>
  <si>
    <t>flevel.lgp &gt; bugin3</t>
  </si>
  <si>
    <t>BUGIN3.DAT</t>
  </si>
  <si>
    <t>bn.tex</t>
  </si>
  <si>
    <t>BUGIN3.MIM</t>
  </si>
  <si>
    <t>Prize icons A+ class</t>
  </si>
  <si>
    <t>BWHLIN.BSX</t>
  </si>
  <si>
    <t>flevel.lgp &gt; bwhlin</t>
  </si>
  <si>
    <t>BWHLIN.DAT</t>
  </si>
  <si>
    <t>BWHLIN.MIM</t>
  </si>
  <si>
    <t>BWHLIN2.BSX</t>
  </si>
  <si>
    <t>flevel.lgp &gt; bwhlin2</t>
  </si>
  <si>
    <t>BWHLIN2.DAT</t>
  </si>
  <si>
    <t>BWHLIN2.MIM</t>
  </si>
  <si>
    <t>bo.tex</t>
  </si>
  <si>
    <t>CANON_1.BSX</t>
  </si>
  <si>
    <t>Numbers</t>
  </si>
  <si>
    <t>flevel.lgp &gt; canon_1</t>
  </si>
  <si>
    <t>CANON_1.DAT</t>
  </si>
  <si>
    <t>CANON_1.MIM</t>
  </si>
  <si>
    <t>CANON_2.BSX</t>
  </si>
  <si>
    <t>flevel.lgp &gt; canon_2</t>
  </si>
  <si>
    <t>CANON_2.DAT</t>
  </si>
  <si>
    <t>CANON_2.MIM</t>
  </si>
  <si>
    <t>CARGOIN.BSX</t>
  </si>
  <si>
    <t>flevel.lgp &gt; cargoin</t>
  </si>
  <si>
    <t>CARGOIN.DAT</t>
  </si>
  <si>
    <t>CARGOIN.MIM</t>
  </si>
  <si>
    <t>CHORACE.BSX</t>
  </si>
  <si>
    <t>flevel.lgp &gt; chorace</t>
  </si>
  <si>
    <t>CHORACE.DAT</t>
  </si>
  <si>
    <t>CHORACE.MIM</t>
  </si>
  <si>
    <t>bp.tex</t>
  </si>
  <si>
    <t>Position prizes numbers</t>
  </si>
  <si>
    <t>CHORACE2.BSX</t>
  </si>
  <si>
    <t>flevel.lgp &gt; chorace2</t>
  </si>
  <si>
    <t>CHORACE2.DAT</t>
  </si>
  <si>
    <t>CHORACE2.MIM</t>
  </si>
  <si>
    <t>CHRIN_1A.BSX</t>
  </si>
  <si>
    <t>flevel.lgp &gt; chrin_1a</t>
  </si>
  <si>
    <t>CHRIN_1A.DAT</t>
  </si>
  <si>
    <t>CHRIN_1A.MIM</t>
  </si>
  <si>
    <t>CHRIN_1B.BSX</t>
  </si>
  <si>
    <t>bq.tex</t>
  </si>
  <si>
    <t>flevel.lgp &gt; chrin_1b</t>
  </si>
  <si>
    <t>First and second</t>
  </si>
  <si>
    <t>CHRIN_1B.DAT</t>
  </si>
  <si>
    <t>CHRIN_1B.MIM</t>
  </si>
  <si>
    <t>CHRIN_2.BSX</t>
  </si>
  <si>
    <t>flevel.lgp &gt; chrin_2</t>
  </si>
  <si>
    <t>CHRIN_2.DAT</t>
  </si>
  <si>
    <t>CHRIN_2.MIM</t>
  </si>
  <si>
    <t>CHRIN_3A.BSX</t>
  </si>
  <si>
    <t>flevel.lgp &gt; chrin_3a</t>
  </si>
  <si>
    <t>CHRIN_3A.DAT</t>
  </si>
  <si>
    <t>CHRIN_3A.MIM</t>
  </si>
  <si>
    <t>CHRIN_3B.BSX</t>
  </si>
  <si>
    <t>flevel.lgp &gt; chrin_3b</t>
  </si>
  <si>
    <t>CHRIN_3B.DAT</t>
  </si>
  <si>
    <t>CHRIN_3B.MIM</t>
  </si>
  <si>
    <t>CHURCH.BSX</t>
  </si>
  <si>
    <t>br.tex</t>
  </si>
  <si>
    <t>flevel.lgp &gt; church</t>
  </si>
  <si>
    <t>CHURCH.DAT</t>
  </si>
  <si>
    <t>CHURCH.MIM</t>
  </si>
  <si>
    <t>CID.BCX</t>
  </si>
  <si>
    <t>flevel.lgp &gt; ci_eye2.tex | ci_eye2r.tex</t>
  </si>
  <si>
    <t>CLOUD.BCX</t>
  </si>
  <si>
    <t>bs.tex</t>
  </si>
  <si>
    <t>flevel.lgp &gt; c_eye2.tex | c_eye2r.tex</t>
  </si>
  <si>
    <t>CLSIN2_1.BSX</t>
  </si>
  <si>
    <t>First crown</t>
  </si>
  <si>
    <t>flevel.lgp &gt; clsin2_1</t>
  </si>
  <si>
    <t>CLSIN2_1.DAT</t>
  </si>
  <si>
    <t>CLSIN2_1.MIM</t>
  </si>
  <si>
    <t>CLSIN2_2.BSX</t>
  </si>
  <si>
    <t>flevel.lgp &gt; clsin2_2</t>
  </si>
  <si>
    <t>CLSIN2_2.DAT</t>
  </si>
  <si>
    <t>CLSIN2_2.MIM</t>
  </si>
  <si>
    <t>CLSIN2_3.BSX</t>
  </si>
  <si>
    <t>flevel.lgp &gt; clsin2_3</t>
  </si>
  <si>
    <t>CLSIN2_3.DAT</t>
  </si>
  <si>
    <t>CLSIN2_3.MIM</t>
  </si>
  <si>
    <t>COLNE_1.BSX</t>
  </si>
  <si>
    <t>flevel.lgp &gt; colne_1</t>
  </si>
  <si>
    <t>COLNE_1.DAT</t>
  </si>
  <si>
    <t>COLNE_1.MIM</t>
  </si>
  <si>
    <t>bt.tex</t>
  </si>
  <si>
    <t>COLNE_2.BSX</t>
  </si>
  <si>
    <t>Second crown</t>
  </si>
  <si>
    <t>flevel.lgp &gt; colne_2</t>
  </si>
  <si>
    <t>COLNE_2.DAT</t>
  </si>
  <si>
    <t>COLNE_2.MIM</t>
  </si>
  <si>
    <t>COLNE_3.BSX</t>
  </si>
  <si>
    <t>flevel.lgp &gt; colne_3</t>
  </si>
  <si>
    <t>COLNE_3.DAT</t>
  </si>
  <si>
    <t>COLNE_3.MIM</t>
  </si>
  <si>
    <t>COLNE_4.BSX</t>
  </si>
  <si>
    <t>flevel.lgp &gt; colne_4</t>
  </si>
  <si>
    <t>COLNE_4.DAT</t>
  </si>
  <si>
    <t>COLNE_4.MIM</t>
  </si>
  <si>
    <t>COLNE_5.BSX</t>
  </si>
  <si>
    <t>flevel.lgp &gt; colne_5</t>
  </si>
  <si>
    <t>COLNE_5.DAT</t>
  </si>
  <si>
    <t>COLNE_5.MIM</t>
  </si>
  <si>
    <t>COLNE_6.BSX</t>
  </si>
  <si>
    <t>flevel.lgp &gt; colne_6</t>
  </si>
  <si>
    <t>COLNE_6.DAT</t>
  </si>
  <si>
    <t>bu.tex</t>
  </si>
  <si>
    <t>COLNE_6.MIM</t>
  </si>
  <si>
    <t>In-race position numbers</t>
  </si>
  <si>
    <t>COLNE_B1.BSX</t>
  </si>
  <si>
    <t>flevel.lgp &gt; colne_b1</t>
  </si>
  <si>
    <t>COLNE_B1.DAT</t>
  </si>
  <si>
    <t>COLNE_B1.MIM</t>
  </si>
  <si>
    <t>COLNE_B3.BSX</t>
  </si>
  <si>
    <t>flevel.lgp &gt; colne_b3</t>
  </si>
  <si>
    <t>COLNE_B3.DAT</t>
  </si>
  <si>
    <t>COLNE_B3.MIM</t>
  </si>
  <si>
    <t>COLOIN1.BSX</t>
  </si>
  <si>
    <t>flevel.lgp &gt; coloin1</t>
  </si>
  <si>
    <t>COLOIN1.DAT</t>
  </si>
  <si>
    <t>COLOIN1.MIM</t>
  </si>
  <si>
    <t>COLOIN2.BSX</t>
  </si>
  <si>
    <t>flevel.lgp &gt; coloin2</t>
  </si>
  <si>
    <t>COLOIN2.DAT</t>
  </si>
  <si>
    <t>COLOIN2.MIM</t>
  </si>
  <si>
    <t>COLOSS.BSX</t>
  </si>
  <si>
    <t>flevel.lgp &gt; coloss</t>
  </si>
  <si>
    <t>bv.tex</t>
  </si>
  <si>
    <t>COLOSS.DAT</t>
  </si>
  <si>
    <t>COLOSS.MIM</t>
  </si>
  <si>
    <t>Chocobo faces</t>
  </si>
  <si>
    <t>CONDOR1.BSX</t>
  </si>
  <si>
    <t>flevel.lgp &gt; condor1</t>
  </si>
  <si>
    <t>CONDOR1.DAT</t>
  </si>
  <si>
    <t>CONDOR1.MIM</t>
  </si>
  <si>
    <t>CONDOR2.BSX</t>
  </si>
  <si>
    <t>flevel.lgp &gt; condor2</t>
  </si>
  <si>
    <t>CONDOR2.DAT</t>
  </si>
  <si>
    <t>CONDOR2.MIM</t>
  </si>
  <si>
    <t>CONVIL_1.BSX</t>
  </si>
  <si>
    <t>flevel.lgp &gt; convil_1</t>
  </si>
  <si>
    <t>CONVIL_1.DAT</t>
  </si>
  <si>
    <t>CONVIL_1.MIM</t>
  </si>
  <si>
    <t>bw.tex</t>
  </si>
  <si>
    <t>CONVIL_2.BSX</t>
  </si>
  <si>
    <t>flevel.lgp &gt; convil_2</t>
  </si>
  <si>
    <t>Fonts</t>
  </si>
  <si>
    <t>CONVIL_2.DAT</t>
  </si>
  <si>
    <t>CONVIL_2.MIM</t>
  </si>
  <si>
    <t>CONVIL_3.BSX</t>
  </si>
  <si>
    <t>CONVIL_3.DAT</t>
  </si>
  <si>
    <t>CONVIL_3.MIM</t>
  </si>
  <si>
    <t>CONVIL_4.BSX</t>
  </si>
  <si>
    <t>flevel.lgp &gt; convil_4</t>
  </si>
  <si>
    <t>CONVIL_4.DAT</t>
  </si>
  <si>
    <t>CONVIL_4.MIM</t>
  </si>
  <si>
    <t>COREL1.BSX</t>
  </si>
  <si>
    <t>flevel.lgp &gt; corel1</t>
  </si>
  <si>
    <t>COREL1.DAT</t>
  </si>
  <si>
    <t>COREL1.MIM</t>
  </si>
  <si>
    <t>COREL2.BSX</t>
  </si>
  <si>
    <t>flevel.lgp &gt; corel2</t>
  </si>
  <si>
    <t>COREL2.DAT</t>
  </si>
  <si>
    <t>COREL2.MIM</t>
  </si>
  <si>
    <t>COREL3.BSX</t>
  </si>
  <si>
    <t>flevel.lgp &gt; corel3</t>
  </si>
  <si>
    <t>COREL3.DAT</t>
  </si>
  <si>
    <t>bx.tex</t>
  </si>
  <si>
    <t>COREL3.MIM</t>
  </si>
  <si>
    <t>Track map (long)</t>
  </si>
  <si>
    <t>CORELIN.BSX</t>
  </si>
  <si>
    <t>flevel.lgp &gt; corelin</t>
  </si>
  <si>
    <t>CORELIN.DAT</t>
  </si>
  <si>
    <t>CORELIN.MIM</t>
  </si>
  <si>
    <t>COS_BTM.BSX</t>
  </si>
  <si>
    <t>flevel.lgp &gt; cos_btm</t>
  </si>
  <si>
    <t>COS_BTM.DAT</t>
  </si>
  <si>
    <t>COS_BTM.MIM</t>
  </si>
  <si>
    <t>COS_BTM2.BSX</t>
  </si>
  <si>
    <t>flevel.lgp &gt; cos_btm2</t>
  </si>
  <si>
    <t>COS_BTM2.DAT</t>
  </si>
  <si>
    <t>COS_BTM2.MIM</t>
  </si>
  <si>
    <t>COS_TOP.BSX</t>
  </si>
  <si>
    <t>flevel.lgp &gt; cos_top</t>
  </si>
  <si>
    <t>by.tex</t>
  </si>
  <si>
    <t>COS_TOP.DAT</t>
  </si>
  <si>
    <t>Track map (short)</t>
  </si>
  <si>
    <t>COS_TOP.MIM</t>
  </si>
  <si>
    <t>COSIN1.BSX</t>
  </si>
  <si>
    <t>flevel.lgp &gt; cosin1</t>
  </si>
  <si>
    <t>COSIN1.DAT</t>
  </si>
  <si>
    <t>COSIN1.MIM</t>
  </si>
  <si>
    <t>COSIN1_1.BSX</t>
  </si>
  <si>
    <t>flevel.lgp &gt; cosin1_1</t>
  </si>
  <si>
    <t>COSIN1_1.DAT</t>
  </si>
  <si>
    <t>COSIN1_1.MIM</t>
  </si>
  <si>
    <t>COSIN2.BSX</t>
  </si>
  <si>
    <t>flevel.lgp &gt; cosin2</t>
  </si>
  <si>
    <t>COSIN2.DAT</t>
  </si>
  <si>
    <t>COSIN2.MIM</t>
  </si>
  <si>
    <t>bz.tex</t>
  </si>
  <si>
    <t>COSIN3.BSX</t>
  </si>
  <si>
    <t>Automatic operation button</t>
  </si>
  <si>
    <t>flevel.lgp &gt; cosin3</t>
  </si>
  <si>
    <t>COSIN3.DAT</t>
  </si>
  <si>
    <t>COSIN3.MIM</t>
  </si>
  <si>
    <t>COSIN4.BSX</t>
  </si>
  <si>
    <t>flevel.lgp &gt; cosin4</t>
  </si>
  <si>
    <t>COSIN4.DAT</t>
  </si>
  <si>
    <t>COSIN4.MIM</t>
  </si>
  <si>
    <t>COSIN5.BSX</t>
  </si>
  <si>
    <t>flevel.lgp &gt; cosin5</t>
  </si>
  <si>
    <t>COSIN5.DAT</t>
  </si>
  <si>
    <t>COSIN5.MIM</t>
  </si>
  <si>
    <t>COSMIN2.BSX</t>
  </si>
  <si>
    <t>flevel.lgp &gt; cosmin2</t>
  </si>
  <si>
    <t>COSMIN2.DAT</t>
  </si>
  <si>
    <t>COSMIN2.MIM</t>
  </si>
  <si>
    <t>COSMIN3.BSX</t>
  </si>
  <si>
    <t>flevel.lgp &gt; cosmin3</t>
  </si>
  <si>
    <t>COSMIN3.DAT</t>
  </si>
  <si>
    <t>COSMIN3.MIM</t>
  </si>
  <si>
    <t>COSMIN4.BSX</t>
  </si>
  <si>
    <t>flevel.lgp &gt; cosmin4</t>
  </si>
  <si>
    <t>COSMIN4.DAT</t>
  </si>
  <si>
    <t>COSMIN4.MIM</t>
  </si>
  <si>
    <t>COSMIN6.BSX</t>
  </si>
  <si>
    <t>ca.tex</t>
  </si>
  <si>
    <t>flevel.lgp &gt; cosmin6</t>
  </si>
  <si>
    <t>COSMIN6.DAT</t>
  </si>
  <si>
    <t>Manual operation button</t>
  </si>
  <si>
    <t>COSMIN6.MIM</t>
  </si>
  <si>
    <t>COSMIN7.BSX</t>
  </si>
  <si>
    <t>flevel.lgp &gt; cosmin7</t>
  </si>
  <si>
    <t>COSMIN7.DAT</t>
  </si>
  <si>
    <t>COSMIN7.MIM</t>
  </si>
  <si>
    <t>COSMO.BSX</t>
  </si>
  <si>
    <t>flevel.lgp &gt; cosmo</t>
  </si>
  <si>
    <t>COSMO.DAT</t>
  </si>
  <si>
    <t>COSMO.MIM</t>
  </si>
  <si>
    <t>COSMO2.BSX</t>
  </si>
  <si>
    <t>flevel.lgp &gt; cosmo2</t>
  </si>
  <si>
    <t>COSMO2.DAT</t>
  </si>
  <si>
    <t>COSMO2.MIM</t>
  </si>
  <si>
    <t>CRATER_1.BSX</t>
  </si>
  <si>
    <t>flevel.lgp &gt; crater_1</t>
  </si>
  <si>
    <t>CRATER_1.DAT</t>
  </si>
  <si>
    <t>CRATER_1.MIM</t>
  </si>
  <si>
    <t>CRATER_2.BSX</t>
  </si>
  <si>
    <t>flevel.lgp &gt; crater_2</t>
  </si>
  <si>
    <t>CRATER_2.DAT</t>
  </si>
  <si>
    <t>CRATER_2.MIM</t>
  </si>
  <si>
    <t>CRCIN_1.BSX</t>
  </si>
  <si>
    <t>flevel.lgp &gt; crcin_1</t>
  </si>
  <si>
    <t>CRCIN_1.DAT</t>
  </si>
  <si>
    <t>cb.tex</t>
  </si>
  <si>
    <t>CRCIN_1.MIM</t>
  </si>
  <si>
    <t>Stamina bar 1</t>
  </si>
  <si>
    <t>CRCIN_2.BSX</t>
  </si>
  <si>
    <t>flevel.lgp &gt; crcin_2</t>
  </si>
  <si>
    <t>CRCIN_2.DAT</t>
  </si>
  <si>
    <t>CRCIN_2.MIM</t>
  </si>
  <si>
    <t>DATIAO_1.BSX</t>
  </si>
  <si>
    <t>flevel.lgp &gt; datiao_1</t>
  </si>
  <si>
    <t>DATIAO_1.DAT</t>
  </si>
  <si>
    <t>DATIAO_1.MIM</t>
  </si>
  <si>
    <t>DATIAO_2.BSX</t>
  </si>
  <si>
    <t>flevel.lgp &gt; datiao_2</t>
  </si>
  <si>
    <t>DATIAO_2.DAT</t>
  </si>
  <si>
    <t>DATIAO_2.MIM</t>
  </si>
  <si>
    <t>cc.tex</t>
  </si>
  <si>
    <t>DATIAO_3.BSX</t>
  </si>
  <si>
    <t>Stamina bar 2</t>
  </si>
  <si>
    <t>flevel.lgp &gt; datiao_3</t>
  </si>
  <si>
    <t>DATIAO_3.DAT</t>
  </si>
  <si>
    <t>DATIAO_3.MIM</t>
  </si>
  <si>
    <t>DATIAO_4.BSX</t>
  </si>
  <si>
    <t>flevel.lgp &gt; datiao_4</t>
  </si>
  <si>
    <t>DATIAO_4.DAT</t>
  </si>
  <si>
    <t>DATIAO_4.MIM</t>
  </si>
  <si>
    <t>DATIAO_5.BSX</t>
  </si>
  <si>
    <t>flevel.lgp &gt; datiao_5</t>
  </si>
  <si>
    <t>DATIAO_5.DAT</t>
  </si>
  <si>
    <t>DATIAO_5.MIM</t>
  </si>
  <si>
    <t>DATIAO_6.BSX</t>
  </si>
  <si>
    <t>flevel.lgp &gt; datiao_6</t>
  </si>
  <si>
    <t>DATIAO_6.DAT</t>
  </si>
  <si>
    <t>cd.hrc</t>
  </si>
  <si>
    <t>DATIAO_6.MIM</t>
  </si>
  <si>
    <t>Chocobo: Skeleton</t>
  </si>
  <si>
    <t>DATIAO_7.BSX</t>
  </si>
  <si>
    <t>Skeleton</t>
  </si>
  <si>
    <t>flevel.lgp &gt; datiao_7</t>
  </si>
  <si>
    <t>DATIAO_7.DAT</t>
  </si>
  <si>
    <t>DATIAO_7.MIM</t>
  </si>
  <si>
    <t>DATIAO_8.BSX</t>
  </si>
  <si>
    <t>flevel.lgp &gt; datiao_8</t>
  </si>
  <si>
    <t>DATIAO_8.DAT</t>
  </si>
  <si>
    <t>DATIAO_8.MIM</t>
  </si>
  <si>
    <t>DEL1.BSX</t>
  </si>
  <si>
    <t>flevel.lgp &gt; del1</t>
  </si>
  <si>
    <t>DEL1.DAT</t>
  </si>
  <si>
    <t>DEL1.MIM</t>
  </si>
  <si>
    <t>DEL12.BSX</t>
  </si>
  <si>
    <t>flevel.lgp &gt; del12</t>
  </si>
  <si>
    <t>DEL12.DAT</t>
  </si>
  <si>
    <t>ce.p</t>
  </si>
  <si>
    <t>DEL12.MIM</t>
  </si>
  <si>
    <t>Chocobo: Body</t>
  </si>
  <si>
    <t>DEL2.BSX</t>
  </si>
  <si>
    <t>p model</t>
  </si>
  <si>
    <t>flevel.lgp &gt; del2</t>
  </si>
  <si>
    <t>DEL2.DAT</t>
  </si>
  <si>
    <t>DEL2.MIM</t>
  </si>
  <si>
    <t>DEL3.BSX</t>
  </si>
  <si>
    <t>flevel.lgp &gt; del3</t>
  </si>
  <si>
    <t>DEL3.DAT</t>
  </si>
  <si>
    <t>DEL3.MIM</t>
  </si>
  <si>
    <t>DELINN.BSX</t>
  </si>
  <si>
    <t>flevel.lgp &gt; delinn</t>
  </si>
  <si>
    <t>DELINN.DAT</t>
  </si>
  <si>
    <t>DELINN.MIM</t>
  </si>
  <si>
    <t>DELMIN1.BSX</t>
  </si>
  <si>
    <t>flevel.lgp &gt; delmin1</t>
  </si>
  <si>
    <t>DELMIN1.DAT</t>
  </si>
  <si>
    <t>ce.rsd</t>
  </si>
  <si>
    <t>DELMIN1.MIM</t>
  </si>
  <si>
    <t>DELMIN12.BSX</t>
  </si>
  <si>
    <t>rsd model</t>
  </si>
  <si>
    <t>flevel.lgp &gt; delmin12</t>
  </si>
  <si>
    <t>DELMIN12.DAT</t>
  </si>
  <si>
    <t>DELMIN12.MIM</t>
  </si>
  <si>
    <t>DELMIN2.BSX</t>
  </si>
  <si>
    <t>flevel.lgp &gt; delmin2</t>
  </si>
  <si>
    <t>DELMIN2.DAT</t>
  </si>
  <si>
    <t>DELMIN2.MIM</t>
  </si>
  <si>
    <t>DELPB.BSX</t>
  </si>
  <si>
    <t>flevel.lgp &gt; delpb</t>
  </si>
  <si>
    <t>DELPB.DAT</t>
  </si>
  <si>
    <t>Name</t>
  </si>
  <si>
    <t>DELPB.MIM</t>
  </si>
  <si>
    <t>cf.p</t>
  </si>
  <si>
    <t>DESERT1.BSX</t>
  </si>
  <si>
    <t>Chocobo: Right wing</t>
  </si>
  <si>
    <t>flevel.lgp &gt; desert1</t>
  </si>
  <si>
    <t>DESERT1.DAT</t>
  </si>
  <si>
    <t>DESERT1.MIM</t>
  </si>
  <si>
    <t>DESERT2.BSX</t>
  </si>
  <si>
    <t>flevel.lgp &gt; desert2</t>
  </si>
  <si>
    <t>DESERT2.DAT</t>
  </si>
  <si>
    <t>DESERT2.MIM</t>
  </si>
  <si>
    <t>DSCHANGE.X</t>
  </si>
  <si>
    <t>flevel.lgp &gt; dschange</t>
  </si>
  <si>
    <t>DUMMY.BSX</t>
  </si>
  <si>
    <t>flevel.lgp &gt; dummy</t>
  </si>
  <si>
    <t>DUMMY.DAT</t>
  </si>
  <si>
    <t>DUMMY.MIM</t>
  </si>
  <si>
    <t>DYNE.BSX</t>
  </si>
  <si>
    <t>cf.rsd</t>
  </si>
  <si>
    <t>flevel.lgp &gt; dyne</t>
  </si>
  <si>
    <t>DYNE.DAT</t>
  </si>
  <si>
    <t>DYNE.MIM</t>
  </si>
  <si>
    <t>EALIN_1.BSX</t>
  </si>
  <si>
    <t>flevel.lgp &gt; ealin_1</t>
  </si>
  <si>
    <t>EALIN_1.DAT</t>
  </si>
  <si>
    <t>EALIN_1.MIM</t>
  </si>
  <si>
    <t>EALIN_12.BSX</t>
  </si>
  <si>
    <t>flevel.lgp &gt; ealin_12</t>
  </si>
  <si>
    <t>EALIN_12.DAT</t>
  </si>
  <si>
    <t>PSX File</t>
  </si>
  <si>
    <t>EALIN_12.MIM</t>
  </si>
  <si>
    <t>EALIN_2.BSX</t>
  </si>
  <si>
    <t>flevel.lgp &gt; ealin_2</t>
  </si>
  <si>
    <t>EALIN_2.DAT</t>
  </si>
  <si>
    <t>EALIN_2.MIM</t>
  </si>
  <si>
    <t>cg.p</t>
  </si>
  <si>
    <t>EALS_1.BSX</t>
  </si>
  <si>
    <t>Chocobo: neck</t>
  </si>
  <si>
    <t>flevel.lgp &gt; eals_1</t>
  </si>
  <si>
    <t>EALS_1.DAT</t>
  </si>
  <si>
    <t>EALS_1.MIM</t>
  </si>
  <si>
    <t>EARITH.BCX</t>
  </si>
  <si>
    <t>flevel.lgp &gt; ea_eye2.tex | ea_eye2r.tex</t>
  </si>
  <si>
    <t>ELEOUT.BSX</t>
  </si>
  <si>
    <t>flevel.lgp &gt; eleout</t>
  </si>
  <si>
    <t>ELEOUT.DAT</t>
  </si>
  <si>
    <t>ELEOUT.MIM</t>
  </si>
  <si>
    <t>ELEVTR1.BSX</t>
  </si>
  <si>
    <t>cg.rsd</t>
  </si>
  <si>
    <t>flevel.lgp &gt; elevtr1</t>
  </si>
  <si>
    <t>Chocobo: Neck</t>
  </si>
  <si>
    <t>ELEVTR1.DAT</t>
  </si>
  <si>
    <t>ELEVTR1.MIM</t>
  </si>
  <si>
    <t>ELM.BSX</t>
  </si>
  <si>
    <t>flevel.lgp &gt; elm</t>
  </si>
  <si>
    <t>ELM.DAT</t>
  </si>
  <si>
    <t>ELM.MIM</t>
  </si>
  <si>
    <t>ELM_I.BSX</t>
  </si>
  <si>
    <t>flevel.lgp &gt; elm_i</t>
  </si>
  <si>
    <t>ELM_I.DAT</t>
  </si>
  <si>
    <t>ELM_I.MIM</t>
  </si>
  <si>
    <t>ELM_WA.BSX</t>
  </si>
  <si>
    <t>flevel.lgp &gt; elm_wa</t>
  </si>
  <si>
    <t>**aa = . hrc (Battle Skeleton) **ab = Unknown(?) **ac-**al =.tex (Texture) **da = animation file **am+ = .p (Polygon Models)</t>
  </si>
  <si>
    <t>ELM_WA.DAT</t>
  </si>
  <si>
    <t>ch.p</t>
  </si>
  <si>
    <t>ELM_WA.MIM</t>
  </si>
  <si>
    <t>Chocobo: Finger</t>
  </si>
  <si>
    <t>ELMIN1_1.BSX</t>
  </si>
  <si>
    <t>flevel.lgp &gt; elmin1_1</t>
  </si>
  <si>
    <t>ELMIN1_1.DAT</t>
  </si>
  <si>
    <t>ELMIN1_1.MIM</t>
  </si>
  <si>
    <t>ELMIN1_2.BSX</t>
  </si>
  <si>
    <t>flevel.lgp &gt; elmin1_2</t>
  </si>
  <si>
    <t>ELMIN1_2.DAT</t>
  </si>
  <si>
    <t>ELMIN1_2.MIM</t>
  </si>
  <si>
    <t>ch.rsd</t>
  </si>
  <si>
    <t>ELMIN2_1.BSX</t>
  </si>
  <si>
    <t>flevel.lgp &gt; elmin2_1</t>
  </si>
  <si>
    <t>ELMIN2_1.DAT</t>
  </si>
  <si>
    <t>ELMIN2_1.MIM</t>
  </si>
  <si>
    <t>ELMIN2_2.BSX</t>
  </si>
  <si>
    <t>flevel.lgp &gt; elmin2_2</t>
  </si>
  <si>
    <t>ELMIN2_2.DAT</t>
  </si>
  <si>
    <t>ELMIN2_2.MIM</t>
  </si>
  <si>
    <t>ELMIN3_1.BSX</t>
  </si>
  <si>
    <t>chocobo.wat</t>
  </si>
  <si>
    <t>flevel.lgp &gt; elmin3_1</t>
  </si>
  <si>
    <t>ELMIN3_1.DAT</t>
  </si>
  <si>
    <t>Chocobo:</t>
  </si>
  <si>
    <t>Unknown file</t>
  </si>
  <si>
    <t>ELMIN3_1.MIM</t>
  </si>
  <si>
    <t>ELMIN3_2.BSX</t>
  </si>
  <si>
    <t>flevel.lgp &gt; elmin3_2</t>
  </si>
  <si>
    <t>ELMIN3_2.DAT</t>
  </si>
  <si>
    <t>ELMIN3_2.MIM</t>
  </si>
  <si>
    <t>ELMIN4_1.BSX</t>
  </si>
  <si>
    <t>flevel.lgp &gt; elmin4_1</t>
  </si>
  <si>
    <t>ELMIN4_1.DAT</t>
  </si>
  <si>
    <t>ELMIN4_1.MIM</t>
  </si>
  <si>
    <t>ELMIN4_2.BSX</t>
  </si>
  <si>
    <t>flevel.lgp &gt; elmin4_2</t>
  </si>
  <si>
    <t>ELMIN4_2.DAT</t>
  </si>
  <si>
    <t>ELMIN4_2.MIM</t>
  </si>
  <si>
    <t>ELMINN_1.BSX</t>
  </si>
  <si>
    <t>flevel.lgp &gt; elminn_1</t>
  </si>
  <si>
    <t>ELMINN_1.DAT</t>
  </si>
  <si>
    <t>ELMINN_1.MIM</t>
  </si>
  <si>
    <t>ci.p</t>
  </si>
  <si>
    <t>Chocobo: Head</t>
  </si>
  <si>
    <t>ELMINN_2.BSX</t>
  </si>
  <si>
    <t>flevel.lgp &gt; elminn_2</t>
  </si>
  <si>
    <t>ELMINN_2.DAT</t>
  </si>
  <si>
    <t>ELMINN_2.MIM</t>
  </si>
  <si>
    <t>ELMPB.BSX</t>
  </si>
  <si>
    <t>flevel.lgp &gt; elmpb</t>
  </si>
  <si>
    <t>ELMPB.DAT</t>
  </si>
  <si>
    <t>ELMPB.MIM</t>
  </si>
  <si>
    <t>ELMTOW.BSX</t>
  </si>
  <si>
    <t>flevel.lgp &gt; elmtow</t>
  </si>
  <si>
    <t>ELMTOW.DAT</t>
  </si>
  <si>
    <t>ELMTOW.MIM</t>
  </si>
  <si>
    <t>ci.rsd</t>
  </si>
  <si>
    <t>ENDING.X</t>
  </si>
  <si>
    <t>FALLP.BSX</t>
  </si>
  <si>
    <t>FALLP.DAT</t>
  </si>
  <si>
    <t>FALLP.MIM</t>
  </si>
  <si>
    <t>FARM.BSX</t>
  </si>
  <si>
    <t>flevel.lgp &gt; farm</t>
  </si>
  <si>
    <t>FARM.DAT</t>
  </si>
  <si>
    <t>cj.p</t>
  </si>
  <si>
    <t>FARM.MIM</t>
  </si>
  <si>
    <t>Chocobo: Head feathers</t>
  </si>
  <si>
    <t>FIELD.BIN</t>
  </si>
  <si>
    <t>Field system data, maybe overlay. gzip compressed</t>
  </si>
  <si>
    <t>NOTE: Links In Red Are not on server yet</t>
  </si>
  <si>
    <t>flevel.lgp &gt; flevel.siz ???</t>
  </si>
  <si>
    <t>FIELD.TDB</t>
  </si>
  <si>
    <t>Field model textures, mostly eyes. LZS compressed</t>
  </si>
  <si>
    <t>FR_E.BSX</t>
  </si>
  <si>
    <t>flevel.lgp &gt; fr_e</t>
  </si>
  <si>
    <t>FR_E.DAT</t>
  </si>
  <si>
    <t>FR_E.MIM</t>
  </si>
  <si>
    <t>cj.rsd</t>
  </si>
  <si>
    <t>FRCYO.BSX</t>
  </si>
  <si>
    <t>flevel.lgp &gt; frcyo</t>
  </si>
  <si>
    <t>FRCYO.DAT</t>
  </si>
  <si>
    <t>aaaa</t>
  </si>
  <si>
    <t>FRCYO.MIM</t>
  </si>
  <si>
    <t>FRMIN.BSX</t>
  </si>
  <si>
    <t>ck.p</t>
  </si>
  <si>
    <t>flevel.lgp &gt; frmin</t>
  </si>
  <si>
    <t>FRMIN.DAT</t>
  </si>
  <si>
    <t>Chocobo: Left wing</t>
  </si>
  <si>
    <t>88 Bytes</t>
  </si>
  <si>
    <t>FRMIN.MIM</t>
  </si>
  <si>
    <t>FSHIP_1.BSX</t>
  </si>
  <si>
    <t>flevel.lgp &gt; fship_1</t>
  </si>
  <si>
    <t>FSHIP_1.DAT</t>
  </si>
  <si>
    <t>FSHIP_1.MIM</t>
  </si>
  <si>
    <t>FSHIP_12.BSX</t>
  </si>
  <si>
    <t>flevel.lgp &gt; fship_12</t>
  </si>
  <si>
    <t>Unused Pyramid:Battle Skeleton</t>
  </si>
  <si>
    <t>FSHIP_12.DAT</t>
  </si>
  <si>
    <t>ck.rsd</t>
  </si>
  <si>
    <t>FSHIP_12.MIM</t>
  </si>
  <si>
    <t>Battle Skeleton</t>
  </si>
  <si>
    <t>FSHIP_2.BSX</t>
  </si>
  <si>
    <t>flevel.lgp &gt; fship_2</t>
  </si>
  <si>
    <t>FSHIP_2.DAT</t>
  </si>
  <si>
    <t>FSHIP_2.MIM</t>
  </si>
  <si>
    <t>FSHIP_22.BSX</t>
  </si>
  <si>
    <t>flevel.lgp &gt; fship_22</t>
  </si>
  <si>
    <t>FSHIP_22.DAT</t>
  </si>
  <si>
    <t>FSHIP_22.MIM</t>
  </si>
  <si>
    <t>FSHIP_23.BSX</t>
  </si>
  <si>
    <t>flevel.lgp &gt; fship_23</t>
  </si>
  <si>
    <t>FSHIP_23.DAT</t>
  </si>
  <si>
    <t>FSHIP_23.MIM</t>
  </si>
  <si>
    <t>FSHIP_24.BSX</t>
  </si>
  <si>
    <t>flevel.lgp &gt; fship_24</t>
  </si>
  <si>
    <t>FSHIP_24.DAT</t>
  </si>
  <si>
    <t>FSHIP_24.MIM</t>
  </si>
  <si>
    <t>aaab</t>
  </si>
  <si>
    <t>412 Bytes</t>
  </si>
  <si>
    <t>Unused Pyramid:Unidentified Part</t>
  </si>
  <si>
    <t>FSHIP_25.BSX</t>
  </si>
  <si>
    <t>flevel.lgp &gt; fship_25</t>
  </si>
  <si>
    <t>**ab File</t>
  </si>
  <si>
    <t>FSHIP_25.DAT</t>
  </si>
  <si>
    <t>FSHIP_25.MIM</t>
  </si>
  <si>
    <t>cl.p</t>
  </si>
  <si>
    <t>FSHIP_26.BSX</t>
  </si>
  <si>
    <t>Chocobo: Tail</t>
  </si>
  <si>
    <t>flevel.lgp &gt; fship_26</t>
  </si>
  <si>
    <t>FSHIP_26.DAT</t>
  </si>
  <si>
    <t>FSHIP_26.MIM</t>
  </si>
  <si>
    <t>Not Readable in Biturn</t>
  </si>
  <si>
    <t>FSHIP_3.BSX</t>
  </si>
  <si>
    <t>flevel.lgp &gt; fship_3</t>
  </si>
  <si>
    <t>aaam</t>
  </si>
  <si>
    <t>FSHIP_3.DAT</t>
  </si>
  <si>
    <t>616 Bytes</t>
  </si>
  <si>
    <t>Unused Pyramid:Model</t>
  </si>
  <si>
    <t>Model</t>
  </si>
  <si>
    <t>FSHIP_3.MIM</t>
  </si>
  <si>
    <t>cl.rsd</t>
  </si>
  <si>
    <t>FSHIP_4.BSX</t>
  </si>
  <si>
    <t>flevel.lgp &gt; fship_4</t>
  </si>
  <si>
    <t>FSHIP_4.DAT</t>
  </si>
  <si>
    <t>FSHIP_4.MIM</t>
  </si>
  <si>
    <t>FSHIP_42.BSX</t>
  </si>
  <si>
    <t>flevel.lgp &gt; fship_42</t>
  </si>
  <si>
    <t>FSHIP_42.DAT</t>
  </si>
  <si>
    <t>aada</t>
  </si>
  <si>
    <t>140 Bytes</t>
  </si>
  <si>
    <t>FSHIP_42.MIM</t>
  </si>
  <si>
    <t>cm.p</t>
  </si>
  <si>
    <t>Chocobo: Tigh</t>
  </si>
  <si>
    <t>FSHIP_5.BSX</t>
  </si>
  <si>
    <t>**da File</t>
  </si>
  <si>
    <t>flevel.lgp &gt; fship_5</t>
  </si>
  <si>
    <t>FSHIP_5.DAT</t>
  </si>
  <si>
    <t>abaa</t>
  </si>
  <si>
    <t>FSHIP_5.MIM</t>
  </si>
  <si>
    <t>GAIA_1.BSX</t>
  </si>
  <si>
    <t>flevel.lgp &gt; gaia_1</t>
  </si>
  <si>
    <t>GAIA_1.DAT</t>
  </si>
  <si>
    <t>cm.rsd</t>
  </si>
  <si>
    <t>GAIA_1.MIM</t>
  </si>
  <si>
    <t>GAIA_2.BSX</t>
  </si>
  <si>
    <t>flevel.lgp &gt; gaia_2</t>
  </si>
  <si>
    <t>Pyramid copy 1 (aaaa)</t>
  </si>
  <si>
    <t>GAIA_2.DAT</t>
  </si>
  <si>
    <t>abab</t>
  </si>
  <si>
    <t>GAIA_2.MIM</t>
  </si>
  <si>
    <t>GAIA_31.BSX</t>
  </si>
  <si>
    <t>flevel.lgp &gt; gaia_31</t>
  </si>
  <si>
    <t>GAIA_31.DAT</t>
  </si>
  <si>
    <t>abam</t>
  </si>
  <si>
    <t>cn.p</t>
  </si>
  <si>
    <t>GAIA_31.MIM</t>
  </si>
  <si>
    <t>Chocobo: Upper leg</t>
  </si>
  <si>
    <t>GAIA_32.BSX</t>
  </si>
  <si>
    <t>flevel.lgp &gt; gaia_32</t>
  </si>
  <si>
    <t>GAIA_32.DAT</t>
  </si>
  <si>
    <t>GAIA_32.MIM</t>
  </si>
  <si>
    <t>GAIAFOOT.BSX</t>
  </si>
  <si>
    <t>flevel.lgp &gt; gaiafoot</t>
  </si>
  <si>
    <t>GAIAFOOT.DAT</t>
  </si>
  <si>
    <t>cn.rsd</t>
  </si>
  <si>
    <t>GAIAFOOT.MIM</t>
  </si>
  <si>
    <t>abda</t>
  </si>
  <si>
    <t>GAIIN_1.BSX</t>
  </si>
  <si>
    <t>flevel.lgp &gt; gaiin_1</t>
  </si>
  <si>
    <t>GAIIN_1.DAT</t>
  </si>
  <si>
    <t>acaa</t>
  </si>
  <si>
    <t>GAIIN_1.MIM</t>
  </si>
  <si>
    <t>GAIIN_2.BSX</t>
  </si>
  <si>
    <t>flevel.lgp &gt; gaiin_2</t>
  </si>
  <si>
    <t>GAIIN_2.DAT</t>
  </si>
  <si>
    <t>co.p</t>
  </si>
  <si>
    <t>Chocobo: Lower leg</t>
  </si>
  <si>
    <t>GAIIN_2.MIM</t>
  </si>
  <si>
    <t>GAIIN_3.BSX</t>
  </si>
  <si>
    <t>flevel.lgp &gt; gaiin_3</t>
  </si>
  <si>
    <t>GAIIN_3.DAT</t>
  </si>
  <si>
    <t>Pyramid copy 2 (aaaa)</t>
  </si>
  <si>
    <t>acab</t>
  </si>
  <si>
    <t>GAIIN_3.MIM</t>
  </si>
  <si>
    <t>co.rsd</t>
  </si>
  <si>
    <t>GAIIN_4.BSX</t>
  </si>
  <si>
    <t>acam</t>
  </si>
  <si>
    <t>flevel.lgp &gt; gaiin_4</t>
  </si>
  <si>
    <t>GAIIN_4.DAT</t>
  </si>
  <si>
    <t>GAIIN_4.MIM</t>
  </si>
  <si>
    <t>GAIIN_5.BSX</t>
  </si>
  <si>
    <t>flevel.lgp &gt; gaiin_5</t>
  </si>
  <si>
    <t>GAIIN_5.DAT</t>
  </si>
  <si>
    <t>GAIIN_5.MIM</t>
  </si>
  <si>
    <t>GAIIN_6.BSX</t>
  </si>
  <si>
    <t>flevel.lgp &gt; gaiin_6</t>
  </si>
  <si>
    <t>GAIIN_6.DAT</t>
  </si>
  <si>
    <t>cp.p</t>
  </si>
  <si>
    <t>acda</t>
  </si>
  <si>
    <t>Chocobo: Back claw</t>
  </si>
  <si>
    <t>GAIIN_6.MIM</t>
  </si>
  <si>
    <t>GAIIN_7.BSX</t>
  </si>
  <si>
    <t>flevel.lgp &gt; gaiin_7</t>
  </si>
  <si>
    <t>adaa</t>
  </si>
  <si>
    <t>GAIIN_7.DAT</t>
  </si>
  <si>
    <t>GAIIN_7.MIM</t>
  </si>
  <si>
    <t>GAMES.BSX</t>
  </si>
  <si>
    <t>flevel.lgp &gt; games</t>
  </si>
  <si>
    <t>GAMES.DAT</t>
  </si>
  <si>
    <t>GAMES.MIM</t>
  </si>
  <si>
    <t>GAMES_1.BSX</t>
  </si>
  <si>
    <t>flevel.lgp &gt; games_1</t>
  </si>
  <si>
    <t>Pyramid copy 3 (aaaa)</t>
  </si>
  <si>
    <t>GAMES_1.DAT</t>
  </si>
  <si>
    <t>GAMES_1.MIM</t>
  </si>
  <si>
    <t>GAMES_2.BSX</t>
  </si>
  <si>
    <t>flevel.lgp &gt; games_2</t>
  </si>
  <si>
    <t>GAMES_2.DAT</t>
  </si>
  <si>
    <t>cp.rsd</t>
  </si>
  <si>
    <t>GAMES_2.MIM</t>
  </si>
  <si>
    <t>GHOTEL.BSX</t>
  </si>
  <si>
    <t>adab</t>
  </si>
  <si>
    <t>flevel.lgp &gt; ghotel</t>
  </si>
  <si>
    <t>GHOTEL.DAT</t>
  </si>
  <si>
    <t>GHOTEL.MIM</t>
  </si>
  <si>
    <t>adam</t>
  </si>
  <si>
    <t>GHOTIN_1.BSX</t>
  </si>
  <si>
    <t>flevel.lgp &gt; ghotin_1</t>
  </si>
  <si>
    <t>GHOTIN_1.DAT</t>
  </si>
  <si>
    <t>GHOTIN_1.MIM</t>
  </si>
  <si>
    <t>cq.p</t>
  </si>
  <si>
    <t>GHOTIN_2.BSX</t>
  </si>
  <si>
    <t>flevel.lgp &gt; ghotin_2</t>
  </si>
  <si>
    <t>GHOTIN_2.DAT</t>
  </si>
  <si>
    <t>GHOTIN_2.MIM</t>
  </si>
  <si>
    <t>adda</t>
  </si>
  <si>
    <t>GHOTIN_3.BSX</t>
  </si>
  <si>
    <t>flevel.lgp &gt; ghotin_3</t>
  </si>
  <si>
    <t>GHOTIN_3.DAT</t>
  </si>
  <si>
    <t>aeaa</t>
  </si>
  <si>
    <t>GHOTIN_3.MIM</t>
  </si>
  <si>
    <t>cq.rsd</t>
  </si>
  <si>
    <t>GHOTIN_4.BSX</t>
  </si>
  <si>
    <t>flevel.lgp &gt; ghotin_4</t>
  </si>
  <si>
    <t>GHOTIN_4.DAT</t>
  </si>
  <si>
    <t>GHOTIN_4.MIM</t>
  </si>
  <si>
    <t>GIDUN_1.BSX</t>
  </si>
  <si>
    <t>flevel.lgp &gt; gidun_1</t>
  </si>
  <si>
    <t>Pyramid copy 4 (aaaa)</t>
  </si>
  <si>
    <t>GIDUN_1.DAT</t>
  </si>
  <si>
    <t>cr.p</t>
  </si>
  <si>
    <t>Chocobo: Claw</t>
  </si>
  <si>
    <t>aeab</t>
  </si>
  <si>
    <t>GIDUN_1.MIM</t>
  </si>
  <si>
    <t>GIDUN_2.BSX</t>
  </si>
  <si>
    <t>flevel.lgp &gt; gidun_2</t>
  </si>
  <si>
    <t>GIDUN_2.DAT</t>
  </si>
  <si>
    <t>aeam</t>
  </si>
  <si>
    <t>GIDUN_2.MIM</t>
  </si>
  <si>
    <t>GIDUN_3.BSX</t>
  </si>
  <si>
    <t>flevel.lgp &gt; gidun_3</t>
  </si>
  <si>
    <t>GIDUN_3.DAT</t>
  </si>
  <si>
    <t>cr.rsd</t>
  </si>
  <si>
    <t>GIDUN_3.MIM</t>
  </si>
  <si>
    <t>GIDUN_4.BSX</t>
  </si>
  <si>
    <t>flevel.lgp &gt; gidun_4</t>
  </si>
  <si>
    <t>aeda</t>
  </si>
  <si>
    <t>GIDUN_4.DAT</t>
  </si>
  <si>
    <t>GIDUN_4.MIM</t>
  </si>
  <si>
    <t>GLDELEV.BSX</t>
  </si>
  <si>
    <t>afaa</t>
  </si>
  <si>
    <t>flevel.lgp &gt; gldelev</t>
  </si>
  <si>
    <t>GLDELEV.DAT</t>
  </si>
  <si>
    <t>cs.p</t>
  </si>
  <si>
    <t>GLDELEV.MIM</t>
  </si>
  <si>
    <t>Pyramid copy 5 (aaaa)</t>
  </si>
  <si>
    <t>afab</t>
  </si>
  <si>
    <t>GLDGATE.BSX</t>
  </si>
  <si>
    <t>flevel.lgp &gt; gldgate</t>
  </si>
  <si>
    <t>GLDGATE.DAT</t>
  </si>
  <si>
    <t>GLDGATE.MIM</t>
  </si>
  <si>
    <t>afam</t>
  </si>
  <si>
    <t>GLDINFO.BSX</t>
  </si>
  <si>
    <t>cs.rsd</t>
  </si>
  <si>
    <t>flevel.lgp &gt; gldinfo</t>
  </si>
  <si>
    <t>GLDINFO.DAT</t>
  </si>
  <si>
    <t>GLDINFO.MIM</t>
  </si>
  <si>
    <t>GLDST.BSX</t>
  </si>
  <si>
    <t>flevel.lgp &gt; gldst</t>
  </si>
  <si>
    <t>GLDST.DAT</t>
  </si>
  <si>
    <t>afda</t>
  </si>
  <si>
    <t>GLDST.MIM</t>
  </si>
  <si>
    <t>ct.p</t>
  </si>
  <si>
    <t>GNINN.BSX</t>
  </si>
  <si>
    <t>flevel.lgp &gt; gninn</t>
  </si>
  <si>
    <t>GNINN.DAT</t>
  </si>
  <si>
    <t>agaa</t>
  </si>
  <si>
    <t>GNINN.MIM</t>
  </si>
  <si>
    <t>GNMK.BSX</t>
  </si>
  <si>
    <t>flevel.lgp &gt; gnmk</t>
  </si>
  <si>
    <t>GNMK.DAT</t>
  </si>
  <si>
    <t>GNMK.MIM</t>
  </si>
  <si>
    <t>ct.rsd</t>
  </si>
  <si>
    <t>Pyramid copy 6 (aaaa)</t>
  </si>
  <si>
    <t>GNMKF.BSX</t>
  </si>
  <si>
    <t>agab</t>
  </si>
  <si>
    <t>flevel.lgp &gt; gnmkf</t>
  </si>
  <si>
    <t>GNMKF.DAT</t>
  </si>
  <si>
    <t>GNMKF.MIM</t>
  </si>
  <si>
    <t>agam</t>
  </si>
  <si>
    <t>GOMIN.BSX</t>
  </si>
  <si>
    <t>flevel.lgp &gt; gomin</t>
  </si>
  <si>
    <t>GOMIN.DAT</t>
  </si>
  <si>
    <t>GOMIN.MIM</t>
  </si>
  <si>
    <t>cu.p</t>
  </si>
  <si>
    <t>GON_I.BSX</t>
  </si>
  <si>
    <t>flevel.lgp &gt; gon_i</t>
  </si>
  <si>
    <t>GON_I.DAT</t>
  </si>
  <si>
    <t>GON_I.MIM</t>
  </si>
  <si>
    <t>agda</t>
  </si>
  <si>
    <t>GON_WA1.BSX</t>
  </si>
  <si>
    <t>flevel.lgp &gt; gon_wa1</t>
  </si>
  <si>
    <t>GON_WA1.DAT</t>
  </si>
  <si>
    <t>cu.rsd</t>
  </si>
  <si>
    <t>GON_WA1.MIM</t>
  </si>
  <si>
    <t>ahaa</t>
  </si>
  <si>
    <t>GON_WA2.BSX</t>
  </si>
  <si>
    <t>flevel.lgp &gt; gon_wa2</t>
  </si>
  <si>
    <t>GON_WA2.DAT</t>
  </si>
  <si>
    <t>GON_WA2.MIM</t>
  </si>
  <si>
    <t>GONGAGA.BSX</t>
  </si>
  <si>
    <t>flevel.lgp &gt; gongaga</t>
  </si>
  <si>
    <t>GONGAGA.DAT</t>
  </si>
  <si>
    <t>Pyramid copy 7 (aaaa)</t>
  </si>
  <si>
    <t>GONGAGA.MIM</t>
  </si>
  <si>
    <t>cv.p</t>
  </si>
  <si>
    <t>ahab</t>
  </si>
  <si>
    <t>GONJUN1.BSX</t>
  </si>
  <si>
    <t>flevel.lgp &gt; gonjun1</t>
  </si>
  <si>
    <t>GONJUN1.DAT</t>
  </si>
  <si>
    <t>GONJUN1.MIM</t>
  </si>
  <si>
    <t>aham</t>
  </si>
  <si>
    <t>GONJUN2.BSX</t>
  </si>
  <si>
    <t>flevel.lgp &gt; gonjun2</t>
  </si>
  <si>
    <t>GONJUN2.DAT</t>
  </si>
  <si>
    <t>GONJUN2.MIM</t>
  </si>
  <si>
    <t>cv.rsd</t>
  </si>
  <si>
    <t>GOSON.BSX</t>
  </si>
  <si>
    <t>ahda</t>
  </si>
  <si>
    <t>aiaa</t>
  </si>
  <si>
    <t>cw.p</t>
  </si>
  <si>
    <t>flevel.lgp &gt; goson</t>
  </si>
  <si>
    <t>GOSON.DAT</t>
  </si>
  <si>
    <t>GOSON.MIM</t>
  </si>
  <si>
    <t>HEKIGA.BSX</t>
  </si>
  <si>
    <t>flevel.lgp &gt; hekiga</t>
  </si>
  <si>
    <t>HEKIGA.DAT</t>
  </si>
  <si>
    <t>Pyramid copy 8 (aaaa)</t>
  </si>
  <si>
    <t>HEKIGA.MIM</t>
  </si>
  <si>
    <t>aiab</t>
  </si>
  <si>
    <t>cw.rsd</t>
  </si>
  <si>
    <t>HIDEWAY1.BSX</t>
  </si>
  <si>
    <t>flevel.lgp &gt; hideway1</t>
  </si>
  <si>
    <t>HIDEWAY1.DAT</t>
  </si>
  <si>
    <t>aiam</t>
  </si>
  <si>
    <t>HIDEWAY1.MIM</t>
  </si>
  <si>
    <t>HIDEWAY2.BSX</t>
  </si>
  <si>
    <t>flevel.lgp &gt; hideway2</t>
  </si>
  <si>
    <t>HIDEWAY2.DAT</t>
  </si>
  <si>
    <t>HIDEWAY2.MIM</t>
  </si>
  <si>
    <t>HIDEWAY3.BSX</t>
  </si>
  <si>
    <t>flevel.lgp &gt; hideway3</t>
  </si>
  <si>
    <t>HIDEWAY3.DAT</t>
  </si>
  <si>
    <t>aida</t>
  </si>
  <si>
    <t>HIDEWAY3.MIM</t>
  </si>
  <si>
    <t>HILL.BSX</t>
  </si>
  <si>
    <t>flevel.lgp &gt; hill</t>
  </si>
  <si>
    <t>cx.p</t>
  </si>
  <si>
    <t>ajaa</t>
  </si>
  <si>
    <t>HILL.DAT</t>
  </si>
  <si>
    <t>HILL.MIM</t>
  </si>
  <si>
    <t>HILL2.BSX</t>
  </si>
  <si>
    <t>flevel.lgp &gt; hill2</t>
  </si>
  <si>
    <t>HILL2.DAT</t>
  </si>
  <si>
    <t>HILL2.MIM</t>
  </si>
  <si>
    <t>HOLU_1.BSX</t>
  </si>
  <si>
    <t>Pyramid copy 9 (aaaa)</t>
  </si>
  <si>
    <t>flevel.lgp &gt; holu_1</t>
  </si>
  <si>
    <t>cx.rsd</t>
  </si>
  <si>
    <t>HOLU_1.DAT</t>
  </si>
  <si>
    <t>ajab</t>
  </si>
  <si>
    <t>HOLU_1.MIM</t>
  </si>
  <si>
    <t>HOLU_2.BSX</t>
  </si>
  <si>
    <t>flevel.lgp &gt; holu_2</t>
  </si>
  <si>
    <t>ajam</t>
  </si>
  <si>
    <t>HOLU_2.DAT</t>
  </si>
  <si>
    <t>HOLU_2.MIM</t>
  </si>
  <si>
    <t>HYOU1.BSX</t>
  </si>
  <si>
    <t>cy.p</t>
  </si>
  <si>
    <t>flevel.lgp &gt; hyou1</t>
  </si>
  <si>
    <t>HYOU1.DAT</t>
  </si>
  <si>
    <t>HYOU1.MIM</t>
  </si>
  <si>
    <t>HYOU2.BSX</t>
  </si>
  <si>
    <t>ajda</t>
  </si>
  <si>
    <t>flevel.lgp &gt; hyou2</t>
  </si>
  <si>
    <t>HYOU2.DAT</t>
  </si>
  <si>
    <t>HYOU2.MIM</t>
  </si>
  <si>
    <t>akaa</t>
  </si>
  <si>
    <t>472 Bytes</t>
  </si>
  <si>
    <t>cy.rsd</t>
  </si>
  <si>
    <t>Diamond Weapon: Battle Skeleton</t>
  </si>
  <si>
    <t>HYOU3.BSX</t>
  </si>
  <si>
    <t>flevel.lgp &gt; hyou3</t>
  </si>
  <si>
    <t>HYOU3.DAT</t>
  </si>
  <si>
    <t>HYOU3.MIM</t>
  </si>
  <si>
    <t>HYOU4.BSX</t>
  </si>
  <si>
    <t>flevel.lgp &gt; hyou4</t>
  </si>
  <si>
    <t>HYOU4.DAT</t>
  </si>
  <si>
    <t>HYOU4.MIM</t>
  </si>
  <si>
    <t>cz.p</t>
  </si>
  <si>
    <t>akab</t>
  </si>
  <si>
    <t>488 Bytes</t>
  </si>
  <si>
    <t>HYOU5_1.BSX</t>
  </si>
  <si>
    <t>Diamond Weapon:Unidentified Part</t>
  </si>
  <si>
    <t>flevel.lgp &gt; hyou5_1</t>
  </si>
  <si>
    <t>HYOU5_1.DAT</t>
  </si>
  <si>
    <t>akam</t>
  </si>
  <si>
    <t>13 K</t>
  </si>
  <si>
    <t>HYOU5_1.MIM</t>
  </si>
  <si>
    <t xml:space="preserve">Diamond Weapon: Rear Back </t>
  </si>
  <si>
    <t>HYOU5_2.BSX</t>
  </si>
  <si>
    <t>flevel.lgp &gt; hyou5_2</t>
  </si>
  <si>
    <t>HYOU5_2.DAT</t>
  </si>
  <si>
    <t>cz.rsd</t>
  </si>
  <si>
    <t>HYOU5_2.MIM</t>
  </si>
  <si>
    <t>HYOU5_3.BSX</t>
  </si>
  <si>
    <t>flevel.lgp &gt; hyou5_3</t>
  </si>
  <si>
    <t>HYOU5_3.DAT</t>
  </si>
  <si>
    <t>akao</t>
  </si>
  <si>
    <t>41 K</t>
  </si>
  <si>
    <t>Diamond Weapon:Chest And Shoulders</t>
  </si>
  <si>
    <t>HYOU5_3.MIM</t>
  </si>
  <si>
    <t>HYOU5_4.BSX</t>
  </si>
  <si>
    <t>flevel.lgp &gt; hyou5_4</t>
  </si>
  <si>
    <t>HYOU5_4.DAT</t>
  </si>
  <si>
    <t>HYOU5_4.MIM</t>
  </si>
  <si>
    <t>da.p</t>
  </si>
  <si>
    <t>HYOU6.BSX</t>
  </si>
  <si>
    <t>flevel.lgp &gt; hyou6</t>
  </si>
  <si>
    <t>HYOU6.DAT</t>
  </si>
  <si>
    <t>akas</t>
  </si>
  <si>
    <t>HYOU6.MIM</t>
  </si>
  <si>
    <t>4.0 K</t>
  </si>
  <si>
    <t>Diamond Weapon:Left Chest Plate</t>
  </si>
  <si>
    <t>HYOU7.BSX</t>
  </si>
  <si>
    <t>flevel.lgp &gt; hyou7</t>
  </si>
  <si>
    <t>HYOU7.DAT</t>
  </si>
  <si>
    <t>HYOU7.MIM</t>
  </si>
  <si>
    <t>HYOU8_1.BSX</t>
  </si>
  <si>
    <t>da.rsd</t>
  </si>
  <si>
    <t>flevel.lgp &gt; hyou8_1</t>
  </si>
  <si>
    <t>HYOU8_1.DAT</t>
  </si>
  <si>
    <t>HYOU8_1.MIM</t>
  </si>
  <si>
    <t>akau</t>
  </si>
  <si>
    <t>3.9 K</t>
  </si>
  <si>
    <t>Diamond Weapon:Right Chest Plate</t>
  </si>
  <si>
    <t>HYOU8_2.BSX</t>
  </si>
  <si>
    <t>flevel.lgp &gt; hyou8_2</t>
  </si>
  <si>
    <t>HYOU8_2.DAT</t>
  </si>
  <si>
    <t>HYOU8_2.MIM</t>
  </si>
  <si>
    <t>HYOU9.BSX</t>
  </si>
  <si>
    <t>db.a</t>
  </si>
  <si>
    <t>flevel.lgp &gt; hyou9</t>
  </si>
  <si>
    <t>Chocobo: Run</t>
  </si>
  <si>
    <t>HYOU9.DAT</t>
  </si>
  <si>
    <t>Animation</t>
  </si>
  <si>
    <t>HYOU9.MIM</t>
  </si>
  <si>
    <t>akaw</t>
  </si>
  <si>
    <t>dc.a</t>
  </si>
  <si>
    <t>4.7 K</t>
  </si>
  <si>
    <t>Chocobo: Dash</t>
  </si>
  <si>
    <t>Diamond Weapon:Collar Around Neck</t>
  </si>
  <si>
    <t>HYOU10.BSX</t>
  </si>
  <si>
    <t>flevel.lgp &gt; hyou10</t>
  </si>
  <si>
    <t>dd.a</t>
  </si>
  <si>
    <t>HYOU10.DAT</t>
  </si>
  <si>
    <t>Chocobo: Win</t>
  </si>
  <si>
    <t>HYOU10.MIM</t>
  </si>
  <si>
    <t>de.a</t>
  </si>
  <si>
    <t>HYOU11.BSX</t>
  </si>
  <si>
    <t>Chocobo: Standing</t>
  </si>
  <si>
    <t>flevel.lgp &gt; hyou11</t>
  </si>
  <si>
    <t>HYOU11.DAT</t>
  </si>
  <si>
    <t>df.a</t>
  </si>
  <si>
    <t>HYOU11.MIM</t>
  </si>
  <si>
    <t>Chocobo: Lose</t>
  </si>
  <si>
    <t>HYOU12.BSX</t>
  </si>
  <si>
    <t>dg.a</t>
  </si>
  <si>
    <t>flevel.lgp &gt; hyou12</t>
  </si>
  <si>
    <t>Chocobo: Tired</t>
  </si>
  <si>
    <t>HYOU12.DAT</t>
  </si>
  <si>
    <t>HYOU12.MIM</t>
  </si>
  <si>
    <t>dh.hrc</t>
  </si>
  <si>
    <t>Jockey: Skeleton</t>
  </si>
  <si>
    <t>HYOU13_1.BSX</t>
  </si>
  <si>
    <t>flevel.lgp &gt; hyou13_1</t>
  </si>
  <si>
    <t>HYOU13_1.DAT</t>
  </si>
  <si>
    <t>akay</t>
  </si>
  <si>
    <t>26 K</t>
  </si>
  <si>
    <t>Diamond Weapon:Head</t>
  </si>
  <si>
    <t>HYOU13_1.MIM</t>
  </si>
  <si>
    <t>HYOU13_2.BSX</t>
  </si>
  <si>
    <t>flevel.lgp &gt; hyou13_2</t>
  </si>
  <si>
    <t>HYOU13_2.DAT</t>
  </si>
  <si>
    <t>HYOU13_2.MIM</t>
  </si>
  <si>
    <t>di.p</t>
  </si>
  <si>
    <t>Jockey: Hip</t>
  </si>
  <si>
    <t>HYOU14.BSX</t>
  </si>
  <si>
    <t>flevel.lgp &gt; hyou14</t>
  </si>
  <si>
    <t>akbd</t>
  </si>
  <si>
    <t>HYOU14.DAT</t>
  </si>
  <si>
    <t>3.7 K</t>
  </si>
  <si>
    <t>Diamond Weapon:Left Upper Arm</t>
  </si>
  <si>
    <t>HYOU14.MIM</t>
  </si>
  <si>
    <t>HYOUMAP.BSX</t>
  </si>
  <si>
    <t>flevel.lgp &gt; hyoumap</t>
  </si>
  <si>
    <t>HYOUMAP.DAT</t>
  </si>
  <si>
    <t>HYOUMAP.MIM</t>
  </si>
  <si>
    <t>di.rsd</t>
  </si>
  <si>
    <t>ICEDUN_1.BSX</t>
  </si>
  <si>
    <t>akbe</t>
  </si>
  <si>
    <t>flevel.lgp &gt; icedun_1</t>
  </si>
  <si>
    <t>Diamond Weapon:Left Lower Arm</t>
  </si>
  <si>
    <t>ICEDUN_1.DAT</t>
  </si>
  <si>
    <t>ICEDUN_1.MIM</t>
  </si>
  <si>
    <t>ICEDUN_2.BSX</t>
  </si>
  <si>
    <t>flevel.lgp &gt; icedun_2</t>
  </si>
  <si>
    <t>ICEDUN_2.DAT</t>
  </si>
  <si>
    <t>ICEDUN_2.MIM</t>
  </si>
  <si>
    <t>dj.p</t>
  </si>
  <si>
    <t>Jockey: Body</t>
  </si>
  <si>
    <t>akbf</t>
  </si>
  <si>
    <t>ITHILL.BSX</t>
  </si>
  <si>
    <t>5.9 K</t>
  </si>
  <si>
    <t>Diamond Weapon:Left Hand</t>
  </si>
  <si>
    <t>flevel.lgp &gt; ithill</t>
  </si>
  <si>
    <t>ITHILL.DAT</t>
  </si>
  <si>
    <t>ITHILL.MIM</t>
  </si>
  <si>
    <t>ITHOS.BSX</t>
  </si>
  <si>
    <t>flevel.lgp &gt; ithos</t>
  </si>
  <si>
    <t>ITHOS.DAT</t>
  </si>
  <si>
    <t>dj.rsd</t>
  </si>
  <si>
    <t>ITHOS.MIM</t>
  </si>
  <si>
    <t>akbi</t>
  </si>
  <si>
    <t>3.6 K</t>
  </si>
  <si>
    <t>Diamond Weapon:Right Upper Arm</t>
  </si>
  <si>
    <t>ITMIN1.BSX</t>
  </si>
  <si>
    <t>flevel.lgp &gt; itmin1</t>
  </si>
  <si>
    <t>ITMIN1.DAT</t>
  </si>
  <si>
    <t>ITMIN1.MIM</t>
  </si>
  <si>
    <t>ITMIN2.BSX</t>
  </si>
  <si>
    <t>flevel.lgp &gt; itmin2</t>
  </si>
  <si>
    <t>ITMIN2.DAT</t>
  </si>
  <si>
    <t>dk.p</t>
  </si>
  <si>
    <t>ITMIN2.MIM</t>
  </si>
  <si>
    <t>Jockey: Head</t>
  </si>
  <si>
    <t>akbj</t>
  </si>
  <si>
    <t>ITOWN12.BSX</t>
  </si>
  <si>
    <t>Diamond Weapon:Right Lower Arm</t>
  </si>
  <si>
    <t>flevel.lgp &gt; itown12</t>
  </si>
  <si>
    <t>ITOWN12.DAT</t>
  </si>
  <si>
    <t>dk.rsd</t>
  </si>
  <si>
    <t>ITOWN12.MIM</t>
  </si>
  <si>
    <t>akbk</t>
  </si>
  <si>
    <t>6.0 K</t>
  </si>
  <si>
    <t>Diamond Weapon:Right Hand</t>
  </si>
  <si>
    <t>ITOWN1A.BSX</t>
  </si>
  <si>
    <t>flevel.lgp &gt; itown1a</t>
  </si>
  <si>
    <t>ITOWN1A.DAT</t>
  </si>
  <si>
    <t>ITOWN1A.MIM</t>
  </si>
  <si>
    <t>ITOWN1B.BSX</t>
  </si>
  <si>
    <t>flevel.lgp &gt; itown1b</t>
  </si>
  <si>
    <t>ITOWN1B.DAT</t>
  </si>
  <si>
    <t>dl.p</t>
  </si>
  <si>
    <t>ITOWN1B.MIM</t>
  </si>
  <si>
    <t>Jockey: Arm</t>
  </si>
  <si>
    <t>ITOWN2.BSX</t>
  </si>
  <si>
    <t>flevel.lgp &gt; itown2</t>
  </si>
  <si>
    <t>ITOWN2.DAT</t>
  </si>
  <si>
    <t>akbm</t>
  </si>
  <si>
    <t>4.5 K</t>
  </si>
  <si>
    <t>Diamond Weapon:Left Upper Leg</t>
  </si>
  <si>
    <t>ITOWN2.MIM</t>
  </si>
  <si>
    <t>ITOWN_I.BSX</t>
  </si>
  <si>
    <t>flevel.lgp &gt; itown_i</t>
  </si>
  <si>
    <t>ITOWN_I.DAT</t>
  </si>
  <si>
    <t>dl.rsd</t>
  </si>
  <si>
    <t>ITOWN_I.MIM</t>
  </si>
  <si>
    <t>ITOWN_M.BSX</t>
  </si>
  <si>
    <t>Please Confirm Side</t>
  </si>
  <si>
    <t>flevel.lgp &gt; itown_m</t>
  </si>
  <si>
    <t>ITOWN_M.DAT</t>
  </si>
  <si>
    <t>akbn</t>
  </si>
  <si>
    <t>6.1 K</t>
  </si>
  <si>
    <t>Diamond Weapon:Left Lower Leg</t>
  </si>
  <si>
    <t>ITOWN_M.MIM</t>
  </si>
  <si>
    <t>ITOWN_W.BSX</t>
  </si>
  <si>
    <t>flevel.lgp &gt; itown_w</t>
  </si>
  <si>
    <t>dm.p</t>
  </si>
  <si>
    <t>ITOWN_W.DAT</t>
  </si>
  <si>
    <t>Jockey: Forearm</t>
  </si>
  <si>
    <t>ITOWN_W.MIM</t>
  </si>
  <si>
    <t>JAIL1.BSX</t>
  </si>
  <si>
    <t>akbp</t>
  </si>
  <si>
    <t>5.0 K</t>
  </si>
  <si>
    <t>flevel.lgp &gt; jail1</t>
  </si>
  <si>
    <t>Diamond Weapon:Left Foot</t>
  </si>
  <si>
    <t>JAIL1.DAT</t>
  </si>
  <si>
    <t>JAIL1.MIM</t>
  </si>
  <si>
    <t>dm.rsd</t>
  </si>
  <si>
    <t>JAIL2.BSX</t>
  </si>
  <si>
    <t>flevel.lgp &gt; jail2</t>
  </si>
  <si>
    <t>JAIL2.DAT</t>
  </si>
  <si>
    <t>JAIL2.MIM</t>
  </si>
  <si>
    <t>JAIL3.BSX</t>
  </si>
  <si>
    <t>flevel.lgp &gt; jail3</t>
  </si>
  <si>
    <t>akbr</t>
  </si>
  <si>
    <t>JAIL3.DAT</t>
  </si>
  <si>
    <t>4.4 K</t>
  </si>
  <si>
    <t>Diamond Weapon:Right Upper Leg</t>
  </si>
  <si>
    <t>JAIL3.MIM</t>
  </si>
  <si>
    <t>JAIL4.BSX</t>
  </si>
  <si>
    <t>flevel.lgp &gt; jail4</t>
  </si>
  <si>
    <t>JAIL4.DAT</t>
  </si>
  <si>
    <t>JAIL4.MIM</t>
  </si>
  <si>
    <t>dn.p</t>
  </si>
  <si>
    <t>JAILIN1.BSX</t>
  </si>
  <si>
    <t>flevel.lgp &gt; jailin1</t>
  </si>
  <si>
    <t>akbs</t>
  </si>
  <si>
    <t>JAILIN1.DAT</t>
  </si>
  <si>
    <t>Diamond Weapon:Right Lower Leg</t>
  </si>
  <si>
    <t>JAILIN1.MIM</t>
  </si>
  <si>
    <t>JAILIN2.BSX</t>
  </si>
  <si>
    <t>flevel.lgp &gt; jailin2</t>
  </si>
  <si>
    <t>JAILIN2.DAT</t>
  </si>
  <si>
    <t>JAILIN2.MIM</t>
  </si>
  <si>
    <t>dn.rsd</t>
  </si>
  <si>
    <t>JAILIN3.BSX</t>
  </si>
  <si>
    <t>akbu</t>
  </si>
  <si>
    <t>flevel.lgp &gt; jailin3</t>
  </si>
  <si>
    <t>Diamond Weapon:Right Foot</t>
  </si>
  <si>
    <t>JAILIN3.DAT</t>
  </si>
  <si>
    <t>JAILIN3.MIM</t>
  </si>
  <si>
    <t>JAILIN4.BSX</t>
  </si>
  <si>
    <t>flevel.lgp &gt; jailin4</t>
  </si>
  <si>
    <t>JAILIN4.DAT</t>
  </si>
  <si>
    <t>do.p</t>
  </si>
  <si>
    <t>JAILIN4.MIM</t>
  </si>
  <si>
    <t>JAILPB.BSX</t>
  </si>
  <si>
    <t>akda</t>
  </si>
  <si>
    <t>flevel.lgp &gt; jailpb</t>
  </si>
  <si>
    <t>33 K</t>
  </si>
  <si>
    <t>JAILPB.DAT</t>
  </si>
  <si>
    <t>JAILPB.MIM</t>
  </si>
  <si>
    <t>alaa</t>
  </si>
  <si>
    <t>JET.BSX</t>
  </si>
  <si>
    <t>508 Bytes</t>
  </si>
  <si>
    <t>Ruby Weapon: Battle Skeleton</t>
  </si>
  <si>
    <t>flevel.lgp &gt; jet</t>
  </si>
  <si>
    <t>JET.DAT</t>
  </si>
  <si>
    <t>do.rsd</t>
  </si>
  <si>
    <t>JET.MIM</t>
  </si>
  <si>
    <t>JETIN1.BSX</t>
  </si>
  <si>
    <t>alab</t>
  </si>
  <si>
    <t>flevel.lgp &gt; jetin1</t>
  </si>
  <si>
    <t>568 Bytes</t>
  </si>
  <si>
    <t>dp.p</t>
  </si>
  <si>
    <t>Ruby Weapon:Unidentified Part</t>
  </si>
  <si>
    <t>JETIN1.DAT</t>
  </si>
  <si>
    <t>Jockey: Tigh</t>
  </si>
  <si>
    <t>JETIN1.MIM</t>
  </si>
  <si>
    <t>alam</t>
  </si>
  <si>
    <t>15 K</t>
  </si>
  <si>
    <t>JTEMPL.DAT</t>
  </si>
  <si>
    <t xml:space="preserve">Ruby Weapon:Waist Band </t>
  </si>
  <si>
    <t>flevel.lgp &gt; jtempl</t>
  </si>
  <si>
    <t>JTEMPL.MIM</t>
  </si>
  <si>
    <t>JTEMPL.BSX</t>
  </si>
  <si>
    <t>JTEMPLB.BSX</t>
  </si>
  <si>
    <t>dp.rsd</t>
  </si>
  <si>
    <t>flevel.lgp &gt; jtemplb</t>
  </si>
  <si>
    <t>JTEMPLB.DAT</t>
  </si>
  <si>
    <t>alan</t>
  </si>
  <si>
    <t>37 K</t>
  </si>
  <si>
    <t>Ruby Weapon:Chest</t>
  </si>
  <si>
    <t>JTEMPLB.MIM</t>
  </si>
  <si>
    <t>JTEMPLC.BSX</t>
  </si>
  <si>
    <t>flevel.lgp &gt; jtemplc</t>
  </si>
  <si>
    <t>JTEMPLC.DAT</t>
  </si>
  <si>
    <t>dq.p</t>
  </si>
  <si>
    <t>JTEMPLC.MIM</t>
  </si>
  <si>
    <t>alap</t>
  </si>
  <si>
    <t>Jockey: Leg</t>
  </si>
  <si>
    <t>Ruby Weapon: Arm Part</t>
  </si>
  <si>
    <t>JTMPIN1.BSX</t>
  </si>
  <si>
    <t>flevel.lgp &gt; jtmpin1</t>
  </si>
  <si>
    <t>JTMPIN1.DAT</t>
  </si>
  <si>
    <t>JTMPIN1.MIM</t>
  </si>
  <si>
    <t>JTMPIN2.BSX</t>
  </si>
  <si>
    <t>dq.rsd</t>
  </si>
  <si>
    <t>flevel.lgp &gt; jtmpin2</t>
  </si>
  <si>
    <t>alaq</t>
  </si>
  <si>
    <t>JTMPIN2.DAT</t>
  </si>
  <si>
    <t>JTMPIN2.MIM</t>
  </si>
  <si>
    <t>JUMIN.BSX</t>
  </si>
  <si>
    <t>flevel.lgp &gt; jumin</t>
  </si>
  <si>
    <t>JUMIN.DAT</t>
  </si>
  <si>
    <t>JUMIN.MIM</t>
  </si>
  <si>
    <t>JUN_A.BSX</t>
  </si>
  <si>
    <t>flevel.lgp &gt; jun_a</t>
  </si>
  <si>
    <t>dr.p</t>
  </si>
  <si>
    <t>alar</t>
  </si>
  <si>
    <t>JUN_A.DAT</t>
  </si>
  <si>
    <t>3.5 K</t>
  </si>
  <si>
    <t>Jockey: Foot</t>
  </si>
  <si>
    <t>JUN_A.MIM</t>
  </si>
  <si>
    <t>JUN_I1.BSX</t>
  </si>
  <si>
    <t>flevel.lgp &gt; jun_i1</t>
  </si>
  <si>
    <t>JUN_I1.DAT</t>
  </si>
  <si>
    <t>JUN_I1.MIM</t>
  </si>
  <si>
    <t>JUN_I2.BSX</t>
  </si>
  <si>
    <t>dr.rsd</t>
  </si>
  <si>
    <t>flevel.lgp &gt; jun_i2</t>
  </si>
  <si>
    <t>alas</t>
  </si>
  <si>
    <t>JUN_I2.DAT</t>
  </si>
  <si>
    <t>9.5 K</t>
  </si>
  <si>
    <t>JUN_I2.MIM</t>
  </si>
  <si>
    <t>JUN_M.BSX</t>
  </si>
  <si>
    <t>flevel.lgp &gt; jun_m</t>
  </si>
  <si>
    <t>JUN_M.DAT</t>
  </si>
  <si>
    <t>JUN_M.MIM</t>
  </si>
  <si>
    <t>JUN_W.BSX</t>
  </si>
  <si>
    <t>flevel.lgp &gt; jun_w</t>
  </si>
  <si>
    <t>ds.p</t>
  </si>
  <si>
    <t>JUN_W.DAT</t>
  </si>
  <si>
    <t>alat</t>
  </si>
  <si>
    <t>5.7 K</t>
  </si>
  <si>
    <t>JUN_W.MIM</t>
  </si>
  <si>
    <t>JUN_WA.BSX</t>
  </si>
  <si>
    <t>flevel.lgp &gt; jun_wa</t>
  </si>
  <si>
    <t>JUN_WA.DAT</t>
  </si>
  <si>
    <t>JUN_WA.MIM</t>
  </si>
  <si>
    <t>JUNAIR.BSX</t>
  </si>
  <si>
    <t>flevel.lgp &gt; junair</t>
  </si>
  <si>
    <t>ds.rsd</t>
  </si>
  <si>
    <t>JUNAIR.DAT</t>
  </si>
  <si>
    <t>alaw</t>
  </si>
  <si>
    <t>2.8 K</t>
  </si>
  <si>
    <t>JUNAIR.MIM</t>
  </si>
  <si>
    <t>JUNAIR2.BSX</t>
  </si>
  <si>
    <t>flevel.lgp &gt; junair2</t>
  </si>
  <si>
    <t>JUNAIR2.DAT</t>
  </si>
  <si>
    <t>JUNAIR2.MIM</t>
  </si>
  <si>
    <t>JUNBIN1.BSX</t>
  </si>
  <si>
    <t>flevel.lgp &gt; junbin1</t>
  </si>
  <si>
    <t>alax</t>
  </si>
  <si>
    <t>JUNBIN1.DAT</t>
  </si>
  <si>
    <t>2.4 K</t>
  </si>
  <si>
    <t>dt.p</t>
  </si>
  <si>
    <t>JUNBIN1.MIM</t>
  </si>
  <si>
    <t>JUNBIN12.BSX</t>
  </si>
  <si>
    <t>flevel.lgp &gt; junbin12</t>
  </si>
  <si>
    <t>JUNBIN12.DAT</t>
  </si>
  <si>
    <t>JUNBIN12.MIM</t>
  </si>
  <si>
    <t>JUNBIN21.BSX</t>
  </si>
  <si>
    <t>flevel.lgp &gt; junbin21</t>
  </si>
  <si>
    <t>JUNBIN21.DAT</t>
  </si>
  <si>
    <t>dt.rsd</t>
  </si>
  <si>
    <t>alay</t>
  </si>
  <si>
    <t>JUNBIN21.MIM</t>
  </si>
  <si>
    <t>4.3 K</t>
  </si>
  <si>
    <t>JUNBIN22.BSX</t>
  </si>
  <si>
    <t>flevel.lgp &gt; junbin22</t>
  </si>
  <si>
    <t>JUNBIN22.DAT</t>
  </si>
  <si>
    <t>JUNBIN22.MIM</t>
  </si>
  <si>
    <t>JUNBIN3.BSX</t>
  </si>
  <si>
    <t>flevel.lgp &gt; junbin3</t>
  </si>
  <si>
    <t>JUNBIN3.DAT</t>
  </si>
  <si>
    <t>du.p</t>
  </si>
  <si>
    <t>JUNBIN3.MIM</t>
  </si>
  <si>
    <t>alaz</t>
  </si>
  <si>
    <t>JUNBIN4.BSX</t>
  </si>
  <si>
    <t>flevel.lgp &gt; junbin4</t>
  </si>
  <si>
    <t>JUNBIN4.DAT</t>
  </si>
  <si>
    <t>JUNBIN4.MIM</t>
  </si>
  <si>
    <t>JUNBIN5.BSX</t>
  </si>
  <si>
    <t>flevel.lgp &gt; junbin5</t>
  </si>
  <si>
    <t>JUNBIN5.DAT</t>
  </si>
  <si>
    <t>du.rsd</t>
  </si>
  <si>
    <t>alba</t>
  </si>
  <si>
    <t>JUNBIN5.MIM</t>
  </si>
  <si>
    <t>dv.a</t>
  </si>
  <si>
    <t>albb</t>
  </si>
  <si>
    <t>Jockey: Run</t>
  </si>
  <si>
    <t>JUNDOC1A.BSX</t>
  </si>
  <si>
    <t>flevel.lgp &gt; jundoc1a</t>
  </si>
  <si>
    <t>JUNDOC1A.DAT</t>
  </si>
  <si>
    <t>dw.a</t>
  </si>
  <si>
    <t>Jockey: Dash</t>
  </si>
  <si>
    <t>JUNDOC1A.MIM</t>
  </si>
  <si>
    <t>dx.a</t>
  </si>
  <si>
    <t>JUNDOC1B.BSX</t>
  </si>
  <si>
    <t>Jockey: Win</t>
  </si>
  <si>
    <t>flevel.lgp &gt; jundoc1b</t>
  </si>
  <si>
    <t>JUNDOC1B.DAT</t>
  </si>
  <si>
    <t>dy.a</t>
  </si>
  <si>
    <t>Jockey: Stand still</t>
  </si>
  <si>
    <t>JUNDOC1B.MIM</t>
  </si>
  <si>
    <t>albc</t>
  </si>
  <si>
    <t>JUNELE1.BSX</t>
  </si>
  <si>
    <t>dz.a</t>
  </si>
  <si>
    <t>Jockey: Lose</t>
  </si>
  <si>
    <t>flevel.lgp &gt; junele1</t>
  </si>
  <si>
    <t>JUNELE1.DAT</t>
  </si>
  <si>
    <t>ea.hrc</t>
  </si>
  <si>
    <t>JUNELE1.MIM</t>
  </si>
  <si>
    <t>Cloud: Skeleton</t>
  </si>
  <si>
    <t>JUNELE2.BSX</t>
  </si>
  <si>
    <t>flevel.lgp &gt; junele2</t>
  </si>
  <si>
    <t>JUNELE2.DAT</t>
  </si>
  <si>
    <t>albd</t>
  </si>
  <si>
    <t>JUNELE2.MIM</t>
  </si>
  <si>
    <t>4.1 K</t>
  </si>
  <si>
    <t>JUNIN1.BSX</t>
  </si>
  <si>
    <t>eb.p</t>
  </si>
  <si>
    <t>flevel.lgp &gt; junin1</t>
  </si>
  <si>
    <t>JUNIN1.DAT</t>
  </si>
  <si>
    <t>Cloud: Hip</t>
  </si>
  <si>
    <t>JUNIN1.MIM</t>
  </si>
  <si>
    <t>JUNIN1A.BSX</t>
  </si>
  <si>
    <t>flevel.lgp &gt; junin1a</t>
  </si>
  <si>
    <t>JUNIN1A.DAT</t>
  </si>
  <si>
    <t>JUNIN1A.MIM</t>
  </si>
  <si>
    <t>JUNIN2.BSX</t>
  </si>
  <si>
    <t>albe</t>
  </si>
  <si>
    <t>eb.rsd</t>
  </si>
  <si>
    <t>flevel.lgp &gt; junin2</t>
  </si>
  <si>
    <t>JUNIN2.DAT</t>
  </si>
  <si>
    <t>JUNIN2.MIM</t>
  </si>
  <si>
    <t>JUNIN3.BSX</t>
  </si>
  <si>
    <t>flevel.lgp &gt; junin3</t>
  </si>
  <si>
    <t>JUNIN3.DAT</t>
  </si>
  <si>
    <t>JUNIN3.MIM</t>
  </si>
  <si>
    <t>JUNIN4.BSX</t>
  </si>
  <si>
    <t>ec.p</t>
  </si>
  <si>
    <t>albh</t>
  </si>
  <si>
    <t>Cloud: Body</t>
  </si>
  <si>
    <t>flevel.lgp &gt; junin4</t>
  </si>
  <si>
    <t>2.7 K</t>
  </si>
  <si>
    <t>JUNIN4.DAT</t>
  </si>
  <si>
    <t>JUNIN4.MIM</t>
  </si>
  <si>
    <t>JUNIN5.BSX</t>
  </si>
  <si>
    <t>flevel.lgp &gt; junin5</t>
  </si>
  <si>
    <t>JUNIN5.DAT</t>
  </si>
  <si>
    <t>JUNIN5.MIM</t>
  </si>
  <si>
    <t>albi</t>
  </si>
  <si>
    <t>JUNIN6.BSX</t>
  </si>
  <si>
    <t>flevel.lgp &gt; junin6</t>
  </si>
  <si>
    <t>ec.rsd</t>
  </si>
  <si>
    <t>JUNIN6.DAT</t>
  </si>
  <si>
    <t>JUNIN6.MIM</t>
  </si>
  <si>
    <t>JUNIN7.BSX</t>
  </si>
  <si>
    <t>flevel.lgp &gt; junin7</t>
  </si>
  <si>
    <t>JUNIN7.DAT</t>
  </si>
  <si>
    <t>JUNIN7.MIM</t>
  </si>
  <si>
    <t>JUNINN.BSX</t>
  </si>
  <si>
    <t>albj</t>
  </si>
  <si>
    <t>4.2 K</t>
  </si>
  <si>
    <t>ed.p</t>
  </si>
  <si>
    <t>flevel.lgp &gt; juninn</t>
  </si>
  <si>
    <t>Cloud: Head</t>
  </si>
  <si>
    <t>JUNINN.DAT</t>
  </si>
  <si>
    <t>JUNINN.MIM</t>
  </si>
  <si>
    <t>JUNMIN1.BSX</t>
  </si>
  <si>
    <t>flevel.lgp &gt; junmin1</t>
  </si>
  <si>
    <t>JUNMIN1.DAT</t>
  </si>
  <si>
    <t>JUNMIN1.MIM</t>
  </si>
  <si>
    <t>ed.rsd</t>
  </si>
  <si>
    <t>albk</t>
  </si>
  <si>
    <t>JUNMIN2.BSX</t>
  </si>
  <si>
    <t>flevel.lgp &gt; junmin2</t>
  </si>
  <si>
    <t>JUNMIN2.DAT</t>
  </si>
  <si>
    <t>JUNMIN2.MIM</t>
  </si>
  <si>
    <t>JUNMIN3.BSX</t>
  </si>
  <si>
    <t>flevel.lgp &gt; junmin3</t>
  </si>
  <si>
    <t>JUNMIN3.DAT</t>
  </si>
  <si>
    <t>JUNMIN3.MIM</t>
  </si>
  <si>
    <t>ee.p</t>
  </si>
  <si>
    <t>JUNMIN4.BSX</t>
  </si>
  <si>
    <t>albl</t>
  </si>
  <si>
    <t>Cloud: Arm</t>
  </si>
  <si>
    <t>flevel.lgp &gt; junmin4</t>
  </si>
  <si>
    <t>JUNMIN4.DAT</t>
  </si>
  <si>
    <t>JUNMIN4.MIM</t>
  </si>
  <si>
    <t>JUNMIN5.BSX</t>
  </si>
  <si>
    <t>flevel.lgp &gt; junmin5</t>
  </si>
  <si>
    <t>JUNMIN5.DAT</t>
  </si>
  <si>
    <t>JUNMIN5.MIM</t>
  </si>
  <si>
    <t>ee.rsd</t>
  </si>
  <si>
    <t>albm</t>
  </si>
  <si>
    <t>JUNMON.BSX</t>
  </si>
  <si>
    <t>flevel.lgp &gt; ???</t>
  </si>
  <si>
    <t>JUNMON.DAT</t>
  </si>
  <si>
    <t>JUNMON.MIM</t>
  </si>
  <si>
    <t>JUNON.BSX</t>
  </si>
  <si>
    <t>flevel.lgp &gt; junon</t>
  </si>
  <si>
    <t>JUNON.DAT</t>
  </si>
  <si>
    <t>JUNON.MIM</t>
  </si>
  <si>
    <t>ef.p</t>
  </si>
  <si>
    <t>albn</t>
  </si>
  <si>
    <t>Cloud: Forearm</t>
  </si>
  <si>
    <t>JUNONE2.BSX</t>
  </si>
  <si>
    <t>flevel.lgp &gt; junone2</t>
  </si>
  <si>
    <t>JUNONE2.DAT</t>
  </si>
  <si>
    <t>JUNONE2.MIM</t>
  </si>
  <si>
    <t>JUNONE22.BSX</t>
  </si>
  <si>
    <t>flevel.lgp &gt; junone22</t>
  </si>
  <si>
    <t>JUNONE22.DAT</t>
  </si>
  <si>
    <t>ef.rsd</t>
  </si>
  <si>
    <t>JUNONE22.MIM</t>
  </si>
  <si>
    <t>albo</t>
  </si>
  <si>
    <t>JUNONE3.BSX</t>
  </si>
  <si>
    <t>flevel.lgp &gt; junone3</t>
  </si>
  <si>
    <t>JUNONE3.DAT</t>
  </si>
  <si>
    <t>JUNONE3.MIM</t>
  </si>
  <si>
    <t>JUNONE4.BSX</t>
  </si>
  <si>
    <t>flevel.lgp &gt; junone4</t>
  </si>
  <si>
    <t>JUNONE4.DAT</t>
  </si>
  <si>
    <t>eg.p</t>
  </si>
  <si>
    <t>JUNONE4.MIM</t>
  </si>
  <si>
    <t>albp</t>
  </si>
  <si>
    <t>JUNONE5.BSX</t>
  </si>
  <si>
    <t>flevel.lgp &gt; junone5</t>
  </si>
  <si>
    <t>JUNONE5.DAT</t>
  </si>
  <si>
    <t>JUNONE5.MIM</t>
  </si>
  <si>
    <t>JUNONE6.BSX</t>
  </si>
  <si>
    <t>flevel.lgp &gt; junone6</t>
  </si>
  <si>
    <t>JUNONE6.DAT</t>
  </si>
  <si>
    <t>eg.rsd</t>
  </si>
  <si>
    <t>JUNONE6.MIM</t>
  </si>
  <si>
    <t>albt</t>
  </si>
  <si>
    <t>2.5 K</t>
  </si>
  <si>
    <t>JUNONE7.BSX</t>
  </si>
  <si>
    <t>flevel.lgp &gt; junone7</t>
  </si>
  <si>
    <t>JUNONE7.DAT</t>
  </si>
  <si>
    <t>JUNONE7.MIM</t>
  </si>
  <si>
    <t>JUNONL1.BSX</t>
  </si>
  <si>
    <t>flevel.lgp &gt; junonl1</t>
  </si>
  <si>
    <t>JUNONL1.DAT</t>
  </si>
  <si>
    <t>JUNONL1.MIM</t>
  </si>
  <si>
    <t>eh.p</t>
  </si>
  <si>
    <t>albu</t>
  </si>
  <si>
    <t>7.7 K</t>
  </si>
  <si>
    <t>JUNONL2.BSX</t>
  </si>
  <si>
    <t>flevel.lgp &gt; junonl2</t>
  </si>
  <si>
    <t>JUNONL2.DAT</t>
  </si>
  <si>
    <t>JUNONL2.MIM</t>
  </si>
  <si>
    <t>JUNONL3.BSX</t>
  </si>
  <si>
    <t>flevel.lgp &gt; junonl3</t>
  </si>
  <si>
    <t>JUNONL3.DAT</t>
  </si>
  <si>
    <t>eh.rsd</t>
  </si>
  <si>
    <t>JUNONL3.MIM</t>
  </si>
  <si>
    <t>albw</t>
  </si>
  <si>
    <t>JUNONR1.BSX</t>
  </si>
  <si>
    <t>flevel.lgp &gt; junonr1</t>
  </si>
  <si>
    <t>JUNONR1.DAT</t>
  </si>
  <si>
    <t>JUNONR1.MIM</t>
  </si>
  <si>
    <t>JUNONR2.BSX</t>
  </si>
  <si>
    <t>flevel.lgp &gt; junonr2</t>
  </si>
  <si>
    <t>JUNONR2.DAT</t>
  </si>
  <si>
    <t>JUNONR2.MIM</t>
  </si>
  <si>
    <t>ei.p</t>
  </si>
  <si>
    <t>albx</t>
  </si>
  <si>
    <t>Cloud: Tigh</t>
  </si>
  <si>
    <t>7.5 K</t>
  </si>
  <si>
    <t>JUNONR3.BSX</t>
  </si>
  <si>
    <t>flevel.lgp &gt; junonr3</t>
  </si>
  <si>
    <t>JUNONR3.DAT</t>
  </si>
  <si>
    <t>JUNONR3.MIM</t>
  </si>
  <si>
    <t>JUNONR4.BSX</t>
  </si>
  <si>
    <t>flevel.lgp &gt; junonr4</t>
  </si>
  <si>
    <t>JUNONR4.DAT</t>
  </si>
  <si>
    <t>JUNONR4.MIM</t>
  </si>
  <si>
    <t>ei.rsd</t>
  </si>
  <si>
    <t>alda</t>
  </si>
  <si>
    <t>54 K</t>
  </si>
  <si>
    <t>JUNPB_1.BSX</t>
  </si>
  <si>
    <t xml:space="preserve">**da File </t>
  </si>
  <si>
    <t>flevel.lgp &gt; junpb_1</t>
  </si>
  <si>
    <t>JUNPB_1.DAT</t>
  </si>
  <si>
    <t>JUNPB_1.MIM</t>
  </si>
  <si>
    <t>amaa</t>
  </si>
  <si>
    <t>124 Bytes</t>
  </si>
  <si>
    <t>Ruby’s Tentacle: Battle Skeleton</t>
  </si>
  <si>
    <t>JUNPB_2.BSX</t>
  </si>
  <si>
    <t>flevel.lgp &gt; junpb_2</t>
  </si>
  <si>
    <t>JUNPB_2.DAT</t>
  </si>
  <si>
    <t>ej.p</t>
  </si>
  <si>
    <t>JUNPB_2.MIM</t>
  </si>
  <si>
    <t>Cloud: Leg</t>
  </si>
  <si>
    <t>JUNPB_3.BSX</t>
  </si>
  <si>
    <t>flevel.lgp &gt; junpb_3</t>
  </si>
  <si>
    <t>JUNPB_3.DAT</t>
  </si>
  <si>
    <t>JUNPB_3.MIM</t>
  </si>
  <si>
    <t>amab</t>
  </si>
  <si>
    <t>416 Bytes</t>
  </si>
  <si>
    <t>Ruby's Tentacle: Unidentified Part</t>
  </si>
  <si>
    <t>JUNSBD1.BSX</t>
  </si>
  <si>
    <t>flevel.lgp &gt; junsbd1</t>
  </si>
  <si>
    <t>JUNSBD1.DAT</t>
  </si>
  <si>
    <t>ej.rsd</t>
  </si>
  <si>
    <t>amam</t>
  </si>
  <si>
    <t>JUNSBD1.MIM</t>
  </si>
  <si>
    <t>648 Bytes</t>
  </si>
  <si>
    <t>Ruby’s Tentacle:Fifth From Top (Base)</t>
  </si>
  <si>
    <t>KETCY.BCX</t>
  </si>
  <si>
    <t>KURO_1.BSX</t>
  </si>
  <si>
    <t>flevel.lgp &gt; kuro_1</t>
  </si>
  <si>
    <t>KURO_1.DAT</t>
  </si>
  <si>
    <t>KURO_1.MIM</t>
  </si>
  <si>
    <t>KURO_2.BSX</t>
  </si>
  <si>
    <t>ek.p</t>
  </si>
  <si>
    <t>aman</t>
  </si>
  <si>
    <t>Cloud: Foot</t>
  </si>
  <si>
    <t>flevel.lgp &gt; kuro_2</t>
  </si>
  <si>
    <t>KURO_2.DAT</t>
  </si>
  <si>
    <t>Ruby’s Tentacle:Fourth From Top</t>
  </si>
  <si>
    <t>KURO_2.MIM</t>
  </si>
  <si>
    <t>KURO_3.BSX</t>
  </si>
  <si>
    <t>flevel.lgp &gt; kuro_3</t>
  </si>
  <si>
    <t>KURO_3.DAT</t>
  </si>
  <si>
    <t>KURO_3.MIM</t>
  </si>
  <si>
    <t>ek.rsd</t>
  </si>
  <si>
    <t>amao</t>
  </si>
  <si>
    <t>KURO_4.BSX</t>
  </si>
  <si>
    <t>Ruby’s Tentacle:Third From Top</t>
  </si>
  <si>
    <t>flevel.lgp &gt; kuro_4</t>
  </si>
  <si>
    <t>KURO_4.DAT</t>
  </si>
  <si>
    <t>KURO_4.MIM</t>
  </si>
  <si>
    <t>KURO_5.BSX</t>
  </si>
  <si>
    <t>flevel.lgp &gt; kuro_5</t>
  </si>
  <si>
    <t>KURO_5.DAT</t>
  </si>
  <si>
    <t>el.p</t>
  </si>
  <si>
    <t>KURO_5.MIM</t>
  </si>
  <si>
    <t>amap</t>
  </si>
  <si>
    <t>672 Bytes</t>
  </si>
  <si>
    <t>KURO_6.BSX</t>
  </si>
  <si>
    <t>Ruby’s Tentacle: Second From Top</t>
  </si>
  <si>
    <t>flevel.lgp &gt; kuro_6</t>
  </si>
  <si>
    <t>KURO_6.DAT</t>
  </si>
  <si>
    <t>KURO_6.MIM</t>
  </si>
  <si>
    <t>KURO_7.BSX</t>
  </si>
  <si>
    <t>flevel.lgp &gt; kuro_7</t>
  </si>
  <si>
    <t>KURO_7.DAT</t>
  </si>
  <si>
    <t>KURO_7.MIM</t>
  </si>
  <si>
    <t>KURO_8.BSX</t>
  </si>
  <si>
    <t>flevel.lgp &gt; kuro_8</t>
  </si>
  <si>
    <t>KURO_8.DAT</t>
  </si>
  <si>
    <t>el.rsd</t>
  </si>
  <si>
    <t>amaq</t>
  </si>
  <si>
    <t>500 Bytes</t>
  </si>
  <si>
    <t>KURO_8.MIM</t>
  </si>
  <si>
    <t>Ruby’s Tentacle: Top (tip) of Finger</t>
  </si>
  <si>
    <t>KURO_82.BSX</t>
  </si>
  <si>
    <t>flevel.lgp &gt; kuro_82</t>
  </si>
  <si>
    <t>KURO_82.DAT</t>
  </si>
  <si>
    <t>KURO_82.MIM</t>
  </si>
  <si>
    <t>KURO_9.BSX</t>
  </si>
  <si>
    <t>flevel.lgp &gt; kuro_9</t>
  </si>
  <si>
    <t>KURO_9.DAT</t>
  </si>
  <si>
    <t>amda</t>
  </si>
  <si>
    <t>KURO_9.MIM</t>
  </si>
  <si>
    <t>Ruby's Tentacle: Animations</t>
  </si>
  <si>
    <t>KURO_10.BSX</t>
  </si>
  <si>
    <t>em.p</t>
  </si>
  <si>
    <t>flevel.lgp &gt; kuro_10</t>
  </si>
  <si>
    <t>KURO_10.DAT</t>
  </si>
  <si>
    <t>anaa</t>
  </si>
  <si>
    <t>KURO_10.MIM</t>
  </si>
  <si>
    <t>328 Bytes</t>
  </si>
  <si>
    <t>Emerald Weapon: Upper Battle Skeleton</t>
  </si>
  <si>
    <t>KURO_11.BSX</t>
  </si>
  <si>
    <t>flevel.lgp &gt; kuro_11</t>
  </si>
  <si>
    <t>KURO_11.DAT</t>
  </si>
  <si>
    <t>KURO_11.MIM</t>
  </si>
  <si>
    <t>KURO_12.BSX</t>
  </si>
  <si>
    <t>em.rsd</t>
  </si>
  <si>
    <t>flevel.lgp &gt; kuro_12</t>
  </si>
  <si>
    <t>KURO_12.DAT</t>
  </si>
  <si>
    <t>anab</t>
  </si>
  <si>
    <t>644 Bytes</t>
  </si>
  <si>
    <t>KURO_12.MIM</t>
  </si>
  <si>
    <t>Emerald Weapon Upper: Unidentified Part</t>
  </si>
  <si>
    <t>LAS0_1.BSX</t>
  </si>
  <si>
    <t>flevel.lgp &gt; las0_1</t>
  </si>
  <si>
    <t>anac</t>
  </si>
  <si>
    <t>65 K</t>
  </si>
  <si>
    <t>Emerald Weapon Upper: Green Circles</t>
  </si>
  <si>
    <t>en.p</t>
  </si>
  <si>
    <t>LAS0_1.DAT</t>
  </si>
  <si>
    <t>LAS0_1.MIM</t>
  </si>
  <si>
    <t>anad</t>
  </si>
  <si>
    <t>LAS0_2.BSX</t>
  </si>
  <si>
    <t>en.rsd</t>
  </si>
  <si>
    <t>flevel.lgp &gt; las0_2</t>
  </si>
  <si>
    <t>LAS0_2.DAT</t>
  </si>
  <si>
    <t>LAS0_2.MIM</t>
  </si>
  <si>
    <t>LAS0_3.BSX</t>
  </si>
  <si>
    <t>flevel.lgp &gt; las0_3</t>
  </si>
  <si>
    <t>LAS0_3.DAT</t>
  </si>
  <si>
    <t>anam</t>
  </si>
  <si>
    <t>30 K</t>
  </si>
  <si>
    <t>LAS0_3.MIM</t>
  </si>
  <si>
    <t>eo.a</t>
  </si>
  <si>
    <t>Cloud: Run</t>
  </si>
  <si>
    <t>LAS0_4.BSX</t>
  </si>
  <si>
    <t>flevel.lgp &gt; las0_4</t>
  </si>
  <si>
    <t>LAS0_4.DAT</t>
  </si>
  <si>
    <t>ep.a</t>
  </si>
  <si>
    <t>Cloud: Dash</t>
  </si>
  <si>
    <t>LAS0_4.MIM</t>
  </si>
  <si>
    <t>eq.a</t>
  </si>
  <si>
    <t>LAS0_5.BSX</t>
  </si>
  <si>
    <t>Cloud: Win</t>
  </si>
  <si>
    <t>flevel.lgp &gt; las0_5</t>
  </si>
  <si>
    <t>LAS0_5.DAT</t>
  </si>
  <si>
    <t>er.a</t>
  </si>
  <si>
    <t>anao</t>
  </si>
  <si>
    <t>Cloud: Stand still</t>
  </si>
  <si>
    <t>7.4 K</t>
  </si>
  <si>
    <t>LAS0_5.MIM</t>
  </si>
  <si>
    <t>LAS0_6.BSX</t>
  </si>
  <si>
    <t>es.a</t>
  </si>
  <si>
    <t>Cloud: Lose</t>
  </si>
  <si>
    <t>flevel.lgp &gt; las0_6</t>
  </si>
  <si>
    <t>LAS0_6.DAT</t>
  </si>
  <si>
    <t>et.a</t>
  </si>
  <si>
    <t>LAS0_6.MIM</t>
  </si>
  <si>
    <t>Cloud:</t>
  </si>
  <si>
    <t>LAS0_7.BSX</t>
  </si>
  <si>
    <t>eu.hrc</t>
  </si>
  <si>
    <t>flevel.lgp &gt; las0_7</t>
  </si>
  <si>
    <t>LAS0_7.DAT</t>
  </si>
  <si>
    <t>Track Models (Aurora Borealis): Skeleton</t>
  </si>
  <si>
    <t>anar</t>
  </si>
  <si>
    <t>16 K</t>
  </si>
  <si>
    <t>LAS0_7.MIM</t>
  </si>
  <si>
    <t>LAS0_8.BSX</t>
  </si>
  <si>
    <t>flevel.lgp &gt; las0_8</t>
  </si>
  <si>
    <t>LAS0_8.DAT</t>
  </si>
  <si>
    <t>LAS0_8.MIM</t>
  </si>
  <si>
    <t>ev.p</t>
  </si>
  <si>
    <t>LAS1_1.BSX</t>
  </si>
  <si>
    <t>Track Models (Aurora Borealis): Sky part</t>
  </si>
  <si>
    <t>flevel.lgp &gt; las1_1</t>
  </si>
  <si>
    <t>anax</t>
  </si>
  <si>
    <t>2.0 K</t>
  </si>
  <si>
    <t>LAS1_1.DAT</t>
  </si>
  <si>
    <t>LAS1_1.MIM</t>
  </si>
  <si>
    <t>LAS1_2.BSX</t>
  </si>
  <si>
    <t>flevel.lgp &gt; las1_2</t>
  </si>
  <si>
    <t>LAS1_2.DAT</t>
  </si>
  <si>
    <t>LAS1_2.MIM</t>
  </si>
  <si>
    <t>LAS1_3.BSX</t>
  </si>
  <si>
    <t>ev.rsd</t>
  </si>
  <si>
    <t>anbc</t>
  </si>
  <si>
    <t>flevel.lgp &gt; las1_3</t>
  </si>
  <si>
    <t>LAS1_3.DAT</t>
  </si>
  <si>
    <t>LAS1_3.MIM</t>
  </si>
  <si>
    <t>LAS1_4.BSX</t>
  </si>
  <si>
    <t>flevel.lgp &gt; las1_4</t>
  </si>
  <si>
    <t>LAS1_4.DAT</t>
  </si>
  <si>
    <t>LAS1_4.MIM</t>
  </si>
  <si>
    <t>ew.p</t>
  </si>
  <si>
    <t>LAS2_1.BSX</t>
  </si>
  <si>
    <t>anbe</t>
  </si>
  <si>
    <t>flevel.lgp &gt; las2_1</t>
  </si>
  <si>
    <t>LAS2_1.DAT</t>
  </si>
  <si>
    <t>LAS2_1.MIM</t>
  </si>
  <si>
    <t>LAS2_2.BSX</t>
  </si>
  <si>
    <t>flevel.lgp &gt; las2_2</t>
  </si>
  <si>
    <t>LAS2_2.DAT</t>
  </si>
  <si>
    <t>ew.rsd</t>
  </si>
  <si>
    <t>anda</t>
  </si>
  <si>
    <t>LAS2_2.MIM</t>
  </si>
  <si>
    <t>25 K</t>
  </si>
  <si>
    <t>LAS2_3.BSX</t>
  </si>
  <si>
    <t>flevel.lgp &gt; las2_3</t>
  </si>
  <si>
    <t>LAS2_3.DAT</t>
  </si>
  <si>
    <t>LAS2_3.MIM</t>
  </si>
  <si>
    <t>LAS2_4.BSX</t>
  </si>
  <si>
    <t>flevel.lgp &gt; las2_4</t>
  </si>
  <si>
    <t>LAS2_4.DAT</t>
  </si>
  <si>
    <t>ex.p</t>
  </si>
  <si>
    <t>aoaa</t>
  </si>
  <si>
    <t>148 Bytes</t>
  </si>
  <si>
    <t>LAS2_4.MIM</t>
  </si>
  <si>
    <t>Emerald Weapon: Lower Battle Skeleton</t>
  </si>
  <si>
    <t>LAS3_1.BSX</t>
  </si>
  <si>
    <t>flevel.lgp &gt; las3_1</t>
  </si>
  <si>
    <t>LAS3_1.DAT</t>
  </si>
  <si>
    <t>LAS3_1.MIM</t>
  </si>
  <si>
    <t>LAS3_2.BSX</t>
  </si>
  <si>
    <t>flevel.lgp &gt; las3_2</t>
  </si>
  <si>
    <t>LAS3_2.DAT</t>
  </si>
  <si>
    <t>aoab</t>
  </si>
  <si>
    <t>ex.rsd</t>
  </si>
  <si>
    <t>LAS3_2.MIM</t>
  </si>
  <si>
    <t>448 Bytes</t>
  </si>
  <si>
    <t>Emerald Weapon Lower: Unidentified Part</t>
  </si>
  <si>
    <t>LAS3_3.BSX</t>
  </si>
  <si>
    <t>flevel.lgp &gt; las3_3</t>
  </si>
  <si>
    <t>LAS3_3.DAT</t>
  </si>
  <si>
    <t>LAS3_3.MIM</t>
  </si>
  <si>
    <t>LAS4_0.BSX</t>
  </si>
  <si>
    <t>flevel.lgp &gt; las4_0</t>
  </si>
  <si>
    <t>LAS4_0.DAT</t>
  </si>
  <si>
    <t>ey.a</t>
  </si>
  <si>
    <t>aoan</t>
  </si>
  <si>
    <t>Track Models (Aurora Borealis): move</t>
  </si>
  <si>
    <t>LAS4_0.MIM</t>
  </si>
  <si>
    <t>22 K</t>
  </si>
  <si>
    <t>LAS4_1.BSX</t>
  </si>
  <si>
    <t>ez.hrc</t>
  </si>
  <si>
    <t>Track Models (UFO): Skeleton</t>
  </si>
  <si>
    <t>flevel.lgp &gt; las4_1</t>
  </si>
  <si>
    <t>LAS4_1.DAT</t>
  </si>
  <si>
    <t>LAS4_1.MIM</t>
  </si>
  <si>
    <t>LAS4_2.BSX</t>
  </si>
  <si>
    <t>flevel.lgp &gt; las4_2</t>
  </si>
  <si>
    <t>LAS4_2.DAT</t>
  </si>
  <si>
    <t>aoap</t>
  </si>
  <si>
    <t>LAS4_2.MIM</t>
  </si>
  <si>
    <t>fa.p</t>
  </si>
  <si>
    <t>LAS4_3.BSX</t>
  </si>
  <si>
    <t>Track Models (UFO): Ship lights</t>
  </si>
  <si>
    <t>flevel.lgp &gt; las4_3</t>
  </si>
  <si>
    <t>LAS4_3.DAT</t>
  </si>
  <si>
    <t>LAS4_3.MIM</t>
  </si>
  <si>
    <t>LAS4_4.BSX</t>
  </si>
  <si>
    <t>flevel.lgp &gt; las4_4</t>
  </si>
  <si>
    <t>LAS4_4.DAT</t>
  </si>
  <si>
    <t>aoar</t>
  </si>
  <si>
    <t>fa.rsd</t>
  </si>
  <si>
    <t>LAS4_4.MIM</t>
  </si>
  <si>
    <t>9.2 K</t>
  </si>
  <si>
    <t>LAS4_42.BSX</t>
  </si>
  <si>
    <t>flevel.lgp &gt; las4_42</t>
  </si>
  <si>
    <t>LAS4_42.DAT</t>
  </si>
  <si>
    <t>LAS4_42.MIM</t>
  </si>
  <si>
    <t>LASTMAP.BSX</t>
  </si>
  <si>
    <t>flevel.lgp &gt; lastmap</t>
  </si>
  <si>
    <t>LASTMAP.DAT</t>
  </si>
  <si>
    <t>fb.p</t>
  </si>
  <si>
    <t>aoat</t>
  </si>
  <si>
    <t>9.1 K</t>
  </si>
  <si>
    <t>LASTMAP.MIM</t>
  </si>
  <si>
    <t>LIFE.BSX</t>
  </si>
  <si>
    <t>flevel.lgp &gt; life</t>
  </si>
  <si>
    <t>LIFE.DAT</t>
  </si>
  <si>
    <t>LIFE.MIM</t>
  </si>
  <si>
    <t>LIFE2.BSX</t>
  </si>
  <si>
    <t>flevel.lgp &gt; life2</t>
  </si>
  <si>
    <t>LIFE2.DAT</t>
  </si>
  <si>
    <t>fb.rsd</t>
  </si>
  <si>
    <t>aoda</t>
  </si>
  <si>
    <t>14 K</t>
  </si>
  <si>
    <t>LIFE2.MIM</t>
  </si>
  <si>
    <t>LOSIN1.BSX</t>
  </si>
  <si>
    <t>flevel.lgp &gt; losin1</t>
  </si>
  <si>
    <t>apaa</t>
  </si>
  <si>
    <t>LOSIN1.DAT</t>
  </si>
  <si>
    <t>UNKNOWN: Battle Skeleton</t>
  </si>
  <si>
    <t>LOSIN1.MIM</t>
  </si>
  <si>
    <t>LOSIN2.BSX</t>
  </si>
  <si>
    <t>flevel.lgp &gt; losin2</t>
  </si>
  <si>
    <t>fc.p</t>
  </si>
  <si>
    <t>LOSIN2.DAT</t>
  </si>
  <si>
    <t>LOSIN2.MIM</t>
  </si>
  <si>
    <t>LOSIN3.BSX</t>
  </si>
  <si>
    <t>emerald w/o models?</t>
  </si>
  <si>
    <t>flevel.lgp &gt; losin3</t>
  </si>
  <si>
    <t>LOSIN3.DAT</t>
  </si>
  <si>
    <t>apab</t>
  </si>
  <si>
    <t>1.5 K</t>
  </si>
  <si>
    <t>UNKNOWN/UNUSED</t>
  </si>
  <si>
    <t>LOSIN3.MIM</t>
  </si>
  <si>
    <t>fc.rsd</t>
  </si>
  <si>
    <t>LOSINN.BSX</t>
  </si>
  <si>
    <t>apda</t>
  </si>
  <si>
    <t>17 K</t>
  </si>
  <si>
    <t>flevel.lgp &gt; losinn</t>
  </si>
  <si>
    <t>LOSINN.DAT</t>
  </si>
  <si>
    <t>aqaa</t>
  </si>
  <si>
    <t>LOSINN.MIM</t>
  </si>
  <si>
    <t>376 Bytes</t>
  </si>
  <si>
    <t>MP:Battle Skeleton</t>
  </si>
  <si>
    <t>LOSLAKE1.BSX</t>
  </si>
  <si>
    <t>flevel.lgp &gt; loslake1</t>
  </si>
  <si>
    <t>LOSLAKE1.DAT</t>
  </si>
  <si>
    <t>LOSLAKE1.MIM</t>
  </si>
  <si>
    <t>fd.p</t>
  </si>
  <si>
    <t>Track Models (UFO): Abduction ray</t>
  </si>
  <si>
    <t>LOSLAKE2.BSX</t>
  </si>
  <si>
    <t>flevel.lgp &gt; loslake2</t>
  </si>
  <si>
    <t>LOSLAKE2.DAT</t>
  </si>
  <si>
    <t>LOSLAKE2.MIM</t>
  </si>
  <si>
    <t>aqab</t>
  </si>
  <si>
    <t>424 Bytes</t>
  </si>
  <si>
    <t>MP: Unidentified Part</t>
  </si>
  <si>
    <t>LOSLAKE3.BSX</t>
  </si>
  <si>
    <t>flevel.lgp &gt; loslake3</t>
  </si>
  <si>
    <t>LOSLAKE3.DAT</t>
  </si>
  <si>
    <t>fd.rsd</t>
  </si>
  <si>
    <t>aqam</t>
  </si>
  <si>
    <t>LOSLAKE3.MIM</t>
  </si>
  <si>
    <t>3.1 K</t>
  </si>
  <si>
    <t>MP: Hip</t>
  </si>
  <si>
    <t>LOST1.BSX</t>
  </si>
  <si>
    <t>flevel.lgp &gt; lost1</t>
  </si>
  <si>
    <t>LOST1.DAT</t>
  </si>
  <si>
    <t>LOST1.MIM</t>
  </si>
  <si>
    <t>LOST2.BSX</t>
  </si>
  <si>
    <t>flevel.lgp &gt; lost2</t>
  </si>
  <si>
    <t>LOST2.DAT</t>
  </si>
  <si>
    <t>fe.p</t>
  </si>
  <si>
    <t>aqan</t>
  </si>
  <si>
    <t>12 K</t>
  </si>
  <si>
    <t>Track Models (UFO): Ships abduction ray source</t>
  </si>
  <si>
    <t>LOST2.MIM</t>
  </si>
  <si>
    <t>MP: Chest</t>
  </si>
  <si>
    <t>LOST3.BSX</t>
  </si>
  <si>
    <t>flevel.lgp &gt; lost3</t>
  </si>
  <si>
    <t>LOST3.DAT</t>
  </si>
  <si>
    <t>LOST3.MIM</t>
  </si>
  <si>
    <t>M_ENDO.BSX</t>
  </si>
  <si>
    <t>M_ENDO.DAT</t>
  </si>
  <si>
    <t>M_ENDO.MIM</t>
  </si>
  <si>
    <t>aqao</t>
  </si>
  <si>
    <t>8.0 K</t>
  </si>
  <si>
    <t>MP: Head</t>
  </si>
  <si>
    <t>MD0.BSX</t>
  </si>
  <si>
    <t>flevel.lgp &gt; md0</t>
  </si>
  <si>
    <t>MD0.DAT</t>
  </si>
  <si>
    <t>MD0.MIM</t>
  </si>
  <si>
    <t>fe.rsd</t>
  </si>
  <si>
    <t>MD1_1.BSX</t>
  </si>
  <si>
    <t>flevel.lgp &gt; md1_1</t>
  </si>
  <si>
    <t>MD1_1.DAT</t>
  </si>
  <si>
    <t>MD1_1.MIM</t>
  </si>
  <si>
    <t>aqar</t>
  </si>
  <si>
    <t>3.2 K</t>
  </si>
  <si>
    <t>MD1_2.BSX</t>
  </si>
  <si>
    <t>MP: Left arm</t>
  </si>
  <si>
    <t>flevel.lgp &gt; md1_2</t>
  </si>
  <si>
    <t>MD1_2.DAT</t>
  </si>
  <si>
    <t>MD1_2.MIM</t>
  </si>
  <si>
    <t>ff.p</t>
  </si>
  <si>
    <t>Track Models (UFO): Ship body</t>
  </si>
  <si>
    <t>MD1STIN.BSX</t>
  </si>
  <si>
    <t>flevel.lgp &gt; md1stin</t>
  </si>
  <si>
    <t>MD1STIN.DAT</t>
  </si>
  <si>
    <t>aqas</t>
  </si>
  <si>
    <t>1.2 K</t>
  </si>
  <si>
    <t>MP: Left forearm</t>
  </si>
  <si>
    <t>MD1STIN.MIM</t>
  </si>
  <si>
    <t>MD8_1.BSX</t>
  </si>
  <si>
    <t>ff.rsd</t>
  </si>
  <si>
    <t>flevel.lgp &gt; md8_1</t>
  </si>
  <si>
    <t>MD8_1.DAT</t>
  </si>
  <si>
    <t>MD8_1.MIM</t>
  </si>
  <si>
    <t>MD8_2.BSX</t>
  </si>
  <si>
    <t>flevel.lgp &gt; md8_2</t>
  </si>
  <si>
    <t>aqat</t>
  </si>
  <si>
    <t>MD8_2.DAT</t>
  </si>
  <si>
    <t>MP: Left Hand With Gun</t>
  </si>
  <si>
    <t>MD8_2.MIM</t>
  </si>
  <si>
    <t>fg.p</t>
  </si>
  <si>
    <t>MD8_3.BSX</t>
  </si>
  <si>
    <t>Track Models (UFO): Abduction ray little rays</t>
  </si>
  <si>
    <t>flevel.lgp &gt; md8_3</t>
  </si>
  <si>
    <t>MD8_3.DAT</t>
  </si>
  <si>
    <t>MD8_3.MIM</t>
  </si>
  <si>
    <t>MD8_32.BSX</t>
  </si>
  <si>
    <t>flevel.lgp &gt; md8_32</t>
  </si>
  <si>
    <t>aqav</t>
  </si>
  <si>
    <t>MD8_32.DAT</t>
  </si>
  <si>
    <t>1.1 K</t>
  </si>
  <si>
    <t>MP: Belt stick 1</t>
  </si>
  <si>
    <t>fg.rsd</t>
  </si>
  <si>
    <t>MD8_32.MIM</t>
  </si>
  <si>
    <t>MD8_4.BSX</t>
  </si>
  <si>
    <t>flevel.lgp &gt; md8_4</t>
  </si>
  <si>
    <t>MD8_4.DAT</t>
  </si>
  <si>
    <t>MD8_4.MIM</t>
  </si>
  <si>
    <t>MD8_5.BSX</t>
  </si>
  <si>
    <t>aqax</t>
  </si>
  <si>
    <t>flevel.lgp &gt; md8_5</t>
  </si>
  <si>
    <t>MP: Belt stick 2</t>
  </si>
  <si>
    <t>MD8_5.DAT</t>
  </si>
  <si>
    <t>fh.a</t>
  </si>
  <si>
    <t>Track Models (UFO): Spin</t>
  </si>
  <si>
    <t>MD8_5.MIM</t>
  </si>
  <si>
    <t>fi.hrc</t>
  </si>
  <si>
    <t>MD8_52.BSX</t>
  </si>
  <si>
    <t>Track Models (Dragon): Skeleton</t>
  </si>
  <si>
    <t>flevel.lgp &gt; md8_52</t>
  </si>
  <si>
    <t>MD8_52.DAT</t>
  </si>
  <si>
    <t>MD8_52.MIM</t>
  </si>
  <si>
    <t>MD8_6.BSX</t>
  </si>
  <si>
    <t>aqba</t>
  </si>
  <si>
    <t>flevel.lgp &gt; md8_6</t>
  </si>
  <si>
    <t>MP: Right arm</t>
  </si>
  <si>
    <t>MD8_6.DAT</t>
  </si>
  <si>
    <t>MD8_6.MIM</t>
  </si>
  <si>
    <t>fj.p</t>
  </si>
  <si>
    <t>Track Models (Dragon): Head</t>
  </si>
  <si>
    <t>MD8_B1.BSX</t>
  </si>
  <si>
    <t>flevel.lgp &gt; md8_b1</t>
  </si>
  <si>
    <t>MD8_B1.DAT</t>
  </si>
  <si>
    <t>MD8_B1.MIM</t>
  </si>
  <si>
    <t>MD8_B2.BSX</t>
  </si>
  <si>
    <t>aqbb</t>
  </si>
  <si>
    <t>flevel.lgp &gt; md8_b2</t>
  </si>
  <si>
    <t>MP: Right forearm</t>
  </si>
  <si>
    <t>MD8_B2.DAT</t>
  </si>
  <si>
    <t>MD8_B2.MIM</t>
  </si>
  <si>
    <t>MD8BRDG.BSX</t>
  </si>
  <si>
    <t>fj.rsd</t>
  </si>
  <si>
    <t>flevel.lgp &gt; md8brdg</t>
  </si>
  <si>
    <t>MD8BRDG.DAT</t>
  </si>
  <si>
    <t>MD8BRDG.MIM</t>
  </si>
  <si>
    <t>MD8BRDG2.BSX</t>
  </si>
  <si>
    <t>aqbc</t>
  </si>
  <si>
    <t>MP: Right hand</t>
  </si>
  <si>
    <t>flevel.lgp &gt; md8brdg2</t>
  </si>
  <si>
    <t>MD8BRDG2.DAT</t>
  </si>
  <si>
    <t>MD8BRDG2.MIM</t>
  </si>
  <si>
    <t>fk.p</t>
  </si>
  <si>
    <t>MD_E1.BSX</t>
  </si>
  <si>
    <t>Track Models (Dragon): Tail part</t>
  </si>
  <si>
    <t>flevel.lgp &gt; md_e1</t>
  </si>
  <si>
    <t>MD_E1.DAT</t>
  </si>
  <si>
    <t>MD_E1.MIM</t>
  </si>
  <si>
    <t>aqbe</t>
  </si>
  <si>
    <t>MDS5_1.BSX</t>
  </si>
  <si>
    <t>MP: Left thigh</t>
  </si>
  <si>
    <t>flevel.lgp &gt; mds5_1</t>
  </si>
  <si>
    <t>MDS5_1.DAT</t>
  </si>
  <si>
    <t>MDS5_1.MIM</t>
  </si>
  <si>
    <t>fk.rsd</t>
  </si>
  <si>
    <t>MDS5_2.BSX</t>
  </si>
  <si>
    <t>flevel.lgp &gt; mds5_2</t>
  </si>
  <si>
    <t>MDS5_2.DAT</t>
  </si>
  <si>
    <t>MDS5_2.MIM</t>
  </si>
  <si>
    <t>aqbf</t>
  </si>
  <si>
    <t>2.2 K</t>
  </si>
  <si>
    <t>MP: Left calf</t>
  </si>
  <si>
    <t>MDS5_3.BSX</t>
  </si>
  <si>
    <t>flevel.lgp &gt; mds5_3</t>
  </si>
  <si>
    <t>MDS5_3.DAT</t>
  </si>
  <si>
    <t>fl.p</t>
  </si>
  <si>
    <t>MDS5_3.MIM</t>
  </si>
  <si>
    <t>MDS5_4.BSX</t>
  </si>
  <si>
    <t>flevel.lgp &gt; mds5_4</t>
  </si>
  <si>
    <t>MDS5_4.DAT</t>
  </si>
  <si>
    <t>MDS5_4.MIM</t>
  </si>
  <si>
    <t>MDS5_5.BSX</t>
  </si>
  <si>
    <t>flevel.lgp &gt; mds5_5</t>
  </si>
  <si>
    <t>MDS5_5.DAT</t>
  </si>
  <si>
    <t>aqbg</t>
  </si>
  <si>
    <t>1.8 K</t>
  </si>
  <si>
    <t>MP: Left heel</t>
  </si>
  <si>
    <t>MDS5_5.MIM</t>
  </si>
  <si>
    <t>fl.rsd</t>
  </si>
  <si>
    <t>MDS5_DK.BSX</t>
  </si>
  <si>
    <t>flevel.lgp &gt; mds5_dk</t>
  </si>
  <si>
    <t>MDS5_DK.DAT</t>
  </si>
  <si>
    <t>MDS5_DK.MIM</t>
  </si>
  <si>
    <t>MDS5_I.BSX</t>
  </si>
  <si>
    <t>flevel.lgp &gt; mds5_i</t>
  </si>
  <si>
    <t>MDS5_I.DAT</t>
  </si>
  <si>
    <t>fm.p</t>
  </si>
  <si>
    <t>MDS5_I.MIM</t>
  </si>
  <si>
    <t>aqbh</t>
  </si>
  <si>
    <t>MP: Left foot</t>
  </si>
  <si>
    <t>MDS5_M.BSX</t>
  </si>
  <si>
    <t>flevel.lgp &gt; mds5_m</t>
  </si>
  <si>
    <t>MDS5_M.DAT</t>
  </si>
  <si>
    <t>MDS5_M.MIM</t>
  </si>
  <si>
    <t>MDS5_W.BSX</t>
  </si>
  <si>
    <t>flevel.lgp &gt; mds5_w</t>
  </si>
  <si>
    <t>MDS5_W.DAT</t>
  </si>
  <si>
    <t>fm.rsd</t>
  </si>
  <si>
    <t>aqbj</t>
  </si>
  <si>
    <t>2.9 K</t>
  </si>
  <si>
    <t>MDS5_W.MIM</t>
  </si>
  <si>
    <t>MP: Right thigh</t>
  </si>
  <si>
    <t>MDS6_1.BSX</t>
  </si>
  <si>
    <t>flevel.lgp &gt; mds6_1</t>
  </si>
  <si>
    <t>MDS6_1.DAT</t>
  </si>
  <si>
    <t>MDS6_1.MIM</t>
  </si>
  <si>
    <t>MDS6_2.BSX</t>
  </si>
  <si>
    <t>flevel.lgp &gt; mds6_2</t>
  </si>
  <si>
    <t>fn.p</t>
  </si>
  <si>
    <t>MDS6_2.DAT</t>
  </si>
  <si>
    <t>aqbk</t>
  </si>
  <si>
    <t>MP: Right calf</t>
  </si>
  <si>
    <t>MDS6_2.MIM</t>
  </si>
  <si>
    <t>MDS6_3.BSX</t>
  </si>
  <si>
    <t>flevel.lgp &gt; mds6_3</t>
  </si>
  <si>
    <t>MDS6_3.DAT</t>
  </si>
  <si>
    <t>MDS6_3.MIM</t>
  </si>
  <si>
    <t>MDS6_22.BSX</t>
  </si>
  <si>
    <t>flevel.lgp &gt; mds6_22</t>
  </si>
  <si>
    <t>fn.rsd</t>
  </si>
  <si>
    <t>MDS6_22.DAT</t>
  </si>
  <si>
    <t>aqbl</t>
  </si>
  <si>
    <t>MP: Right heel</t>
  </si>
  <si>
    <t>MDS6_22.MIM</t>
  </si>
  <si>
    <t>MDS7.BSX</t>
  </si>
  <si>
    <t>flevel.lgp &gt; mds7</t>
  </si>
  <si>
    <t>MDS7.DAT</t>
  </si>
  <si>
    <t>MDS7.MIM</t>
  </si>
  <si>
    <t>MDS7_IM.BSX</t>
  </si>
  <si>
    <t>fo.p</t>
  </si>
  <si>
    <t>aqbm</t>
  </si>
  <si>
    <t>flevel.lgp &gt; mds7_im</t>
  </si>
  <si>
    <t>MP: Right foot</t>
  </si>
  <si>
    <t>MDS7_IM.DAT</t>
  </si>
  <si>
    <t>MDS7_IM.MIM</t>
  </si>
  <si>
    <t>MDS7_W1.BSX</t>
  </si>
  <si>
    <t>flevel.lgp &gt; mds7_w1</t>
  </si>
  <si>
    <t>MDS7_W1.DAT</t>
  </si>
  <si>
    <t>MDS7_W1.MIM</t>
  </si>
  <si>
    <t>fo.rsd</t>
  </si>
  <si>
    <t>MDS7_W2.BSX</t>
  </si>
  <si>
    <t>aqck</t>
  </si>
  <si>
    <t>1.4 K</t>
  </si>
  <si>
    <t>flevel.lgp &gt; mds7_w2</t>
  </si>
  <si>
    <t>MP: Baton Model</t>
  </si>
  <si>
    <t>MDS7_W2.DAT</t>
  </si>
  <si>
    <t>MDS7_W2.MIM</t>
  </si>
  <si>
    <t>MDS7_W3.BSX</t>
  </si>
  <si>
    <t>flevel.lgp &gt; mds7_w3</t>
  </si>
  <si>
    <t>MDS7_W3.DAT</t>
  </si>
  <si>
    <t>MDS7_W3.MIM</t>
  </si>
  <si>
    <t>fp.p</t>
  </si>
  <si>
    <t>aqda</t>
  </si>
  <si>
    <t>MDS7PB_1.BSX</t>
  </si>
  <si>
    <t>flevel.lgp &gt; mds7pb_1</t>
  </si>
  <si>
    <t>MP: Animations</t>
  </si>
  <si>
    <t>MDS7PB_1.DAT</t>
  </si>
  <si>
    <t>MDS7PB_1.MIM</t>
  </si>
  <si>
    <t>araa</t>
  </si>
  <si>
    <t>496 Bytes</t>
  </si>
  <si>
    <t>MDS7PB_2.BSX</t>
  </si>
  <si>
    <t>Guard Hound:Battle Skeleton</t>
  </si>
  <si>
    <t>flevel.lgp &gt; mds7pb_2</t>
  </si>
  <si>
    <t>MDS7PB_2.DAT</t>
  </si>
  <si>
    <t>fp.rsd</t>
  </si>
  <si>
    <t>MDS7PB_2.MIM</t>
  </si>
  <si>
    <t>MDS7PLR1.BSX</t>
  </si>
  <si>
    <t>flevel.lgp &gt; mds7plr1</t>
  </si>
  <si>
    <t>MDS7PLR1.DAT</t>
  </si>
  <si>
    <t>MDS7PLR1.MIM</t>
  </si>
  <si>
    <t>arab</t>
  </si>
  <si>
    <t>484 Bytes</t>
  </si>
  <si>
    <t>MDS7PLR2.BSX</t>
  </si>
  <si>
    <t>Guard Hound:Unidentified Part</t>
  </si>
  <si>
    <t>flevel.lgp &gt; mds7plr2</t>
  </si>
  <si>
    <t>MDS7PLR2.DAT</t>
  </si>
  <si>
    <t>fq.p</t>
  </si>
  <si>
    <t>MDS7PLR2.MIM</t>
  </si>
  <si>
    <t>aram</t>
  </si>
  <si>
    <t>1.6 K</t>
  </si>
  <si>
    <t>Guard Hound: Abdomen</t>
  </si>
  <si>
    <t>MDS7ST1.BSX</t>
  </si>
  <si>
    <t>flevel.lgp &gt; mds7st1</t>
  </si>
  <si>
    <t>MDS7ST1.DAT</t>
  </si>
  <si>
    <t>MDS7ST1.MIM</t>
  </si>
  <si>
    <t>MDS7ST2.BSX</t>
  </si>
  <si>
    <t>flevel.lgp &gt; mds7st2</t>
  </si>
  <si>
    <t>fq.rsd</t>
  </si>
  <si>
    <t>MDS7ST2.DAT</t>
  </si>
  <si>
    <t>MDS7ST2.MIM</t>
  </si>
  <si>
    <t>aran</t>
  </si>
  <si>
    <t>Guard Hound: Torso</t>
  </si>
  <si>
    <t>fr.p</t>
  </si>
  <si>
    <t>MDS7ST3.BSX</t>
  </si>
  <si>
    <t>flevel.lgp &gt; mds7st3</t>
  </si>
  <si>
    <t>MDS7ST3.DAT</t>
  </si>
  <si>
    <t>MDS7ST3.MIM</t>
  </si>
  <si>
    <t>MDS7ST32.BSX</t>
  </si>
  <si>
    <t>flevel.lgp &gt; mds7st32</t>
  </si>
  <si>
    <t>arao</t>
  </si>
  <si>
    <t>MDS7ST32.DAT</t>
  </si>
  <si>
    <t>Guard Hound: Neck part</t>
  </si>
  <si>
    <t>fr.rsd</t>
  </si>
  <si>
    <t>MDS7ST32.MIM</t>
  </si>
  <si>
    <t>MDS7ST33.BSX</t>
  </si>
  <si>
    <t>flevel.lgp &gt; mds7st33</t>
  </si>
  <si>
    <t>MDS7ST33.DAT</t>
  </si>
  <si>
    <t>MDS7ST33.MIM</t>
  </si>
  <si>
    <t>MIDGAL.BSX</t>
  </si>
  <si>
    <t>flevel.lgp &gt; midgal</t>
  </si>
  <si>
    <t>MIDGAL.DAT</t>
  </si>
  <si>
    <t>arap</t>
  </si>
  <si>
    <t>fs.p</t>
  </si>
  <si>
    <t>MIDGAL.MIM</t>
  </si>
  <si>
    <t>MKT_IA.BSX</t>
  </si>
  <si>
    <t>flevel.lgp &gt; mkt_ia</t>
  </si>
  <si>
    <t>MKT_IA.DAT</t>
  </si>
  <si>
    <t>MKT_IA.MIM</t>
  </si>
  <si>
    <t>araq</t>
  </si>
  <si>
    <t>MKT_M.BSX</t>
  </si>
  <si>
    <t>fs.rsd</t>
  </si>
  <si>
    <t>Guard Hound: Head</t>
  </si>
  <si>
    <t>flevel.lgp &gt; mkt_m</t>
  </si>
  <si>
    <t>MKT_M.DAT</t>
  </si>
  <si>
    <t>MKT_M.MIM</t>
  </si>
  <si>
    <t>MKT_MENS.BSX</t>
  </si>
  <si>
    <t>flevel.lgp &gt; mkt_mens</t>
  </si>
  <si>
    <t>MKT_MENS.DAT</t>
  </si>
  <si>
    <t>MKT_MENS.MIM</t>
  </si>
  <si>
    <t>ft.p</t>
  </si>
  <si>
    <t>arar</t>
  </si>
  <si>
    <t>MKT_S1.BSX</t>
  </si>
  <si>
    <t>Guard Hound: Jaw</t>
  </si>
  <si>
    <t>flevel.lgp &gt; mkt_s1</t>
  </si>
  <si>
    <t>MKT_S1.DAT</t>
  </si>
  <si>
    <t>MKT_S1.MIM</t>
  </si>
  <si>
    <t>MKT_S2.BSX</t>
  </si>
  <si>
    <t>flevel.lgp &gt; mkt_s2</t>
  </si>
  <si>
    <t>MKT_S2.DAT</t>
  </si>
  <si>
    <t>MKT_S2.MIM</t>
  </si>
  <si>
    <t>ft.rsd</t>
  </si>
  <si>
    <t>MKT_S3.BSX</t>
  </si>
  <si>
    <t>arat</t>
  </si>
  <si>
    <t>flevel.lgp &gt; mkt_s3</t>
  </si>
  <si>
    <t>960 Bytes</t>
  </si>
  <si>
    <t>MKT_S3.DAT</t>
  </si>
  <si>
    <t>Guard Hound: Tentacle part</t>
  </si>
  <si>
    <t>MKT_S3.MIM</t>
  </si>
  <si>
    <t>MKT_W.BSX</t>
  </si>
  <si>
    <t>flevel.lgp &gt; mkt_w</t>
  </si>
  <si>
    <t>MKT_W.DAT</t>
  </si>
  <si>
    <t>MKT_W.MIM</t>
  </si>
  <si>
    <t>MKTINN.BSX</t>
  </si>
  <si>
    <t>fu.p</t>
  </si>
  <si>
    <t>flevel.lgp &gt; mktinn</t>
  </si>
  <si>
    <t>arau</t>
  </si>
  <si>
    <t>MKTINN.DAT</t>
  </si>
  <si>
    <t>984 Bytes</t>
  </si>
  <si>
    <t>MKTINN.MIM</t>
  </si>
  <si>
    <t>MKTPB.BSX</t>
  </si>
  <si>
    <t>flevel.lgp &gt; mktpb</t>
  </si>
  <si>
    <t>MKTPB.DAT</t>
  </si>
  <si>
    <t>MKTPB.MIM</t>
  </si>
  <si>
    <t>MOGU_1.BSX</t>
  </si>
  <si>
    <t>fu.rsd</t>
  </si>
  <si>
    <t>flevel.lgp &gt; mogu_1</t>
  </si>
  <si>
    <t>arav</t>
  </si>
  <si>
    <t>MOGU_1.DAT</t>
  </si>
  <si>
    <t>936 Bytes</t>
  </si>
  <si>
    <t>MOGU_1.MIM</t>
  </si>
  <si>
    <t>MOVE_D.BSX</t>
  </si>
  <si>
    <t>flevel.lgp &gt; move_d</t>
  </si>
  <si>
    <t>MOVE_D.DAT</t>
  </si>
  <si>
    <t>MOVE_D.MIM</t>
  </si>
  <si>
    <t>MOVE_F.BSX</t>
  </si>
  <si>
    <t>fv.p</t>
  </si>
  <si>
    <t>flevel.lgp &gt; move_f</t>
  </si>
  <si>
    <t>MOVE_F.DAT</t>
  </si>
  <si>
    <t>MOVE_F.MIM</t>
  </si>
  <si>
    <t>MOVE_I.BSX</t>
  </si>
  <si>
    <t>flevel.lgp &gt; move_i</t>
  </si>
  <si>
    <t>MOVE_I.DAT</t>
  </si>
  <si>
    <t>araw</t>
  </si>
  <si>
    <t>MOVE_I.MIM</t>
  </si>
  <si>
    <t>MOVE_R.BSX</t>
  </si>
  <si>
    <t>fv.rsd</t>
  </si>
  <si>
    <t>flevel.lgp &gt; move_r</t>
  </si>
  <si>
    <t>MOVE_R.DAT</t>
  </si>
  <si>
    <t>MOVE_R.MIM</t>
  </si>
  <si>
    <t>MOVE_S.BSX</t>
  </si>
  <si>
    <t>flevel.lgp &gt; move_s</t>
  </si>
  <si>
    <t>MOVE_S.DAT</t>
  </si>
  <si>
    <t>arax</t>
  </si>
  <si>
    <t>MOVE_S.MIM</t>
  </si>
  <si>
    <t>fw.p</t>
  </si>
  <si>
    <t>MOVE_U.BSX</t>
  </si>
  <si>
    <t>flevel.lgp &gt; move_u</t>
  </si>
  <si>
    <t>MOVE_U.DAT</t>
  </si>
  <si>
    <t>MOVE_U.MIM</t>
  </si>
  <si>
    <t>MRKT1.BSX</t>
  </si>
  <si>
    <t>flevel.lgp &gt; mrkt1</t>
  </si>
  <si>
    <t>MRKT1.DAT</t>
  </si>
  <si>
    <t>aray</t>
  </si>
  <si>
    <t>fw.rsd</t>
  </si>
  <si>
    <t>908 Bytes</t>
  </si>
  <si>
    <t>MRKT1.MIM</t>
  </si>
  <si>
    <t>MRKT2.BSX</t>
  </si>
  <si>
    <t>flevel.lgp &gt; mrkt2</t>
  </si>
  <si>
    <t>MRKT2.DAT</t>
  </si>
  <si>
    <t>MRKT2.MIM</t>
  </si>
  <si>
    <t>MRKT3.BSX</t>
  </si>
  <si>
    <t>flevel.lgp &gt; mrkt3</t>
  </si>
  <si>
    <t>MRKT3.DAT</t>
  </si>
  <si>
    <t>araz</t>
  </si>
  <si>
    <t>Guard Hound: Tentacle tip</t>
  </si>
  <si>
    <t>MRKT3.MIM</t>
  </si>
  <si>
    <t>fx.p</t>
  </si>
  <si>
    <t>MRKT4.BSX</t>
  </si>
  <si>
    <t>flevel.lgp &gt; mrkt4</t>
  </si>
  <si>
    <t>MRKT4.DAT</t>
  </si>
  <si>
    <t>MRKT4.MIM</t>
  </si>
  <si>
    <t>MTCRL_0.BSX</t>
  </si>
  <si>
    <t>flevel.lgp &gt; mtcrl_0</t>
  </si>
  <si>
    <t>MTCRL_0.DAT</t>
  </si>
  <si>
    <t>MTCRL_0.MIM</t>
  </si>
  <si>
    <t>arbb</t>
  </si>
  <si>
    <t>fx.rsd</t>
  </si>
  <si>
    <t>Guard Hound: Left front tigh</t>
  </si>
  <si>
    <t>MTCRL_1.BSX</t>
  </si>
  <si>
    <t>flevel.lgp &gt; mtcrl_1</t>
  </si>
  <si>
    <t>MTCRL_1.DAT</t>
  </si>
  <si>
    <t>MTCRL_1.MIM</t>
  </si>
  <si>
    <t>MTCRL_2.BSX</t>
  </si>
  <si>
    <t>flevel.lgp &gt; mtcrl_2</t>
  </si>
  <si>
    <t>MTCRL_2.DAT</t>
  </si>
  <si>
    <t>fy.p</t>
  </si>
  <si>
    <t>MTCRL_2.MIM</t>
  </si>
  <si>
    <t>arbc</t>
  </si>
  <si>
    <t>Guard Hound: Left front leg</t>
  </si>
  <si>
    <t>MTCRL_3.BSX</t>
  </si>
  <si>
    <t>flevel.lgp &gt; mtcrl_3</t>
  </si>
  <si>
    <t>MTCRL_3.DAT</t>
  </si>
  <si>
    <t>MTCRL_3.MIM</t>
  </si>
  <si>
    <t>MTCRL_4.BSX</t>
  </si>
  <si>
    <t>flevel.lgp &gt; mtcrl_4</t>
  </si>
  <si>
    <t>MTCRL_4.DAT</t>
  </si>
  <si>
    <t>fy.rsd</t>
  </si>
  <si>
    <t>arbd</t>
  </si>
  <si>
    <t>MTCRL_4.MIM</t>
  </si>
  <si>
    <t>732 Bytes</t>
  </si>
  <si>
    <t>Guard Hound: Left front ankle</t>
  </si>
  <si>
    <t>MTCRL_5.BSX</t>
  </si>
  <si>
    <t>flevel.lgp &gt; mtcrl_5</t>
  </si>
  <si>
    <t>MTCRL_5.DAT</t>
  </si>
  <si>
    <t>MTCRL_5.MIM</t>
  </si>
  <si>
    <t>MTCRL_6.BSX</t>
  </si>
  <si>
    <t>flevel.lgp &gt; mtcrl_6</t>
  </si>
  <si>
    <t>MTCRL_6.DAT</t>
  </si>
  <si>
    <t>MTCRL_6.MIM</t>
  </si>
  <si>
    <t>fz.p</t>
  </si>
  <si>
    <t>arbe</t>
  </si>
  <si>
    <t>996 Bytes</t>
  </si>
  <si>
    <t>Guard Hound: Left front paw</t>
  </si>
  <si>
    <t>MTCRL_7.BSX</t>
  </si>
  <si>
    <t>flevel.lgp &gt; mtcrl_7</t>
  </si>
  <si>
    <t>MTCRL_7.DAT</t>
  </si>
  <si>
    <t>MTCRL_7.MIM</t>
  </si>
  <si>
    <t>MTCRL_8.BSX</t>
  </si>
  <si>
    <t>flevel.lgp &gt; mtcrl_8</t>
  </si>
  <si>
    <t>MTCRL_8.DAT</t>
  </si>
  <si>
    <t>MTCRL_8.MIM</t>
  </si>
  <si>
    <t>fz.rsd</t>
  </si>
  <si>
    <t>arbg</t>
  </si>
  <si>
    <t>Guard Hound: Right front tigh</t>
  </si>
  <si>
    <t>MTCRL_9.BSX</t>
  </si>
  <si>
    <t>flevel.lgp &gt; mtcrl_9</t>
  </si>
  <si>
    <t>MTCRL_9.DAT</t>
  </si>
  <si>
    <t>MTCRL_9.MIM</t>
  </si>
  <si>
    <t>MTNVL2.BSX</t>
  </si>
  <si>
    <t>flevel.lgp &gt; mtnvl2</t>
  </si>
  <si>
    <t>MTNVL2.DAT</t>
  </si>
  <si>
    <t>MTNVL2.MIM</t>
  </si>
  <si>
    <t>ga.p</t>
  </si>
  <si>
    <t>MTNVL3.BSX</t>
  </si>
  <si>
    <t>flevel.lgp &gt; mtnvl3</t>
  </si>
  <si>
    <t>MTNVL3.DAT</t>
  </si>
  <si>
    <t>arbh</t>
  </si>
  <si>
    <t>MTNVL3.MIM</t>
  </si>
  <si>
    <t>Guard Hound: Right front leg</t>
  </si>
  <si>
    <t>MTNVL4.BSX</t>
  </si>
  <si>
    <t>flevel.lgp &gt; mtnvl4</t>
  </si>
  <si>
    <t>MTNVL4.DAT</t>
  </si>
  <si>
    <t>MTNVL4.MIM</t>
  </si>
  <si>
    <t>MTNVL5.BSX</t>
  </si>
  <si>
    <t>ga.rsd</t>
  </si>
  <si>
    <t>flevel.lgp &gt; mtnvl5</t>
  </si>
  <si>
    <t>MTNVL5.DAT</t>
  </si>
  <si>
    <t>arbi</t>
  </si>
  <si>
    <t>MTNVL5.MIM</t>
  </si>
  <si>
    <t>704 Bytes</t>
  </si>
  <si>
    <t>Guard Hound: Right front ankle</t>
  </si>
  <si>
    <t>MTNVL6.BSX</t>
  </si>
  <si>
    <t>flevel.lgp &gt; mtnvl6</t>
  </si>
  <si>
    <t>MTNVL6.DAT</t>
  </si>
  <si>
    <t>MTNVL6.MIM</t>
  </si>
  <si>
    <t>gb.p</t>
  </si>
  <si>
    <t>MTNVL6B.BSX</t>
  </si>
  <si>
    <t>flevel.lgp &gt; mtnvl6b</t>
  </si>
  <si>
    <t>MTNVL6B.DAT</t>
  </si>
  <si>
    <t>arbj</t>
  </si>
  <si>
    <t>968 Bytes</t>
  </si>
  <si>
    <t>MTNVL6B.MIM</t>
  </si>
  <si>
    <t>Guard Hound: Right front paw</t>
  </si>
  <si>
    <t>NCOIN1.BSX</t>
  </si>
  <si>
    <t>flevel.lgp &gt; ncoin1</t>
  </si>
  <si>
    <t>NCOIN1.DAT</t>
  </si>
  <si>
    <t>NCOIN1.MIM</t>
  </si>
  <si>
    <t>gb.rsd</t>
  </si>
  <si>
    <t>NCOIN2.BSX</t>
  </si>
  <si>
    <t>flevel.lgp &gt; ncoin2</t>
  </si>
  <si>
    <t>NCOIN2.DAT</t>
  </si>
  <si>
    <t>arbk</t>
  </si>
  <si>
    <t>1.9 K</t>
  </si>
  <si>
    <t>Guard Hound: Tail</t>
  </si>
  <si>
    <t>NCOIN2.MIM</t>
  </si>
  <si>
    <t>NCOIN3.BSX</t>
  </si>
  <si>
    <t>flevel.lgp &gt; ncoin3</t>
  </si>
  <si>
    <t>NCOIN3.DAT</t>
  </si>
  <si>
    <t>gc.p</t>
  </si>
  <si>
    <t>NCOIN3.MIM</t>
  </si>
  <si>
    <t>NCOINN.BSX</t>
  </si>
  <si>
    <t>flevel.lgp &gt; ncoinn</t>
  </si>
  <si>
    <t>NCOINN.DAT</t>
  </si>
  <si>
    <t>NCOINN.MIM</t>
  </si>
  <si>
    <t>arbm</t>
  </si>
  <si>
    <t>1.3 K</t>
  </si>
  <si>
    <t>Guard Hound: Left rear tigh</t>
  </si>
  <si>
    <t>NCOREL.BSX</t>
  </si>
  <si>
    <t>flevel.lgp &gt; ncorel</t>
  </si>
  <si>
    <t>gc.rsd</t>
  </si>
  <si>
    <t>NCOREL.DAT</t>
  </si>
  <si>
    <t>NCOREL.MIM</t>
  </si>
  <si>
    <t>NCOREL2.BSX</t>
  </si>
  <si>
    <t>flevel.lgp &gt; ncorel2</t>
  </si>
  <si>
    <t>NCOREL2.DAT</t>
  </si>
  <si>
    <t>NCOREL2.MIM</t>
  </si>
  <si>
    <t>NCOREL3.BSX</t>
  </si>
  <si>
    <t>gd.p</t>
  </si>
  <si>
    <t>arbn</t>
  </si>
  <si>
    <t>flevel.lgp &gt; ncorel3</t>
  </si>
  <si>
    <t>1020 Bytes</t>
  </si>
  <si>
    <t>NCOREL3.DAT</t>
  </si>
  <si>
    <t>Guard Hound: Left rear leg part</t>
  </si>
  <si>
    <t>NCOREL3.MIM</t>
  </si>
  <si>
    <t>NIV_CL.BSX</t>
  </si>
  <si>
    <t>flevel.lgp &gt; niv_cl</t>
  </si>
  <si>
    <t>NIV_CL.DAT</t>
  </si>
  <si>
    <t>NIV_CL.MIM</t>
  </si>
  <si>
    <t>gd.rsd</t>
  </si>
  <si>
    <t>NIV_TI1.BSX</t>
  </si>
  <si>
    <t>arbo</t>
  </si>
  <si>
    <t>flevel.lgp &gt; niv_ti1</t>
  </si>
  <si>
    <t>NIV_TI1.DAT</t>
  </si>
  <si>
    <t>NIV_TI1.MIM</t>
  </si>
  <si>
    <t>NIV_TI2.BSX</t>
  </si>
  <si>
    <t>flevel.lgp &gt; niv_ti2</t>
  </si>
  <si>
    <t>NIV_TI2.DAT</t>
  </si>
  <si>
    <t>ge.p</t>
  </si>
  <si>
    <t>arbp</t>
  </si>
  <si>
    <t>NIV_TI2.MIM</t>
  </si>
  <si>
    <t>Guard Hound: Left rear ankle</t>
  </si>
  <si>
    <t>NIV_TI3.BSX</t>
  </si>
  <si>
    <t>flevel.lgp &gt; niv_ti3</t>
  </si>
  <si>
    <t>NIV_TI3.DAT</t>
  </si>
  <si>
    <t>NIV_TI3.MIM</t>
  </si>
  <si>
    <t>NIV_TI4.BSX</t>
  </si>
  <si>
    <t>flevel.lgp &gt; niv_ti4</t>
  </si>
  <si>
    <t>NIV_TI4.DAT</t>
  </si>
  <si>
    <t>ge.rsd</t>
  </si>
  <si>
    <t>arbq</t>
  </si>
  <si>
    <t>NIV_TI4.MIM</t>
  </si>
  <si>
    <t>Guard Hound: Left rear paw</t>
  </si>
  <si>
    <t>NIV_W.BSX</t>
  </si>
  <si>
    <t>flevel.lgp &gt; niv_w</t>
  </si>
  <si>
    <t>NIV_W.DAT</t>
  </si>
  <si>
    <t>NIV_W.MIM</t>
  </si>
  <si>
    <t>NIVGATE.BSX</t>
  </si>
  <si>
    <t>flevel.lgp &gt; nivgate</t>
  </si>
  <si>
    <t>gf.p</t>
  </si>
  <si>
    <t>NIVGATE.DAT</t>
  </si>
  <si>
    <t>arbs</t>
  </si>
  <si>
    <t>Guard Hound: Right rear tigh</t>
  </si>
  <si>
    <t>NIVGATE.MIM</t>
  </si>
  <si>
    <t>NIVGATE2.BSX</t>
  </si>
  <si>
    <t>flevel.lgp &gt; nivgate2</t>
  </si>
  <si>
    <t>NIVGATE2.DAT</t>
  </si>
  <si>
    <t>NIVGATE2.MIM</t>
  </si>
  <si>
    <t>gf.rsd</t>
  </si>
  <si>
    <t>NIVGATE3.BSX</t>
  </si>
  <si>
    <t>flevel.lgp &gt; nivgate3</t>
  </si>
  <si>
    <t>arbt</t>
  </si>
  <si>
    <t>NIVGATE3.DAT</t>
  </si>
  <si>
    <t>Guard Hound: Right rear leg part</t>
  </si>
  <si>
    <t>NIVGATE3.MIM</t>
  </si>
  <si>
    <t>NIVGATE4.BSX</t>
  </si>
  <si>
    <t>flevel.lgp &gt; nivgate4</t>
  </si>
  <si>
    <t>NIVGATE4.DAT</t>
  </si>
  <si>
    <t>NIVGATE4.MIM</t>
  </si>
  <si>
    <t>gg.p</t>
  </si>
  <si>
    <t>NIVINN_1.BSX</t>
  </si>
  <si>
    <t>flevel.lgp &gt; nivinn_1</t>
  </si>
  <si>
    <t>arbu</t>
  </si>
  <si>
    <t>NIVINN_1.DAT</t>
  </si>
  <si>
    <t>NIVINN_1.MIM</t>
  </si>
  <si>
    <t>NIVINN_2.BSX</t>
  </si>
  <si>
    <t>flevel.lgp &gt; nivinn_2</t>
  </si>
  <si>
    <t>NIVINN_2.DAT</t>
  </si>
  <si>
    <t>NIVINN_2.MIM</t>
  </si>
  <si>
    <t>gg.rsd</t>
  </si>
  <si>
    <t>NIVINN_3.BSX</t>
  </si>
  <si>
    <t>arbv</t>
  </si>
  <si>
    <t>flevel.lgp &gt; nivinn_3</t>
  </si>
  <si>
    <t>NIVINN_3.DAT</t>
  </si>
  <si>
    <t>Guard Hound: Right rear ankle</t>
  </si>
  <si>
    <t>NIVINN_3.MIM</t>
  </si>
  <si>
    <t>NIVL.BSX</t>
  </si>
  <si>
    <t>flevel.lgp &gt; nivl</t>
  </si>
  <si>
    <t>NIVL.DAT</t>
  </si>
  <si>
    <t>NIVL.MIM</t>
  </si>
  <si>
    <t>gh.p</t>
  </si>
  <si>
    <t>Track Models (Dragon): Tail tip</t>
  </si>
  <si>
    <t>NIVL_2.BSX</t>
  </si>
  <si>
    <t>arbw</t>
  </si>
  <si>
    <t>flevel.lgp &gt; nivl_2</t>
  </si>
  <si>
    <t>Guard Hound: Right rear paw</t>
  </si>
  <si>
    <t>NIVL_2.DAT</t>
  </si>
  <si>
    <t>NIVL_2.MIM</t>
  </si>
  <si>
    <t>NIVL_3.BSX</t>
  </si>
  <si>
    <t>flevel.lgp &gt; nivl_3</t>
  </si>
  <si>
    <t>NIVL_3.DAT</t>
  </si>
  <si>
    <t>gh.rsd</t>
  </si>
  <si>
    <t>NIVL_3.MIM</t>
  </si>
  <si>
    <t>arda</t>
  </si>
  <si>
    <t>NIVL_4.BSX</t>
  </si>
  <si>
    <t>11 K</t>
  </si>
  <si>
    <t>flevel.lgp &gt; nivl_4</t>
  </si>
  <si>
    <t>NIVL_4.DAT</t>
  </si>
  <si>
    <t>NIVL_4.MIM</t>
  </si>
  <si>
    <t>asaa</t>
  </si>
  <si>
    <t>436 Bytes</t>
  </si>
  <si>
    <t>Mono Dive:Battle Skeleton</t>
  </si>
  <si>
    <t>NIVL_B1.BSX</t>
  </si>
  <si>
    <t>flevel.lgp &gt; nivl_b1</t>
  </si>
  <si>
    <t>gi.p</t>
  </si>
  <si>
    <t>NIVL_B1.DAT</t>
  </si>
  <si>
    <t>Track Models (Dragon): Jaw</t>
  </si>
  <si>
    <t>NIVL_B1.MIM</t>
  </si>
  <si>
    <t>NIVL_B12.BSX</t>
  </si>
  <si>
    <t>flevel.lgp &gt; nivl_b12</t>
  </si>
  <si>
    <t>NIVL_B12.DAT</t>
  </si>
  <si>
    <t>asab</t>
  </si>
  <si>
    <t>NIVL_B12.MIM</t>
  </si>
  <si>
    <t>Mono Dive: Unidentified Part</t>
  </si>
  <si>
    <t>NIVL_B2.BSX</t>
  </si>
  <si>
    <t>gi.rsd</t>
  </si>
  <si>
    <t>asam</t>
  </si>
  <si>
    <t>Mono Dive: Center sting</t>
  </si>
  <si>
    <t>flevel.lgp &gt; nivl_b2</t>
  </si>
  <si>
    <t>NIVL_B2.DAT</t>
  </si>
  <si>
    <t>NIVL_B2.MIM</t>
  </si>
  <si>
    <t>NIVL_B22.BSX</t>
  </si>
  <si>
    <t>asan</t>
  </si>
  <si>
    <t>flevel.lgp &gt; nivl_b22</t>
  </si>
  <si>
    <t>Mono Dive: Tentacle 1 part 1</t>
  </si>
  <si>
    <t>NIVL_B22.DAT</t>
  </si>
  <si>
    <t>NIVL_B22.MIM</t>
  </si>
  <si>
    <t>NIVL_E1.BSX</t>
  </si>
  <si>
    <t>gj.a</t>
  </si>
  <si>
    <t>flevel.lgp &gt; nivl_e1</t>
  </si>
  <si>
    <t>Track Models (Dragon): Fly</t>
  </si>
  <si>
    <t>NIVL_E1.DAT</t>
  </si>
  <si>
    <t>NIVL_E1.MIM</t>
  </si>
  <si>
    <t>gk.hrc</t>
  </si>
  <si>
    <t>Track Models (Canoe): Skeleton</t>
  </si>
  <si>
    <t>NIVL_E2.BSX</t>
  </si>
  <si>
    <t>asao</t>
  </si>
  <si>
    <t>792 Bytes</t>
  </si>
  <si>
    <t>flevel.lgp &gt; nivl_e2</t>
  </si>
  <si>
    <t>Mono Dive: Tentacle 1 part 2</t>
  </si>
  <si>
    <t>NIVL_E2.DAT</t>
  </si>
  <si>
    <t>NIVL_E2.MIM</t>
  </si>
  <si>
    <t>NIVL_E3.BSX</t>
  </si>
  <si>
    <t>flevel.lgp &gt; nivl_e3</t>
  </si>
  <si>
    <t>NIVL_E3.DAT</t>
  </si>
  <si>
    <t>gl.p</t>
  </si>
  <si>
    <t>NIVL_E3.MIM</t>
  </si>
  <si>
    <t>Track Models (Canoe): Canoe</t>
  </si>
  <si>
    <t>asap</t>
  </si>
  <si>
    <t>NMKIN_1.BSX</t>
  </si>
  <si>
    <t>Mono Dive: Tentacle 1 part 3</t>
  </si>
  <si>
    <t>flevel.lgp &gt; nmkin_1</t>
  </si>
  <si>
    <t>NMKIN_1.DAT</t>
  </si>
  <si>
    <t>NMKIN_1.MIM</t>
  </si>
  <si>
    <t>NMKIN_2.BSX</t>
  </si>
  <si>
    <t>flevel.lgp &gt; nmkin_2</t>
  </si>
  <si>
    <t>NMKIN_2.DAT</t>
  </si>
  <si>
    <t>gl.rsd</t>
  </si>
  <si>
    <t>asaq</t>
  </si>
  <si>
    <t>Mono Dive: Tentacle 1 part 4</t>
  </si>
  <si>
    <t>NMKIN_2.MIM</t>
  </si>
  <si>
    <t>NMKIN_3.BSX</t>
  </si>
  <si>
    <t>flevel.lgp &gt; nmkin_3</t>
  </si>
  <si>
    <t>NMKIN_3.DAT</t>
  </si>
  <si>
    <t>NMKIN_3.MIM</t>
  </si>
  <si>
    <t>NMKIN_4.BSX</t>
  </si>
  <si>
    <t>flevel.lgp &gt; nmkin_4</t>
  </si>
  <si>
    <t>gm.p</t>
  </si>
  <si>
    <t>NMKIN_4.DAT</t>
  </si>
  <si>
    <t>asar</t>
  </si>
  <si>
    <t>Track Models (Canoe): Body</t>
  </si>
  <si>
    <t>Mono Dive: Tentacle 1 part 5</t>
  </si>
  <si>
    <t>NMKIN_4.MIM</t>
  </si>
  <si>
    <t>NMKIN_5.BSX</t>
  </si>
  <si>
    <t>flevel.lgp &gt; nmkin_5</t>
  </si>
  <si>
    <t>NMKIN_5.DAT</t>
  </si>
  <si>
    <t>NMKIN_5.MIM</t>
  </si>
  <si>
    <t>gm.rsd</t>
  </si>
  <si>
    <t>asas</t>
  </si>
  <si>
    <t>NRTHMK.BSX</t>
  </si>
  <si>
    <t>528 Bytes</t>
  </si>
  <si>
    <t>Mono Dive: Tentacle 1 part 6</t>
  </si>
  <si>
    <t>flevel.lgp &gt; nrthmk</t>
  </si>
  <si>
    <t>NRTHMK.DAT</t>
  </si>
  <si>
    <t>NRTHMK.MIM</t>
  </si>
  <si>
    <t>NVDUN1.BSX</t>
  </si>
  <si>
    <t>flevel.lgp &gt; nvdun1</t>
  </si>
  <si>
    <t>NVDUN1.DAT</t>
  </si>
  <si>
    <t>NVDUN1.MIM</t>
  </si>
  <si>
    <t>gn.p</t>
  </si>
  <si>
    <t>asat</t>
  </si>
  <si>
    <t>Track Models (Canoe): Head</t>
  </si>
  <si>
    <t>Mono Dive: Tentacle 2 part 1</t>
  </si>
  <si>
    <t>NVDUN2.BSX</t>
  </si>
  <si>
    <t>flevel.lgp &gt; nvdun2</t>
  </si>
  <si>
    <t>NVDUN2.DAT</t>
  </si>
  <si>
    <t>NVDUN2.MIM</t>
  </si>
  <si>
    <t>NVDUN31.BSX</t>
  </si>
  <si>
    <t>flevel.lgp &gt; nvdun31</t>
  </si>
  <si>
    <t>NVDUN31.DAT</t>
  </si>
  <si>
    <t>gn.rsd</t>
  </si>
  <si>
    <t>NVDUN31.MIM</t>
  </si>
  <si>
    <t>asau</t>
  </si>
  <si>
    <t>Mono Dive: Tentacle 2 part 2</t>
  </si>
  <si>
    <t>NVDUN3.BSX</t>
  </si>
  <si>
    <t>flevel.lgp &gt; nvdun3</t>
  </si>
  <si>
    <t>NVDUN3.DAT</t>
  </si>
  <si>
    <t>NVDUN3.MIM</t>
  </si>
  <si>
    <t>NVDUN4.BSX</t>
  </si>
  <si>
    <t>flevel.lgp &gt; nvdun4</t>
  </si>
  <si>
    <t>NVDUN4.DAT</t>
  </si>
  <si>
    <t>go.p</t>
  </si>
  <si>
    <t>asav</t>
  </si>
  <si>
    <t>Track Models (Canoe): Paddle</t>
  </si>
  <si>
    <t>NVDUN4.MIM</t>
  </si>
  <si>
    <t>Mono Dive: Tentacle 2 part 3</t>
  </si>
  <si>
    <t>NVMIN1_1.BSX</t>
  </si>
  <si>
    <t>flevel.lgp &gt; nvmin1_1</t>
  </si>
  <si>
    <t>NVMIN1_1.DAT</t>
  </si>
  <si>
    <t>NVMIN1_1.MIM</t>
  </si>
  <si>
    <t>NVMIN1_2.BSX</t>
  </si>
  <si>
    <t>flevel.lgp &gt; nvmin1_2</t>
  </si>
  <si>
    <t>NVMIN1_2.DAT</t>
  </si>
  <si>
    <t>asaw</t>
  </si>
  <si>
    <t>Mono Dive: Tentacle 2 part 4</t>
  </si>
  <si>
    <t>NVMIN1_2.MIM</t>
  </si>
  <si>
    <t>go.rsd</t>
  </si>
  <si>
    <t>NVMKIN1.BSX</t>
  </si>
  <si>
    <t>flevel.lgp &gt; nvmkin1</t>
  </si>
  <si>
    <t>NVMKIN1.DAT</t>
  </si>
  <si>
    <t>NVMKIN1.MIM</t>
  </si>
  <si>
    <t>NVMKIN21.BSX</t>
  </si>
  <si>
    <t>flevel.lgp &gt; nvmkin21</t>
  </si>
  <si>
    <t>NVMKIN21.DAT</t>
  </si>
  <si>
    <t>asax</t>
  </si>
  <si>
    <t>Mono Dive: Tentacle 2 part 5</t>
  </si>
  <si>
    <t>gp.p</t>
  </si>
  <si>
    <t>Track Models (Canoe): Arm</t>
  </si>
  <si>
    <t>NVMKIN21.MIM</t>
  </si>
  <si>
    <t>NVMKIN22.BSX</t>
  </si>
  <si>
    <t>flevel.lgp &gt; nvmkin22</t>
  </si>
  <si>
    <t>NVMKIN22.DAT</t>
  </si>
  <si>
    <t>NVMKIN22.MIM</t>
  </si>
  <si>
    <t>asay</t>
  </si>
  <si>
    <t>gp.rsd</t>
  </si>
  <si>
    <t>Mono Dive: Tentacle 2 part 6</t>
  </si>
  <si>
    <t>NVMKIN23.BSX</t>
  </si>
  <si>
    <t>flevel.lgp &gt; nvmkin23</t>
  </si>
  <si>
    <t>NVMKIN23.DAT</t>
  </si>
  <si>
    <t>NVMKIN23.MIM</t>
  </si>
  <si>
    <t>NVMKIN31.BSX</t>
  </si>
  <si>
    <t>flevel.lgp &gt; nvmkin31</t>
  </si>
  <si>
    <t>NVMKIN31.DAT</t>
  </si>
  <si>
    <t>gq.p</t>
  </si>
  <si>
    <t>NVMKIN31.MIM</t>
  </si>
  <si>
    <t>asaz</t>
  </si>
  <si>
    <t>Track Models (Canoe): Forearm</t>
  </si>
  <si>
    <t>Mono Dive: Tentacle 3 part 1</t>
  </si>
  <si>
    <t>NVMKIN32.BSX</t>
  </si>
  <si>
    <t>flevel.lgp &gt; nvmkin32</t>
  </si>
  <si>
    <t>NVMKIN32.DAT</t>
  </si>
  <si>
    <t>NVMKIN32.MIM</t>
  </si>
  <si>
    <t>ONNA_1.BSX</t>
  </si>
  <si>
    <t>gq.rsd</t>
  </si>
  <si>
    <t>asba</t>
  </si>
  <si>
    <t>Mono Dive: Tentacle 3 part 2</t>
  </si>
  <si>
    <t>ONNA_1.DAT</t>
  </si>
  <si>
    <t>ONNA_1.MIM</t>
  </si>
  <si>
    <t>ONNA_2.BSX</t>
  </si>
  <si>
    <t>flevel.lgp &gt; onna_2</t>
  </si>
  <si>
    <t>ONNA_2.DAT</t>
  </si>
  <si>
    <t>ONNA_2.MIM</t>
  </si>
  <si>
    <t>gr.p</t>
  </si>
  <si>
    <t>asbb</t>
  </si>
  <si>
    <t>Track Models (Canoe): Hand</t>
  </si>
  <si>
    <t>Mono Dive: Tentacle 3 part 3</t>
  </si>
  <si>
    <t>ONNA_3.BSX</t>
  </si>
  <si>
    <t>ONNA_3.DAT</t>
  </si>
  <si>
    <t>ONNA_3.MIM</t>
  </si>
  <si>
    <t>gr.rsd</t>
  </si>
  <si>
    <t>asbc</t>
  </si>
  <si>
    <t>900 Bytes</t>
  </si>
  <si>
    <t>Mono Dive: Tentacle 3 part 4</t>
  </si>
  <si>
    <t>ONNA_4.BSX</t>
  </si>
  <si>
    <t>flevel.lgp &gt; onna_4</t>
  </si>
  <si>
    <t>ONNA_4.DAT</t>
  </si>
  <si>
    <t>ONNA_4.MIM</t>
  </si>
  <si>
    <t>ONNA_5.BSX</t>
  </si>
  <si>
    <t>flevel.lgp &gt; onna_5</t>
  </si>
  <si>
    <t>gs.p</t>
  </si>
  <si>
    <t>asbd</t>
  </si>
  <si>
    <t>ONNA_5.DAT</t>
  </si>
  <si>
    <t>Mono Dive: Tentacle 3 part 5</t>
  </si>
  <si>
    <t>ONNA_5.MIM</t>
  </si>
  <si>
    <t>ONNA_52.BSX</t>
  </si>
  <si>
    <t>flevel.lgp &gt; onna_52</t>
  </si>
  <si>
    <t>ONNA_52.DAT</t>
  </si>
  <si>
    <t>ONNA_52.MIM</t>
  </si>
  <si>
    <t>ONNA_6.BSX</t>
  </si>
  <si>
    <t>gs.rsd</t>
  </si>
  <si>
    <t>asbe</t>
  </si>
  <si>
    <t>ONNA_6.DAT</t>
  </si>
  <si>
    <t>Mono Dive: Tentacle 3 part 6</t>
  </si>
  <si>
    <t>ONNA_6.MIM</t>
  </si>
  <si>
    <t>PASS.BSX</t>
  </si>
  <si>
    <t>PASS.DAT</t>
  </si>
  <si>
    <t>PASS.MIM</t>
  </si>
  <si>
    <t>gt.p</t>
  </si>
  <si>
    <t>PILLAR_1.BSX</t>
  </si>
  <si>
    <t>asbf</t>
  </si>
  <si>
    <t>flevel.lgp &gt; pillar_1</t>
  </si>
  <si>
    <t>Mono Dive: Tentacle 4 part 1</t>
  </si>
  <si>
    <t>PILLAR_1.DAT</t>
  </si>
  <si>
    <t>PILLAR_1.MIM</t>
  </si>
  <si>
    <t>PILLAR_2.BSX</t>
  </si>
  <si>
    <t>flevel.lgp &gt; pillar_2</t>
  </si>
  <si>
    <t>PILLAR_2.DAT</t>
  </si>
  <si>
    <t>gt.rsd</t>
  </si>
  <si>
    <t>PILLAR_2.MIM</t>
  </si>
  <si>
    <t>PILLAR_3.BSX</t>
  </si>
  <si>
    <t>flevel.lgp &gt; pillar_3</t>
  </si>
  <si>
    <t>PILLAR_3.DAT</t>
  </si>
  <si>
    <t>asbg</t>
  </si>
  <si>
    <t>PILLAR_3.MIM</t>
  </si>
  <si>
    <t>Mono Dive: Tentacle 4 part 2</t>
  </si>
  <si>
    <t>PRISILA.BSX</t>
  </si>
  <si>
    <t>flevel.lgp &gt; prisila</t>
  </si>
  <si>
    <t>PRISILA.DAT</t>
  </si>
  <si>
    <t>PRISILA.MIM</t>
  </si>
  <si>
    <t>PSDUN_1.BSX</t>
  </si>
  <si>
    <t>flevel.lgp &gt; psdun_1</t>
  </si>
  <si>
    <t>gu.p</t>
  </si>
  <si>
    <t>PSDUN_1.DAT</t>
  </si>
  <si>
    <t>PSDUN_1.MIM</t>
  </si>
  <si>
    <t>asbh</t>
  </si>
  <si>
    <t>Mono Dive: Tentacle 4 part 3</t>
  </si>
  <si>
    <t>PSDUN_2.BSX</t>
  </si>
  <si>
    <t>flevel.lgp &gt; psdun_2</t>
  </si>
  <si>
    <t>PSDUN_2.DAT</t>
  </si>
  <si>
    <t>PSDUN_2.MIM</t>
  </si>
  <si>
    <t>PSDUN_3.BSX</t>
  </si>
  <si>
    <t>gu.rsd</t>
  </si>
  <si>
    <t>flevel.lgp &gt; psdun_3</t>
  </si>
  <si>
    <t>PSDUN_3.DAT</t>
  </si>
  <si>
    <t>PSDUN_3.MIM</t>
  </si>
  <si>
    <t>asbi</t>
  </si>
  <si>
    <t>Mono Dive: Tentacle 4  part 4</t>
  </si>
  <si>
    <t>PSDUN_4.BSX</t>
  </si>
  <si>
    <t>flevel.lgp &gt; psdun_4</t>
  </si>
  <si>
    <t>PSDUN_4.DAT</t>
  </si>
  <si>
    <t>PSDUN_4.MIM</t>
  </si>
  <si>
    <t>Q_1.BSX</t>
  </si>
  <si>
    <t>flevel.lgp &gt; q_a</t>
  </si>
  <si>
    <t>gv.a</t>
  </si>
  <si>
    <t>Q_1.DAT</t>
  </si>
  <si>
    <t>Track Models (Canoe): Paddle and fall</t>
  </si>
  <si>
    <t>asbj</t>
  </si>
  <si>
    <t>Q_1.MIM</t>
  </si>
  <si>
    <t>Mono Dive: Tentacle 4 part 5</t>
  </si>
  <si>
    <t>gw.hrc</t>
  </si>
  <si>
    <t>Track Models (Diamond 1): Skeleton</t>
  </si>
  <si>
    <t>Q_2.BSX</t>
  </si>
  <si>
    <t>Skeletion</t>
  </si>
  <si>
    <t>flevel.lgp &gt; q_b</t>
  </si>
  <si>
    <t>Q_2.DAT</t>
  </si>
  <si>
    <t>Q_2.MIM</t>
  </si>
  <si>
    <t>asbk</t>
  </si>
  <si>
    <t>gx.p</t>
  </si>
  <si>
    <t>Mono Dive: Tentacle 4 part 6</t>
  </si>
  <si>
    <t>Track Models (Diamond 1): Whole Diamond</t>
  </si>
  <si>
    <t>Q_3.BSX</t>
  </si>
  <si>
    <t>flevel.lgp &gt; q_c</t>
  </si>
  <si>
    <t>Q_3.DAT</t>
  </si>
  <si>
    <t>Q_3.MIM</t>
  </si>
  <si>
    <t>Q_4.BSX</t>
  </si>
  <si>
    <t>flevel.lgp &gt; q_d</t>
  </si>
  <si>
    <t>Q_4.DAT</t>
  </si>
  <si>
    <t>gx.rsd</t>
  </si>
  <si>
    <t>asbl</t>
  </si>
  <si>
    <t>Q_4.MIM</t>
  </si>
  <si>
    <t>Mono Dive: Tentacle 5 part 1</t>
  </si>
  <si>
    <t>Q_5.BSX</t>
  </si>
  <si>
    <t>Q_5.DAT</t>
  </si>
  <si>
    <t>Q_5.MIM</t>
  </si>
  <si>
    <t>RCKT2.BSX</t>
  </si>
  <si>
    <t>flevel.lgp &gt; rckt2</t>
  </si>
  <si>
    <t>RCKT2.DAT</t>
  </si>
  <si>
    <t>gy.a</t>
  </si>
  <si>
    <t>asbm</t>
  </si>
  <si>
    <t>Track Models (Diamond 1): Spin</t>
  </si>
  <si>
    <t>Mono Dive: Tentacle 5 part 2</t>
  </si>
  <si>
    <t>RCKT2.MIM</t>
  </si>
  <si>
    <t>gz.hrc</t>
  </si>
  <si>
    <t>RCKT3.BSX</t>
  </si>
  <si>
    <t>Track Models (Diamond 2): Skeleton</t>
  </si>
  <si>
    <t>flevel.lgp &gt; rckt3</t>
  </si>
  <si>
    <t>RCKT3.DAT</t>
  </si>
  <si>
    <t>RCKT3.MIM</t>
  </si>
  <si>
    <t>asbn</t>
  </si>
  <si>
    <t>ha.p</t>
  </si>
  <si>
    <t>Mono Dive: Tentacle 5 part 3</t>
  </si>
  <si>
    <t>Track Models (Diamond 2): Whole Diamond</t>
  </si>
  <si>
    <t>RCKT32.BSX</t>
  </si>
  <si>
    <t>flevel.lgp &gt; rckt32</t>
  </si>
  <si>
    <t>RCKT32.DAT</t>
  </si>
  <si>
    <t>RCKT32.MIM</t>
  </si>
  <si>
    <t>RCKTBAS1.BSX</t>
  </si>
  <si>
    <t>flevel.lgp &gt; rcktbas1</t>
  </si>
  <si>
    <t>RCKTBAS1.DAT</t>
  </si>
  <si>
    <t>ha.rsd</t>
  </si>
  <si>
    <t>asbo</t>
  </si>
  <si>
    <t>RCKTBAS1.MIM</t>
  </si>
  <si>
    <t>Mono Dive: Tentacle 5 part 4</t>
  </si>
  <si>
    <t>RCKTBAS2.BSX</t>
  </si>
  <si>
    <t>flevel.lgp &gt; rcktbas2</t>
  </si>
  <si>
    <t>RCKTBAS2.DAT</t>
  </si>
  <si>
    <t>RCKTBAS2.MIM</t>
  </si>
  <si>
    <t>RCKT.BSX</t>
  </si>
  <si>
    <t>flevel.lgp &gt; rckt</t>
  </si>
  <si>
    <t>RCKT.DAT</t>
  </si>
  <si>
    <t>asbp</t>
  </si>
  <si>
    <t>RCKT.MIM</t>
  </si>
  <si>
    <t>Mono Dive: Tentacle 5 part 5</t>
  </si>
  <si>
    <t>RCKTIN1.BSX</t>
  </si>
  <si>
    <t>flevel.lgp &gt; rcktin1</t>
  </si>
  <si>
    <t>RCKTIN1.DAT</t>
  </si>
  <si>
    <t>hb.a</t>
  </si>
  <si>
    <t>RCKTIN1.MIM</t>
  </si>
  <si>
    <t>Track Models (Diamond 2): Spin</t>
  </si>
  <si>
    <t>RCKTIN2.BSX</t>
  </si>
  <si>
    <t>flevel.lgp &gt; rcktin2</t>
  </si>
  <si>
    <t>RCKTIN2.DAT</t>
  </si>
  <si>
    <t>hc.hrc</t>
  </si>
  <si>
    <t>Track Models (Diamond 3): Skeleton</t>
  </si>
  <si>
    <t>RCKTIN2.MIM</t>
  </si>
  <si>
    <t>asbq</t>
  </si>
  <si>
    <t>Mono Dive: Tentacle 5 part 6</t>
  </si>
  <si>
    <t>RCKTIN3.BSX</t>
  </si>
  <si>
    <t>flevel.lgp &gt; rcktin3</t>
  </si>
  <si>
    <t>RCKTIN3.DAT</t>
  </si>
  <si>
    <t>RCKTIN3.MIM</t>
  </si>
  <si>
    <t>RCKTIN4.BSX</t>
  </si>
  <si>
    <t>flevel.lgp &gt; rcktin4</t>
  </si>
  <si>
    <t>RCKTIN4.DAT</t>
  </si>
  <si>
    <t>hd.p</t>
  </si>
  <si>
    <t>asbr</t>
  </si>
  <si>
    <t>Track Models (Diamond 3): Whole Diamond</t>
  </si>
  <si>
    <t>RCKTIN4.MIM</t>
  </si>
  <si>
    <t>Mono Dive: Head</t>
  </si>
  <si>
    <t>RCKTIN5.BSX</t>
  </si>
  <si>
    <t>flevel.lgp &gt; rcktin5</t>
  </si>
  <si>
    <t>RCKTIN5.DAT</t>
  </si>
  <si>
    <t>RCKTIN5.MIM</t>
  </si>
  <si>
    <t>RCKTIN6.BSX</t>
  </si>
  <si>
    <t>flevel.lgp &gt; rcktin6</t>
  </si>
  <si>
    <t>RCKTIN6.DAT</t>
  </si>
  <si>
    <t>asda</t>
  </si>
  <si>
    <t>5.3 K</t>
  </si>
  <si>
    <t>RCKTIN6.MIM</t>
  </si>
  <si>
    <t>hd.rsd</t>
  </si>
  <si>
    <t>RCKTIN7.BSX</t>
  </si>
  <si>
    <t>ataa</t>
  </si>
  <si>
    <t>flevel.lgp &gt; rcktin7</t>
  </si>
  <si>
    <t>RCKTIN7.DAT</t>
  </si>
  <si>
    <t>Grunt: Battle Skeleton</t>
  </si>
  <si>
    <t>RCKTIN7.MIM</t>
  </si>
  <si>
    <t>RCKTIN8.BSX</t>
  </si>
  <si>
    <t>flevel.lgp &gt; rcktin8</t>
  </si>
  <si>
    <t>RCKTIN8.DAT</t>
  </si>
  <si>
    <t>RCKTIN8.MIM</t>
  </si>
  <si>
    <t>he.a</t>
  </si>
  <si>
    <t>RED.BCX</t>
  </si>
  <si>
    <t>Track Models (Diamond 3): Spin</t>
  </si>
  <si>
    <t>flevel.lgp &gt; chi_red2.tex | chi_red5.tex</t>
  </si>
  <si>
    <t>atab</t>
  </si>
  <si>
    <t>RKT_I.BSX</t>
  </si>
  <si>
    <t>420 Bytes</t>
  </si>
  <si>
    <t>Grunt: Unidentified Part</t>
  </si>
  <si>
    <t>flevel.lgp &gt; rkt_i</t>
  </si>
  <si>
    <t>hf.hrc</t>
  </si>
  <si>
    <t>RKT_I.DAT</t>
  </si>
  <si>
    <t>Track Models (Diamond 4): Skeleton</t>
  </si>
  <si>
    <t>RKT_I.MIM</t>
  </si>
  <si>
    <t>RKT_W.BSX</t>
  </si>
  <si>
    <t>flevel.lgp &gt; rkt_w</t>
  </si>
  <si>
    <t>RKT_W.DAT</t>
  </si>
  <si>
    <t>atac</t>
  </si>
  <si>
    <t>RKT_W.MIM</t>
  </si>
  <si>
    <t>Grunt: Helmet Parts</t>
  </si>
  <si>
    <t>RKTINN1.BSX</t>
  </si>
  <si>
    <t>flevel.lgp &gt; rktinn1</t>
  </si>
  <si>
    <t>RKTINN1.DAT</t>
  </si>
  <si>
    <t>hg.p</t>
  </si>
  <si>
    <t>Track Models (Diamond 4): Whole Diamond</t>
  </si>
  <si>
    <t>RKTINN1.MIM</t>
  </si>
  <si>
    <t>RKTINN2.BSX</t>
  </si>
  <si>
    <t>flevel.lgp &gt; rktinn2</t>
  </si>
  <si>
    <t>RKTINN2.DAT</t>
  </si>
  <si>
    <t>atad</t>
  </si>
  <si>
    <t>RKTINN2.MIM</t>
  </si>
  <si>
    <t>Grunt: Eye</t>
  </si>
  <si>
    <t>RKTMIN1.BSX</t>
  </si>
  <si>
    <t>hg.rsd</t>
  </si>
  <si>
    <t>flevel.lgp &gt; rktmin1</t>
  </si>
  <si>
    <t>RKTMIN1.DAT</t>
  </si>
  <si>
    <t>RKTMIN1.MIM</t>
  </si>
  <si>
    <t>RKTMIN2.BSX</t>
  </si>
  <si>
    <t>flevel.lgp &gt; rktmin2</t>
  </si>
  <si>
    <t>RKTMIN2.DAT</t>
  </si>
  <si>
    <t>atae</t>
  </si>
  <si>
    <t>hh.a</t>
  </si>
  <si>
    <t>Grunt: Lower Arm Parts</t>
  </si>
  <si>
    <t>RKTMIN2.MIM</t>
  </si>
  <si>
    <t>Track Models (Diamond 4): Spin</t>
  </si>
  <si>
    <t>RKTSID.BSX</t>
  </si>
  <si>
    <t>flevel.lgp &gt; rktsid</t>
  </si>
  <si>
    <t>hi.hrc</t>
  </si>
  <si>
    <t>RKTSID.DAT</t>
  </si>
  <si>
    <t>Track Models (Diamond 5): Skeleton</t>
  </si>
  <si>
    <t>RKTSID.MIM</t>
  </si>
  <si>
    <t>ROADEND.BSX</t>
  </si>
  <si>
    <t>flevel.lgp &gt; roadend</t>
  </si>
  <si>
    <t>ROADEND.DAT</t>
  </si>
  <si>
    <t>atam</t>
  </si>
  <si>
    <t>ROADEND.MIM</t>
  </si>
  <si>
    <t>Grunt: Hip</t>
  </si>
  <si>
    <t>ROOTMAP.BSX</t>
  </si>
  <si>
    <t>flevel.lgp &gt; rootmap</t>
  </si>
  <si>
    <t>ROOTMAP.DAT</t>
  </si>
  <si>
    <t>hj.p</t>
  </si>
  <si>
    <t>Track Models (Diamond 5): Whole Diamond</t>
  </si>
  <si>
    <t>ROOTMAP.MIM</t>
  </si>
  <si>
    <t>ROPEST.BSX</t>
  </si>
  <si>
    <t>flevel.lgp &gt; ropest</t>
  </si>
  <si>
    <t>ROPEST.DAT</t>
  </si>
  <si>
    <t>ROPEST.MIM</t>
  </si>
  <si>
    <t>SANDUN_1.BSX</t>
  </si>
  <si>
    <t>flevel.lgp &gt; sandun_1</t>
  </si>
  <si>
    <t>SANDUN_1.DAT</t>
  </si>
  <si>
    <t>atan</t>
  </si>
  <si>
    <t>SANDUN_1.MIM</t>
  </si>
  <si>
    <t>Grunt: Chest</t>
  </si>
  <si>
    <t>SANDUN_2.BSX</t>
  </si>
  <si>
    <t>hj.rsd</t>
  </si>
  <si>
    <t>flevel.lgp &gt; sandun_2</t>
  </si>
  <si>
    <t>SANDUN_2.DAT</t>
  </si>
  <si>
    <t>SANDUN_2.MIM</t>
  </si>
  <si>
    <t>SANGO1.BSX</t>
  </si>
  <si>
    <t>flevel.lgp &gt; sango1</t>
  </si>
  <si>
    <t>SANGO1.DAT</t>
  </si>
  <si>
    <t>SANGO1.MIM</t>
  </si>
  <si>
    <t>SANGO2.BSX</t>
  </si>
  <si>
    <t>flevel.lgp &gt; sango2</t>
  </si>
  <si>
    <t>SANGO2.DAT</t>
  </si>
  <si>
    <t>SANGO2.MIM</t>
  </si>
  <si>
    <t>hk.a</t>
  </si>
  <si>
    <t>atao</t>
  </si>
  <si>
    <t>SANGO3.BSX</t>
  </si>
  <si>
    <t>Track Models (Diamond 5): Spin</t>
  </si>
  <si>
    <t>flevel.lgp &gt; sango3</t>
  </si>
  <si>
    <t>Grunt: Head</t>
  </si>
  <si>
    <t>SANGO3.DAT</t>
  </si>
  <si>
    <t>SANGO3.MIM</t>
  </si>
  <si>
    <t>hl.hrc</t>
  </si>
  <si>
    <t>SEA.BSX</t>
  </si>
  <si>
    <t>Track Models (Diamond 6): Skeleton</t>
  </si>
  <si>
    <t>flevel.lgp &gt; sea</t>
  </si>
  <si>
    <t>SEA.DAT</t>
  </si>
  <si>
    <t>SEA.MIM</t>
  </si>
  <si>
    <t>SEMKIN_1.BSX</t>
  </si>
  <si>
    <t>flevel.lgp &gt; semkin_1</t>
  </si>
  <si>
    <t>SEMKIN_1.DAT</t>
  </si>
  <si>
    <t>SEMKIN_1.MIM</t>
  </si>
  <si>
    <t>SEMKIN_2.BSX</t>
  </si>
  <si>
    <t>flevel.lgp &gt; semkin_2</t>
  </si>
  <si>
    <t>atar</t>
  </si>
  <si>
    <t>SEMKIN_2.DAT</t>
  </si>
  <si>
    <t>hm.p</t>
  </si>
  <si>
    <t>Grunt: Left arm</t>
  </si>
  <si>
    <t>SEMKIN_2.MIM</t>
  </si>
  <si>
    <t>Track Models (Diamond 6): Whole Diamond</t>
  </si>
  <si>
    <t>SEMKIN_3.BSX</t>
  </si>
  <si>
    <t>flevel.lgp &gt; semkin_3</t>
  </si>
  <si>
    <t>SEMKIN_3.DAT</t>
  </si>
  <si>
    <t>SEMKIN_3.MIM</t>
  </si>
  <si>
    <t>SEMKIN_4.BSX</t>
  </si>
  <si>
    <t>flevel.lgp &gt; semkin_4</t>
  </si>
  <si>
    <t>SEMKIN_4.DAT</t>
  </si>
  <si>
    <t>SEMKIN_4.MIM</t>
  </si>
  <si>
    <t>SEMKIN_5.BSX</t>
  </si>
  <si>
    <t>flevel.lgp &gt; semkin_5</t>
  </si>
  <si>
    <t>SEMKIN_5.DAT</t>
  </si>
  <si>
    <t>hm.rsd</t>
  </si>
  <si>
    <t>atas</t>
  </si>
  <si>
    <t>SEMKIN_5.MIM</t>
  </si>
  <si>
    <t>Grunt: Left forearm</t>
  </si>
  <si>
    <t>SEMKIN_6.BSX</t>
  </si>
  <si>
    <t>flevel.lgp &gt; semkin_6</t>
  </si>
  <si>
    <t>SEMKIN_6.DAT</t>
  </si>
  <si>
    <t>SEMKIN_6.MIM</t>
  </si>
  <si>
    <t>SEMKIN_7.BSX</t>
  </si>
  <si>
    <t>flevel.lgp &gt; semkin_7</t>
  </si>
  <si>
    <t>SEMKIN_7.DAT</t>
  </si>
  <si>
    <t>SEMKIN_7.MIM</t>
  </si>
  <si>
    <t>SEMKIN_8.BSX</t>
  </si>
  <si>
    <t>flevel.lgp &gt; semkin_8</t>
  </si>
  <si>
    <t>SEMKIN_8.DAT</t>
  </si>
  <si>
    <t>hn.a</t>
  </si>
  <si>
    <t>atau</t>
  </si>
  <si>
    <t>SEMKIN_8.MIM</t>
  </si>
  <si>
    <t>820 Bytes</t>
  </si>
  <si>
    <t>Grunt: Left hand claw</t>
  </si>
  <si>
    <t>SETO1.BSX</t>
  </si>
  <si>
    <t>flevel.lgp &gt; seto1</t>
  </si>
  <si>
    <t>SETO1.DAT</t>
  </si>
  <si>
    <t>SETO1.MIM</t>
  </si>
  <si>
    <t>Track Models (Diamond 6): Spin</t>
  </si>
  <si>
    <t>SHIP_1.BSX</t>
  </si>
  <si>
    <t>flevel.lgp &gt; ship_1</t>
  </si>
  <si>
    <t>SHIP_1.DAT</t>
  </si>
  <si>
    <t>ho.hrc</t>
  </si>
  <si>
    <t>SHIP_1.MIM</t>
  </si>
  <si>
    <t>Track Models (Diamond 7): Skeleton</t>
  </si>
  <si>
    <t>SHIP_2.BSX</t>
  </si>
  <si>
    <t>flevel.lgp &gt; ship_2</t>
  </si>
  <si>
    <t>SHIP_2.DAT</t>
  </si>
  <si>
    <t>ataw</t>
  </si>
  <si>
    <t>SHIP_2.MIM</t>
  </si>
  <si>
    <t>SHPIN_2.BSX</t>
  </si>
  <si>
    <t>flevel.lgp &gt; shpin_2</t>
  </si>
  <si>
    <t>SHPIN_2.DAT</t>
  </si>
  <si>
    <t>SHPIN_2.MIM</t>
  </si>
  <si>
    <t>SHPIN_3.BSX</t>
  </si>
  <si>
    <t>flevel.lgp &gt; shpin_3</t>
  </si>
  <si>
    <t>SHPIN_3.DAT</t>
  </si>
  <si>
    <t>hp.p</t>
  </si>
  <si>
    <t>SHPIN_3.MIM</t>
  </si>
  <si>
    <t>Track Models (Diamond 7): Whole Diamond</t>
  </si>
  <si>
    <t>SHPIN_22.BSX</t>
  </si>
  <si>
    <t>flevel.lgp &gt; shpin_22</t>
  </si>
  <si>
    <t>SHPIN_22.DAT</t>
  </si>
  <si>
    <t>SHPIN_22.MIM</t>
  </si>
  <si>
    <t>SICHI.BSX</t>
  </si>
  <si>
    <t>flevel.lgp &gt; sichi</t>
  </si>
  <si>
    <t>SICHI.DAT</t>
  </si>
  <si>
    <t>SICHI.MIM</t>
  </si>
  <si>
    <t>SINBIL_1.BSX</t>
  </si>
  <si>
    <t>flevel.lgp &gt; sinbil_1</t>
  </si>
  <si>
    <t>SINBIL_1.DAT</t>
  </si>
  <si>
    <t>SINBIL_1.MIM</t>
  </si>
  <si>
    <t>atay</t>
  </si>
  <si>
    <t>hp.rsd</t>
  </si>
  <si>
    <t>SINBIL_2.BSX</t>
  </si>
  <si>
    <t>flevel.lgp &gt; sinbil_2</t>
  </si>
  <si>
    <t>SINBIL_2.DAT</t>
  </si>
  <si>
    <t>SINBIL_2.MIM</t>
  </si>
  <si>
    <t>SININ1_1.BSX</t>
  </si>
  <si>
    <t>flevel.lgp &gt; sinin1_1</t>
  </si>
  <si>
    <t>SININ1_1.DAT</t>
  </si>
  <si>
    <t>hq.a</t>
  </si>
  <si>
    <t>SININ1_1.MIM</t>
  </si>
  <si>
    <t>atba</t>
  </si>
  <si>
    <t>Track Models (Diamond 7): Spin</t>
  </si>
  <si>
    <t>SININ1_2.BSX</t>
  </si>
  <si>
    <t>flevel.lgp &gt; sinin1_2</t>
  </si>
  <si>
    <t>hr.hrc</t>
  </si>
  <si>
    <t>SININ1_2.DAT</t>
  </si>
  <si>
    <t>Track Models (Finish line 1): Skeleton</t>
  </si>
  <si>
    <t>SININ1_2.MIM</t>
  </si>
  <si>
    <t>SININ2_1.BSX</t>
  </si>
  <si>
    <t>flevel.lgp &gt; sinin2_1</t>
  </si>
  <si>
    <t>SININ2_1.DAT</t>
  </si>
  <si>
    <t>atbd</t>
  </si>
  <si>
    <t>2.1 K</t>
  </si>
  <si>
    <t>SININ2_1.MIM</t>
  </si>
  <si>
    <t>Grunt: Right arm</t>
  </si>
  <si>
    <t>hs.p</t>
  </si>
  <si>
    <t>SININ2_2.BSX</t>
  </si>
  <si>
    <t>Track Models (Finish line 1): Tower</t>
  </si>
  <si>
    <t>flevel.lgp &gt; sinin2_2</t>
  </si>
  <si>
    <t>SININ2_2.DAT</t>
  </si>
  <si>
    <t>SININ2_2.MIM</t>
  </si>
  <si>
    <t>SININ3.BSX</t>
  </si>
  <si>
    <t>flevel.lgp &gt; sinin3</t>
  </si>
  <si>
    <t>SININ3.DAT</t>
  </si>
  <si>
    <t>SININ3.MIM</t>
  </si>
  <si>
    <t>hs.rsd</t>
  </si>
  <si>
    <t>SININB1.BSX</t>
  </si>
  <si>
    <t>flevel.lgp &gt; sininb1</t>
  </si>
  <si>
    <t>SININB1.DAT</t>
  </si>
  <si>
    <t>SININB1.MIM</t>
  </si>
  <si>
    <t>atbe</t>
  </si>
  <si>
    <t>SININB2.BSX</t>
  </si>
  <si>
    <t>Grunt: Right forearm</t>
  </si>
  <si>
    <t>flevel.lgp &gt; sininb2</t>
  </si>
  <si>
    <t>SININB2.DAT</t>
  </si>
  <si>
    <t>SININB2.MIM</t>
  </si>
  <si>
    <t>ht.p</t>
  </si>
  <si>
    <t>SININB31.BSX</t>
  </si>
  <si>
    <t>Track Models (Finish line 1): Spinning wheel</t>
  </si>
  <si>
    <t>flevel.lgp &gt; sininb31</t>
  </si>
  <si>
    <t>SININB31.DAT</t>
  </si>
  <si>
    <t>SININB31.MIM</t>
  </si>
  <si>
    <t>atbg</t>
  </si>
  <si>
    <t>SININB32.BSX</t>
  </si>
  <si>
    <t>Grunt: Right hand claw</t>
  </si>
  <si>
    <t>flevel.lgp &gt; sininb32</t>
  </si>
  <si>
    <t>SININB32.DAT</t>
  </si>
  <si>
    <t>SININB32.MIM</t>
  </si>
  <si>
    <t>ht.rsd</t>
  </si>
  <si>
    <t>SININB33.BSX</t>
  </si>
  <si>
    <t>flevel.lgp &gt; sininb33</t>
  </si>
  <si>
    <t>SININB33.DAT</t>
  </si>
  <si>
    <t>atbi</t>
  </si>
  <si>
    <t>SININB33.MIM</t>
  </si>
  <si>
    <t>SININB34.BSX</t>
  </si>
  <si>
    <t>flevel.lgp &gt; sininb34</t>
  </si>
  <si>
    <t>SININB34.DAT</t>
  </si>
  <si>
    <t>SININB34.MIM</t>
  </si>
  <si>
    <t>hu.p</t>
  </si>
  <si>
    <t>SININB35.BSX</t>
  </si>
  <si>
    <t>Track Models (Finish line 1): Chocobo body</t>
  </si>
  <si>
    <t>flevel.lgp &gt; sininb35</t>
  </si>
  <si>
    <t>SININB35.DAT</t>
  </si>
  <si>
    <t>atbk</t>
  </si>
  <si>
    <t>SININB35.MIM</t>
  </si>
  <si>
    <t>SININB36.BSX</t>
  </si>
  <si>
    <t>flevel.lgp &gt; sininb36</t>
  </si>
  <si>
    <t>SININB36.DAT</t>
  </si>
  <si>
    <t>SININB36.MIM</t>
  </si>
  <si>
    <t>hu.rsd</t>
  </si>
  <si>
    <t>SININB41.BSX</t>
  </si>
  <si>
    <t>flevel.lgp &gt; sininb41</t>
  </si>
  <si>
    <t>SININB41.DAT</t>
  </si>
  <si>
    <t>SININB41.MIM</t>
  </si>
  <si>
    <t>atbm</t>
  </si>
  <si>
    <t>SININB42.BSX</t>
  </si>
  <si>
    <t>flevel.lgp &gt; sininb42</t>
  </si>
  <si>
    <t>SININB42.DAT</t>
  </si>
  <si>
    <t>SININB42.MIM</t>
  </si>
  <si>
    <t>SININB51.BSX</t>
  </si>
  <si>
    <t>flevel.lgp &gt; sininb51</t>
  </si>
  <si>
    <t>SININB51.DAT</t>
  </si>
  <si>
    <t>hv.p</t>
  </si>
  <si>
    <t>SININB51.MIM</t>
  </si>
  <si>
    <t>Track Models (Finish line 1): Chocobo head</t>
  </si>
  <si>
    <t>SININB52.BSX</t>
  </si>
  <si>
    <t>flevel.lgp &gt; sininb52</t>
  </si>
  <si>
    <t>SININB52.DAT</t>
  </si>
  <si>
    <t>atbo</t>
  </si>
  <si>
    <t>SININB52.MIM</t>
  </si>
  <si>
    <t>Grunt: Left tigh</t>
  </si>
  <si>
    <t>SKY.BSX</t>
  </si>
  <si>
    <t>flevel.lgp &gt; sky</t>
  </si>
  <si>
    <t>SKY.DAT</t>
  </si>
  <si>
    <t>SKY.MIM</t>
  </si>
  <si>
    <t>SLFRST_1.BSX</t>
  </si>
  <si>
    <t>flevel.lgp &gt; slfrst_1</t>
  </si>
  <si>
    <t>SLFRST_1.DAT</t>
  </si>
  <si>
    <t>hv.rsd</t>
  </si>
  <si>
    <t>SLFRST_1.MIM</t>
  </si>
  <si>
    <t>SLFRST_2.BSX</t>
  </si>
  <si>
    <t>flevel.lgp &gt; slfrst_2</t>
  </si>
  <si>
    <t>SLFRST_2.DAT</t>
  </si>
  <si>
    <t>atbp</t>
  </si>
  <si>
    <t>SLFRST_2.MIM</t>
  </si>
  <si>
    <t>SMKIN_1.BSX</t>
  </si>
  <si>
    <t>flevel.lgp &gt; smkin_1</t>
  </si>
  <si>
    <t>SMKIN_1.DAT</t>
  </si>
  <si>
    <t>Grunt: Left leg</t>
  </si>
  <si>
    <t>SMKIN_1.MIM</t>
  </si>
  <si>
    <t>SMKIN_2.BSX</t>
  </si>
  <si>
    <t>flevel.lgp &gt; smkin_2</t>
  </si>
  <si>
    <t>hw.p</t>
  </si>
  <si>
    <t>SMKIN_2.DAT</t>
  </si>
  <si>
    <t>Track Models (Finish line 1): Chocobo leg</t>
  </si>
  <si>
    <t>SMKIN_2.MIM</t>
  </si>
  <si>
    <t>SMKIN_3.BSX</t>
  </si>
  <si>
    <t>flevel.lgp &gt; smkin_3</t>
  </si>
  <si>
    <t>SMKIN_3.DAT</t>
  </si>
  <si>
    <t>atbq</t>
  </si>
  <si>
    <t>Grunt: Left foot</t>
  </si>
  <si>
    <t>SMKIN_3.MIM</t>
  </si>
  <si>
    <t>SMKIN_4.BSX</t>
  </si>
  <si>
    <t>hw.rsd</t>
  </si>
  <si>
    <t>flevel.lgp &gt; smkin_4</t>
  </si>
  <si>
    <t>SMKIN_4.DAT</t>
  </si>
  <si>
    <t>SMKIN_4.MIM</t>
  </si>
  <si>
    <t>SMKIN_5.BSX</t>
  </si>
  <si>
    <t>flevel.lgp &gt; smkin_5</t>
  </si>
  <si>
    <t>SMKIN_5.DAT</t>
  </si>
  <si>
    <t>atbs</t>
  </si>
  <si>
    <t>SMKIN_5.MIM</t>
  </si>
  <si>
    <t>Grunt: Right tigh</t>
  </si>
  <si>
    <t>SNINN_1.BSX</t>
  </si>
  <si>
    <t>hx.p</t>
  </si>
  <si>
    <t>flevel.lgp &gt; sninn_1</t>
  </si>
  <si>
    <t>Track Models (Finish line 1): Chocobo foot</t>
  </si>
  <si>
    <t>SNINN_1.DAT</t>
  </si>
  <si>
    <t>SNINN_1.MIM</t>
  </si>
  <si>
    <t>SNINN_2.BSX</t>
  </si>
  <si>
    <t>flevel.lgp &gt; sninn_2</t>
  </si>
  <si>
    <t>atbt</t>
  </si>
  <si>
    <t>SNINN_2.DAT</t>
  </si>
  <si>
    <t>Grunt: Right leg</t>
  </si>
  <si>
    <t>hx.rsd</t>
  </si>
  <si>
    <t>SNINN_2.MIM</t>
  </si>
  <si>
    <t>SNINN_B1.BSX</t>
  </si>
  <si>
    <t>flevel.lgp &gt; sninn_b1</t>
  </si>
  <si>
    <t>SNINN_B1.DAT</t>
  </si>
  <si>
    <t>SNINN_B1.MIM</t>
  </si>
  <si>
    <t>SNMAYOR.BSX</t>
  </si>
  <si>
    <t>hy.p</t>
  </si>
  <si>
    <t>atbu</t>
  </si>
  <si>
    <t>flevel.lgp &gt; snmayor</t>
  </si>
  <si>
    <t>Grunt: Right foot</t>
  </si>
  <si>
    <t>SNMAYOR.DAT</t>
  </si>
  <si>
    <t>SNMAYOR.MIM</t>
  </si>
  <si>
    <t>SNMIN1.BSX</t>
  </si>
  <si>
    <t>flevel.lgp &gt; snmin1</t>
  </si>
  <si>
    <t>SNMIN1.DAT</t>
  </si>
  <si>
    <t>SNMIN1.MIM</t>
  </si>
  <si>
    <t>SNMIN2.BSX</t>
  </si>
  <si>
    <t>flevel.lgp &gt; snmin2</t>
  </si>
  <si>
    <t>hy.rsd</t>
  </si>
  <si>
    <t>atda</t>
  </si>
  <si>
    <t>SNMIN2.DAT</t>
  </si>
  <si>
    <t>7.2 K</t>
  </si>
  <si>
    <t>SNMIN2.MIM</t>
  </si>
  <si>
    <t>SNOW.BSX</t>
  </si>
  <si>
    <t>auaa</t>
  </si>
  <si>
    <t>flevel.lgp &gt; snow</t>
  </si>
  <si>
    <t>SNOW.DAT</t>
  </si>
  <si>
    <t>1st Ray: Battle Skeleton</t>
  </si>
  <si>
    <t>SNOW.MIM</t>
  </si>
  <si>
    <t>SNW_W.BSX</t>
  </si>
  <si>
    <t>flevel.lgp &gt; snw_w</t>
  </si>
  <si>
    <t>hz.p</t>
  </si>
  <si>
    <t>SNW_W.DAT</t>
  </si>
  <si>
    <t>SNW_W.MIM</t>
  </si>
  <si>
    <t>SOUTHMK1.BSX</t>
  </si>
  <si>
    <t>flevel.lgp &gt; southmk1</t>
  </si>
  <si>
    <t>SOUTHMK1.DAT</t>
  </si>
  <si>
    <t>auab</t>
  </si>
  <si>
    <t>1st Ray: Unidentified Part</t>
  </si>
  <si>
    <t>SOUTHMK1.MIM</t>
  </si>
  <si>
    <t>SOUTHMK2.BSX</t>
  </si>
  <si>
    <t>flevel.lgp &gt; southmk2</t>
  </si>
  <si>
    <t>auam</t>
  </si>
  <si>
    <t>hz.rsd</t>
  </si>
  <si>
    <t>1st Ray: Base stick part</t>
  </si>
  <si>
    <t>SOUTHMK2.DAT</t>
  </si>
  <si>
    <t>SOUTHMK2.MIM</t>
  </si>
  <si>
    <t>SPGATE.BSX</t>
  </si>
  <si>
    <t>flevel.lgp &gt; spgate</t>
  </si>
  <si>
    <t>SPGATE.DAT</t>
  </si>
  <si>
    <t>SPGATE.MIM</t>
  </si>
  <si>
    <t>SPIPE_1.BSX</t>
  </si>
  <si>
    <t>flevel.lgp &gt; spipe_1</t>
  </si>
  <si>
    <t>auan</t>
  </si>
  <si>
    <t>ia.a</t>
  </si>
  <si>
    <t>SPIPE_1.DAT</t>
  </si>
  <si>
    <t>Track Models (Finish line 1): spin &amp; walk</t>
  </si>
  <si>
    <t>SPIPE_1.MIM</t>
  </si>
  <si>
    <t>ib.hrc</t>
  </si>
  <si>
    <t>SPIPE_2.BSX</t>
  </si>
  <si>
    <t>Track Models (Finish line 2): Skeleton</t>
  </si>
  <si>
    <t>flevel.lgp &gt; spipe_2</t>
  </si>
  <si>
    <t>SPIPE_2.DAT</t>
  </si>
  <si>
    <t>SPIPE_2.MIM</t>
  </si>
  <si>
    <t>STARTMAP.BSX</t>
  </si>
  <si>
    <t>flevel.lgp &gt; startmap</t>
  </si>
  <si>
    <t>STARTMAP.DAT</t>
  </si>
  <si>
    <t>STARTMAP.MIM</t>
  </si>
  <si>
    <t>SUBIN_1A.BSX</t>
  </si>
  <si>
    <t>ic.p</t>
  </si>
  <si>
    <t>flevel.lgp &gt; subin_1a</t>
  </si>
  <si>
    <t>auao</t>
  </si>
  <si>
    <t>Track Models (Finish line 2): Box</t>
  </si>
  <si>
    <t>SUBIN_1A.DAT</t>
  </si>
  <si>
    <t>1st Ray: Basic stick part</t>
  </si>
  <si>
    <t>SUBIN_1A.MIM</t>
  </si>
  <si>
    <t>SUBIN_1B.BSX</t>
  </si>
  <si>
    <t>flevel.lgp &gt; subin_1b</t>
  </si>
  <si>
    <t>SUBIN_1B.DAT</t>
  </si>
  <si>
    <t>SUBIN_1B.MIM</t>
  </si>
  <si>
    <t>SUBIN_2A.BSX</t>
  </si>
  <si>
    <t>ic.rsd</t>
  </si>
  <si>
    <t>flevel.lgp &gt; subin_2a</t>
  </si>
  <si>
    <t>auaq</t>
  </si>
  <si>
    <t>1st Ray: Main gun</t>
  </si>
  <si>
    <t>SUBIN_2A.DAT</t>
  </si>
  <si>
    <t>SUBIN_2A.MIM</t>
  </si>
  <si>
    <t>SUBIN_2B.BSX</t>
  </si>
  <si>
    <t>flevel.lgp &gt; subin_2b</t>
  </si>
  <si>
    <t>SUBIN_2B.DAT</t>
  </si>
  <si>
    <t>SUBIN_2B.MIM</t>
  </si>
  <si>
    <t>id.p</t>
  </si>
  <si>
    <t>SUBIN_3.BSX</t>
  </si>
  <si>
    <t>Track Models (Finish line 2): Colored wheel</t>
  </si>
  <si>
    <t>auau</t>
  </si>
  <si>
    <t>flevel.lgp &gt; subin_3</t>
  </si>
  <si>
    <t>1st Ray: Upper cilinder</t>
  </si>
  <si>
    <t>SUBIN_3.DAT</t>
  </si>
  <si>
    <t>SUBIN_3.MIM</t>
  </si>
  <si>
    <t>SUBIN_4.BSX</t>
  </si>
  <si>
    <t>SUBIN_4.DAT</t>
  </si>
  <si>
    <t>SUBIN_4.MIM</t>
  </si>
  <si>
    <t>id.rsd</t>
  </si>
  <si>
    <t>TIFA.BCX</t>
  </si>
  <si>
    <t>auaw</t>
  </si>
  <si>
    <t>840 Bytes</t>
  </si>
  <si>
    <t>1st Ray: Left flap</t>
  </si>
  <si>
    <t xml:space="preserve">flevel.lgp &gt; t_eye2.tex | t_eye2r.tex </t>
  </si>
  <si>
    <t>TIN_1.BSX</t>
  </si>
  <si>
    <t>flevel.lgp &gt; tin_1</t>
  </si>
  <si>
    <t>TIN_1.DAT</t>
  </si>
  <si>
    <t>TIN_1.MIM</t>
  </si>
  <si>
    <t>TIN_2.BSX</t>
  </si>
  <si>
    <t>flevel.lgp &gt; tin_2</t>
  </si>
  <si>
    <t>TIN_2.DAT</t>
  </si>
  <si>
    <t>TIN_2.MIM</t>
  </si>
  <si>
    <t>ie.a</t>
  </si>
  <si>
    <t>Track Models (Finish line 2): Spin</t>
  </si>
  <si>
    <t>TIN_3.BSX</t>
  </si>
  <si>
    <t>flevel.lgp &gt; tin_3</t>
  </si>
  <si>
    <t>auay</t>
  </si>
  <si>
    <t>if.hrc</t>
  </si>
  <si>
    <t>TIN_3.DAT</t>
  </si>
  <si>
    <t>Track Models (Stars): Skeleton</t>
  </si>
  <si>
    <t>1st Ray: Right flap</t>
  </si>
  <si>
    <t>TIN_3.MIM</t>
  </si>
  <si>
    <t>TIN_4.BSX</t>
  </si>
  <si>
    <t>flevel.lgp &gt; tin_4</t>
  </si>
  <si>
    <t>TIN_4.DAT</t>
  </si>
  <si>
    <t>TIN_4.MIM</t>
  </si>
  <si>
    <t>TRACKIN.BSX</t>
  </si>
  <si>
    <t>flevel.lgp &gt; trackin</t>
  </si>
  <si>
    <t>ig.p</t>
  </si>
  <si>
    <t>aubc</t>
  </si>
  <si>
    <t>TRACKIN.DAT</t>
  </si>
  <si>
    <t>Track Models (Stars): Stars part</t>
  </si>
  <si>
    <t>1st Ray: Cilinder in the cannon 1</t>
  </si>
  <si>
    <t>TRACKIN.MIM</t>
  </si>
  <si>
    <t>TRACKIN2.BSX</t>
  </si>
  <si>
    <t>flevel.lgp &gt; trackin2</t>
  </si>
  <si>
    <t>TRACKIN2.DAT</t>
  </si>
  <si>
    <t>TRACKIN2.MIM</t>
  </si>
  <si>
    <t>TRAP.BSX</t>
  </si>
  <si>
    <t>ig.rsd</t>
  </si>
  <si>
    <t>TRAP.DAT</t>
  </si>
  <si>
    <t>aubf</t>
  </si>
  <si>
    <t>1st Ray: Cilinder in the cannon 2</t>
  </si>
  <si>
    <t>TRAP.MIM</t>
  </si>
  <si>
    <t>TRNAD_1.BSX</t>
  </si>
  <si>
    <t>flevel.lgp &gt; trnad_1</t>
  </si>
  <si>
    <t>TRNAD_1.DAT</t>
  </si>
  <si>
    <t>TRNAD_1.MIM</t>
  </si>
  <si>
    <t>TRNAD_2.BSX</t>
  </si>
  <si>
    <t>flevel.lgp &gt; trnad_2</t>
  </si>
  <si>
    <t>ih.p</t>
  </si>
  <si>
    <t>TRNAD_2.DAT</t>
  </si>
  <si>
    <t>auda</t>
  </si>
  <si>
    <t>TRNAD_2.MIM</t>
  </si>
  <si>
    <t>TRNAD_3.BSX</t>
  </si>
  <si>
    <t>avaa</t>
  </si>
  <si>
    <t>flevel.lgp &gt; trnad_3</t>
  </si>
  <si>
    <t>TRNAD_3.DAT</t>
  </si>
  <si>
    <t>Sweeper: Unidentified Part</t>
  </si>
  <si>
    <t>TRNAD_3.MIM</t>
  </si>
  <si>
    <t>ih.rsd</t>
  </si>
  <si>
    <t>TRNAD_4.BSX</t>
  </si>
  <si>
    <t>flevel.lgp &gt; trnad_4</t>
  </si>
  <si>
    <t>TRNAD_4.DAT</t>
  </si>
  <si>
    <t>TRNAD_4.MIM</t>
  </si>
  <si>
    <t>TRNAD_51.BSX</t>
  </si>
  <si>
    <t>flevel.lgp &gt; trnad_51</t>
  </si>
  <si>
    <t>avab</t>
  </si>
  <si>
    <t>444 Bytes</t>
  </si>
  <si>
    <t>TRNAD_51.DAT</t>
  </si>
  <si>
    <t>TRNAD_51.MIM</t>
  </si>
  <si>
    <t>ii.p</t>
  </si>
  <si>
    <t>avam</t>
  </si>
  <si>
    <t>TRNAD_52.BSX</t>
  </si>
  <si>
    <t>38 K</t>
  </si>
  <si>
    <t>Sweeper: Main body</t>
  </si>
  <si>
    <t>flevel.lgp &gt; trnad_52</t>
  </si>
  <si>
    <t>TRNAD_52.DAT</t>
  </si>
  <si>
    <t>TRNAD_52.MIM</t>
  </si>
  <si>
    <t>TRNAD_53.BSX</t>
  </si>
  <si>
    <t>flevel.lgp &gt; trnad_53</t>
  </si>
  <si>
    <t>TRNAD_53.DAT</t>
  </si>
  <si>
    <t>ii.rsd</t>
  </si>
  <si>
    <t>TRNAD_53.MIM</t>
  </si>
  <si>
    <t>avao</t>
  </si>
  <si>
    <t>Sweeper: Left shoulder</t>
  </si>
  <si>
    <t>TUNNEL_1.BSX</t>
  </si>
  <si>
    <t>flevel.lgp &gt; tunnel_1</t>
  </si>
  <si>
    <t>TUNNEL_1.DAT</t>
  </si>
  <si>
    <t>TUNNEL_1.MIM</t>
  </si>
  <si>
    <t>TUNNEL_2.BSX</t>
  </si>
  <si>
    <t>flevel.lgp &gt; tunnel_2</t>
  </si>
  <si>
    <t>TUNNEL_2.DAT</t>
  </si>
  <si>
    <t>ij.p</t>
  </si>
  <si>
    <t>avap</t>
  </si>
  <si>
    <t>TUNNEL_2.MIM</t>
  </si>
  <si>
    <t>Sweeper: Left arm</t>
  </si>
  <si>
    <t>TUNNEL_3.BSX</t>
  </si>
  <si>
    <t>flevel.lgp &gt; tunnel_3</t>
  </si>
  <si>
    <t>TUNNEL_3.DAT</t>
  </si>
  <si>
    <t>TUNNEL_3.MIM</t>
  </si>
  <si>
    <t>TUNNEL_4.BSX</t>
  </si>
  <si>
    <t>flevel.lgp &gt; tunnel_4</t>
  </si>
  <si>
    <t>TUNNEL_4.DAT</t>
  </si>
  <si>
    <t>ij.rsd</t>
  </si>
  <si>
    <t>avar</t>
  </si>
  <si>
    <t>5.5 K</t>
  </si>
  <si>
    <t>TUNNEL_4.MIM</t>
  </si>
  <si>
    <t>Sweeper: Left gun</t>
  </si>
  <si>
    <t>TUNNEL_5.BSX</t>
  </si>
  <si>
    <t>flevel.lgp &gt; tunnel_5</t>
  </si>
  <si>
    <t>TUNNEL_5.DAT</t>
  </si>
  <si>
    <t>TUNNEL_5.MIM</t>
  </si>
  <si>
    <t>TUNNEL_6.BSX</t>
  </si>
  <si>
    <t>flevel.lgp &gt; tunnel_6</t>
  </si>
  <si>
    <t>TUNNEL_6.DAT</t>
  </si>
  <si>
    <t>ik.a</t>
  </si>
  <si>
    <t>avat</t>
  </si>
  <si>
    <t>Track Models (Stars): Rotate</t>
  </si>
  <si>
    <t>Sweeper: 'Tooth' 1</t>
  </si>
  <si>
    <t>TUNNEL_6.MIM</t>
  </si>
  <si>
    <t>UJUN_W.BSX</t>
  </si>
  <si>
    <t>flevel.lgp &gt; ujun_w</t>
  </si>
  <si>
    <t>UJUN_W.DAT</t>
  </si>
  <si>
    <t>il.hrc</t>
  </si>
  <si>
    <t>Track Models (Oyster 1): Skeleton</t>
  </si>
  <si>
    <t>UJUN_W.MIM</t>
  </si>
  <si>
    <t>UJUNON1.BSX</t>
  </si>
  <si>
    <t>flevel.lgp &gt; ujunon1</t>
  </si>
  <si>
    <t>UJUNON1.DAT</t>
  </si>
  <si>
    <t>UJUNON1.MIM</t>
  </si>
  <si>
    <t>UJUNON2.BSX</t>
  </si>
  <si>
    <t>flevel.lgp &gt; ujunon2</t>
  </si>
  <si>
    <t>UJUNON2.DAT</t>
  </si>
  <si>
    <t>im.p</t>
  </si>
  <si>
    <t>Track Models (Oyster 1): Upper shell</t>
  </si>
  <si>
    <t>UJUNON2.MIM</t>
  </si>
  <si>
    <t>avav</t>
  </si>
  <si>
    <t>Sweeper: 'Tooth' 2</t>
  </si>
  <si>
    <t>UJUNON3.BSX</t>
  </si>
  <si>
    <t>flevel.lgp &gt; ujunon3</t>
  </si>
  <si>
    <t>UJUNON3.DAT</t>
  </si>
  <si>
    <t>UJUNON3.MIM</t>
  </si>
  <si>
    <t>UJUNON4.BSX</t>
  </si>
  <si>
    <t>flevel.lgp &gt; ujunon4</t>
  </si>
  <si>
    <t>im.rsd</t>
  </si>
  <si>
    <t>avax</t>
  </si>
  <si>
    <t>UJUNON4.DAT</t>
  </si>
  <si>
    <t>Sweeper: 'Tooth' 3</t>
  </si>
  <si>
    <t>UJUNON4.MIM</t>
  </si>
  <si>
    <t>UJUNON5.BSX</t>
  </si>
  <si>
    <t>flevel.lgp &gt; ujunon5</t>
  </si>
  <si>
    <t>UJUNON5.DAT</t>
  </si>
  <si>
    <t>UJUNON5.MIM</t>
  </si>
  <si>
    <t>in.p</t>
  </si>
  <si>
    <t>Track Models (Oyster 1): Pearl</t>
  </si>
  <si>
    <t>UTA_IM.BSX</t>
  </si>
  <si>
    <t>avaz</t>
  </si>
  <si>
    <t>flevel.lgp &gt; uta_im</t>
  </si>
  <si>
    <t>Sweeper: 'Tooth' 4</t>
  </si>
  <si>
    <t>UTA_IM.DAT</t>
  </si>
  <si>
    <t>UTA_IM.MIM</t>
  </si>
  <si>
    <t>UTA_WA.BSX</t>
  </si>
  <si>
    <t>flevel.lgp &gt; uta_wa</t>
  </si>
  <si>
    <t>UTA_WA.DAT</t>
  </si>
  <si>
    <t>UTA_WA.MIM</t>
  </si>
  <si>
    <t>in.rsd</t>
  </si>
  <si>
    <t>avbb</t>
  </si>
  <si>
    <t>Sweeper: Right shoulder</t>
  </si>
  <si>
    <t>UTAPB.BSX</t>
  </si>
  <si>
    <t>flevel.lgp &gt; utapb</t>
  </si>
  <si>
    <t>UTAPB.DAT</t>
  </si>
  <si>
    <t>UTAPB.MIM</t>
  </si>
  <si>
    <t>UTMIN1.BSX</t>
  </si>
  <si>
    <t>flevel.lgp &gt; utmin1</t>
  </si>
  <si>
    <t>UTMIN1.DAT</t>
  </si>
  <si>
    <t>io.p</t>
  </si>
  <si>
    <t>UTMIN1.MIM</t>
  </si>
  <si>
    <t>Track Models (Oyster 1): Lower shell</t>
  </si>
  <si>
    <t>UTMIN2.BSX</t>
  </si>
  <si>
    <t>flevel.lgp &gt; utmin2</t>
  </si>
  <si>
    <t>UTMIN2.DAT</t>
  </si>
  <si>
    <t>avbc</t>
  </si>
  <si>
    <t>Sweeper: Right arm</t>
  </si>
  <si>
    <t>UTMIN2.MIM</t>
  </si>
  <si>
    <t>UTTMPIN1.BSX</t>
  </si>
  <si>
    <t>flevel.lgp &gt; uttmpin1</t>
  </si>
  <si>
    <t>UTTMPIN1.DAT</t>
  </si>
  <si>
    <t>io.rsd</t>
  </si>
  <si>
    <t>UTTMPIN1.MIM</t>
  </si>
  <si>
    <t>UTTMPIN2.BSX</t>
  </si>
  <si>
    <t>avbe</t>
  </si>
  <si>
    <t>flevel.lgp &gt; uttmpin2</t>
  </si>
  <si>
    <t>Sweeper: Right gun</t>
  </si>
  <si>
    <t>UTTMPIN2.DAT</t>
  </si>
  <si>
    <t>UTTMPIN2.MIM</t>
  </si>
  <si>
    <t>UTTMPIN3.BSX</t>
  </si>
  <si>
    <t>flevel.lgp &gt; uttmpin3</t>
  </si>
  <si>
    <t>UTTMPIN3.DAT</t>
  </si>
  <si>
    <t>ip.a</t>
  </si>
  <si>
    <t>Track Models (Oyster 1): Open</t>
  </si>
  <si>
    <t>avbg</t>
  </si>
  <si>
    <t>iq.hrc</t>
  </si>
  <si>
    <t>7.0 K</t>
  </si>
  <si>
    <t>Track Models (Oyster 2): Skeleton</t>
  </si>
  <si>
    <t>Sweeper: Left tigh part 1</t>
  </si>
  <si>
    <t>UTTMPIN3.MIM</t>
  </si>
  <si>
    <t>UTTMPIN4.BSX</t>
  </si>
  <si>
    <t>flevel.lgp &gt; uttmpin4</t>
  </si>
  <si>
    <t>UTTMPIN4.DAT</t>
  </si>
  <si>
    <t>ir.p</t>
  </si>
  <si>
    <t>avbi</t>
  </si>
  <si>
    <t>Track Models (Oyster 2): Upper shell</t>
  </si>
  <si>
    <t>Sweeper: Left tigh part 2</t>
  </si>
  <si>
    <t>UTTMPIN4.MIM</t>
  </si>
  <si>
    <t>UUTAI1.BSX</t>
  </si>
  <si>
    <t>flevel.lgp &gt; uutai1</t>
  </si>
  <si>
    <t>UUTAI1.DAT</t>
  </si>
  <si>
    <t>UUTAI1.MIM</t>
  </si>
  <si>
    <t>UUTAI2.BSX</t>
  </si>
  <si>
    <t>ir.rsd</t>
  </si>
  <si>
    <t>flevel.lgp &gt; uutai2</t>
  </si>
  <si>
    <t>avbj</t>
  </si>
  <si>
    <t>UUTAI2.DAT</t>
  </si>
  <si>
    <t>Sweeper: Left leg part 1</t>
  </si>
  <si>
    <t>UUTAI2.MIM</t>
  </si>
  <si>
    <t>VINCENT.BCX</t>
  </si>
  <si>
    <t>flevel.lgp &gt; vincent</t>
  </si>
  <si>
    <t>WCRIMB_1.BSX</t>
  </si>
  <si>
    <t>flevel.lgp &gt; wcrimb_1</t>
  </si>
  <si>
    <t>WCRIMB_1.DAT</t>
  </si>
  <si>
    <t>is.p</t>
  </si>
  <si>
    <t>WCRIMB_1.MIM</t>
  </si>
  <si>
    <t>avbk</t>
  </si>
  <si>
    <t>Track Models (Oyster 2): Lower shell</t>
  </si>
  <si>
    <t>2.6 K</t>
  </si>
  <si>
    <t>Sweeper: Left leg part 2</t>
  </si>
  <si>
    <t>WCRIMB_2.BSX</t>
  </si>
  <si>
    <t>flevel.lgp &gt; wcrimb_2</t>
  </si>
  <si>
    <t>WCRIMB_2.DAT</t>
  </si>
  <si>
    <t>WCRIMB_2.MIM</t>
  </si>
  <si>
    <t>WHITE1.BSX</t>
  </si>
  <si>
    <t>flevel.lgp &gt; white1</t>
  </si>
  <si>
    <t>WHITE1.DAT</t>
  </si>
  <si>
    <t>WHITE1.MIM</t>
  </si>
  <si>
    <t>is.rsd</t>
  </si>
  <si>
    <t>avbl</t>
  </si>
  <si>
    <t>WHITE2.BSX</t>
  </si>
  <si>
    <t>5.6 K</t>
  </si>
  <si>
    <t>Sweeper: Left foot</t>
  </si>
  <si>
    <t>flevel.lgp &gt; white2</t>
  </si>
  <si>
    <t>WHITE2.DAT</t>
  </si>
  <si>
    <t>WHITE2.MIM</t>
  </si>
  <si>
    <t>WHITEBG1.BSX</t>
  </si>
  <si>
    <t>WHITEBG1.DAT</t>
  </si>
  <si>
    <t>WHITEBG1.MIM</t>
  </si>
  <si>
    <t>it.p</t>
  </si>
  <si>
    <t>avbn</t>
  </si>
  <si>
    <t>Sweeper: Left knee armor</t>
  </si>
  <si>
    <t>Track Models (Oyster 2): Pearl</t>
  </si>
  <si>
    <t>WHITEBG2.BSX</t>
  </si>
  <si>
    <t>WHITEBG2.DAT</t>
  </si>
  <si>
    <t>WHITEBG2.MIM</t>
  </si>
  <si>
    <t>WHITEBG3.BSX</t>
  </si>
  <si>
    <t>flevel.lgp &gt; whitebg3</t>
  </si>
  <si>
    <t>WHITEBG3.DAT</t>
  </si>
  <si>
    <t>it.rsd</t>
  </si>
  <si>
    <t>WHITEBG3.MIM</t>
  </si>
  <si>
    <t>avbp</t>
  </si>
  <si>
    <t>6.9 K</t>
  </si>
  <si>
    <t>Sweeper: Right tigh part 1</t>
  </si>
  <si>
    <t>WHITEIN.BSX</t>
  </si>
  <si>
    <t>flevel.lgp &gt; whitein</t>
  </si>
  <si>
    <t>WHITEIN.DAT</t>
  </si>
  <si>
    <t>WHITEIN.MIM</t>
  </si>
  <si>
    <t>WM0.BSX</t>
  </si>
  <si>
    <t>WorldMap coord</t>
  </si>
  <si>
    <t>iu.a</t>
  </si>
  <si>
    <t>WM0.DAT</t>
  </si>
  <si>
    <t>avbr</t>
  </si>
  <si>
    <t>Track Models (Oyster 2): Open</t>
  </si>
  <si>
    <t>Sweeper: Right tigh part 2</t>
  </si>
  <si>
    <t>WM0.MIM</t>
  </si>
  <si>
    <t>iv.hrc</t>
  </si>
  <si>
    <t>Track Models (Oyster's Pearl 1): Skeleton</t>
  </si>
  <si>
    <t>WM1.BSX</t>
  </si>
  <si>
    <t>WM1.DAT</t>
  </si>
  <si>
    <t>WM1.MIM</t>
  </si>
  <si>
    <t>WM2.BSX</t>
  </si>
  <si>
    <t>WM2.DAT</t>
  </si>
  <si>
    <t>avbs</t>
  </si>
  <si>
    <t>Sweeper: Right leg part 1</t>
  </si>
  <si>
    <t>iw.p</t>
  </si>
  <si>
    <t>WM2.MIM</t>
  </si>
  <si>
    <t>Track Models (Oyster's Pearl 1): Whole pearl model</t>
  </si>
  <si>
    <t>WM3.BSX</t>
  </si>
  <si>
    <t>WM3.DAT</t>
  </si>
  <si>
    <t>WM3.MIM</t>
  </si>
  <si>
    <t>WM4.BSX</t>
  </si>
  <si>
    <t>WM4.DAT</t>
  </si>
  <si>
    <t>iw.rsd</t>
  </si>
  <si>
    <t>avbt</t>
  </si>
  <si>
    <t>Sweeper: Right leg part 2</t>
  </si>
  <si>
    <t>WM4.MIM</t>
  </si>
  <si>
    <t>WM5.BSX</t>
  </si>
  <si>
    <t>WM5.DAT</t>
  </si>
  <si>
    <t>WM5.MIM</t>
  </si>
  <si>
    <t>WM6.BSX</t>
  </si>
  <si>
    <t>WM6.DAT</t>
  </si>
  <si>
    <t>avbu</t>
  </si>
  <si>
    <t>ix.a</t>
  </si>
  <si>
    <t>5.4 K</t>
  </si>
  <si>
    <t>Track Models (Oyster's Pearl 1): Spin</t>
  </si>
  <si>
    <t>Sweeper: Right foot</t>
  </si>
  <si>
    <t>WM6.MIM</t>
  </si>
  <si>
    <t>iy.hrc</t>
  </si>
  <si>
    <t>WM7.BSX</t>
  </si>
  <si>
    <t>Track Models (Oyster's Pearl 2): Skeleton</t>
  </si>
  <si>
    <t>WM7.DAT</t>
  </si>
  <si>
    <t>WM7.MIM</t>
  </si>
  <si>
    <t>WM8.BSX</t>
  </si>
  <si>
    <t>WM8.DAT</t>
  </si>
  <si>
    <t>avbw</t>
  </si>
  <si>
    <t>Sweeper: Right knee armor</t>
  </si>
  <si>
    <t>WM8.MIM</t>
  </si>
  <si>
    <t>iz.p</t>
  </si>
  <si>
    <t>Track Models (Oyster's Pearl 2): Whole pearl model</t>
  </si>
  <si>
    <t>WM9.BSX</t>
  </si>
  <si>
    <t>WM9.DAT</t>
  </si>
  <si>
    <t>WM9.MIM</t>
  </si>
  <si>
    <t>WM10.BSX</t>
  </si>
  <si>
    <t>WM10.DAT</t>
  </si>
  <si>
    <t>iz.rsd</t>
  </si>
  <si>
    <t>avda</t>
  </si>
  <si>
    <t>WM10.MIM</t>
  </si>
  <si>
    <t>WM11.BSX</t>
  </si>
  <si>
    <t>awaa</t>
  </si>
  <si>
    <t>604 Bytes</t>
  </si>
  <si>
    <t>WM11.DAT</t>
  </si>
  <si>
    <t>Guard Scorpion: Battle skeleton</t>
  </si>
  <si>
    <t>WM11.MIM</t>
  </si>
  <si>
    <t>WM12.BSX</t>
  </si>
  <si>
    <t>ja.a</t>
  </si>
  <si>
    <t>WM12.DAT</t>
  </si>
  <si>
    <t>Track Models (Oyster's Pearl 2): Spin</t>
  </si>
  <si>
    <t>WM12.MIM</t>
  </si>
  <si>
    <t>WM13.BSX</t>
  </si>
  <si>
    <t>awab</t>
  </si>
  <si>
    <t>524 Bytes</t>
  </si>
  <si>
    <t>WM13.DAT</t>
  </si>
  <si>
    <t>Guard Scorpion: Unidentifited Part</t>
  </si>
  <si>
    <t>WM13.MIM</t>
  </si>
  <si>
    <t>WM14.BSX</t>
  </si>
  <si>
    <t>awam</t>
  </si>
  <si>
    <t>19 K</t>
  </si>
  <si>
    <t>Guard Scorpion: Lower Body</t>
  </si>
  <si>
    <t>WM14.DAT</t>
  </si>
  <si>
    <t>WM14.MIM</t>
  </si>
  <si>
    <t>WM15.BSX</t>
  </si>
  <si>
    <t>WM15.DAT</t>
  </si>
  <si>
    <t>WM15.MIM</t>
  </si>
  <si>
    <t>awan</t>
  </si>
  <si>
    <t>18 K</t>
  </si>
  <si>
    <t>Guard Scorpion: Upper Body</t>
  </si>
  <si>
    <t>WM16.BSX</t>
  </si>
  <si>
    <t>jb.hrc</t>
  </si>
  <si>
    <t>Track Models (Satellite Wings 1): Skeleton</t>
  </si>
  <si>
    <t>WM16.DAT</t>
  </si>
  <si>
    <t>WM16.MIM</t>
  </si>
  <si>
    <t>WM17.BSX</t>
  </si>
  <si>
    <t>WM17.DAT</t>
  </si>
  <si>
    <t>awap</t>
  </si>
  <si>
    <t>WM17.MIM</t>
  </si>
  <si>
    <t>1.7 K</t>
  </si>
  <si>
    <t>Guard Scorpion: Left shoulder</t>
  </si>
  <si>
    <t>jc.p</t>
  </si>
  <si>
    <t>WM18.BSX</t>
  </si>
  <si>
    <t>Track Models (Satellite Wings 1): Wing part</t>
  </si>
  <si>
    <t>WM18.DAT</t>
  </si>
  <si>
    <t>WM18.MIM</t>
  </si>
  <si>
    <t>WM19.BSX</t>
  </si>
  <si>
    <t>WM19.DAT</t>
  </si>
  <si>
    <t>jc.rsd</t>
  </si>
  <si>
    <t>awaq</t>
  </si>
  <si>
    <t>WM19.MIM</t>
  </si>
  <si>
    <t>Guard Scorpion: Left arm</t>
  </si>
  <si>
    <t>WM20.BSX</t>
  </si>
  <si>
    <t>WM20.DAT</t>
  </si>
  <si>
    <t>WM20.MIM</t>
  </si>
  <si>
    <t>WM21.BSX</t>
  </si>
  <si>
    <t>WM21.DAT</t>
  </si>
  <si>
    <t>jd.p</t>
  </si>
  <si>
    <t>awar</t>
  </si>
  <si>
    <t>WM21.MIM</t>
  </si>
  <si>
    <t>Guard Scorpion: Left gun</t>
  </si>
  <si>
    <t>WM22.BSX</t>
  </si>
  <si>
    <t>WM22.DAT</t>
  </si>
  <si>
    <t>WM22.MIM</t>
  </si>
  <si>
    <t>WM23.BSX</t>
  </si>
  <si>
    <t>jd.rsd</t>
  </si>
  <si>
    <t>awat</t>
  </si>
  <si>
    <t>Guard Scorpion: Left hand</t>
  </si>
  <si>
    <t>WM23.DAT</t>
  </si>
  <si>
    <t>WM23.MIM</t>
  </si>
  <si>
    <t>WM24.BSX</t>
  </si>
  <si>
    <t>je.a</t>
  </si>
  <si>
    <t>WM24.DAT</t>
  </si>
  <si>
    <t>awaw</t>
  </si>
  <si>
    <t>Track Models (Satellite Wings 1): Spin</t>
  </si>
  <si>
    <t>Guard Scorpion: Right shoulder</t>
  </si>
  <si>
    <t>WM24.MIM</t>
  </si>
  <si>
    <t>jf.hrc</t>
  </si>
  <si>
    <t>WM25.BSX</t>
  </si>
  <si>
    <t>Track Models (Satellite Wings 2): Skeleton</t>
  </si>
  <si>
    <t>WM25.DAT</t>
  </si>
  <si>
    <t>WM25.MIM</t>
  </si>
  <si>
    <t>WM26.BSX</t>
  </si>
  <si>
    <t>WM26.DAT</t>
  </si>
  <si>
    <t>WM26.MIM</t>
  </si>
  <si>
    <t>awax</t>
  </si>
  <si>
    <t>Guard Scorpion: Right arm</t>
  </si>
  <si>
    <t>jg.p</t>
  </si>
  <si>
    <t>WM27.BSX</t>
  </si>
  <si>
    <t>Track Models (Satellite Wings 2): Wing part</t>
  </si>
  <si>
    <t>WM27.DAT</t>
  </si>
  <si>
    <t>WM27.MIM</t>
  </si>
  <si>
    <t>WM28.BSX</t>
  </si>
  <si>
    <t>WM28.DAT</t>
  </si>
  <si>
    <t>WM28.MIM</t>
  </si>
  <si>
    <t>WM29.BSX</t>
  </si>
  <si>
    <t>jg.rsd</t>
  </si>
  <si>
    <t>away</t>
  </si>
  <si>
    <t>Guard Scorpion: Right gun</t>
  </si>
  <si>
    <t>WM29.DAT</t>
  </si>
  <si>
    <t>WM29.MIM</t>
  </si>
  <si>
    <t>WM30.BSX</t>
  </si>
  <si>
    <t>WM30.DAT</t>
  </si>
  <si>
    <t>WM30.MIM</t>
  </si>
  <si>
    <t>WM31.BSX</t>
  </si>
  <si>
    <t>jh.p</t>
  </si>
  <si>
    <t>awbb</t>
  </si>
  <si>
    <t>WM31.DAT</t>
  </si>
  <si>
    <t>Guard Scorpion: Right hand</t>
  </si>
  <si>
    <t>WM31.MIM</t>
  </si>
  <si>
    <t>WM32.BSX</t>
  </si>
  <si>
    <t>WM32.DAT</t>
  </si>
  <si>
    <t>WM32.MIM</t>
  </si>
  <si>
    <t>WM33.BSX</t>
  </si>
  <si>
    <t>WM33.DAT</t>
  </si>
  <si>
    <t>jh.rsd</t>
  </si>
  <si>
    <t>awbf</t>
  </si>
  <si>
    <t>WM33.MIM</t>
  </si>
  <si>
    <t>Guard Scorpion: Tail part</t>
  </si>
  <si>
    <t>WM34.BSX</t>
  </si>
  <si>
    <t>WM34.DAT</t>
  </si>
  <si>
    <t>WM34.MIM</t>
  </si>
  <si>
    <t>WM35.BSX</t>
  </si>
  <si>
    <t>WM35.DAT</t>
  </si>
  <si>
    <t>ji.p</t>
  </si>
  <si>
    <t>awbg</t>
  </si>
  <si>
    <t>WM35.MIM</t>
  </si>
  <si>
    <t>WM36.BSX</t>
  </si>
  <si>
    <t>WM36.DAT</t>
  </si>
  <si>
    <t>WM36.MIM</t>
  </si>
  <si>
    <t>WM37.BSX</t>
  </si>
  <si>
    <t>WM37.DAT</t>
  </si>
  <si>
    <t>WM37.MIM</t>
  </si>
  <si>
    <t>WM38.BSX</t>
  </si>
  <si>
    <t>awbh</t>
  </si>
  <si>
    <t>ji.rsd</t>
  </si>
  <si>
    <t>WM38.DAT</t>
  </si>
  <si>
    <t>WM38.MIM</t>
  </si>
  <si>
    <t>WM39.BSX</t>
  </si>
  <si>
    <t>WM39.DAT</t>
  </si>
  <si>
    <t>WM39.MIM</t>
  </si>
  <si>
    <t>WM40.BSX</t>
  </si>
  <si>
    <t>jj.p</t>
  </si>
  <si>
    <t>awbi</t>
  </si>
  <si>
    <t>WM40.DAT</t>
  </si>
  <si>
    <t>WM40.MIM</t>
  </si>
  <si>
    <t>WM41.BSX</t>
  </si>
  <si>
    <t>WM41.DAT</t>
  </si>
  <si>
    <t>WM41.MIM</t>
  </si>
  <si>
    <t>WM42.BSX</t>
  </si>
  <si>
    <t>WM42.DAT</t>
  </si>
  <si>
    <t>jj.rsd</t>
  </si>
  <si>
    <t>awbj</t>
  </si>
  <si>
    <t>WM42.MIM</t>
  </si>
  <si>
    <t>WM43.BSX</t>
  </si>
  <si>
    <t>jk.a</t>
  </si>
  <si>
    <t>WM43.DAT</t>
  </si>
  <si>
    <t>WM43.MIM</t>
  </si>
  <si>
    <t>Track Models (Satellite Wings 2): Spin</t>
  </si>
  <si>
    <t>awbk</t>
  </si>
  <si>
    <t>jl.hrc</t>
  </si>
  <si>
    <t>WM44.BSX</t>
  </si>
  <si>
    <t>WM44.DAT</t>
  </si>
  <si>
    <t>Track Models (Ice 1): Skeleton</t>
  </si>
  <si>
    <t>WM44.MIM</t>
  </si>
  <si>
    <t>WM45.BSX</t>
  </si>
  <si>
    <t>WM45.DAT</t>
  </si>
  <si>
    <t>awbl</t>
  </si>
  <si>
    <t>WM45.MIM</t>
  </si>
  <si>
    <t>WM46.BSX</t>
  </si>
  <si>
    <t>WM46.DAT</t>
  </si>
  <si>
    <t>jm.p</t>
  </si>
  <si>
    <t>Track Models (Ice 1): Whole ice model</t>
  </si>
  <si>
    <t>WM46.MIM</t>
  </si>
  <si>
    <t>WM47.BSX</t>
  </si>
  <si>
    <t>WM47.DAT</t>
  </si>
  <si>
    <t>WM47.MIM</t>
  </si>
  <si>
    <t>WM48.BSX</t>
  </si>
  <si>
    <t>WM48.DAT</t>
  </si>
  <si>
    <t>WM48.MIM</t>
  </si>
  <si>
    <t>jm.rsd</t>
  </si>
  <si>
    <t>WM49.BSX</t>
  </si>
  <si>
    <t>awbm</t>
  </si>
  <si>
    <t>WM49.DAT</t>
  </si>
  <si>
    <t>Guard Scorpion: Tail Sting</t>
  </si>
  <si>
    <t>WM49.MIM</t>
  </si>
  <si>
    <t>WM50.BSX</t>
  </si>
  <si>
    <t>WM50.DAT</t>
  </si>
  <si>
    <t>WM50.MIM</t>
  </si>
  <si>
    <t>WM51.BSX</t>
  </si>
  <si>
    <t>jn.a</t>
  </si>
  <si>
    <t>WM51.DAT</t>
  </si>
  <si>
    <t>Track Models (Ice 1):</t>
  </si>
  <si>
    <t>awbp</t>
  </si>
  <si>
    <t>WM51.MIM</t>
  </si>
  <si>
    <t>Guard Scorpion: Leg 1</t>
  </si>
  <si>
    <t>WM52.BSX</t>
  </si>
  <si>
    <t>jo.hrc</t>
  </si>
  <si>
    <t>Track Models (Ice 2): Skeleton</t>
  </si>
  <si>
    <t>WM52.DAT</t>
  </si>
  <si>
    <t>WM52.MIM</t>
  </si>
  <si>
    <t>WM53.BSX</t>
  </si>
  <si>
    <t>WM53.DAT</t>
  </si>
  <si>
    <t>WM53.MIM</t>
  </si>
  <si>
    <t>WM54.BSX</t>
  </si>
  <si>
    <t>awbq</t>
  </si>
  <si>
    <t>jp.p</t>
  </si>
  <si>
    <t>Track Models (Ice 2): Whole ice model</t>
  </si>
  <si>
    <t>Guard Scorpion: Foot 1</t>
  </si>
  <si>
    <t>WM54.DAT</t>
  </si>
  <si>
    <t>WM54.MIM</t>
  </si>
  <si>
    <t>WM55.BSX</t>
  </si>
  <si>
    <t>WM55.DAT</t>
  </si>
  <si>
    <t>WM55.MIM</t>
  </si>
  <si>
    <t>WM56.BSX</t>
  </si>
  <si>
    <t>jp.rsd</t>
  </si>
  <si>
    <t>WM56.DAT</t>
  </si>
  <si>
    <t>awbs</t>
  </si>
  <si>
    <t>Guard Scorpion: Leg 2</t>
  </si>
  <si>
    <t>WM56.MIM</t>
  </si>
  <si>
    <t>WM57.BSX</t>
  </si>
  <si>
    <t>WM57.DAT</t>
  </si>
  <si>
    <t>WM57.MIM</t>
  </si>
  <si>
    <t>WM58.BSX</t>
  </si>
  <si>
    <t>WM58.DAT</t>
  </si>
  <si>
    <t>jq.a</t>
  </si>
  <si>
    <t>WM58.MIM</t>
  </si>
  <si>
    <t>awbt</t>
  </si>
  <si>
    <t>Track Models (Ice 2):</t>
  </si>
  <si>
    <t>Guard Scorpion: Foot 2</t>
  </si>
  <si>
    <t>WM59.BSX</t>
  </si>
  <si>
    <t>jr.hrc</t>
  </si>
  <si>
    <t>WM59.DAT</t>
  </si>
  <si>
    <t>Track Models (Ice 3): Skeleton</t>
  </si>
  <si>
    <t>WM59.MIM</t>
  </si>
  <si>
    <t>WM60.BSX</t>
  </si>
  <si>
    <t>WM60.DAT</t>
  </si>
  <si>
    <t>WM60.MIM</t>
  </si>
  <si>
    <t>WM61.BSX</t>
  </si>
  <si>
    <t>WM61.DAT</t>
  </si>
  <si>
    <t>js.p</t>
  </si>
  <si>
    <t>WM61.MIM</t>
  </si>
  <si>
    <t>Track Models (Ice 3): Whole ice model</t>
  </si>
  <si>
    <t>WM62.BSX</t>
  </si>
  <si>
    <t>WM62.DAT</t>
  </si>
  <si>
    <t>awbv</t>
  </si>
  <si>
    <t>WM62.MIM</t>
  </si>
  <si>
    <t>Guard Scorpion: Leg 3</t>
  </si>
  <si>
    <t>WM63.BSX</t>
  </si>
  <si>
    <t>WM63.DAT</t>
  </si>
  <si>
    <t>WM63.MIM</t>
  </si>
  <si>
    <t>WOA_1.BSX</t>
  </si>
  <si>
    <t>js.rsd</t>
  </si>
  <si>
    <t>flevel.lgp &gt; woa_1</t>
  </si>
  <si>
    <t>WOA_1.DAT</t>
  </si>
  <si>
    <t>WOA_1.MIM</t>
  </si>
  <si>
    <t>awbw</t>
  </si>
  <si>
    <t>WOA_2.BSX</t>
  </si>
  <si>
    <t>Guard Scorpion: Foot 3</t>
  </si>
  <si>
    <t>flevel.lgp &gt; woa_2</t>
  </si>
  <si>
    <t>WOA_2.DAT</t>
  </si>
  <si>
    <t>WOA_2.MIM</t>
  </si>
  <si>
    <t>WOA_3.BSX</t>
  </si>
  <si>
    <t>flevel.lgp &gt; woa_3</t>
  </si>
  <si>
    <t>WOA_3.DAT</t>
  </si>
  <si>
    <t>WOA_3.MIM</t>
  </si>
  <si>
    <t>XMVTES.BSX</t>
  </si>
  <si>
    <t>jt.a</t>
  </si>
  <si>
    <t>flevel.lgp &gt; xmvtes</t>
  </si>
  <si>
    <t>awby</t>
  </si>
  <si>
    <t>Track Models (Ice 3):</t>
  </si>
  <si>
    <t>XMVTES.DAT</t>
  </si>
  <si>
    <t>Guard Scorpion: Leg 4</t>
  </si>
  <si>
    <t>XMVTES.MIM</t>
  </si>
  <si>
    <t>ju.hrc</t>
  </si>
  <si>
    <t>Track Models (Shark 1): Skeleton</t>
  </si>
  <si>
    <t>YOUGAN.BSX</t>
  </si>
  <si>
    <t>flevel.lgp &gt; yougan</t>
  </si>
  <si>
    <t>YOUGAN.DAT</t>
  </si>
  <si>
    <t>YOUGAN.MIM</t>
  </si>
  <si>
    <t>YOUGAN2.BSX</t>
  </si>
  <si>
    <t>flevel.lgp &gt; yougan2</t>
  </si>
  <si>
    <t>YOUGAN2.DAT</t>
  </si>
  <si>
    <t>awbz</t>
  </si>
  <si>
    <t>Guard Scorpion: Foot 4</t>
  </si>
  <si>
    <t>jv.p</t>
  </si>
  <si>
    <t>YOUGAN2.MIM</t>
  </si>
  <si>
    <t>Track Models (Shark 1): Body</t>
  </si>
  <si>
    <t>YOUGAN3.BSX</t>
  </si>
  <si>
    <t>flevel.lgp &gt; yougan3</t>
  </si>
  <si>
    <t>YOUGAN3.DAT</t>
  </si>
  <si>
    <t>YOUGAN3.MIM</t>
  </si>
  <si>
    <t>YUFI.BCX</t>
  </si>
  <si>
    <t>flevel.lgp &gt; yufi</t>
  </si>
  <si>
    <t>YUFY1.BSX</t>
  </si>
  <si>
    <t>jv.rsd</t>
  </si>
  <si>
    <t>awcb</t>
  </si>
  <si>
    <t>flevel.lgp &gt; yufy1</t>
  </si>
  <si>
    <t>Guard Scorpion: Leg 5</t>
  </si>
  <si>
    <t>YUFY1.DAT</t>
  </si>
  <si>
    <t>YUFY1.MIM</t>
  </si>
  <si>
    <t>YUFY2.BSX</t>
  </si>
  <si>
    <t>flevel.lgp &gt; yufy2</t>
  </si>
  <si>
    <t>YUFY2.DAT</t>
  </si>
  <si>
    <t>YUFY2.MIM</t>
  </si>
  <si>
    <t>ZCOAL_1.BSX</t>
  </si>
  <si>
    <t>jw.p</t>
  </si>
  <si>
    <t>flevel.lgp &gt; zcoal_1</t>
  </si>
  <si>
    <t>awcc</t>
  </si>
  <si>
    <t>Track Models (Shark 1): Tail</t>
  </si>
  <si>
    <t>ZCOAL_1.DAT</t>
  </si>
  <si>
    <t>Guard Scorpion: Foot 5</t>
  </si>
  <si>
    <t>ZCOAL_1.MIM</t>
  </si>
  <si>
    <t>ZCOAL_2.BSX</t>
  </si>
  <si>
    <t>flevel.lgp &gt; zcoal_2</t>
  </si>
  <si>
    <t>ZCOAL_2.DAT</t>
  </si>
  <si>
    <t>ZCOAL_2.MIM</t>
  </si>
  <si>
    <t>ZCOAL_3.BSX</t>
  </si>
  <si>
    <t>flevel.lgp &gt; zcoal_3</t>
  </si>
  <si>
    <t>jw.rsd</t>
  </si>
  <si>
    <t>awce</t>
  </si>
  <si>
    <t>ZCOAL_3.DAT</t>
  </si>
  <si>
    <t>Guard Scorpion: Leg 6</t>
  </si>
  <si>
    <t>ZCOAL_3.MIM</t>
  </si>
  <si>
    <t>ZMIND1.BSX</t>
  </si>
  <si>
    <t>flevel.lgp &gt; zmind1</t>
  </si>
  <si>
    <t>ZMIND1.DAT</t>
  </si>
  <si>
    <t>ZMIND1.MIM</t>
  </si>
  <si>
    <t>ZMIND2.BSX</t>
  </si>
  <si>
    <t>flevel.lgp &gt; zmind2</t>
  </si>
  <si>
    <t>jx.p</t>
  </si>
  <si>
    <t>awcf</t>
  </si>
  <si>
    <t>ZMIND2.DAT</t>
  </si>
  <si>
    <t>Track Models (Shark 1): Tail fin</t>
  </si>
  <si>
    <t>Guard Scorpion: Foot 6</t>
  </si>
  <si>
    <t>ZMIND2.MIM</t>
  </si>
  <si>
    <t>ZMIND3.BSX</t>
  </si>
  <si>
    <t>flevel.lgp &gt; zmind3</t>
  </si>
  <si>
    <t>ZMIND3.DAT</t>
  </si>
  <si>
    <t>ZMIND3.MIM</t>
  </si>
  <si>
    <t>ZTRUCK.BSX</t>
  </si>
  <si>
    <t>flevel.lgp &gt; ztruck</t>
  </si>
  <si>
    <t>jx.rsd</t>
  </si>
  <si>
    <t>ZTRUCK.DAT</t>
  </si>
  <si>
    <t>awda</t>
  </si>
  <si>
    <t>ZTRUCK.MIM</t>
  </si>
  <si>
    <t>ZZ1.BSX</t>
  </si>
  <si>
    <t>flevel.lgp &gt; zz1</t>
  </si>
  <si>
    <t>axaa</t>
  </si>
  <si>
    <t>ZZ1.DAT</t>
  </si>
  <si>
    <t>Garshtrike: Battle Skeleton</t>
  </si>
  <si>
    <t>ZZ1.MIM</t>
  </si>
  <si>
    <t>ZZ2.BSX</t>
  </si>
  <si>
    <t xml:space="preserve">flevel.lgp &gt; zz2 </t>
  </si>
  <si>
    <t>ZZ2.DAT</t>
  </si>
  <si>
    <t>jy.p</t>
  </si>
  <si>
    <t>flevel.lgp &gt; zz2</t>
  </si>
  <si>
    <t>ZZ2.MIM</t>
  </si>
  <si>
    <t>Track Models (Shark 1): Fin</t>
  </si>
  <si>
    <t>ZZ3.BSX</t>
  </si>
  <si>
    <t>flevel.lgp &gt; zz3</t>
  </si>
  <si>
    <t>ZZ3.DAT</t>
  </si>
  <si>
    <t>ZZ3.MIM</t>
  </si>
  <si>
    <t>axab</t>
  </si>
  <si>
    <t>ZZ4.BSX</t>
  </si>
  <si>
    <t>Garshtrike: Unidentified Part</t>
  </si>
  <si>
    <t>flevel.lgp &gt; zz4</t>
  </si>
  <si>
    <t>ZZ4.DAT</t>
  </si>
  <si>
    <t>jy.rsd</t>
  </si>
  <si>
    <t>ZZ4.MIM</t>
  </si>
  <si>
    <t>axam</t>
  </si>
  <si>
    <t>Garshtrike: Body</t>
  </si>
  <si>
    <t>ZZ5.BSX</t>
  </si>
  <si>
    <t>flevel.lgp &gt; zz5</t>
  </si>
  <si>
    <t>ZZ5.DAT</t>
  </si>
  <si>
    <t>ZZ5.MIM</t>
  </si>
  <si>
    <t>ZZ6.BSX</t>
  </si>
  <si>
    <t>flevel.lgp &gt; zz6</t>
  </si>
  <si>
    <t>ZZ6.DAT</t>
  </si>
  <si>
    <t>ZZ6.MIM</t>
  </si>
  <si>
    <t>jz.p</t>
  </si>
  <si>
    <t>axao</t>
  </si>
  <si>
    <t>ZZ7.BSX</t>
  </si>
  <si>
    <t>Garshtrike: Head</t>
  </si>
  <si>
    <t>flevel.lgp &gt; zz7</t>
  </si>
  <si>
    <t>ZZ7.DAT</t>
  </si>
  <si>
    <t>ZZ7.MIM</t>
  </si>
  <si>
    <t>ZZ8.BSX</t>
  </si>
  <si>
    <t>flevel.lgp &gt; zz8</t>
  </si>
  <si>
    <t>ZZ8.DAT</t>
  </si>
  <si>
    <t>ZZ8.MIM</t>
  </si>
  <si>
    <t>axaq</t>
  </si>
  <si>
    <t>Garshtrike: Sting</t>
  </si>
  <si>
    <t>jz.rsd</t>
  </si>
  <si>
    <t>ka.p</t>
  </si>
  <si>
    <t>axas</t>
  </si>
  <si>
    <t>Track Models (Shark 1): Upper fin</t>
  </si>
  <si>
    <t>Garshtrike: Left antenna part</t>
  </si>
  <si>
    <t>./INIT</t>
  </si>
  <si>
    <t>ka.rsd</t>
  </si>
  <si>
    <t>axat</t>
  </si>
  <si>
    <t>656 Bytes</t>
  </si>
  <si>
    <t>/data/kernel/KERNEL.BIN</t>
  </si>
  <si>
    <t>/data/kernel/WINDOW.BIN</t>
  </si>
  <si>
    <t>YAMADA.BIN</t>
  </si>
  <si>
    <t>./MAGIC</t>
  </si>
  <si>
    <t>AEROGA.BIN</t>
  </si>
  <si>
    <t>ALEX1.LZS</t>
  </si>
  <si>
    <t>kb.p</t>
  </si>
  <si>
    <t>ALEX.BIN</t>
  </si>
  <si>
    <t>axav</t>
  </si>
  <si>
    <t>Track Models (Shark 1): Head</t>
  </si>
  <si>
    <t>Garshtrike: Right antenna part</t>
  </si>
  <si>
    <t>ALMIGHTY.BIN</t>
  </si>
  <si>
    <t>ALTEMA.BIN</t>
  </si>
  <si>
    <t>ANGERMAX.BIN</t>
  </si>
  <si>
    <t>ANTLION.BIN</t>
  </si>
  <si>
    <t>AQUA.BIN</t>
  </si>
  <si>
    <t>ATOMIC.BIN</t>
  </si>
  <si>
    <t>AWA.BIN</t>
  </si>
  <si>
    <t>AYASII.BIN</t>
  </si>
  <si>
    <t>kb.rsd</t>
  </si>
  <si>
    <t>axaw</t>
  </si>
  <si>
    <t>BACUME.BIN</t>
  </si>
  <si>
    <t>BARRIER.BIN</t>
  </si>
  <si>
    <t>BEAM.BIN</t>
  </si>
  <si>
    <t>BEAST.BIN</t>
  </si>
  <si>
    <t>BEATA.BIN</t>
  </si>
  <si>
    <t>BEAT.BIN</t>
  </si>
  <si>
    <t>BERSERK.BIN</t>
  </si>
  <si>
    <t>BIO.BIN</t>
  </si>
  <si>
    <t>kc.p</t>
  </si>
  <si>
    <t>BIOGA1.BIN</t>
  </si>
  <si>
    <t>axay</t>
  </si>
  <si>
    <t>Track Models (Shark 1): Jaw</t>
  </si>
  <si>
    <t>BIOGA2.BIN</t>
  </si>
  <si>
    <t>Garshtrike: Left arm</t>
  </si>
  <si>
    <t>BIORA.BIN</t>
  </si>
  <si>
    <t>BLASTER.BIN</t>
  </si>
  <si>
    <t>BLAVER.BIN</t>
  </si>
  <si>
    <t>BOOST.BIN</t>
  </si>
  <si>
    <t>BRAND.BIN</t>
  </si>
  <si>
    <t>BREAK.BIN</t>
  </si>
  <si>
    <t>kc.rsd</t>
  </si>
  <si>
    <t>BRIZAD.BIN</t>
  </si>
  <si>
    <t>axaz</t>
  </si>
  <si>
    <t>BRIZAG2.BIN</t>
  </si>
  <si>
    <t>Garshtrike: Left forearm</t>
  </si>
  <si>
    <t>BRIZAG.BIN</t>
  </si>
  <si>
    <t>BRIZARA.BIN</t>
  </si>
  <si>
    <t>BUSHIN2.BIN</t>
  </si>
  <si>
    <t>CAREL.BIN</t>
  </si>
  <si>
    <t>CATASTRO.BIN</t>
  </si>
  <si>
    <t>CBREATH.BIN</t>
  </si>
  <si>
    <t>kd.a</t>
  </si>
  <si>
    <t>CHI.BIN</t>
  </si>
  <si>
    <t>Track Models (Shark 1): Swim</t>
  </si>
  <si>
    <t>axba</t>
  </si>
  <si>
    <t>CHIKASUI.BIN</t>
  </si>
  <si>
    <t>Garshtrike: Left claw</t>
  </si>
  <si>
    <t>CHOCO0.BIN</t>
  </si>
  <si>
    <t>ke.hrc</t>
  </si>
  <si>
    <t>Track Models (Shark 2): Skeleton</t>
  </si>
  <si>
    <t>CHO_KYU.BIN</t>
  </si>
  <si>
    <t>CLIMB.BIN</t>
  </si>
  <si>
    <t>CLUB1.BIN</t>
  </si>
  <si>
    <t>CLUB2.BIN</t>
  </si>
  <si>
    <t>COMET.BIN</t>
  </si>
  <si>
    <t>COMETEO.BIN</t>
  </si>
  <si>
    <t>axbc</t>
  </si>
  <si>
    <t>CONF.BIN</t>
  </si>
  <si>
    <t>Garshtrike: Right arm</t>
  </si>
  <si>
    <t>COSMO.BIN</t>
  </si>
  <si>
    <t>kf.p</t>
  </si>
  <si>
    <t>Track Models (Shark 2): Body</t>
  </si>
  <si>
    <t>DAICHI.BIN</t>
  </si>
  <si>
    <t>DAIONPA.BIN</t>
  </si>
  <si>
    <t>DAISENP.BIN</t>
  </si>
  <si>
    <t>DEADSEF.BIN</t>
  </si>
  <si>
    <t>DEATH.BIN</t>
  </si>
  <si>
    <t>DEBARIA.BIN</t>
  </si>
  <si>
    <t>axbd</t>
  </si>
  <si>
    <t>DEBUCHO.BIN</t>
  </si>
  <si>
    <t>Garshtrike: Right forearm</t>
  </si>
  <si>
    <t>kf.rsd</t>
  </si>
  <si>
    <t>DEJON.BIN</t>
  </si>
  <si>
    <t>DETHFO.BIN</t>
  </si>
  <si>
    <t>DETHPER.BIN</t>
  </si>
  <si>
    <t>DIA1.BIN</t>
  </si>
  <si>
    <t>DIA2.BIN</t>
  </si>
  <si>
    <t>DIA.BIN</t>
  </si>
  <si>
    <t>DISE.BIN</t>
  </si>
  <si>
    <t>DIVE.BIN</t>
  </si>
  <si>
    <t>kg.p</t>
  </si>
  <si>
    <t>axbe</t>
  </si>
  <si>
    <t>Track Models (Shark 2): Tail</t>
  </si>
  <si>
    <t>Garshtrike: Right claw</t>
  </si>
  <si>
    <t>DOKUEKI.BIN</t>
  </si>
  <si>
    <t>DOKUFUKI.BIN</t>
  </si>
  <si>
    <t>DRAGONN.BIN</t>
  </si>
  <si>
    <t>DYNAMITE.BIN</t>
  </si>
  <si>
    <t>ECHOES.BIN</t>
  </si>
  <si>
    <t>ELECBALL.BIN</t>
  </si>
  <si>
    <t>ELEVATOR.BIN</t>
  </si>
  <si>
    <t>ENERGY.BIN</t>
  </si>
  <si>
    <t>kg.rsd</t>
  </si>
  <si>
    <t>axbf</t>
  </si>
  <si>
    <t>ERAVE.BIN</t>
  </si>
  <si>
    <t>Garshtrike: Abdomen</t>
  </si>
  <si>
    <t>ESCAPE.BIN</t>
  </si>
  <si>
    <t>ESNA.BIN</t>
  </si>
  <si>
    <t>FAIGA2.BIN</t>
  </si>
  <si>
    <t>FAIGA.BIN</t>
  </si>
  <si>
    <t>FAIRA.BIN</t>
  </si>
  <si>
    <t>FIRE.BIN</t>
  </si>
  <si>
    <t>FLAME.BIN</t>
  </si>
  <si>
    <t>FLEA.BIN</t>
  </si>
  <si>
    <t>FREEZE.BIN</t>
  </si>
  <si>
    <t>FROG.BIN</t>
  </si>
  <si>
    <t>kh.p</t>
  </si>
  <si>
    <t>FUBUKI.BIN</t>
  </si>
  <si>
    <t>Track Models (Shark 2): Tail fin</t>
  </si>
  <si>
    <t>FULLCARE.BIN</t>
  </si>
  <si>
    <t>GAISEI.BIN</t>
  </si>
  <si>
    <t>axbh</t>
  </si>
  <si>
    <t>1000 Bytes</t>
  </si>
  <si>
    <t>GAISHU.BIN</t>
  </si>
  <si>
    <t>Garshtrike: Tail part</t>
  </si>
  <si>
    <t>GARYU.BIN</t>
  </si>
  <si>
    <t>GAS.BIN</t>
  </si>
  <si>
    <t>GATTAI.BIN</t>
  </si>
  <si>
    <t>GEKI1.BIN</t>
  </si>
  <si>
    <t>GEKI2.BIN</t>
  </si>
  <si>
    <t>GESUI.BIN</t>
  </si>
  <si>
    <t>GOBLINP.BIN</t>
  </si>
  <si>
    <t>GOSPEL.BIN</t>
  </si>
  <si>
    <t>axbi</t>
  </si>
  <si>
    <t>GRAVIDE.BIN</t>
  </si>
  <si>
    <t>kh.rsd</t>
  </si>
  <si>
    <t>GRAVIGA1.BIN</t>
  </si>
  <si>
    <t>GRAVIGA2.BIN</t>
  </si>
  <si>
    <t>GRAVIRA.BIN</t>
  </si>
  <si>
    <t>GRENADE.BIN</t>
  </si>
  <si>
    <t>HADES.BIN</t>
  </si>
  <si>
    <t>HADO.BIN</t>
  </si>
  <si>
    <t>HADOHO.BIN</t>
  </si>
  <si>
    <t>HAKAI.BIN</t>
  </si>
  <si>
    <t>ki.p</t>
  </si>
  <si>
    <t>axbj</t>
  </si>
  <si>
    <t>Track Models (Shark 2): Fin</t>
  </si>
  <si>
    <t>HAKOU.BIN</t>
  </si>
  <si>
    <t>HAKUGEK1.BIN</t>
  </si>
  <si>
    <t>HAKUGEK2.BIN</t>
  </si>
  <si>
    <t>HANMMER.BIN</t>
  </si>
  <si>
    <t>HARI1000.BIN</t>
  </si>
  <si>
    <t>HARRIER.BIN</t>
  </si>
  <si>
    <t>HATENA.BIN</t>
  </si>
  <si>
    <t>H_BLOW.BIN</t>
  </si>
  <si>
    <t>axbk</t>
  </si>
  <si>
    <t>HEART1.BIN</t>
  </si>
  <si>
    <t>HEART2.BIN</t>
  </si>
  <si>
    <t>HEATBU.BIN</t>
  </si>
  <si>
    <t>HEIST.BIN</t>
  </si>
  <si>
    <t>ki.rsd</t>
  </si>
  <si>
    <t>HIKARI2.BIN</t>
  </si>
  <si>
    <t>HIKARI3.BIN</t>
  </si>
  <si>
    <t>HIKARI.BIN</t>
  </si>
  <si>
    <t>axbl</t>
  </si>
  <si>
    <t>HIWIND.BIN</t>
  </si>
  <si>
    <t>HMOON.BIN</t>
  </si>
  <si>
    <t>HO_DEN.BIN</t>
  </si>
  <si>
    <t>HVSHOT.BIN</t>
  </si>
  <si>
    <t>HYPER.BIN</t>
  </si>
  <si>
    <t>kj.p</t>
  </si>
  <si>
    <t>IFLEET.BIN</t>
  </si>
  <si>
    <t>ITO.BIN</t>
  </si>
  <si>
    <t>IYASHI.BIN</t>
  </si>
  <si>
    <t>axbm</t>
  </si>
  <si>
    <t>JAKI.BIN</t>
  </si>
  <si>
    <t>JAMMER2.BIN</t>
  </si>
  <si>
    <t>JAMMER.BIN</t>
  </si>
  <si>
    <t>JIBAKU1.BIN</t>
  </si>
  <si>
    <t>JIBAKU2.BIN</t>
  </si>
  <si>
    <t>JIBASIRI.BIN</t>
  </si>
  <si>
    <t>kj.rsd</t>
  </si>
  <si>
    <t>JINRAI.BIN</t>
  </si>
  <si>
    <t>JOKER1.BIN</t>
  </si>
  <si>
    <t>axbn</t>
  </si>
  <si>
    <t>JOKER2.BIN</t>
  </si>
  <si>
    <t>KAEN2.BIN</t>
  </si>
  <si>
    <t>KAEN.BIN</t>
  </si>
  <si>
    <t>KAERU.BIN</t>
  </si>
  <si>
    <t>KAFUN.BIN</t>
  </si>
  <si>
    <t>kk.p</t>
  </si>
  <si>
    <t>KAKUSAN.BIN</t>
  </si>
  <si>
    <t>Track Models (Shark 2): Upper fin</t>
  </si>
  <si>
    <t>KAMA2.BIN</t>
  </si>
  <si>
    <t>KAMA.BIN</t>
  </si>
  <si>
    <t>axbo</t>
  </si>
  <si>
    <t>KIEN.BIN</t>
  </si>
  <si>
    <t>KINZAN.BIN</t>
  </si>
  <si>
    <t>KNIGHT10.LZS</t>
  </si>
  <si>
    <t>KNIGHT11.LZS</t>
  </si>
  <si>
    <t>KNIGHT12.LZS</t>
  </si>
  <si>
    <t>KNIGHT13.LZS</t>
  </si>
  <si>
    <t>kk.rsd</t>
  </si>
  <si>
    <t>KNIGHT14.LZS</t>
  </si>
  <si>
    <t>KNIGHT15.LZS</t>
  </si>
  <si>
    <t>axbp</t>
  </si>
  <si>
    <t>KNIGHT1.LZS</t>
  </si>
  <si>
    <t>Garshtrike: Tail sting</t>
  </si>
  <si>
    <t>KNIGHT2.LZS</t>
  </si>
  <si>
    <t>KNIGHT3.LZS</t>
  </si>
  <si>
    <t>kl.p</t>
  </si>
  <si>
    <t>Track Models (Shark 2): Head</t>
  </si>
  <si>
    <t>axda</t>
  </si>
  <si>
    <t>KNIGHT4.LZS</t>
  </si>
  <si>
    <t>KNIGHT5.LZS</t>
  </si>
  <si>
    <t>KNIGHT6.LZS</t>
  </si>
  <si>
    <t>KNIGHT7.LZS</t>
  </si>
  <si>
    <t>ayaa</t>
  </si>
  <si>
    <t>280 Bytes</t>
  </si>
  <si>
    <t>Rocket Launcher: Battle Skeleton</t>
  </si>
  <si>
    <t>KNIGHT8.LZS</t>
  </si>
  <si>
    <t>kl.rsd</t>
  </si>
  <si>
    <t>KNIGHT9.LZS</t>
  </si>
  <si>
    <t>KNIGHTS.BIN</t>
  </si>
  <si>
    <t>KONA.BIN</t>
  </si>
  <si>
    <t>KONOHA.BIN</t>
  </si>
  <si>
    <t>KOROSI.BIN</t>
  </si>
  <si>
    <t>KOUDAN1.BIN</t>
  </si>
  <si>
    <t>KOUDAN2.BIN</t>
  </si>
  <si>
    <t>ayab</t>
  </si>
  <si>
    <t>KUJATA1.LZS</t>
  </si>
  <si>
    <t>Rocket Launcher: Unidentified Part</t>
  </si>
  <si>
    <t>KUJATA.BIN</t>
  </si>
  <si>
    <t>km.p</t>
  </si>
  <si>
    <t>Track Models (Shark 2): Jaw</t>
  </si>
  <si>
    <t>KUSAI.BIN</t>
  </si>
  <si>
    <t>ayam</t>
  </si>
  <si>
    <t>KYOGIRI.BIN</t>
  </si>
  <si>
    <t>LAMU.BIN</t>
  </si>
  <si>
    <t>LASBOSS2.BIN</t>
  </si>
  <si>
    <t>Rocket Launcher: Stand part</t>
  </si>
  <si>
    <t>LASBOSS.BIN</t>
  </si>
  <si>
    <t>LASER2.BIN</t>
  </si>
  <si>
    <t>LASER.BIN</t>
  </si>
  <si>
    <t>LASTBOSS.LZS</t>
  </si>
  <si>
    <t>km.rsd</t>
  </si>
  <si>
    <t>LGIRL.BIN</t>
  </si>
  <si>
    <t>LUNATIC.BIN</t>
  </si>
  <si>
    <t>LV4JIBAK.BIN</t>
  </si>
  <si>
    <t>ayan</t>
  </si>
  <si>
    <t>LV5DETH.BIN</t>
  </si>
  <si>
    <t>MABARIA.BIN</t>
  </si>
  <si>
    <t>MAGEND.BIN</t>
  </si>
  <si>
    <t>MAGIKAL.BIN</t>
  </si>
  <si>
    <t>MAGMA2.BIN</t>
  </si>
  <si>
    <t>kn.a</t>
  </si>
  <si>
    <t>MAGMA.BIN</t>
  </si>
  <si>
    <t>Track Models (Shark 2): Swim</t>
  </si>
  <si>
    <t>MATRA.BIN</t>
  </si>
  <si>
    <t>M_BREAK.BIN</t>
  </si>
  <si>
    <t>ayao</t>
  </si>
  <si>
    <t>ko.hrc</t>
  </si>
  <si>
    <t>Rocket Launcher: Launcher</t>
  </si>
  <si>
    <t>MDANCE.BIN</t>
  </si>
  <si>
    <t>Track Models (Flames): Skeleton</t>
  </si>
  <si>
    <t>MEIKYO.BIN</t>
  </si>
  <si>
    <t>MGBEAM.BIN</t>
  </si>
  <si>
    <t>MINIMAM.BIN</t>
  </si>
  <si>
    <t>MISSILE.BIN</t>
  </si>
  <si>
    <t>MIZU.BIN</t>
  </si>
  <si>
    <t>kp.p</t>
  </si>
  <si>
    <t>MIZUFUKI.BIN</t>
  </si>
  <si>
    <t>ayas</t>
  </si>
  <si>
    <t>Track Models (Flames): Whole flames model</t>
  </si>
  <si>
    <t>744 Bytes</t>
  </si>
  <si>
    <t>Rocket Launcher: Back launcher radiator 1</t>
  </si>
  <si>
    <t>MOD.BIN</t>
  </si>
  <si>
    <t>MRAIN.BIN</t>
  </si>
  <si>
    <t>MYTYG.BIN</t>
  </si>
  <si>
    <t>NADARE.BIN</t>
  </si>
  <si>
    <t>NANNTOKA.BIN</t>
  </si>
  <si>
    <t>NAPALM.BIN</t>
  </si>
  <si>
    <t>NETSU.BIN</t>
  </si>
  <si>
    <t>NIGHT.BIN</t>
  </si>
  <si>
    <t>kp.rsd</t>
  </si>
  <si>
    <t>ayau</t>
  </si>
  <si>
    <t>740 Bytes</t>
  </si>
  <si>
    <t>NONOSHI.BIN</t>
  </si>
  <si>
    <t>Rocket Launcher: Back launcher radiator 2</t>
  </si>
  <si>
    <t>NORTHERN.BIN</t>
  </si>
  <si>
    <t>ODIN1.BIN</t>
  </si>
  <si>
    <t>ODIN1.LZS</t>
  </si>
  <si>
    <t>ODIN2.BIN</t>
  </si>
  <si>
    <t>OIL.BIN</t>
  </si>
  <si>
    <t>ONPA.BIN</t>
  </si>
  <si>
    <t>kq.a</t>
  </si>
  <si>
    <t>ONSEN.BIN</t>
  </si>
  <si>
    <t>ayaw</t>
  </si>
  <si>
    <t>Track Models (Flames): Spin</t>
  </si>
  <si>
    <t>Rocket Launcher: Back launcher radiator 3</t>
  </si>
  <si>
    <t>OSEN.BIN</t>
  </si>
  <si>
    <t>OTSUNAMI.BIN</t>
  </si>
  <si>
    <t>kr.hrc</t>
  </si>
  <si>
    <t>Track Models (Windmill 1): Skeleton</t>
  </si>
  <si>
    <t>PHOENIX.BIN</t>
  </si>
  <si>
    <t>PINK.BIN</t>
  </si>
  <si>
    <t>PUNCH.BIN</t>
  </si>
  <si>
    <t>Q_KETSU.BIN</t>
  </si>
  <si>
    <t>Q_SHU.BIN</t>
  </si>
  <si>
    <t>QUASAR.BIN</t>
  </si>
  <si>
    <t>ayay</t>
  </si>
  <si>
    <t>QUEIG.BIN</t>
  </si>
  <si>
    <t>ks.p</t>
  </si>
  <si>
    <t>Rocket Launcher: Base</t>
  </si>
  <si>
    <t>Track Models (Windmill 1): Whole windmill model</t>
  </si>
  <si>
    <t>QUEIK.BIN</t>
  </si>
  <si>
    <t>QUEIR.BIN</t>
  </si>
  <si>
    <t>RAISE.BIN</t>
  </si>
  <si>
    <t>RAKUSEKI.BIN</t>
  </si>
  <si>
    <t>RANTO.BIN</t>
  </si>
  <si>
    <t>REAZER.BIN</t>
  </si>
  <si>
    <t>RE_DO.BIN</t>
  </si>
  <si>
    <t>ks.rsd</t>
  </si>
  <si>
    <t>REFREC.BIN</t>
  </si>
  <si>
    <t>ayaz</t>
  </si>
  <si>
    <t>REIKI.BIN</t>
  </si>
  <si>
    <t>Rocket Launcher: Lamp</t>
  </si>
  <si>
    <t>REITO.BIN</t>
  </si>
  <si>
    <t>RENBAKU.BIN</t>
  </si>
  <si>
    <t>RESIST.BIN</t>
  </si>
  <si>
    <t>RIVA.BIN</t>
  </si>
  <si>
    <t>RMISSILE.BIN</t>
  </si>
  <si>
    <t>ROCKET.BIN</t>
  </si>
  <si>
    <t>kt.a</t>
  </si>
  <si>
    <t>ROLLFIRE.BIN</t>
  </si>
  <si>
    <t>aybb</t>
  </si>
  <si>
    <t>Track Models (Windmill 1): Spin</t>
  </si>
  <si>
    <t>Rocket Launcher: Radar support part</t>
  </si>
  <si>
    <t>SAIKYO.BIN</t>
  </si>
  <si>
    <t>SAILESS.BIN</t>
  </si>
  <si>
    <t>ku.hrc</t>
  </si>
  <si>
    <t>SATAN.BIN</t>
  </si>
  <si>
    <t>Track Models (Waterfall): Skeleton</t>
  </si>
  <si>
    <t>S_BEAM.BIN</t>
  </si>
  <si>
    <t>SCOPE.BIN</t>
  </si>
  <si>
    <t>SDUST.BIN</t>
  </si>
  <si>
    <t>SEALD.BIN</t>
  </si>
  <si>
    <t>SEARCH.BIN</t>
  </si>
  <si>
    <t>aybc</t>
  </si>
  <si>
    <t>SEED.BIN</t>
  </si>
  <si>
    <t>SEIJA.BIN</t>
  </si>
  <si>
    <t>kv.p</t>
  </si>
  <si>
    <t>Track Models (Waterfall): Whole waterfall model</t>
  </si>
  <si>
    <t>SEKIKA.BIN</t>
  </si>
  <si>
    <t>SENNKOKU.BIN</t>
  </si>
  <si>
    <t>SFLEA.BIN</t>
  </si>
  <si>
    <t>S_GUARD.BIN</t>
  </si>
  <si>
    <t>SHAKU.BIN</t>
  </si>
  <si>
    <t>SHIELD.BIN</t>
  </si>
  <si>
    <t>SHINRA.BIN</t>
  </si>
  <si>
    <t>SHOWER.BIN</t>
  </si>
  <si>
    <t>kv.rsd</t>
  </si>
  <si>
    <t>SIVA.BIN</t>
  </si>
  <si>
    <t>aybd</t>
  </si>
  <si>
    <t>SLDFANG.BIN</t>
  </si>
  <si>
    <t>Rocket Launcher: Radar counterbalance</t>
  </si>
  <si>
    <t>SLIPL.BIN</t>
  </si>
  <si>
    <t>SLOW.BIN</t>
  </si>
  <si>
    <t>SMKBALL.BIN</t>
  </si>
  <si>
    <t>SMOG2.BIN</t>
  </si>
  <si>
    <t>SOUTHERN.BIN</t>
  </si>
  <si>
    <t>SPADE1.BIN</t>
  </si>
  <si>
    <t>SPADE2.BIN</t>
  </si>
  <si>
    <t>kw.a</t>
  </si>
  <si>
    <t>aybe</t>
  </si>
  <si>
    <t>SPARK.BIN</t>
  </si>
  <si>
    <t>892 Bytes</t>
  </si>
  <si>
    <t>Track Models (Waterfall): fall</t>
  </si>
  <si>
    <t>Rocket Launcher: Radar flap</t>
  </si>
  <si>
    <t>STING.BIN</t>
  </si>
  <si>
    <t>STOP.BIN</t>
  </si>
  <si>
    <t>SUMI.BIN</t>
  </si>
  <si>
    <t>SUNA.BIN</t>
  </si>
  <si>
    <t>TAIL.BIN</t>
  </si>
  <si>
    <t>TAN.BIN</t>
  </si>
  <si>
    <t>TBREATH.BIN</t>
  </si>
  <si>
    <t>TEARS.BIN</t>
  </si>
  <si>
    <t>THREAT.BIN</t>
  </si>
  <si>
    <t>ayda</t>
  </si>
  <si>
    <t>THUNDER2.BIN</t>
  </si>
  <si>
    <t>kx.hrc</t>
  </si>
  <si>
    <t>Track Models (Windmill 2): Skeleton</t>
  </si>
  <si>
    <t>THUNDERA.BIN</t>
  </si>
  <si>
    <t>THUNDER.BIN</t>
  </si>
  <si>
    <t>azaa</t>
  </si>
  <si>
    <t>THUNDG1.BIN</t>
  </si>
  <si>
    <t>628 Bytes</t>
  </si>
  <si>
    <t>Whole Eater: Battle Skeleton</t>
  </si>
  <si>
    <t>THUNDG2.BIN</t>
  </si>
  <si>
    <t>TIFA.BIN</t>
  </si>
  <si>
    <t>TIFATIFA.LZS</t>
  </si>
  <si>
    <t>TIMEDMG.BIN</t>
  </si>
  <si>
    <t>TITAN.BIN</t>
  </si>
  <si>
    <t>TOBOE.BIN</t>
  </si>
  <si>
    <t>ky.p</t>
  </si>
  <si>
    <t>Track Models (Windmill 2): Whole windmill model</t>
  </si>
  <si>
    <t>TODO.BIN</t>
  </si>
  <si>
    <t>TORNADO.BIN</t>
  </si>
  <si>
    <t>azab</t>
  </si>
  <si>
    <t>400 Bytes</t>
  </si>
  <si>
    <t>Whole Eater: Unidentified Part</t>
  </si>
  <si>
    <t>TO_SEKI.BIN</t>
  </si>
  <si>
    <t>TOYBOX.BIN</t>
  </si>
  <si>
    <t>azam</t>
  </si>
  <si>
    <t>TRAINN.BIN</t>
  </si>
  <si>
    <t>Whole Eater: Abdomen</t>
  </si>
  <si>
    <t>ky.rsd</t>
  </si>
  <si>
    <t>TRIANGLE.BIN</t>
  </si>
  <si>
    <t>TSOL.BIN</t>
  </si>
  <si>
    <t>TSURARA.BIN</t>
  </si>
  <si>
    <t>TUPON1.LZS</t>
  </si>
  <si>
    <t>azan</t>
  </si>
  <si>
    <t>TUPON.BIN</t>
  </si>
  <si>
    <t>Whole Eater: Thorax</t>
  </si>
  <si>
    <t>kz.a</t>
  </si>
  <si>
    <t>UTAGOE.BIN</t>
  </si>
  <si>
    <t>Track Models (Windmill 2): Spin</t>
  </si>
  <si>
    <t>VAHA0_1.LZS</t>
  </si>
  <si>
    <t>VAHA0_2.LZS</t>
  </si>
  <si>
    <t>la.hrc</t>
  </si>
  <si>
    <t>Track Models (Flag Mog): Skeleton</t>
  </si>
  <si>
    <t>VAHA0_3.LZS</t>
  </si>
  <si>
    <t>VAHA0_4.LZS</t>
  </si>
  <si>
    <t>VAHA0_5.LZS</t>
  </si>
  <si>
    <t>VAHA2_1.LZS</t>
  </si>
  <si>
    <t>VAHA2_2.LZS</t>
  </si>
  <si>
    <t>azap</t>
  </si>
  <si>
    <t>6.7 K</t>
  </si>
  <si>
    <t>Whole Eater: Head</t>
  </si>
  <si>
    <t>VAHAMUT0.BIN</t>
  </si>
  <si>
    <t>VAHAMUT1.LZS</t>
  </si>
  <si>
    <t>VAHAMUT2.BIN</t>
  </si>
  <si>
    <t>lb.p</t>
  </si>
  <si>
    <t>Track Models (Flag Mog): Mog podium</t>
  </si>
  <si>
    <t>VAHAMUT.BIN</t>
  </si>
  <si>
    <t>VEGET.BIN</t>
  </si>
  <si>
    <t>WALL.BIN</t>
  </si>
  <si>
    <t>WEP3.BIN</t>
  </si>
  <si>
    <t>WEP4.BIN</t>
  </si>
  <si>
    <t>azar</t>
  </si>
  <si>
    <t>WHIRL.BIN</t>
  </si>
  <si>
    <t>Whole Eater: Tooth 1</t>
  </si>
  <si>
    <t>WLASER.BIN</t>
  </si>
  <si>
    <t>lb.rsd</t>
  </si>
  <si>
    <t>WPBA.BIN</t>
  </si>
  <si>
    <t>WPBI.BIN</t>
  </si>
  <si>
    <t>WPCU.BIN</t>
  </si>
  <si>
    <t>WPEA.BIN</t>
  </si>
  <si>
    <t>WPKE.BIN</t>
  </si>
  <si>
    <t>WPSI.BIN</t>
  </si>
  <si>
    <t>azat</t>
  </si>
  <si>
    <t>WPYU.BIN</t>
  </si>
  <si>
    <t>Whole Eater: Tooth 2</t>
  </si>
  <si>
    <t>W_WIND.BIN</t>
  </si>
  <si>
    <t>lc.p</t>
  </si>
  <si>
    <t>YAMI.BIN</t>
  </si>
  <si>
    <t>Track Models (Flag Mog): Head</t>
  </si>
  <si>
    <t>YU_WAKU.BIN</t>
  </si>
  <si>
    <t>ZENBAKU.BIN</t>
  </si>
  <si>
    <t>./MENU</t>
  </si>
  <si>
    <t>BARRE.TIM</t>
  </si>
  <si>
    <t>Barret Portrait (48x48)</t>
  </si>
  <si>
    <t>azav</t>
  </si>
  <si>
    <t>BGINMENU.MNU</t>
  </si>
  <si>
    <t>lc.rsd</t>
  </si>
  <si>
    <t>Whole Eater: Tooth 3</t>
  </si>
  <si>
    <t>BINS.TIM</t>
  </si>
  <si>
    <t>Vincent Portrait (48x48)</t>
  </si>
  <si>
    <t>CHNGMENU.MNU</t>
  </si>
  <si>
    <t>CHOCO.TIM</t>
  </si>
  <si>
    <t>ld.p</t>
  </si>
  <si>
    <t>azax</t>
  </si>
  <si>
    <t>Chocobo Portrait (48x48)</t>
  </si>
  <si>
    <t>Track Models (Flag Mog): Wing</t>
  </si>
  <si>
    <t>Whole Eater: Tooth 4</t>
  </si>
  <si>
    <t>CIDO.TIM</t>
  </si>
  <si>
    <t>Cid Portrait (48x48)</t>
  </si>
  <si>
    <t>CLOUD.TIM</t>
  </si>
  <si>
    <t>Cloud Portrait (48x48)</t>
  </si>
  <si>
    <t>CNFGMENU.MNU</t>
  </si>
  <si>
    <t>EARITH.TIM</t>
  </si>
  <si>
    <t>Aerith Portrait (48x48)</t>
  </si>
  <si>
    <t>EQIPMENU.MNU</t>
  </si>
  <si>
    <t>FORMMENU.MNU</t>
  </si>
  <si>
    <t>ITEMMENU.MNU</t>
  </si>
  <si>
    <t>KALI.TIM</t>
  </si>
  <si>
    <t>ld.rsd</t>
  </si>
  <si>
    <t>azaz</t>
  </si>
  <si>
    <t>KETC.TIM</t>
  </si>
  <si>
    <t>Whole Eater: Tooth 5</t>
  </si>
  <si>
    <t>Cait Sith Portrait (48x48)</t>
  </si>
  <si>
    <t>LIMTMENU.MNU</t>
  </si>
  <si>
    <t>Contains Limit Attack Data</t>
  </si>
  <si>
    <t>MGICMENU.MNU</t>
  </si>
  <si>
    <t>NAMEMENU.MNU</t>
  </si>
  <si>
    <t>PATYMENU.MNU</t>
  </si>
  <si>
    <t>PCEFI.TIM</t>
  </si>
  <si>
    <t>Sephiroth Portrait (48x48)</t>
  </si>
  <si>
    <t>PCLOUD.TIM</t>
  </si>
  <si>
    <t>le.p</t>
  </si>
  <si>
    <t>Young Cloud Portrait (48x48)</t>
  </si>
  <si>
    <t>azbb</t>
  </si>
  <si>
    <t>RED.TIM</t>
  </si>
  <si>
    <t>Whole Eater: Tooth 6</t>
  </si>
  <si>
    <t>Red Xll Portrait (48x48)</t>
  </si>
  <si>
    <t>SAVEMENU.MNU</t>
  </si>
  <si>
    <t>SHOPMENU.MNU</t>
  </si>
  <si>
    <t>STATMENU.MNU</t>
  </si>
  <si>
    <t>TIFA.TIM</t>
  </si>
  <si>
    <t>Tifa Portrait (48x48)</t>
  </si>
  <si>
    <t>YUFI.TIM</t>
  </si>
  <si>
    <t>Yuffie Portrait (48x48)</t>
  </si>
  <si>
    <t>./MINI</t>
  </si>
  <si>
    <t>le.rsd</t>
  </si>
  <si>
    <t>ASERI2.SND</t>
  </si>
  <si>
    <t>azbd</t>
  </si>
  <si>
    <t>Whole Eater: Tooth 7</t>
  </si>
  <si>
    <t>BGM2.LZS</t>
  </si>
  <si>
    <t>BGM.LZS</t>
  </si>
  <si>
    <t>CDREND.BIN</t>
  </si>
  <si>
    <t>CHOCOBO.BIN</t>
  </si>
  <si>
    <t>CHOCOBO.DAT</t>
  </si>
  <si>
    <t>CONDOR0.LZS</t>
  </si>
  <si>
    <t>CONDOR1.LZS</t>
  </si>
  <si>
    <t>lf.p</t>
  </si>
  <si>
    <t>CONDOR2.LZS</t>
  </si>
  <si>
    <t>azbf</t>
  </si>
  <si>
    <t>Track Models (Flag Mog): Arm</t>
  </si>
  <si>
    <t>Whole Eater: Tooth 8</t>
  </si>
  <si>
    <t>CONDOR3.LZS</t>
  </si>
  <si>
    <t>CONDOR4.LZS</t>
  </si>
  <si>
    <t>CONDOR.BIN</t>
  </si>
  <si>
    <t>DATA.BIN</t>
  </si>
  <si>
    <t>HIGHWAY.BIN</t>
  </si>
  <si>
    <t>H_KAWAI.BIN</t>
  </si>
  <si>
    <t>H_TEX.BIN</t>
  </si>
  <si>
    <t>lf.rsd</t>
  </si>
  <si>
    <t>azbh</t>
  </si>
  <si>
    <t>Whole Eater: Tooth 9</t>
  </si>
  <si>
    <t>H_XBIN.BIN</t>
  </si>
  <si>
    <t>INITDAT0.BIN</t>
  </si>
  <si>
    <t>INITDAT1.BIN</t>
  </si>
  <si>
    <t>INITDAT2.BIN</t>
  </si>
  <si>
    <t>INITDAT3.BIN</t>
  </si>
  <si>
    <t>INITDAT4.BIN</t>
  </si>
  <si>
    <t>INITDAT5.BIN</t>
  </si>
  <si>
    <t>lg.p</t>
  </si>
  <si>
    <t>azbj</t>
  </si>
  <si>
    <t>Whole Eater: Tooth 10</t>
  </si>
  <si>
    <t>JET.BIN</t>
  </si>
  <si>
    <t>SEN003E.TIZ</t>
  </si>
  <si>
    <t>Submarine Interface and controls whole</t>
  </si>
  <si>
    <t>sub.lgp &gt; hud.tex</t>
  </si>
  <si>
    <t>SEN013E.TIZ</t>
  </si>
  <si>
    <t>Submarine Minigame fonts and help boxes whole</t>
  </si>
  <si>
    <t>sub.lgp &gt; text.tex</t>
  </si>
  <si>
    <t>SENSUI.SND</t>
  </si>
  <si>
    <t>SNOBO2.BIN</t>
  </si>
  <si>
    <t>SNOBO.BIN</t>
  </si>
  <si>
    <t>lg.rsd</t>
  </si>
  <si>
    <t>azbl</t>
  </si>
  <si>
    <t>SUBMAR.BIN</t>
  </si>
  <si>
    <t>Whole Eater: Tooth 11</t>
  </si>
  <si>
    <t>TEXADR.BIN</t>
  </si>
  <si>
    <t>TEX.BIN</t>
  </si>
  <si>
    <t>TIM2.LZS</t>
  </si>
  <si>
    <t>TIM.LZS</t>
  </si>
  <si>
    <t>TMD2.LZS</t>
  </si>
  <si>
    <t>TMD.LZS</t>
  </si>
  <si>
    <t>XBIN2.BIN</t>
  </si>
  <si>
    <t>lh.p</t>
  </si>
  <si>
    <t>azbn</t>
  </si>
  <si>
    <t>XBINADR.BIN</t>
  </si>
  <si>
    <t>Whole Eater: Left front leg part</t>
  </si>
  <si>
    <t>Track Models (Flag Mog): Flag stick</t>
  </si>
  <si>
    <t>./MINT</t>
  </si>
  <si>
    <t>DISKINFO.CNF</t>
  </si>
  <si>
    <t>MOVIE_ID.BIN</t>
  </si>
  <si>
    <t>./MOVIE</t>
  </si>
  <si>
    <t>lh.rsd</t>
  </si>
  <si>
    <t>azbo</t>
  </si>
  <si>
    <t>Motorcycle Chase</t>
  </si>
  <si>
    <t>li.p</t>
  </si>
  <si>
    <t>azbp</t>
  </si>
  <si>
    <t>Whole Eater: Left front leg tip</t>
  </si>
  <si>
    <t>azbr</t>
  </si>
  <si>
    <t>Whole Eater: Right front leg part</t>
  </si>
  <si>
    <t>li.rsd</t>
  </si>
  <si>
    <t>Track Models (Flag Mog): Flag</t>
  </si>
  <si>
    <t>azbs</t>
  </si>
  <si>
    <t>lj.a</t>
  </si>
  <si>
    <t>Track Models (Flag Mog): Swing Flag</t>
  </si>
  <si>
    <t>lk.hrc</t>
  </si>
  <si>
    <t>Track Models (Electric Gate): Skeleton</t>
  </si>
  <si>
    <t>CHANGE0.LZS</t>
  </si>
  <si>
    <t>CHANGE1.LZS</t>
  </si>
  <si>
    <t>CHANGE2.LZS</t>
  </si>
  <si>
    <t>azbt</t>
  </si>
  <si>
    <t>CHANGE3.LZS</t>
  </si>
  <si>
    <t>Whole Eater: Right front leg tip</t>
  </si>
  <si>
    <t>CHANGE4.LZS</t>
  </si>
  <si>
    <t>CHANGE5.LZS</t>
  </si>
  <si>
    <t>CHANGE6.LZS</t>
  </si>
  <si>
    <t>ll.p</t>
  </si>
  <si>
    <t>Track Models (Electric Gate): Gate part</t>
  </si>
  <si>
    <t>azbu</t>
  </si>
  <si>
    <t>Whole Eater: Tail part</t>
  </si>
  <si>
    <t>CHANGE7.LZS</t>
  </si>
  <si>
    <t>CHANGE8.LZS</t>
  </si>
  <si>
    <t>ll.rsd</t>
  </si>
  <si>
    <t>DISK1.LZS</t>
  </si>
  <si>
    <t>DISK2.LZS</t>
  </si>
  <si>
    <t>azbv</t>
  </si>
  <si>
    <t>DISK3.LZS</t>
  </si>
  <si>
    <t>lm.p</t>
  </si>
  <si>
    <t>azbw</t>
  </si>
  <si>
    <t>lm.rsd</t>
  </si>
  <si>
    <t>azbx</t>
  </si>
  <si>
    <t>FF_DAIKU.MOV</t>
  </si>
  <si>
    <t>ln.p</t>
  </si>
  <si>
    <t>FSHIP2.BIN</t>
  </si>
  <si>
    <t>FSHIP2N.BIN</t>
  </si>
  <si>
    <t>fship2n.avi??</t>
  </si>
  <si>
    <t>file does not exists</t>
  </si>
  <si>
    <t>ln.rsd</t>
  </si>
  <si>
    <t>azby</t>
  </si>
  <si>
    <t>GDUMMY0.HTM</t>
  </si>
  <si>
    <t>GDUMMY1.HTM</t>
  </si>
  <si>
    <t>GDUMMY2.HTM</t>
  </si>
  <si>
    <t>GDUMMY3.HTM</t>
  </si>
  <si>
    <t>GDUMMY4.HTM</t>
  </si>
  <si>
    <t>lo.a</t>
  </si>
  <si>
    <t>azbz</t>
  </si>
  <si>
    <t>Track Models (Electric Gate): Animation Open</t>
  </si>
  <si>
    <t>Whole Eater: Tail tip</t>
  </si>
  <si>
    <t>lp.hrc</t>
  </si>
  <si>
    <t>Joe: Skeleton</t>
  </si>
  <si>
    <t>gold2.av</t>
  </si>
  <si>
    <t>azcb</t>
  </si>
  <si>
    <t>Whole Eater: Left rear leg part</t>
  </si>
  <si>
    <t>lq.p</t>
  </si>
  <si>
    <t>Joe: Hip</t>
  </si>
  <si>
    <t>lq.rsd</t>
  </si>
  <si>
    <t>azcc</t>
  </si>
  <si>
    <t>lr.p</t>
  </si>
  <si>
    <t>azcd</t>
  </si>
  <si>
    <t>Joe: Body</t>
  </si>
  <si>
    <t>Whole Eater: Left rear leg tip</t>
  </si>
  <si>
    <t>lr.rsd</t>
  </si>
  <si>
    <t>azcf</t>
  </si>
  <si>
    <t>Whole Eater: Right rear leg part</t>
  </si>
  <si>
    <t>ls.p</t>
  </si>
  <si>
    <t>azcg</t>
  </si>
  <si>
    <t>Joe: Head</t>
  </si>
  <si>
    <t>gold3.av</t>
  </si>
  <si>
    <t>azch</t>
  </si>
  <si>
    <t>Whole Eater: Right rear leg tip</t>
  </si>
  <si>
    <t>ls.rsd</t>
  </si>
  <si>
    <t>azda</t>
  </si>
  <si>
    <t>7.9 K</t>
  </si>
  <si>
    <t>lt.p</t>
  </si>
  <si>
    <t>Joe: Arm</t>
  </si>
  <si>
    <t>gold4.av</t>
  </si>
  <si>
    <t>baaa</t>
  </si>
  <si>
    <t>Chuse Tank: Battle Skeleton</t>
  </si>
  <si>
    <t>lt.rsd</t>
  </si>
  <si>
    <t>baab</t>
  </si>
  <si>
    <t>Chuse Tank: Unidentified Part</t>
  </si>
  <si>
    <t>lu.p</t>
  </si>
  <si>
    <t>baan</t>
  </si>
  <si>
    <t>Joe: Forearm</t>
  </si>
  <si>
    <t>Chuse Tank: Dorsal fin</t>
  </si>
  <si>
    <t>gold5.av</t>
  </si>
  <si>
    <t>lu.rsd</t>
  </si>
  <si>
    <t>baao</t>
  </si>
  <si>
    <t>Chuse Tank: Body</t>
  </si>
  <si>
    <t>lv.p</t>
  </si>
  <si>
    <t>baap</t>
  </si>
  <si>
    <t>8.3 K</t>
  </si>
  <si>
    <t>Chuse Tank: Head</t>
  </si>
  <si>
    <t>gold6.av</t>
  </si>
  <si>
    <t>lv.rsd</t>
  </si>
  <si>
    <t>baaq</t>
  </si>
  <si>
    <t>Chuse Tank: Tail part</t>
  </si>
  <si>
    <t>lw.p</t>
  </si>
  <si>
    <t>baar</t>
  </si>
  <si>
    <t>gold7.av</t>
  </si>
  <si>
    <t>lw.rsd</t>
  </si>
  <si>
    <t>baas</t>
  </si>
  <si>
    <t>lx.p</t>
  </si>
  <si>
    <t>baat</t>
  </si>
  <si>
    <t>Joe: Tigh</t>
  </si>
  <si>
    <t>gold7_2.av</t>
  </si>
  <si>
    <t>lx.rsd</t>
  </si>
  <si>
    <t>bada</t>
  </si>
  <si>
    <t>bbaa</t>
  </si>
  <si>
    <t>Blugu: Battle Skeleton</t>
  </si>
  <si>
    <t>ly.p</t>
  </si>
  <si>
    <t>Joe: Leg</t>
  </si>
  <si>
    <t>bbab</t>
  </si>
  <si>
    <t>Blugu: Unidentified Part</t>
  </si>
  <si>
    <t>bbam</t>
  </si>
  <si>
    <t>ly.rsd</t>
  </si>
  <si>
    <t>bban</t>
  </si>
  <si>
    <t>lz.p</t>
  </si>
  <si>
    <t>Joe: Foot</t>
  </si>
  <si>
    <t>lz.rsd</t>
  </si>
  <si>
    <t>bbaq</t>
  </si>
  <si>
    <t>LAST4_2.BIN</t>
  </si>
  <si>
    <t>ma.p</t>
  </si>
  <si>
    <t>bbar</t>
  </si>
  <si>
    <t>last4_2.avi??</t>
  </si>
  <si>
    <t>20 K</t>
  </si>
  <si>
    <t>LAST4_3.BIN</t>
  </si>
  <si>
    <t>last4_3.avi??</t>
  </si>
  <si>
    <t>ma.rsd</t>
  </si>
  <si>
    <t>bbat</t>
  </si>
  <si>
    <t>mb.p</t>
  </si>
  <si>
    <t>bbda</t>
  </si>
  <si>
    <t>bcaa</t>
  </si>
  <si>
    <t>Hedgehog Pie: Battle Skeleton</t>
  </si>
  <si>
    <t>mb.rsd</t>
  </si>
  <si>
    <t>bcab</t>
  </si>
  <si>
    <t>Hedgehog Pie: Unidentified Part</t>
  </si>
  <si>
    <t>mc.p</t>
  </si>
  <si>
    <t>bcan</t>
  </si>
  <si>
    <t>6.2 K</t>
  </si>
  <si>
    <t>NULL1MIN.DAT</t>
  </si>
  <si>
    <t>mc.rsd</t>
  </si>
  <si>
    <t>bcao</t>
  </si>
  <si>
    <t>OPENING.BIN</t>
  </si>
  <si>
    <t>OPENMV.BIN</t>
  </si>
  <si>
    <t>OVER.LZS</t>
  </si>
  <si>
    <t>md.a</t>
  </si>
  <si>
    <t>bcar</t>
  </si>
  <si>
    <t>Joe: Run</t>
  </si>
  <si>
    <t>me.a</t>
  </si>
  <si>
    <t>Joe: Dash</t>
  </si>
  <si>
    <t>mf.a</t>
  </si>
  <si>
    <t>Joe: Win</t>
  </si>
  <si>
    <t>mg.a</t>
  </si>
  <si>
    <t>Joe: Stand still</t>
  </si>
  <si>
    <t>mh.a</t>
  </si>
  <si>
    <t>Joe: Lose</t>
  </si>
  <si>
    <t>bcas</t>
  </si>
  <si>
    <t>880 Bytes</t>
  </si>
  <si>
    <t>mi.hrc</t>
  </si>
  <si>
    <t>Cid: Skeleton</t>
  </si>
  <si>
    <t>bcat</t>
  </si>
  <si>
    <t>STAFF.BIN</t>
  </si>
  <si>
    <t>mj.p</t>
  </si>
  <si>
    <t>Cid: Hip</t>
  </si>
  <si>
    <t>STAFF2.BIN</t>
  </si>
  <si>
    <t>bcaw</t>
  </si>
  <si>
    <t>mj.rsd</t>
  </si>
  <si>
    <t>mk.p</t>
  </si>
  <si>
    <t>bcax</t>
  </si>
  <si>
    <t>Cid: Body</t>
  </si>
  <si>
    <t>WHITE2.BIN</t>
  </si>
  <si>
    <t>white2.avi??</t>
  </si>
  <si>
    <t>mk.rsd</t>
  </si>
  <si>
    <t>bcay</t>
  </si>
  <si>
    <t>2.3 K</t>
  </si>
  <si>
    <t>./SNOVA</t>
  </si>
  <si>
    <t>LASBOSS3.BIN</t>
  </si>
  <si>
    <t>SNOVA0.LZS</t>
  </si>
  <si>
    <t>SNOVA1.LZS</t>
  </si>
  <si>
    <t>ml.p</t>
  </si>
  <si>
    <t>bcba</t>
  </si>
  <si>
    <t>Cid: Head</t>
  </si>
  <si>
    <t>SNOVA10.LZS</t>
  </si>
  <si>
    <t>SNOVA11.LZS</t>
  </si>
  <si>
    <t>SNOVA12.LZS</t>
  </si>
  <si>
    <t>SNOVA13.LZS</t>
  </si>
  <si>
    <t>SNOVA14.LZS</t>
  </si>
  <si>
    <t>SNOVA15.LZS</t>
  </si>
  <si>
    <t>bcbb</t>
  </si>
  <si>
    <t>SNOVA2.LZS</t>
  </si>
  <si>
    <t>SNOVA3.LZS</t>
  </si>
  <si>
    <t>SNOVA4.LZS</t>
  </si>
  <si>
    <t>ml.rsd</t>
  </si>
  <si>
    <t>SNOVA5.LZS</t>
  </si>
  <si>
    <t>SNOVA6.LZS</t>
  </si>
  <si>
    <t>SNOVA7.LZS</t>
  </si>
  <si>
    <t>SNOVA8.LZS</t>
  </si>
  <si>
    <t>SNOVA9.LZS</t>
  </si>
  <si>
    <t>bcbc</t>
  </si>
  <si>
    <t>mm.p</t>
  </si>
  <si>
    <t>Cid: Arm</t>
  </si>
  <si>
    <t>bcbd</t>
  </si>
  <si>
    <t>./SOUND</t>
  </si>
  <si>
    <t>mm.rsd</t>
  </si>
  <si>
    <t>EFFECT.ALL</t>
  </si>
  <si>
    <t>INSTR2.ALL</t>
  </si>
  <si>
    <t>INSTR2.DAT</t>
  </si>
  <si>
    <t>INSTR.ALL</t>
  </si>
  <si>
    <t>INSTR.DAT</t>
  </si>
  <si>
    <t>./STAGE1</t>
  </si>
  <si>
    <t>bcbf</t>
  </si>
  <si>
    <t>mn.p</t>
  </si>
  <si>
    <t>Cid: Forearm</t>
  </si>
  <si>
    <t>Camdat0.bin</t>
  </si>
  <si>
    <t>PC files are decompressed</t>
  </si>
  <si>
    <t>Camdat1.bin</t>
  </si>
  <si>
    <t>Camdat2.bin</t>
  </si>
  <si>
    <t>STAGE00.LZS</t>
  </si>
  <si>
    <t>mn.rsd</t>
  </si>
  <si>
    <t>STAGE01.LZS</t>
  </si>
  <si>
    <t>bcbg</t>
  </si>
  <si>
    <t>STAGE02.LZS</t>
  </si>
  <si>
    <t>STAGE03.LZS</t>
  </si>
  <si>
    <t>STAGE04.LZS</t>
  </si>
  <si>
    <t>STAGE05.LZS</t>
  </si>
  <si>
    <t>STAGE06.LZS</t>
  </si>
  <si>
    <t>STAGE07.LZS</t>
  </si>
  <si>
    <t>mo.p</t>
  </si>
  <si>
    <t>STAGE08.LZS</t>
  </si>
  <si>
    <t>bcbh</t>
  </si>
  <si>
    <t>STAGE09.LZS</t>
  </si>
  <si>
    <t>STAGE10.LZS</t>
  </si>
  <si>
    <t>STAGE11.LZS</t>
  </si>
  <si>
    <t>STAGE12.LZS</t>
  </si>
  <si>
    <t>STAGE13.LZS</t>
  </si>
  <si>
    <t>STAGE14.LZS</t>
  </si>
  <si>
    <t>STAGE15.LZS</t>
  </si>
  <si>
    <t>mo.rsd</t>
  </si>
  <si>
    <t>bcbi</t>
  </si>
  <si>
    <t>STAGE16.LZS</t>
  </si>
  <si>
    <t>STAGE17.LZS</t>
  </si>
  <si>
    <t>STAGE18.LZS</t>
  </si>
  <si>
    <t>STAGE19.LZS</t>
  </si>
  <si>
    <t>STAGE20.LZS</t>
  </si>
  <si>
    <t>STAGE21.LZS</t>
  </si>
  <si>
    <t>STAGE22.LZS</t>
  </si>
  <si>
    <t>mp.p</t>
  </si>
  <si>
    <t>bcda</t>
  </si>
  <si>
    <t>STAGE23.LZS</t>
  </si>
  <si>
    <t>STAGE24.LZS</t>
  </si>
  <si>
    <t>bdaa</t>
  </si>
  <si>
    <t>STAGE25.LZS</t>
  </si>
  <si>
    <t>Smogger: Battle Skeleton</t>
  </si>
  <si>
    <t>STAGE26.LZS</t>
  </si>
  <si>
    <t>STAGE27.LZS</t>
  </si>
  <si>
    <t>STAGE28.LZS</t>
  </si>
  <si>
    <t>STAGE29.LZS</t>
  </si>
  <si>
    <t>STAGE30.LZS</t>
  </si>
  <si>
    <t>mp.rsd</t>
  </si>
  <si>
    <t>STAGE31.LZS</t>
  </si>
  <si>
    <t>STAGE32.LZS</t>
  </si>
  <si>
    <t>bdab</t>
  </si>
  <si>
    <t>STAGE33.LZS</t>
  </si>
  <si>
    <t>Smogger: Unidentified Part</t>
  </si>
  <si>
    <t>STAGE34.LZS</t>
  </si>
  <si>
    <t>STAGE35.LZS</t>
  </si>
  <si>
    <t>bdam</t>
  </si>
  <si>
    <t>9.7 K</t>
  </si>
  <si>
    <t>STAGE36.LZS</t>
  </si>
  <si>
    <t>STAGE37.LZS</t>
  </si>
  <si>
    <t>mq.p</t>
  </si>
  <si>
    <t>STAGE38.LZS</t>
  </si>
  <si>
    <t>Cid: Tigh</t>
  </si>
  <si>
    <t>STAGE39.LZS</t>
  </si>
  <si>
    <t>STAGE40.LZS</t>
  </si>
  <si>
    <t>STAGE41.LZS</t>
  </si>
  <si>
    <t>STAGE42.LZS</t>
  </si>
  <si>
    <t>bdan</t>
  </si>
  <si>
    <t>STAGE43.LZS</t>
  </si>
  <si>
    <t>3.3 K</t>
  </si>
  <si>
    <t>STAGE44.LZS</t>
  </si>
  <si>
    <t>mq.rsd</t>
  </si>
  <si>
    <t>STAGE45.LZS</t>
  </si>
  <si>
    <t>STAGE46.LZS</t>
  </si>
  <si>
    <t>STAGE47.LZS</t>
  </si>
  <si>
    <t>STAGE48.LZS</t>
  </si>
  <si>
    <t>STAGE49.LZS</t>
  </si>
  <si>
    <t>bdao</t>
  </si>
  <si>
    <t>./STAGE2</t>
  </si>
  <si>
    <t>mr.p</t>
  </si>
  <si>
    <t>Cid: Leg</t>
  </si>
  <si>
    <t>STAGE50.LZS</t>
  </si>
  <si>
    <t>STAGE51.LZS</t>
  </si>
  <si>
    <t>STAGE52.LZS</t>
  </si>
  <si>
    <t>STAGE53.LZS</t>
  </si>
  <si>
    <t>STAGE54.LZS</t>
  </si>
  <si>
    <t>STAGE55.LZS</t>
  </si>
  <si>
    <t>mr.rsd</t>
  </si>
  <si>
    <t>STAGE56.LZS</t>
  </si>
  <si>
    <t>bdas</t>
  </si>
  <si>
    <t>STAGE57.LZS</t>
  </si>
  <si>
    <t>STAGE58.LZS</t>
  </si>
  <si>
    <t>STAGE59.LZS</t>
  </si>
  <si>
    <t>STAGE60.LZS</t>
  </si>
  <si>
    <t>STAGE61.LZS</t>
  </si>
  <si>
    <t>STAGE62.LZS</t>
  </si>
  <si>
    <t>ms.p</t>
  </si>
  <si>
    <t>STAGE63.LZS</t>
  </si>
  <si>
    <t>bdat</t>
  </si>
  <si>
    <t>Cid: Foot</t>
  </si>
  <si>
    <t>3.8 K</t>
  </si>
  <si>
    <t>STAGE64.LZS</t>
  </si>
  <si>
    <t>STAGE65.LZS</t>
  </si>
  <si>
    <t>STAGE66.LZS</t>
  </si>
  <si>
    <t>STAGE67.LZS</t>
  </si>
  <si>
    <t>STAGE68.LZS</t>
  </si>
  <si>
    <t>STAGE69.LZS</t>
  </si>
  <si>
    <t>ms.rsd</t>
  </si>
  <si>
    <t>STAGE70.LZS</t>
  </si>
  <si>
    <t>STAGE71.LZS</t>
  </si>
  <si>
    <t>bdau</t>
  </si>
  <si>
    <t>STAGE72.LZS</t>
  </si>
  <si>
    <t>STAGE73.LZS</t>
  </si>
  <si>
    <t>STAGE74.LZS</t>
  </si>
  <si>
    <t>STAGE75.LZS</t>
  </si>
  <si>
    <t>STAGE76.LZS</t>
  </si>
  <si>
    <t>STAGE77.LZS</t>
  </si>
  <si>
    <t>mt.p</t>
  </si>
  <si>
    <t>STAGE78.LZS</t>
  </si>
  <si>
    <t>STAGE79.LZS</t>
  </si>
  <si>
    <t>bdaw</t>
  </si>
  <si>
    <t>756 Bytes</t>
  </si>
  <si>
    <t>STAGE80.LZS</t>
  </si>
  <si>
    <t>STAGE81.LZS</t>
  </si>
  <si>
    <t>STAGE82.LZS</t>
  </si>
  <si>
    <t>STAGE83.LZS</t>
  </si>
  <si>
    <t>STAGE84.LZS</t>
  </si>
  <si>
    <t>STAGE85.LZS</t>
  </si>
  <si>
    <t>mt.rsd</t>
  </si>
  <si>
    <t>STAGE86.LZS</t>
  </si>
  <si>
    <t>bday</t>
  </si>
  <si>
    <t>STAGE87.LZS</t>
  </si>
  <si>
    <t>STAGE88.LZS</t>
  </si>
  <si>
    <t>STAGE89.LZS</t>
  </si>
  <si>
    <t>./STARTUP</t>
  </si>
  <si>
    <t>SCEAP.LZS</t>
  </si>
  <si>
    <t>mu.p</t>
  </si>
  <si>
    <t>bdaz</t>
  </si>
  <si>
    <t>./WORLD</t>
  </si>
  <si>
    <t>FIELD.TBL</t>
  </si>
  <si>
    <t>WM0.BSZ</t>
  </si>
  <si>
    <t>WM0.EV</t>
  </si>
  <si>
    <t>mu.rsd</t>
  </si>
  <si>
    <t>bdba</t>
  </si>
  <si>
    <t>mv.p</t>
  </si>
  <si>
    <t>bdbc</t>
  </si>
  <si>
    <t>mv.rsd</t>
  </si>
  <si>
    <t>bdbd</t>
  </si>
  <si>
    <t>mw.a</t>
  </si>
  <si>
    <t>bdbe</t>
  </si>
  <si>
    <t>Cid: Run</t>
  </si>
  <si>
    <t>mx.a</t>
  </si>
  <si>
    <t>Cid: Dash</t>
  </si>
  <si>
    <t>my.a</t>
  </si>
  <si>
    <t>Cid: Win</t>
  </si>
  <si>
    <t>mz.a</t>
  </si>
  <si>
    <t>Cid: Stand still</t>
  </si>
  <si>
    <t>bdda</t>
  </si>
  <si>
    <t>na.a</t>
  </si>
  <si>
    <t>Cid: Lose</t>
  </si>
  <si>
    <t>nb.a</t>
  </si>
  <si>
    <t>beaa</t>
  </si>
  <si>
    <t>Cid:</t>
  </si>
  <si>
    <t>WM0S.TXZ</t>
  </si>
  <si>
    <t>Special Combatant:Battle Skeleton</t>
  </si>
  <si>
    <t>WM0.TXZ</t>
  </si>
  <si>
    <t>nc.hrc</t>
  </si>
  <si>
    <t>WM1.BOT</t>
  </si>
  <si>
    <t>Tifa: Skeleton</t>
  </si>
  <si>
    <t>WM1.BSZ</t>
  </si>
  <si>
    <t>WM1.EV</t>
  </si>
  <si>
    <t>Grunt clone 1 (ataa)</t>
  </si>
  <si>
    <t>beab</t>
  </si>
  <si>
    <t>nd.p</t>
  </si>
  <si>
    <t>432 Bytes</t>
  </si>
  <si>
    <t>Special Combatant: Unidentified Part</t>
  </si>
  <si>
    <t>Tifa: Hip</t>
  </si>
  <si>
    <t>beac</t>
  </si>
  <si>
    <t>Special Combatant: Helmet Parts</t>
  </si>
  <si>
    <t>nd.rsd</t>
  </si>
  <si>
    <t>WM1.MAP</t>
  </si>
  <si>
    <t>WM1S.TXZ</t>
  </si>
  <si>
    <t>bead</t>
  </si>
  <si>
    <t>Special Combatant: Eye</t>
  </si>
  <si>
    <t>WM1.TXZ</t>
  </si>
  <si>
    <t>WM2.BSZ</t>
  </si>
  <si>
    <t>ne.p</t>
  </si>
  <si>
    <t>WM2.EV</t>
  </si>
  <si>
    <t>Tifa: Body</t>
  </si>
  <si>
    <t>beae</t>
  </si>
  <si>
    <t>Special Combatant: Lower Arm Parts</t>
  </si>
  <si>
    <t>ne.rsd</t>
  </si>
  <si>
    <t>beam</t>
  </si>
  <si>
    <t>WM2S.TXZ</t>
  </si>
  <si>
    <t>nf.p</t>
  </si>
  <si>
    <t>WM2.TXZ</t>
  </si>
  <si>
    <t>Tifa: Head</t>
  </si>
  <si>
    <t>WM3.BSZ</t>
  </si>
  <si>
    <t>WM3.EV</t>
  </si>
  <si>
    <t>bean</t>
  </si>
  <si>
    <t>nf.rsd</t>
  </si>
  <si>
    <t>ng.p</t>
  </si>
  <si>
    <t>beao</t>
  </si>
  <si>
    <t>Tifa: Arm</t>
  </si>
  <si>
    <t>WM3S.TXZ</t>
  </si>
  <si>
    <t>WM3.TXZ</t>
  </si>
  <si>
    <t>WM4S.TXZ</t>
  </si>
  <si>
    <t>WM4.TXZ</t>
  </si>
  <si>
    <t>WM5S.TXZ</t>
  </si>
  <si>
    <t>ng.rsd</t>
  </si>
  <si>
    <t>bear</t>
  </si>
  <si>
    <t>WM5.TXZ</t>
  </si>
  <si>
    <t>WM6S.TXZ</t>
  </si>
  <si>
    <t>WM6.TXZ</t>
  </si>
  <si>
    <t>WM7S.TXZ</t>
  </si>
  <si>
    <t>WM7.TXZ</t>
  </si>
  <si>
    <t>WM8S.TXZ</t>
  </si>
  <si>
    <t>WM8.TXZ</t>
  </si>
  <si>
    <t>WM9S.TXZ</t>
  </si>
  <si>
    <t>beas</t>
  </si>
  <si>
    <t>WM9.TXZ</t>
  </si>
  <si>
    <t>nh.p</t>
  </si>
  <si>
    <t>WMAS.TXZ</t>
  </si>
  <si>
    <t>Tifa: Forearm</t>
  </si>
  <si>
    <t>WMA.TXZ</t>
  </si>
  <si>
    <t>WMB.TXZ</t>
  </si>
  <si>
    <t>WMC.TXZ</t>
  </si>
  <si>
    <t>WM.PRE</t>
  </si>
  <si>
    <t>WORLD.BIN</t>
  </si>
  <si>
    <t>nh.rsd</t>
  </si>
  <si>
    <t>beau</t>
  </si>
  <si>
    <t>ni.p</t>
  </si>
  <si>
    <t>beaw</t>
  </si>
  <si>
    <t>ni.rsd</t>
  </si>
  <si>
    <t>beay</t>
  </si>
  <si>
    <t>nj.p</t>
  </si>
  <si>
    <t>beba</t>
  </si>
  <si>
    <t>nj.rsd</t>
  </si>
  <si>
    <t>bebd</t>
  </si>
  <si>
    <t>nk.p</t>
  </si>
  <si>
    <t>Tifa: Tigh</t>
  </si>
  <si>
    <t>bebe</t>
  </si>
  <si>
    <t>nk.rsd</t>
  </si>
  <si>
    <t>bebg</t>
  </si>
  <si>
    <t>nl.p</t>
  </si>
  <si>
    <t>bebi</t>
  </si>
  <si>
    <t>Tifa: Leg</t>
  </si>
  <si>
    <t>nl.rsd</t>
  </si>
  <si>
    <t>bebk</t>
  </si>
  <si>
    <t>nm.p</t>
  </si>
  <si>
    <t>bebm</t>
  </si>
  <si>
    <t>Tifa: Foot</t>
  </si>
  <si>
    <t>nm.rsd</t>
  </si>
  <si>
    <t>nn.p</t>
  </si>
  <si>
    <t>bebo</t>
  </si>
  <si>
    <t>nn.rsd</t>
  </si>
  <si>
    <t>bebp</t>
  </si>
  <si>
    <t>no.p</t>
  </si>
  <si>
    <t>bebq</t>
  </si>
  <si>
    <t>no.rsd</t>
  </si>
  <si>
    <t>bebs</t>
  </si>
  <si>
    <t>np.p</t>
  </si>
  <si>
    <t>bebt</t>
  </si>
  <si>
    <t>np.rsd</t>
  </si>
  <si>
    <t>bebu</t>
  </si>
  <si>
    <t>nq.a</t>
  </si>
  <si>
    <t>Tifa: Run</t>
  </si>
  <si>
    <t>nr.a</t>
  </si>
  <si>
    <t>beda</t>
  </si>
  <si>
    <t>Tifa: Dash</t>
  </si>
  <si>
    <t>9.3 K</t>
  </si>
  <si>
    <t>ns.a</t>
  </si>
  <si>
    <t>Tifa: Win</t>
  </si>
  <si>
    <t>bfaa</t>
  </si>
  <si>
    <t>nt.a</t>
  </si>
  <si>
    <t>Blood Taste:Battle Skeleton</t>
  </si>
  <si>
    <t>Tifa: Stand still</t>
  </si>
  <si>
    <t>nu.a</t>
  </si>
  <si>
    <t>Tifa: Lose</t>
  </si>
  <si>
    <t>nv.a</t>
  </si>
  <si>
    <t>Tifa:</t>
  </si>
  <si>
    <t>nw.tex</t>
  </si>
  <si>
    <t>Guard Hound clone 1 (araa)</t>
  </si>
  <si>
    <t>Track background images (Flame1)</t>
  </si>
  <si>
    <t>bfab</t>
  </si>
  <si>
    <t>476 Bytes</t>
  </si>
  <si>
    <t>Blood Taste: Unidentified Part</t>
  </si>
  <si>
    <t>bfam</t>
  </si>
  <si>
    <t>nx.tex</t>
  </si>
  <si>
    <t>Track background images (Flowers 1)</t>
  </si>
  <si>
    <t>bfan</t>
  </si>
  <si>
    <t>ny.tex</t>
  </si>
  <si>
    <t>Track background images (Flowers 2)</t>
  </si>
  <si>
    <t>bfao</t>
  </si>
  <si>
    <t>nz.tex</t>
  </si>
  <si>
    <t>Track background images (Flowers 3)</t>
  </si>
  <si>
    <t>oa.tex</t>
  </si>
  <si>
    <t>bfap</t>
  </si>
  <si>
    <t>Track background images (Flowers 4)</t>
  </si>
  <si>
    <t>bfaq</t>
  </si>
  <si>
    <t>7.3 K</t>
  </si>
  <si>
    <t>ob.tex</t>
  </si>
  <si>
    <t>Track background images (Little chocobos)</t>
  </si>
  <si>
    <t>bfar</t>
  </si>
  <si>
    <t>oc.tex</t>
  </si>
  <si>
    <t>Track background images (Black ball)</t>
  </si>
  <si>
    <t>bfat</t>
  </si>
  <si>
    <t>od.tex</t>
  </si>
  <si>
    <t>Track background images (Seafish 1)</t>
  </si>
  <si>
    <t>bfau</t>
  </si>
  <si>
    <t>oe.tex</t>
  </si>
  <si>
    <t>Track background images (Seafish 2)</t>
  </si>
  <si>
    <t>bfav</t>
  </si>
  <si>
    <t>of.tex</t>
  </si>
  <si>
    <t>Track background images (Seafish 3)</t>
  </si>
  <si>
    <t>bfaw</t>
  </si>
  <si>
    <t>og.tex</t>
  </si>
  <si>
    <t>Track background images (Bubbles)</t>
  </si>
  <si>
    <t>bfax</t>
  </si>
  <si>
    <t>oh.tex</t>
  </si>
  <si>
    <t>Track background images (Cow)</t>
  </si>
  <si>
    <t>oi.tex</t>
  </si>
  <si>
    <t>Track background images (Birds)</t>
  </si>
  <si>
    <t>bfay</t>
  </si>
  <si>
    <t>oj.tex</t>
  </si>
  <si>
    <t>Track background images (Flame 1)</t>
  </si>
  <si>
    <t>Same as nw.tex</t>
  </si>
  <si>
    <t>bfaz</t>
  </si>
  <si>
    <t>ok.tex</t>
  </si>
  <si>
    <t>Track background images (Fish)</t>
  </si>
  <si>
    <t>bfbb</t>
  </si>
  <si>
    <t>Filetypes legend</t>
  </si>
  <si>
    <t>bfbc</t>
  </si>
  <si>
    <t>ol.tex</t>
  </si>
  <si>
    <t>Track background images (Boat)</t>
  </si>
  <si>
    <t>bfbd</t>
  </si>
  <si>
    <t>om.tex</t>
  </si>
  <si>
    <t>Track background images (Plant)</t>
  </si>
  <si>
    <t>bfbe</t>
  </si>
  <si>
    <t>This is a legend for the files displayed in this sheet, its temporary here as its place is not yet decided.</t>
  </si>
  <si>
    <t>on.tex</t>
  </si>
  <si>
    <t>Track background images (Helicopter)</t>
  </si>
  <si>
    <t>bfbg</t>
  </si>
  <si>
    <t>oo.tex</t>
  </si>
  <si>
    <t>Track background images (Fruit 1)</t>
  </si>
  <si>
    <t>bfbh</t>
  </si>
  <si>
    <t>X.lgp</t>
  </si>
  <si>
    <t>op.tex</t>
  </si>
  <si>
    <t>Track background images (Fruit 2)</t>
  </si>
  <si>
    <t>bfbi</t>
  </si>
  <si>
    <t>oq.tex</t>
  </si>
  <si>
    <t>Track background images (Fruit 3)</t>
  </si>
  <si>
    <t>bfbj</t>
  </si>
  <si>
    <t>or.tex</t>
  </si>
  <si>
    <t>Track background images (Farm)</t>
  </si>
  <si>
    <t>bfbk</t>
  </si>
  <si>
    <t>os.tex</t>
  </si>
  <si>
    <t>Track background images (Indian-like with a spear)</t>
  </si>
  <si>
    <t>X.hrc</t>
  </si>
  <si>
    <t>bfbm</t>
  </si>
  <si>
    <t>ot.tex</t>
  </si>
  <si>
    <t>Track background images (Mushrooms)</t>
  </si>
  <si>
    <t>bfbn</t>
  </si>
  <si>
    <t>ou.tex</t>
  </si>
  <si>
    <t>Same as ob.tex</t>
  </si>
  <si>
    <t>bfbo</t>
  </si>
  <si>
    <t>X.p</t>
  </si>
  <si>
    <t>ov.tex</t>
  </si>
  <si>
    <t>Track background images (Cat)</t>
  </si>
  <si>
    <t>ow.tex</t>
  </si>
  <si>
    <t>bfbp</t>
  </si>
  <si>
    <t>ox.tex</t>
  </si>
  <si>
    <t>Track background images (Farmer)</t>
  </si>
  <si>
    <t>bfbq</t>
  </si>
  <si>
    <t>X.rsd</t>
  </si>
  <si>
    <t>oy.tex</t>
  </si>
  <si>
    <t>bfbs</t>
  </si>
  <si>
    <t>Track background images (Penguin)</t>
  </si>
  <si>
    <t>X.tex</t>
  </si>
  <si>
    <t>oz.tex</t>
  </si>
  <si>
    <t>bfbt</t>
  </si>
  <si>
    <t>Track background images (Little penguins)</t>
  </si>
  <si>
    <t>pa.tex</t>
  </si>
  <si>
    <t>bfbu</t>
  </si>
  <si>
    <t>Track background images (Pig 1)</t>
  </si>
  <si>
    <t>X.a</t>
  </si>
  <si>
    <t>A files are animations of a model, a model can have more than one animation.</t>
  </si>
  <si>
    <t>pb.tex</t>
  </si>
  <si>
    <t>bfbv</t>
  </si>
  <si>
    <t>Track background images (Pig 2)</t>
  </si>
  <si>
    <t>pc.tex</t>
  </si>
  <si>
    <t>bfbw</t>
  </si>
  <si>
    <t>Track background images (Column)</t>
  </si>
  <si>
    <t>Note:
Don't change sk names in .hrc files</t>
  </si>
  <si>
    <t>Possible type values:
Animation
Battle Skeleton
p Model
rsd Model
Texture
Unknown</t>
  </si>
  <si>
    <t>pd.tex</t>
  </si>
  <si>
    <t>bfda</t>
  </si>
  <si>
    <t>Track background images (Branch)</t>
  </si>
  <si>
    <t>bgaa</t>
  </si>
  <si>
    <t>220 Bytes</t>
  </si>
  <si>
    <t>Proto Machinegun:Battle Skeleton</t>
  </si>
  <si>
    <t xml:space="preserve">aaaa.hrc </t>
  </si>
  <si>
    <t>pe.tex</t>
  </si>
  <si>
    <t>Track background images (Dried tree)</t>
  </si>
  <si>
    <t>bgab</t>
  </si>
  <si>
    <t>460 Bytes</t>
  </si>
  <si>
    <t>Proto Machinegun:Unidentified Part</t>
  </si>
  <si>
    <t>n_cloud_sk</t>
  </si>
  <si>
    <t>Field Skeleton</t>
  </si>
  <si>
    <t>pf.tex</t>
  </si>
  <si>
    <t>bgam</t>
  </si>
  <si>
    <t>Cloud - Sword Sheathed</t>
  </si>
  <si>
    <t>Track background images (Sea lines)</t>
  </si>
  <si>
    <t xml:space="preserve">aaab.rsd </t>
  </si>
  <si>
    <t>Cloud: Lower Chest</t>
  </si>
  <si>
    <t>rsd Model</t>
  </si>
  <si>
    <t xml:space="preserve">aaac.p </t>
  </si>
  <si>
    <t>p Model</t>
  </si>
  <si>
    <t xml:space="preserve">aaad.rsd </t>
  </si>
  <si>
    <t>Cloud: Upper Chest</t>
  </si>
  <si>
    <t xml:space="preserve">aaae.p </t>
  </si>
  <si>
    <t xml:space="preserve">aaaf.rsd </t>
  </si>
  <si>
    <t>pg.tex</t>
  </si>
  <si>
    <t>bgan</t>
  </si>
  <si>
    <t xml:space="preserve">aaba.p </t>
  </si>
  <si>
    <t>Track background images (Sea plant)</t>
  </si>
  <si>
    <t xml:space="preserve">aabb.tex </t>
  </si>
  <si>
    <t>Cloud: Eye</t>
  </si>
  <si>
    <t xml:space="preserve">aabc.tex </t>
  </si>
  <si>
    <t xml:space="preserve">aabd.tex </t>
  </si>
  <si>
    <t>Cloud: Mouth</t>
  </si>
  <si>
    <t xml:space="preserve">aabe.rsd </t>
  </si>
  <si>
    <t>ph.tex</t>
  </si>
  <si>
    <t>bgao</t>
  </si>
  <si>
    <t>Cloud: Upper Arm</t>
  </si>
  <si>
    <t>Track background images (Oyster)</t>
  </si>
  <si>
    <t xml:space="preserve">aabf.p </t>
  </si>
  <si>
    <t xml:space="preserve">aaca.rsd </t>
  </si>
  <si>
    <t>Cloud: Lower Arm</t>
  </si>
  <si>
    <t xml:space="preserve">aacb.p </t>
  </si>
  <si>
    <t xml:space="preserve">aacc.rsd </t>
  </si>
  <si>
    <t>Cloud: Hand</t>
  </si>
  <si>
    <t xml:space="preserve">aacd.p </t>
  </si>
  <si>
    <t xml:space="preserve">aace.rsd </t>
  </si>
  <si>
    <t xml:space="preserve">aacf.p </t>
  </si>
  <si>
    <t>bgap</t>
  </si>
  <si>
    <t>pi.tex</t>
  </si>
  <si>
    <t xml:space="preserve">aada.rsd </t>
  </si>
  <si>
    <t xml:space="preserve">aadb.p </t>
  </si>
  <si>
    <t xml:space="preserve">aadc.rsd </t>
  </si>
  <si>
    <t xml:space="preserve">aadd.p </t>
  </si>
  <si>
    <t xml:space="preserve">aade.rsd </t>
  </si>
  <si>
    <t>Cloud: Upper Leg</t>
  </si>
  <si>
    <t xml:space="preserve">aadf.p </t>
  </si>
  <si>
    <t xml:space="preserve">aaea.rsd </t>
  </si>
  <si>
    <t>Cloud: Lower Leg</t>
  </si>
  <si>
    <t>pj.tex</t>
  </si>
  <si>
    <t xml:space="preserve">aaeb.p </t>
  </si>
  <si>
    <t>bgat</t>
  </si>
  <si>
    <t>Track background images (Gold sphere)</t>
  </si>
  <si>
    <t xml:space="preserve">aaec.rsd </t>
  </si>
  <si>
    <t xml:space="preserve">aaed.p </t>
  </si>
  <si>
    <t xml:space="preserve">aaee.rsd </t>
  </si>
  <si>
    <t xml:space="preserve">aaef.p </t>
  </si>
  <si>
    <t xml:space="preserve">aafa.rsd </t>
  </si>
  <si>
    <t xml:space="preserve">aafb.p </t>
  </si>
  <si>
    <t xml:space="preserve">aafc.rsd </t>
  </si>
  <si>
    <t>pk.tex</t>
  </si>
  <si>
    <t>bgav</t>
  </si>
  <si>
    <t>Track background images (Flame 2)</t>
  </si>
  <si>
    <t xml:space="preserve">aafd.p </t>
  </si>
  <si>
    <t xml:space="preserve">aafe.a </t>
  </si>
  <si>
    <t xml:space="preserve">aaff.a </t>
  </si>
  <si>
    <t xml:space="preserve">aaga.a </t>
  </si>
  <si>
    <t xml:space="preserve">aagb.hrc </t>
  </si>
  <si>
    <t>n_tifa_sk</t>
  </si>
  <si>
    <t>bgaw</t>
  </si>
  <si>
    <t xml:space="preserve">aagc.rsd </t>
  </si>
  <si>
    <t>pl.tex</t>
  </si>
  <si>
    <t>Tifa: Lower Chest</t>
  </si>
  <si>
    <t>Track background images (Fireplace)</t>
  </si>
  <si>
    <t xml:space="preserve">aagd.p </t>
  </si>
  <si>
    <t xml:space="preserve">aage.rsd </t>
  </si>
  <si>
    <t>Tifa: Upper Chest</t>
  </si>
  <si>
    <t xml:space="preserve">aagf.p </t>
  </si>
  <si>
    <t xml:space="preserve">aaha.rsd </t>
  </si>
  <si>
    <t xml:space="preserve">aahb.p </t>
  </si>
  <si>
    <t xml:space="preserve">aahc.tex </t>
  </si>
  <si>
    <t>Tifa: Eye</t>
  </si>
  <si>
    <t xml:space="preserve">aahd.tex </t>
  </si>
  <si>
    <t>bgax</t>
  </si>
  <si>
    <t xml:space="preserve">aahe.tex </t>
  </si>
  <si>
    <t>pm.tex</t>
  </si>
  <si>
    <t>Tifa: Mouth</t>
  </si>
  <si>
    <t xml:space="preserve">aahf.rsd </t>
  </si>
  <si>
    <t>Track background images (Whale)</t>
  </si>
  <si>
    <t>Tifa: Hair</t>
  </si>
  <si>
    <t xml:space="preserve">aaia.p </t>
  </si>
  <si>
    <t xml:space="preserve">aaib.rsd </t>
  </si>
  <si>
    <t>Tifa: Upper Arm</t>
  </si>
  <si>
    <t xml:space="preserve">aaic.p </t>
  </si>
  <si>
    <t xml:space="preserve">aaid.rsd </t>
  </si>
  <si>
    <t>Tifa: Elbow</t>
  </si>
  <si>
    <t xml:space="preserve">aaie.p </t>
  </si>
  <si>
    <t xml:space="preserve">aaif.rsd </t>
  </si>
  <si>
    <t>pn.tex</t>
  </si>
  <si>
    <t>Tifa: Lower Arm</t>
  </si>
  <si>
    <t>bgay</t>
  </si>
  <si>
    <t xml:space="preserve">aaja.p </t>
  </si>
  <si>
    <t xml:space="preserve">aajb.rsd </t>
  </si>
  <si>
    <t>Low-res Version</t>
  </si>
  <si>
    <t>Tifa: Hand</t>
  </si>
  <si>
    <t xml:space="preserve">aajc.p </t>
  </si>
  <si>
    <t xml:space="preserve">aajd.rsd </t>
  </si>
  <si>
    <t xml:space="preserve">aaje.p </t>
  </si>
  <si>
    <t xml:space="preserve">aajf.rsd </t>
  </si>
  <si>
    <t xml:space="preserve">abaa.p </t>
  </si>
  <si>
    <t xml:space="preserve">abab.rsd </t>
  </si>
  <si>
    <t>po.tex</t>
  </si>
  <si>
    <t>bgaz</t>
  </si>
  <si>
    <t xml:space="preserve">abac.p </t>
  </si>
  <si>
    <t xml:space="preserve">abad.rsd </t>
  </si>
  <si>
    <t>Tifa: Upper Leg</t>
  </si>
  <si>
    <t xml:space="preserve">abae.p </t>
  </si>
  <si>
    <t xml:space="preserve">abaf.rsd </t>
  </si>
  <si>
    <t>Tifa: Lower Leg</t>
  </si>
  <si>
    <t xml:space="preserve">abba.p </t>
  </si>
  <si>
    <t xml:space="preserve">abbb.rsd </t>
  </si>
  <si>
    <t xml:space="preserve">abbc.p </t>
  </si>
  <si>
    <t>pp.tex</t>
  </si>
  <si>
    <t xml:space="preserve">abbd.rsd </t>
  </si>
  <si>
    <t>bgda</t>
  </si>
  <si>
    <t xml:space="preserve">abbe.p </t>
  </si>
  <si>
    <t xml:space="preserve">abbf.rsd </t>
  </si>
  <si>
    <t xml:space="preserve">abca.p </t>
  </si>
  <si>
    <t xml:space="preserve">abcb.rsd </t>
  </si>
  <si>
    <t xml:space="preserve">abcc.p </t>
  </si>
  <si>
    <t xml:space="preserve">abcd.a </t>
  </si>
  <si>
    <t xml:space="preserve">abce.a </t>
  </si>
  <si>
    <t>bhaa</t>
  </si>
  <si>
    <t>pq.tex</t>
  </si>
  <si>
    <t xml:space="preserve">abcf.a </t>
  </si>
  <si>
    <t>Air Buster: Battle Skeleton</t>
  </si>
  <si>
    <t xml:space="preserve">abda.hrc </t>
  </si>
  <si>
    <t>sd_cid_sk</t>
  </si>
  <si>
    <t xml:space="preserve">abdb.rsd </t>
  </si>
  <si>
    <t>Cid: Lower Chest</t>
  </si>
  <si>
    <t xml:space="preserve">abdc.p </t>
  </si>
  <si>
    <t xml:space="preserve">abdd.rsd </t>
  </si>
  <si>
    <t>Cid: Upper Chest</t>
  </si>
  <si>
    <t xml:space="preserve">abde.p </t>
  </si>
  <si>
    <t xml:space="preserve">abdf.rsd </t>
  </si>
  <si>
    <t>pr.tex</t>
  </si>
  <si>
    <t>bhab</t>
  </si>
  <si>
    <t xml:space="preserve">abea.p </t>
  </si>
  <si>
    <t>560 Bytes</t>
  </si>
  <si>
    <t>Air Buster: Unidentified Part</t>
  </si>
  <si>
    <t xml:space="preserve">abeb.tex </t>
  </si>
  <si>
    <t>Cid: Eye</t>
  </si>
  <si>
    <t xml:space="preserve">abec.tex </t>
  </si>
  <si>
    <t>bhan</t>
  </si>
  <si>
    <t>50 K</t>
  </si>
  <si>
    <t xml:space="preserve">abed.tex </t>
  </si>
  <si>
    <t>Cid: Mouth</t>
  </si>
  <si>
    <t xml:space="preserve">abee.rsd </t>
  </si>
  <si>
    <t>Cid: Upper Arm</t>
  </si>
  <si>
    <t xml:space="preserve">abef.p </t>
  </si>
  <si>
    <t>ps.tex</t>
  </si>
  <si>
    <t xml:space="preserve">abfa.rsd </t>
  </si>
  <si>
    <t>Cid: Lower Arm</t>
  </si>
  <si>
    <t xml:space="preserve">abfb.p </t>
  </si>
  <si>
    <t xml:space="preserve">abfc.rsd </t>
  </si>
  <si>
    <t>Cid: Hand</t>
  </si>
  <si>
    <t>bhao</t>
  </si>
  <si>
    <t>pt.tex</t>
  </si>
  <si>
    <t xml:space="preserve">abfd.p </t>
  </si>
  <si>
    <t xml:space="preserve">abfe.rsd </t>
  </si>
  <si>
    <t xml:space="preserve">abff.p </t>
  </si>
  <si>
    <t xml:space="preserve">abga.rsd </t>
  </si>
  <si>
    <t xml:space="preserve">abgb.p </t>
  </si>
  <si>
    <t>pu.tex</t>
  </si>
  <si>
    <t xml:space="preserve">abgc.rsd </t>
  </si>
  <si>
    <t>bhap</t>
  </si>
  <si>
    <t xml:space="preserve">abgd.p </t>
  </si>
  <si>
    <t xml:space="preserve">abge.rsd </t>
  </si>
  <si>
    <t>Cid: Upper Leg</t>
  </si>
  <si>
    <t xml:space="preserve">abgf.p </t>
  </si>
  <si>
    <t xml:space="preserve">abha.rsd </t>
  </si>
  <si>
    <t>Cid: Lower Leg</t>
  </si>
  <si>
    <t>pv.tex</t>
  </si>
  <si>
    <t xml:space="preserve">abhb.p </t>
  </si>
  <si>
    <t xml:space="preserve">abhc.rsd </t>
  </si>
  <si>
    <t xml:space="preserve">abhd.p </t>
  </si>
  <si>
    <t>bhar</t>
  </si>
  <si>
    <t xml:space="preserve">abhe.rsd </t>
  </si>
  <si>
    <t xml:space="preserve">abhf.p </t>
  </si>
  <si>
    <t xml:space="preserve">abia.rsd </t>
  </si>
  <si>
    <t xml:space="preserve">abib.p </t>
  </si>
  <si>
    <t>pw.tex</t>
  </si>
  <si>
    <t xml:space="preserve">abic.rsd </t>
  </si>
  <si>
    <t>bhas</t>
  </si>
  <si>
    <t xml:space="preserve">abid.p </t>
  </si>
  <si>
    <t xml:space="preserve">abie.a </t>
  </si>
  <si>
    <t xml:space="preserve">abif.a </t>
  </si>
  <si>
    <t xml:space="preserve">abja.a </t>
  </si>
  <si>
    <t>px.tex</t>
  </si>
  <si>
    <t>bhau</t>
  </si>
  <si>
    <t xml:space="preserve">abjb.hrc </t>
  </si>
  <si>
    <t>sd_yufi_sk</t>
  </si>
  <si>
    <t xml:space="preserve">abjc.rsd </t>
  </si>
  <si>
    <t>Yuffie: Lower Chest</t>
  </si>
  <si>
    <t xml:space="preserve">abjd.p </t>
  </si>
  <si>
    <t xml:space="preserve">abje.rsd </t>
  </si>
  <si>
    <t>Yuffie: Upper Chest</t>
  </si>
  <si>
    <t xml:space="preserve">abjf.p </t>
  </si>
  <si>
    <t>py.tex</t>
  </si>
  <si>
    <t xml:space="preserve">acaa.rsd </t>
  </si>
  <si>
    <t>Yuffie: Head</t>
  </si>
  <si>
    <t xml:space="preserve">acab.p </t>
  </si>
  <si>
    <t>bhav</t>
  </si>
  <si>
    <t xml:space="preserve">acac.tex </t>
  </si>
  <si>
    <t>Yuffie: Eye</t>
  </si>
  <si>
    <t xml:space="preserve">acad.tex </t>
  </si>
  <si>
    <t xml:space="preserve">acae.tex </t>
  </si>
  <si>
    <t>Yuffie: Mouth</t>
  </si>
  <si>
    <t xml:space="preserve">acaf.rsd </t>
  </si>
  <si>
    <t>pz.tex</t>
  </si>
  <si>
    <t>Yuffie: Hair</t>
  </si>
  <si>
    <t xml:space="preserve">acba.p </t>
  </si>
  <si>
    <t>bhaw</t>
  </si>
  <si>
    <t xml:space="preserve">acbb.rsd </t>
  </si>
  <si>
    <t xml:space="preserve">acbc.p </t>
  </si>
  <si>
    <t xml:space="preserve">acbd.rsd </t>
  </si>
  <si>
    <t>Yuffie: Upper Left Arm w/Pad</t>
  </si>
  <si>
    <t xml:space="preserve">acbe.p </t>
  </si>
  <si>
    <t>qa.tex</t>
  </si>
  <si>
    <t xml:space="preserve">acbf.rsd </t>
  </si>
  <si>
    <t>bhax</t>
  </si>
  <si>
    <t>Yuffie: Lower Left Arm w/hand</t>
  </si>
  <si>
    <t xml:space="preserve">acca.p </t>
  </si>
  <si>
    <t xml:space="preserve">accb.rsd </t>
  </si>
  <si>
    <t>Yuffie: Upper Right Arm</t>
  </si>
  <si>
    <t xml:space="preserve">accc.p </t>
  </si>
  <si>
    <t xml:space="preserve">accd.rsd </t>
  </si>
  <si>
    <t>qb.tex</t>
  </si>
  <si>
    <t>Yuffie: Lower Right Arm</t>
  </si>
  <si>
    <t>bhaz</t>
  </si>
  <si>
    <t xml:space="preserve">acce.p </t>
  </si>
  <si>
    <t xml:space="preserve">accf.rsd </t>
  </si>
  <si>
    <t>Yuffie: Hand</t>
  </si>
  <si>
    <t xml:space="preserve">acda.p </t>
  </si>
  <si>
    <t xml:space="preserve">acdb.rsd </t>
  </si>
  <si>
    <t>Yuffie: Upper Leg</t>
  </si>
  <si>
    <t xml:space="preserve">acdc.p </t>
  </si>
  <si>
    <t>bhba</t>
  </si>
  <si>
    <t>qc.tex</t>
  </si>
  <si>
    <t xml:space="preserve">acdd.rsd </t>
  </si>
  <si>
    <t>Yuffie: Lower Leg</t>
  </si>
  <si>
    <t xml:space="preserve">acde.p </t>
  </si>
  <si>
    <t xml:space="preserve">acdf.rsd </t>
  </si>
  <si>
    <t>Yuffie: Foot</t>
  </si>
  <si>
    <t xml:space="preserve">acea.p </t>
  </si>
  <si>
    <t>bhbc</t>
  </si>
  <si>
    <t xml:space="preserve">aceb.rsd </t>
  </si>
  <si>
    <t xml:space="preserve">acec.p </t>
  </si>
  <si>
    <t>qd.tex</t>
  </si>
  <si>
    <t xml:space="preserve">aced.rsd </t>
  </si>
  <si>
    <t xml:space="preserve">acee.p </t>
  </si>
  <si>
    <t>bhbe</t>
  </si>
  <si>
    <t xml:space="preserve">acef.rsd </t>
  </si>
  <si>
    <t>3.4 K</t>
  </si>
  <si>
    <t xml:space="preserve">acfa.p </t>
  </si>
  <si>
    <t>qe.tex</t>
  </si>
  <si>
    <t xml:space="preserve">acfb.a </t>
  </si>
  <si>
    <t xml:space="preserve">acfc.a </t>
  </si>
  <si>
    <t xml:space="preserve">acfd.a </t>
  </si>
  <si>
    <t>bhbf</t>
  </si>
  <si>
    <t xml:space="preserve">acfe.a </t>
  </si>
  <si>
    <t xml:space="preserve">acff.a </t>
  </si>
  <si>
    <t>qf.tex</t>
  </si>
  <si>
    <t xml:space="preserve">acga.a </t>
  </si>
  <si>
    <t xml:space="preserve">acgb.a </t>
  </si>
  <si>
    <t xml:space="preserve">acgc.a </t>
  </si>
  <si>
    <t>bhbh</t>
  </si>
  <si>
    <t xml:space="preserve">acgd.hrc </t>
  </si>
  <si>
    <t>sd_ballet_sk</t>
  </si>
  <si>
    <t xml:space="preserve">acge.rsd </t>
  </si>
  <si>
    <t>qg.tex</t>
  </si>
  <si>
    <t>Barret: Lower Chest</t>
  </si>
  <si>
    <t xml:space="preserve">acgf.p </t>
  </si>
  <si>
    <t xml:space="preserve">acha.rsd </t>
  </si>
  <si>
    <t>bhbj</t>
  </si>
  <si>
    <t>Barret: Upper Chest</t>
  </si>
  <si>
    <t>6.4 K</t>
  </si>
  <si>
    <t xml:space="preserve">achb.p </t>
  </si>
  <si>
    <t xml:space="preserve">achc.rsd </t>
  </si>
  <si>
    <t>qh.tex</t>
  </si>
  <si>
    <t>Barret: Head</t>
  </si>
  <si>
    <t xml:space="preserve">achd.p </t>
  </si>
  <si>
    <t xml:space="preserve">ache.tex </t>
  </si>
  <si>
    <t>Barret: Eye</t>
  </si>
  <si>
    <t xml:space="preserve">achf.tex </t>
  </si>
  <si>
    <t>bhbk</t>
  </si>
  <si>
    <t xml:space="preserve">acia.tex </t>
  </si>
  <si>
    <t>Barret: Mouth</t>
  </si>
  <si>
    <t>qi.tex</t>
  </si>
  <si>
    <t xml:space="preserve">acib.rsd </t>
  </si>
  <si>
    <t>Barret: Upper Arm</t>
  </si>
  <si>
    <t xml:space="preserve">acic.p </t>
  </si>
  <si>
    <t xml:space="preserve">acid.rsd </t>
  </si>
  <si>
    <t>Barret: Lower Arm</t>
  </si>
  <si>
    <t xml:space="preserve">acie.p </t>
  </si>
  <si>
    <t>bhbm</t>
  </si>
  <si>
    <t xml:space="preserve">acif.rsd </t>
  </si>
  <si>
    <t>qj.tex</t>
  </si>
  <si>
    <t>Barret: Hand</t>
  </si>
  <si>
    <t xml:space="preserve">acja.p </t>
  </si>
  <si>
    <t xml:space="preserve">acjb.rsd </t>
  </si>
  <si>
    <t xml:space="preserve">acjc.p </t>
  </si>
  <si>
    <t xml:space="preserve">acjd.rsd </t>
  </si>
  <si>
    <t xml:space="preserve">bhbn </t>
  </si>
  <si>
    <t>qk.tex</t>
  </si>
  <si>
    <t xml:space="preserve">acje.p </t>
  </si>
  <si>
    <t xml:space="preserve">acjf.rsd </t>
  </si>
  <si>
    <t xml:space="preserve">adaa.p </t>
  </si>
  <si>
    <t xml:space="preserve">adab.rsd </t>
  </si>
  <si>
    <t>Barret: Upper Leg</t>
  </si>
  <si>
    <t xml:space="preserve">adac.p </t>
  </si>
  <si>
    <t xml:space="preserve">bhbo </t>
  </si>
  <si>
    <t>ql.tex</t>
  </si>
  <si>
    <t xml:space="preserve">adad.rsd </t>
  </si>
  <si>
    <t>Barret: Lower Leg</t>
  </si>
  <si>
    <t xml:space="preserve">adae.p </t>
  </si>
  <si>
    <t xml:space="preserve">adaf.rsd </t>
  </si>
  <si>
    <t>Barret: Foot</t>
  </si>
  <si>
    <t xml:space="preserve">adba.p </t>
  </si>
  <si>
    <t xml:space="preserve">adbb.rsd </t>
  </si>
  <si>
    <t>qm.tex</t>
  </si>
  <si>
    <t xml:space="preserve">bhbp </t>
  </si>
  <si>
    <t xml:space="preserve">adbc.p </t>
  </si>
  <si>
    <t xml:space="preserve">adbd.rsd </t>
  </si>
  <si>
    <t xml:space="preserve">adbe.p </t>
  </si>
  <si>
    <t xml:space="preserve">adbf.rsd </t>
  </si>
  <si>
    <t>qn.tex</t>
  </si>
  <si>
    <t xml:space="preserve">adca.p </t>
  </si>
  <si>
    <t xml:space="preserve">bhbr </t>
  </si>
  <si>
    <t xml:space="preserve">adcb.a </t>
  </si>
  <si>
    <t xml:space="preserve">adcc.a </t>
  </si>
  <si>
    <t xml:space="preserve">adcd.a </t>
  </si>
  <si>
    <t xml:space="preserve">adce.a </t>
  </si>
  <si>
    <t xml:space="preserve">adcf.a </t>
  </si>
  <si>
    <t xml:space="preserve">adda.hrc </t>
  </si>
  <si>
    <t>qo.tex</t>
  </si>
  <si>
    <t>sd_red_sk</t>
  </si>
  <si>
    <t xml:space="preserve">bhbs </t>
  </si>
  <si>
    <t xml:space="preserve">addb.rsd </t>
  </si>
  <si>
    <t xml:space="preserve">addc.p </t>
  </si>
  <si>
    <t xml:space="preserve">addd.rsd </t>
  </si>
  <si>
    <t xml:space="preserve">adde.p </t>
  </si>
  <si>
    <t xml:space="preserve">addf.rsd </t>
  </si>
  <si>
    <t xml:space="preserve">adea.p </t>
  </si>
  <si>
    <t>qp.tex</t>
  </si>
  <si>
    <t xml:space="preserve">bhbu </t>
  </si>
  <si>
    <t xml:space="preserve">adeb.tex </t>
  </si>
  <si>
    <t xml:space="preserve">adec.rsd </t>
  </si>
  <si>
    <t xml:space="preserve">aded.p </t>
  </si>
  <si>
    <t xml:space="preserve">adee.rsd </t>
  </si>
  <si>
    <t xml:space="preserve">adef.p </t>
  </si>
  <si>
    <t xml:space="preserve">adfa.rsd </t>
  </si>
  <si>
    <t xml:space="preserve">adfb.p </t>
  </si>
  <si>
    <t>qq.tex</t>
  </si>
  <si>
    <t xml:space="preserve">bhbw </t>
  </si>
  <si>
    <t xml:space="preserve">adfc.rsd </t>
  </si>
  <si>
    <t xml:space="preserve">adfd.p </t>
  </si>
  <si>
    <t xml:space="preserve">adfe.rsd </t>
  </si>
  <si>
    <t xml:space="preserve">adff.p </t>
  </si>
  <si>
    <t xml:space="preserve">adga.rsd </t>
  </si>
  <si>
    <t xml:space="preserve">adgb.p </t>
  </si>
  <si>
    <t>qr.tex</t>
  </si>
  <si>
    <t xml:space="preserve">adgc.rsd </t>
  </si>
  <si>
    <t xml:space="preserve">bhbx </t>
  </si>
  <si>
    <t xml:space="preserve">adgd.p </t>
  </si>
  <si>
    <t xml:space="preserve">adge.rsd </t>
  </si>
  <si>
    <t xml:space="preserve">adgf.p </t>
  </si>
  <si>
    <t xml:space="preserve">adha.rsd </t>
  </si>
  <si>
    <t xml:space="preserve">adhb.p </t>
  </si>
  <si>
    <t xml:space="preserve">adhc.rsd </t>
  </si>
  <si>
    <t>qs.tex</t>
  </si>
  <si>
    <t xml:space="preserve">bhbz </t>
  </si>
  <si>
    <t xml:space="preserve">adhd.p </t>
  </si>
  <si>
    <t xml:space="preserve">adhe.rsd </t>
  </si>
  <si>
    <t xml:space="preserve">adhf.p </t>
  </si>
  <si>
    <t xml:space="preserve">adia.rsd </t>
  </si>
  <si>
    <t xml:space="preserve">adib.p </t>
  </si>
  <si>
    <t xml:space="preserve">adic.rsd </t>
  </si>
  <si>
    <t>qt.tex</t>
  </si>
  <si>
    <t xml:space="preserve">adid.p </t>
  </si>
  <si>
    <t xml:space="preserve">adie.rsd </t>
  </si>
  <si>
    <t xml:space="preserve">bhda </t>
  </si>
  <si>
    <t xml:space="preserve">adif.p </t>
  </si>
  <si>
    <t xml:space="preserve">adja.rsd </t>
  </si>
  <si>
    <t xml:space="preserve">adjb.p </t>
  </si>
  <si>
    <t xml:space="preserve">biaa </t>
  </si>
  <si>
    <t>520 Bytes</t>
  </si>
  <si>
    <t xml:space="preserve">adjc.rsd </t>
  </si>
  <si>
    <t>Vice: Battle Model</t>
  </si>
  <si>
    <t xml:space="preserve">adjd.p </t>
  </si>
  <si>
    <t>qu.tex</t>
  </si>
  <si>
    <t xml:space="preserve">adje.rsd </t>
  </si>
  <si>
    <t xml:space="preserve">adjf.p </t>
  </si>
  <si>
    <t xml:space="preserve">aeaa.rsd </t>
  </si>
  <si>
    <t xml:space="preserve">aeab.p </t>
  </si>
  <si>
    <t xml:space="preserve">aeac.rsd </t>
  </si>
  <si>
    <t xml:space="preserve">aead.p </t>
  </si>
  <si>
    <t xml:space="preserve">biab </t>
  </si>
  <si>
    <t>464 Bytes</t>
  </si>
  <si>
    <t>qv.tex</t>
  </si>
  <si>
    <t>Vice: Unidentified Part</t>
  </si>
  <si>
    <t xml:space="preserve">aeae.a </t>
  </si>
  <si>
    <t xml:space="preserve">aeaf.a </t>
  </si>
  <si>
    <t xml:space="preserve">biam </t>
  </si>
  <si>
    <t xml:space="preserve">aeba.a </t>
  </si>
  <si>
    <t xml:space="preserve">aebb.a </t>
  </si>
  <si>
    <t xml:space="preserve">aebc.hrc </t>
  </si>
  <si>
    <t>sd_ketcy_sk</t>
  </si>
  <si>
    <t xml:space="preserve">aebd.rsd </t>
  </si>
  <si>
    <t>qw.tex</t>
  </si>
  <si>
    <t xml:space="preserve">aebe.p </t>
  </si>
  <si>
    <t xml:space="preserve">aebf.rsd </t>
  </si>
  <si>
    <t xml:space="preserve">aeca.p </t>
  </si>
  <si>
    <t xml:space="preserve">bian </t>
  </si>
  <si>
    <t xml:space="preserve">aecb.rsd </t>
  </si>
  <si>
    <t xml:space="preserve">aecc.p </t>
  </si>
  <si>
    <t>aecd.rsd</t>
  </si>
  <si>
    <t xml:space="preserve">aece.p </t>
  </si>
  <si>
    <t xml:space="preserve">aecf.rsd </t>
  </si>
  <si>
    <t xml:space="preserve">aeda.p </t>
  </si>
  <si>
    <t xml:space="preserve">aedb.tex </t>
  </si>
  <si>
    <t>qx.tex</t>
  </si>
  <si>
    <t xml:space="preserve">aedc.rsd </t>
  </si>
  <si>
    <t xml:space="preserve">aedd.p </t>
  </si>
  <si>
    <t xml:space="preserve">aede.rsd </t>
  </si>
  <si>
    <t xml:space="preserve">aedf.p </t>
  </si>
  <si>
    <t xml:space="preserve">biao </t>
  </si>
  <si>
    <t xml:space="preserve">aeea.rsd </t>
  </si>
  <si>
    <t xml:space="preserve">aeeb.p </t>
  </si>
  <si>
    <t xml:space="preserve">aeec.rsd </t>
  </si>
  <si>
    <t>qy.tex</t>
  </si>
  <si>
    <t xml:space="preserve">aeed.p </t>
  </si>
  <si>
    <t xml:space="preserve">aeee.rsd </t>
  </si>
  <si>
    <t xml:space="preserve">aeef.p </t>
  </si>
  <si>
    <t xml:space="preserve">aefa.rsd </t>
  </si>
  <si>
    <t xml:space="preserve">biap </t>
  </si>
  <si>
    <t xml:space="preserve">aefb.p </t>
  </si>
  <si>
    <t xml:space="preserve">aefc.rsd </t>
  </si>
  <si>
    <t xml:space="preserve">aefd.p </t>
  </si>
  <si>
    <t>qz.tex</t>
  </si>
  <si>
    <t xml:space="preserve">aefe.rsd </t>
  </si>
  <si>
    <t xml:space="preserve">aeff.p </t>
  </si>
  <si>
    <t xml:space="preserve">aega.rsd </t>
  </si>
  <si>
    <t xml:space="preserve">aegb.p </t>
  </si>
  <si>
    <t xml:space="preserve">biaq </t>
  </si>
  <si>
    <t>692 Bytes</t>
  </si>
  <si>
    <t xml:space="preserve">aegc.rsd </t>
  </si>
  <si>
    <t xml:space="preserve">aegd.p </t>
  </si>
  <si>
    <t>ra.tex</t>
  </si>
  <si>
    <t xml:space="preserve">aege.rsd </t>
  </si>
  <si>
    <t xml:space="preserve">aegf.p </t>
  </si>
  <si>
    <t xml:space="preserve">aeha.a </t>
  </si>
  <si>
    <t xml:space="preserve">bias </t>
  </si>
  <si>
    <t xml:space="preserve">aehb.a </t>
  </si>
  <si>
    <t xml:space="preserve">aehc.a </t>
  </si>
  <si>
    <t>rb.tex</t>
  </si>
  <si>
    <t xml:space="preserve">aehd.hrc </t>
  </si>
  <si>
    <t>sd_vincent_sk</t>
  </si>
  <si>
    <t xml:space="preserve">aehe.rsd </t>
  </si>
  <si>
    <t>Vincent: Lower Chest</t>
  </si>
  <si>
    <t xml:space="preserve">aehf.p </t>
  </si>
  <si>
    <t xml:space="preserve">aeia.rsd </t>
  </si>
  <si>
    <t xml:space="preserve">biav </t>
  </si>
  <si>
    <t>Vincent: Upper Chest</t>
  </si>
  <si>
    <t>rc.tex</t>
  </si>
  <si>
    <t xml:space="preserve">aeib.p </t>
  </si>
  <si>
    <t xml:space="preserve">aeic.rsd </t>
  </si>
  <si>
    <t>Vincent: Head</t>
  </si>
  <si>
    <t xml:space="preserve">aeid.p </t>
  </si>
  <si>
    <t xml:space="preserve">aeie.tex </t>
  </si>
  <si>
    <t>Vincent: Eye</t>
  </si>
  <si>
    <t>rd.tex</t>
  </si>
  <si>
    <t xml:space="preserve">biaw </t>
  </si>
  <si>
    <t xml:space="preserve">aeif.tex </t>
  </si>
  <si>
    <t xml:space="preserve">aeja.tex </t>
  </si>
  <si>
    <t>Vincent: Mouth</t>
  </si>
  <si>
    <t xml:space="preserve">aejb.rsd </t>
  </si>
  <si>
    <t>Vincent: Hair</t>
  </si>
  <si>
    <t xml:space="preserve">aejc.p </t>
  </si>
  <si>
    <t>re.tex</t>
  </si>
  <si>
    <t xml:space="preserve">biax </t>
  </si>
  <si>
    <t xml:space="preserve">aejd.rsd </t>
  </si>
  <si>
    <t>Vincent: Cape</t>
  </si>
  <si>
    <t xml:space="preserve">aeje.p </t>
  </si>
  <si>
    <t xml:space="preserve">aejf.rsd </t>
  </si>
  <si>
    <t>Vincent: Upper Arm</t>
  </si>
  <si>
    <t xml:space="preserve">afaa.p </t>
  </si>
  <si>
    <t>rf.tex</t>
  </si>
  <si>
    <t xml:space="preserve">biaz </t>
  </si>
  <si>
    <t xml:space="preserve">afab.rsd </t>
  </si>
  <si>
    <t>Vincent: Lower Arm</t>
  </si>
  <si>
    <t xml:space="preserve">afac.p </t>
  </si>
  <si>
    <t xml:space="preserve">afad.rsd </t>
  </si>
  <si>
    <t>Vincent: Hand</t>
  </si>
  <si>
    <t xml:space="preserve">afae.p </t>
  </si>
  <si>
    <t xml:space="preserve">afaf.rsd </t>
  </si>
  <si>
    <t>rg.tex</t>
  </si>
  <si>
    <t xml:space="preserve">bibb </t>
  </si>
  <si>
    <t>Fonts A class 1 &amp; 2</t>
  </si>
  <si>
    <t xml:space="preserve">afba.p </t>
  </si>
  <si>
    <t xml:space="preserve">afbb.rsd </t>
  </si>
  <si>
    <t xml:space="preserve">afbc.p </t>
  </si>
  <si>
    <t xml:space="preserve">afbd.rsd </t>
  </si>
  <si>
    <t xml:space="preserve">afbe.p </t>
  </si>
  <si>
    <t xml:space="preserve">bibd </t>
  </si>
  <si>
    <t>rh.tex</t>
  </si>
  <si>
    <t xml:space="preserve">afbf.rsd </t>
  </si>
  <si>
    <t>Vincent: Upper Leg</t>
  </si>
  <si>
    <t xml:space="preserve">afca.p </t>
  </si>
  <si>
    <t xml:space="preserve">afcb.rsd </t>
  </si>
  <si>
    <t>Vincent: Lower Leg</t>
  </si>
  <si>
    <t xml:space="preserve">afcc.p </t>
  </si>
  <si>
    <t xml:space="preserve">bibg </t>
  </si>
  <si>
    <t xml:space="preserve">afcd.rsd </t>
  </si>
  <si>
    <t>ri.tex</t>
  </si>
  <si>
    <t>Vincent: Foot</t>
  </si>
  <si>
    <t xml:space="preserve">afce.p </t>
  </si>
  <si>
    <t xml:space="preserve">afcf.rsd </t>
  </si>
  <si>
    <t xml:space="preserve">bibh </t>
  </si>
  <si>
    <t xml:space="preserve">afda.p </t>
  </si>
  <si>
    <t>rj.tex</t>
  </si>
  <si>
    <t xml:space="preserve">afdb.rsd </t>
  </si>
  <si>
    <t xml:space="preserve">afdc.p </t>
  </si>
  <si>
    <t xml:space="preserve">afdd.rsd </t>
  </si>
  <si>
    <t xml:space="preserve">afde.p </t>
  </si>
  <si>
    <t xml:space="preserve">bibi </t>
  </si>
  <si>
    <t xml:space="preserve">afdf.a </t>
  </si>
  <si>
    <t>rk.tex</t>
  </si>
  <si>
    <t>Fonts B class 1 &amp; 2</t>
  </si>
  <si>
    <t>Vincent: Standing Still</t>
  </si>
  <si>
    <t xml:space="preserve">afea.a </t>
  </si>
  <si>
    <t>Vincent: Walking</t>
  </si>
  <si>
    <t xml:space="preserve">afeb.a </t>
  </si>
  <si>
    <t>Vincent: Running</t>
  </si>
  <si>
    <t xml:space="preserve">afec.hrc </t>
  </si>
  <si>
    <t>bu_sk</t>
  </si>
  <si>
    <t xml:space="preserve">bibk </t>
  </si>
  <si>
    <t xml:space="preserve">afed.rsd </t>
  </si>
  <si>
    <t>Bugenhagen: Chest</t>
  </si>
  <si>
    <t xml:space="preserve">afee.p </t>
  </si>
  <si>
    <t xml:space="preserve">afef.rsd </t>
  </si>
  <si>
    <t>Bugenhagen: Head</t>
  </si>
  <si>
    <t>rl.tex</t>
  </si>
  <si>
    <t xml:space="preserve">affa.p </t>
  </si>
  <si>
    <t xml:space="preserve">affb.rsd </t>
  </si>
  <si>
    <t xml:space="preserve">bibm </t>
  </si>
  <si>
    <t>Bugenhagen: Upper Arm</t>
  </si>
  <si>
    <t xml:space="preserve">affc.p </t>
  </si>
  <si>
    <t xml:space="preserve">affd.rsd </t>
  </si>
  <si>
    <t>Bugenhagen: Lower Arm</t>
  </si>
  <si>
    <t xml:space="preserve">affe.p </t>
  </si>
  <si>
    <t>rm.tex</t>
  </si>
  <si>
    <t xml:space="preserve">afff.rsd </t>
  </si>
  <si>
    <t xml:space="preserve">bibo </t>
  </si>
  <si>
    <t xml:space="preserve">afga.p </t>
  </si>
  <si>
    <t xml:space="preserve">afgb.rsd </t>
  </si>
  <si>
    <t xml:space="preserve">afgc.p </t>
  </si>
  <si>
    <t xml:space="preserve">afgd.rsd </t>
  </si>
  <si>
    <t>rn.tex</t>
  </si>
  <si>
    <t>Bugenhagen: Upper Left Leg</t>
  </si>
  <si>
    <t xml:space="preserve">bibq </t>
  </si>
  <si>
    <t xml:space="preserve">afge.p </t>
  </si>
  <si>
    <t xml:space="preserve">afgf.rsd </t>
  </si>
  <si>
    <t>Bugenhagen: Lower Left Leg</t>
  </si>
  <si>
    <t xml:space="preserve">afha.p </t>
  </si>
  <si>
    <t xml:space="preserve">afhb.rsd </t>
  </si>
  <si>
    <t>Bugenhagen: Upper Right Leg</t>
  </si>
  <si>
    <t xml:space="preserve">bibr </t>
  </si>
  <si>
    <t xml:space="preserve">afhc.p </t>
  </si>
  <si>
    <t xml:space="preserve">afhd.rsd </t>
  </si>
  <si>
    <t>Bugenhagen: Lower Right Leg</t>
  </si>
  <si>
    <t>ro.tex</t>
  </si>
  <si>
    <t>Fonts C class 1 &amp; 2</t>
  </si>
  <si>
    <t xml:space="preserve">afhe.p </t>
  </si>
  <si>
    <t xml:space="preserve">afhf.rsd </t>
  </si>
  <si>
    <t>Bugenhagen: Base</t>
  </si>
  <si>
    <t xml:space="preserve">afia.p </t>
  </si>
  <si>
    <t xml:space="preserve">bibs </t>
  </si>
  <si>
    <t xml:space="preserve">afib.a </t>
  </si>
  <si>
    <t>Bugenhagen:</t>
  </si>
  <si>
    <t xml:space="preserve">afic.a </t>
  </si>
  <si>
    <t xml:space="preserve">afid.a </t>
  </si>
  <si>
    <t>rp.tex</t>
  </si>
  <si>
    <t xml:space="preserve">bibt </t>
  </si>
  <si>
    <t xml:space="preserve">afie.hrc </t>
  </si>
  <si>
    <t>pcloud_sk</t>
  </si>
  <si>
    <t xml:space="preserve">afif.rsd </t>
  </si>
  <si>
    <t xml:space="preserve">afja.p </t>
  </si>
  <si>
    <t xml:space="preserve">afjb.rsd </t>
  </si>
  <si>
    <t>rq.tex</t>
  </si>
  <si>
    <t xml:space="preserve">bibv </t>
  </si>
  <si>
    <t xml:space="preserve">afjc.p </t>
  </si>
  <si>
    <t xml:space="preserve">afjd.rsd </t>
  </si>
  <si>
    <t>Cloud: Parachute</t>
  </si>
  <si>
    <t xml:space="preserve">afje.p </t>
  </si>
  <si>
    <t xml:space="preserve">afjf.rsd </t>
  </si>
  <si>
    <t xml:space="preserve">agaa.p </t>
  </si>
  <si>
    <t xml:space="preserve">bibw </t>
  </si>
  <si>
    <t xml:space="preserve">agab.tex </t>
  </si>
  <si>
    <t>rr.tex</t>
  </si>
  <si>
    <t xml:space="preserve">agac.tex </t>
  </si>
  <si>
    <t xml:space="preserve">agad.tex </t>
  </si>
  <si>
    <t xml:space="preserve">agae.rsd </t>
  </si>
  <si>
    <t xml:space="preserve">agaf.p </t>
  </si>
  <si>
    <t xml:space="preserve">bibx </t>
  </si>
  <si>
    <t>rs.tex</t>
  </si>
  <si>
    <t xml:space="preserve">agba.rsd </t>
  </si>
  <si>
    <t>Fonts A+ class 1 &amp; 2</t>
  </si>
  <si>
    <t xml:space="preserve">agbb.p </t>
  </si>
  <si>
    <t xml:space="preserve">agbc.rsd </t>
  </si>
  <si>
    <t xml:space="preserve">agbd.p </t>
  </si>
  <si>
    <t xml:space="preserve">agbe.rsd </t>
  </si>
  <si>
    <t xml:space="preserve">biby </t>
  </si>
  <si>
    <t xml:space="preserve">agbf.p </t>
  </si>
  <si>
    <t xml:space="preserve">agca.rsd </t>
  </si>
  <si>
    <t xml:space="preserve">agcb.p </t>
  </si>
  <si>
    <t>rt.tex</t>
  </si>
  <si>
    <t xml:space="preserve">agcc.rsd </t>
  </si>
  <si>
    <t xml:space="preserve">agcd.p </t>
  </si>
  <si>
    <t xml:space="preserve">bida </t>
  </si>
  <si>
    <t xml:space="preserve">agce.rsd </t>
  </si>
  <si>
    <t xml:space="preserve">agcf.p </t>
  </si>
  <si>
    <t xml:space="preserve">bjaa </t>
  </si>
  <si>
    <t>364 Bytes</t>
  </si>
  <si>
    <t>Corneo's Lackey: Battle Skeleton</t>
  </si>
  <si>
    <t>ru.tex</t>
  </si>
  <si>
    <t xml:space="preserve">agda.rsd </t>
  </si>
  <si>
    <t xml:space="preserve">agdb.p </t>
  </si>
  <si>
    <t xml:space="preserve">agdc.rsd </t>
  </si>
  <si>
    <t xml:space="preserve">agdd.p </t>
  </si>
  <si>
    <t xml:space="preserve">bjab </t>
  </si>
  <si>
    <t xml:space="preserve">agde.rsd </t>
  </si>
  <si>
    <t>Corneo's Lackey: Unidentified Part</t>
  </si>
  <si>
    <t xml:space="preserve">agdf.p </t>
  </si>
  <si>
    <t xml:space="preserve">agea.rsd </t>
  </si>
  <si>
    <t xml:space="preserve">bjam </t>
  </si>
  <si>
    <t>rv.tex</t>
  </si>
  <si>
    <t xml:space="preserve">ageb.p </t>
  </si>
  <si>
    <t xml:space="preserve">agec.rsd </t>
  </si>
  <si>
    <t xml:space="preserve">aged.p </t>
  </si>
  <si>
    <t xml:space="preserve">agee.a </t>
  </si>
  <si>
    <t xml:space="preserve">agef.a </t>
  </si>
  <si>
    <t xml:space="preserve">bjan </t>
  </si>
  <si>
    <t>9.9 K</t>
  </si>
  <si>
    <t xml:space="preserve">agfa.a </t>
  </si>
  <si>
    <t xml:space="preserve">agfb.a </t>
  </si>
  <si>
    <t xml:space="preserve">agfc.a </t>
  </si>
  <si>
    <t xml:space="preserve">agfd.a </t>
  </si>
  <si>
    <t>rw.tex</t>
  </si>
  <si>
    <t xml:space="preserve">agfe.a </t>
  </si>
  <si>
    <t xml:space="preserve">bjao </t>
  </si>
  <si>
    <t xml:space="preserve">agff.a </t>
  </si>
  <si>
    <t xml:space="preserve">agga.a </t>
  </si>
  <si>
    <t xml:space="preserve">aggb.hrc </t>
  </si>
  <si>
    <t>ptifa_sk</t>
  </si>
  <si>
    <t xml:space="preserve">aggc.rsd </t>
  </si>
  <si>
    <t>rx.tex</t>
  </si>
  <si>
    <t xml:space="preserve">bjar </t>
  </si>
  <si>
    <t xml:space="preserve">aggd.p </t>
  </si>
  <si>
    <t xml:space="preserve">agge.rsd </t>
  </si>
  <si>
    <t xml:space="preserve">aggf.p </t>
  </si>
  <si>
    <t xml:space="preserve">agha.rsd </t>
  </si>
  <si>
    <t>Tifa: Parachute</t>
  </si>
  <si>
    <t>ry.tex</t>
  </si>
  <si>
    <t xml:space="preserve">aghb.p </t>
  </si>
  <si>
    <t xml:space="preserve">bjas </t>
  </si>
  <si>
    <t xml:space="preserve">aghc.rsd </t>
  </si>
  <si>
    <t xml:space="preserve">aghd.p </t>
  </si>
  <si>
    <t xml:space="preserve">aghe.tex </t>
  </si>
  <si>
    <t xml:space="preserve">aghf.tex </t>
  </si>
  <si>
    <t>rz.tex</t>
  </si>
  <si>
    <t xml:space="preserve">agia.tex </t>
  </si>
  <si>
    <t xml:space="preserve">bjat </t>
  </si>
  <si>
    <t xml:space="preserve">agib.rsd </t>
  </si>
  <si>
    <t xml:space="preserve">agic.p </t>
  </si>
  <si>
    <t xml:space="preserve">agid.rsd </t>
  </si>
  <si>
    <t xml:space="preserve">agie.p </t>
  </si>
  <si>
    <t xml:space="preserve">bjaw </t>
  </si>
  <si>
    <t xml:space="preserve">agif.rsd </t>
  </si>
  <si>
    <t>sa.tex</t>
  </si>
  <si>
    <t xml:space="preserve">agja.p </t>
  </si>
  <si>
    <t xml:space="preserve">agjb.rsd </t>
  </si>
  <si>
    <t xml:space="preserve">agjc.p </t>
  </si>
  <si>
    <t xml:space="preserve">agjd.rsd </t>
  </si>
  <si>
    <t xml:space="preserve">agje.p </t>
  </si>
  <si>
    <t xml:space="preserve">bjax </t>
  </si>
  <si>
    <t>sb.tex</t>
  </si>
  <si>
    <t xml:space="preserve">agjf.rsd </t>
  </si>
  <si>
    <t xml:space="preserve">ahaa.p </t>
  </si>
  <si>
    <t xml:space="preserve">ahab.rsd </t>
  </si>
  <si>
    <t xml:space="preserve">ahac.p </t>
  </si>
  <si>
    <t xml:space="preserve">bjay </t>
  </si>
  <si>
    <t xml:space="preserve">ahad.rsd </t>
  </si>
  <si>
    <t>sc.tex</t>
  </si>
  <si>
    <t xml:space="preserve">ahae.p </t>
  </si>
  <si>
    <t xml:space="preserve">ahaf.rsd </t>
  </si>
  <si>
    <t xml:space="preserve">ahba.p </t>
  </si>
  <si>
    <t xml:space="preserve">ahbb.rsd </t>
  </si>
  <si>
    <t xml:space="preserve">ahbc.p </t>
  </si>
  <si>
    <t>sd.tex</t>
  </si>
  <si>
    <t xml:space="preserve">bjaz </t>
  </si>
  <si>
    <t xml:space="preserve">ahbd.rsd </t>
  </si>
  <si>
    <t xml:space="preserve">ahbe.p </t>
  </si>
  <si>
    <t xml:space="preserve">ahbf.rsd </t>
  </si>
  <si>
    <t xml:space="preserve">ahca.p </t>
  </si>
  <si>
    <t xml:space="preserve">bjbd </t>
  </si>
  <si>
    <t xml:space="preserve">ahcb.rsd </t>
  </si>
  <si>
    <t xml:space="preserve">ahcc.p </t>
  </si>
  <si>
    <t xml:space="preserve">ahcd.rsd </t>
  </si>
  <si>
    <t>se.tex</t>
  </si>
  <si>
    <t xml:space="preserve">ahce.p </t>
  </si>
  <si>
    <t xml:space="preserve">ahcf.a </t>
  </si>
  <si>
    <t xml:space="preserve">bjbe </t>
  </si>
  <si>
    <t xml:space="preserve">ahda.a </t>
  </si>
  <si>
    <t xml:space="preserve">ahdb.a </t>
  </si>
  <si>
    <t xml:space="preserve">ahdc.a </t>
  </si>
  <si>
    <t xml:space="preserve">ahdd.a </t>
  </si>
  <si>
    <t xml:space="preserve">ahde.a </t>
  </si>
  <si>
    <t xml:space="preserve">bjbf </t>
  </si>
  <si>
    <t xml:space="preserve">ahdf.hrc </t>
  </si>
  <si>
    <t>pyufi_sk</t>
  </si>
  <si>
    <t xml:space="preserve">ahea.rsd </t>
  </si>
  <si>
    <t xml:space="preserve">aheb.p </t>
  </si>
  <si>
    <t xml:space="preserve">ahec.rsd </t>
  </si>
  <si>
    <t xml:space="preserve">ahed.p </t>
  </si>
  <si>
    <t xml:space="preserve">bjbg </t>
  </si>
  <si>
    <t xml:space="preserve">ahee.rsd </t>
  </si>
  <si>
    <t xml:space="preserve">ahef.p </t>
  </si>
  <si>
    <t xml:space="preserve">ahfa.rsd </t>
  </si>
  <si>
    <t>Yuffie: Parachute</t>
  </si>
  <si>
    <t xml:space="preserve">ahfb.p </t>
  </si>
  <si>
    <t xml:space="preserve">ahfc.tex </t>
  </si>
  <si>
    <t xml:space="preserve">ahfd.tex </t>
  </si>
  <si>
    <t xml:space="preserve">bjbi </t>
  </si>
  <si>
    <t xml:space="preserve">ahfe.tex </t>
  </si>
  <si>
    <t xml:space="preserve">ahff.rsd </t>
  </si>
  <si>
    <t xml:space="preserve">ahga.p </t>
  </si>
  <si>
    <t xml:space="preserve">bjbj </t>
  </si>
  <si>
    <t xml:space="preserve">ahgb.rsd </t>
  </si>
  <si>
    <t xml:space="preserve">ahgc.p </t>
  </si>
  <si>
    <t xml:space="preserve">ahgd.rsd </t>
  </si>
  <si>
    <t>beam1.tex</t>
  </si>
  <si>
    <t>Laser beam Full power</t>
  </si>
  <si>
    <t xml:space="preserve">bjbk </t>
  </si>
  <si>
    <t xml:space="preserve">ahge.p </t>
  </si>
  <si>
    <t xml:space="preserve">ahgf.rsd </t>
  </si>
  <si>
    <t xml:space="preserve">ahha.p </t>
  </si>
  <si>
    <t xml:space="preserve">ahhb.rsd </t>
  </si>
  <si>
    <t xml:space="preserve">bjbl </t>
  </si>
  <si>
    <t xml:space="preserve">ahhc.p </t>
  </si>
  <si>
    <t xml:space="preserve">ahhd.rsd </t>
  </si>
  <si>
    <t xml:space="preserve">ahhe.p </t>
  </si>
  <si>
    <t xml:space="preserve">ahhf.rsd </t>
  </si>
  <si>
    <t xml:space="preserve">ahia.p </t>
  </si>
  <si>
    <t>beam2.tex</t>
  </si>
  <si>
    <t>Laser beam Medium power</t>
  </si>
  <si>
    <t xml:space="preserve">ahib.rsd </t>
  </si>
  <si>
    <t xml:space="preserve">bjda </t>
  </si>
  <si>
    <t>4.6 K</t>
  </si>
  <si>
    <t xml:space="preserve">ahic.p </t>
  </si>
  <si>
    <t xml:space="preserve">ahid.rsd </t>
  </si>
  <si>
    <t xml:space="preserve">bkaa </t>
  </si>
  <si>
    <t>Scotch:Battle Skeleton</t>
  </si>
  <si>
    <t xml:space="preserve">ahie.p </t>
  </si>
  <si>
    <t xml:space="preserve">ahif.rsd </t>
  </si>
  <si>
    <t>beam3.tex</t>
  </si>
  <si>
    <t xml:space="preserve">ahja.p </t>
  </si>
  <si>
    <t>Laser beam Low power</t>
  </si>
  <si>
    <t xml:space="preserve">ahjb.rsd </t>
  </si>
  <si>
    <t xml:space="preserve">ahjc.p </t>
  </si>
  <si>
    <t xml:space="preserve">ahjd.rsd </t>
  </si>
  <si>
    <t xml:space="preserve">bkab </t>
  </si>
  <si>
    <t>Scotch: Unidentified Part</t>
  </si>
  <si>
    <t xml:space="preserve">ahje.p </t>
  </si>
  <si>
    <t>co1.tex</t>
  </si>
  <si>
    <t xml:space="preserve">ahjf.rsd </t>
  </si>
  <si>
    <t>Score rectangle</t>
  </si>
  <si>
    <t xml:space="preserve">bkam </t>
  </si>
  <si>
    <t xml:space="preserve">aiaa.p </t>
  </si>
  <si>
    <t xml:space="preserve">aiab.a </t>
  </si>
  <si>
    <t xml:space="preserve">aiac.a </t>
  </si>
  <si>
    <t xml:space="preserve">aiad.a </t>
  </si>
  <si>
    <t>pause.tex</t>
  </si>
  <si>
    <t xml:space="preserve">bkan </t>
  </si>
  <si>
    <t>"Pause"</t>
  </si>
  <si>
    <t xml:space="preserve">aiae.a </t>
  </si>
  <si>
    <t xml:space="preserve">aiaf.a </t>
  </si>
  <si>
    <t xml:space="preserve">aiba.hrc </t>
  </si>
  <si>
    <t>pballet_sk</t>
  </si>
  <si>
    <t xml:space="preserve">aibb.rsd </t>
  </si>
  <si>
    <t>rail.tex</t>
  </si>
  <si>
    <t xml:space="preserve">bkao </t>
  </si>
  <si>
    <t>Rail</t>
  </si>
  <si>
    <t xml:space="preserve">aibc.p </t>
  </si>
  <si>
    <t xml:space="preserve">aibd.rsd </t>
  </si>
  <si>
    <t xml:space="preserve">aibe.p </t>
  </si>
  <si>
    <t>score.tex</t>
  </si>
  <si>
    <t xml:space="preserve">aibf.rsd </t>
  </si>
  <si>
    <t xml:space="preserve">bkar </t>
  </si>
  <si>
    <t>Score numbers</t>
  </si>
  <si>
    <t xml:space="preserve">aica.p </t>
  </si>
  <si>
    <t xml:space="preserve">aicb.rsd </t>
  </si>
  <si>
    <t>Barret: Parachute</t>
  </si>
  <si>
    <t xml:space="preserve">aicc.p </t>
  </si>
  <si>
    <t xml:space="preserve">aicd.tex </t>
  </si>
  <si>
    <t>sight.tex</t>
  </si>
  <si>
    <t>Crosshair sight</t>
  </si>
  <si>
    <t xml:space="preserve">bkas </t>
  </si>
  <si>
    <t xml:space="preserve">aice.tex </t>
  </si>
  <si>
    <t xml:space="preserve">aicf.tex </t>
  </si>
  <si>
    <t xml:space="preserve">aida.rsd </t>
  </si>
  <si>
    <t xml:space="preserve">aidb.p </t>
  </si>
  <si>
    <t>waku2.tex</t>
  </si>
  <si>
    <t xml:space="preserve">aidc.rsd </t>
  </si>
  <si>
    <t>Power bar</t>
  </si>
  <si>
    <t xml:space="preserve">aidd.p </t>
  </si>
  <si>
    <t xml:space="preserve">aide.rsd </t>
  </si>
  <si>
    <t xml:space="preserve">aidf.p </t>
  </si>
  <si>
    <t xml:space="preserve">bkat </t>
  </si>
  <si>
    <t xml:space="preserve">aiea.rsd </t>
  </si>
  <si>
    <t>xbin.bin</t>
  </si>
  <si>
    <t>bin file</t>
  </si>
  <si>
    <t>xbinadr.bin</t>
  </si>
  <si>
    <t xml:space="preserve">aieb.p </t>
  </si>
  <si>
    <t xml:space="preserve">aiec.rsd </t>
  </si>
  <si>
    <t xml:space="preserve">bkaw </t>
  </si>
  <si>
    <t xml:space="preserve">aied.p </t>
  </si>
  <si>
    <t xml:space="preserve">aiee.rsd </t>
  </si>
  <si>
    <t xml:space="preserve">aief.p </t>
  </si>
  <si>
    <t xml:space="preserve">aifa.rsd </t>
  </si>
  <si>
    <t xml:space="preserve">aifb.p </t>
  </si>
  <si>
    <t xml:space="preserve">aifc.rsd </t>
  </si>
  <si>
    <t xml:space="preserve">bkax </t>
  </si>
  <si>
    <t xml:space="preserve">aifd.p </t>
  </si>
  <si>
    <t xml:space="preserve">aife.rsd </t>
  </si>
  <si>
    <t xml:space="preserve">aiff.p </t>
  </si>
  <si>
    <t>aa.p</t>
  </si>
  <si>
    <t xml:space="preserve">aiga.rsd </t>
  </si>
  <si>
    <t>Tower being destroyed take 1</t>
  </si>
  <si>
    <t xml:space="preserve">aigb.p </t>
  </si>
  <si>
    <t xml:space="preserve">bkay </t>
  </si>
  <si>
    <t xml:space="preserve">aigc.rsd </t>
  </si>
  <si>
    <t xml:space="preserve">aigd.p </t>
  </si>
  <si>
    <t xml:space="preserve">aige.rsd </t>
  </si>
  <si>
    <t xml:space="preserve">bkaz </t>
  </si>
  <si>
    <t xml:space="preserve">aigf.p </t>
  </si>
  <si>
    <t xml:space="preserve">aiha.a </t>
  </si>
  <si>
    <t>aa.rsd</t>
  </si>
  <si>
    <t xml:space="preserve">aihb.hrc </t>
  </si>
  <si>
    <t>pcid_sk</t>
  </si>
  <si>
    <t xml:space="preserve">aihc.rsd </t>
  </si>
  <si>
    <t xml:space="preserve">aihd.p </t>
  </si>
  <si>
    <t xml:space="preserve">bkbd </t>
  </si>
  <si>
    <t xml:space="preserve">aihe.rsd </t>
  </si>
  <si>
    <t xml:space="preserve">aihf.p </t>
  </si>
  <si>
    <t xml:space="preserve">aiia.rsd </t>
  </si>
  <si>
    <t>ab.p</t>
  </si>
  <si>
    <t>Tower being destroyed take 2</t>
  </si>
  <si>
    <t xml:space="preserve">aiib.p </t>
  </si>
  <si>
    <t xml:space="preserve">aiic.rsd </t>
  </si>
  <si>
    <t>Cid: Parachute</t>
  </si>
  <si>
    <t xml:space="preserve">bkbe </t>
  </si>
  <si>
    <t xml:space="preserve">aiid.p </t>
  </si>
  <si>
    <t xml:space="preserve">aiie.tex </t>
  </si>
  <si>
    <t xml:space="preserve">aiif.tex </t>
  </si>
  <si>
    <t xml:space="preserve">aija.tex </t>
  </si>
  <si>
    <t xml:space="preserve">aijb.rsd </t>
  </si>
  <si>
    <t>ab.rsd</t>
  </si>
  <si>
    <t xml:space="preserve">bkbf </t>
  </si>
  <si>
    <t xml:space="preserve">aijc.p </t>
  </si>
  <si>
    <t xml:space="preserve">aijd.rsd </t>
  </si>
  <si>
    <t>ac.p</t>
  </si>
  <si>
    <t xml:space="preserve">bkbg </t>
  </si>
  <si>
    <t xml:space="preserve">aije.p </t>
  </si>
  <si>
    <t>Tower being destroyed take 3</t>
  </si>
  <si>
    <t xml:space="preserve">aijf.rsd </t>
  </si>
  <si>
    <t xml:space="preserve">ajaa.p </t>
  </si>
  <si>
    <t xml:space="preserve">ajab.rsd </t>
  </si>
  <si>
    <t xml:space="preserve">ajac.p </t>
  </si>
  <si>
    <t>ac.rsd</t>
  </si>
  <si>
    <t xml:space="preserve">bkbi </t>
  </si>
  <si>
    <t xml:space="preserve">ajad.rsd </t>
  </si>
  <si>
    <t xml:space="preserve">ajae.p </t>
  </si>
  <si>
    <t xml:space="preserve">ajaf.rsd </t>
  </si>
  <si>
    <t xml:space="preserve">ajba.p </t>
  </si>
  <si>
    <t xml:space="preserve">ajbb.rsd </t>
  </si>
  <si>
    <t>ad.p</t>
  </si>
  <si>
    <t xml:space="preserve">bkbj </t>
  </si>
  <si>
    <t>Tower being destroyed take 4</t>
  </si>
  <si>
    <t xml:space="preserve">ajbc.p </t>
  </si>
  <si>
    <t xml:space="preserve">ajbd.rsd </t>
  </si>
  <si>
    <t xml:space="preserve">ajbe.p </t>
  </si>
  <si>
    <t xml:space="preserve">ajbf.rsd </t>
  </si>
  <si>
    <t>ad.rsd</t>
  </si>
  <si>
    <t xml:space="preserve">bkbk </t>
  </si>
  <si>
    <t xml:space="preserve">ajca.p </t>
  </si>
  <si>
    <t xml:space="preserve">ajcb.rsd </t>
  </si>
  <si>
    <t xml:space="preserve">ajcc.p </t>
  </si>
  <si>
    <t xml:space="preserve">ajcd.rsd </t>
  </si>
  <si>
    <t xml:space="preserve">ajce.p </t>
  </si>
  <si>
    <t>ae.p</t>
  </si>
  <si>
    <t xml:space="preserve">bkbl </t>
  </si>
  <si>
    <t>Tower being destroyed take 5</t>
  </si>
  <si>
    <t xml:space="preserve">ajcf.rsd </t>
  </si>
  <si>
    <t xml:space="preserve">ajda.p </t>
  </si>
  <si>
    <t xml:space="preserve">ajdb.a </t>
  </si>
  <si>
    <t xml:space="preserve">bkda </t>
  </si>
  <si>
    <t xml:space="preserve">ajdc.a </t>
  </si>
  <si>
    <t>ae.rsd</t>
  </si>
  <si>
    <t xml:space="preserve">ajdd.a </t>
  </si>
  <si>
    <t xml:space="preserve">blaa </t>
  </si>
  <si>
    <t xml:space="preserve">ajde.a </t>
  </si>
  <si>
    <t>Aps: Unidentified Part</t>
  </si>
  <si>
    <t xml:space="preserve">ajdf.a </t>
  </si>
  <si>
    <t xml:space="preserve">ajea.a </t>
  </si>
  <si>
    <t xml:space="preserve">ajeb.a </t>
  </si>
  <si>
    <t>af.p</t>
  </si>
  <si>
    <t>Tower being destroyed take 6</t>
  </si>
  <si>
    <t xml:space="preserve">ajec.a </t>
  </si>
  <si>
    <t xml:space="preserve">blab </t>
  </si>
  <si>
    <t>452 Bytes</t>
  </si>
  <si>
    <t xml:space="preserve">ajed.a </t>
  </si>
  <si>
    <t xml:space="preserve">ajee.a </t>
  </si>
  <si>
    <t xml:space="preserve">blam </t>
  </si>
  <si>
    <t xml:space="preserve">ajef.a </t>
  </si>
  <si>
    <t xml:space="preserve">ajfa.a </t>
  </si>
  <si>
    <t>af.rsd</t>
  </si>
  <si>
    <t xml:space="preserve">ajfb.a </t>
  </si>
  <si>
    <t xml:space="preserve">ajfc.a </t>
  </si>
  <si>
    <t xml:space="preserve">ajfd.a </t>
  </si>
  <si>
    <t xml:space="preserve">blao </t>
  </si>
  <si>
    <t xml:space="preserve">ajfe.a </t>
  </si>
  <si>
    <t>21 K</t>
  </si>
  <si>
    <t xml:space="preserve">ajff.a </t>
  </si>
  <si>
    <t>ag.p</t>
  </si>
  <si>
    <t>Tower being destroyed take 7</t>
  </si>
  <si>
    <t xml:space="preserve">ajga.a </t>
  </si>
  <si>
    <t xml:space="preserve">ajgb.a </t>
  </si>
  <si>
    <t xml:space="preserve">ajgc.a </t>
  </si>
  <si>
    <t xml:space="preserve">blap </t>
  </si>
  <si>
    <t xml:space="preserve">ajgd.a </t>
  </si>
  <si>
    <t>ag.rsd</t>
  </si>
  <si>
    <t xml:space="preserve">ajge.a </t>
  </si>
  <si>
    <t xml:space="preserve">ajgf.a </t>
  </si>
  <si>
    <t xml:space="preserve">ajha.a </t>
  </si>
  <si>
    <t xml:space="preserve">ajhb.a </t>
  </si>
  <si>
    <t xml:space="preserve">blar </t>
  </si>
  <si>
    <t xml:space="preserve">ajhc.a </t>
  </si>
  <si>
    <t>ah.p</t>
  </si>
  <si>
    <t>Tower being destroyed take 8</t>
  </si>
  <si>
    <t xml:space="preserve">ajhd.a </t>
  </si>
  <si>
    <t xml:space="preserve">ajhe.a </t>
  </si>
  <si>
    <t xml:space="preserve">ajhf.a </t>
  </si>
  <si>
    <t xml:space="preserve">ajia.a </t>
  </si>
  <si>
    <t xml:space="preserve">ajib.a </t>
  </si>
  <si>
    <t xml:space="preserve">blas </t>
  </si>
  <si>
    <t>ah.rsd</t>
  </si>
  <si>
    <t xml:space="preserve">ajic.a </t>
  </si>
  <si>
    <t xml:space="preserve">ajid.a </t>
  </si>
  <si>
    <t xml:space="preserve">ajie.a </t>
  </si>
  <si>
    <t xml:space="preserve">ajif.hrc </t>
  </si>
  <si>
    <t>crew1_sk</t>
  </si>
  <si>
    <t>Airship Crew1</t>
  </si>
  <si>
    <t>ai.p</t>
  </si>
  <si>
    <t xml:space="preserve">blat </t>
  </si>
  <si>
    <t xml:space="preserve">ajja.rsd </t>
  </si>
  <si>
    <t>Tower being destroyed take 9</t>
  </si>
  <si>
    <t>Crew 1: Lower Chest</t>
  </si>
  <si>
    <t xml:space="preserve">ajjb.p </t>
  </si>
  <si>
    <t xml:space="preserve">ajjc.rsd </t>
  </si>
  <si>
    <t>Crew 1: Upper Chest</t>
  </si>
  <si>
    <t xml:space="preserve">ajjd.p </t>
  </si>
  <si>
    <t xml:space="preserve">ajje.rsd </t>
  </si>
  <si>
    <t>ai.rsd</t>
  </si>
  <si>
    <t>Crew 1: Head</t>
  </si>
  <si>
    <t xml:space="preserve">blau </t>
  </si>
  <si>
    <t xml:space="preserve">ajjf.p </t>
  </si>
  <si>
    <t xml:space="preserve">akaa.tex </t>
  </si>
  <si>
    <t>Crew 1: Eye</t>
  </si>
  <si>
    <t xml:space="preserve">akab.tex </t>
  </si>
  <si>
    <t xml:space="preserve">akac.tex </t>
  </si>
  <si>
    <t>Crew 1: Mouth</t>
  </si>
  <si>
    <t xml:space="preserve">akad.rsd </t>
  </si>
  <si>
    <t>aj.p</t>
  </si>
  <si>
    <t>Crew 1: Upper Arm</t>
  </si>
  <si>
    <t xml:space="preserve">blav </t>
  </si>
  <si>
    <t>Fighter attacking take 1</t>
  </si>
  <si>
    <t xml:space="preserve">akae.p </t>
  </si>
  <si>
    <t xml:space="preserve">akaf.rsd </t>
  </si>
  <si>
    <t>Crew 1: Lower Arm</t>
  </si>
  <si>
    <t xml:space="preserve">akba.p </t>
  </si>
  <si>
    <t xml:space="preserve">akbb.rsd </t>
  </si>
  <si>
    <t>Crew 1: Hand</t>
  </si>
  <si>
    <t>aj.rsd</t>
  </si>
  <si>
    <t xml:space="preserve">blaw </t>
  </si>
  <si>
    <t xml:space="preserve">akbc.p </t>
  </si>
  <si>
    <t xml:space="preserve">akbd.rsd </t>
  </si>
  <si>
    <t xml:space="preserve">akbe.p </t>
  </si>
  <si>
    <t xml:space="preserve">akbf.rsd </t>
  </si>
  <si>
    <t xml:space="preserve">akca.p </t>
  </si>
  <si>
    <t>ak.p</t>
  </si>
  <si>
    <t>Fighter attacking take 2</t>
  </si>
  <si>
    <t xml:space="preserve">akcb.rsd </t>
  </si>
  <si>
    <t xml:space="preserve">blax </t>
  </si>
  <si>
    <t xml:space="preserve">akcc.p </t>
  </si>
  <si>
    <t xml:space="preserve">akcd.rsd </t>
  </si>
  <si>
    <t>Crew 1: Upper Leg</t>
  </si>
  <si>
    <t xml:space="preserve">akce.p </t>
  </si>
  <si>
    <t xml:space="preserve">akcf.rsd </t>
  </si>
  <si>
    <t>Crew 1: Lower Leg</t>
  </si>
  <si>
    <t xml:space="preserve">akda.p </t>
  </si>
  <si>
    <t>ak.rsd</t>
  </si>
  <si>
    <t xml:space="preserve">akdb.rsd </t>
  </si>
  <si>
    <t>Crew 1: Foot</t>
  </si>
  <si>
    <t xml:space="preserve">akdc.p </t>
  </si>
  <si>
    <t xml:space="preserve">blay </t>
  </si>
  <si>
    <t xml:space="preserve">akdd.rsd </t>
  </si>
  <si>
    <t xml:space="preserve">akde.p </t>
  </si>
  <si>
    <t xml:space="preserve">akdf.rsd </t>
  </si>
  <si>
    <t>al.p</t>
  </si>
  <si>
    <t xml:space="preserve">akea.p </t>
  </si>
  <si>
    <t>Fighter attacking take 3</t>
  </si>
  <si>
    <t xml:space="preserve">akeb.rsd </t>
  </si>
  <si>
    <t xml:space="preserve">blbb </t>
  </si>
  <si>
    <t xml:space="preserve">akec.p </t>
  </si>
  <si>
    <t>al.rsd</t>
  </si>
  <si>
    <t xml:space="preserve">aked.a </t>
  </si>
  <si>
    <t>Crew 1</t>
  </si>
  <si>
    <t xml:space="preserve">akee.hrc </t>
  </si>
  <si>
    <t xml:space="preserve">blbc </t>
  </si>
  <si>
    <t>crew2_st</t>
  </si>
  <si>
    <t>5.2 K</t>
  </si>
  <si>
    <t>Airship Crew2</t>
  </si>
  <si>
    <t xml:space="preserve">akef.rsd </t>
  </si>
  <si>
    <t>Crew 2: Lower Chest</t>
  </si>
  <si>
    <t xml:space="preserve">akfa.p </t>
  </si>
  <si>
    <t xml:space="preserve">akfb.rsd </t>
  </si>
  <si>
    <t>am.p</t>
  </si>
  <si>
    <t>Crew 2: Upper Chest</t>
  </si>
  <si>
    <t>Fighter attacking take 4</t>
  </si>
  <si>
    <t xml:space="preserve">akfc.p </t>
  </si>
  <si>
    <t xml:space="preserve">blbd </t>
  </si>
  <si>
    <t xml:space="preserve">akfd.rsd </t>
  </si>
  <si>
    <t>Crew 2: Head</t>
  </si>
  <si>
    <t xml:space="preserve">akfe.p </t>
  </si>
  <si>
    <t xml:space="preserve">akff.tex </t>
  </si>
  <si>
    <t>Crew 2: Eye</t>
  </si>
  <si>
    <t>am.rsd</t>
  </si>
  <si>
    <t xml:space="preserve">akga.tex </t>
  </si>
  <si>
    <t xml:space="preserve">akgb.tex </t>
  </si>
  <si>
    <t xml:space="preserve">blbf </t>
  </si>
  <si>
    <t>Crew 2: Mouth</t>
  </si>
  <si>
    <t xml:space="preserve">akgc.rsd </t>
  </si>
  <si>
    <t>Crew 2: Upper Arm</t>
  </si>
  <si>
    <t xml:space="preserve">akgd.p </t>
  </si>
  <si>
    <t xml:space="preserve">akge.rsd </t>
  </si>
  <si>
    <t>an.p</t>
  </si>
  <si>
    <t>Crew 2: Lower Arm</t>
  </si>
  <si>
    <t>Fighter attacking take 5</t>
  </si>
  <si>
    <t xml:space="preserve">akgf.p </t>
  </si>
  <si>
    <t xml:space="preserve">blbg </t>
  </si>
  <si>
    <t xml:space="preserve">akha.rsd </t>
  </si>
  <si>
    <t>Crew 2: Hand</t>
  </si>
  <si>
    <t xml:space="preserve">akhb.p </t>
  </si>
  <si>
    <t xml:space="preserve">akhc.rsd </t>
  </si>
  <si>
    <t>an.rsd</t>
  </si>
  <si>
    <t xml:space="preserve">akhd.p </t>
  </si>
  <si>
    <t xml:space="preserve">akhe.rsd </t>
  </si>
  <si>
    <t xml:space="preserve">akhf.p </t>
  </si>
  <si>
    <t xml:space="preserve">blbh </t>
  </si>
  <si>
    <t xml:space="preserve">akia.rsd </t>
  </si>
  <si>
    <t xml:space="preserve">akib.p </t>
  </si>
  <si>
    <t>ao.p</t>
  </si>
  <si>
    <t>Fighter attacking take 6</t>
  </si>
  <si>
    <t xml:space="preserve">akic.rsd </t>
  </si>
  <si>
    <t>Crew 2: Upper Leg</t>
  </si>
  <si>
    <t xml:space="preserve">akid.p </t>
  </si>
  <si>
    <t xml:space="preserve">akie.rsd </t>
  </si>
  <si>
    <t xml:space="preserve">blbk </t>
  </si>
  <si>
    <t>Crew 2: Lower Leg</t>
  </si>
  <si>
    <t xml:space="preserve">akif.p </t>
  </si>
  <si>
    <t>ao.rsd</t>
  </si>
  <si>
    <t xml:space="preserve">akja.rsd </t>
  </si>
  <si>
    <t>Crew 2: Foot</t>
  </si>
  <si>
    <t xml:space="preserve">akjb.p </t>
  </si>
  <si>
    <t xml:space="preserve">akjc.rsd </t>
  </si>
  <si>
    <t xml:space="preserve">blbl </t>
  </si>
  <si>
    <t xml:space="preserve">akjd.p </t>
  </si>
  <si>
    <t xml:space="preserve">akje.rsd </t>
  </si>
  <si>
    <t>ap.p</t>
  </si>
  <si>
    <t>Fighter attacking take 7</t>
  </si>
  <si>
    <t xml:space="preserve">akjf.p </t>
  </si>
  <si>
    <t xml:space="preserve">alaa.rsd </t>
  </si>
  <si>
    <t xml:space="preserve">alab.p </t>
  </si>
  <si>
    <t xml:space="preserve">blbm </t>
  </si>
  <si>
    <t xml:space="preserve">alac.a </t>
  </si>
  <si>
    <t>Crew 2</t>
  </si>
  <si>
    <t xml:space="preserve">alad.hrc </t>
  </si>
  <si>
    <t>sd_lufas_sk</t>
  </si>
  <si>
    <t>ap.rsd</t>
  </si>
  <si>
    <t xml:space="preserve">alae.rsd </t>
  </si>
  <si>
    <t>Rufus: Lower Chest</t>
  </si>
  <si>
    <t xml:space="preserve">alaf.p </t>
  </si>
  <si>
    <t xml:space="preserve">blbo </t>
  </si>
  <si>
    <t xml:space="preserve">alba.rsd </t>
  </si>
  <si>
    <t>Rufus: Upper Chest</t>
  </si>
  <si>
    <t xml:space="preserve">albb.p </t>
  </si>
  <si>
    <t xml:space="preserve">albc.rsd </t>
  </si>
  <si>
    <t>aq.p</t>
  </si>
  <si>
    <t>Rufus: Head</t>
  </si>
  <si>
    <t>Fighter attacking take 8</t>
  </si>
  <si>
    <t xml:space="preserve">albd.p </t>
  </si>
  <si>
    <t xml:space="preserve">albe.tex </t>
  </si>
  <si>
    <t xml:space="preserve">blbp </t>
  </si>
  <si>
    <t>Rufus: Eye</t>
  </si>
  <si>
    <t xml:space="preserve">albf.tex </t>
  </si>
  <si>
    <t xml:space="preserve">alca.tex </t>
  </si>
  <si>
    <t>Rufus: Mouth</t>
  </si>
  <si>
    <t xml:space="preserve">alcb.rsd </t>
  </si>
  <si>
    <t>aq.rsd</t>
  </si>
  <si>
    <t>Rufus: Upper Arm</t>
  </si>
  <si>
    <t xml:space="preserve">alcc.p </t>
  </si>
  <si>
    <t xml:space="preserve">alcd.rsd </t>
  </si>
  <si>
    <t xml:space="preserve">blbq </t>
  </si>
  <si>
    <t>Rufus: Lower Arm</t>
  </si>
  <si>
    <t xml:space="preserve">alce.p </t>
  </si>
  <si>
    <t xml:space="preserve">alcf.rsd </t>
  </si>
  <si>
    <t>Rufus: Hand</t>
  </si>
  <si>
    <t xml:space="preserve">alda.p </t>
  </si>
  <si>
    <t>ar.p</t>
  </si>
  <si>
    <t>Fighter attacking take 9</t>
  </si>
  <si>
    <t xml:space="preserve">aldb.rsd </t>
  </si>
  <si>
    <t xml:space="preserve">aldc.p </t>
  </si>
  <si>
    <t xml:space="preserve">blbt </t>
  </si>
  <si>
    <t xml:space="preserve">aldd.rsd </t>
  </si>
  <si>
    <t xml:space="preserve">alde.p </t>
  </si>
  <si>
    <t>ar.rsd</t>
  </si>
  <si>
    <t xml:space="preserve">aldf.rsd </t>
  </si>
  <si>
    <t xml:space="preserve">alea.p </t>
  </si>
  <si>
    <t xml:space="preserve">blbu </t>
  </si>
  <si>
    <t xml:space="preserve">aleb.rsd </t>
  </si>
  <si>
    <t>Rufus: Upper Leg</t>
  </si>
  <si>
    <t xml:space="preserve">alec.p </t>
  </si>
  <si>
    <t xml:space="preserve">aled.rsd </t>
  </si>
  <si>
    <t>as.p</t>
  </si>
  <si>
    <t>Rufus: Lower Leg</t>
  </si>
  <si>
    <t>Fighter attacking take 10</t>
  </si>
  <si>
    <t xml:space="preserve">alee.p </t>
  </si>
  <si>
    <t xml:space="preserve">alef.rsd </t>
  </si>
  <si>
    <t xml:space="preserve">blbv </t>
  </si>
  <si>
    <t>Rufus: Foot</t>
  </si>
  <si>
    <t xml:space="preserve">alfa.p </t>
  </si>
  <si>
    <t xml:space="preserve">alfb.rsd </t>
  </si>
  <si>
    <t>as.rsd</t>
  </si>
  <si>
    <t xml:space="preserve">alfc.p </t>
  </si>
  <si>
    <t xml:space="preserve">alfd.rsd </t>
  </si>
  <si>
    <t xml:space="preserve">alfe.p </t>
  </si>
  <si>
    <t xml:space="preserve">blby </t>
  </si>
  <si>
    <t xml:space="preserve">alff.rsd </t>
  </si>
  <si>
    <t xml:space="preserve">alga.p </t>
  </si>
  <si>
    <t>at.p</t>
  </si>
  <si>
    <t>Fighter attacking take 11</t>
  </si>
  <si>
    <t xml:space="preserve">algb.a </t>
  </si>
  <si>
    <t xml:space="preserve">algc.a </t>
  </si>
  <si>
    <t xml:space="preserve">blbz </t>
  </si>
  <si>
    <t xml:space="preserve">algd.hrc </t>
  </si>
  <si>
    <t>hyde_sk</t>
  </si>
  <si>
    <t xml:space="preserve">alge.rsd </t>
  </si>
  <si>
    <t>Heidegger: Lower Chest</t>
  </si>
  <si>
    <t>at.rsd</t>
  </si>
  <si>
    <t xml:space="preserve">algf.p </t>
  </si>
  <si>
    <t xml:space="preserve">alha.rsd </t>
  </si>
  <si>
    <t>Heidegger: Upper Chest</t>
  </si>
  <si>
    <t xml:space="preserve">blca </t>
  </si>
  <si>
    <t xml:space="preserve">alhb.p </t>
  </si>
  <si>
    <t xml:space="preserve">alhc.rsd </t>
  </si>
  <si>
    <t>Heidegger: Head</t>
  </si>
  <si>
    <t xml:space="preserve">alhd.p </t>
  </si>
  <si>
    <t>au.p</t>
  </si>
  <si>
    <t>Fighter attacking take 12</t>
  </si>
  <si>
    <t xml:space="preserve">blcb </t>
  </si>
  <si>
    <t xml:space="preserve">alhe.tex </t>
  </si>
  <si>
    <t>Heidegger: Eye</t>
  </si>
  <si>
    <t xml:space="preserve">alhf.tex </t>
  </si>
  <si>
    <t xml:space="preserve">alia.rsd </t>
  </si>
  <si>
    <t>Heidegger: Upper Arm</t>
  </si>
  <si>
    <t>au.rsd</t>
  </si>
  <si>
    <t xml:space="preserve">alib.p </t>
  </si>
  <si>
    <t xml:space="preserve">alic.rsd </t>
  </si>
  <si>
    <t xml:space="preserve">blcc </t>
  </si>
  <si>
    <t>Heidegger: Lower Arm</t>
  </si>
  <si>
    <t xml:space="preserve">alid.p </t>
  </si>
  <si>
    <t xml:space="preserve">alie.rsd </t>
  </si>
  <si>
    <t>Heidegger: Hand</t>
  </si>
  <si>
    <t xml:space="preserve">alif.p </t>
  </si>
  <si>
    <t>av.p</t>
  </si>
  <si>
    <t xml:space="preserve">alja.rsd </t>
  </si>
  <si>
    <t>Fighter attacking take 13</t>
  </si>
  <si>
    <t xml:space="preserve">aljb.p </t>
  </si>
  <si>
    <t xml:space="preserve">blcd </t>
  </si>
  <si>
    <t xml:space="preserve">aljc.rsd </t>
  </si>
  <si>
    <t xml:space="preserve">aljd.p </t>
  </si>
  <si>
    <t xml:space="preserve">alje.rsd </t>
  </si>
  <si>
    <t xml:space="preserve">aljf.p </t>
  </si>
  <si>
    <t>av.rsd</t>
  </si>
  <si>
    <t xml:space="preserve">blce </t>
  </si>
  <si>
    <t xml:space="preserve">amaa.rsd </t>
  </si>
  <si>
    <t>Heidegger: Upper Leg</t>
  </si>
  <si>
    <t xml:space="preserve">amab.p </t>
  </si>
  <si>
    <t xml:space="preserve">amac.rsd </t>
  </si>
  <si>
    <t>Heidegger: Lower Leg</t>
  </si>
  <si>
    <t xml:space="preserve">amad.p </t>
  </si>
  <si>
    <t>aw.p</t>
  </si>
  <si>
    <t xml:space="preserve">amae.rsd </t>
  </si>
  <si>
    <t>Fighter attacking take 14</t>
  </si>
  <si>
    <t xml:space="preserve">blcf </t>
  </si>
  <si>
    <t>Heidegger: Foot</t>
  </si>
  <si>
    <t xml:space="preserve">amaf.p </t>
  </si>
  <si>
    <t xml:space="preserve">amba.rsd </t>
  </si>
  <si>
    <t xml:space="preserve">ambb.p </t>
  </si>
  <si>
    <t xml:space="preserve">ambc.rsd </t>
  </si>
  <si>
    <t xml:space="preserve">blda </t>
  </si>
  <si>
    <t xml:space="preserve">ambd.p </t>
  </si>
  <si>
    <t xml:space="preserve">ambe.rsd </t>
  </si>
  <si>
    <t xml:space="preserve">bmaa </t>
  </si>
  <si>
    <t xml:space="preserve">ambf.p </t>
  </si>
  <si>
    <t>aw.rsd</t>
  </si>
  <si>
    <t>352 Bytes</t>
  </si>
  <si>
    <t>Heidegger Foot</t>
  </si>
  <si>
    <t>Sahagin:Battle Skeleton</t>
  </si>
  <si>
    <t xml:space="preserve">amca.a </t>
  </si>
  <si>
    <t>Heidegger</t>
  </si>
  <si>
    <t xml:space="preserve">amcb.a </t>
  </si>
  <si>
    <t xml:space="preserve">amcc.hrc </t>
  </si>
  <si>
    <t>scaret_sk</t>
  </si>
  <si>
    <t xml:space="preserve">amcd.rsd </t>
  </si>
  <si>
    <t>Scarlet: Lower Chest</t>
  </si>
  <si>
    <t xml:space="preserve">amce.p </t>
  </si>
  <si>
    <t xml:space="preserve">bmab </t>
  </si>
  <si>
    <t>Sahagin: Unidentified Part</t>
  </si>
  <si>
    <t xml:space="preserve">amcf.rsd </t>
  </si>
  <si>
    <t>ax.p</t>
  </si>
  <si>
    <t>Scarlet: Upper Chest</t>
  </si>
  <si>
    <t>Fighters sword attacking take 1</t>
  </si>
  <si>
    <t xml:space="preserve">amda.p </t>
  </si>
  <si>
    <t xml:space="preserve">bmac </t>
  </si>
  <si>
    <t>Sahagin: Shell Part (unknown if L or R)</t>
  </si>
  <si>
    <t xml:space="preserve">amdb.rsd </t>
  </si>
  <si>
    <t>Scarlet: Head</t>
  </si>
  <si>
    <t xml:space="preserve">amdc.p </t>
  </si>
  <si>
    <t xml:space="preserve">amdd.tex </t>
  </si>
  <si>
    <t>Scarlet: Eye</t>
  </si>
  <si>
    <t>ax.rsd</t>
  </si>
  <si>
    <t xml:space="preserve">bmad </t>
  </si>
  <si>
    <t xml:space="preserve">amde.tex </t>
  </si>
  <si>
    <t xml:space="preserve">amdf.tex </t>
  </si>
  <si>
    <t>Scarlet: Mouth</t>
  </si>
  <si>
    <t xml:space="preserve">amea.rsd </t>
  </si>
  <si>
    <t>Scarlet: Upper Arm</t>
  </si>
  <si>
    <t>ay.p</t>
  </si>
  <si>
    <t>Fighters sword attacking take 2</t>
  </si>
  <si>
    <t xml:space="preserve">ameb.p </t>
  </si>
  <si>
    <t xml:space="preserve">bmam </t>
  </si>
  <si>
    <t xml:space="preserve">amec.rsd </t>
  </si>
  <si>
    <t>Scarlet: Lower Arm</t>
  </si>
  <si>
    <t xml:space="preserve">amed.p </t>
  </si>
  <si>
    <t xml:space="preserve">amee.rsd </t>
  </si>
  <si>
    <t>Scarlet: Hand</t>
  </si>
  <si>
    <t xml:space="preserve">amef.p </t>
  </si>
  <si>
    <t>ay.rsd</t>
  </si>
  <si>
    <t xml:space="preserve">amfa.rsd </t>
  </si>
  <si>
    <t xml:space="preserve">bmao </t>
  </si>
  <si>
    <t xml:space="preserve">amfb.p </t>
  </si>
  <si>
    <t xml:space="preserve">amfc.rsd </t>
  </si>
  <si>
    <t xml:space="preserve">amfd.p </t>
  </si>
  <si>
    <t>az.p</t>
  </si>
  <si>
    <t xml:space="preserve">amfe.rsd </t>
  </si>
  <si>
    <t>Fighters sword attacking take 3</t>
  </si>
  <si>
    <t xml:space="preserve">amff.p </t>
  </si>
  <si>
    <t xml:space="preserve">bmap </t>
  </si>
  <si>
    <t xml:space="preserve">amga.rsd </t>
  </si>
  <si>
    <t>Scarlet: Upper Leg</t>
  </si>
  <si>
    <t xml:space="preserve">amgb.p </t>
  </si>
  <si>
    <t xml:space="preserve">amgc.rsd </t>
  </si>
  <si>
    <t>Scarlet: Lower Leg</t>
  </si>
  <si>
    <t>az.rsd</t>
  </si>
  <si>
    <t xml:space="preserve">amgd.p </t>
  </si>
  <si>
    <t xml:space="preserve">amge.rsd </t>
  </si>
  <si>
    <t>Scarlet: Foot</t>
  </si>
  <si>
    <t xml:space="preserve">bmaq </t>
  </si>
  <si>
    <t xml:space="preserve">amgf.p </t>
  </si>
  <si>
    <t xml:space="preserve">amha.rsd </t>
  </si>
  <si>
    <t>Scarlet: Dress</t>
  </si>
  <si>
    <t xml:space="preserve">amhb.p </t>
  </si>
  <si>
    <t xml:space="preserve">amhc.rsd </t>
  </si>
  <si>
    <t>ba.p</t>
  </si>
  <si>
    <t>Fighters sword attacking take 4</t>
  </si>
  <si>
    <t xml:space="preserve">amhd.p </t>
  </si>
  <si>
    <t xml:space="preserve">bmas </t>
  </si>
  <si>
    <t xml:space="preserve">amhe.rsd </t>
  </si>
  <si>
    <t xml:space="preserve">amhf.p </t>
  </si>
  <si>
    <t xml:space="preserve">amia.rsd </t>
  </si>
  <si>
    <t>ba.rsd</t>
  </si>
  <si>
    <t xml:space="preserve">amib.p </t>
  </si>
  <si>
    <t xml:space="preserve">bmat </t>
  </si>
  <si>
    <t>712 Bytes</t>
  </si>
  <si>
    <t xml:space="preserve">amic.rsd </t>
  </si>
  <si>
    <t xml:space="preserve">amid.p </t>
  </si>
  <si>
    <t xml:space="preserve">amie.rsd </t>
  </si>
  <si>
    <t xml:space="preserve">amif.p </t>
  </si>
  <si>
    <t>bb.p</t>
  </si>
  <si>
    <t>Fighters sword attacking take 5</t>
  </si>
  <si>
    <t xml:space="preserve">amja.rsd </t>
  </si>
  <si>
    <t xml:space="preserve">bmav </t>
  </si>
  <si>
    <t xml:space="preserve">amjb.p </t>
  </si>
  <si>
    <t xml:space="preserve">amjc.rsd </t>
  </si>
  <si>
    <t xml:space="preserve">amjd.p </t>
  </si>
  <si>
    <t>bb.rsd</t>
  </si>
  <si>
    <t xml:space="preserve">amje.rsd </t>
  </si>
  <si>
    <t xml:space="preserve">bmaw </t>
  </si>
  <si>
    <t xml:space="preserve">amjf.p </t>
  </si>
  <si>
    <t xml:space="preserve">anaa.rsd </t>
  </si>
  <si>
    <t xml:space="preserve">anab.p </t>
  </si>
  <si>
    <t xml:space="preserve">anac.rsd </t>
  </si>
  <si>
    <t xml:space="preserve">anad.p </t>
  </si>
  <si>
    <t>bc.p</t>
  </si>
  <si>
    <t>Fighters sword attacking take 6</t>
  </si>
  <si>
    <t xml:space="preserve">bmax </t>
  </si>
  <si>
    <t xml:space="preserve">anae.a </t>
  </si>
  <si>
    <t>Scarlet</t>
  </si>
  <si>
    <t xml:space="preserve">anaf.a </t>
  </si>
  <si>
    <t xml:space="preserve">anba.a </t>
  </si>
  <si>
    <t xml:space="preserve">anbb.a </t>
  </si>
  <si>
    <t>bc.rsd</t>
  </si>
  <si>
    <t xml:space="preserve">anbc.a </t>
  </si>
  <si>
    <t xml:space="preserve">bmay </t>
  </si>
  <si>
    <t xml:space="preserve">anbd.hrc </t>
  </si>
  <si>
    <t>sd_hojyo_sk</t>
  </si>
  <si>
    <t xml:space="preserve">anbe.rsd </t>
  </si>
  <si>
    <t>Hojo: Lower Chest</t>
  </si>
  <si>
    <t xml:space="preserve">anbf.p </t>
  </si>
  <si>
    <t xml:space="preserve">anca.rsd </t>
  </si>
  <si>
    <t>bd.p</t>
  </si>
  <si>
    <t>Hojo: Upper Chest</t>
  </si>
  <si>
    <t xml:space="preserve">bmba </t>
  </si>
  <si>
    <t>Fighters sword attacking take 7</t>
  </si>
  <si>
    <t xml:space="preserve">ancb.p </t>
  </si>
  <si>
    <t xml:space="preserve">ancc.rsd </t>
  </si>
  <si>
    <t>Hojo: Head</t>
  </si>
  <si>
    <t xml:space="preserve">ancd.p </t>
  </si>
  <si>
    <t xml:space="preserve">ance.tex </t>
  </si>
  <si>
    <t>Hojo: Eye</t>
  </si>
  <si>
    <t xml:space="preserve">bmbb </t>
  </si>
  <si>
    <t xml:space="preserve">ancf.tex </t>
  </si>
  <si>
    <t>bd.rsd</t>
  </si>
  <si>
    <t xml:space="preserve">anda.tex </t>
  </si>
  <si>
    <t>Hojo: Mouth</t>
  </si>
  <si>
    <t xml:space="preserve">andb.rsd </t>
  </si>
  <si>
    <t>Hojo: Hair</t>
  </si>
  <si>
    <t>be.p</t>
  </si>
  <si>
    <t xml:space="preserve">bmbc </t>
  </si>
  <si>
    <t>Fighters sword attacking take 8</t>
  </si>
  <si>
    <t xml:space="preserve">andc.p </t>
  </si>
  <si>
    <t xml:space="preserve">andd.rsd </t>
  </si>
  <si>
    <t>Hojo: Upper Arm</t>
  </si>
  <si>
    <t xml:space="preserve">ande.p </t>
  </si>
  <si>
    <t xml:space="preserve">andf.rsd </t>
  </si>
  <si>
    <t>Hojo: Lower Arm</t>
  </si>
  <si>
    <t>be.rsd</t>
  </si>
  <si>
    <t xml:space="preserve">anea.p </t>
  </si>
  <si>
    <t xml:space="preserve">bmbe </t>
  </si>
  <si>
    <t xml:space="preserve">aneb.rsd </t>
  </si>
  <si>
    <t>Hojo: Hand</t>
  </si>
  <si>
    <t xml:space="preserve">anec.p </t>
  </si>
  <si>
    <t xml:space="preserve">aned.rsd </t>
  </si>
  <si>
    <t xml:space="preserve">anee.p </t>
  </si>
  <si>
    <t>bf.p</t>
  </si>
  <si>
    <t xml:space="preserve">bmbf </t>
  </si>
  <si>
    <t>Fighter being attacked take 1</t>
  </si>
  <si>
    <t xml:space="preserve">anef.rsd </t>
  </si>
  <si>
    <t>Please confirm</t>
  </si>
  <si>
    <t xml:space="preserve">anfa.p </t>
  </si>
  <si>
    <t xml:space="preserve">anfb.rsd </t>
  </si>
  <si>
    <t xml:space="preserve">anfc.p </t>
  </si>
  <si>
    <t xml:space="preserve">anfd.rsd </t>
  </si>
  <si>
    <t>bf.rsd</t>
  </si>
  <si>
    <t>Hojo: Upper Leg</t>
  </si>
  <si>
    <t xml:space="preserve">bmbg </t>
  </si>
  <si>
    <t xml:space="preserve">anfe.p </t>
  </si>
  <si>
    <t xml:space="preserve">anff.rsd </t>
  </si>
  <si>
    <t>Hojo: Lower Leg</t>
  </si>
  <si>
    <t xml:space="preserve">anga.p </t>
  </si>
  <si>
    <t xml:space="preserve">angb.rsd </t>
  </si>
  <si>
    <t>bg.p</t>
  </si>
  <si>
    <t xml:space="preserve">bmbi </t>
  </si>
  <si>
    <t>Hojo: Foot</t>
  </si>
  <si>
    <t>Fighter being attacked take 2</t>
  </si>
  <si>
    <t xml:space="preserve">angc.p </t>
  </si>
  <si>
    <t xml:space="preserve">angd.rsd </t>
  </si>
  <si>
    <t xml:space="preserve">ange.p </t>
  </si>
  <si>
    <t xml:space="preserve">angf.rsd </t>
  </si>
  <si>
    <t>bg.rsd</t>
  </si>
  <si>
    <t xml:space="preserve">bmbj </t>
  </si>
  <si>
    <t xml:space="preserve">anha.p </t>
  </si>
  <si>
    <t xml:space="preserve">anhb.rsd </t>
  </si>
  <si>
    <t xml:space="preserve">anhc.p </t>
  </si>
  <si>
    <t xml:space="preserve">anhd.a </t>
  </si>
  <si>
    <t>Hojo: Standing Still</t>
  </si>
  <si>
    <t xml:space="preserve">anhe.a </t>
  </si>
  <si>
    <t>Hojo: Walking</t>
  </si>
  <si>
    <t>bh.p</t>
  </si>
  <si>
    <t xml:space="preserve">bmbk </t>
  </si>
  <si>
    <t>Fighter being attacked take 3</t>
  </si>
  <si>
    <t xml:space="preserve">anhf.a </t>
  </si>
  <si>
    <t>Hojo: Running</t>
  </si>
  <si>
    <t xml:space="preserve">ania.a </t>
  </si>
  <si>
    <t>Hojo</t>
  </si>
  <si>
    <t xml:space="preserve">anib.a </t>
  </si>
  <si>
    <t xml:space="preserve">anic.hrc </t>
  </si>
  <si>
    <t>sd_rudo_sk</t>
  </si>
  <si>
    <t>bh.rsd</t>
  </si>
  <si>
    <t xml:space="preserve">bmda </t>
  </si>
  <si>
    <t xml:space="preserve">anid.rsd </t>
  </si>
  <si>
    <t>4.8 K</t>
  </si>
  <si>
    <t>Rude: Lower Chest</t>
  </si>
  <si>
    <t xml:space="preserve">anie.p </t>
  </si>
  <si>
    <t xml:space="preserve">anif.rsd </t>
  </si>
  <si>
    <t>Rude: Upper Chest</t>
  </si>
  <si>
    <t xml:space="preserve">bnaa </t>
  </si>
  <si>
    <t xml:space="preserve">anja.p </t>
  </si>
  <si>
    <t>Ceasar: Battle Skeleton</t>
  </si>
  <si>
    <t xml:space="preserve">anjb.rsd </t>
  </si>
  <si>
    <t>Rude: Head</t>
  </si>
  <si>
    <t>bi.p</t>
  </si>
  <si>
    <t xml:space="preserve">anjc.p </t>
  </si>
  <si>
    <t>Attacker attacking take 1</t>
  </si>
  <si>
    <t xml:space="preserve">anjd.rsd </t>
  </si>
  <si>
    <t>Rude: Upper Arm</t>
  </si>
  <si>
    <t xml:space="preserve">anje.p </t>
  </si>
  <si>
    <t xml:space="preserve">bnab </t>
  </si>
  <si>
    <t xml:space="preserve">anjf.rsd </t>
  </si>
  <si>
    <t>Ceasar: Unidentified Part</t>
  </si>
  <si>
    <t>Rude: Lower Arm</t>
  </si>
  <si>
    <t xml:space="preserve">aoaa.p </t>
  </si>
  <si>
    <t>bi.rsd</t>
  </si>
  <si>
    <t xml:space="preserve">bnam </t>
  </si>
  <si>
    <t xml:space="preserve">aoab.rsd </t>
  </si>
  <si>
    <t>Rude: Hand</t>
  </si>
  <si>
    <t xml:space="preserve">aoac.p </t>
  </si>
  <si>
    <t xml:space="preserve">aoad.rsd </t>
  </si>
  <si>
    <t xml:space="preserve">aoae.p </t>
  </si>
  <si>
    <t>bj.p</t>
  </si>
  <si>
    <t xml:space="preserve">bnap </t>
  </si>
  <si>
    <t xml:space="preserve">aoaf.rsd </t>
  </si>
  <si>
    <t>Attacker attacking take 2</t>
  </si>
  <si>
    <t xml:space="preserve">aoba.p </t>
  </si>
  <si>
    <t xml:space="preserve">aobb.rsd </t>
  </si>
  <si>
    <t xml:space="preserve">aobc.p </t>
  </si>
  <si>
    <t>bj.rsd</t>
  </si>
  <si>
    <t xml:space="preserve">aobd.rsd </t>
  </si>
  <si>
    <t xml:space="preserve">bnar </t>
  </si>
  <si>
    <t>Rude: Upper Leg</t>
  </si>
  <si>
    <t xml:space="preserve">aobe.p </t>
  </si>
  <si>
    <t xml:space="preserve">aobf.rsd </t>
  </si>
  <si>
    <t>Rude: Lower Leg</t>
  </si>
  <si>
    <t xml:space="preserve">aoca.p </t>
  </si>
  <si>
    <t xml:space="preserve">aocb.rsd </t>
  </si>
  <si>
    <t>bk.p</t>
  </si>
  <si>
    <t>Rude: Foot</t>
  </si>
  <si>
    <t xml:space="preserve">bnas </t>
  </si>
  <si>
    <t>Attacker attacking take 3</t>
  </si>
  <si>
    <t xml:space="preserve">aocc.p </t>
  </si>
  <si>
    <t xml:space="preserve">aocd.rsd </t>
  </si>
  <si>
    <t xml:space="preserve">aoce.p </t>
  </si>
  <si>
    <t xml:space="preserve">aocf.rsd </t>
  </si>
  <si>
    <t>bk.rsd</t>
  </si>
  <si>
    <t xml:space="preserve">aoda.p </t>
  </si>
  <si>
    <t xml:space="preserve">bnau </t>
  </si>
  <si>
    <t xml:space="preserve">aodb.rsd </t>
  </si>
  <si>
    <t xml:space="preserve">aodc.p </t>
  </si>
  <si>
    <t xml:space="preserve">aodd.hrc </t>
  </si>
  <si>
    <t>bl.p</t>
  </si>
  <si>
    <t>sd_leno_sk</t>
  </si>
  <si>
    <t xml:space="preserve">bnav </t>
  </si>
  <si>
    <t>Attacker attacking take 4</t>
  </si>
  <si>
    <t xml:space="preserve">aode.rsd </t>
  </si>
  <si>
    <t>Reno: Lower Chest</t>
  </si>
  <si>
    <t xml:space="preserve">aodf.p </t>
  </si>
  <si>
    <t xml:space="preserve">aoea.rsd </t>
  </si>
  <si>
    <t>Reno: Upper Chest</t>
  </si>
  <si>
    <t xml:space="preserve">aoeb.p </t>
  </si>
  <si>
    <t>bl.rsd</t>
  </si>
  <si>
    <t xml:space="preserve">bnaw </t>
  </si>
  <si>
    <t xml:space="preserve">aoec.rsd </t>
  </si>
  <si>
    <t>888 Bytes</t>
  </si>
  <si>
    <t>Reno: Head</t>
  </si>
  <si>
    <t xml:space="preserve">aoed.p </t>
  </si>
  <si>
    <t xml:space="preserve">aoee.tex </t>
  </si>
  <si>
    <t>Reno: Eye</t>
  </si>
  <si>
    <t xml:space="preserve">aoef.tex </t>
  </si>
  <si>
    <t xml:space="preserve">aofa.tex </t>
  </si>
  <si>
    <t>Reno: Mouth</t>
  </si>
  <si>
    <t>bm.p</t>
  </si>
  <si>
    <t xml:space="preserve">bnay </t>
  </si>
  <si>
    <t xml:space="preserve">aofb.rsd </t>
  </si>
  <si>
    <t>884 Bytes</t>
  </si>
  <si>
    <t>Attacker attacking take 5</t>
  </si>
  <si>
    <t>Reno: Hair</t>
  </si>
  <si>
    <t xml:space="preserve">aofc.p </t>
  </si>
  <si>
    <t xml:space="preserve">aofd.rsd </t>
  </si>
  <si>
    <t>Reno: Upper Arm</t>
  </si>
  <si>
    <t xml:space="preserve">aofe.p </t>
  </si>
  <si>
    <t xml:space="preserve">aoff.rsd </t>
  </si>
  <si>
    <t>bm.rsd</t>
  </si>
  <si>
    <t xml:space="preserve">bnaz </t>
  </si>
  <si>
    <t>Reno: Lower Arm</t>
  </si>
  <si>
    <t>976 Bytes</t>
  </si>
  <si>
    <t xml:space="preserve">aoga.p </t>
  </si>
  <si>
    <t xml:space="preserve">aogb.rsd </t>
  </si>
  <si>
    <t>bn.p</t>
  </si>
  <si>
    <t>Reno: Hand</t>
  </si>
  <si>
    <t xml:space="preserve">bnba </t>
  </si>
  <si>
    <t>Attacker attacking take 6</t>
  </si>
  <si>
    <t xml:space="preserve">aogc.p </t>
  </si>
  <si>
    <t xml:space="preserve">aogd.rsd </t>
  </si>
  <si>
    <t xml:space="preserve">aoge.p </t>
  </si>
  <si>
    <t xml:space="preserve">aogf.rsd </t>
  </si>
  <si>
    <t>bn.rsd</t>
  </si>
  <si>
    <t xml:space="preserve">aoha.p </t>
  </si>
  <si>
    <t xml:space="preserve">bnbb </t>
  </si>
  <si>
    <t xml:space="preserve">aohb.rsd </t>
  </si>
  <si>
    <t xml:space="preserve">aohc.p </t>
  </si>
  <si>
    <t xml:space="preserve">aohd.rsd </t>
  </si>
  <si>
    <t>Reno: Upper Leg</t>
  </si>
  <si>
    <t>bo.p</t>
  </si>
  <si>
    <t xml:space="preserve">bnbd </t>
  </si>
  <si>
    <t xml:space="preserve">aohe.p </t>
  </si>
  <si>
    <t>Attacker attacking take 7</t>
  </si>
  <si>
    <t xml:space="preserve">aohf.rsd </t>
  </si>
  <si>
    <t>Reno: Lower Leg</t>
  </si>
  <si>
    <t xml:space="preserve">aoia.p </t>
  </si>
  <si>
    <t>904 Bytes</t>
  </si>
  <si>
    <t xml:space="preserve">aoib.rsd </t>
  </si>
  <si>
    <t>Reno: Foot</t>
  </si>
  <si>
    <t xml:space="preserve">aoic.p </t>
  </si>
  <si>
    <t xml:space="preserve">aoid.rsd </t>
  </si>
  <si>
    <t>bo.rsd</t>
  </si>
  <si>
    <t xml:space="preserve">aoie.p </t>
  </si>
  <si>
    <t xml:space="preserve">aoif.rsd </t>
  </si>
  <si>
    <t xml:space="preserve">bnbe </t>
  </si>
  <si>
    <t xml:space="preserve">aoja.p </t>
  </si>
  <si>
    <t xml:space="preserve">aojb.rsd </t>
  </si>
  <si>
    <t>bp.p</t>
  </si>
  <si>
    <t xml:space="preserve">aojc.p </t>
  </si>
  <si>
    <t>Attacker attacking take 8</t>
  </si>
  <si>
    <t xml:space="preserve">aojd.a </t>
  </si>
  <si>
    <t xml:space="preserve">aoje.a </t>
  </si>
  <si>
    <t xml:space="preserve">bnbf </t>
  </si>
  <si>
    <t xml:space="preserve">aojf.a </t>
  </si>
  <si>
    <t xml:space="preserve">apaa.a </t>
  </si>
  <si>
    <t>bp.rsd</t>
  </si>
  <si>
    <t xml:space="preserve">apab.a </t>
  </si>
  <si>
    <t xml:space="preserve">apac.a </t>
  </si>
  <si>
    <t xml:space="preserve">apad.a </t>
  </si>
  <si>
    <t xml:space="preserve">apae.a </t>
  </si>
  <si>
    <t xml:space="preserve">bnbg </t>
  </si>
  <si>
    <t xml:space="preserve">apaf.a </t>
  </si>
  <si>
    <t>bq.p</t>
  </si>
  <si>
    <t>Attacker attacking take 9</t>
  </si>
  <si>
    <t xml:space="preserve">apba.a </t>
  </si>
  <si>
    <t xml:space="preserve">apbb.a </t>
  </si>
  <si>
    <t xml:space="preserve">apbc.a </t>
  </si>
  <si>
    <t xml:space="preserve">apbd.a </t>
  </si>
  <si>
    <t xml:space="preserve">apbe.a </t>
  </si>
  <si>
    <t>bq.rsd</t>
  </si>
  <si>
    <t xml:space="preserve">bnbi </t>
  </si>
  <si>
    <t xml:space="preserve">apbf.a </t>
  </si>
  <si>
    <t xml:space="preserve">apca.a </t>
  </si>
  <si>
    <t xml:space="preserve">apcb.a </t>
  </si>
  <si>
    <t xml:space="preserve">apcc.a </t>
  </si>
  <si>
    <t xml:space="preserve">apcd.a </t>
  </si>
  <si>
    <t>br.p</t>
  </si>
  <si>
    <t xml:space="preserve">apce.a </t>
  </si>
  <si>
    <t xml:space="preserve">bnbj </t>
  </si>
  <si>
    <t>Attacker attacking take 10</t>
  </si>
  <si>
    <t xml:space="preserve">apcf.a </t>
  </si>
  <si>
    <t xml:space="preserve">apda.a </t>
  </si>
  <si>
    <t xml:space="preserve">apdb.a </t>
  </si>
  <si>
    <t xml:space="preserve">apdc.a </t>
  </si>
  <si>
    <t>br.rsd</t>
  </si>
  <si>
    <t xml:space="preserve">apdd.a </t>
  </si>
  <si>
    <t xml:space="preserve">bnbk </t>
  </si>
  <si>
    <t xml:space="preserve">apde.a </t>
  </si>
  <si>
    <t xml:space="preserve">apdf.a </t>
  </si>
  <si>
    <t xml:space="preserve">apea.a </t>
  </si>
  <si>
    <t xml:space="preserve">apeb.a </t>
  </si>
  <si>
    <t xml:space="preserve">apec.a </t>
  </si>
  <si>
    <t>bs.p</t>
  </si>
  <si>
    <t xml:space="preserve">bnbm </t>
  </si>
  <si>
    <t xml:space="preserve">aped.a </t>
  </si>
  <si>
    <t>Attacker attacking take 11</t>
  </si>
  <si>
    <t xml:space="preserve">apee.a </t>
  </si>
  <si>
    <t xml:space="preserve">apef.a </t>
  </si>
  <si>
    <t xml:space="preserve">apfa.a </t>
  </si>
  <si>
    <t xml:space="preserve">apfb.a </t>
  </si>
  <si>
    <t xml:space="preserve">apfc.a </t>
  </si>
  <si>
    <t>bs.rsd</t>
  </si>
  <si>
    <t xml:space="preserve">bnbn </t>
  </si>
  <si>
    <t xml:space="preserve">apfd.a </t>
  </si>
  <si>
    <t xml:space="preserve">apfe.a </t>
  </si>
  <si>
    <t xml:space="preserve">apff.a </t>
  </si>
  <si>
    <t xml:space="preserve">apga.a </t>
  </si>
  <si>
    <t xml:space="preserve">apgb.a </t>
  </si>
  <si>
    <t>bt.p</t>
  </si>
  <si>
    <t xml:space="preserve">bnbp </t>
  </si>
  <si>
    <t xml:space="preserve">apgc.a </t>
  </si>
  <si>
    <t>Attacker attacking take 12</t>
  </si>
  <si>
    <t xml:space="preserve">apgd.a </t>
  </si>
  <si>
    <t xml:space="preserve">apge.a </t>
  </si>
  <si>
    <t xml:space="preserve">apgf.a </t>
  </si>
  <si>
    <t xml:space="preserve">apha.a </t>
  </si>
  <si>
    <t xml:space="preserve">aphb.a </t>
  </si>
  <si>
    <t>bt.rsd</t>
  </si>
  <si>
    <t xml:space="preserve">bnbq </t>
  </si>
  <si>
    <t xml:space="preserve">aphc.a </t>
  </si>
  <si>
    <t xml:space="preserve">aphd.a </t>
  </si>
  <si>
    <t xml:space="preserve">aphe.a </t>
  </si>
  <si>
    <t xml:space="preserve">aphf.a </t>
  </si>
  <si>
    <t xml:space="preserve">apia.a </t>
  </si>
  <si>
    <t xml:space="preserve">apib.a </t>
  </si>
  <si>
    <t>bu.p</t>
  </si>
  <si>
    <t xml:space="preserve">bnbs </t>
  </si>
  <si>
    <t>Attacker attacking take 13</t>
  </si>
  <si>
    <t xml:space="preserve">apic.a </t>
  </si>
  <si>
    <t xml:space="preserve">apid.a </t>
  </si>
  <si>
    <t xml:space="preserve">apie.a </t>
  </si>
  <si>
    <t xml:space="preserve">apif.a </t>
  </si>
  <si>
    <t xml:space="preserve">apja.a </t>
  </si>
  <si>
    <t xml:space="preserve">apjb.a </t>
  </si>
  <si>
    <t>bu.rsd</t>
  </si>
  <si>
    <t xml:space="preserve">apjc.a </t>
  </si>
  <si>
    <t xml:space="preserve">bnbt </t>
  </si>
  <si>
    <t xml:space="preserve">apjd.a </t>
  </si>
  <si>
    <t xml:space="preserve">apje.a </t>
  </si>
  <si>
    <t xml:space="preserve">apjf.a </t>
  </si>
  <si>
    <t xml:space="preserve">aqaa.a </t>
  </si>
  <si>
    <t xml:space="preserve">aqab.a </t>
  </si>
  <si>
    <t xml:space="preserve">aqac.a </t>
  </si>
  <si>
    <t xml:space="preserve">aqad.a </t>
  </si>
  <si>
    <t xml:space="preserve">bnbv </t>
  </si>
  <si>
    <t xml:space="preserve">aqae.a </t>
  </si>
  <si>
    <t>bv.p</t>
  </si>
  <si>
    <t xml:space="preserve">aqaf.a </t>
  </si>
  <si>
    <t>Attacker attacking take 14</t>
  </si>
  <si>
    <t xml:space="preserve">aqba.a </t>
  </si>
  <si>
    <t xml:space="preserve">aqbb.a </t>
  </si>
  <si>
    <t xml:space="preserve">aqbc.a </t>
  </si>
  <si>
    <t xml:space="preserve">aqbd.a </t>
  </si>
  <si>
    <t xml:space="preserve">aqbe.a </t>
  </si>
  <si>
    <t xml:space="preserve">aqbf.a </t>
  </si>
  <si>
    <t xml:space="preserve">aqca.a </t>
  </si>
  <si>
    <t>bv.rsd</t>
  </si>
  <si>
    <t xml:space="preserve">bnbw </t>
  </si>
  <si>
    <t xml:space="preserve">aqcb.a </t>
  </si>
  <si>
    <t xml:space="preserve">aqcc.a </t>
  </si>
  <si>
    <t xml:space="preserve">aqcd.a </t>
  </si>
  <si>
    <t xml:space="preserve">aqce.a </t>
  </si>
  <si>
    <t xml:space="preserve">aqcf.a </t>
  </si>
  <si>
    <t xml:space="preserve">aqda.a </t>
  </si>
  <si>
    <t xml:space="preserve">aqdb.a </t>
  </si>
  <si>
    <t>bw.p</t>
  </si>
  <si>
    <t xml:space="preserve">bnda </t>
  </si>
  <si>
    <t>7.1 K</t>
  </si>
  <si>
    <t>Attacker attacking take 15</t>
  </si>
  <si>
    <t xml:space="preserve">boaa </t>
  </si>
  <si>
    <t>Eligor:Battle Skeleton</t>
  </si>
  <si>
    <t>bw.rsd</t>
  </si>
  <si>
    <t xml:space="preserve">boab </t>
  </si>
  <si>
    <t>Eligor: Unidentified Part</t>
  </si>
  <si>
    <t>bx.p</t>
  </si>
  <si>
    <t xml:space="preserve">boam </t>
  </si>
  <si>
    <t>Attacker attacking take 16</t>
  </si>
  <si>
    <t>bx.rsd</t>
  </si>
  <si>
    <t xml:space="preserve">boan </t>
  </si>
  <si>
    <t>by.p</t>
  </si>
  <si>
    <t xml:space="preserve">aqdc.a </t>
  </si>
  <si>
    <t xml:space="preserve">boao </t>
  </si>
  <si>
    <t>Attackers daggers attacking take 1</t>
  </si>
  <si>
    <t xml:space="preserve">aqdd.a </t>
  </si>
  <si>
    <t xml:space="preserve">aqde.a </t>
  </si>
  <si>
    <t xml:space="preserve">aqdf.a </t>
  </si>
  <si>
    <t xml:space="preserve">aqea.a </t>
  </si>
  <si>
    <t xml:space="preserve">aqeb.a </t>
  </si>
  <si>
    <t xml:space="preserve">aqec.a </t>
  </si>
  <si>
    <t>by.rsd</t>
  </si>
  <si>
    <t xml:space="preserve">aqed.a </t>
  </si>
  <si>
    <t xml:space="preserve">aqee.a </t>
  </si>
  <si>
    <t xml:space="preserve">aqef.a </t>
  </si>
  <si>
    <t xml:space="preserve">aqfa.a </t>
  </si>
  <si>
    <t xml:space="preserve">aqfb.a </t>
  </si>
  <si>
    <t xml:space="preserve">aqfc.a </t>
  </si>
  <si>
    <t xml:space="preserve">boaq </t>
  </si>
  <si>
    <t xml:space="preserve">aqfd.a </t>
  </si>
  <si>
    <t xml:space="preserve">aqfe.a </t>
  </si>
  <si>
    <t xml:space="preserve">aqff.a </t>
  </si>
  <si>
    <t>bz.p</t>
  </si>
  <si>
    <t xml:space="preserve">aqga.a </t>
  </si>
  <si>
    <t>Attackers daggers attacking take 2</t>
  </si>
  <si>
    <t xml:space="preserve">aqgb.a </t>
  </si>
  <si>
    <t xml:space="preserve">aqgc.hrc </t>
  </si>
  <si>
    <t>chocobo_sk</t>
  </si>
  <si>
    <t xml:space="preserve">aqgd.rsd </t>
  </si>
  <si>
    <t xml:space="preserve">aqge.p </t>
  </si>
  <si>
    <t xml:space="preserve">boar </t>
  </si>
  <si>
    <t xml:space="preserve">aqgf.rsd </t>
  </si>
  <si>
    <t xml:space="preserve">aqha.p </t>
  </si>
  <si>
    <t xml:space="preserve">aqhb.rsd </t>
  </si>
  <si>
    <t>bz.rsd</t>
  </si>
  <si>
    <t xml:space="preserve">aqhc.p </t>
  </si>
  <si>
    <t xml:space="preserve">aqhd.rsd </t>
  </si>
  <si>
    <t xml:space="preserve">aqhe.p </t>
  </si>
  <si>
    <t xml:space="preserve">aqhf.rsd </t>
  </si>
  <si>
    <t xml:space="preserve">aqia.p </t>
  </si>
  <si>
    <t xml:space="preserve">aqib.rsd </t>
  </si>
  <si>
    <t xml:space="preserve">boas </t>
  </si>
  <si>
    <t xml:space="preserve">aqic.p </t>
  </si>
  <si>
    <t xml:space="preserve">aqid.rsd </t>
  </si>
  <si>
    <t>ca.p</t>
  </si>
  <si>
    <t xml:space="preserve">aqie.p </t>
  </si>
  <si>
    <t>Attackers daggers attacking take 3</t>
  </si>
  <si>
    <t xml:space="preserve">aqif.rsd </t>
  </si>
  <si>
    <t xml:space="preserve">aqja.p </t>
  </si>
  <si>
    <t xml:space="preserve">aqjb.rsd </t>
  </si>
  <si>
    <t xml:space="preserve">aqjc.p </t>
  </si>
  <si>
    <t xml:space="preserve">aqjd.rsd </t>
  </si>
  <si>
    <t xml:space="preserve">aqje.p </t>
  </si>
  <si>
    <t xml:space="preserve">aqjf.rsd </t>
  </si>
  <si>
    <t xml:space="preserve">araa.p </t>
  </si>
  <si>
    <t xml:space="preserve">boat </t>
  </si>
  <si>
    <t xml:space="preserve">arab.rsd </t>
  </si>
  <si>
    <t>ca.rsd</t>
  </si>
  <si>
    <t xml:space="preserve">arac.p </t>
  </si>
  <si>
    <t xml:space="preserve">arad.rsd </t>
  </si>
  <si>
    <t xml:space="preserve">arae.p </t>
  </si>
  <si>
    <t xml:space="preserve">araf.rsd </t>
  </si>
  <si>
    <t xml:space="preserve">arba.p </t>
  </si>
  <si>
    <t xml:space="preserve">arbb.rsd </t>
  </si>
  <si>
    <t xml:space="preserve">arbc.p </t>
  </si>
  <si>
    <t xml:space="preserve">arbd.rsd </t>
  </si>
  <si>
    <t xml:space="preserve">arbe.p </t>
  </si>
  <si>
    <t xml:space="preserve">arbf.rsd </t>
  </si>
  <si>
    <t>camera.bin</t>
  </si>
  <si>
    <t xml:space="preserve">arca.p </t>
  </si>
  <si>
    <t xml:space="preserve">arcb.rsd </t>
  </si>
  <si>
    <t xml:space="preserve">boav </t>
  </si>
  <si>
    <t xml:space="preserve">arcc.p </t>
  </si>
  <si>
    <t xml:space="preserve">arcd.rsd </t>
  </si>
  <si>
    <t>cb.p</t>
  </si>
  <si>
    <t xml:space="preserve">arce.p </t>
  </si>
  <si>
    <t>Attackers daggers attacking take 4</t>
  </si>
  <si>
    <t xml:space="preserve">arcf.rsd </t>
  </si>
  <si>
    <t xml:space="preserve">arda.p </t>
  </si>
  <si>
    <t xml:space="preserve">ardb.rsd </t>
  </si>
  <si>
    <t xml:space="preserve">ardc.p </t>
  </si>
  <si>
    <t xml:space="preserve">ardd.rsd </t>
  </si>
  <si>
    <t xml:space="preserve">arde.p </t>
  </si>
  <si>
    <t xml:space="preserve">ardf.rsd </t>
  </si>
  <si>
    <t xml:space="preserve">area.p </t>
  </si>
  <si>
    <t xml:space="preserve">boaw </t>
  </si>
  <si>
    <t xml:space="preserve">areb.a </t>
  </si>
  <si>
    <t xml:space="preserve">arec.a </t>
  </si>
  <si>
    <t>cb.rsd</t>
  </si>
  <si>
    <t xml:space="preserve">ared.a </t>
  </si>
  <si>
    <t xml:space="preserve">aree.a </t>
  </si>
  <si>
    <t xml:space="preserve">aref.a </t>
  </si>
  <si>
    <t xml:space="preserve">arfa.a </t>
  </si>
  <si>
    <t xml:space="preserve">arfb.a </t>
  </si>
  <si>
    <t xml:space="preserve">arfc.a </t>
  </si>
  <si>
    <t xml:space="preserve">arfd.hrc </t>
  </si>
  <si>
    <t>oldm3_sk</t>
  </si>
  <si>
    <t xml:space="preserve">arfe.rsd </t>
  </si>
  <si>
    <t>Old Man 3: Lower Chest</t>
  </si>
  <si>
    <t xml:space="preserve">arff.p </t>
  </si>
  <si>
    <t xml:space="preserve">arga.rsd </t>
  </si>
  <si>
    <t>Old Man 3: Upper Chest</t>
  </si>
  <si>
    <t>cc.p</t>
  </si>
  <si>
    <t xml:space="preserve">boax </t>
  </si>
  <si>
    <t xml:space="preserve">argb.p </t>
  </si>
  <si>
    <t>Attackers daggers attacking take 5</t>
  </si>
  <si>
    <t xml:space="preserve">argc.rsd </t>
  </si>
  <si>
    <t>Old Man 3: Head</t>
  </si>
  <si>
    <t xml:space="preserve">argd.p </t>
  </si>
  <si>
    <t xml:space="preserve">arge.tex </t>
  </si>
  <si>
    <t>Old Man 3: Eye</t>
  </si>
  <si>
    <t xml:space="preserve">argf.tex </t>
  </si>
  <si>
    <t xml:space="preserve">arha.rsd </t>
  </si>
  <si>
    <t>Old Man 3: Upper Arm</t>
  </si>
  <si>
    <t xml:space="preserve">arhb.p </t>
  </si>
  <si>
    <t>cc.rsd</t>
  </si>
  <si>
    <t xml:space="preserve">arhc.rsd </t>
  </si>
  <si>
    <t>Old Man 3: Lower Arm</t>
  </si>
  <si>
    <t xml:space="preserve">boay </t>
  </si>
  <si>
    <t xml:space="preserve">arhd.p </t>
  </si>
  <si>
    <t xml:space="preserve">arhe.rsd </t>
  </si>
  <si>
    <t>Old Man 3: Hand</t>
  </si>
  <si>
    <t xml:space="preserve">arhf.p </t>
  </si>
  <si>
    <t xml:space="preserve">aria.rsd </t>
  </si>
  <si>
    <t xml:space="preserve">arib.p </t>
  </si>
  <si>
    <t xml:space="preserve">boaz </t>
  </si>
  <si>
    <t>cd.p</t>
  </si>
  <si>
    <t xml:space="preserve">aric.rsd </t>
  </si>
  <si>
    <t>Attackers daggers attacking take 6</t>
  </si>
  <si>
    <t xml:space="preserve">arid.p </t>
  </si>
  <si>
    <t xml:space="preserve">arie.rsd </t>
  </si>
  <si>
    <t xml:space="preserve">arif.p </t>
  </si>
  <si>
    <t xml:space="preserve">arja.rsd </t>
  </si>
  <si>
    <t>Old Man 3: Upper Leg</t>
  </si>
  <si>
    <t xml:space="preserve">arjb.p </t>
  </si>
  <si>
    <t xml:space="preserve">arjc.rsd </t>
  </si>
  <si>
    <t>Old Man 3: Lower Leg</t>
  </si>
  <si>
    <t xml:space="preserve">arjd.p </t>
  </si>
  <si>
    <t xml:space="preserve">boba </t>
  </si>
  <si>
    <t>cd.rsd</t>
  </si>
  <si>
    <t>8.4 K</t>
  </si>
  <si>
    <t xml:space="preserve">arje.rsd </t>
  </si>
  <si>
    <t>Old Man 3: Foot</t>
  </si>
  <si>
    <t xml:space="preserve">arjf.p </t>
  </si>
  <si>
    <t xml:space="preserve">asaa.rsd </t>
  </si>
  <si>
    <t xml:space="preserve">asab.p </t>
  </si>
  <si>
    <t xml:space="preserve">asac.rsd </t>
  </si>
  <si>
    <t xml:space="preserve">asad.p </t>
  </si>
  <si>
    <t xml:space="preserve">asae.rsd </t>
  </si>
  <si>
    <t xml:space="preserve">asaf.p </t>
  </si>
  <si>
    <t>Attackers daggers attacking take 7</t>
  </si>
  <si>
    <t xml:space="preserve">bobb </t>
  </si>
  <si>
    <t xml:space="preserve">asba.a </t>
  </si>
  <si>
    <t>972 Bytes</t>
  </si>
  <si>
    <t xml:space="preserve">asbb.a </t>
  </si>
  <si>
    <t xml:space="preserve">asbc.a </t>
  </si>
  <si>
    <t xml:space="preserve">asbd.a </t>
  </si>
  <si>
    <t xml:space="preserve">asbe.a </t>
  </si>
  <si>
    <t xml:space="preserve">asbf.hrc </t>
  </si>
  <si>
    <t xml:space="preserve">bobc </t>
  </si>
  <si>
    <t>man10_sk</t>
  </si>
  <si>
    <t>Man 10 (7th Heaven client)</t>
  </si>
  <si>
    <t xml:space="preserve">asca.rsd </t>
  </si>
  <si>
    <t>Man 10: Lower Chest</t>
  </si>
  <si>
    <t xml:space="preserve">ascb.p </t>
  </si>
  <si>
    <t xml:space="preserve">ascc.rsd </t>
  </si>
  <si>
    <t>Man 10: Upper Chest</t>
  </si>
  <si>
    <t xml:space="preserve">ascd.p </t>
  </si>
  <si>
    <t>Defender attacking take 1</t>
  </si>
  <si>
    <t xml:space="preserve">bobd </t>
  </si>
  <si>
    <t xml:space="preserve">asce.rsd </t>
  </si>
  <si>
    <t>Man 10: Head</t>
  </si>
  <si>
    <t xml:space="preserve">ascf.p </t>
  </si>
  <si>
    <t xml:space="preserve">asda.tex </t>
  </si>
  <si>
    <t>Man 10: Eye</t>
  </si>
  <si>
    <t xml:space="preserve">asdb.tex </t>
  </si>
  <si>
    <t xml:space="preserve">asdc.tex </t>
  </si>
  <si>
    <t>Man 10: Mouth</t>
  </si>
  <si>
    <t xml:space="preserve">bobf </t>
  </si>
  <si>
    <t xml:space="preserve">asdd.rsd </t>
  </si>
  <si>
    <t>Man 10: Upper Arm</t>
  </si>
  <si>
    <t xml:space="preserve">asde.p </t>
  </si>
  <si>
    <t xml:space="preserve">asdf.rsd </t>
  </si>
  <si>
    <t>Man 10: Lower Arm</t>
  </si>
  <si>
    <t xml:space="preserve">asea.p </t>
  </si>
  <si>
    <t>Defender attacking take 2</t>
  </si>
  <si>
    <t xml:space="preserve">aseb.rsd </t>
  </si>
  <si>
    <t xml:space="preserve">bobg </t>
  </si>
  <si>
    <t>Man 10: Hand</t>
  </si>
  <si>
    <t xml:space="preserve">asec.p </t>
  </si>
  <si>
    <t xml:space="preserve">ased.rsd </t>
  </si>
  <si>
    <t xml:space="preserve">asee.p </t>
  </si>
  <si>
    <t xml:space="preserve">asef.rsd </t>
  </si>
  <si>
    <t xml:space="preserve">bobi </t>
  </si>
  <si>
    <t xml:space="preserve">asfa.p </t>
  </si>
  <si>
    <t xml:space="preserve">asfb.rsd </t>
  </si>
  <si>
    <t xml:space="preserve">asfc.p </t>
  </si>
  <si>
    <t xml:space="preserve">asfd.rsd </t>
  </si>
  <si>
    <t>Man 10: Upper Leg</t>
  </si>
  <si>
    <t xml:space="preserve">bobl </t>
  </si>
  <si>
    <t xml:space="preserve">asfe.p </t>
  </si>
  <si>
    <t>Defender attacking take 3</t>
  </si>
  <si>
    <t xml:space="preserve">asff.rsd </t>
  </si>
  <si>
    <t>Man 10: Lower Leg</t>
  </si>
  <si>
    <t xml:space="preserve">asga.p </t>
  </si>
  <si>
    <t xml:space="preserve">asgb.rsd </t>
  </si>
  <si>
    <t>Man 10: Foot</t>
  </si>
  <si>
    <t xml:space="preserve">bobm </t>
  </si>
  <si>
    <t xml:space="preserve">asgc.p </t>
  </si>
  <si>
    <t xml:space="preserve">asgd.rsd </t>
  </si>
  <si>
    <t xml:space="preserve">asge.p </t>
  </si>
  <si>
    <t xml:space="preserve">asgf.rsd </t>
  </si>
  <si>
    <t xml:space="preserve">asha.p </t>
  </si>
  <si>
    <t xml:space="preserve">bobn </t>
  </si>
  <si>
    <t>Defender attacking take 4</t>
  </si>
  <si>
    <t xml:space="preserve">ashb.rsd </t>
  </si>
  <si>
    <t xml:space="preserve">ashc.p </t>
  </si>
  <si>
    <t xml:space="preserve">ashd.a </t>
  </si>
  <si>
    <t xml:space="preserve">ashe.a </t>
  </si>
  <si>
    <t xml:space="preserve">ashf.a </t>
  </si>
  <si>
    <t xml:space="preserve">bobo </t>
  </si>
  <si>
    <t xml:space="preserve">asia.a </t>
  </si>
  <si>
    <t xml:space="preserve">asib.a </t>
  </si>
  <si>
    <t xml:space="preserve">asic.a </t>
  </si>
  <si>
    <t xml:space="preserve">asid.a </t>
  </si>
  <si>
    <t xml:space="preserve">asie.a </t>
  </si>
  <si>
    <t xml:space="preserve">asif.a </t>
  </si>
  <si>
    <t xml:space="preserve">bobq </t>
  </si>
  <si>
    <t>Defender attacking take 5</t>
  </si>
  <si>
    <t xml:space="preserve">asja.a </t>
  </si>
  <si>
    <t xml:space="preserve">asjb.a </t>
  </si>
  <si>
    <t xml:space="preserve">asjc.hrc </t>
  </si>
  <si>
    <t>guid_sk</t>
  </si>
  <si>
    <t xml:space="preserve">asjd.rsd </t>
  </si>
  <si>
    <t>Chocobo Sage</t>
  </si>
  <si>
    <t xml:space="preserve">asje.p </t>
  </si>
  <si>
    <t xml:space="preserve">bobr </t>
  </si>
  <si>
    <t xml:space="preserve">asjf.rsd </t>
  </si>
  <si>
    <t xml:space="preserve">ataa.p </t>
  </si>
  <si>
    <t xml:space="preserve">atab.rsd </t>
  </si>
  <si>
    <t xml:space="preserve">atac.p </t>
  </si>
  <si>
    <t xml:space="preserve">bobs </t>
  </si>
  <si>
    <t xml:space="preserve">atad.rsd </t>
  </si>
  <si>
    <t>Defender attacking take 6</t>
  </si>
  <si>
    <t xml:space="preserve">atae.p </t>
  </si>
  <si>
    <t xml:space="preserve">ataf.rsd </t>
  </si>
  <si>
    <t xml:space="preserve">atba.p </t>
  </si>
  <si>
    <t xml:space="preserve">atbb.rsd </t>
  </si>
  <si>
    <t xml:space="preserve">bobt </t>
  </si>
  <si>
    <t xml:space="preserve">atbc.p </t>
  </si>
  <si>
    <t xml:space="preserve">atbd.rsd </t>
  </si>
  <si>
    <t xml:space="preserve">atbe.p </t>
  </si>
  <si>
    <t xml:space="preserve">atbf.rsd </t>
  </si>
  <si>
    <t xml:space="preserve">atca.p </t>
  </si>
  <si>
    <t xml:space="preserve">bobu </t>
  </si>
  <si>
    <t>Defender attacking take 7</t>
  </si>
  <si>
    <t xml:space="preserve">atcb.rsd </t>
  </si>
  <si>
    <t xml:space="preserve">atcc.p </t>
  </si>
  <si>
    <t xml:space="preserve">atcd.rsd </t>
  </si>
  <si>
    <t xml:space="preserve">atce.p </t>
  </si>
  <si>
    <t xml:space="preserve">atcf.a </t>
  </si>
  <si>
    <t xml:space="preserve">atda.a </t>
  </si>
  <si>
    <t xml:space="preserve">bobv </t>
  </si>
  <si>
    <t xml:space="preserve">atdb.a </t>
  </si>
  <si>
    <t xml:space="preserve">atdc.a </t>
  </si>
  <si>
    <t xml:space="preserve">atdd.a </t>
  </si>
  <si>
    <t xml:space="preserve">atde.a </t>
  </si>
  <si>
    <t xml:space="preserve">atdf.a </t>
  </si>
  <si>
    <t xml:space="preserve">boda </t>
  </si>
  <si>
    <t xml:space="preserve">atea.a </t>
  </si>
  <si>
    <t>8.2 K</t>
  </si>
  <si>
    <t>Defender attacking take 8</t>
  </si>
  <si>
    <t xml:space="preserve">ateb.hrc </t>
  </si>
  <si>
    <t>mtra7_sk</t>
  </si>
  <si>
    <t xml:space="preserve">atec.rsd </t>
  </si>
  <si>
    <t xml:space="preserve">bpaa </t>
  </si>
  <si>
    <t>Command Materia (Yellow)</t>
  </si>
  <si>
    <t>Ghost: Battle Skeleton</t>
  </si>
  <si>
    <t xml:space="preserve">ated.p </t>
  </si>
  <si>
    <t xml:space="preserve">atee.a </t>
  </si>
  <si>
    <t xml:space="preserve">atef.a </t>
  </si>
  <si>
    <t xml:space="preserve">atfa.a </t>
  </si>
  <si>
    <t xml:space="preserve">atfb.a </t>
  </si>
  <si>
    <t xml:space="preserve">atfc.a </t>
  </si>
  <si>
    <t xml:space="preserve">bpab </t>
  </si>
  <si>
    <t>Ghost: Unidentified Part</t>
  </si>
  <si>
    <t xml:space="preserve">atfd.a </t>
  </si>
  <si>
    <t xml:space="preserve">atfe.hrc </t>
  </si>
  <si>
    <t>rkret_sk</t>
  </si>
  <si>
    <t xml:space="preserve">bpam </t>
  </si>
  <si>
    <t xml:space="preserve">atff.rsd </t>
  </si>
  <si>
    <t>Lucrecia: Lower Chest</t>
  </si>
  <si>
    <t xml:space="preserve">atga.p </t>
  </si>
  <si>
    <t xml:space="preserve">atgb.rsd </t>
  </si>
  <si>
    <t>Lucrecia: Upper Chest</t>
  </si>
  <si>
    <t xml:space="preserve">atgc.p </t>
  </si>
  <si>
    <t xml:space="preserve">atgd.rsd </t>
  </si>
  <si>
    <t>Lucrecia: Head</t>
  </si>
  <si>
    <t xml:space="preserve">bpan </t>
  </si>
  <si>
    <t>6.5 K</t>
  </si>
  <si>
    <t>Defender attacking take 9</t>
  </si>
  <si>
    <t xml:space="preserve">atge.p </t>
  </si>
  <si>
    <t xml:space="preserve">atgf.tex </t>
  </si>
  <si>
    <t>Lucrecia: Eye</t>
  </si>
  <si>
    <t xml:space="preserve">atha.tex </t>
  </si>
  <si>
    <t xml:space="preserve">athb.tex </t>
  </si>
  <si>
    <t>Lucrecia: Mouth</t>
  </si>
  <si>
    <t xml:space="preserve">athc.rsd </t>
  </si>
  <si>
    <t xml:space="preserve">bpap </t>
  </si>
  <si>
    <t>Lucrecia: Earrings</t>
  </si>
  <si>
    <t xml:space="preserve">athd.p </t>
  </si>
  <si>
    <t xml:space="preserve">athe.rsd </t>
  </si>
  <si>
    <t>Lucrecia: Upper Arm</t>
  </si>
  <si>
    <t xml:space="preserve">athf.p </t>
  </si>
  <si>
    <t xml:space="preserve">atia.rsd </t>
  </si>
  <si>
    <t xml:space="preserve">bpaq </t>
  </si>
  <si>
    <t>Defender attacking take 10</t>
  </si>
  <si>
    <t>Lucrecia: Lower Arm</t>
  </si>
  <si>
    <t xml:space="preserve">atib.p </t>
  </si>
  <si>
    <t xml:space="preserve">atic.rsd </t>
  </si>
  <si>
    <t>Lucrecia: Hand</t>
  </si>
  <si>
    <t xml:space="preserve">atid.p </t>
  </si>
  <si>
    <t xml:space="preserve">atie.rsd </t>
  </si>
  <si>
    <t xml:space="preserve">bpar </t>
  </si>
  <si>
    <t xml:space="preserve">atif.p </t>
  </si>
  <si>
    <t xml:space="preserve">atja.rsd </t>
  </si>
  <si>
    <t xml:space="preserve">atjb.p </t>
  </si>
  <si>
    <t xml:space="preserve">atjc.rsd </t>
  </si>
  <si>
    <t xml:space="preserve">atjd.p </t>
  </si>
  <si>
    <t xml:space="preserve">bpas </t>
  </si>
  <si>
    <t xml:space="preserve">atje.rsd </t>
  </si>
  <si>
    <t>Defender attacking take 11</t>
  </si>
  <si>
    <t>Lucrecia: Upper Leg</t>
  </si>
  <si>
    <t xml:space="preserve">atjf.p </t>
  </si>
  <si>
    <t xml:space="preserve">auaa.rsd </t>
  </si>
  <si>
    <t>Lucrecia: Lower Leg</t>
  </si>
  <si>
    <t xml:space="preserve">auab.p </t>
  </si>
  <si>
    <t xml:space="preserve">auac.rsd </t>
  </si>
  <si>
    <t>Lucrecia: Foot</t>
  </si>
  <si>
    <t xml:space="preserve">auad.p </t>
  </si>
  <si>
    <t xml:space="preserve">bpau </t>
  </si>
  <si>
    <t>952 Bytes</t>
  </si>
  <si>
    <t xml:space="preserve">auae.rsd </t>
  </si>
  <si>
    <t xml:space="preserve">auaf.p </t>
  </si>
  <si>
    <t xml:space="preserve">auba.rsd </t>
  </si>
  <si>
    <t xml:space="preserve">aubb.p </t>
  </si>
  <si>
    <t xml:space="preserve">bpaw </t>
  </si>
  <si>
    <t>Defender attacking take 12</t>
  </si>
  <si>
    <t xml:space="preserve">aubc.rsd </t>
  </si>
  <si>
    <t xml:space="preserve">aubd.p </t>
  </si>
  <si>
    <t xml:space="preserve">aube.a </t>
  </si>
  <si>
    <t xml:space="preserve">aubf.a </t>
  </si>
  <si>
    <t xml:space="preserve">auca.a </t>
  </si>
  <si>
    <t xml:space="preserve">bpax </t>
  </si>
  <si>
    <t xml:space="preserve">aucb.a </t>
  </si>
  <si>
    <t xml:space="preserve">aucc.a </t>
  </si>
  <si>
    <t xml:space="preserve">aucd.a </t>
  </si>
  <si>
    <t xml:space="preserve">auce.a </t>
  </si>
  <si>
    <t xml:space="preserve">aucf.a </t>
  </si>
  <si>
    <t xml:space="preserve">bpaz </t>
  </si>
  <si>
    <t>Defender attacking take 13</t>
  </si>
  <si>
    <t xml:space="preserve">auda.hrc </t>
  </si>
  <si>
    <t>vinsen_w_sk</t>
  </si>
  <si>
    <t xml:space="preserve">audb.rsd </t>
  </si>
  <si>
    <t>Vincent Gun?</t>
  </si>
  <si>
    <t xml:space="preserve">audc.p </t>
  </si>
  <si>
    <t xml:space="preserve">audd.a </t>
  </si>
  <si>
    <t xml:space="preserve">aude.hrc </t>
  </si>
  <si>
    <t xml:space="preserve">bpba </t>
  </si>
  <si>
    <t>mtra6_sk</t>
  </si>
  <si>
    <t xml:space="preserve">audf.rsd </t>
  </si>
  <si>
    <t>Independent Materia (Purple)</t>
  </si>
  <si>
    <t xml:space="preserve">auea.p </t>
  </si>
  <si>
    <t xml:space="preserve">aueb.a </t>
  </si>
  <si>
    <t xml:space="preserve">auec.a </t>
  </si>
  <si>
    <t xml:space="preserve">aued.a </t>
  </si>
  <si>
    <t xml:space="preserve">bpbb </t>
  </si>
  <si>
    <t xml:space="preserve">auee.a </t>
  </si>
  <si>
    <t>Defender attacking take 14</t>
  </si>
  <si>
    <t xml:space="preserve">auef.a </t>
  </si>
  <si>
    <t xml:space="preserve">aufa.a </t>
  </si>
  <si>
    <t xml:space="preserve">aufb.a </t>
  </si>
  <si>
    <t xml:space="preserve">aufc.a </t>
  </si>
  <si>
    <t xml:space="preserve">aufd.a </t>
  </si>
  <si>
    <t xml:space="preserve">bpbc </t>
  </si>
  <si>
    <t xml:space="preserve">aufe.a </t>
  </si>
  <si>
    <t xml:space="preserve">auff.hrc </t>
  </si>
  <si>
    <t>n_earith_sk</t>
  </si>
  <si>
    <t xml:space="preserve">auga.rsd </t>
  </si>
  <si>
    <t>Aerith: Lower Chest</t>
  </si>
  <si>
    <t xml:space="preserve">augb.p </t>
  </si>
  <si>
    <t xml:space="preserve">bpbe </t>
  </si>
  <si>
    <t xml:space="preserve">augc.rsd </t>
  </si>
  <si>
    <t>Aerith: Upper Chest</t>
  </si>
  <si>
    <t>Defender attacking take 15</t>
  </si>
  <si>
    <t xml:space="preserve">augd.p </t>
  </si>
  <si>
    <t xml:space="preserve">auge.rsd </t>
  </si>
  <si>
    <t>Aerith: Head</t>
  </si>
  <si>
    <t xml:space="preserve">augf.p </t>
  </si>
  <si>
    <t xml:space="preserve">auha.tex </t>
  </si>
  <si>
    <t>Aerith: Eye</t>
  </si>
  <si>
    <t xml:space="preserve">bpbg </t>
  </si>
  <si>
    <t xml:space="preserve">auhb.tex </t>
  </si>
  <si>
    <t xml:space="preserve">auhc.tex </t>
  </si>
  <si>
    <t>Aerith: Mouth</t>
  </si>
  <si>
    <t xml:space="preserve">auhd.rsd </t>
  </si>
  <si>
    <t>Aerith: Hair</t>
  </si>
  <si>
    <t xml:space="preserve">auhe.p </t>
  </si>
  <si>
    <t xml:space="preserve">auhf.rsd </t>
  </si>
  <si>
    <t xml:space="preserve">bpbh </t>
  </si>
  <si>
    <t>Aerith: Upper Arm</t>
  </si>
  <si>
    <t>Defender attacking take 16</t>
  </si>
  <si>
    <t xml:space="preserve">auia.p </t>
  </si>
  <si>
    <t xml:space="preserve">auib.rsd </t>
  </si>
  <si>
    <t>Aerith: Lower Arm</t>
  </si>
  <si>
    <t xml:space="preserve">auic.p </t>
  </si>
  <si>
    <t xml:space="preserve">auid.rsd </t>
  </si>
  <si>
    <t>Aerith: Hand</t>
  </si>
  <si>
    <t xml:space="preserve">bpbi </t>
  </si>
  <si>
    <t xml:space="preserve">auie.p </t>
  </si>
  <si>
    <t xml:space="preserve">auif.rsd </t>
  </si>
  <si>
    <t xml:space="preserve">auja.p </t>
  </si>
  <si>
    <t xml:space="preserve">aujb.rsd </t>
  </si>
  <si>
    <t xml:space="preserve">aujc.p </t>
  </si>
  <si>
    <t xml:space="preserve">bpbj </t>
  </si>
  <si>
    <t xml:space="preserve">aujd.rsd </t>
  </si>
  <si>
    <t>Defender attacking take 17</t>
  </si>
  <si>
    <t xml:space="preserve">auje.p </t>
  </si>
  <si>
    <t xml:space="preserve">aujf.rsd </t>
  </si>
  <si>
    <t>Aerith: Upper Leg</t>
  </si>
  <si>
    <t xml:space="preserve">avaa.p </t>
  </si>
  <si>
    <t xml:space="preserve">avab.rsd </t>
  </si>
  <si>
    <t>Aerith: Lower Leg</t>
  </si>
  <si>
    <t xml:space="preserve">bpbk </t>
  </si>
  <si>
    <t xml:space="preserve">avac.p </t>
  </si>
  <si>
    <t xml:space="preserve">avad.rsd </t>
  </si>
  <si>
    <t>Aerith: Foot</t>
  </si>
  <si>
    <t xml:space="preserve">avae.p </t>
  </si>
  <si>
    <t xml:space="preserve">avaf.rsd </t>
  </si>
  <si>
    <t xml:space="preserve">avba.p </t>
  </si>
  <si>
    <t xml:space="preserve">bpbl </t>
  </si>
  <si>
    <t xml:space="preserve">avbb.rsd </t>
  </si>
  <si>
    <t xml:space="preserve">avbc.p </t>
  </si>
  <si>
    <t xml:space="preserve">avbd.rsd </t>
  </si>
  <si>
    <t>Defender attacking take 18</t>
  </si>
  <si>
    <t xml:space="preserve">avbe.p </t>
  </si>
  <si>
    <t xml:space="preserve">avbf.a </t>
  </si>
  <si>
    <t>Aerith: Standing Still</t>
  </si>
  <si>
    <t xml:space="preserve">bpbm </t>
  </si>
  <si>
    <t xml:space="preserve">avca.a </t>
  </si>
  <si>
    <t>Aerith: Walking</t>
  </si>
  <si>
    <t xml:space="preserve">avcb.a </t>
  </si>
  <si>
    <t>Aerith: Running</t>
  </si>
  <si>
    <t xml:space="preserve">avcc.a </t>
  </si>
  <si>
    <t>Aerith: Sitting / Standing</t>
  </si>
  <si>
    <t xml:space="preserve">avcd.a </t>
  </si>
  <si>
    <t>Aerith: Sitting / Looking Left</t>
  </si>
  <si>
    <t xml:space="preserve">avce.a </t>
  </si>
  <si>
    <t xml:space="preserve">avcf.a </t>
  </si>
  <si>
    <t xml:space="preserve">avda.a </t>
  </si>
  <si>
    <t xml:space="preserve">avdb.a </t>
  </si>
  <si>
    <t xml:space="preserve">bpbn </t>
  </si>
  <si>
    <t>Defenders hammer attacking take 1</t>
  </si>
  <si>
    <t xml:space="preserve">avdc.a </t>
  </si>
  <si>
    <t xml:space="preserve">avdd.a </t>
  </si>
  <si>
    <t xml:space="preserve">avde.a </t>
  </si>
  <si>
    <t xml:space="preserve">avdf.a </t>
  </si>
  <si>
    <t xml:space="preserve">bpbo </t>
  </si>
  <si>
    <t xml:space="preserve">avea.a </t>
  </si>
  <si>
    <t xml:space="preserve">aveb.a </t>
  </si>
  <si>
    <t xml:space="preserve">avec.a </t>
  </si>
  <si>
    <t xml:space="preserve">aved.a </t>
  </si>
  <si>
    <t xml:space="preserve">avee.a </t>
  </si>
  <si>
    <t>Defenders hammer attacking take 2</t>
  </si>
  <si>
    <t xml:space="preserve">avef.a </t>
  </si>
  <si>
    <t xml:space="preserve">bpda </t>
  </si>
  <si>
    <t xml:space="preserve">avfa.a </t>
  </si>
  <si>
    <t xml:space="preserve">avfb.a </t>
  </si>
  <si>
    <t xml:space="preserve">bqaa </t>
  </si>
  <si>
    <t>Cripshay:Battle Skeleton</t>
  </si>
  <si>
    <t xml:space="preserve">avfc.a </t>
  </si>
  <si>
    <t xml:space="preserve">avfd.a </t>
  </si>
  <si>
    <t xml:space="preserve">avfe.hrc </t>
  </si>
  <si>
    <t>saveicn_sk</t>
  </si>
  <si>
    <t xml:space="preserve">avff.rsd </t>
  </si>
  <si>
    <t>Save Point: Base Circle 1</t>
  </si>
  <si>
    <t xml:space="preserve">avga.p </t>
  </si>
  <si>
    <t xml:space="preserve">bqab </t>
  </si>
  <si>
    <t xml:space="preserve">avgb.tex </t>
  </si>
  <si>
    <t>428 Bytes</t>
  </si>
  <si>
    <t>Cripshay: Unidentified Part</t>
  </si>
  <si>
    <t>Save Point: Circle Texture</t>
  </si>
  <si>
    <t xml:space="preserve">avgc.rsd </t>
  </si>
  <si>
    <t>Save Point: Base Circle 2</t>
  </si>
  <si>
    <t xml:space="preserve">bqam </t>
  </si>
  <si>
    <t xml:space="preserve">avgd.p </t>
  </si>
  <si>
    <t xml:space="preserve">avge.tex </t>
  </si>
  <si>
    <t xml:space="preserve">avgf.rsd </t>
  </si>
  <si>
    <t>Defenders hammer attacking take 3</t>
  </si>
  <si>
    <t>Save Point: Main Shaft</t>
  </si>
  <si>
    <t xml:space="preserve">avha.p </t>
  </si>
  <si>
    <t xml:space="preserve">avhb.rsd </t>
  </si>
  <si>
    <t xml:space="preserve">bqan </t>
  </si>
  <si>
    <t>Save Point: Upper "C"</t>
  </si>
  <si>
    <t xml:space="preserve">avhc.p </t>
  </si>
  <si>
    <t xml:space="preserve">avhd.a </t>
  </si>
  <si>
    <t>Save Point: Spinning</t>
  </si>
  <si>
    <t xml:space="preserve">avhe.hrc </t>
  </si>
  <si>
    <t>trb_wood_sk</t>
  </si>
  <si>
    <t xml:space="preserve">avhf.rsd </t>
  </si>
  <si>
    <t>Treasure Chest (wood)</t>
  </si>
  <si>
    <t xml:space="preserve">bqap </t>
  </si>
  <si>
    <t xml:space="preserve">avia.p </t>
  </si>
  <si>
    <t xml:space="preserve">avib.tex </t>
  </si>
  <si>
    <t xml:space="preserve">avic.rsd </t>
  </si>
  <si>
    <t>Defenders hammer attacking take 4</t>
  </si>
  <si>
    <t xml:space="preserve">avid.p </t>
  </si>
  <si>
    <t xml:space="preserve">avie.rsd </t>
  </si>
  <si>
    <t xml:space="preserve">bqar </t>
  </si>
  <si>
    <t xml:space="preserve">avif.p </t>
  </si>
  <si>
    <t xml:space="preserve">avja.rsd </t>
  </si>
  <si>
    <t xml:space="preserve">avjb.p </t>
  </si>
  <si>
    <t xml:space="preserve">avjc.tex </t>
  </si>
  <si>
    <t xml:space="preserve">avjd.a </t>
  </si>
  <si>
    <t xml:space="preserve">bqat </t>
  </si>
  <si>
    <t xml:space="preserve">avje.a </t>
  </si>
  <si>
    <t>data.bin</t>
  </si>
  <si>
    <t xml:space="preserve">avjf.a </t>
  </si>
  <si>
    <t xml:space="preserve">awaa.a </t>
  </si>
  <si>
    <t>db.p</t>
  </si>
  <si>
    <t xml:space="preserve">awab.a </t>
  </si>
  <si>
    <t>Defenders hammer attacking take 5</t>
  </si>
  <si>
    <t xml:space="preserve">awac.a </t>
  </si>
  <si>
    <t xml:space="preserve">awad.a </t>
  </si>
  <si>
    <t xml:space="preserve">bqau </t>
  </si>
  <si>
    <t xml:space="preserve">awae.hrc </t>
  </si>
  <si>
    <t>trb_glow_sk</t>
  </si>
  <si>
    <t xml:space="preserve">awaf.rsd </t>
  </si>
  <si>
    <t>db.rsd</t>
  </si>
  <si>
    <t>Treasure Chest: Box</t>
  </si>
  <si>
    <t xml:space="preserve">awba.p </t>
  </si>
  <si>
    <t xml:space="preserve">awbb.rsd </t>
  </si>
  <si>
    <t>Treasure Chest: Lid</t>
  </si>
  <si>
    <t xml:space="preserve">awbc.p </t>
  </si>
  <si>
    <t xml:space="preserve">bqav </t>
  </si>
  <si>
    <t xml:space="preserve">awbd.a </t>
  </si>
  <si>
    <t>Treasure Chest: Opening</t>
  </si>
  <si>
    <t>dc.p</t>
  </si>
  <si>
    <t xml:space="preserve">awbe.hrc </t>
  </si>
  <si>
    <t>Defenders hammer attacking take 6</t>
  </si>
  <si>
    <t>mtra4_sk</t>
  </si>
  <si>
    <t xml:space="preserve">awbf.rsd </t>
  </si>
  <si>
    <t>Summon Materia (Red)</t>
  </si>
  <si>
    <t xml:space="preserve">awca.p </t>
  </si>
  <si>
    <t xml:space="preserve">bqax </t>
  </si>
  <si>
    <t xml:space="preserve">awcb.hrc </t>
  </si>
  <si>
    <t>ippan_1_sk</t>
  </si>
  <si>
    <t>Employee 1</t>
  </si>
  <si>
    <t xml:space="preserve">awcc.rsd </t>
  </si>
  <si>
    <t>dc.rsd</t>
  </si>
  <si>
    <t>Employee 1: Lower Chest</t>
  </si>
  <si>
    <t xml:space="preserve">awcd.p </t>
  </si>
  <si>
    <t xml:space="preserve">awce.rsd </t>
  </si>
  <si>
    <t>Employee 1: Upper Chest</t>
  </si>
  <si>
    <t xml:space="preserve">bqay </t>
  </si>
  <si>
    <t xml:space="preserve">awcf.p </t>
  </si>
  <si>
    <t xml:space="preserve">awda.rsd </t>
  </si>
  <si>
    <t>Employee 1: Head</t>
  </si>
  <si>
    <t>dd.p</t>
  </si>
  <si>
    <t xml:space="preserve">awdb.p </t>
  </si>
  <si>
    <t>Defenders hammer attacking take 7</t>
  </si>
  <si>
    <t xml:space="preserve">awdc.tex </t>
  </si>
  <si>
    <t>Employee 1: Eye</t>
  </si>
  <si>
    <t xml:space="preserve">awdd.tex </t>
  </si>
  <si>
    <t xml:space="preserve">awde.tex </t>
  </si>
  <si>
    <t xml:space="preserve">bqaz </t>
  </si>
  <si>
    <t>Employee 1: Mouth</t>
  </si>
  <si>
    <t xml:space="preserve">awdf.rsd </t>
  </si>
  <si>
    <t>Employee 1: Upper Arm</t>
  </si>
  <si>
    <t xml:space="preserve">awea.p </t>
  </si>
  <si>
    <t>dd.rsd</t>
  </si>
  <si>
    <t xml:space="preserve">aweb.rsd </t>
  </si>
  <si>
    <t>Employee 1: Lower Arm</t>
  </si>
  <si>
    <t xml:space="preserve">bqbb </t>
  </si>
  <si>
    <t xml:space="preserve">awec.p </t>
  </si>
  <si>
    <t xml:space="preserve">awed.rsd </t>
  </si>
  <si>
    <t>Employee 1: Hand</t>
  </si>
  <si>
    <t xml:space="preserve">awee.p </t>
  </si>
  <si>
    <t xml:space="preserve">awef.rsd </t>
  </si>
  <si>
    <t xml:space="preserve">awfa.p </t>
  </si>
  <si>
    <t xml:space="preserve">bqbd </t>
  </si>
  <si>
    <t xml:space="preserve">awfb.rsd </t>
  </si>
  <si>
    <t>de.p</t>
  </si>
  <si>
    <t>Defenders hammer attacking take 8</t>
  </si>
  <si>
    <t xml:space="preserve">awfc.p </t>
  </si>
  <si>
    <t xml:space="preserve">awfd.rsd </t>
  </si>
  <si>
    <t xml:space="preserve">awfe.p </t>
  </si>
  <si>
    <t xml:space="preserve">awff.rsd </t>
  </si>
  <si>
    <t>Employee 1: Upper Leg</t>
  </si>
  <si>
    <t xml:space="preserve">bqbe </t>
  </si>
  <si>
    <t xml:space="preserve">awga.p </t>
  </si>
  <si>
    <t xml:space="preserve">awgb.rsd </t>
  </si>
  <si>
    <t>Employee 1: Lower Leg</t>
  </si>
  <si>
    <t xml:space="preserve">awgc.p </t>
  </si>
  <si>
    <t xml:space="preserve">awgd.rsd </t>
  </si>
  <si>
    <t>de.rsd</t>
  </si>
  <si>
    <t>Employee 1: Foot</t>
  </si>
  <si>
    <t xml:space="preserve">awge.p </t>
  </si>
  <si>
    <t xml:space="preserve">bqbg </t>
  </si>
  <si>
    <t xml:space="preserve">awgf.rsd </t>
  </si>
  <si>
    <t xml:space="preserve">awha.p </t>
  </si>
  <si>
    <t xml:space="preserve">awhb.rsd </t>
  </si>
  <si>
    <t xml:space="preserve">awhc.p </t>
  </si>
  <si>
    <t>df.p</t>
  </si>
  <si>
    <t>Shooter attacking take 1</t>
  </si>
  <si>
    <t xml:space="preserve">bqbi </t>
  </si>
  <si>
    <t xml:space="preserve">awhd.rsd </t>
  </si>
  <si>
    <t xml:space="preserve">awhe.p </t>
  </si>
  <si>
    <t xml:space="preserve">awhf.hrc </t>
  </si>
  <si>
    <t>shinra_sk</t>
  </si>
  <si>
    <t>President Shinra</t>
  </si>
  <si>
    <t xml:space="preserve">awia.rsd </t>
  </si>
  <si>
    <t>President Shinra: Lower Chest</t>
  </si>
  <si>
    <t>df.rsd</t>
  </si>
  <si>
    <t xml:space="preserve">awib.p </t>
  </si>
  <si>
    <t xml:space="preserve">bqbj </t>
  </si>
  <si>
    <t xml:space="preserve">awic.rsd </t>
  </si>
  <si>
    <t>President Shinra: Upper Chest</t>
  </si>
  <si>
    <t xml:space="preserve">awid.p </t>
  </si>
  <si>
    <t xml:space="preserve">awie.rsd </t>
  </si>
  <si>
    <t>dg.p</t>
  </si>
  <si>
    <t>President Shinra: Head</t>
  </si>
  <si>
    <t>Shooter attacking take 2</t>
  </si>
  <si>
    <t xml:space="preserve">awif.p </t>
  </si>
  <si>
    <t xml:space="preserve">awja.tex </t>
  </si>
  <si>
    <t>President Shinra: Eye</t>
  </si>
  <si>
    <t xml:space="preserve">awjb.tex </t>
  </si>
  <si>
    <t xml:space="preserve">bqbk </t>
  </si>
  <si>
    <t xml:space="preserve">awjc.rsd </t>
  </si>
  <si>
    <t>President Shinra: Upper Arm</t>
  </si>
  <si>
    <t>dg.rsd</t>
  </si>
  <si>
    <t xml:space="preserve">awjd.p </t>
  </si>
  <si>
    <t xml:space="preserve">awje.rsd </t>
  </si>
  <si>
    <t>President Shinra: Lower Arm</t>
  </si>
  <si>
    <t xml:space="preserve">awjf.p </t>
  </si>
  <si>
    <t xml:space="preserve">axaa.rsd </t>
  </si>
  <si>
    <t>President Shinra: Hand</t>
  </si>
  <si>
    <t xml:space="preserve">bqbl </t>
  </si>
  <si>
    <t xml:space="preserve">axab.p </t>
  </si>
  <si>
    <t>dh.p</t>
  </si>
  <si>
    <t>Shooter attacking take 3</t>
  </si>
  <si>
    <t xml:space="preserve">axac.rsd </t>
  </si>
  <si>
    <t xml:space="preserve">axad.p </t>
  </si>
  <si>
    <t xml:space="preserve">axae.rsd </t>
  </si>
  <si>
    <t xml:space="preserve">axaf.p </t>
  </si>
  <si>
    <t xml:space="preserve">bqbm </t>
  </si>
  <si>
    <t xml:space="preserve">axba.rsd </t>
  </si>
  <si>
    <t>dh.rsd</t>
  </si>
  <si>
    <t xml:space="preserve">axbb.p </t>
  </si>
  <si>
    <t xml:space="preserve">axbc.rsd </t>
  </si>
  <si>
    <t>President Shinra: Upper Leg</t>
  </si>
  <si>
    <t xml:space="preserve">axbd.p </t>
  </si>
  <si>
    <t xml:space="preserve">axbe.rsd </t>
  </si>
  <si>
    <t>President Shinra: Lower Leg</t>
  </si>
  <si>
    <t xml:space="preserve">axbf.p </t>
  </si>
  <si>
    <t xml:space="preserve">bqda </t>
  </si>
  <si>
    <t xml:space="preserve">axca.rsd </t>
  </si>
  <si>
    <t>Shooter attacking take 4</t>
  </si>
  <si>
    <t>President Shinra: Foot</t>
  </si>
  <si>
    <t xml:space="preserve">axcb.p </t>
  </si>
  <si>
    <t xml:space="preserve">axcc.rsd </t>
  </si>
  <si>
    <t xml:space="preserve">braa </t>
  </si>
  <si>
    <t>532 Bytes</t>
  </si>
  <si>
    <t>Deenglow: Battle Skeleton</t>
  </si>
  <si>
    <t xml:space="preserve">axcd.p </t>
  </si>
  <si>
    <t xml:space="preserve">axce.rsd </t>
  </si>
  <si>
    <t xml:space="preserve">brab </t>
  </si>
  <si>
    <t xml:space="preserve">axcf.p </t>
  </si>
  <si>
    <t>Deenglow: Unidentified Part</t>
  </si>
  <si>
    <t xml:space="preserve">axda.rsd </t>
  </si>
  <si>
    <t>Shooter attacking take 5</t>
  </si>
  <si>
    <t xml:space="preserve">bram </t>
  </si>
  <si>
    <t xml:space="preserve">axdb.p </t>
  </si>
  <si>
    <t xml:space="preserve">axdc.hrc </t>
  </si>
  <si>
    <t>avawoman_sk</t>
  </si>
  <si>
    <t>Jesse</t>
  </si>
  <si>
    <t xml:space="preserve">axdd.rsd </t>
  </si>
  <si>
    <t>Jesse: Lower Chest</t>
  </si>
  <si>
    <t xml:space="preserve">axde.p </t>
  </si>
  <si>
    <t xml:space="preserve">bran </t>
  </si>
  <si>
    <t xml:space="preserve">axdf.rsd </t>
  </si>
  <si>
    <t>Jesse: Upper Chest</t>
  </si>
  <si>
    <t xml:space="preserve">axea.p </t>
  </si>
  <si>
    <t xml:space="preserve">axeb.rsd </t>
  </si>
  <si>
    <t>Jesse: Head</t>
  </si>
  <si>
    <t xml:space="preserve">axec.p </t>
  </si>
  <si>
    <t xml:space="preserve">brao </t>
  </si>
  <si>
    <t xml:space="preserve">axed.tex </t>
  </si>
  <si>
    <t>Shooter attacking take 6</t>
  </si>
  <si>
    <t>Jesse: Eye</t>
  </si>
  <si>
    <t xml:space="preserve">axee.tex </t>
  </si>
  <si>
    <t xml:space="preserve">axef.tex </t>
  </si>
  <si>
    <t>Jesse: Mouth</t>
  </si>
  <si>
    <t xml:space="preserve">axfa.rsd </t>
  </si>
  <si>
    <t>Jesse: Upper Arm</t>
  </si>
  <si>
    <t xml:space="preserve">axfb.p </t>
  </si>
  <si>
    <t xml:space="preserve">brap </t>
  </si>
  <si>
    <t xml:space="preserve">axfc.rsd </t>
  </si>
  <si>
    <t>Jesse: Lower Arm</t>
  </si>
  <si>
    <t xml:space="preserve">axfd.p </t>
  </si>
  <si>
    <t xml:space="preserve">axfe.rsd </t>
  </si>
  <si>
    <t>Jesse: Hand</t>
  </si>
  <si>
    <t xml:space="preserve">axff.p </t>
  </si>
  <si>
    <t xml:space="preserve">braq </t>
  </si>
  <si>
    <t>Shooter attacking take 7</t>
  </si>
  <si>
    <t xml:space="preserve">axga.rsd </t>
  </si>
  <si>
    <t xml:space="preserve">axgb.p </t>
  </si>
  <si>
    <t xml:space="preserve">axgc.rsd </t>
  </si>
  <si>
    <t xml:space="preserve">brar </t>
  </si>
  <si>
    <t xml:space="preserve">axgd.p </t>
  </si>
  <si>
    <t xml:space="preserve">axge.rsd </t>
  </si>
  <si>
    <t xml:space="preserve">axgf.p </t>
  </si>
  <si>
    <t xml:space="preserve">axha.rsd </t>
  </si>
  <si>
    <t>Jesse: Upper Leg</t>
  </si>
  <si>
    <t xml:space="preserve">axhb.p </t>
  </si>
  <si>
    <t xml:space="preserve">brat </t>
  </si>
  <si>
    <t>Shooter attacking take 8</t>
  </si>
  <si>
    <t xml:space="preserve">axhc.rsd </t>
  </si>
  <si>
    <t>Jesse: Lower Leg</t>
  </si>
  <si>
    <t xml:space="preserve">axhd.p </t>
  </si>
  <si>
    <t xml:space="preserve">axhe.rsd </t>
  </si>
  <si>
    <t>Jesse: Foot</t>
  </si>
  <si>
    <t xml:space="preserve">axhf.p </t>
  </si>
  <si>
    <t xml:space="preserve">brau </t>
  </si>
  <si>
    <t xml:space="preserve">axia.rsd </t>
  </si>
  <si>
    <t xml:space="preserve">axib.p </t>
  </si>
  <si>
    <t xml:space="preserve">axic.rsd </t>
  </si>
  <si>
    <t xml:space="preserve">axid.p </t>
  </si>
  <si>
    <t xml:space="preserve">axie.rsd </t>
  </si>
  <si>
    <t>Shooter attacking take 9</t>
  </si>
  <si>
    <t xml:space="preserve">axif.p </t>
  </si>
  <si>
    <t xml:space="preserve">braw </t>
  </si>
  <si>
    <t xml:space="preserve">axja.hrc </t>
  </si>
  <si>
    <t>tifa_sk</t>
  </si>
  <si>
    <t>Tifa - Dress</t>
  </si>
  <si>
    <t xml:space="preserve">axjb.rsd </t>
  </si>
  <si>
    <t xml:space="preserve">axjc.p </t>
  </si>
  <si>
    <t xml:space="preserve">axjd.rsd </t>
  </si>
  <si>
    <t xml:space="preserve">brax </t>
  </si>
  <si>
    <t xml:space="preserve">axje.p </t>
  </si>
  <si>
    <t xml:space="preserve">axjf.rsd </t>
  </si>
  <si>
    <t xml:space="preserve">ayaa.p </t>
  </si>
  <si>
    <t xml:space="preserve">ayab.tex </t>
  </si>
  <si>
    <t xml:space="preserve">ayac.tex </t>
  </si>
  <si>
    <t xml:space="preserve">braz </t>
  </si>
  <si>
    <t>Shooter attacking take 10</t>
  </si>
  <si>
    <t xml:space="preserve">ayad.tex </t>
  </si>
  <si>
    <t xml:space="preserve">ayae.rsd </t>
  </si>
  <si>
    <t xml:space="preserve">ayaf.p </t>
  </si>
  <si>
    <t xml:space="preserve">ayba.rsd </t>
  </si>
  <si>
    <t xml:space="preserve">brba </t>
  </si>
  <si>
    <t xml:space="preserve">aybb.p </t>
  </si>
  <si>
    <t xml:space="preserve">aybc.rsd </t>
  </si>
  <si>
    <t xml:space="preserve">aybd.p </t>
  </si>
  <si>
    <t xml:space="preserve">aybe.rsd </t>
  </si>
  <si>
    <t xml:space="preserve">aybf.p </t>
  </si>
  <si>
    <t xml:space="preserve">brbd </t>
  </si>
  <si>
    <t>Shooter attacking take 11</t>
  </si>
  <si>
    <t xml:space="preserve">ayca.rsd </t>
  </si>
  <si>
    <t xml:space="preserve">aycb.p </t>
  </si>
  <si>
    <t xml:space="preserve">aycc.rsd </t>
  </si>
  <si>
    <t xml:space="preserve">aycd.p </t>
  </si>
  <si>
    <t xml:space="preserve">brbe </t>
  </si>
  <si>
    <t xml:space="preserve">ayce.rsd </t>
  </si>
  <si>
    <t xml:space="preserve">aycf.p </t>
  </si>
  <si>
    <t xml:space="preserve">ayda.rsd </t>
  </si>
  <si>
    <t xml:space="preserve">brbg </t>
  </si>
  <si>
    <t>3.0 K</t>
  </si>
  <si>
    <t>Shooter attacking take 12</t>
  </si>
  <si>
    <t xml:space="preserve">aydb.p </t>
  </si>
  <si>
    <t xml:space="preserve">aydc.rsd </t>
  </si>
  <si>
    <t xml:space="preserve">aydd.p </t>
  </si>
  <si>
    <t xml:space="preserve">ayde.rsd </t>
  </si>
  <si>
    <t xml:space="preserve">aydf.p </t>
  </si>
  <si>
    <t xml:space="preserve">brbh </t>
  </si>
  <si>
    <t xml:space="preserve">ayea.rsd </t>
  </si>
  <si>
    <t xml:space="preserve">ayeb.p </t>
  </si>
  <si>
    <t xml:space="preserve">ayec.rsd </t>
  </si>
  <si>
    <t xml:space="preserve">ayed.p </t>
  </si>
  <si>
    <t xml:space="preserve">ayee.rsd </t>
  </si>
  <si>
    <t xml:space="preserve">brbl </t>
  </si>
  <si>
    <t>Shooter attacking take 13</t>
  </si>
  <si>
    <t xml:space="preserve">ayef.p </t>
  </si>
  <si>
    <t xml:space="preserve">ayfa.a </t>
  </si>
  <si>
    <t>Tifa: Japanese Greeting</t>
  </si>
  <si>
    <t xml:space="preserve">ayfb.hrc </t>
  </si>
  <si>
    <t>c_brllet_st</t>
  </si>
  <si>
    <t>Barret w/ navy uniform</t>
  </si>
  <si>
    <t xml:space="preserve">ayfc.rsd </t>
  </si>
  <si>
    <t xml:space="preserve">brbm </t>
  </si>
  <si>
    <t xml:space="preserve">ayfd.p </t>
  </si>
  <si>
    <t xml:space="preserve">ayfe.rsd </t>
  </si>
  <si>
    <t xml:space="preserve">ayff.p </t>
  </si>
  <si>
    <t xml:space="preserve">ayga.rsd </t>
  </si>
  <si>
    <t xml:space="preserve">brbn </t>
  </si>
  <si>
    <t>Stoner attacking take 1</t>
  </si>
  <si>
    <t xml:space="preserve">aygb.p </t>
  </si>
  <si>
    <t xml:space="preserve">aygc.tex </t>
  </si>
  <si>
    <t xml:space="preserve">aygd.tex </t>
  </si>
  <si>
    <t xml:space="preserve">ayge.tex </t>
  </si>
  <si>
    <t xml:space="preserve">brbp </t>
  </si>
  <si>
    <t xml:space="preserve">aygf.rsd </t>
  </si>
  <si>
    <t xml:space="preserve">ayha.p </t>
  </si>
  <si>
    <t xml:space="preserve">ayhb.rsd </t>
  </si>
  <si>
    <t xml:space="preserve">ayhc.p </t>
  </si>
  <si>
    <t xml:space="preserve">ayhd.rsd </t>
  </si>
  <si>
    <t xml:space="preserve">brbq </t>
  </si>
  <si>
    <t>Stoner attacking take 2</t>
  </si>
  <si>
    <t xml:space="preserve">ayhe.p </t>
  </si>
  <si>
    <t xml:space="preserve">ayhf.rsd </t>
  </si>
  <si>
    <t xml:space="preserve">ayia.p </t>
  </si>
  <si>
    <t xml:space="preserve">ayib.rsd </t>
  </si>
  <si>
    <t xml:space="preserve">ayic.p </t>
  </si>
  <si>
    <t xml:space="preserve">brbr </t>
  </si>
  <si>
    <t xml:space="preserve">ayid.rsd </t>
  </si>
  <si>
    <t xml:space="preserve">ayie.p </t>
  </si>
  <si>
    <t xml:space="preserve">ayif.rsd </t>
  </si>
  <si>
    <t>Stoner attacking take 3</t>
  </si>
  <si>
    <t xml:space="preserve">brbs </t>
  </si>
  <si>
    <t xml:space="preserve">ayja.p </t>
  </si>
  <si>
    <t xml:space="preserve">ayjb.rsd </t>
  </si>
  <si>
    <t xml:space="preserve">ayjc.p </t>
  </si>
  <si>
    <t xml:space="preserve">ayjd.rsd </t>
  </si>
  <si>
    <t xml:space="preserve">ayje.p </t>
  </si>
  <si>
    <t xml:space="preserve">brbt </t>
  </si>
  <si>
    <t xml:space="preserve">ayjf.rsd </t>
  </si>
  <si>
    <t xml:space="preserve">azaa.p </t>
  </si>
  <si>
    <t xml:space="preserve">azab.rsd </t>
  </si>
  <si>
    <t xml:space="preserve">azac.p </t>
  </si>
  <si>
    <t>dv.p</t>
  </si>
  <si>
    <t xml:space="preserve">brbu </t>
  </si>
  <si>
    <t xml:space="preserve">azad.rsd </t>
  </si>
  <si>
    <t>Stoner attacking take 4</t>
  </si>
  <si>
    <t xml:space="preserve">azae.p </t>
  </si>
  <si>
    <t xml:space="preserve">azaf.a </t>
  </si>
  <si>
    <t xml:space="preserve">azba.a </t>
  </si>
  <si>
    <t xml:space="preserve">azbb.hrc </t>
  </si>
  <si>
    <t>earith_sk</t>
  </si>
  <si>
    <t>Aerith - Dress</t>
  </si>
  <si>
    <t>dv.rsd</t>
  </si>
  <si>
    <t xml:space="preserve">azbc.rsd </t>
  </si>
  <si>
    <t xml:space="preserve">azbd.p </t>
  </si>
  <si>
    <t xml:space="preserve">brbx </t>
  </si>
  <si>
    <t xml:space="preserve">azbe.rsd </t>
  </si>
  <si>
    <t xml:space="preserve">azbf.p </t>
  </si>
  <si>
    <t xml:space="preserve">azca.rsd </t>
  </si>
  <si>
    <t>dw.p</t>
  </si>
  <si>
    <t>Aerith: Accesories</t>
  </si>
  <si>
    <t>Stoner attacking take 5</t>
  </si>
  <si>
    <t>Earrings, Hair Decoration</t>
  </si>
  <si>
    <t xml:space="preserve">brby </t>
  </si>
  <si>
    <t xml:space="preserve">azcb.p </t>
  </si>
  <si>
    <t xml:space="preserve">azcc.rsd </t>
  </si>
  <si>
    <t xml:space="preserve">azcd.p </t>
  </si>
  <si>
    <t>dw.rsd</t>
  </si>
  <si>
    <t xml:space="preserve">azce.tex </t>
  </si>
  <si>
    <t xml:space="preserve">azcf.tex </t>
  </si>
  <si>
    <t xml:space="preserve">brbz </t>
  </si>
  <si>
    <t xml:space="preserve">azda.tex </t>
  </si>
  <si>
    <t xml:space="preserve">azdb.rsd </t>
  </si>
  <si>
    <t xml:space="preserve">azdc.p </t>
  </si>
  <si>
    <t>dx.p</t>
  </si>
  <si>
    <t>Stoner attacking take 6</t>
  </si>
  <si>
    <t xml:space="preserve">azdd.rsd </t>
  </si>
  <si>
    <t xml:space="preserve">brda </t>
  </si>
  <si>
    <t xml:space="preserve">azde.p </t>
  </si>
  <si>
    <t xml:space="preserve">azdf.rsd </t>
  </si>
  <si>
    <t xml:space="preserve">bsaa </t>
  </si>
  <si>
    <t>112 Bytes</t>
  </si>
  <si>
    <t xml:space="preserve">azea.p </t>
  </si>
  <si>
    <t>Hell House (calm) :Battle Skeleton</t>
  </si>
  <si>
    <t>dx.rsd</t>
  </si>
  <si>
    <t xml:space="preserve">azeb.rsd </t>
  </si>
  <si>
    <t xml:space="preserve">azec.p </t>
  </si>
  <si>
    <t xml:space="preserve">azed.rsd </t>
  </si>
  <si>
    <t xml:space="preserve">azee.p </t>
  </si>
  <si>
    <t>dy.p</t>
  </si>
  <si>
    <t xml:space="preserve">bsab </t>
  </si>
  <si>
    <t>Stoner being destroyed take 1</t>
  </si>
  <si>
    <t xml:space="preserve">azef.rsd </t>
  </si>
  <si>
    <t>Hell House (calm): Unidentified Part</t>
  </si>
  <si>
    <t xml:space="preserve">azfa.p </t>
  </si>
  <si>
    <t xml:space="preserve">bsam </t>
  </si>
  <si>
    <t xml:space="preserve">azfb.rsd </t>
  </si>
  <si>
    <t>8.8 K</t>
  </si>
  <si>
    <t xml:space="preserve">azfc.p </t>
  </si>
  <si>
    <t xml:space="preserve">azfd.rsd </t>
  </si>
  <si>
    <t>dy.rsd</t>
  </si>
  <si>
    <t xml:space="preserve">azfe.p </t>
  </si>
  <si>
    <t xml:space="preserve">azff.rsd </t>
  </si>
  <si>
    <t xml:space="preserve">azga.p </t>
  </si>
  <si>
    <t xml:space="preserve">bsap </t>
  </si>
  <si>
    <t xml:space="preserve">azgb.rsd </t>
  </si>
  <si>
    <t>dz.p</t>
  </si>
  <si>
    <t>Stoner being destroyed take 2</t>
  </si>
  <si>
    <t xml:space="preserve">azgc.p </t>
  </si>
  <si>
    <t xml:space="preserve">azgd.rsd </t>
  </si>
  <si>
    <t xml:space="preserve">azge.p </t>
  </si>
  <si>
    <t xml:space="preserve">azgf.rsd </t>
  </si>
  <si>
    <t xml:space="preserve">azha.p </t>
  </si>
  <si>
    <t xml:space="preserve">bsda </t>
  </si>
  <si>
    <t>832 Bytes</t>
  </si>
  <si>
    <t>dz.rsd</t>
  </si>
  <si>
    <t xml:space="preserve">azhb.rsd </t>
  </si>
  <si>
    <t xml:space="preserve">azhc.p </t>
  </si>
  <si>
    <t xml:space="preserve">btaa </t>
  </si>
  <si>
    <t>580 Bytes</t>
  </si>
  <si>
    <t>Hell House (angry): Battle Skeleton</t>
  </si>
  <si>
    <t xml:space="preserve">azhd.a </t>
  </si>
  <si>
    <t xml:space="preserve">azhe.hrc </t>
  </si>
  <si>
    <t>guard_sk</t>
  </si>
  <si>
    <t>ea.p</t>
  </si>
  <si>
    <t>Stoner being destroyed take 3</t>
  </si>
  <si>
    <t>Train guard</t>
  </si>
  <si>
    <t xml:space="preserve">azhf.rsd </t>
  </si>
  <si>
    <t>Train Guard: Lower Chest</t>
  </si>
  <si>
    <t xml:space="preserve">btab </t>
  </si>
  <si>
    <t xml:space="preserve">azia.p </t>
  </si>
  <si>
    <t>Hell House (angry): Unidentified Part</t>
  </si>
  <si>
    <t xml:space="preserve">azib.rsd </t>
  </si>
  <si>
    <t>Train Guard: Upper Chest</t>
  </si>
  <si>
    <t xml:space="preserve">btan </t>
  </si>
  <si>
    <t xml:space="preserve">azic.p </t>
  </si>
  <si>
    <t>ea.rsd</t>
  </si>
  <si>
    <t xml:space="preserve">azid.rsd </t>
  </si>
  <si>
    <t>Train Guard: Head</t>
  </si>
  <si>
    <t xml:space="preserve">azie.p </t>
  </si>
  <si>
    <t xml:space="preserve">azif.tex </t>
  </si>
  <si>
    <t>Train Guard: Eye</t>
  </si>
  <si>
    <t xml:space="preserve">azja.tex </t>
  </si>
  <si>
    <t xml:space="preserve">btar </t>
  </si>
  <si>
    <t>Stoner being destroyed take 4</t>
  </si>
  <si>
    <t xml:space="preserve">azjb.tex </t>
  </si>
  <si>
    <t>Train Guard: Mouth</t>
  </si>
  <si>
    <t xml:space="preserve">azjc.rsd </t>
  </si>
  <si>
    <t>Train Guard: Upper Arm</t>
  </si>
  <si>
    <t xml:space="preserve">azjd.p </t>
  </si>
  <si>
    <t xml:space="preserve">azje.rsd </t>
  </si>
  <si>
    <t>Train Guard: Lower Arm</t>
  </si>
  <si>
    <t xml:space="preserve">btat </t>
  </si>
  <si>
    <t xml:space="preserve">azjf.p </t>
  </si>
  <si>
    <t xml:space="preserve">baaa.rsd </t>
  </si>
  <si>
    <t>Train Guard: Hand</t>
  </si>
  <si>
    <t xml:space="preserve">baab.p </t>
  </si>
  <si>
    <t xml:space="preserve">baac.rsd </t>
  </si>
  <si>
    <t xml:space="preserve">baad.p </t>
  </si>
  <si>
    <t xml:space="preserve">btax </t>
  </si>
  <si>
    <t>Stoner being destroyed take 5</t>
  </si>
  <si>
    <t xml:space="preserve">baae.rsd </t>
  </si>
  <si>
    <t xml:space="preserve">baaf.p </t>
  </si>
  <si>
    <t xml:space="preserve">baba.rsd </t>
  </si>
  <si>
    <t xml:space="preserve">babb.p </t>
  </si>
  <si>
    <t xml:space="preserve">babc.rsd </t>
  </si>
  <si>
    <t>Train Guard: Upper Leg</t>
  </si>
  <si>
    <t xml:space="preserve">btay </t>
  </si>
  <si>
    <t xml:space="preserve">babd.p </t>
  </si>
  <si>
    <t xml:space="preserve">babe.rsd </t>
  </si>
  <si>
    <t>Train Guard: Lower Leg</t>
  </si>
  <si>
    <t xml:space="preserve">babf.p </t>
  </si>
  <si>
    <t xml:space="preserve">baca.rsd </t>
  </si>
  <si>
    <t>Train Guard: Foot</t>
  </si>
  <si>
    <t xml:space="preserve">bacb.p </t>
  </si>
  <si>
    <t xml:space="preserve">btaz </t>
  </si>
  <si>
    <t xml:space="preserve">bacc.rsd </t>
  </si>
  <si>
    <t>Stoner being destroyed take 6</t>
  </si>
  <si>
    <t xml:space="preserve">bacd.p </t>
  </si>
  <si>
    <t xml:space="preserve">bace.rsd </t>
  </si>
  <si>
    <t xml:space="preserve">bacf.p </t>
  </si>
  <si>
    <t xml:space="preserve">bada.rsd </t>
  </si>
  <si>
    <t xml:space="preserve">btbb </t>
  </si>
  <si>
    <t xml:space="preserve">badb.p </t>
  </si>
  <si>
    <t xml:space="preserve">badc.a </t>
  </si>
  <si>
    <t>Train Guard: Standing Still</t>
  </si>
  <si>
    <t xml:space="preserve">badd.hrc </t>
  </si>
  <si>
    <t>dancer_sk</t>
  </si>
  <si>
    <t>Dancer - Normal</t>
  </si>
  <si>
    <t xml:space="preserve">bade.rsd </t>
  </si>
  <si>
    <t>Dancer: Lower Chest</t>
  </si>
  <si>
    <t xml:space="preserve">badf.p </t>
  </si>
  <si>
    <t xml:space="preserve">btbc </t>
  </si>
  <si>
    <t>Stoner reloading take 1</t>
  </si>
  <si>
    <t xml:space="preserve">baea.rsd </t>
  </si>
  <si>
    <t>Dancer: Upper Chest</t>
  </si>
  <si>
    <t xml:space="preserve">baeb.p </t>
  </si>
  <si>
    <t xml:space="preserve">baec.rsd </t>
  </si>
  <si>
    <t>Dancer: Head</t>
  </si>
  <si>
    <t xml:space="preserve">baed.p </t>
  </si>
  <si>
    <t xml:space="preserve">btbd </t>
  </si>
  <si>
    <t xml:space="preserve">baee.tex </t>
  </si>
  <si>
    <t>Dancer: Eye</t>
  </si>
  <si>
    <t xml:space="preserve">baef.tex </t>
  </si>
  <si>
    <t xml:space="preserve">bafa.tex </t>
  </si>
  <si>
    <t>Dancer: Mouth</t>
  </si>
  <si>
    <t xml:space="preserve">bafb.rsd </t>
  </si>
  <si>
    <t>Dancer: Upper Arm</t>
  </si>
  <si>
    <t>Stoner reloading take 2</t>
  </si>
  <si>
    <t xml:space="preserve">bafc.p </t>
  </si>
  <si>
    <t xml:space="preserve">bafd.rsd </t>
  </si>
  <si>
    <t xml:space="preserve">btbf </t>
  </si>
  <si>
    <t>Dancer: Lower Arm</t>
  </si>
  <si>
    <t xml:space="preserve">bafe.p </t>
  </si>
  <si>
    <t xml:space="preserve">baff.rsd </t>
  </si>
  <si>
    <t>Dancer: Hand</t>
  </si>
  <si>
    <t xml:space="preserve">baga.p </t>
  </si>
  <si>
    <t xml:space="preserve">bagb.rsd </t>
  </si>
  <si>
    <t xml:space="preserve">btbg </t>
  </si>
  <si>
    <t xml:space="preserve">bagc.p </t>
  </si>
  <si>
    <t xml:space="preserve">bagd.rsd </t>
  </si>
  <si>
    <t xml:space="preserve">bage.p </t>
  </si>
  <si>
    <t xml:space="preserve">bagf.rsd </t>
  </si>
  <si>
    <t>eft00.tex</t>
  </si>
  <si>
    <t>Fire explosions</t>
  </si>
  <si>
    <t xml:space="preserve">baha.p </t>
  </si>
  <si>
    <t xml:space="preserve">btbi </t>
  </si>
  <si>
    <t xml:space="preserve">bahb.rsd </t>
  </si>
  <si>
    <t>Dancer: Upper Leg</t>
  </si>
  <si>
    <t xml:space="preserve">bahc.p </t>
  </si>
  <si>
    <t xml:space="preserve">bahd.rsd </t>
  </si>
  <si>
    <t>Dancer: Lower Leg</t>
  </si>
  <si>
    <t xml:space="preserve">bahe.p </t>
  </si>
  <si>
    <t>Stoner reloading take 3</t>
  </si>
  <si>
    <t xml:space="preserve">bahf.rsd </t>
  </si>
  <si>
    <t xml:space="preserve">btbj </t>
  </si>
  <si>
    <t>Dancer: Foot</t>
  </si>
  <si>
    <t xml:space="preserve">baia.p </t>
  </si>
  <si>
    <t xml:space="preserve">baib.rsd </t>
  </si>
  <si>
    <t xml:space="preserve">baic.p </t>
  </si>
  <si>
    <t xml:space="preserve">baid.rsd </t>
  </si>
  <si>
    <t xml:space="preserve">baie.p </t>
  </si>
  <si>
    <t xml:space="preserve">btbk </t>
  </si>
  <si>
    <t xml:space="preserve">baif.rsd </t>
  </si>
  <si>
    <t xml:space="preserve">baja.p </t>
  </si>
  <si>
    <t xml:space="preserve">bajb.a </t>
  </si>
  <si>
    <t>Dancer</t>
  </si>
  <si>
    <t xml:space="preserve">bajc.a </t>
  </si>
  <si>
    <t>Stoner reloading take 4</t>
  </si>
  <si>
    <t>Dancer: Walking</t>
  </si>
  <si>
    <t xml:space="preserve">btbm </t>
  </si>
  <si>
    <t xml:space="preserve">bajd.a </t>
  </si>
  <si>
    <t xml:space="preserve">baje.a </t>
  </si>
  <si>
    <t xml:space="preserve">bajf.a </t>
  </si>
  <si>
    <t xml:space="preserve">bbaa.a </t>
  </si>
  <si>
    <t xml:space="preserve">bbab.hrc </t>
  </si>
  <si>
    <t>swordc_sk</t>
  </si>
  <si>
    <t xml:space="preserve">btbn </t>
  </si>
  <si>
    <t xml:space="preserve">bbac.rsd </t>
  </si>
  <si>
    <t>Sephiroth: Lower Chest</t>
  </si>
  <si>
    <t xml:space="preserve">bbad.p </t>
  </si>
  <si>
    <t xml:space="preserve">bbae.rsd </t>
  </si>
  <si>
    <t>Sephiroth: Upper Chest</t>
  </si>
  <si>
    <t xml:space="preserve">bbaf.p </t>
  </si>
  <si>
    <t>ehelp.tim</t>
  </si>
  <si>
    <t xml:space="preserve">bbba.rsd </t>
  </si>
  <si>
    <t xml:space="preserve">btbo </t>
  </si>
  <si>
    <t>Tim file</t>
  </si>
  <si>
    <t>Sephiroth: Head</t>
  </si>
  <si>
    <t xml:space="preserve">bbbb.p </t>
  </si>
  <si>
    <t xml:space="preserve">bbbc.tex </t>
  </si>
  <si>
    <t>Sephiroth: Eye</t>
  </si>
  <si>
    <t xml:space="preserve">bbbd.tex </t>
  </si>
  <si>
    <t xml:space="preserve">bbbe.tex </t>
  </si>
  <si>
    <t>Sephiroth: Mouth</t>
  </si>
  <si>
    <t xml:space="preserve">btbq </t>
  </si>
  <si>
    <t xml:space="preserve">bbbf.rsd </t>
  </si>
  <si>
    <t>Sephiroth: Upper Arm</t>
  </si>
  <si>
    <t xml:space="preserve">bbca.p </t>
  </si>
  <si>
    <t xml:space="preserve">bbcb.rsd </t>
  </si>
  <si>
    <t>ehelp1.tim</t>
  </si>
  <si>
    <t>Sephiroth: Lower Arm</t>
  </si>
  <si>
    <t xml:space="preserve">bbcc.p </t>
  </si>
  <si>
    <t xml:space="preserve">bbcd.rsd </t>
  </si>
  <si>
    <t xml:space="preserve">btbr </t>
  </si>
  <si>
    <t>Sephiroth: Hand</t>
  </si>
  <si>
    <t xml:space="preserve">bbce.p </t>
  </si>
  <si>
    <t xml:space="preserve">bbcf.rsd </t>
  </si>
  <si>
    <t xml:space="preserve">bbda.p </t>
  </si>
  <si>
    <t xml:space="preserve">bbdb.rsd </t>
  </si>
  <si>
    <t xml:space="preserve">bbdc.p </t>
  </si>
  <si>
    <t xml:space="preserve">btbt </t>
  </si>
  <si>
    <t>Tristoner attacking take 1</t>
  </si>
  <si>
    <t xml:space="preserve">bbdd.rsd </t>
  </si>
  <si>
    <t xml:space="preserve">btbv </t>
  </si>
  <si>
    <t xml:space="preserve">bbde.p </t>
  </si>
  <si>
    <t xml:space="preserve">bbdf.rsd </t>
  </si>
  <si>
    <t>Sephiroth: Masamune</t>
  </si>
  <si>
    <t xml:space="preserve">bbea.p </t>
  </si>
  <si>
    <t xml:space="preserve">bbeb.rsd </t>
  </si>
  <si>
    <t>Sephiroth: Upper Leg</t>
  </si>
  <si>
    <t xml:space="preserve">bbec.p </t>
  </si>
  <si>
    <t xml:space="preserve">btbw </t>
  </si>
  <si>
    <t xml:space="preserve">bbed.rsd </t>
  </si>
  <si>
    <t>Sephiroth: Lower Leg</t>
  </si>
  <si>
    <t>Tristoner attacking take 2</t>
  </si>
  <si>
    <t xml:space="preserve">bbee.p </t>
  </si>
  <si>
    <t xml:space="preserve">bbef.rsd </t>
  </si>
  <si>
    <t>Sephiroth: Foot</t>
  </si>
  <si>
    <t xml:space="preserve">bbfa.p </t>
  </si>
  <si>
    <t xml:space="preserve">bbfb.rsd </t>
  </si>
  <si>
    <t xml:space="preserve">bbfc.p </t>
  </si>
  <si>
    <t xml:space="preserve">btbx </t>
  </si>
  <si>
    <t xml:space="preserve">bbfd.rsd </t>
  </si>
  <si>
    <t xml:space="preserve">bbfe.p </t>
  </si>
  <si>
    <t xml:space="preserve">bbff.rsd </t>
  </si>
  <si>
    <t xml:space="preserve">bbga.p </t>
  </si>
  <si>
    <t xml:space="preserve">bbgb.a </t>
  </si>
  <si>
    <t xml:space="preserve">btbz </t>
  </si>
  <si>
    <t>Sephiroth: Walking</t>
  </si>
  <si>
    <t>Tristoner attacking take 3</t>
  </si>
  <si>
    <t xml:space="preserve">bbgc.a </t>
  </si>
  <si>
    <t>Sephiroth: Sword Attack</t>
  </si>
  <si>
    <t xml:space="preserve">bbgd.a </t>
  </si>
  <si>
    <t>Sephiroth: Running</t>
  </si>
  <si>
    <t xml:space="preserve">bbge.hrc </t>
  </si>
  <si>
    <t>swoman2_st</t>
  </si>
  <si>
    <t xml:space="preserve">bbgf.rsd </t>
  </si>
  <si>
    <t xml:space="preserve">bbha.p </t>
  </si>
  <si>
    <t xml:space="preserve">btca </t>
  </si>
  <si>
    <t xml:space="preserve">bbhb.rsd </t>
  </si>
  <si>
    <t xml:space="preserve">bbhc.p </t>
  </si>
  <si>
    <t xml:space="preserve">bbhd.rsd </t>
  </si>
  <si>
    <t xml:space="preserve">btcb </t>
  </si>
  <si>
    <t xml:space="preserve">bbhe.p </t>
  </si>
  <si>
    <t>Tristoner attacking take 4</t>
  </si>
  <si>
    <t xml:space="preserve">bbhf.tex </t>
  </si>
  <si>
    <t xml:space="preserve">bbia.tex </t>
  </si>
  <si>
    <t xml:space="preserve">bbib.tex </t>
  </si>
  <si>
    <t xml:space="preserve">bbic.rsd </t>
  </si>
  <si>
    <t xml:space="preserve">bbid.p </t>
  </si>
  <si>
    <t xml:space="preserve">bbie.rsd </t>
  </si>
  <si>
    <t xml:space="preserve">btcd </t>
  </si>
  <si>
    <t xml:space="preserve">bbif.p </t>
  </si>
  <si>
    <t xml:space="preserve">bbja.rsd </t>
  </si>
  <si>
    <t xml:space="preserve">bbjb.p </t>
  </si>
  <si>
    <t xml:space="preserve">bbjc.rsd </t>
  </si>
  <si>
    <t xml:space="preserve">btda </t>
  </si>
  <si>
    <t>Tristoner attacking take 5</t>
  </si>
  <si>
    <t xml:space="preserve">bbjd.p </t>
  </si>
  <si>
    <t xml:space="preserve">bbje.rsd </t>
  </si>
  <si>
    <t xml:space="preserve">buaa </t>
  </si>
  <si>
    <t xml:space="preserve">bbjf.p </t>
  </si>
  <si>
    <t>Aero Combatant (Flying): Battle Skeleton</t>
  </si>
  <si>
    <t xml:space="preserve">bcaa.rsd </t>
  </si>
  <si>
    <t xml:space="preserve">bcab.p </t>
  </si>
  <si>
    <t xml:space="preserve">bcac.rsd </t>
  </si>
  <si>
    <t xml:space="preserve">bcad.p </t>
  </si>
  <si>
    <t xml:space="preserve">bcae.rsd </t>
  </si>
  <si>
    <t xml:space="preserve">bcaf.p </t>
  </si>
  <si>
    <t xml:space="preserve">bcba.rsd </t>
  </si>
  <si>
    <t xml:space="preserve">buab </t>
  </si>
  <si>
    <t xml:space="preserve">bcbb.p </t>
  </si>
  <si>
    <t>Aero Combatant (Flying): Unidentified Part</t>
  </si>
  <si>
    <t xml:space="preserve">bcbc.rsd </t>
  </si>
  <si>
    <t xml:space="preserve">bcbd.p </t>
  </si>
  <si>
    <t xml:space="preserve">buam </t>
  </si>
  <si>
    <t xml:space="preserve">bcbe.rsd </t>
  </si>
  <si>
    <t>emes00.tex</t>
  </si>
  <si>
    <t xml:space="preserve">bcbf.p </t>
  </si>
  <si>
    <t>Types of units whole</t>
  </si>
  <si>
    <t xml:space="preserve">bcca.rsd </t>
  </si>
  <si>
    <t xml:space="preserve">bccb.p </t>
  </si>
  <si>
    <t xml:space="preserve">bccc.a </t>
  </si>
  <si>
    <t xml:space="preserve">bccd.a </t>
  </si>
  <si>
    <t xml:space="preserve">bcce.a </t>
  </si>
  <si>
    <t xml:space="preserve">buao </t>
  </si>
  <si>
    <t xml:space="preserve">bccf.hrc </t>
  </si>
  <si>
    <t>guid2_sk</t>
  </si>
  <si>
    <t xml:space="preserve">bcda.rsd </t>
  </si>
  <si>
    <t xml:space="preserve">bcdb.p </t>
  </si>
  <si>
    <t xml:space="preserve">bcdc.rsd </t>
  </si>
  <si>
    <t xml:space="preserve">bcdd.p </t>
  </si>
  <si>
    <t>emes00a.tex</t>
  </si>
  <si>
    <t xml:space="preserve">bcde.rsd </t>
  </si>
  <si>
    <t>Battle messages part 1</t>
  </si>
  <si>
    <t xml:space="preserve">bcdf.p </t>
  </si>
  <si>
    <t xml:space="preserve">buap </t>
  </si>
  <si>
    <t xml:space="preserve">bcea.rsd </t>
  </si>
  <si>
    <t xml:space="preserve">bceb.p </t>
  </si>
  <si>
    <t xml:space="preserve">bcec.rsd </t>
  </si>
  <si>
    <t xml:space="preserve">bced.p </t>
  </si>
  <si>
    <t xml:space="preserve">bcee.rsd </t>
  </si>
  <si>
    <t xml:space="preserve">bcef.p </t>
  </si>
  <si>
    <t xml:space="preserve">bcfa.rsd </t>
  </si>
  <si>
    <t xml:space="preserve">bcfb.p </t>
  </si>
  <si>
    <t xml:space="preserve">bcfc.rsd </t>
  </si>
  <si>
    <t>emes00b.tex</t>
  </si>
  <si>
    <t>Battle messages part 2</t>
  </si>
  <si>
    <t xml:space="preserve">bcfd.p </t>
  </si>
  <si>
    <t xml:space="preserve">bcfe.rsd </t>
  </si>
  <si>
    <t xml:space="preserve">buaq </t>
  </si>
  <si>
    <t xml:space="preserve">bcff.p </t>
  </si>
  <si>
    <t xml:space="preserve">bcga.rsd </t>
  </si>
  <si>
    <t xml:space="preserve">bcgb.p </t>
  </si>
  <si>
    <t xml:space="preserve">bcgc.a </t>
  </si>
  <si>
    <t xml:space="preserve">bcgd.hrc </t>
  </si>
  <si>
    <t>crew_sk</t>
  </si>
  <si>
    <t xml:space="preserve">bcge.rsd </t>
  </si>
  <si>
    <t>Crew: Lower Chest</t>
  </si>
  <si>
    <t xml:space="preserve">bcgf.p </t>
  </si>
  <si>
    <t xml:space="preserve">buar </t>
  </si>
  <si>
    <t xml:space="preserve">bcia.tex </t>
  </si>
  <si>
    <t>emes00c.tex</t>
  </si>
  <si>
    <t>Crew: Upper Chest</t>
  </si>
  <si>
    <t>Battle messages part 3</t>
  </si>
  <si>
    <t xml:space="preserve">bcib.rsd </t>
  </si>
  <si>
    <t xml:space="preserve">bcic.p </t>
  </si>
  <si>
    <t>Crew: Head</t>
  </si>
  <si>
    <t xml:space="preserve">bcid.rsd </t>
  </si>
  <si>
    <t xml:space="preserve">buat </t>
  </si>
  <si>
    <t xml:space="preserve">bcie.p </t>
  </si>
  <si>
    <t>Crew: Eye</t>
  </si>
  <si>
    <t xml:space="preserve">bcif.rsd </t>
  </si>
  <si>
    <t xml:space="preserve">bcja.p </t>
  </si>
  <si>
    <t>Crew: Mouth</t>
  </si>
  <si>
    <t xml:space="preserve">bcjb.rsd </t>
  </si>
  <si>
    <t>emes00d.tex</t>
  </si>
  <si>
    <t>Crew: Upper Arm</t>
  </si>
  <si>
    <t>Battle messages part 4</t>
  </si>
  <si>
    <t xml:space="preserve">bcjc.p </t>
  </si>
  <si>
    <t xml:space="preserve">buau </t>
  </si>
  <si>
    <t xml:space="preserve">bcjd.rsd </t>
  </si>
  <si>
    <t>Crew: Lower Arm</t>
  </si>
  <si>
    <t xml:space="preserve">bcje.p </t>
  </si>
  <si>
    <t xml:space="preserve">bcjf.rsd </t>
  </si>
  <si>
    <t>Crew: Hand</t>
  </si>
  <si>
    <t xml:space="preserve">bcha.rsd </t>
  </si>
  <si>
    <t xml:space="preserve">bchb.p </t>
  </si>
  <si>
    <t xml:space="preserve">bchc.rsd </t>
  </si>
  <si>
    <t xml:space="preserve">buav </t>
  </si>
  <si>
    <t xml:space="preserve">bchd.p </t>
  </si>
  <si>
    <t xml:space="preserve">bche.tex </t>
  </si>
  <si>
    <t xml:space="preserve">bchf.tex </t>
  </si>
  <si>
    <t xml:space="preserve">bdaa.p </t>
  </si>
  <si>
    <t xml:space="preserve">bdab.rsd </t>
  </si>
  <si>
    <t>Crew: Upper Leg</t>
  </si>
  <si>
    <t xml:space="preserve">bdac.p </t>
  </si>
  <si>
    <t>emes01.tex</t>
  </si>
  <si>
    <t>Battle messages Whole</t>
  </si>
  <si>
    <t xml:space="preserve">bdad.rsd </t>
  </si>
  <si>
    <t>Crew: Lower Leg</t>
  </si>
  <si>
    <t xml:space="preserve">bdae.p </t>
  </si>
  <si>
    <t xml:space="preserve">buaw </t>
  </si>
  <si>
    <t xml:space="preserve">bdaf.rsd </t>
  </si>
  <si>
    <t>Crew: Foot</t>
  </si>
  <si>
    <t xml:space="preserve">bdba.p </t>
  </si>
  <si>
    <t xml:space="preserve">bdbb.rsd </t>
  </si>
  <si>
    <t xml:space="preserve">bdbc.p </t>
  </si>
  <si>
    <t xml:space="preserve">bdbd.rsd </t>
  </si>
  <si>
    <t xml:space="preserve">bdbe.p </t>
  </si>
  <si>
    <t xml:space="preserve">bdbf.rsd </t>
  </si>
  <si>
    <t xml:space="preserve">buax </t>
  </si>
  <si>
    <t xml:space="preserve">bdca.p </t>
  </si>
  <si>
    <t xml:space="preserve">bdcb.a </t>
  </si>
  <si>
    <t>Crew</t>
  </si>
  <si>
    <t>emes01a.tex</t>
  </si>
  <si>
    <t xml:space="preserve">bdcc.a </t>
  </si>
  <si>
    <t>Types of units part 1</t>
  </si>
  <si>
    <t xml:space="preserve">bdcd.hrc </t>
  </si>
  <si>
    <t>iruka_sk</t>
  </si>
  <si>
    <t>Mr. Dolphin</t>
  </si>
  <si>
    <t xml:space="preserve">bdce.rsd </t>
  </si>
  <si>
    <t xml:space="preserve">bdcf.p </t>
  </si>
  <si>
    <t xml:space="preserve">bdda.rsd </t>
  </si>
  <si>
    <t xml:space="preserve">bddb.p </t>
  </si>
  <si>
    <t xml:space="preserve">buay </t>
  </si>
  <si>
    <t xml:space="preserve">bddc.rsd </t>
  </si>
  <si>
    <t xml:space="preserve">bddd.p </t>
  </si>
  <si>
    <t xml:space="preserve">bdde.rsd </t>
  </si>
  <si>
    <t xml:space="preserve">bddf.p </t>
  </si>
  <si>
    <t xml:space="preserve">bdea.rsd </t>
  </si>
  <si>
    <t xml:space="preserve">bdeb.p </t>
  </si>
  <si>
    <t xml:space="preserve">bdec.rsd </t>
  </si>
  <si>
    <t xml:space="preserve">bded.p </t>
  </si>
  <si>
    <t xml:space="preserve">bdee.rsd </t>
  </si>
  <si>
    <t>emes01b.tex</t>
  </si>
  <si>
    <t xml:space="preserve">bdef.p </t>
  </si>
  <si>
    <t xml:space="preserve">bubb </t>
  </si>
  <si>
    <t>Types of units part 2</t>
  </si>
  <si>
    <t xml:space="preserve">bdfa.rsd </t>
  </si>
  <si>
    <t xml:space="preserve">bdfb.p </t>
  </si>
  <si>
    <t xml:space="preserve">bdfc.rsd </t>
  </si>
  <si>
    <t xml:space="preserve">bdfd.p </t>
  </si>
  <si>
    <t xml:space="preserve">bdfe.a </t>
  </si>
  <si>
    <t xml:space="preserve">bdff.a </t>
  </si>
  <si>
    <t xml:space="preserve">bdga.hrc </t>
  </si>
  <si>
    <t>cat_st</t>
  </si>
  <si>
    <t xml:space="preserve">bdgb.rsd </t>
  </si>
  <si>
    <t xml:space="preserve">bdgc.p </t>
  </si>
  <si>
    <t xml:space="preserve">bdgd.rsd </t>
  </si>
  <si>
    <t xml:space="preserve">bdge.p </t>
  </si>
  <si>
    <t xml:space="preserve">bubc </t>
  </si>
  <si>
    <t xml:space="preserve">bdgf.rsd </t>
  </si>
  <si>
    <t xml:space="preserve">bdha.p </t>
  </si>
  <si>
    <t xml:space="preserve">bdhb.rsd </t>
  </si>
  <si>
    <t xml:space="preserve">bdhc.p </t>
  </si>
  <si>
    <t xml:space="preserve">bdhd.rsd </t>
  </si>
  <si>
    <t xml:space="preserve">bdhe.p </t>
  </si>
  <si>
    <t xml:space="preserve">bdhf.rsd </t>
  </si>
  <si>
    <t xml:space="preserve">bdia.p </t>
  </si>
  <si>
    <t>emes08.tex</t>
  </si>
  <si>
    <t xml:space="preserve">bdib.rsd </t>
  </si>
  <si>
    <t>Units description</t>
  </si>
  <si>
    <t xml:space="preserve">bdic.p </t>
  </si>
  <si>
    <t xml:space="preserve">bubd </t>
  </si>
  <si>
    <t xml:space="preserve">bdid.rsd </t>
  </si>
  <si>
    <t xml:space="preserve">bdie.p </t>
  </si>
  <si>
    <t xml:space="preserve">bdif.rsd </t>
  </si>
  <si>
    <t xml:space="preserve">bdja.p </t>
  </si>
  <si>
    <t xml:space="preserve">bdjb.rsd </t>
  </si>
  <si>
    <t xml:space="preserve">bdjc.p </t>
  </si>
  <si>
    <t xml:space="preserve">bdjd.rsd </t>
  </si>
  <si>
    <t xml:space="preserve">bubg </t>
  </si>
  <si>
    <t xml:space="preserve">bdje.p </t>
  </si>
  <si>
    <t xml:space="preserve">bdjf.rsd </t>
  </si>
  <si>
    <t xml:space="preserve">beaa.p </t>
  </si>
  <si>
    <t xml:space="preserve">beab.rsd </t>
  </si>
  <si>
    <t xml:space="preserve">beac.p </t>
  </si>
  <si>
    <t xml:space="preserve">bead.rsd </t>
  </si>
  <si>
    <t>Tristoner being destroyed take 1</t>
  </si>
  <si>
    <t xml:space="preserve">beae.p </t>
  </si>
  <si>
    <t xml:space="preserve">beaf.rsd </t>
  </si>
  <si>
    <t xml:space="preserve">beba.p </t>
  </si>
  <si>
    <t xml:space="preserve">bebb.rsd </t>
  </si>
  <si>
    <t xml:space="preserve">bubh </t>
  </si>
  <si>
    <t xml:space="preserve">bebc.p </t>
  </si>
  <si>
    <t xml:space="preserve">bebd.rsd </t>
  </si>
  <si>
    <t xml:space="preserve">bebe.p </t>
  </si>
  <si>
    <t xml:space="preserve">bebf.rsd </t>
  </si>
  <si>
    <t xml:space="preserve">beca.p </t>
  </si>
  <si>
    <t xml:space="preserve">becb.rsd </t>
  </si>
  <si>
    <t xml:space="preserve">becc.p </t>
  </si>
  <si>
    <t xml:space="preserve">becd.rsd </t>
  </si>
  <si>
    <t xml:space="preserve">bece.p </t>
  </si>
  <si>
    <t xml:space="preserve">becf.rsd </t>
  </si>
  <si>
    <t xml:space="preserve">bubi </t>
  </si>
  <si>
    <t xml:space="preserve">beda.p </t>
  </si>
  <si>
    <t xml:space="preserve">bedb.rsd </t>
  </si>
  <si>
    <t xml:space="preserve">bedc.p </t>
  </si>
  <si>
    <t xml:space="preserve">bedd.rsd </t>
  </si>
  <si>
    <t>eo.p</t>
  </si>
  <si>
    <t xml:space="preserve">bede.p </t>
  </si>
  <si>
    <t>Tristoner being destroyed take 2</t>
  </si>
  <si>
    <t xml:space="preserve">bedf.rsd </t>
  </si>
  <si>
    <t xml:space="preserve">beea.p </t>
  </si>
  <si>
    <t xml:space="preserve">beeb.a </t>
  </si>
  <si>
    <t xml:space="preserve">beec.hrc </t>
  </si>
  <si>
    <t xml:space="preserve">buda </t>
  </si>
  <si>
    <t>dog2_sk</t>
  </si>
  <si>
    <t xml:space="preserve">beed.rsd </t>
  </si>
  <si>
    <t xml:space="preserve">beee.p </t>
  </si>
  <si>
    <t xml:space="preserve">beef.rsd </t>
  </si>
  <si>
    <t xml:space="preserve">bvaa </t>
  </si>
  <si>
    <t xml:space="preserve">befa.p </t>
  </si>
  <si>
    <t>eo.rsd</t>
  </si>
  <si>
    <t xml:space="preserve">befb.rsd </t>
  </si>
  <si>
    <t>Aero Combatant (Downed): Battle Skeleton</t>
  </si>
  <si>
    <t xml:space="preserve">befc.p </t>
  </si>
  <si>
    <t xml:space="preserve">befd.rsd </t>
  </si>
  <si>
    <t xml:space="preserve">befe.p </t>
  </si>
  <si>
    <t xml:space="preserve">beff.rsd </t>
  </si>
  <si>
    <t xml:space="preserve">bega.p </t>
  </si>
  <si>
    <t xml:space="preserve">begb.rsd </t>
  </si>
  <si>
    <t xml:space="preserve">begc.p </t>
  </si>
  <si>
    <t xml:space="preserve">begd.rsd </t>
  </si>
  <si>
    <t xml:space="preserve">bege.p </t>
  </si>
  <si>
    <t xml:space="preserve">begf.rsd </t>
  </si>
  <si>
    <t>ep.p</t>
  </si>
  <si>
    <t xml:space="preserve">bvab </t>
  </si>
  <si>
    <t>Tristoner being destroyed take 3</t>
  </si>
  <si>
    <t xml:space="preserve">beha.p </t>
  </si>
  <si>
    <t>Aero Combatant (Downed): Unidentified Part</t>
  </si>
  <si>
    <t xml:space="preserve">behb.rsd </t>
  </si>
  <si>
    <t xml:space="preserve">behc.p </t>
  </si>
  <si>
    <t xml:space="preserve">bvam </t>
  </si>
  <si>
    <t xml:space="preserve">behd.rsd </t>
  </si>
  <si>
    <t xml:space="preserve">behe.p </t>
  </si>
  <si>
    <t xml:space="preserve">behf.rsd </t>
  </si>
  <si>
    <t>ep.rsd</t>
  </si>
  <si>
    <t xml:space="preserve">beia.p </t>
  </si>
  <si>
    <t xml:space="preserve">beib.rsd </t>
  </si>
  <si>
    <t xml:space="preserve">beic.p </t>
  </si>
  <si>
    <t xml:space="preserve">beid.rsd </t>
  </si>
  <si>
    <t xml:space="preserve">bvao </t>
  </si>
  <si>
    <t xml:space="preserve">beie.p </t>
  </si>
  <si>
    <t xml:space="preserve">beif.rsd </t>
  </si>
  <si>
    <t>eq.p</t>
  </si>
  <si>
    <t xml:space="preserve">beja.p </t>
  </si>
  <si>
    <t>Tristoner being destroyed take 4</t>
  </si>
  <si>
    <t xml:space="preserve">bejb.rsd </t>
  </si>
  <si>
    <t xml:space="preserve">bejc.p </t>
  </si>
  <si>
    <t xml:space="preserve">bejd.rsd </t>
  </si>
  <si>
    <t xml:space="preserve">beje.p </t>
  </si>
  <si>
    <t xml:space="preserve">bvap </t>
  </si>
  <si>
    <t xml:space="preserve">bejf.rsd </t>
  </si>
  <si>
    <t xml:space="preserve">bfaa.p </t>
  </si>
  <si>
    <t>eq.rsd</t>
  </si>
  <si>
    <t xml:space="preserve">bfab.rsd </t>
  </si>
  <si>
    <t xml:space="preserve">bfac.p </t>
  </si>
  <si>
    <t xml:space="preserve">bfad.rsd </t>
  </si>
  <si>
    <t xml:space="preserve">bfae.p </t>
  </si>
  <si>
    <t xml:space="preserve">bfaf.rsd </t>
  </si>
  <si>
    <t xml:space="preserve">bfba.p </t>
  </si>
  <si>
    <t xml:space="preserve">bvaq </t>
  </si>
  <si>
    <t xml:space="preserve">bfbb.rsd </t>
  </si>
  <si>
    <t xml:space="preserve">bfbc.p </t>
  </si>
  <si>
    <t>er.p</t>
  </si>
  <si>
    <t xml:space="preserve">bfbd.rsd </t>
  </si>
  <si>
    <t>Tristoner being destroyed take 5</t>
  </si>
  <si>
    <t xml:space="preserve">bfbe.p </t>
  </si>
  <si>
    <t xml:space="preserve">bfbf.a </t>
  </si>
  <si>
    <t xml:space="preserve">bfca.hrc </t>
  </si>
  <si>
    <t>fatman_sk</t>
  </si>
  <si>
    <t xml:space="preserve">bfcb.rsd </t>
  </si>
  <si>
    <t xml:space="preserve">bfcc.p </t>
  </si>
  <si>
    <t xml:space="preserve">bfcd.rsd </t>
  </si>
  <si>
    <t xml:space="preserve">bfce.p </t>
  </si>
  <si>
    <t xml:space="preserve">bfcf.rsd </t>
  </si>
  <si>
    <t xml:space="preserve">bfda.p </t>
  </si>
  <si>
    <t>er.rsd</t>
  </si>
  <si>
    <t xml:space="preserve">bfdb.tex </t>
  </si>
  <si>
    <t xml:space="preserve">bfdc.tex </t>
  </si>
  <si>
    <t xml:space="preserve">bfdd.tex </t>
  </si>
  <si>
    <t xml:space="preserve">bfde.rsd </t>
  </si>
  <si>
    <t xml:space="preserve">bfdf.p </t>
  </si>
  <si>
    <t xml:space="preserve">bfea.rsd </t>
  </si>
  <si>
    <t xml:space="preserve">bfeb.p </t>
  </si>
  <si>
    <t xml:space="preserve">bfec.rsd </t>
  </si>
  <si>
    <t xml:space="preserve">bfed.p </t>
  </si>
  <si>
    <t xml:space="preserve">bfee.rsd </t>
  </si>
  <si>
    <t xml:space="preserve">bfef.p </t>
  </si>
  <si>
    <t xml:space="preserve">bffa.rsd </t>
  </si>
  <si>
    <t xml:space="preserve">bffb.p </t>
  </si>
  <si>
    <t xml:space="preserve">bffc.rsd </t>
  </si>
  <si>
    <t xml:space="preserve">bffd.p </t>
  </si>
  <si>
    <t xml:space="preserve">bvar </t>
  </si>
  <si>
    <t>es.p</t>
  </si>
  <si>
    <t xml:space="preserve">bffe.rsd </t>
  </si>
  <si>
    <t>Tristoner being destroyed take 6</t>
  </si>
  <si>
    <t xml:space="preserve">bfff.p </t>
  </si>
  <si>
    <t xml:space="preserve">bfga.rsd </t>
  </si>
  <si>
    <t xml:space="preserve">bfgb.p </t>
  </si>
  <si>
    <t xml:space="preserve">bfgc.rsd </t>
  </si>
  <si>
    <t>bfgd.p</t>
  </si>
  <si>
    <t>bfge.rsd</t>
  </si>
  <si>
    <t>es.rsd</t>
  </si>
  <si>
    <t xml:space="preserve">bvat </t>
  </si>
  <si>
    <t>bfgf.p</t>
  </si>
  <si>
    <t>bfha.rsd</t>
  </si>
  <si>
    <t>bfhb.p</t>
  </si>
  <si>
    <t>bfhc.rsd</t>
  </si>
  <si>
    <t>bfhd.p</t>
  </si>
  <si>
    <t>bfhe.hrc</t>
  </si>
  <si>
    <t>old1_sk</t>
  </si>
  <si>
    <t xml:space="preserve">bfhf.rsd </t>
  </si>
  <si>
    <t xml:space="preserve">bfia.p </t>
  </si>
  <si>
    <t>et.p</t>
  </si>
  <si>
    <t>Tristoner being destroyed take 7</t>
  </si>
  <si>
    <t xml:space="preserve">bvau </t>
  </si>
  <si>
    <t xml:space="preserve">bfib.rsd </t>
  </si>
  <si>
    <t xml:space="preserve">bfic.p </t>
  </si>
  <si>
    <t xml:space="preserve">bfid.rsd </t>
  </si>
  <si>
    <t xml:space="preserve">bfie.p </t>
  </si>
  <si>
    <t xml:space="preserve">bfif.tex </t>
  </si>
  <si>
    <t xml:space="preserve">bfja.tex </t>
  </si>
  <si>
    <t xml:space="preserve">bfjb.tex </t>
  </si>
  <si>
    <t xml:space="preserve">bvav </t>
  </si>
  <si>
    <t xml:space="preserve">bfjc.rsd </t>
  </si>
  <si>
    <t xml:space="preserve">bfjd.p </t>
  </si>
  <si>
    <t xml:space="preserve">bfje.rsd </t>
  </si>
  <si>
    <t>et.rsd</t>
  </si>
  <si>
    <t xml:space="preserve">bfjf.p </t>
  </si>
  <si>
    <t xml:space="preserve">bgaa.rsd </t>
  </si>
  <si>
    <t xml:space="preserve">bgab.p </t>
  </si>
  <si>
    <t xml:space="preserve">bgac.rsd </t>
  </si>
  <si>
    <t xml:space="preserve">bgad.p </t>
  </si>
  <si>
    <t xml:space="preserve">bgae.rsd </t>
  </si>
  <si>
    <t xml:space="preserve">bgaf.p </t>
  </si>
  <si>
    <t xml:space="preserve">bvaw </t>
  </si>
  <si>
    <t xml:space="preserve">bgba.rsd </t>
  </si>
  <si>
    <t xml:space="preserve">bgbb.p </t>
  </si>
  <si>
    <t>eu.p</t>
  </si>
  <si>
    <t xml:space="preserve">bgbc.rsd </t>
  </si>
  <si>
    <t xml:space="preserve">bgbd.p </t>
  </si>
  <si>
    <t>Tristoner reloading take 1</t>
  </si>
  <si>
    <t xml:space="preserve">bgbe.rsd </t>
  </si>
  <si>
    <t xml:space="preserve">bgbf.p </t>
  </si>
  <si>
    <t xml:space="preserve">bgca.rsd </t>
  </si>
  <si>
    <t xml:space="preserve">bgcb.p </t>
  </si>
  <si>
    <t xml:space="preserve">bgcc.rsd </t>
  </si>
  <si>
    <t xml:space="preserve">bgcd.p </t>
  </si>
  <si>
    <t xml:space="preserve">bvax </t>
  </si>
  <si>
    <t xml:space="preserve">bgce.rsd </t>
  </si>
  <si>
    <t xml:space="preserve">bgcf.p </t>
  </si>
  <si>
    <t>eu.rsd</t>
  </si>
  <si>
    <t xml:space="preserve">bgda.rsd </t>
  </si>
  <si>
    <t xml:space="preserve">bgdb.p </t>
  </si>
  <si>
    <t xml:space="preserve">bgdc.hrc </t>
  </si>
  <si>
    <t>siera_sk</t>
  </si>
  <si>
    <t xml:space="preserve">bgdd.rsd </t>
  </si>
  <si>
    <t xml:space="preserve">bgde.p </t>
  </si>
  <si>
    <t xml:space="preserve">bgdf.rsd </t>
  </si>
  <si>
    <t xml:space="preserve">bgea.p </t>
  </si>
  <si>
    <t xml:space="preserve">bgeb.rsd </t>
  </si>
  <si>
    <t xml:space="preserve">bgec.p </t>
  </si>
  <si>
    <t xml:space="preserve">bged.tex </t>
  </si>
  <si>
    <t>eunit00.tex</t>
  </si>
  <si>
    <t xml:space="preserve">bgee.tex </t>
  </si>
  <si>
    <t>Command text and hand whole</t>
  </si>
  <si>
    <t xml:space="preserve">bgef.tex </t>
  </si>
  <si>
    <t xml:space="preserve">bgfa.rsd </t>
  </si>
  <si>
    <t xml:space="preserve">bvay </t>
  </si>
  <si>
    <t xml:space="preserve">bgfb.p </t>
  </si>
  <si>
    <t xml:space="preserve">bgfc.rsd </t>
  </si>
  <si>
    <t xml:space="preserve">bgfd.p </t>
  </si>
  <si>
    <t xml:space="preserve">bgfe.rsd </t>
  </si>
  <si>
    <t xml:space="preserve">bgff.p </t>
  </si>
  <si>
    <t xml:space="preserve">bgga.rsd </t>
  </si>
  <si>
    <t xml:space="preserve">bggb.p </t>
  </si>
  <si>
    <t xml:space="preserve">bggc.rsd </t>
  </si>
  <si>
    <t xml:space="preserve">bggd.p </t>
  </si>
  <si>
    <t xml:space="preserve">bgge.rsd </t>
  </si>
  <si>
    <t xml:space="preserve">bggf.p </t>
  </si>
  <si>
    <t xml:space="preserve">bgha.rsd </t>
  </si>
  <si>
    <t xml:space="preserve">bghb.p </t>
  </si>
  <si>
    <t xml:space="preserve">bghc.rsd </t>
  </si>
  <si>
    <t xml:space="preserve">bvbb </t>
  </si>
  <si>
    <t xml:space="preserve">bghd.p </t>
  </si>
  <si>
    <t>eunit00a.tex</t>
  </si>
  <si>
    <t xml:space="preserve">bghe.rsd </t>
  </si>
  <si>
    <t>Interface boxes with text part 1</t>
  </si>
  <si>
    <t xml:space="preserve">bghf.p </t>
  </si>
  <si>
    <t xml:space="preserve">bgia.rsd </t>
  </si>
  <si>
    <t xml:space="preserve">bgib.p </t>
  </si>
  <si>
    <t xml:space="preserve">bgic.rsd </t>
  </si>
  <si>
    <t xml:space="preserve">bgid.p </t>
  </si>
  <si>
    <t xml:space="preserve">bgie.rsd </t>
  </si>
  <si>
    <t xml:space="preserve">bgif.p </t>
  </si>
  <si>
    <t xml:space="preserve">bgja.rsd </t>
  </si>
  <si>
    <t xml:space="preserve">bgjb.p </t>
  </si>
  <si>
    <t xml:space="preserve">bgjc.hrc </t>
  </si>
  <si>
    <t xml:space="preserve">bvbc </t>
  </si>
  <si>
    <t>sefiro3_sk</t>
  </si>
  <si>
    <t>Sephiroth w/ Jenova's Head</t>
  </si>
  <si>
    <t xml:space="preserve">bgjd.rsd </t>
  </si>
  <si>
    <t xml:space="preserve">bgje.p </t>
  </si>
  <si>
    <t xml:space="preserve">bgjf.rsd </t>
  </si>
  <si>
    <t xml:space="preserve">bhaa.p </t>
  </si>
  <si>
    <t xml:space="preserve">bhab.rsd </t>
  </si>
  <si>
    <t>eunit00b.tex</t>
  </si>
  <si>
    <t>Interface boxes with text part 2</t>
  </si>
  <si>
    <t xml:space="preserve">bhac.p </t>
  </si>
  <si>
    <t xml:space="preserve">bvbd </t>
  </si>
  <si>
    <t xml:space="preserve">bhad.tex </t>
  </si>
  <si>
    <t xml:space="preserve">bhae.tex </t>
  </si>
  <si>
    <t xml:space="preserve">bhaf.tex </t>
  </si>
  <si>
    <t xml:space="preserve">bhba.rsd </t>
  </si>
  <si>
    <t>Sephiroth: Hair</t>
  </si>
  <si>
    <t xml:space="preserve">bhbb.p </t>
  </si>
  <si>
    <t xml:space="preserve">bhbc.rsd </t>
  </si>
  <si>
    <t xml:space="preserve">bvbg </t>
  </si>
  <si>
    <t xml:space="preserve">bhbd.p </t>
  </si>
  <si>
    <t xml:space="preserve">bhbe.rsd </t>
  </si>
  <si>
    <t xml:space="preserve">bhbf.p </t>
  </si>
  <si>
    <t xml:space="preserve">bhca.rsd </t>
  </si>
  <si>
    <t>Sephiroth: Left Hand (Jenova's Head)</t>
  </si>
  <si>
    <t xml:space="preserve">bhcb.p </t>
  </si>
  <si>
    <t>eunit00c.tex</t>
  </si>
  <si>
    <t>Interface boxes with text part 3</t>
  </si>
  <si>
    <t xml:space="preserve">bhcc.rsd </t>
  </si>
  <si>
    <t>Sephiroth: Jenova's Head (Accesories)</t>
  </si>
  <si>
    <t xml:space="preserve">bvbh </t>
  </si>
  <si>
    <t xml:space="preserve">bhcd.p </t>
  </si>
  <si>
    <t xml:space="preserve">bhce.rsd </t>
  </si>
  <si>
    <t xml:space="preserve">bhcf.p </t>
  </si>
  <si>
    <t xml:space="preserve">bhda.rsd </t>
  </si>
  <si>
    <t xml:space="preserve">bhdb.p </t>
  </si>
  <si>
    <t xml:space="preserve">bvbi </t>
  </si>
  <si>
    <t xml:space="preserve">bhdc.rsd </t>
  </si>
  <si>
    <t>Sephiroth: Right Hand (Masamune)</t>
  </si>
  <si>
    <t xml:space="preserve">bhdd.p </t>
  </si>
  <si>
    <t xml:space="preserve">bhde.rsd </t>
  </si>
  <si>
    <t>eunit00d.tex</t>
  </si>
  <si>
    <t>Interface boxes with text part 4</t>
  </si>
  <si>
    <t xml:space="preserve">bhdf.p </t>
  </si>
  <si>
    <t xml:space="preserve">bhea.rsd </t>
  </si>
  <si>
    <t xml:space="preserve">bheb.p </t>
  </si>
  <si>
    <t xml:space="preserve">bhec.rsd </t>
  </si>
  <si>
    <t xml:space="preserve">bhed.p </t>
  </si>
  <si>
    <t xml:space="preserve">bvbk </t>
  </si>
  <si>
    <t>824 Bytes</t>
  </si>
  <si>
    <t xml:space="preserve">bhee.rsd </t>
  </si>
  <si>
    <t xml:space="preserve">bhef.p </t>
  </si>
  <si>
    <t xml:space="preserve">bhfa.rsd </t>
  </si>
  <si>
    <t xml:space="preserve">bhfb.p </t>
  </si>
  <si>
    <t xml:space="preserve">bhfc.rsd </t>
  </si>
  <si>
    <t>eunit01.tex</t>
  </si>
  <si>
    <t xml:space="preserve">bhfd.p </t>
  </si>
  <si>
    <t>Interface boxes with text Whole</t>
  </si>
  <si>
    <t xml:space="preserve">bvbm </t>
  </si>
  <si>
    <t xml:space="preserve">bhfe.a </t>
  </si>
  <si>
    <t xml:space="preserve">bhff.hrc </t>
  </si>
  <si>
    <t>clouds_sk</t>
  </si>
  <si>
    <t xml:space="preserve">bhga.rsd </t>
  </si>
  <si>
    <t xml:space="preserve">bhgb.p </t>
  </si>
  <si>
    <t xml:space="preserve">bhgc.rsd </t>
  </si>
  <si>
    <t xml:space="preserve">bhgd.p </t>
  </si>
  <si>
    <t xml:space="preserve">bhge.rsd </t>
  </si>
  <si>
    <t xml:space="preserve">bvda </t>
  </si>
  <si>
    <t xml:space="preserve">bhgf.p </t>
  </si>
  <si>
    <t xml:space="preserve">bhha.tex </t>
  </si>
  <si>
    <t xml:space="preserve">bhhb.tex </t>
  </si>
  <si>
    <t>eunit01a.tex</t>
  </si>
  <si>
    <t xml:space="preserve">bhhc.tex </t>
  </si>
  <si>
    <t>Command text and hand part 1</t>
  </si>
  <si>
    <t xml:space="preserve">bwaa </t>
  </si>
  <si>
    <t xml:space="preserve">bhhd.rsd </t>
  </si>
  <si>
    <t>TURKS: Reno: Battle Skeleton</t>
  </si>
  <si>
    <t xml:space="preserve">bhhe.p </t>
  </si>
  <si>
    <t xml:space="preserve">bhhf.rsd </t>
  </si>
  <si>
    <t xml:space="preserve">bhia.p </t>
  </si>
  <si>
    <t xml:space="preserve">bhib.rsd </t>
  </si>
  <si>
    <t xml:space="preserve">bhic.p </t>
  </si>
  <si>
    <t xml:space="preserve">bhid.rsd </t>
  </si>
  <si>
    <t>(Sector 7 Fight)</t>
  </si>
  <si>
    <t xml:space="preserve">bhie.p </t>
  </si>
  <si>
    <t xml:space="preserve">bhif.rsd </t>
  </si>
  <si>
    <t xml:space="preserve">bwab </t>
  </si>
  <si>
    <t xml:space="preserve">bhja.p </t>
  </si>
  <si>
    <t>TURKS: Reno: Unidentified Part</t>
  </si>
  <si>
    <t>eunit01b.tex</t>
  </si>
  <si>
    <t>Command text and hand part 2</t>
  </si>
  <si>
    <t xml:space="preserve">bhjb.rsd </t>
  </si>
  <si>
    <t xml:space="preserve">bhjc.p </t>
  </si>
  <si>
    <t xml:space="preserve">bwac </t>
  </si>
  <si>
    <t xml:space="preserve">bhjd.rsd </t>
  </si>
  <si>
    <t>TURKS: Reno: Eye, Mouth</t>
  </si>
  <si>
    <t>Cloud: Sword</t>
  </si>
  <si>
    <t xml:space="preserve">bhje.p </t>
  </si>
  <si>
    <t xml:space="preserve">bhjf.rsd </t>
  </si>
  <si>
    <t xml:space="preserve">biaa.p </t>
  </si>
  <si>
    <t xml:space="preserve">biab.rsd </t>
  </si>
  <si>
    <t xml:space="preserve">biac.p </t>
  </si>
  <si>
    <t xml:space="preserve">biad.rsd </t>
  </si>
  <si>
    <t xml:space="preserve">biae.p </t>
  </si>
  <si>
    <t xml:space="preserve">bwam </t>
  </si>
  <si>
    <t>8.1 K</t>
  </si>
  <si>
    <t xml:space="preserve">biaf.rsd </t>
  </si>
  <si>
    <t>TURKS: Reno: Upper Chest</t>
  </si>
  <si>
    <t>eunit01c.tex</t>
  </si>
  <si>
    <t xml:space="preserve">biba.p </t>
  </si>
  <si>
    <t>Command text and hand part 3</t>
  </si>
  <si>
    <t xml:space="preserve">bibb.rsd </t>
  </si>
  <si>
    <t xml:space="preserve">bibc.p </t>
  </si>
  <si>
    <t xml:space="preserve">bibd.rsd </t>
  </si>
  <si>
    <t xml:space="preserve">bibe.p </t>
  </si>
  <si>
    <t xml:space="preserve">bibf.a </t>
  </si>
  <si>
    <t xml:space="preserve">bica.a </t>
  </si>
  <si>
    <t xml:space="preserve">bicb.a </t>
  </si>
  <si>
    <t xml:space="preserve">bwan </t>
  </si>
  <si>
    <t xml:space="preserve">bicc.a </t>
  </si>
  <si>
    <t>TURKS: Reno: Head</t>
  </si>
  <si>
    <t xml:space="preserve">bicd.a </t>
  </si>
  <si>
    <t xml:space="preserve">bice.a </t>
  </si>
  <si>
    <t xml:space="preserve">bicf.a </t>
  </si>
  <si>
    <t xml:space="preserve">bida.a </t>
  </si>
  <si>
    <t xml:space="preserve">bidb.hrc </t>
  </si>
  <si>
    <t>tifa15_sk</t>
  </si>
  <si>
    <t xml:space="preserve">bidc.rsd </t>
  </si>
  <si>
    <t xml:space="preserve">bidd.p </t>
  </si>
  <si>
    <t>eunit01d.tex</t>
  </si>
  <si>
    <t xml:space="preserve">bwap </t>
  </si>
  <si>
    <t xml:space="preserve">bide.rsd </t>
  </si>
  <si>
    <t>Command text and hand part 4</t>
  </si>
  <si>
    <t>TURKS: Reno: Hair</t>
  </si>
  <si>
    <t xml:space="preserve">bidf.p </t>
  </si>
  <si>
    <t xml:space="preserve">biea.rsd </t>
  </si>
  <si>
    <t xml:space="preserve">bieb.p </t>
  </si>
  <si>
    <t xml:space="preserve">biec.tex </t>
  </si>
  <si>
    <t xml:space="preserve">bied.tex </t>
  </si>
  <si>
    <t xml:space="preserve">biee.tex </t>
  </si>
  <si>
    <t xml:space="preserve">bief.rsd </t>
  </si>
  <si>
    <t xml:space="preserve">bwaq </t>
  </si>
  <si>
    <t xml:space="preserve">bifa.p </t>
  </si>
  <si>
    <t xml:space="preserve">bifb.rsd </t>
  </si>
  <si>
    <t xml:space="preserve">bifc.p </t>
  </si>
  <si>
    <t xml:space="preserve">bifd.rsd </t>
  </si>
  <si>
    <t>Tristoner reloading take 2</t>
  </si>
  <si>
    <t xml:space="preserve">bife.p </t>
  </si>
  <si>
    <t xml:space="preserve">biff.rsd </t>
  </si>
  <si>
    <t xml:space="preserve">biga.p </t>
  </si>
  <si>
    <t xml:space="preserve">bwar </t>
  </si>
  <si>
    <t xml:space="preserve">bigb.rsd </t>
  </si>
  <si>
    <t xml:space="preserve">bigc.p </t>
  </si>
  <si>
    <t xml:space="preserve">bigd.rsd </t>
  </si>
  <si>
    <t xml:space="preserve">bige.p </t>
  </si>
  <si>
    <t xml:space="preserve">bigf.rsd </t>
  </si>
  <si>
    <t xml:space="preserve">biha.p </t>
  </si>
  <si>
    <t xml:space="preserve">bihb.rsd </t>
  </si>
  <si>
    <t xml:space="preserve">bihc.p </t>
  </si>
  <si>
    <t xml:space="preserve">bwas </t>
  </si>
  <si>
    <t xml:space="preserve">bihd.rsd </t>
  </si>
  <si>
    <t>TURKS: Reno: Lower Chest</t>
  </si>
  <si>
    <t xml:space="preserve">bihe.p </t>
  </si>
  <si>
    <t xml:space="preserve">bihf.rsd </t>
  </si>
  <si>
    <t>Tristoner reloading take 3</t>
  </si>
  <si>
    <t xml:space="preserve">biia.p </t>
  </si>
  <si>
    <t xml:space="preserve">biib.rsd </t>
  </si>
  <si>
    <t xml:space="preserve">biic.p </t>
  </si>
  <si>
    <t xml:space="preserve">biid.rsd </t>
  </si>
  <si>
    <t xml:space="preserve">biie.p </t>
  </si>
  <si>
    <t xml:space="preserve">bwau </t>
  </si>
  <si>
    <t xml:space="preserve">biif.rsd </t>
  </si>
  <si>
    <t>TURKS: Reno: Upper Leg</t>
  </si>
  <si>
    <t xml:space="preserve">bija.p </t>
  </si>
  <si>
    <t xml:space="preserve">bijb.a </t>
  </si>
  <si>
    <t xml:space="preserve">bijc.a </t>
  </si>
  <si>
    <t xml:space="preserve">bijd.hrc </t>
  </si>
  <si>
    <t>yvin_sk</t>
  </si>
  <si>
    <t>Turk - Vincent</t>
  </si>
  <si>
    <t xml:space="preserve">bije.rsd </t>
  </si>
  <si>
    <t xml:space="preserve">bijf.p </t>
  </si>
  <si>
    <t xml:space="preserve">bwav </t>
  </si>
  <si>
    <t xml:space="preserve">bjaa.rsd </t>
  </si>
  <si>
    <t>Tristoner reloading take 4</t>
  </si>
  <si>
    <t>TURKS: Reno: Lower Leg</t>
  </si>
  <si>
    <t xml:space="preserve">bjab.p </t>
  </si>
  <si>
    <t xml:space="preserve">bjac.rsd </t>
  </si>
  <si>
    <t xml:space="preserve">bjad.p </t>
  </si>
  <si>
    <t xml:space="preserve">bjae.tex </t>
  </si>
  <si>
    <t xml:space="preserve">bjaf.tex </t>
  </si>
  <si>
    <t xml:space="preserve">bjba.tex </t>
  </si>
  <si>
    <t xml:space="preserve">bwaw </t>
  </si>
  <si>
    <t>TURKS: Reno: Back Shoe (ankle)</t>
  </si>
  <si>
    <t xml:space="preserve">bjbb.rsd </t>
  </si>
  <si>
    <t xml:space="preserve">bjbc.p </t>
  </si>
  <si>
    <t xml:space="preserve">bjbd.rsd </t>
  </si>
  <si>
    <t xml:space="preserve">bjbe.p </t>
  </si>
  <si>
    <t xml:space="preserve">bjbf.rsd </t>
  </si>
  <si>
    <t>ey.p</t>
  </si>
  <si>
    <t>Catapult attacking take 1</t>
  </si>
  <si>
    <t xml:space="preserve">bjca.p </t>
  </si>
  <si>
    <t xml:space="preserve">bjcb.rsd </t>
  </si>
  <si>
    <t xml:space="preserve">bjcc.p </t>
  </si>
  <si>
    <t xml:space="preserve">bway </t>
  </si>
  <si>
    <t>TURKS: Reno: Front Shoe (foot)</t>
  </si>
  <si>
    <t xml:space="preserve">bjcd.rsd </t>
  </si>
  <si>
    <t xml:space="preserve">bjce.p </t>
  </si>
  <si>
    <t xml:space="preserve">bjcf.rsd </t>
  </si>
  <si>
    <t xml:space="preserve">bjda.p </t>
  </si>
  <si>
    <t>ey.rsd</t>
  </si>
  <si>
    <t xml:space="preserve">bjdb.rsd </t>
  </si>
  <si>
    <t xml:space="preserve">bjdc.p </t>
  </si>
  <si>
    <t xml:space="preserve">bjdd.rsd </t>
  </si>
  <si>
    <t xml:space="preserve">bwba </t>
  </si>
  <si>
    <t xml:space="preserve">bjde.p </t>
  </si>
  <si>
    <t xml:space="preserve">bjdf.rsd </t>
  </si>
  <si>
    <t>ez.p</t>
  </si>
  <si>
    <t xml:space="preserve">bjea.p </t>
  </si>
  <si>
    <t>Catapult attacking take 2</t>
  </si>
  <si>
    <t xml:space="preserve">bjeb.rsd </t>
  </si>
  <si>
    <t xml:space="preserve">bjec.p </t>
  </si>
  <si>
    <t xml:space="preserve">bwbb </t>
  </si>
  <si>
    <t xml:space="preserve">bjed.rsd </t>
  </si>
  <si>
    <t xml:space="preserve">bjee.p </t>
  </si>
  <si>
    <t xml:space="preserve">bjef.rsd </t>
  </si>
  <si>
    <t xml:space="preserve">bjfa.p </t>
  </si>
  <si>
    <t xml:space="preserve">bjfb.hrc </t>
  </si>
  <si>
    <t>cmother_sk</t>
  </si>
  <si>
    <t>ez.rsd</t>
  </si>
  <si>
    <t>Cloud's Mother - Normal</t>
  </si>
  <si>
    <t xml:space="preserve">bjfc.rsd </t>
  </si>
  <si>
    <t xml:space="preserve">bwbc </t>
  </si>
  <si>
    <t>Cloud's Mother: Lower Chest</t>
  </si>
  <si>
    <t xml:space="preserve">bjfd.p </t>
  </si>
  <si>
    <t xml:space="preserve">bjfe.rsd </t>
  </si>
  <si>
    <t>Cloud's Mother: Upper Chest</t>
  </si>
  <si>
    <t xml:space="preserve">bjff.p </t>
  </si>
  <si>
    <t xml:space="preserve">bjga.rsd </t>
  </si>
  <si>
    <t>Cloud's Mother: Head</t>
  </si>
  <si>
    <t xml:space="preserve">bjgb.p </t>
  </si>
  <si>
    <t xml:space="preserve">bwbe </t>
  </si>
  <si>
    <t>Catapult attacking take 3</t>
  </si>
  <si>
    <t xml:space="preserve">bjgc.tex </t>
  </si>
  <si>
    <t>Cloud's Mother: Eye</t>
  </si>
  <si>
    <t xml:space="preserve">bjgd.tex </t>
  </si>
  <si>
    <t xml:space="preserve">bjge.tex </t>
  </si>
  <si>
    <t>Cloud's Mother: Mouth</t>
  </si>
  <si>
    <t xml:space="preserve">bjgf.rsd </t>
  </si>
  <si>
    <t>Cloud's Mother: Upper Arm</t>
  </si>
  <si>
    <t xml:space="preserve">bjha.p </t>
  </si>
  <si>
    <t xml:space="preserve">bwbh </t>
  </si>
  <si>
    <t>TURKS: Reno: Upper Arm</t>
  </si>
  <si>
    <t xml:space="preserve">bjhb.rsd </t>
  </si>
  <si>
    <t>Cloud's Mother: Lower Arm</t>
  </si>
  <si>
    <t xml:space="preserve">bjhc.p </t>
  </si>
  <si>
    <t xml:space="preserve">bjhd.rsd </t>
  </si>
  <si>
    <t>Cloud's Mother: Hand</t>
  </si>
  <si>
    <t xml:space="preserve">bjhe.p </t>
  </si>
  <si>
    <t xml:space="preserve">bjhf.rsd </t>
  </si>
  <si>
    <t xml:space="preserve">bjia.p </t>
  </si>
  <si>
    <t xml:space="preserve">bjib.rsd </t>
  </si>
  <si>
    <t xml:space="preserve">bwbi </t>
  </si>
  <si>
    <t>1008 Bytes</t>
  </si>
  <si>
    <t>Catapult attacking take 4</t>
  </si>
  <si>
    <t>TURKS: Reno: Lower Arm</t>
  </si>
  <si>
    <t xml:space="preserve">bjic.p </t>
  </si>
  <si>
    <t xml:space="preserve">bjid.rsd </t>
  </si>
  <si>
    <t xml:space="preserve">bjie.p </t>
  </si>
  <si>
    <t xml:space="preserve">bjif.rsd </t>
  </si>
  <si>
    <t>Cloud's Mother: Upper Leg</t>
  </si>
  <si>
    <t xml:space="preserve">bwbj </t>
  </si>
  <si>
    <t xml:space="preserve">bjja.p </t>
  </si>
  <si>
    <t>TURKS: Reno: Left Hand</t>
  </si>
  <si>
    <t xml:space="preserve">bjjb.rsd </t>
  </si>
  <si>
    <t>Cloud's Mother: Lower Leg</t>
  </si>
  <si>
    <t xml:space="preserve">bjjc.p </t>
  </si>
  <si>
    <t xml:space="preserve">bjjd.rsd </t>
  </si>
  <si>
    <t>Cloud's Mother: Foot</t>
  </si>
  <si>
    <t xml:space="preserve">bjje.p </t>
  </si>
  <si>
    <t xml:space="preserve">bjjf.rsd </t>
  </si>
  <si>
    <t xml:space="preserve">bkaa.p </t>
  </si>
  <si>
    <t xml:space="preserve">bwbm </t>
  </si>
  <si>
    <t xml:space="preserve">bkab.rsd </t>
  </si>
  <si>
    <t>Catapult attacking take 5</t>
  </si>
  <si>
    <t xml:space="preserve">bkac.p </t>
  </si>
  <si>
    <t xml:space="preserve">bkad.rsd </t>
  </si>
  <si>
    <t xml:space="preserve">bkae.p </t>
  </si>
  <si>
    <t xml:space="preserve">bkaf.a </t>
  </si>
  <si>
    <t xml:space="preserve">bkba.a </t>
  </si>
  <si>
    <t xml:space="preserve">bwbn </t>
  </si>
  <si>
    <t xml:space="preserve">bkbb.a </t>
  </si>
  <si>
    <t xml:space="preserve">bkbc.a </t>
  </si>
  <si>
    <t xml:space="preserve">bkbd.a </t>
  </si>
  <si>
    <t xml:space="preserve">bkbe.a </t>
  </si>
  <si>
    <t xml:space="preserve">bkbf.hrc </t>
  </si>
  <si>
    <t>prisilla_sk</t>
  </si>
  <si>
    <t xml:space="preserve">bkca.rsd </t>
  </si>
  <si>
    <t>Priscilla: Lower Chest</t>
  </si>
  <si>
    <t>Catapult being destroyed take 1</t>
  </si>
  <si>
    <t xml:space="preserve">bwbo </t>
  </si>
  <si>
    <t xml:space="preserve">bkcb.p </t>
  </si>
  <si>
    <t>TURKS: Reno: Right Hand</t>
  </si>
  <si>
    <t xml:space="preserve">bkcc.rsd </t>
  </si>
  <si>
    <t>Priscilla: Upper Chest</t>
  </si>
  <si>
    <t xml:space="preserve">bkcd.p </t>
  </si>
  <si>
    <t xml:space="preserve">bkce.rsd </t>
  </si>
  <si>
    <t>Priscilla: Head</t>
  </si>
  <si>
    <t xml:space="preserve">bkcf.p </t>
  </si>
  <si>
    <t xml:space="preserve">bwbq </t>
  </si>
  <si>
    <t xml:space="preserve">bkda.tex </t>
  </si>
  <si>
    <t>Priscilla: Eye</t>
  </si>
  <si>
    <t>TURKS: Reno: Electro-Mag Rod</t>
  </si>
  <si>
    <t xml:space="preserve">bkdb.tex </t>
  </si>
  <si>
    <t xml:space="preserve">bkdc.tex </t>
  </si>
  <si>
    <t>Priscilla: Mouth</t>
  </si>
  <si>
    <t xml:space="preserve">bkdd.rsd </t>
  </si>
  <si>
    <t>Priscilla: Upper Arm</t>
  </si>
  <si>
    <t xml:space="preserve">bkde.p </t>
  </si>
  <si>
    <t xml:space="preserve">bwda </t>
  </si>
  <si>
    <t xml:space="preserve">bkdf.rsd </t>
  </si>
  <si>
    <t>Catapult being destroyed take 2</t>
  </si>
  <si>
    <t>Priscilla: Lower Arm</t>
  </si>
  <si>
    <t xml:space="preserve">bkea.p </t>
  </si>
  <si>
    <t xml:space="preserve">bkeb.rsd </t>
  </si>
  <si>
    <t xml:space="preserve">bxaa </t>
  </si>
  <si>
    <t>Priscilla: Hand</t>
  </si>
  <si>
    <t>Reno's Pyramid: Battle Skeleton</t>
  </si>
  <si>
    <t xml:space="preserve">bkec.p </t>
  </si>
  <si>
    <t xml:space="preserve">bked.rsd </t>
  </si>
  <si>
    <t xml:space="preserve">bkee.p </t>
  </si>
  <si>
    <t xml:space="preserve">bkef.rsd </t>
  </si>
  <si>
    <t xml:space="preserve">bkfa.p </t>
  </si>
  <si>
    <t xml:space="preserve">bkfb.rsd </t>
  </si>
  <si>
    <t xml:space="preserve">bkfc.p </t>
  </si>
  <si>
    <t>Catapult being destroyed take 3</t>
  </si>
  <si>
    <t xml:space="preserve">bkfd.rsd </t>
  </si>
  <si>
    <t>Priscilla: Upper Leg</t>
  </si>
  <si>
    <t xml:space="preserve">bkfe.p </t>
  </si>
  <si>
    <t xml:space="preserve">bkff.rsd </t>
  </si>
  <si>
    <t>Priscilla: Lower Leg</t>
  </si>
  <si>
    <t xml:space="preserve">bkga.p </t>
  </si>
  <si>
    <t xml:space="preserve">bxab </t>
  </si>
  <si>
    <t>Reno's Pyramid: Unidentified Part</t>
  </si>
  <si>
    <t xml:space="preserve">bkgb.rsd </t>
  </si>
  <si>
    <t>Priscilla: Foot</t>
  </si>
  <si>
    <t xml:space="preserve">bxam </t>
  </si>
  <si>
    <t xml:space="preserve">bkgc.p </t>
  </si>
  <si>
    <t xml:space="preserve">bkgd.rsd </t>
  </si>
  <si>
    <t xml:space="preserve">bkge.p </t>
  </si>
  <si>
    <t xml:space="preserve">bkgf.rsd </t>
  </si>
  <si>
    <t xml:space="preserve">bkha.p </t>
  </si>
  <si>
    <t xml:space="preserve">bkhb.rsd </t>
  </si>
  <si>
    <t xml:space="preserve">bxda </t>
  </si>
  <si>
    <t>Catapult being destroyed take 4</t>
  </si>
  <si>
    <t xml:space="preserve">bkhc.p </t>
  </si>
  <si>
    <t xml:space="preserve">bkhd.hrc </t>
  </si>
  <si>
    <t xml:space="preserve">byaa </t>
  </si>
  <si>
    <t>n_sefiros_sk</t>
  </si>
  <si>
    <t>232 Bytes</t>
  </si>
  <si>
    <t>Warning Board: Battle Skeleton</t>
  </si>
  <si>
    <t xml:space="preserve">bkhe.rsd </t>
  </si>
  <si>
    <t xml:space="preserve">bkhf.p </t>
  </si>
  <si>
    <t xml:space="preserve">bkia.rsd </t>
  </si>
  <si>
    <t xml:space="preserve">bkib.p </t>
  </si>
  <si>
    <t xml:space="preserve">bkic.rsd </t>
  </si>
  <si>
    <t xml:space="preserve">byab </t>
  </si>
  <si>
    <t xml:space="preserve">bkid.p </t>
  </si>
  <si>
    <t>Warning Board: Unidentified Part</t>
  </si>
  <si>
    <t xml:space="preserve">bkie.tex </t>
  </si>
  <si>
    <t>fh.p</t>
  </si>
  <si>
    <t>Catapult being destroyed take 5</t>
  </si>
  <si>
    <t xml:space="preserve">byac </t>
  </si>
  <si>
    <t xml:space="preserve">bkif.tex </t>
  </si>
  <si>
    <t xml:space="preserve">Warning Board: Warning </t>
  </si>
  <si>
    <t xml:space="preserve">bkja.tex </t>
  </si>
  <si>
    <t xml:space="preserve">bkjb.rsd </t>
  </si>
  <si>
    <t xml:space="preserve">bkjc.p </t>
  </si>
  <si>
    <t>fh.rsd</t>
  </si>
  <si>
    <t xml:space="preserve">bkjd.rsd </t>
  </si>
  <si>
    <t xml:space="preserve">byam </t>
  </si>
  <si>
    <t>64 K</t>
  </si>
  <si>
    <t xml:space="preserve">bkje.p </t>
  </si>
  <si>
    <t xml:space="preserve">bkjf.rsd </t>
  </si>
  <si>
    <t xml:space="preserve">blaa.p </t>
  </si>
  <si>
    <t xml:space="preserve">blab.rsd </t>
  </si>
  <si>
    <t>fi.p</t>
  </si>
  <si>
    <t xml:space="preserve">byao </t>
  </si>
  <si>
    <t>Catapult being destroyed take 6</t>
  </si>
  <si>
    <t xml:space="preserve">blac.p </t>
  </si>
  <si>
    <t xml:space="preserve">blad.rsd </t>
  </si>
  <si>
    <t xml:space="preserve">blae.p </t>
  </si>
  <si>
    <t xml:space="preserve">blaf.rsd </t>
  </si>
  <si>
    <t xml:space="preserve">blba.p </t>
  </si>
  <si>
    <t>fi.rsd</t>
  </si>
  <si>
    <t xml:space="preserve">byaq </t>
  </si>
  <si>
    <t xml:space="preserve">blbb.rsd </t>
  </si>
  <si>
    <t xml:space="preserve">blbc.p </t>
  </si>
  <si>
    <t xml:space="preserve">blbd.rsd </t>
  </si>
  <si>
    <t xml:space="preserve">byas </t>
  </si>
  <si>
    <t>Catapult reloading take 1</t>
  </si>
  <si>
    <t xml:space="preserve">blbe.p </t>
  </si>
  <si>
    <t xml:space="preserve">blbf.rsd </t>
  </si>
  <si>
    <t xml:space="preserve">blca.p </t>
  </si>
  <si>
    <t xml:space="preserve">blcb.rsd </t>
  </si>
  <si>
    <t xml:space="preserve">byau </t>
  </si>
  <si>
    <t xml:space="preserve">blcc.p </t>
  </si>
  <si>
    <t xml:space="preserve">blcd.rsd </t>
  </si>
  <si>
    <t xml:space="preserve">blce.p </t>
  </si>
  <si>
    <t xml:space="preserve">blcf.rsd </t>
  </si>
  <si>
    <t xml:space="preserve">blda.p </t>
  </si>
  <si>
    <t xml:space="preserve">byaw </t>
  </si>
  <si>
    <t>5.8 K</t>
  </si>
  <si>
    <t>Catapult reloading take 2</t>
  </si>
  <si>
    <t xml:space="preserve">bldb.rsd </t>
  </si>
  <si>
    <t xml:space="preserve">bldc.p </t>
  </si>
  <si>
    <t xml:space="preserve">bldd.a </t>
  </si>
  <si>
    <t xml:space="preserve">blde.hrc </t>
  </si>
  <si>
    <t>man_sk</t>
  </si>
  <si>
    <t>Man 1 (around reactor 8)</t>
  </si>
  <si>
    <t xml:space="preserve">bldf.rsd </t>
  </si>
  <si>
    <t xml:space="preserve">byba </t>
  </si>
  <si>
    <t>Man 1: Lower Chest</t>
  </si>
  <si>
    <t xml:space="preserve">blea.p </t>
  </si>
  <si>
    <t xml:space="preserve">bleb.rsd </t>
  </si>
  <si>
    <t>Man 1: Upper Chest</t>
  </si>
  <si>
    <t xml:space="preserve">blec.p </t>
  </si>
  <si>
    <t xml:space="preserve">bled.rsd </t>
  </si>
  <si>
    <t>Man 1: Head</t>
  </si>
  <si>
    <t xml:space="preserve">byda </t>
  </si>
  <si>
    <t xml:space="preserve">blee.p </t>
  </si>
  <si>
    <t>768 Bytes</t>
  </si>
  <si>
    <t>Catapult reloading take 3</t>
  </si>
  <si>
    <t xml:space="preserve">blef.tex </t>
  </si>
  <si>
    <t>Man 1: Eye</t>
  </si>
  <si>
    <t xml:space="preserve">bzaa </t>
  </si>
  <si>
    <t xml:space="preserve">blfa.tex </t>
  </si>
  <si>
    <t>Machine Gun: Battle Skeleton</t>
  </si>
  <si>
    <t xml:space="preserve">blfb.tex </t>
  </si>
  <si>
    <t>Man 1: Mouth</t>
  </si>
  <si>
    <t xml:space="preserve">blfc.rsd </t>
  </si>
  <si>
    <t>Man 1: Upper Arm</t>
  </si>
  <si>
    <t xml:space="preserve">blfd.p </t>
  </si>
  <si>
    <t xml:space="preserve">blfe.rsd </t>
  </si>
  <si>
    <t>Man 1: Lower Arm</t>
  </si>
  <si>
    <t>Proto Machinegun clone 1 (bgaa)</t>
  </si>
  <si>
    <t xml:space="preserve">blff.p </t>
  </si>
  <si>
    <t xml:space="preserve">bzab </t>
  </si>
  <si>
    <t xml:space="preserve">blga.rsd </t>
  </si>
  <si>
    <t>Machine Gun: Unidentified Part</t>
  </si>
  <si>
    <t>Man 1: Hand</t>
  </si>
  <si>
    <t xml:space="preserve">blgb.p </t>
  </si>
  <si>
    <t>Catapult reloading take 4</t>
  </si>
  <si>
    <t xml:space="preserve">bzam </t>
  </si>
  <si>
    <t xml:space="preserve">blgc.rsd </t>
  </si>
  <si>
    <t xml:space="preserve">blgd.p </t>
  </si>
  <si>
    <t xml:space="preserve">blge.rsd </t>
  </si>
  <si>
    <t xml:space="preserve">blgf.p </t>
  </si>
  <si>
    <t xml:space="preserve">bzan </t>
  </si>
  <si>
    <t xml:space="preserve">blha.rsd </t>
  </si>
  <si>
    <t xml:space="preserve">blhb.p </t>
  </si>
  <si>
    <t xml:space="preserve">blhc.rsd </t>
  </si>
  <si>
    <t>Man 1: Upper Leg</t>
  </si>
  <si>
    <t xml:space="preserve">blhd.p </t>
  </si>
  <si>
    <t xml:space="preserve">blhe.rsd </t>
  </si>
  <si>
    <t>Man 1: Lower Leg</t>
  </si>
  <si>
    <t xml:space="preserve">bzao </t>
  </si>
  <si>
    <t>Fire catapult attacking take 1</t>
  </si>
  <si>
    <t xml:space="preserve">blhf.p </t>
  </si>
  <si>
    <t xml:space="preserve">blia.rsd </t>
  </si>
  <si>
    <t>Man 1: Foot</t>
  </si>
  <si>
    <t xml:space="preserve">blib.p </t>
  </si>
  <si>
    <t xml:space="preserve">blic.rsd </t>
  </si>
  <si>
    <t xml:space="preserve">blid.p </t>
  </si>
  <si>
    <t xml:space="preserve">bzap </t>
  </si>
  <si>
    <t xml:space="preserve">blie.rsd </t>
  </si>
  <si>
    <t xml:space="preserve">blif.p </t>
  </si>
  <si>
    <t xml:space="preserve">blja.rsd </t>
  </si>
  <si>
    <t xml:space="preserve">bljb.p </t>
  </si>
  <si>
    <t xml:space="preserve">bljc.hrc </t>
  </si>
  <si>
    <t xml:space="preserve">bzat </t>
  </si>
  <si>
    <t>doctor_sk</t>
  </si>
  <si>
    <t>Fire catapult attacking take 2</t>
  </si>
  <si>
    <t xml:space="preserve">bljd.rsd </t>
  </si>
  <si>
    <t xml:space="preserve">blje.p </t>
  </si>
  <si>
    <t xml:space="preserve">bljf.rsd </t>
  </si>
  <si>
    <t xml:space="preserve">bmaa.p </t>
  </si>
  <si>
    <t xml:space="preserve">bmab.rsd </t>
  </si>
  <si>
    <t xml:space="preserve">bzav </t>
  </si>
  <si>
    <t xml:space="preserve">bmac.p </t>
  </si>
  <si>
    <t xml:space="preserve">bmad.tex </t>
  </si>
  <si>
    <t xml:space="preserve">bmae.rsd </t>
  </si>
  <si>
    <t xml:space="preserve">bmaf.p </t>
  </si>
  <si>
    <t xml:space="preserve">bmba.rsd </t>
  </si>
  <si>
    <t xml:space="preserve">bmbb.p </t>
  </si>
  <si>
    <t xml:space="preserve">bmbc.rsd </t>
  </si>
  <si>
    <t xml:space="preserve">bzaw </t>
  </si>
  <si>
    <t xml:space="preserve">bmbd.p </t>
  </si>
  <si>
    <t>Fire catapult attacking take 3</t>
  </si>
  <si>
    <t xml:space="preserve">bmbe.rsd </t>
  </si>
  <si>
    <t xml:space="preserve">bmbf.p </t>
  </si>
  <si>
    <t xml:space="preserve">bmca.rsd </t>
  </si>
  <si>
    <t xml:space="preserve">bmcb.p </t>
  </si>
  <si>
    <t xml:space="preserve">bmcc.rsd </t>
  </si>
  <si>
    <t xml:space="preserve">bmcd.p </t>
  </si>
  <si>
    <t xml:space="preserve">bzax </t>
  </si>
  <si>
    <t xml:space="preserve">bmce.rsd </t>
  </si>
  <si>
    <t xml:space="preserve">bmcf.p </t>
  </si>
  <si>
    <t xml:space="preserve">bmda.rsd </t>
  </si>
  <si>
    <t xml:space="preserve">bmdb.p </t>
  </si>
  <si>
    <t xml:space="preserve">bmdc.rsd </t>
  </si>
  <si>
    <t xml:space="preserve">bmdd.p </t>
  </si>
  <si>
    <t xml:space="preserve">bmde.rsd </t>
  </si>
  <si>
    <t xml:space="preserve">bzay </t>
  </si>
  <si>
    <t>Fire catapult attacking take 4</t>
  </si>
  <si>
    <t xml:space="preserve">bmdf.p </t>
  </si>
  <si>
    <t xml:space="preserve">bmea.rsd </t>
  </si>
  <si>
    <t xml:space="preserve">bmeb.p </t>
  </si>
  <si>
    <t xml:space="preserve">bmec.rsd </t>
  </si>
  <si>
    <t xml:space="preserve">bmed.p </t>
  </si>
  <si>
    <t xml:space="preserve">bmee.hrc </t>
  </si>
  <si>
    <t>girl_sk</t>
  </si>
  <si>
    <t xml:space="preserve">bmef.rsd </t>
  </si>
  <si>
    <t xml:space="preserve">bzaz </t>
  </si>
  <si>
    <t>: Lower Chest</t>
  </si>
  <si>
    <t xml:space="preserve">bmfa.p </t>
  </si>
  <si>
    <t xml:space="preserve">bmfb.rsd </t>
  </si>
  <si>
    <t>: Upper Chest</t>
  </si>
  <si>
    <t xml:space="preserve">bmfc.p </t>
  </si>
  <si>
    <t>Fire catapult attacking take 5</t>
  </si>
  <si>
    <t xml:space="preserve">bmfd.rsd </t>
  </si>
  <si>
    <t>: Head</t>
  </si>
  <si>
    <t xml:space="preserve">bmfe.p </t>
  </si>
  <si>
    <t xml:space="preserve">bzda </t>
  </si>
  <si>
    <t xml:space="preserve">bmff.tex </t>
  </si>
  <si>
    <t>: Eye</t>
  </si>
  <si>
    <t xml:space="preserve">caaa </t>
  </si>
  <si>
    <t xml:space="preserve">bmga.tex </t>
  </si>
  <si>
    <t>Laser Cannon:Battle Skeleton</t>
  </si>
  <si>
    <t xml:space="preserve">bmgb.tex </t>
  </si>
  <si>
    <t>: Mouth</t>
  </si>
  <si>
    <t xml:space="preserve">bmgc.rsd </t>
  </si>
  <si>
    <t>: Upper Arm</t>
  </si>
  <si>
    <t xml:space="preserve">bmgd.p </t>
  </si>
  <si>
    <t xml:space="preserve">bmge.rsd </t>
  </si>
  <si>
    <t>: Lower Arm</t>
  </si>
  <si>
    <t xml:space="preserve">bmgf.p </t>
  </si>
  <si>
    <t xml:space="preserve">bmha.rsd </t>
  </si>
  <si>
    <t>Fire catapult attacking take 6</t>
  </si>
  <si>
    <t>: Hand</t>
  </si>
  <si>
    <t xml:space="preserve">bmhb.p </t>
  </si>
  <si>
    <t>First Ray clone 1 (auaa)</t>
  </si>
  <si>
    <t xml:space="preserve">bmhc.rsd </t>
  </si>
  <si>
    <t xml:space="preserve">caab </t>
  </si>
  <si>
    <t>Laser Cannon:Unidentified Part</t>
  </si>
  <si>
    <t xml:space="preserve">bmhd.p </t>
  </si>
  <si>
    <t xml:space="preserve">bmhe.rsd </t>
  </si>
  <si>
    <t xml:space="preserve">caam </t>
  </si>
  <si>
    <t xml:space="preserve">bmhf.p </t>
  </si>
  <si>
    <t xml:space="preserve">bmia.rsd </t>
  </si>
  <si>
    <t xml:space="preserve">bmib.p </t>
  </si>
  <si>
    <t xml:space="preserve">bmic.rsd </t>
  </si>
  <si>
    <t>: Upper Leg</t>
  </si>
  <si>
    <t xml:space="preserve">bmid.p </t>
  </si>
  <si>
    <t xml:space="preserve">caan </t>
  </si>
  <si>
    <t>Fire catapult attacking take 7</t>
  </si>
  <si>
    <t xml:space="preserve">bmie.rsd </t>
  </si>
  <si>
    <t>: Lower Leg</t>
  </si>
  <si>
    <t xml:space="preserve">bmif.p </t>
  </si>
  <si>
    <t xml:space="preserve">bmja.rsd </t>
  </si>
  <si>
    <t>: Foot</t>
  </si>
  <si>
    <t xml:space="preserve">bmjb.p </t>
  </si>
  <si>
    <t xml:space="preserve">bmjc.rsd </t>
  </si>
  <si>
    <t xml:space="preserve">caao </t>
  </si>
  <si>
    <t xml:space="preserve">bmjd.p </t>
  </si>
  <si>
    <t xml:space="preserve">bmje.rsd </t>
  </si>
  <si>
    <t xml:space="preserve">bmjf.p </t>
  </si>
  <si>
    <t xml:space="preserve">bnaa.rsd </t>
  </si>
  <si>
    <t xml:space="preserve">caaq </t>
  </si>
  <si>
    <t>Fire catapult attacking take 8</t>
  </si>
  <si>
    <t xml:space="preserve">bnab.p </t>
  </si>
  <si>
    <t xml:space="preserve">bnac.a </t>
  </si>
  <si>
    <t xml:space="preserve">bnad.a </t>
  </si>
  <si>
    <t xml:space="preserve">bnae.a </t>
  </si>
  <si>
    <t xml:space="preserve">bnaf.hrc </t>
  </si>
  <si>
    <t>zangan_sk</t>
  </si>
  <si>
    <t xml:space="preserve">bnba.rsd </t>
  </si>
  <si>
    <t xml:space="preserve">caau </t>
  </si>
  <si>
    <t>Zangan: Lower Chest</t>
  </si>
  <si>
    <t xml:space="preserve">bnbb.p </t>
  </si>
  <si>
    <t xml:space="preserve">bnbc.rsd </t>
  </si>
  <si>
    <t>Zangan: Upper Chest</t>
  </si>
  <si>
    <t xml:space="preserve">bnbd.p </t>
  </si>
  <si>
    <t xml:space="preserve">bnbe.rsd </t>
  </si>
  <si>
    <t>Fire catapult attacking take 9</t>
  </si>
  <si>
    <t>Zangan: Head</t>
  </si>
  <si>
    <t xml:space="preserve">bnbf.p </t>
  </si>
  <si>
    <t xml:space="preserve">bnca.tex </t>
  </si>
  <si>
    <t>Zangan: Eye</t>
  </si>
  <si>
    <t xml:space="preserve">bncb.tex </t>
  </si>
  <si>
    <t xml:space="preserve">caaw </t>
  </si>
  <si>
    <t xml:space="preserve">bncc.rsd </t>
  </si>
  <si>
    <t>Zangan: Mouth</t>
  </si>
  <si>
    <t xml:space="preserve">bncd.p </t>
  </si>
  <si>
    <t>Zangan: Upper Arm</t>
  </si>
  <si>
    <t xml:space="preserve">bnce.rsd </t>
  </si>
  <si>
    <t xml:space="preserve">bncf.p </t>
  </si>
  <si>
    <t>Zangan: Lower Arm</t>
  </si>
  <si>
    <t xml:space="preserve">caay </t>
  </si>
  <si>
    <t xml:space="preserve">bnda.rsd </t>
  </si>
  <si>
    <t>Fire catapult being destroyed take 1</t>
  </si>
  <si>
    <t xml:space="preserve">bndb.p </t>
  </si>
  <si>
    <t>Zangan: Hand</t>
  </si>
  <si>
    <t xml:space="preserve">bndc.rsd </t>
  </si>
  <si>
    <t xml:space="preserve">bndd.p </t>
  </si>
  <si>
    <t xml:space="preserve">bnde.rsd </t>
  </si>
  <si>
    <t xml:space="preserve">bndf.p </t>
  </si>
  <si>
    <t xml:space="preserve">cabc </t>
  </si>
  <si>
    <t xml:space="preserve">bnea.rsd </t>
  </si>
  <si>
    <t xml:space="preserve">bneb.p </t>
  </si>
  <si>
    <t xml:space="preserve">bnec.rsd </t>
  </si>
  <si>
    <t xml:space="preserve">bned.p </t>
  </si>
  <si>
    <t>Zangan: Upper Leg</t>
  </si>
  <si>
    <t xml:space="preserve">bnee.rsd </t>
  </si>
  <si>
    <t xml:space="preserve">cabf </t>
  </si>
  <si>
    <t>Fire catapult being destroyed take 2</t>
  </si>
  <si>
    <t xml:space="preserve">bnef.p </t>
  </si>
  <si>
    <t>Zangan: Lower Leg</t>
  </si>
  <si>
    <t xml:space="preserve">bnfa.rsd </t>
  </si>
  <si>
    <t xml:space="preserve">bnfb.p </t>
  </si>
  <si>
    <t>Zangan: Foot</t>
  </si>
  <si>
    <t xml:space="preserve">cada </t>
  </si>
  <si>
    <t xml:space="preserve">bnfc.rsd </t>
  </si>
  <si>
    <t xml:space="preserve">bnfd.p </t>
  </si>
  <si>
    <t xml:space="preserve">cbaa </t>
  </si>
  <si>
    <t xml:space="preserve">bnfe.rsd </t>
  </si>
  <si>
    <t>Hammer Blaster (Upper): Battle Skeleton</t>
  </si>
  <si>
    <t xml:space="preserve">bnff.p </t>
  </si>
  <si>
    <t xml:space="preserve">bnga.rsd </t>
  </si>
  <si>
    <t xml:space="preserve">bngb.p </t>
  </si>
  <si>
    <t xml:space="preserve">bngc.a </t>
  </si>
  <si>
    <t xml:space="preserve">bngd.hrc </t>
  </si>
  <si>
    <t>daing_st</t>
  </si>
  <si>
    <t xml:space="preserve">bnge.rsd </t>
  </si>
  <si>
    <t>Dyne: Lower Chest</t>
  </si>
  <si>
    <t xml:space="preserve">cbab </t>
  </si>
  <si>
    <t xml:space="preserve">bngf.p </t>
  </si>
  <si>
    <t>Fire catapult being destroyed take 3</t>
  </si>
  <si>
    <t>Hammer Blaster (Upper): Unidentified Part</t>
  </si>
  <si>
    <t xml:space="preserve">bnha.rsd </t>
  </si>
  <si>
    <t>Dyne: Upper Chest</t>
  </si>
  <si>
    <t xml:space="preserve">bnhb.p </t>
  </si>
  <si>
    <t xml:space="preserve">cbam </t>
  </si>
  <si>
    <t xml:space="preserve">bnhc.rsd </t>
  </si>
  <si>
    <t>Dyne: Head</t>
  </si>
  <si>
    <t xml:space="preserve">bnhd.p </t>
  </si>
  <si>
    <t xml:space="preserve">bnhe.tex </t>
  </si>
  <si>
    <t>Dyne: Eye</t>
  </si>
  <si>
    <t xml:space="preserve">bnhf.tex </t>
  </si>
  <si>
    <t xml:space="preserve">bnia.tex </t>
  </si>
  <si>
    <t>Dyne: Mouth</t>
  </si>
  <si>
    <t xml:space="preserve">bnib.rsd </t>
  </si>
  <si>
    <t xml:space="preserve">cban </t>
  </si>
  <si>
    <t>Dyne: Upper Arm</t>
  </si>
  <si>
    <t xml:space="preserve">bnic.p </t>
  </si>
  <si>
    <t xml:space="preserve">bnid.rsd </t>
  </si>
  <si>
    <t>Dyne: Lower Arm</t>
  </si>
  <si>
    <t xml:space="preserve">bnie.p </t>
  </si>
  <si>
    <t xml:space="preserve">bnif.rsd </t>
  </si>
  <si>
    <t>Dyne: Hand</t>
  </si>
  <si>
    <t>Fire catapult being destroyed take 4</t>
  </si>
  <si>
    <t xml:space="preserve">bnja.p </t>
  </si>
  <si>
    <t xml:space="preserve">bnjb.rsd </t>
  </si>
  <si>
    <t xml:space="preserve">cbao </t>
  </si>
  <si>
    <t xml:space="preserve">bnjc.p </t>
  </si>
  <si>
    <t xml:space="preserve">bnjd.rsd </t>
  </si>
  <si>
    <t xml:space="preserve">bnje.p </t>
  </si>
  <si>
    <t xml:space="preserve">bnjf.rsd </t>
  </si>
  <si>
    <t xml:space="preserve">boaa.p </t>
  </si>
  <si>
    <t xml:space="preserve">cbap </t>
  </si>
  <si>
    <t xml:space="preserve">boab.rsd </t>
  </si>
  <si>
    <t>Dyne: Upper Leg</t>
  </si>
  <si>
    <t xml:space="preserve">boac.p </t>
  </si>
  <si>
    <t>Fire catapult being destroyed take 5</t>
  </si>
  <si>
    <t xml:space="preserve">boad.rsd </t>
  </si>
  <si>
    <t>Dyne: Lower Leg</t>
  </si>
  <si>
    <t xml:space="preserve">boae.p </t>
  </si>
  <si>
    <t xml:space="preserve">cbaq </t>
  </si>
  <si>
    <t xml:space="preserve">boaf.rsd </t>
  </si>
  <si>
    <t>Dyne: Foot</t>
  </si>
  <si>
    <t xml:space="preserve">boba.p </t>
  </si>
  <si>
    <t xml:space="preserve">bobb.rsd </t>
  </si>
  <si>
    <t xml:space="preserve">bobc.p </t>
  </si>
  <si>
    <t xml:space="preserve">bobd.rsd </t>
  </si>
  <si>
    <t xml:space="preserve">bobe.p </t>
  </si>
  <si>
    <t xml:space="preserve">cbas </t>
  </si>
  <si>
    <t xml:space="preserve">bobf.rsd </t>
  </si>
  <si>
    <t xml:space="preserve">boca.p </t>
  </si>
  <si>
    <t xml:space="preserve">bocb.a </t>
  </si>
  <si>
    <t xml:space="preserve">bocc.hrc </t>
  </si>
  <si>
    <t>cfold_sk</t>
  </si>
  <si>
    <t xml:space="preserve">bocd.rsd </t>
  </si>
  <si>
    <t xml:space="preserve">boce.p </t>
  </si>
  <si>
    <t xml:space="preserve">cbat </t>
  </si>
  <si>
    <t xml:space="preserve">bocf.rsd </t>
  </si>
  <si>
    <t xml:space="preserve">boda.p </t>
  </si>
  <si>
    <t>Fire catapult being destroyed take 6</t>
  </si>
  <si>
    <t xml:space="preserve">bodb.tex </t>
  </si>
  <si>
    <t xml:space="preserve">bodc.tex </t>
  </si>
  <si>
    <t xml:space="preserve">bodd.tex </t>
  </si>
  <si>
    <t xml:space="preserve">bode.rsd </t>
  </si>
  <si>
    <t xml:space="preserve">bodf.p </t>
  </si>
  <si>
    <t xml:space="preserve">cbau </t>
  </si>
  <si>
    <t xml:space="preserve">boea.rsd </t>
  </si>
  <si>
    <t xml:space="preserve">boeb.p </t>
  </si>
  <si>
    <t xml:space="preserve">boec.rsd </t>
  </si>
  <si>
    <t xml:space="preserve">boed.p </t>
  </si>
  <si>
    <t xml:space="preserve">boee.rsd </t>
  </si>
  <si>
    <t xml:space="preserve">boef.p </t>
  </si>
  <si>
    <t xml:space="preserve">bofa.rsd </t>
  </si>
  <si>
    <t xml:space="preserve">bofb.p </t>
  </si>
  <si>
    <t xml:space="preserve">bofc.rsd </t>
  </si>
  <si>
    <t xml:space="preserve">bofd.p </t>
  </si>
  <si>
    <t xml:space="preserve">bofe.rsd </t>
  </si>
  <si>
    <t xml:space="preserve">cbav </t>
  </si>
  <si>
    <t>Fire catapult reloading take 1</t>
  </si>
  <si>
    <t xml:space="preserve">boff.p </t>
  </si>
  <si>
    <t xml:space="preserve">boga.rsd </t>
  </si>
  <si>
    <t xml:space="preserve">bogb.p </t>
  </si>
  <si>
    <t xml:space="preserve">bogc.rsd </t>
  </si>
  <si>
    <t xml:space="preserve">bogd.p </t>
  </si>
  <si>
    <t xml:space="preserve">boge.rsd </t>
  </si>
  <si>
    <t xml:space="preserve">bogf.p </t>
  </si>
  <si>
    <t xml:space="preserve">boha.rsd </t>
  </si>
  <si>
    <t xml:space="preserve">bohb.p </t>
  </si>
  <si>
    <t xml:space="preserve">bohc.rsd </t>
  </si>
  <si>
    <t xml:space="preserve">cbaw </t>
  </si>
  <si>
    <t xml:space="preserve">bohd.p </t>
  </si>
  <si>
    <t xml:space="preserve">bohe.hrc </t>
  </si>
  <si>
    <t>snwom_sk</t>
  </si>
  <si>
    <t xml:space="preserve">bohf.rsd </t>
  </si>
  <si>
    <t xml:space="preserve">boia.p </t>
  </si>
  <si>
    <t xml:space="preserve">boib.rsd </t>
  </si>
  <si>
    <t xml:space="preserve">boic.p </t>
  </si>
  <si>
    <t xml:space="preserve">boid.rsd </t>
  </si>
  <si>
    <t xml:space="preserve">boie.p </t>
  </si>
  <si>
    <t xml:space="preserve">cbay </t>
  </si>
  <si>
    <t>Fire catapult reloading take 2</t>
  </si>
  <si>
    <t xml:space="preserve">boif.tex </t>
  </si>
  <si>
    <t xml:space="preserve">boja.tex </t>
  </si>
  <si>
    <t xml:space="preserve">bojb.tex </t>
  </si>
  <si>
    <t xml:space="preserve">bojc.rsd </t>
  </si>
  <si>
    <t xml:space="preserve">bojd.p </t>
  </si>
  <si>
    <t xml:space="preserve">boje.rsd </t>
  </si>
  <si>
    <t xml:space="preserve">bojf.p </t>
  </si>
  <si>
    <t xml:space="preserve">bpaa.rsd </t>
  </si>
  <si>
    <t xml:space="preserve">bpab.p </t>
  </si>
  <si>
    <t xml:space="preserve">bpac.rsd </t>
  </si>
  <si>
    <t xml:space="preserve">bpad.p </t>
  </si>
  <si>
    <t xml:space="preserve">cbaz </t>
  </si>
  <si>
    <t xml:space="preserve">bpae.rsd </t>
  </si>
  <si>
    <t xml:space="preserve">bpaf.p </t>
  </si>
  <si>
    <t xml:space="preserve">bpba.rsd </t>
  </si>
  <si>
    <t xml:space="preserve">bpbb.p </t>
  </si>
  <si>
    <t xml:space="preserve">bpbc.rsd </t>
  </si>
  <si>
    <t xml:space="preserve">bpbd.p </t>
  </si>
  <si>
    <t xml:space="preserve">bpbe.rsd </t>
  </si>
  <si>
    <t xml:space="preserve">bpbf.p </t>
  </si>
  <si>
    <t xml:space="preserve">bpca.rsd </t>
  </si>
  <si>
    <t xml:space="preserve">bpcb.p </t>
  </si>
  <si>
    <t xml:space="preserve">cbba </t>
  </si>
  <si>
    <t>Fire catapult reloading take 3</t>
  </si>
  <si>
    <t xml:space="preserve">bpcc.rsd </t>
  </si>
  <si>
    <t xml:space="preserve">bpcd.p </t>
  </si>
  <si>
    <t xml:space="preserve">bpce.rsd </t>
  </si>
  <si>
    <t xml:space="preserve">bpcf.p </t>
  </si>
  <si>
    <t xml:space="preserve">bpda.rsd </t>
  </si>
  <si>
    <t xml:space="preserve">bpdb.p </t>
  </si>
  <si>
    <t xml:space="preserve">bpdc.hrc </t>
  </si>
  <si>
    <t>muki2_sk</t>
  </si>
  <si>
    <t xml:space="preserve">bpdd.rsd </t>
  </si>
  <si>
    <t xml:space="preserve">bpde.p </t>
  </si>
  <si>
    <t xml:space="preserve">cbbc </t>
  </si>
  <si>
    <t xml:space="preserve">bpdf.rsd </t>
  </si>
  <si>
    <t xml:space="preserve">bpea.p </t>
  </si>
  <si>
    <t xml:space="preserve">bpeb.rsd </t>
  </si>
  <si>
    <t xml:space="preserve">bpec.p </t>
  </si>
  <si>
    <t xml:space="preserve">bped.tex </t>
  </si>
  <si>
    <t xml:space="preserve">bpee.tex </t>
  </si>
  <si>
    <t>Fire catapult reloading take 4</t>
  </si>
  <si>
    <t xml:space="preserve">cbbd </t>
  </si>
  <si>
    <t xml:space="preserve">bpef.tex </t>
  </si>
  <si>
    <t xml:space="preserve">bpfa.rsd </t>
  </si>
  <si>
    <t xml:space="preserve">bpfb.p </t>
  </si>
  <si>
    <t xml:space="preserve">bpfc.rsd </t>
  </si>
  <si>
    <t xml:space="preserve">bpfd.p </t>
  </si>
  <si>
    <t xml:space="preserve">bpfe.rsd </t>
  </si>
  <si>
    <t xml:space="preserve">bpff.p </t>
  </si>
  <si>
    <t xml:space="preserve">cbbe </t>
  </si>
  <si>
    <t xml:space="preserve">bpga.rsd </t>
  </si>
  <si>
    <t xml:space="preserve">bpgb.p </t>
  </si>
  <si>
    <t xml:space="preserve">bpgc.rsd </t>
  </si>
  <si>
    <t xml:space="preserve">bpgd.p </t>
  </si>
  <si>
    <t xml:space="preserve">bpge.rsd </t>
  </si>
  <si>
    <t xml:space="preserve">bpgf.p </t>
  </si>
  <si>
    <t xml:space="preserve">bpha.rsd </t>
  </si>
  <si>
    <t>Destroyed remains</t>
  </si>
  <si>
    <t xml:space="preserve">bphb.p </t>
  </si>
  <si>
    <t xml:space="preserve">cbbf </t>
  </si>
  <si>
    <t xml:space="preserve">bphc.rsd </t>
  </si>
  <si>
    <t xml:space="preserve">bphd.p </t>
  </si>
  <si>
    <t xml:space="preserve">bphe.rsd </t>
  </si>
  <si>
    <t xml:space="preserve">bphf.p </t>
  </si>
  <si>
    <t xml:space="preserve">bpia.rsd </t>
  </si>
  <si>
    <t xml:space="preserve">bpib.p </t>
  </si>
  <si>
    <t xml:space="preserve">bpic.rsd </t>
  </si>
  <si>
    <t xml:space="preserve">bpid.p </t>
  </si>
  <si>
    <t xml:space="preserve">bpie.rsd </t>
  </si>
  <si>
    <t xml:space="preserve">bpif.p </t>
  </si>
  <si>
    <t xml:space="preserve">bpja.a </t>
  </si>
  <si>
    <t xml:space="preserve">bpjb.a </t>
  </si>
  <si>
    <t xml:space="preserve">bpjc.a </t>
  </si>
  <si>
    <t xml:space="preserve">bpjd.hrc </t>
  </si>
  <si>
    <t>sd_leave_sk</t>
  </si>
  <si>
    <t xml:space="preserve">bpje.rsd </t>
  </si>
  <si>
    <t>Reeve: Lower Chest</t>
  </si>
  <si>
    <t>Unkown model</t>
  </si>
  <si>
    <t>cbbg</t>
  </si>
  <si>
    <t xml:space="preserve">bpjf.p </t>
  </si>
  <si>
    <t xml:space="preserve">bqaa.rsd </t>
  </si>
  <si>
    <t>Reeve: Upper Chest</t>
  </si>
  <si>
    <t xml:space="preserve">bqab.p </t>
  </si>
  <si>
    <t xml:space="preserve">bqac.rsd </t>
  </si>
  <si>
    <t>Reeve: Head</t>
  </si>
  <si>
    <t xml:space="preserve">bqad.p </t>
  </si>
  <si>
    <t xml:space="preserve">bqae.tex </t>
  </si>
  <si>
    <t>Reeve: Eye</t>
  </si>
  <si>
    <t xml:space="preserve">bqaf.tex </t>
  </si>
  <si>
    <t xml:space="preserve">bqba.tex </t>
  </si>
  <si>
    <t>Reeve: Mouth</t>
  </si>
  <si>
    <t xml:space="preserve">bqbb.rsd </t>
  </si>
  <si>
    <t>cbbh</t>
  </si>
  <si>
    <t>Reeve: Upper Arm</t>
  </si>
  <si>
    <t xml:space="preserve">bqbc.p </t>
  </si>
  <si>
    <t xml:space="preserve">bqbd.rsd </t>
  </si>
  <si>
    <t>Reeve: Lower Arm</t>
  </si>
  <si>
    <t xml:space="preserve">bqbe.p </t>
  </si>
  <si>
    <t xml:space="preserve">bqbf.rsd </t>
  </si>
  <si>
    <t>Reeve: Hand</t>
  </si>
  <si>
    <t xml:space="preserve">bqca.p </t>
  </si>
  <si>
    <t xml:space="preserve">bqcb.rsd </t>
  </si>
  <si>
    <t xml:space="preserve">bqcc.p </t>
  </si>
  <si>
    <t>cbbj</t>
  </si>
  <si>
    <t xml:space="preserve">bqcd.rsd </t>
  </si>
  <si>
    <t xml:space="preserve">bqce.p </t>
  </si>
  <si>
    <t xml:space="preserve">bqcf.rsd </t>
  </si>
  <si>
    <t xml:space="preserve">bqda.p </t>
  </si>
  <si>
    <t xml:space="preserve">bqdb.rsd </t>
  </si>
  <si>
    <t>cbbl</t>
  </si>
  <si>
    <t>Reeve: Upper Leg</t>
  </si>
  <si>
    <t>Mine blinking take 1</t>
  </si>
  <si>
    <t xml:space="preserve">bqdc.p </t>
  </si>
  <si>
    <t xml:space="preserve">bqdd.rsd </t>
  </si>
  <si>
    <t>Reeve: Lower Leg</t>
  </si>
  <si>
    <t xml:space="preserve">bqde.p </t>
  </si>
  <si>
    <t xml:space="preserve">bqdf.rsd </t>
  </si>
  <si>
    <t>Reeve: Foot</t>
  </si>
  <si>
    <t xml:space="preserve">bqea.p </t>
  </si>
  <si>
    <t>cbda</t>
  </si>
  <si>
    <t xml:space="preserve">bqeb.rsd </t>
  </si>
  <si>
    <t xml:space="preserve">bqec.p </t>
  </si>
  <si>
    <t xml:space="preserve">ccaa </t>
  </si>
  <si>
    <t>64 Bytes</t>
  </si>
  <si>
    <t>Hammer Blaster (Base): Battle Skeleton</t>
  </si>
  <si>
    <t xml:space="preserve">bqed.rsd </t>
  </si>
  <si>
    <t xml:space="preserve">bqee.p </t>
  </si>
  <si>
    <t>gj.p</t>
  </si>
  <si>
    <t>Mine blinking take 2</t>
  </si>
  <si>
    <t xml:space="preserve">bqef.rsd </t>
  </si>
  <si>
    <t xml:space="preserve">bqfa.p </t>
  </si>
  <si>
    <t>Blaster Pod?</t>
  </si>
  <si>
    <t xml:space="preserve">bqfb.hrc </t>
  </si>
  <si>
    <t xml:space="preserve">ccab </t>
  </si>
  <si>
    <t>516 Bytes</t>
  </si>
  <si>
    <t>man7_st</t>
  </si>
  <si>
    <t>Hammer Blaster (Base): Unidentified Part</t>
  </si>
  <si>
    <t xml:space="preserve">bqfc.rsd </t>
  </si>
  <si>
    <t>gj.rsd</t>
  </si>
  <si>
    <t xml:space="preserve">ccam </t>
  </si>
  <si>
    <t xml:space="preserve">bqfd.p </t>
  </si>
  <si>
    <t>Hammer Blaster (Base): Base Model</t>
  </si>
  <si>
    <t xml:space="preserve">bqfe.rsd </t>
  </si>
  <si>
    <t xml:space="preserve">bqff.p </t>
  </si>
  <si>
    <t xml:space="preserve">bqga.rsd </t>
  </si>
  <si>
    <t xml:space="preserve">bqgb.p </t>
  </si>
  <si>
    <t>gk.p</t>
  </si>
  <si>
    <t>Mine blinking take 3</t>
  </si>
  <si>
    <t xml:space="preserve">ccda </t>
  </si>
  <si>
    <t>396 Bytes</t>
  </si>
  <si>
    <t xml:space="preserve">bqgc.tex </t>
  </si>
  <si>
    <t xml:space="preserve">bqgd.tex </t>
  </si>
  <si>
    <t xml:space="preserve">cdaa </t>
  </si>
  <si>
    <t>316 Bytes</t>
  </si>
  <si>
    <t>Sword Dance: Battle Skeleton</t>
  </si>
  <si>
    <t xml:space="preserve">bqge.tex </t>
  </si>
  <si>
    <t xml:space="preserve">bqgf.rsd </t>
  </si>
  <si>
    <t>gk.rsd</t>
  </si>
  <si>
    <t xml:space="preserve">bqha.p </t>
  </si>
  <si>
    <t xml:space="preserve">bqhb.rsd </t>
  </si>
  <si>
    <t xml:space="preserve">bqhc.p </t>
  </si>
  <si>
    <t xml:space="preserve">cdab </t>
  </si>
  <si>
    <t xml:space="preserve">bqhd.rsd </t>
  </si>
  <si>
    <t>Sword Dance: Unidentified Part</t>
  </si>
  <si>
    <t xml:space="preserve">bqhe.p </t>
  </si>
  <si>
    <t>Mine blinking take 4</t>
  </si>
  <si>
    <t xml:space="preserve">cdac </t>
  </si>
  <si>
    <t>Sword Dance: Hairs On Top Of Head</t>
  </si>
  <si>
    <t xml:space="preserve">bqhf.rsd </t>
  </si>
  <si>
    <t xml:space="preserve">bqia.p </t>
  </si>
  <si>
    <t xml:space="preserve">bqib.rsd </t>
  </si>
  <si>
    <t xml:space="preserve">bqic.p </t>
  </si>
  <si>
    <t xml:space="preserve">cdam </t>
  </si>
  <si>
    <t>860 Bytes</t>
  </si>
  <si>
    <t xml:space="preserve">bqid.rsd </t>
  </si>
  <si>
    <t xml:space="preserve">bqie.p </t>
  </si>
  <si>
    <t xml:space="preserve">bqif.rsd </t>
  </si>
  <si>
    <t xml:space="preserve">bqja.p </t>
  </si>
  <si>
    <t>Mine blinking take 5</t>
  </si>
  <si>
    <t xml:space="preserve">cdan </t>
  </si>
  <si>
    <t>808 Bytes</t>
  </si>
  <si>
    <t xml:space="preserve">bqjb.rsd </t>
  </si>
  <si>
    <t xml:space="preserve">bqjc.p </t>
  </si>
  <si>
    <t xml:space="preserve">bqjd.rsd </t>
  </si>
  <si>
    <t xml:space="preserve">bqje.p </t>
  </si>
  <si>
    <t xml:space="preserve">cdao </t>
  </si>
  <si>
    <t xml:space="preserve">bqjf.rsd </t>
  </si>
  <si>
    <t>780 Bytes</t>
  </si>
  <si>
    <t xml:space="preserve">braa.p </t>
  </si>
  <si>
    <t xml:space="preserve">brab.rsd </t>
  </si>
  <si>
    <t xml:space="preserve">brac.p </t>
  </si>
  <si>
    <t xml:space="preserve">brad.rsd </t>
  </si>
  <si>
    <t xml:space="preserve">cdap </t>
  </si>
  <si>
    <t xml:space="preserve">brae.p </t>
  </si>
  <si>
    <t>Repairer attacking take 1</t>
  </si>
  <si>
    <t xml:space="preserve">braf.hrc </t>
  </si>
  <si>
    <t>w1_sk</t>
  </si>
  <si>
    <t xml:space="preserve">brba.rsd </t>
  </si>
  <si>
    <t xml:space="preserve">brbb.p </t>
  </si>
  <si>
    <t xml:space="preserve">brbc.rsd </t>
  </si>
  <si>
    <t xml:space="preserve">cdaq </t>
  </si>
  <si>
    <t xml:space="preserve">brbd.p </t>
  </si>
  <si>
    <t xml:space="preserve">brbe.rsd </t>
  </si>
  <si>
    <t xml:space="preserve">brbf.p </t>
  </si>
  <si>
    <t xml:space="preserve">brca.tex </t>
  </si>
  <si>
    <t xml:space="preserve">brcb.tex </t>
  </si>
  <si>
    <t xml:space="preserve">cdar </t>
  </si>
  <si>
    <t>Repairer attacking take 2</t>
  </si>
  <si>
    <t xml:space="preserve">brcc.tex </t>
  </si>
  <si>
    <t xml:space="preserve">brcd.rsd </t>
  </si>
  <si>
    <t xml:space="preserve">brce.p </t>
  </si>
  <si>
    <t xml:space="preserve">brcf.rsd </t>
  </si>
  <si>
    <t xml:space="preserve">brda.p </t>
  </si>
  <si>
    <t xml:space="preserve">cdas </t>
  </si>
  <si>
    <t xml:space="preserve">brdb.rsd </t>
  </si>
  <si>
    <t xml:space="preserve">brdc.p </t>
  </si>
  <si>
    <t xml:space="preserve">brdd.rsd </t>
  </si>
  <si>
    <t xml:space="preserve">brde.p </t>
  </si>
  <si>
    <t>Repairer attacking take 3</t>
  </si>
  <si>
    <t xml:space="preserve">cdat </t>
  </si>
  <si>
    <t xml:space="preserve">brdf.rsd </t>
  </si>
  <si>
    <t xml:space="preserve">brea.p </t>
  </si>
  <si>
    <t xml:space="preserve">breb.rsd </t>
  </si>
  <si>
    <t xml:space="preserve">brec.p </t>
  </si>
  <si>
    <t xml:space="preserve">bred.rsd </t>
  </si>
  <si>
    <t xml:space="preserve">cdau </t>
  </si>
  <si>
    <t xml:space="preserve">bree.p </t>
  </si>
  <si>
    <t xml:space="preserve">bref.rsd </t>
  </si>
  <si>
    <t xml:space="preserve">brfa.p </t>
  </si>
  <si>
    <t xml:space="preserve">brfb.rsd </t>
  </si>
  <si>
    <t xml:space="preserve">brfc.p </t>
  </si>
  <si>
    <t>Repairer attacking take 4</t>
  </si>
  <si>
    <t xml:space="preserve">cdav </t>
  </si>
  <si>
    <t xml:space="preserve">brfd.rsd </t>
  </si>
  <si>
    <t xml:space="preserve">brfe.p </t>
  </si>
  <si>
    <t xml:space="preserve">brff.rsd </t>
  </si>
  <si>
    <t xml:space="preserve">brga.p </t>
  </si>
  <si>
    <t xml:space="preserve">brgb.rsd </t>
  </si>
  <si>
    <t xml:space="preserve">brgc.p </t>
  </si>
  <si>
    <t xml:space="preserve">brgd.hrc </t>
  </si>
  <si>
    <t>c_bike_sk</t>
  </si>
  <si>
    <t xml:space="preserve">cdaw </t>
  </si>
  <si>
    <t xml:space="preserve">brge.rsd </t>
  </si>
  <si>
    <t xml:space="preserve">brgf.p </t>
  </si>
  <si>
    <t xml:space="preserve">brha.rsd </t>
  </si>
  <si>
    <t xml:space="preserve">brhb.p </t>
  </si>
  <si>
    <t xml:space="preserve">brhc.rsd </t>
  </si>
  <si>
    <t xml:space="preserve">cdax </t>
  </si>
  <si>
    <t>Repairer attacking take 5</t>
  </si>
  <si>
    <t xml:space="preserve">brhd.p </t>
  </si>
  <si>
    <t xml:space="preserve">brhe.rsd </t>
  </si>
  <si>
    <t xml:space="preserve">brhf.p </t>
  </si>
  <si>
    <t xml:space="preserve">bria.a </t>
  </si>
  <si>
    <t xml:space="preserve">brib.hrc </t>
  </si>
  <si>
    <t>cloud_sk</t>
  </si>
  <si>
    <t xml:space="preserve">bric.rsd </t>
  </si>
  <si>
    <t xml:space="preserve">cday </t>
  </si>
  <si>
    <t xml:space="preserve">brid.p </t>
  </si>
  <si>
    <t xml:space="preserve">brie.rsd </t>
  </si>
  <si>
    <t xml:space="preserve">brif.p </t>
  </si>
  <si>
    <t xml:space="preserve">brja.rsd </t>
  </si>
  <si>
    <t xml:space="preserve">brjb.p </t>
  </si>
  <si>
    <t xml:space="preserve">brjc.tex </t>
  </si>
  <si>
    <t xml:space="preserve">cdaz </t>
  </si>
  <si>
    <t>Repairer attacking take 6</t>
  </si>
  <si>
    <t xml:space="preserve">brjd.rsd </t>
  </si>
  <si>
    <t xml:space="preserve">brje.p </t>
  </si>
  <si>
    <t xml:space="preserve">brjf.rsd </t>
  </si>
  <si>
    <t xml:space="preserve">bsaa.p </t>
  </si>
  <si>
    <t xml:space="preserve">bsab.rsd </t>
  </si>
  <si>
    <t xml:space="preserve">bsac.p </t>
  </si>
  <si>
    <t xml:space="preserve">cdba </t>
  </si>
  <si>
    <t xml:space="preserve">bsad.rsd </t>
  </si>
  <si>
    <t xml:space="preserve">bsae.p </t>
  </si>
  <si>
    <t xml:space="preserve">bsaf.rsd </t>
  </si>
  <si>
    <t xml:space="preserve">bsba.p </t>
  </si>
  <si>
    <t xml:space="preserve">bsbb.rsd </t>
  </si>
  <si>
    <t xml:space="preserve">bsbc.p </t>
  </si>
  <si>
    <t xml:space="preserve">bsbd.rsd </t>
  </si>
  <si>
    <t xml:space="preserve">cdbb </t>
  </si>
  <si>
    <t>Repairer attacking take 7</t>
  </si>
  <si>
    <t xml:space="preserve">bsbe.p </t>
  </si>
  <si>
    <t xml:space="preserve">bsbf.rsd </t>
  </si>
  <si>
    <t xml:space="preserve">bsca.p </t>
  </si>
  <si>
    <t xml:space="preserve">bscb.rsd </t>
  </si>
  <si>
    <t xml:space="preserve">bscc.p </t>
  </si>
  <si>
    <t xml:space="preserve">bscd.rsd </t>
  </si>
  <si>
    <t xml:space="preserve">bsce.p </t>
  </si>
  <si>
    <t xml:space="preserve">cdbc </t>
  </si>
  <si>
    <t xml:space="preserve">bscf.rsd </t>
  </si>
  <si>
    <t xml:space="preserve">bsda.p </t>
  </si>
  <si>
    <t xml:space="preserve">bsdb.rsd </t>
  </si>
  <si>
    <t xml:space="preserve">bsdc.p </t>
  </si>
  <si>
    <t xml:space="preserve">bsdd.rsd </t>
  </si>
  <si>
    <t xml:space="preserve">bsde.p </t>
  </si>
  <si>
    <t>Repairer attacking take 8</t>
  </si>
  <si>
    <t xml:space="preserve">bsdf.rsd </t>
  </si>
  <si>
    <t xml:space="preserve">bsea.p </t>
  </si>
  <si>
    <t xml:space="preserve">bseb.rsd </t>
  </si>
  <si>
    <t xml:space="preserve">bsec.p </t>
  </si>
  <si>
    <t xml:space="preserve">cdbd </t>
  </si>
  <si>
    <t xml:space="preserve">bsed.rsd </t>
  </si>
  <si>
    <t xml:space="preserve">bsee.p </t>
  </si>
  <si>
    <t xml:space="preserve">bsef.a </t>
  </si>
  <si>
    <t xml:space="preserve">bsfa.a </t>
  </si>
  <si>
    <t xml:space="preserve">bsfb.a </t>
  </si>
  <si>
    <t xml:space="preserve">bsfc.hrc </t>
  </si>
  <si>
    <t>obasan_sk</t>
  </si>
  <si>
    <t xml:space="preserve">bsfd.rsd </t>
  </si>
  <si>
    <t xml:space="preserve">cdbe </t>
  </si>
  <si>
    <t xml:space="preserve">bsfe.p </t>
  </si>
  <si>
    <t>gv.p</t>
  </si>
  <si>
    <t>Repairer attacking take 9</t>
  </si>
  <si>
    <t xml:space="preserve">bsff.rsd </t>
  </si>
  <si>
    <t xml:space="preserve">bsga.p </t>
  </si>
  <si>
    <t xml:space="preserve">bsgb.rsd </t>
  </si>
  <si>
    <t xml:space="preserve">bsgc.p </t>
  </si>
  <si>
    <t>gv.rsd</t>
  </si>
  <si>
    <t xml:space="preserve">cdbf </t>
  </si>
  <si>
    <t xml:space="preserve">bsgd.tex </t>
  </si>
  <si>
    <t>27 K</t>
  </si>
  <si>
    <t xml:space="preserve">bsge.tex </t>
  </si>
  <si>
    <t xml:space="preserve">bsgf.tex </t>
  </si>
  <si>
    <t xml:space="preserve">bsha.rsd </t>
  </si>
  <si>
    <t xml:space="preserve">bshb.p </t>
  </si>
  <si>
    <t>gw.p</t>
  </si>
  <si>
    <t xml:space="preserve">cdbh </t>
  </si>
  <si>
    <t>Repairer attacking take 10</t>
  </si>
  <si>
    <t xml:space="preserve">bshc.rsd </t>
  </si>
  <si>
    <t xml:space="preserve">bshd.p </t>
  </si>
  <si>
    <t xml:space="preserve">bshe.rsd </t>
  </si>
  <si>
    <t xml:space="preserve">bshf.p </t>
  </si>
  <si>
    <t>gw.rsd</t>
  </si>
  <si>
    <t xml:space="preserve">cdda </t>
  </si>
  <si>
    <t xml:space="preserve">bsia.rsd </t>
  </si>
  <si>
    <t xml:space="preserve">ceaa </t>
  </si>
  <si>
    <t>Repairer attacking take 11</t>
  </si>
  <si>
    <t>SOLDIER 3rd: Battle Skeleton</t>
  </si>
  <si>
    <t xml:space="preserve">bsib.p </t>
  </si>
  <si>
    <t xml:space="preserve">bsic.rsd </t>
  </si>
  <si>
    <t xml:space="preserve">bsid.p </t>
  </si>
  <si>
    <t xml:space="preserve">bsie.rsd </t>
  </si>
  <si>
    <t xml:space="preserve">ceab </t>
  </si>
  <si>
    <t xml:space="preserve">bsif.p </t>
  </si>
  <si>
    <t>480 Bytes</t>
  </si>
  <si>
    <t>SOLDIER 3rd: Unidentified Part</t>
  </si>
  <si>
    <t xml:space="preserve">bsja.rsd </t>
  </si>
  <si>
    <t xml:space="preserve">ceam </t>
  </si>
  <si>
    <t xml:space="preserve">bsjb.p </t>
  </si>
  <si>
    <t xml:space="preserve">bsjc.rsd </t>
  </si>
  <si>
    <t xml:space="preserve">bsjd.p </t>
  </si>
  <si>
    <t>gy.p</t>
  </si>
  <si>
    <t xml:space="preserve">bsje.rsd </t>
  </si>
  <si>
    <t>Repairer attacking take 12</t>
  </si>
  <si>
    <t xml:space="preserve">bsjf.p </t>
  </si>
  <si>
    <t xml:space="preserve">cean </t>
  </si>
  <si>
    <t xml:space="preserve">btaa.rsd </t>
  </si>
  <si>
    <t xml:space="preserve">btab.p </t>
  </si>
  <si>
    <t xml:space="preserve">btac.rsd </t>
  </si>
  <si>
    <t>gy.rsd</t>
  </si>
  <si>
    <t xml:space="preserve">btad.p </t>
  </si>
  <si>
    <t xml:space="preserve">btae.rsd </t>
  </si>
  <si>
    <t xml:space="preserve">ceao </t>
  </si>
  <si>
    <t xml:space="preserve">btaf.p </t>
  </si>
  <si>
    <t>8.5 K</t>
  </si>
  <si>
    <t xml:space="preserve">btba.a </t>
  </si>
  <si>
    <t xml:space="preserve">btbb.a </t>
  </si>
  <si>
    <t>gz.p</t>
  </si>
  <si>
    <t xml:space="preserve">btbc.a </t>
  </si>
  <si>
    <t>Repairer attacking take 13</t>
  </si>
  <si>
    <t xml:space="preserve">btbd.a </t>
  </si>
  <si>
    <t xml:space="preserve">btbe.a </t>
  </si>
  <si>
    <t xml:space="preserve">cear </t>
  </si>
  <si>
    <t xml:space="preserve">btbf.a </t>
  </si>
  <si>
    <t xml:space="preserve">btca.a </t>
  </si>
  <si>
    <t xml:space="preserve">btcb.a </t>
  </si>
  <si>
    <t xml:space="preserve">btcc.a </t>
  </si>
  <si>
    <t>gz.rsd</t>
  </si>
  <si>
    <t xml:space="preserve">btcd.a </t>
  </si>
  <si>
    <t xml:space="preserve">btce.a </t>
  </si>
  <si>
    <t xml:space="preserve">btcf.a </t>
  </si>
  <si>
    <t xml:space="preserve">ceas </t>
  </si>
  <si>
    <t xml:space="preserve">btda.a </t>
  </si>
  <si>
    <t xml:space="preserve">btdb.a </t>
  </si>
  <si>
    <t xml:space="preserve">btdc.a </t>
  </si>
  <si>
    <t xml:space="preserve">btdd.a </t>
  </si>
  <si>
    <t>Repairer attacking take 14</t>
  </si>
  <si>
    <t xml:space="preserve">btde.a </t>
  </si>
  <si>
    <t xml:space="preserve">btdf.a </t>
  </si>
  <si>
    <t xml:space="preserve">ceat </t>
  </si>
  <si>
    <t xml:space="preserve">btea.a </t>
  </si>
  <si>
    <t xml:space="preserve">bteb.a </t>
  </si>
  <si>
    <t xml:space="preserve">btec.hrc </t>
  </si>
  <si>
    <t>nurse_sk</t>
  </si>
  <si>
    <t xml:space="preserve">bted.rsd </t>
  </si>
  <si>
    <t xml:space="preserve">btee.p </t>
  </si>
  <si>
    <t xml:space="preserve">btef.rsd </t>
  </si>
  <si>
    <t xml:space="preserve">ceaw </t>
  </si>
  <si>
    <t xml:space="preserve">btfa.p </t>
  </si>
  <si>
    <t xml:space="preserve">btfb.rsd </t>
  </si>
  <si>
    <t xml:space="preserve">btfc.p </t>
  </si>
  <si>
    <t xml:space="preserve">btfd.tex </t>
  </si>
  <si>
    <t xml:space="preserve">btfe.tex </t>
  </si>
  <si>
    <t xml:space="preserve">ceax </t>
  </si>
  <si>
    <t xml:space="preserve">btff.tex </t>
  </si>
  <si>
    <t xml:space="preserve">btga.rsd </t>
  </si>
  <si>
    <t xml:space="preserve">btgb.p </t>
  </si>
  <si>
    <t xml:space="preserve">btgc.rsd </t>
  </si>
  <si>
    <t xml:space="preserve">btgd.p </t>
  </si>
  <si>
    <t xml:space="preserve">btge.rsd </t>
  </si>
  <si>
    <t xml:space="preserve">ceay </t>
  </si>
  <si>
    <t xml:space="preserve">btgf.p </t>
  </si>
  <si>
    <t xml:space="preserve">btha.rsd </t>
  </si>
  <si>
    <t>hb.p</t>
  </si>
  <si>
    <t>Repairers staff attacking take 1</t>
  </si>
  <si>
    <t xml:space="preserve">bthb.p </t>
  </si>
  <si>
    <t xml:space="preserve">bthc.rsd </t>
  </si>
  <si>
    <t xml:space="preserve">bthd.p </t>
  </si>
  <si>
    <t xml:space="preserve">ceba </t>
  </si>
  <si>
    <t xml:space="preserve">bthe.rsd </t>
  </si>
  <si>
    <t xml:space="preserve">bthf.p </t>
  </si>
  <si>
    <t>hb.rsd</t>
  </si>
  <si>
    <t xml:space="preserve">btia.rsd </t>
  </si>
  <si>
    <t xml:space="preserve">btib.p </t>
  </si>
  <si>
    <t xml:space="preserve">btic.rsd </t>
  </si>
  <si>
    <t xml:space="preserve">btid.p </t>
  </si>
  <si>
    <t xml:space="preserve">cebc </t>
  </si>
  <si>
    <t>hc.p</t>
  </si>
  <si>
    <t xml:space="preserve">btie.rsd </t>
  </si>
  <si>
    <t>Repairers staff attacking take 2</t>
  </si>
  <si>
    <t xml:space="preserve">btif.p </t>
  </si>
  <si>
    <t xml:space="preserve">btja.rsd </t>
  </si>
  <si>
    <t xml:space="preserve">btjb.p </t>
  </si>
  <si>
    <t xml:space="preserve">btjc.rsd </t>
  </si>
  <si>
    <t>hc.rsd</t>
  </si>
  <si>
    <t xml:space="preserve">btjd.p </t>
  </si>
  <si>
    <t xml:space="preserve">cebd </t>
  </si>
  <si>
    <t xml:space="preserve">btje.rsd </t>
  </si>
  <si>
    <t xml:space="preserve">btjf.p </t>
  </si>
  <si>
    <t xml:space="preserve">buaa.a </t>
  </si>
  <si>
    <t xml:space="preserve">buab.a </t>
  </si>
  <si>
    <t xml:space="preserve">buac.hrc </t>
  </si>
  <si>
    <t xml:space="preserve">cebe </t>
  </si>
  <si>
    <t>tifa7_sk</t>
  </si>
  <si>
    <t>Repairers staff attacking take 3</t>
  </si>
  <si>
    <t>Tifa - 7 Years Old</t>
  </si>
  <si>
    <t xml:space="preserve">buad.rsd </t>
  </si>
  <si>
    <t xml:space="preserve">buae.p </t>
  </si>
  <si>
    <t xml:space="preserve">buaf.rsd </t>
  </si>
  <si>
    <t xml:space="preserve">buba.p </t>
  </si>
  <si>
    <t xml:space="preserve">cebg </t>
  </si>
  <si>
    <t xml:space="preserve">bubb.rsd </t>
  </si>
  <si>
    <t xml:space="preserve">bubc.p </t>
  </si>
  <si>
    <t xml:space="preserve">bubd.tex </t>
  </si>
  <si>
    <t xml:space="preserve">bube.tex </t>
  </si>
  <si>
    <t>he.p</t>
  </si>
  <si>
    <t xml:space="preserve">cebi </t>
  </si>
  <si>
    <t xml:space="preserve">bubf.tex </t>
  </si>
  <si>
    <t>Repairers staff attacking take 4</t>
  </si>
  <si>
    <t xml:space="preserve">buca.rsd </t>
  </si>
  <si>
    <t xml:space="preserve">bucb.p </t>
  </si>
  <si>
    <t xml:space="preserve">bucc.rsd </t>
  </si>
  <si>
    <t>he.rsd</t>
  </si>
  <si>
    <t xml:space="preserve">bucd.p </t>
  </si>
  <si>
    <t xml:space="preserve">cebj </t>
  </si>
  <si>
    <t xml:space="preserve">buce.rsd </t>
  </si>
  <si>
    <t xml:space="preserve">bucf.p </t>
  </si>
  <si>
    <t xml:space="preserve">buda.rsd </t>
  </si>
  <si>
    <t xml:space="preserve">budb.p </t>
  </si>
  <si>
    <t>hf.p</t>
  </si>
  <si>
    <t xml:space="preserve">cebk </t>
  </si>
  <si>
    <t xml:space="preserve">budc.rsd </t>
  </si>
  <si>
    <t>Repairers staff attacking take 5</t>
  </si>
  <si>
    <t xml:space="preserve">budd.p </t>
  </si>
  <si>
    <t xml:space="preserve">bude.rsd </t>
  </si>
  <si>
    <t xml:space="preserve">budf.p </t>
  </si>
  <si>
    <t xml:space="preserve">buea.rsd </t>
  </si>
  <si>
    <t>hf.rsd</t>
  </si>
  <si>
    <t xml:space="preserve">bueb.p </t>
  </si>
  <si>
    <t xml:space="preserve">buec.rsd </t>
  </si>
  <si>
    <t xml:space="preserve">bued.p </t>
  </si>
  <si>
    <t xml:space="preserve">cebm </t>
  </si>
  <si>
    <t xml:space="preserve">buee.rsd </t>
  </si>
  <si>
    <t xml:space="preserve">buef.p </t>
  </si>
  <si>
    <t>Repairers staff attacking take 6</t>
  </si>
  <si>
    <t xml:space="preserve">bufa.rsd </t>
  </si>
  <si>
    <t xml:space="preserve">bufb.p </t>
  </si>
  <si>
    <t xml:space="preserve">bufc.rsd </t>
  </si>
  <si>
    <t xml:space="preserve">ceda </t>
  </si>
  <si>
    <t xml:space="preserve">bufd.p </t>
  </si>
  <si>
    <t xml:space="preserve">bufe.rsd </t>
  </si>
  <si>
    <t xml:space="preserve">cfaa </t>
  </si>
  <si>
    <t>304 Bytes</t>
  </si>
  <si>
    <t>Mighty Grunt (Outer Shell): Battle Skeleton</t>
  </si>
  <si>
    <t xml:space="preserve">buff.p </t>
  </si>
  <si>
    <t xml:space="preserve">buga.rsd </t>
  </si>
  <si>
    <t xml:space="preserve">bugb.p </t>
  </si>
  <si>
    <t>hh.p</t>
  </si>
  <si>
    <t>Repairers staff attacking take 7</t>
  </si>
  <si>
    <t xml:space="preserve">bugc.a </t>
  </si>
  <si>
    <t xml:space="preserve">cfab </t>
  </si>
  <si>
    <t xml:space="preserve">bugd.a </t>
  </si>
  <si>
    <t>Mighty Grunt (Outer Shell): Unidentified Part</t>
  </si>
  <si>
    <t xml:space="preserve">buge.hrc </t>
  </si>
  <si>
    <t>cloud8_sk</t>
  </si>
  <si>
    <t>Cloud - 8 Years Old</t>
  </si>
  <si>
    <t xml:space="preserve">bugf.rsd </t>
  </si>
  <si>
    <t xml:space="preserve">cfam </t>
  </si>
  <si>
    <t>hh.rsd</t>
  </si>
  <si>
    <t xml:space="preserve">buha.p </t>
  </si>
  <si>
    <t xml:space="preserve">buhb.rsd </t>
  </si>
  <si>
    <t xml:space="preserve">buhc.p </t>
  </si>
  <si>
    <t xml:space="preserve">buhd.rsd </t>
  </si>
  <si>
    <t>hi.p</t>
  </si>
  <si>
    <t xml:space="preserve">cfao </t>
  </si>
  <si>
    <t xml:space="preserve">buhe.p </t>
  </si>
  <si>
    <t>Repairer healing take 1</t>
  </si>
  <si>
    <t xml:space="preserve">buhf.tex </t>
  </si>
  <si>
    <t>hi.rsd</t>
  </si>
  <si>
    <t xml:space="preserve">cfap </t>
  </si>
  <si>
    <t xml:space="preserve">buia.tex </t>
  </si>
  <si>
    <t xml:space="preserve">buib.tex </t>
  </si>
  <si>
    <t xml:space="preserve">buic.rsd </t>
  </si>
  <si>
    <t xml:space="preserve">buid.p </t>
  </si>
  <si>
    <t xml:space="preserve">cfaq </t>
  </si>
  <si>
    <t xml:space="preserve">buie.rsd </t>
  </si>
  <si>
    <t xml:space="preserve">buif.p </t>
  </si>
  <si>
    <t>Repairer healing take 2</t>
  </si>
  <si>
    <t xml:space="preserve">buja.rsd </t>
  </si>
  <si>
    <t xml:space="preserve">bujb.p </t>
  </si>
  <si>
    <t xml:space="preserve">bujc.rsd </t>
  </si>
  <si>
    <t xml:space="preserve">cfas </t>
  </si>
  <si>
    <t xml:space="preserve">bujd.p </t>
  </si>
  <si>
    <t xml:space="preserve">buje.rsd </t>
  </si>
  <si>
    <t xml:space="preserve">bujf.p </t>
  </si>
  <si>
    <t xml:space="preserve">bvaa.rsd </t>
  </si>
  <si>
    <t xml:space="preserve">bvab.p </t>
  </si>
  <si>
    <t xml:space="preserve">cfat </t>
  </si>
  <si>
    <t xml:space="preserve">bvac.rsd </t>
  </si>
  <si>
    <t>hk.p</t>
  </si>
  <si>
    <t>Repairer healing take 3</t>
  </si>
  <si>
    <t xml:space="preserve">bvad.p </t>
  </si>
  <si>
    <t xml:space="preserve">bvae.rsd </t>
  </si>
  <si>
    <t xml:space="preserve">bvaf.p </t>
  </si>
  <si>
    <t xml:space="preserve">cfau </t>
  </si>
  <si>
    <t xml:space="preserve">bvba.rsd </t>
  </si>
  <si>
    <t xml:space="preserve">bvbb.p </t>
  </si>
  <si>
    <t>hk.rsd</t>
  </si>
  <si>
    <t xml:space="preserve">bvbc.rsd </t>
  </si>
  <si>
    <t xml:space="preserve">bvbd.p </t>
  </si>
  <si>
    <t xml:space="preserve">bvbe.rsd </t>
  </si>
  <si>
    <t xml:space="preserve">bvbf.p </t>
  </si>
  <si>
    <t xml:space="preserve">cfav </t>
  </si>
  <si>
    <t>hl.p</t>
  </si>
  <si>
    <t xml:space="preserve">bvca.rsd </t>
  </si>
  <si>
    <t>Repairer healing take 4</t>
  </si>
  <si>
    <t xml:space="preserve">bvcb.p </t>
  </si>
  <si>
    <t xml:space="preserve">bvcc.a </t>
  </si>
  <si>
    <t xml:space="preserve">bvcd.a </t>
  </si>
  <si>
    <t xml:space="preserve">bvce.a </t>
  </si>
  <si>
    <t xml:space="preserve">cfaw </t>
  </si>
  <si>
    <t xml:space="preserve">bvcf.a </t>
  </si>
  <si>
    <t>hl.rsd</t>
  </si>
  <si>
    <t xml:space="preserve">bvda.hrc </t>
  </si>
  <si>
    <t>tfather_st</t>
  </si>
  <si>
    <t xml:space="preserve">bvdb.rsd </t>
  </si>
  <si>
    <t>Tifa's Father: Lower Chest</t>
  </si>
  <si>
    <t xml:space="preserve">bvdc.p </t>
  </si>
  <si>
    <t xml:space="preserve">bvdd.rsd </t>
  </si>
  <si>
    <t xml:space="preserve">cfaz </t>
  </si>
  <si>
    <t>Tifa's Father: Upper Chest</t>
  </si>
  <si>
    <t>Repairer healing take 5</t>
  </si>
  <si>
    <t xml:space="preserve">bvde.p </t>
  </si>
  <si>
    <t xml:space="preserve">bvdf.rsd </t>
  </si>
  <si>
    <t>Tifa's Father: Head</t>
  </si>
  <si>
    <t xml:space="preserve">bvea.p </t>
  </si>
  <si>
    <t xml:space="preserve">bveb.tex </t>
  </si>
  <si>
    <t>Tifa's Father: Eye</t>
  </si>
  <si>
    <t xml:space="preserve">bvec.tex </t>
  </si>
  <si>
    <t xml:space="preserve">cfba </t>
  </si>
  <si>
    <t xml:space="preserve">bved.tex </t>
  </si>
  <si>
    <t>Tifa's Father: Mouth</t>
  </si>
  <si>
    <t xml:space="preserve">bvee.rsd </t>
  </si>
  <si>
    <t>Tifa's Father: Upper Arm</t>
  </si>
  <si>
    <t xml:space="preserve">bvef.p </t>
  </si>
  <si>
    <t xml:space="preserve">bvfa.rsd </t>
  </si>
  <si>
    <t>Tifa's Father: Lower Arm</t>
  </si>
  <si>
    <t xml:space="preserve">bvfb.p </t>
  </si>
  <si>
    <t xml:space="preserve">cfbb </t>
  </si>
  <si>
    <t>hn.p</t>
  </si>
  <si>
    <t xml:space="preserve">bvfc.rsd </t>
  </si>
  <si>
    <t>Repairer healing take 6</t>
  </si>
  <si>
    <t>Tifa's Father: Hand</t>
  </si>
  <si>
    <t xml:space="preserve">bvfd.p </t>
  </si>
  <si>
    <t xml:space="preserve">bvfe.rsd </t>
  </si>
  <si>
    <t xml:space="preserve">bvff.p </t>
  </si>
  <si>
    <t>hn.rsd</t>
  </si>
  <si>
    <t xml:space="preserve">cfbe </t>
  </si>
  <si>
    <t xml:space="preserve">bvga.rsd </t>
  </si>
  <si>
    <t xml:space="preserve">bvgb.p </t>
  </si>
  <si>
    <t xml:space="preserve">bvgc.rsd </t>
  </si>
  <si>
    <t xml:space="preserve">bvgd.p </t>
  </si>
  <si>
    <t xml:space="preserve">bvge.rsd </t>
  </si>
  <si>
    <t>ho.p</t>
  </si>
  <si>
    <t>Tifa's Father: Upper Leg</t>
  </si>
  <si>
    <t xml:space="preserve">cfbf </t>
  </si>
  <si>
    <t>Repairer healing take 7</t>
  </si>
  <si>
    <t xml:space="preserve">bvgf.p </t>
  </si>
  <si>
    <t xml:space="preserve">bvha.rsd </t>
  </si>
  <si>
    <t>Tifa's Father: Lower Leg</t>
  </si>
  <si>
    <t xml:space="preserve">bvhb.p </t>
  </si>
  <si>
    <t xml:space="preserve">bvhc.rsd </t>
  </si>
  <si>
    <t>Tifa's Father: Foot</t>
  </si>
  <si>
    <t>ho.rsd</t>
  </si>
  <si>
    <t xml:space="preserve">bvhd.p </t>
  </si>
  <si>
    <t xml:space="preserve">cfbg </t>
  </si>
  <si>
    <t xml:space="preserve">bvhe.rsd </t>
  </si>
  <si>
    <t xml:space="preserve">bvhf.p </t>
  </si>
  <si>
    <t xml:space="preserve">bvia.rsd </t>
  </si>
  <si>
    <t xml:space="preserve">bvib.p </t>
  </si>
  <si>
    <t>Worker setting mine take 1</t>
  </si>
  <si>
    <t xml:space="preserve">bvic.rsd </t>
  </si>
  <si>
    <t xml:space="preserve">cfda </t>
  </si>
  <si>
    <t xml:space="preserve">bvid.p </t>
  </si>
  <si>
    <t xml:space="preserve">bvie.a </t>
  </si>
  <si>
    <t xml:space="preserve">cgaa </t>
  </si>
  <si>
    <t>Mighty Grunt (Inner): Battle Skeleton</t>
  </si>
  <si>
    <t xml:space="preserve">bvif.a </t>
  </si>
  <si>
    <t xml:space="preserve">bvja.a </t>
  </si>
  <si>
    <t xml:space="preserve">bvjb.a </t>
  </si>
  <si>
    <t xml:space="preserve">bvjc.a </t>
  </si>
  <si>
    <t xml:space="preserve">bvjd.a </t>
  </si>
  <si>
    <t xml:space="preserve">cgab </t>
  </si>
  <si>
    <t xml:space="preserve">bvje.a </t>
  </si>
  <si>
    <t>Mighty Grunt (Inner): Unidentified Part</t>
  </si>
  <si>
    <t xml:space="preserve">bvjf.a </t>
  </si>
  <si>
    <t xml:space="preserve">cgam </t>
  </si>
  <si>
    <t xml:space="preserve">bwaa.a </t>
  </si>
  <si>
    <t>hq.p</t>
  </si>
  <si>
    <t xml:space="preserve">bwab.hrc </t>
  </si>
  <si>
    <t>Worker setting mine take 2</t>
  </si>
  <si>
    <t>sd_hei_sk</t>
  </si>
  <si>
    <t xml:space="preserve">bwac.rsd </t>
  </si>
  <si>
    <t xml:space="preserve">bwad.p </t>
  </si>
  <si>
    <t xml:space="preserve">bwae.rsd </t>
  </si>
  <si>
    <t xml:space="preserve">bwaf.p </t>
  </si>
  <si>
    <t xml:space="preserve">cgap </t>
  </si>
  <si>
    <t xml:space="preserve">bwba.rsd </t>
  </si>
  <si>
    <t>hq.rsd</t>
  </si>
  <si>
    <t xml:space="preserve">bwbb.p </t>
  </si>
  <si>
    <t xml:space="preserve">bwbc.tex </t>
  </si>
  <si>
    <t xml:space="preserve">bwbd.rsd </t>
  </si>
  <si>
    <t xml:space="preserve">bwbe.p </t>
  </si>
  <si>
    <t xml:space="preserve">bwbf.rsd </t>
  </si>
  <si>
    <t xml:space="preserve">bwca.p </t>
  </si>
  <si>
    <t>hr.p</t>
  </si>
  <si>
    <t>Worker setting mine take 3</t>
  </si>
  <si>
    <t xml:space="preserve">bwcb.rsd </t>
  </si>
  <si>
    <t xml:space="preserve">cgaq </t>
  </si>
  <si>
    <t>hr.rsd</t>
  </si>
  <si>
    <t xml:space="preserve">cgar </t>
  </si>
  <si>
    <t xml:space="preserve">bwcc.p </t>
  </si>
  <si>
    <t xml:space="preserve">bwcd.rsd </t>
  </si>
  <si>
    <t xml:space="preserve">bwce.p </t>
  </si>
  <si>
    <t xml:space="preserve">bwcf.rsd </t>
  </si>
  <si>
    <t xml:space="preserve">bwda.p </t>
  </si>
  <si>
    <t xml:space="preserve">bwdb.rsd </t>
  </si>
  <si>
    <t xml:space="preserve">cgau </t>
  </si>
  <si>
    <t>Worker setting mine take 4</t>
  </si>
  <si>
    <t xml:space="preserve">bwdc.p </t>
  </si>
  <si>
    <t xml:space="preserve">bwdd.rsd </t>
  </si>
  <si>
    <t xml:space="preserve">bwde.p </t>
  </si>
  <si>
    <t xml:space="preserve">bwdf.rsd </t>
  </si>
  <si>
    <t xml:space="preserve">bwea.p </t>
  </si>
  <si>
    <t xml:space="preserve">bweb.rsd </t>
  </si>
  <si>
    <t xml:space="preserve">bwec.p </t>
  </si>
  <si>
    <t xml:space="preserve">cgav </t>
  </si>
  <si>
    <t xml:space="preserve">bwed.rsd </t>
  </si>
  <si>
    <t xml:space="preserve">bwee.p </t>
  </si>
  <si>
    <t xml:space="preserve">bwef.rsd </t>
  </si>
  <si>
    <t xml:space="preserve">bwfa.p </t>
  </si>
  <si>
    <t xml:space="preserve">bwfb.rsd </t>
  </si>
  <si>
    <t xml:space="preserve">bwfc.p </t>
  </si>
  <si>
    <t xml:space="preserve">bwfd.hrc </t>
  </si>
  <si>
    <t xml:space="preserve">cgaw </t>
  </si>
  <si>
    <t>avman_sk</t>
  </si>
  <si>
    <t xml:space="preserve">bwfe.rsd </t>
  </si>
  <si>
    <t>Bigs: Lower Chest</t>
  </si>
  <si>
    <t>Worker setting mine take 5</t>
  </si>
  <si>
    <t>Bigs</t>
  </si>
  <si>
    <t xml:space="preserve">bwff.p </t>
  </si>
  <si>
    <t xml:space="preserve">cgay </t>
  </si>
  <si>
    <t xml:space="preserve">bwga.rsd </t>
  </si>
  <si>
    <t>Bigs: Upper Chest</t>
  </si>
  <si>
    <t xml:space="preserve">bwgb.p </t>
  </si>
  <si>
    <t xml:space="preserve">bwgc.rsd </t>
  </si>
  <si>
    <t>Bigs: Head</t>
  </si>
  <si>
    <t xml:space="preserve">bwgd.p </t>
  </si>
  <si>
    <t xml:space="preserve">bwge.tex </t>
  </si>
  <si>
    <t>Bigs: Eye</t>
  </si>
  <si>
    <t xml:space="preserve">bwgf.tex </t>
  </si>
  <si>
    <t xml:space="preserve">bwha.tex </t>
  </si>
  <si>
    <t>Bigs: Mouth</t>
  </si>
  <si>
    <t xml:space="preserve">bwhb.rsd </t>
  </si>
  <si>
    <t>Bigs: Upper Arm</t>
  </si>
  <si>
    <t xml:space="preserve">bwhc.p </t>
  </si>
  <si>
    <t xml:space="preserve">bwhd.rsd </t>
  </si>
  <si>
    <t>Bigs: Lower Arm</t>
  </si>
  <si>
    <t xml:space="preserve">bwhe.p </t>
  </si>
  <si>
    <t xml:space="preserve">bwhf.rsd </t>
  </si>
  <si>
    <t>Bigs: Hand</t>
  </si>
  <si>
    <t xml:space="preserve">bwia.p </t>
  </si>
  <si>
    <t>Worker setting mine take 6</t>
  </si>
  <si>
    <t xml:space="preserve">bwib.rsd </t>
  </si>
  <si>
    <t xml:space="preserve">bwic.p </t>
  </si>
  <si>
    <t xml:space="preserve">cgaz </t>
  </si>
  <si>
    <t xml:space="preserve">bwid.rsd </t>
  </si>
  <si>
    <t xml:space="preserve">bwie.p </t>
  </si>
  <si>
    <t xml:space="preserve">bwif.rsd </t>
  </si>
  <si>
    <t xml:space="preserve">bwja.p </t>
  </si>
  <si>
    <t xml:space="preserve">bwjb.rsd </t>
  </si>
  <si>
    <t>Bigs: Upper Leg</t>
  </si>
  <si>
    <t xml:space="preserve">bwjc.p </t>
  </si>
  <si>
    <t xml:space="preserve">bwjd.rsd </t>
  </si>
  <si>
    <t>Bigs: Lower Leg</t>
  </si>
  <si>
    <t xml:space="preserve">bwje.p </t>
  </si>
  <si>
    <t xml:space="preserve">bwjf.rsd </t>
  </si>
  <si>
    <t>Bigs: Foot</t>
  </si>
  <si>
    <t xml:space="preserve">bxaa.p </t>
  </si>
  <si>
    <t xml:space="preserve">cgba </t>
  </si>
  <si>
    <t xml:space="preserve">bxab.rsd </t>
  </si>
  <si>
    <t>Worker setting mine take 7</t>
  </si>
  <si>
    <t xml:space="preserve">bxac.p </t>
  </si>
  <si>
    <t xml:space="preserve">bxad.rsd </t>
  </si>
  <si>
    <t xml:space="preserve">bxae.p </t>
  </si>
  <si>
    <t xml:space="preserve">bxaf.rsd </t>
  </si>
  <si>
    <t xml:space="preserve">bxba.p </t>
  </si>
  <si>
    <t xml:space="preserve">cgbc </t>
  </si>
  <si>
    <t xml:space="preserve">bxbb.a </t>
  </si>
  <si>
    <t xml:space="preserve">bxbc.a </t>
  </si>
  <si>
    <t xml:space="preserve">bxbd.a </t>
  </si>
  <si>
    <t xml:space="preserve">cgbd </t>
  </si>
  <si>
    <t>Worker setting mine take 8</t>
  </si>
  <si>
    <t xml:space="preserve">bxbe.hrc </t>
  </si>
  <si>
    <t>avafat_sk</t>
  </si>
  <si>
    <t xml:space="preserve">bxbf.rsd </t>
  </si>
  <si>
    <t>Wedge: Lower Chest</t>
  </si>
  <si>
    <t xml:space="preserve">bxca.p </t>
  </si>
  <si>
    <t xml:space="preserve">bxcb.rsd </t>
  </si>
  <si>
    <t>Wedge: Upper Chest</t>
  </si>
  <si>
    <t xml:space="preserve">bxcc.p </t>
  </si>
  <si>
    <t xml:space="preserve">cgbe </t>
  </si>
  <si>
    <t xml:space="preserve">bxcd.rsd </t>
  </si>
  <si>
    <t>Wedge: Head</t>
  </si>
  <si>
    <t xml:space="preserve">bxce.p </t>
  </si>
  <si>
    <t xml:space="preserve">bxcf.tex </t>
  </si>
  <si>
    <t>Wedge: Eye</t>
  </si>
  <si>
    <t xml:space="preserve">bxda.tex </t>
  </si>
  <si>
    <t>Worker setting mine take 9</t>
  </si>
  <si>
    <t xml:space="preserve">bxdb.tex </t>
  </si>
  <si>
    <t>Wedge: Mouth</t>
  </si>
  <si>
    <t xml:space="preserve">bxdc.rsd </t>
  </si>
  <si>
    <t>Wedge: Upper Arm</t>
  </si>
  <si>
    <t xml:space="preserve">bxdd.p </t>
  </si>
  <si>
    <t xml:space="preserve">cgbf </t>
  </si>
  <si>
    <t xml:space="preserve">bxde.rsd </t>
  </si>
  <si>
    <t>Wedge: Lower Arm</t>
  </si>
  <si>
    <t xml:space="preserve">bxdf.p </t>
  </si>
  <si>
    <t xml:space="preserve">bxea.rsd </t>
  </si>
  <si>
    <t>Wedge: Hand</t>
  </si>
  <si>
    <t xml:space="preserve">bxeb.p </t>
  </si>
  <si>
    <t xml:space="preserve">bxec.rsd </t>
  </si>
  <si>
    <t xml:space="preserve">cgbg </t>
  </si>
  <si>
    <t xml:space="preserve">bxed.p </t>
  </si>
  <si>
    <t xml:space="preserve">bxee.rsd </t>
  </si>
  <si>
    <t xml:space="preserve">bxef.p </t>
  </si>
  <si>
    <t>Worker setting mine take 10</t>
  </si>
  <si>
    <t xml:space="preserve">bxfa.rsd </t>
  </si>
  <si>
    <t xml:space="preserve">bxfb.p </t>
  </si>
  <si>
    <t xml:space="preserve">bxfc.rsd </t>
  </si>
  <si>
    <t>Wedge: Upper Leg</t>
  </si>
  <si>
    <t xml:space="preserve">cgda </t>
  </si>
  <si>
    <t xml:space="preserve">bxfd.p </t>
  </si>
  <si>
    <t xml:space="preserve">bxfe.rsd </t>
  </si>
  <si>
    <t>Wedge: Lower Leg</t>
  </si>
  <si>
    <t xml:space="preserve">bxff.p </t>
  </si>
  <si>
    <t>chaa</t>
  </si>
  <si>
    <t>Moth Slasher:Battle Skeleton</t>
  </si>
  <si>
    <t xml:space="preserve">bxga.rsd </t>
  </si>
  <si>
    <t>Wedge: Foot</t>
  </si>
  <si>
    <t xml:space="preserve">bxgb.p </t>
  </si>
  <si>
    <t xml:space="preserve">bxgc.rsd </t>
  </si>
  <si>
    <t xml:space="preserve">bxgd.p </t>
  </si>
  <si>
    <t>Worker setting mine take 11</t>
  </si>
  <si>
    <t xml:space="preserve">bxge.rsd </t>
  </si>
  <si>
    <t>chab</t>
  </si>
  <si>
    <t xml:space="preserve">bxgf.p </t>
  </si>
  <si>
    <t>Moth Slasher:Unidentified Part</t>
  </si>
  <si>
    <t xml:space="preserve">bxha.rsd </t>
  </si>
  <si>
    <t xml:space="preserve">bxhb.p </t>
  </si>
  <si>
    <t>cham</t>
  </si>
  <si>
    <t>6.3 K</t>
  </si>
  <si>
    <t xml:space="preserve">bxhc.a </t>
  </si>
  <si>
    <t xml:space="preserve">bxhd.a </t>
  </si>
  <si>
    <t xml:space="preserve">bxhe.a </t>
  </si>
  <si>
    <t xml:space="preserve">bxhf.a </t>
  </si>
  <si>
    <t xml:space="preserve">bxia.a </t>
  </si>
  <si>
    <t xml:space="preserve">bxib.a </t>
  </si>
  <si>
    <t>chao</t>
  </si>
  <si>
    <t xml:space="preserve">bxic.a </t>
  </si>
  <si>
    <t xml:space="preserve">bxid.a </t>
  </si>
  <si>
    <t xml:space="preserve">bxie.a </t>
  </si>
  <si>
    <t>ia.p</t>
  </si>
  <si>
    <t xml:space="preserve">bxif.a </t>
  </si>
  <si>
    <t>Worker setting mine take 12</t>
  </si>
  <si>
    <t xml:space="preserve">bxja.a </t>
  </si>
  <si>
    <t xml:space="preserve">bxjb.hrc </t>
  </si>
  <si>
    <t>md1dr_sk</t>
  </si>
  <si>
    <t>chaq</t>
  </si>
  <si>
    <t xml:space="preserve">bxjc.rsd </t>
  </si>
  <si>
    <t xml:space="preserve">bxjd.p </t>
  </si>
  <si>
    <t xml:space="preserve">bxje.tex </t>
  </si>
  <si>
    <t xml:space="preserve">bxjf.a </t>
  </si>
  <si>
    <t>ia.rsd</t>
  </si>
  <si>
    <t xml:space="preserve">byaa.a </t>
  </si>
  <si>
    <t xml:space="preserve">byab.a </t>
  </si>
  <si>
    <t xml:space="preserve">byac.a </t>
  </si>
  <si>
    <t xml:space="preserve">byad.a </t>
  </si>
  <si>
    <t>chas</t>
  </si>
  <si>
    <t xml:space="preserve">byae.a </t>
  </si>
  <si>
    <t xml:space="preserve">byaf.a </t>
  </si>
  <si>
    <t xml:space="preserve">byba.hrc </t>
  </si>
  <si>
    <t>nmkdr_3_sk</t>
  </si>
  <si>
    <t xml:space="preserve">bybb.rsd </t>
  </si>
  <si>
    <t>ib.p</t>
  </si>
  <si>
    <t xml:space="preserve">bybc.p </t>
  </si>
  <si>
    <t xml:space="preserve">bybd.tex </t>
  </si>
  <si>
    <t xml:space="preserve">bybe.a </t>
  </si>
  <si>
    <t xml:space="preserve">bybf.hrc </t>
  </si>
  <si>
    <t>nmkdr_1_sk</t>
  </si>
  <si>
    <t>chav</t>
  </si>
  <si>
    <t xml:space="preserve">byca.rsd </t>
  </si>
  <si>
    <t xml:space="preserve">bycb.p </t>
  </si>
  <si>
    <t xml:space="preserve">bycc.tex </t>
  </si>
  <si>
    <t>Worker setting mine take 13</t>
  </si>
  <si>
    <t xml:space="preserve">bycd.hrc </t>
  </si>
  <si>
    <t>nmkdr_2_sk</t>
  </si>
  <si>
    <t xml:space="preserve">byce.rsd </t>
  </si>
  <si>
    <t xml:space="preserve">bycf.p </t>
  </si>
  <si>
    <t xml:space="preserve">byda.tex </t>
  </si>
  <si>
    <t>chaw</t>
  </si>
  <si>
    <t xml:space="preserve">bydb.a </t>
  </si>
  <si>
    <t xml:space="preserve">bydc.a </t>
  </si>
  <si>
    <t xml:space="preserve">bydd.hrc </t>
  </si>
  <si>
    <t>trb_mety_sk</t>
  </si>
  <si>
    <t>ib.rsd</t>
  </si>
  <si>
    <t xml:space="preserve">byde.rsd </t>
  </si>
  <si>
    <t xml:space="preserve">bydf.p </t>
  </si>
  <si>
    <t xml:space="preserve">byea.tex </t>
  </si>
  <si>
    <t xml:space="preserve">byeb.rsd </t>
  </si>
  <si>
    <t xml:space="preserve">byec.p </t>
  </si>
  <si>
    <t>chay</t>
  </si>
  <si>
    <t xml:space="preserve">byed.rsd </t>
  </si>
  <si>
    <t xml:space="preserve">byee.p </t>
  </si>
  <si>
    <t xml:space="preserve">byef.tex </t>
  </si>
  <si>
    <t xml:space="preserve">byfa.rsd </t>
  </si>
  <si>
    <t>Worker setting mine take 14</t>
  </si>
  <si>
    <t xml:space="preserve">byfb.p </t>
  </si>
  <si>
    <t xml:space="preserve">byfc.a </t>
  </si>
  <si>
    <t xml:space="preserve">byfd.a </t>
  </si>
  <si>
    <t xml:space="preserve">byfe.a </t>
  </si>
  <si>
    <t>chaz</t>
  </si>
  <si>
    <t xml:space="preserve">byff.a </t>
  </si>
  <si>
    <t xml:space="preserve">byga.a </t>
  </si>
  <si>
    <t xml:space="preserve">bygb.a </t>
  </si>
  <si>
    <t xml:space="preserve">bygc.a </t>
  </si>
  <si>
    <t xml:space="preserve">bygd.a </t>
  </si>
  <si>
    <t xml:space="preserve">byge.a </t>
  </si>
  <si>
    <t xml:space="preserve">bygf.hrc </t>
  </si>
  <si>
    <t>potion_b_sk</t>
  </si>
  <si>
    <t xml:space="preserve">byha.rsd </t>
  </si>
  <si>
    <t>Potion</t>
  </si>
  <si>
    <t>chba</t>
  </si>
  <si>
    <t xml:space="preserve">byhb.p </t>
  </si>
  <si>
    <t xml:space="preserve">byhc.a </t>
  </si>
  <si>
    <t>id.bin</t>
  </si>
  <si>
    <t xml:space="preserve">byhd.a </t>
  </si>
  <si>
    <t xml:space="preserve">byhe.a </t>
  </si>
  <si>
    <t xml:space="preserve">byhf.a </t>
  </si>
  <si>
    <t>Worker setting mine take 15</t>
  </si>
  <si>
    <t xml:space="preserve">byia.a </t>
  </si>
  <si>
    <t xml:space="preserve">byib.hrc </t>
  </si>
  <si>
    <t>mtra3_sk</t>
  </si>
  <si>
    <t xml:space="preserve">byic.rsd </t>
  </si>
  <si>
    <t>chbb</t>
  </si>
  <si>
    <t>Materia</t>
  </si>
  <si>
    <t xml:space="preserve">byid.p </t>
  </si>
  <si>
    <t xml:space="preserve">byie.a </t>
  </si>
  <si>
    <t xml:space="preserve">byif.a </t>
  </si>
  <si>
    <t xml:space="preserve">byja.a </t>
  </si>
  <si>
    <t xml:space="preserve">byjb.a </t>
  </si>
  <si>
    <t xml:space="preserve">byjc.a </t>
  </si>
  <si>
    <t xml:space="preserve">byjd.a </t>
  </si>
  <si>
    <t xml:space="preserve">byje.a </t>
  </si>
  <si>
    <t>chbd</t>
  </si>
  <si>
    <t xml:space="preserve">byjf.a </t>
  </si>
  <si>
    <t xml:space="preserve">bzaa.a </t>
  </si>
  <si>
    <t xml:space="preserve">bzab.a </t>
  </si>
  <si>
    <t xml:space="preserve">bzac.a </t>
  </si>
  <si>
    <t>ie.p</t>
  </si>
  <si>
    <t xml:space="preserve">bzad.a </t>
  </si>
  <si>
    <t>Worker setting mine take 16</t>
  </si>
  <si>
    <t xml:space="preserve">bzae.a </t>
  </si>
  <si>
    <t xml:space="preserve">bzaf.a </t>
  </si>
  <si>
    <t>chbe</t>
  </si>
  <si>
    <t xml:space="preserve">bzba.a </t>
  </si>
  <si>
    <t xml:space="preserve">bzbb.a </t>
  </si>
  <si>
    <t xml:space="preserve">bzbc.a </t>
  </si>
  <si>
    <t xml:space="preserve">bzbd.a </t>
  </si>
  <si>
    <t>ie.rsd</t>
  </si>
  <si>
    <t xml:space="preserve">bzbe.a </t>
  </si>
  <si>
    <t xml:space="preserve">bzbf.a </t>
  </si>
  <si>
    <t xml:space="preserve">bzca.a </t>
  </si>
  <si>
    <t xml:space="preserve">bzcb.a </t>
  </si>
  <si>
    <t>chbg</t>
  </si>
  <si>
    <t xml:space="preserve">bzcc.a </t>
  </si>
  <si>
    <t xml:space="preserve">bzcd.a </t>
  </si>
  <si>
    <t xml:space="preserve">bzce.a </t>
  </si>
  <si>
    <t xml:space="preserve">bzcf.a </t>
  </si>
  <si>
    <t>if.p</t>
  </si>
  <si>
    <t xml:space="preserve">bzda.hrc </t>
  </si>
  <si>
    <t>Worker setting mine take 17</t>
  </si>
  <si>
    <t>sd_bic_sk</t>
  </si>
  <si>
    <t xml:space="preserve">bzdb.rsd </t>
  </si>
  <si>
    <t xml:space="preserve">bzdc.p </t>
  </si>
  <si>
    <t xml:space="preserve">bzdd.rsd </t>
  </si>
  <si>
    <t>chbh</t>
  </si>
  <si>
    <t xml:space="preserve">bzde.p </t>
  </si>
  <si>
    <t xml:space="preserve">bzdf.rsd </t>
  </si>
  <si>
    <t xml:space="preserve">bzea.p </t>
  </si>
  <si>
    <t xml:space="preserve">bzeb.rsd </t>
  </si>
  <si>
    <t>if.rsd</t>
  </si>
  <si>
    <t xml:space="preserve">bzec.p </t>
  </si>
  <si>
    <t xml:space="preserve">bzed.rsd </t>
  </si>
  <si>
    <t>chbi</t>
  </si>
  <si>
    <t xml:space="preserve">bzee.p </t>
  </si>
  <si>
    <t>chbj</t>
  </si>
  <si>
    <t xml:space="preserve">bzef.rsd </t>
  </si>
  <si>
    <t>Worker setting mine take 18</t>
  </si>
  <si>
    <t xml:space="preserve">bzfa.p </t>
  </si>
  <si>
    <t xml:space="preserve">bzfb.rsd </t>
  </si>
  <si>
    <t xml:space="preserve">bzfc.p </t>
  </si>
  <si>
    <t xml:space="preserve">bzfd.rsd </t>
  </si>
  <si>
    <t xml:space="preserve">bzfe.p </t>
  </si>
  <si>
    <t xml:space="preserve">bzff.rsd </t>
  </si>
  <si>
    <t xml:space="preserve">bzga.p </t>
  </si>
  <si>
    <t xml:space="preserve">bzgb.rsd </t>
  </si>
  <si>
    <t xml:space="preserve">bzgc.p </t>
  </si>
  <si>
    <t xml:space="preserve">bzgd.rsd </t>
  </si>
  <si>
    <t xml:space="preserve">bzge.p </t>
  </si>
  <si>
    <t xml:space="preserve">bzgf.rsd </t>
  </si>
  <si>
    <t xml:space="preserve">bzha.p </t>
  </si>
  <si>
    <t>chbk</t>
  </si>
  <si>
    <t xml:space="preserve">bzhb.a </t>
  </si>
  <si>
    <t xml:space="preserve">bzhc.a </t>
  </si>
  <si>
    <t xml:space="preserve">bzhd.a </t>
  </si>
  <si>
    <t>Worker setting mine take 19</t>
  </si>
  <si>
    <t xml:space="preserve">bzhe.a </t>
  </si>
  <si>
    <t xml:space="preserve">bzhf.hrc </t>
  </si>
  <si>
    <t>heri2_st</t>
  </si>
  <si>
    <t xml:space="preserve">bzia.rsd </t>
  </si>
  <si>
    <t xml:space="preserve">bzib.p </t>
  </si>
  <si>
    <t xml:space="preserve">bzic.rsd </t>
  </si>
  <si>
    <t xml:space="preserve">bzid.p </t>
  </si>
  <si>
    <t xml:space="preserve">bzie.rsd </t>
  </si>
  <si>
    <t>chbl</t>
  </si>
  <si>
    <t xml:space="preserve">bzif.p </t>
  </si>
  <si>
    <t xml:space="preserve">bzja.rsd </t>
  </si>
  <si>
    <t xml:space="preserve">bzjb.p </t>
  </si>
  <si>
    <t xml:space="preserve">bzjc.rsd </t>
  </si>
  <si>
    <t xml:space="preserve">bzjd.p </t>
  </si>
  <si>
    <t xml:space="preserve">bzje.rsd </t>
  </si>
  <si>
    <t xml:space="preserve">bzjf.p </t>
  </si>
  <si>
    <t xml:space="preserve">caaa.rsd </t>
  </si>
  <si>
    <t xml:space="preserve">caab.p </t>
  </si>
  <si>
    <t xml:space="preserve">caac.rsd </t>
  </si>
  <si>
    <t xml:space="preserve">caad.p </t>
  </si>
  <si>
    <t xml:space="preserve">caae.rsd </t>
  </si>
  <si>
    <t xml:space="preserve">caaf.p </t>
  </si>
  <si>
    <t xml:space="preserve">caba.rsd </t>
  </si>
  <si>
    <t>Worker setting mine take 20</t>
  </si>
  <si>
    <t>chda</t>
  </si>
  <si>
    <t xml:space="preserve">cabb.p </t>
  </si>
  <si>
    <t xml:space="preserve">cabc.rsd </t>
  </si>
  <si>
    <t xml:space="preserve">cabd.p </t>
  </si>
  <si>
    <t xml:space="preserve">cabe.rsd </t>
  </si>
  <si>
    <t xml:space="preserve">cabf.p </t>
  </si>
  <si>
    <t xml:space="preserve">caca.rsd </t>
  </si>
  <si>
    <t xml:space="preserve">cacb.p </t>
  </si>
  <si>
    <t xml:space="preserve">ciaa </t>
  </si>
  <si>
    <t xml:space="preserve">cacc.rsd </t>
  </si>
  <si>
    <t xml:space="preserve">cacd.p </t>
  </si>
  <si>
    <t>Grenade Combatant: Battle Skeleton</t>
  </si>
  <si>
    <t xml:space="preserve">cace.a </t>
  </si>
  <si>
    <t xml:space="preserve">cacf.a </t>
  </si>
  <si>
    <t xml:space="preserve">cada.a </t>
  </si>
  <si>
    <t xml:space="preserve">cadb.a </t>
  </si>
  <si>
    <t xml:space="preserve">cadc.a </t>
  </si>
  <si>
    <t xml:space="preserve">cadd.a </t>
  </si>
  <si>
    <t xml:space="preserve">cade.hrc </t>
  </si>
  <si>
    <t>smkdr_sk</t>
  </si>
  <si>
    <t xml:space="preserve">cadf.rsd </t>
  </si>
  <si>
    <t xml:space="preserve">caea.p </t>
  </si>
  <si>
    <t>MP clone 1 (aqaa)</t>
  </si>
  <si>
    <t xml:space="preserve">caeb.tex </t>
  </si>
  <si>
    <t xml:space="preserve">caec.a </t>
  </si>
  <si>
    <t xml:space="preserve">ciab </t>
  </si>
  <si>
    <t>Unknown model</t>
  </si>
  <si>
    <t>440 Bytes</t>
  </si>
  <si>
    <t xml:space="preserve">caed.a </t>
  </si>
  <si>
    <t>Grenade Combatant: Unidentified Part</t>
  </si>
  <si>
    <t xml:space="preserve">caee.a </t>
  </si>
  <si>
    <t xml:space="preserve">caef.a </t>
  </si>
  <si>
    <t xml:space="preserve">ciam </t>
  </si>
  <si>
    <t xml:space="preserve">cafa.a </t>
  </si>
  <si>
    <t xml:space="preserve">cafb.a </t>
  </si>
  <si>
    <t xml:space="preserve">cafc.a </t>
  </si>
  <si>
    <t xml:space="preserve">cafd.a </t>
  </si>
  <si>
    <t xml:space="preserve">cafe.a </t>
  </si>
  <si>
    <t xml:space="preserve">caff.a </t>
  </si>
  <si>
    <t xml:space="preserve">caga.a </t>
  </si>
  <si>
    <t xml:space="preserve">cagb.a </t>
  </si>
  <si>
    <t xml:space="preserve">cagc.a </t>
  </si>
  <si>
    <t xml:space="preserve">cian </t>
  </si>
  <si>
    <t xml:space="preserve">cagd.a </t>
  </si>
  <si>
    <t>Grenade Combatant: Chest Model</t>
  </si>
  <si>
    <t xml:space="preserve">cage.a </t>
  </si>
  <si>
    <t xml:space="preserve">cagf.a </t>
  </si>
  <si>
    <t xml:space="preserve">caha.a </t>
  </si>
  <si>
    <t xml:space="preserve">cahb.a </t>
  </si>
  <si>
    <t xml:space="preserve">cahc.hrc </t>
  </si>
  <si>
    <t>earithf_sk</t>
  </si>
  <si>
    <t>Aerith - Flowers</t>
  </si>
  <si>
    <t xml:space="preserve">cahd.rsd </t>
  </si>
  <si>
    <t>ik.p</t>
  </si>
  <si>
    <t xml:space="preserve">cahe.p </t>
  </si>
  <si>
    <t xml:space="preserve">cahf.rsd </t>
  </si>
  <si>
    <t xml:space="preserve">caia.p </t>
  </si>
  <si>
    <t xml:space="preserve">caib.rsd </t>
  </si>
  <si>
    <t xml:space="preserve">ciao </t>
  </si>
  <si>
    <t xml:space="preserve">caic.p </t>
  </si>
  <si>
    <t xml:space="preserve">caid.tex </t>
  </si>
  <si>
    <t xml:space="preserve">caie.tex </t>
  </si>
  <si>
    <t>Grenade Combatant: Head Model</t>
  </si>
  <si>
    <t>ik.rsd</t>
  </si>
  <si>
    <t xml:space="preserve">caif.tex </t>
  </si>
  <si>
    <t xml:space="preserve">caja.rsd </t>
  </si>
  <si>
    <t xml:space="preserve">cajb.p </t>
  </si>
  <si>
    <t xml:space="preserve">cajc.rsd </t>
  </si>
  <si>
    <t xml:space="preserve">ciar </t>
  </si>
  <si>
    <t xml:space="preserve">cajd.p </t>
  </si>
  <si>
    <t xml:space="preserve">caje.rsd </t>
  </si>
  <si>
    <t xml:space="preserve">cajf.p </t>
  </si>
  <si>
    <t xml:space="preserve">cbaa.rsd </t>
  </si>
  <si>
    <t xml:space="preserve">cbab.p </t>
  </si>
  <si>
    <t xml:space="preserve">cias </t>
  </si>
  <si>
    <t>il.p</t>
  </si>
  <si>
    <t xml:space="preserve">cbac.rsd </t>
  </si>
  <si>
    <t>Commander model</t>
  </si>
  <si>
    <t xml:space="preserve">cbad.p </t>
  </si>
  <si>
    <t xml:space="preserve">cbae.rsd </t>
  </si>
  <si>
    <t xml:space="preserve">cbaf.p </t>
  </si>
  <si>
    <t xml:space="preserve">cbba.rsd </t>
  </si>
  <si>
    <t xml:space="preserve">cbbb.p </t>
  </si>
  <si>
    <t xml:space="preserve">cbbc.rsd </t>
  </si>
  <si>
    <t>il.rsd</t>
  </si>
  <si>
    <t xml:space="preserve">cbbd.p </t>
  </si>
  <si>
    <t xml:space="preserve">cbbe.rsd </t>
  </si>
  <si>
    <t xml:space="preserve">ciat </t>
  </si>
  <si>
    <t>Grenade Combatant: Left Hand With Gun</t>
  </si>
  <si>
    <t xml:space="preserve">cbbf.p </t>
  </si>
  <si>
    <t xml:space="preserve">cbca.rsd </t>
  </si>
  <si>
    <t>Commander attacking take 1</t>
  </si>
  <si>
    <t xml:space="preserve">cbcb.p </t>
  </si>
  <si>
    <t xml:space="preserve">cbcc.rsd </t>
  </si>
  <si>
    <t xml:space="preserve">cbcd.p </t>
  </si>
  <si>
    <t xml:space="preserve">cbce.rsd </t>
  </si>
  <si>
    <t xml:space="preserve">ciay </t>
  </si>
  <si>
    <t xml:space="preserve">cbcf.p </t>
  </si>
  <si>
    <t xml:space="preserve">cbda.rsd </t>
  </si>
  <si>
    <t xml:space="preserve">cbdb.p </t>
  </si>
  <si>
    <t>Commander attacking take 2</t>
  </si>
  <si>
    <t xml:space="preserve">cbdc.a </t>
  </si>
  <si>
    <t xml:space="preserve">cbdd.a </t>
  </si>
  <si>
    <t xml:space="preserve">cbde.a </t>
  </si>
  <si>
    <t xml:space="preserve">ciaz </t>
  </si>
  <si>
    <t xml:space="preserve">cbdf.a </t>
  </si>
  <si>
    <t xml:space="preserve">cbea.a </t>
  </si>
  <si>
    <t xml:space="preserve">cbeb.a </t>
  </si>
  <si>
    <t xml:space="preserve">cbec.a </t>
  </si>
  <si>
    <t xml:space="preserve">cbed.a </t>
  </si>
  <si>
    <t xml:space="preserve">cbee.a </t>
  </si>
  <si>
    <t xml:space="preserve">cbef.a </t>
  </si>
  <si>
    <t xml:space="preserve">ciba </t>
  </si>
  <si>
    <t xml:space="preserve">cbfa.a </t>
  </si>
  <si>
    <t>Commander attacking take 3</t>
  </si>
  <si>
    <t xml:space="preserve">cbfb.a </t>
  </si>
  <si>
    <t xml:space="preserve">cbfc.a </t>
  </si>
  <si>
    <t xml:space="preserve">cbfd.a </t>
  </si>
  <si>
    <t xml:space="preserve">cbfe.hrc </t>
  </si>
  <si>
    <t>woman_sk</t>
  </si>
  <si>
    <t xml:space="preserve">cbff.rsd </t>
  </si>
  <si>
    <t xml:space="preserve">cbga.p </t>
  </si>
  <si>
    <t xml:space="preserve">cibc </t>
  </si>
  <si>
    <t xml:space="preserve">cbgb.rsd </t>
  </si>
  <si>
    <t xml:space="preserve">cbgc.p </t>
  </si>
  <si>
    <t>ip.p</t>
  </si>
  <si>
    <t xml:space="preserve">cbgd.rsd </t>
  </si>
  <si>
    <t>Commander attacking take 4</t>
  </si>
  <si>
    <t xml:space="preserve">cbge.p </t>
  </si>
  <si>
    <t xml:space="preserve">cbgf.tex </t>
  </si>
  <si>
    <t xml:space="preserve">cbha.tex </t>
  </si>
  <si>
    <t xml:space="preserve">cibd </t>
  </si>
  <si>
    <t xml:space="preserve">cbhb.tex </t>
  </si>
  <si>
    <t xml:space="preserve">cbhc.rsd </t>
  </si>
  <si>
    <t>ip.rsd</t>
  </si>
  <si>
    <t xml:space="preserve">cbhd.p </t>
  </si>
  <si>
    <t xml:space="preserve">cbhe.rsd </t>
  </si>
  <si>
    <t xml:space="preserve">cbhf.p </t>
  </si>
  <si>
    <t xml:space="preserve">cibe </t>
  </si>
  <si>
    <t xml:space="preserve">cbia.rsd </t>
  </si>
  <si>
    <t xml:space="preserve">cbib.p </t>
  </si>
  <si>
    <t>iq.p</t>
  </si>
  <si>
    <t>Commander attacking take 5</t>
  </si>
  <si>
    <t xml:space="preserve">cbic.rsd </t>
  </si>
  <si>
    <t xml:space="preserve">cbid.p </t>
  </si>
  <si>
    <t xml:space="preserve">cbie.rsd </t>
  </si>
  <si>
    <t xml:space="preserve">cbif.p </t>
  </si>
  <si>
    <t xml:space="preserve">cibf </t>
  </si>
  <si>
    <t xml:space="preserve">cbja.rsd </t>
  </si>
  <si>
    <t>iq.rsd</t>
  </si>
  <si>
    <t xml:space="preserve">cbjb.p </t>
  </si>
  <si>
    <t xml:space="preserve">cbjc.rsd </t>
  </si>
  <si>
    <t xml:space="preserve">cbjd.p </t>
  </si>
  <si>
    <t xml:space="preserve">cbje.rsd </t>
  </si>
  <si>
    <t xml:space="preserve">cibh </t>
  </si>
  <si>
    <t xml:space="preserve">cbjf.p </t>
  </si>
  <si>
    <t xml:space="preserve">ccaa.rsd </t>
  </si>
  <si>
    <t>Commander attacking take 6</t>
  </si>
  <si>
    <t xml:space="preserve">ccab.p </t>
  </si>
  <si>
    <t xml:space="preserve">ccac.rsd </t>
  </si>
  <si>
    <t xml:space="preserve">cibi </t>
  </si>
  <si>
    <t xml:space="preserve">ccad.p </t>
  </si>
  <si>
    <t xml:space="preserve">ccae.rsd </t>
  </si>
  <si>
    <t xml:space="preserve">ccaf.p </t>
  </si>
  <si>
    <t xml:space="preserve">ccba.rsd </t>
  </si>
  <si>
    <t xml:space="preserve">ccbb.p </t>
  </si>
  <si>
    <t xml:space="preserve">cibj </t>
  </si>
  <si>
    <t xml:space="preserve">ccbc.hrc </t>
  </si>
  <si>
    <t xml:space="preserve">ccbd.rsd </t>
  </si>
  <si>
    <t xml:space="preserve">ccbe.p </t>
  </si>
  <si>
    <t xml:space="preserve">ccbf.rsd </t>
  </si>
  <si>
    <t xml:space="preserve">ccca.p </t>
  </si>
  <si>
    <t xml:space="preserve">cccb.rsd </t>
  </si>
  <si>
    <t xml:space="preserve">cccc.p </t>
  </si>
  <si>
    <t xml:space="preserve">cibk </t>
  </si>
  <si>
    <t>Commander attacking take 7</t>
  </si>
  <si>
    <t xml:space="preserve">cccd.tex </t>
  </si>
  <si>
    <t xml:space="preserve">ccce.tex </t>
  </si>
  <si>
    <t xml:space="preserve">cccf.tex </t>
  </si>
  <si>
    <t xml:space="preserve">ccda.rsd </t>
  </si>
  <si>
    <t xml:space="preserve">ccdb.p </t>
  </si>
  <si>
    <t xml:space="preserve">ccdc.rsd </t>
  </si>
  <si>
    <t xml:space="preserve">ccdd.p </t>
  </si>
  <si>
    <t xml:space="preserve">cick </t>
  </si>
  <si>
    <t xml:space="preserve">ccde.rsd </t>
  </si>
  <si>
    <t>Grenade Combatant: Grenade Model</t>
  </si>
  <si>
    <t xml:space="preserve">ccdf.p </t>
  </si>
  <si>
    <t xml:space="preserve">ccea.rsd </t>
  </si>
  <si>
    <t xml:space="preserve">cceb.p </t>
  </si>
  <si>
    <t>Commander attacking take 8</t>
  </si>
  <si>
    <t xml:space="preserve">ccec.rsd </t>
  </si>
  <si>
    <t xml:space="preserve">cced.p </t>
  </si>
  <si>
    <t xml:space="preserve">ccee.rsd </t>
  </si>
  <si>
    <t xml:space="preserve">ccef.p </t>
  </si>
  <si>
    <t xml:space="preserve">cida </t>
  </si>
  <si>
    <t xml:space="preserve">ccfa.rsd </t>
  </si>
  <si>
    <t xml:space="preserve">ccfb.p </t>
  </si>
  <si>
    <t xml:space="preserve">ccfc.rsd </t>
  </si>
  <si>
    <t xml:space="preserve">cjaa </t>
  </si>
  <si>
    <t xml:space="preserve">ccfd.p </t>
  </si>
  <si>
    <t>Brain Pod: Battle Skeleton</t>
  </si>
  <si>
    <t xml:space="preserve">ccfe.rsd </t>
  </si>
  <si>
    <t xml:space="preserve">ccff.p </t>
  </si>
  <si>
    <t>iu.p</t>
  </si>
  <si>
    <t>Commander attacking take 9</t>
  </si>
  <si>
    <t xml:space="preserve">ccga.rsd </t>
  </si>
  <si>
    <t xml:space="preserve">ccgb.p </t>
  </si>
  <si>
    <t xml:space="preserve">ccgc.rsd </t>
  </si>
  <si>
    <t xml:space="preserve">ccgd.p </t>
  </si>
  <si>
    <t xml:space="preserve">cjab </t>
  </si>
  <si>
    <t>Brain Pod: Unidentified Part</t>
  </si>
  <si>
    <t xml:space="preserve">ccge.rsd </t>
  </si>
  <si>
    <t>iu.rsd</t>
  </si>
  <si>
    <t xml:space="preserve">ccgf.p </t>
  </si>
  <si>
    <t xml:space="preserve">cjam </t>
  </si>
  <si>
    <t xml:space="preserve">ccia.a </t>
  </si>
  <si>
    <t xml:space="preserve">ccib.a </t>
  </si>
  <si>
    <t xml:space="preserve">ccic.a </t>
  </si>
  <si>
    <t xml:space="preserve">ccid.a </t>
  </si>
  <si>
    <t xml:space="preserve">ccie.a </t>
  </si>
  <si>
    <t xml:space="preserve">ccif.a </t>
  </si>
  <si>
    <t xml:space="preserve">ccja.a </t>
  </si>
  <si>
    <t xml:space="preserve">ccjb.a </t>
  </si>
  <si>
    <t xml:space="preserve">cjao </t>
  </si>
  <si>
    <t xml:space="preserve">ccjc.a </t>
  </si>
  <si>
    <t>iv.p</t>
  </si>
  <si>
    <t xml:space="preserve">ccjd.a </t>
  </si>
  <si>
    <t>Commander attacking take 10</t>
  </si>
  <si>
    <t xml:space="preserve">ccje.a </t>
  </si>
  <si>
    <t xml:space="preserve">ccjf.a </t>
  </si>
  <si>
    <t xml:space="preserve">ccha.hrc </t>
  </si>
  <si>
    <t>potion_sk</t>
  </si>
  <si>
    <t xml:space="preserve">cchb.rsd </t>
  </si>
  <si>
    <t xml:space="preserve">cchc.p </t>
  </si>
  <si>
    <t xml:space="preserve">cchd.a </t>
  </si>
  <si>
    <t xml:space="preserve">cjaq </t>
  </si>
  <si>
    <t xml:space="preserve">cche.a </t>
  </si>
  <si>
    <t xml:space="preserve">cchf.a </t>
  </si>
  <si>
    <t xml:space="preserve">cdaa.a </t>
  </si>
  <si>
    <t xml:space="preserve">cdab.a </t>
  </si>
  <si>
    <t xml:space="preserve">cdac.a </t>
  </si>
  <si>
    <t>iv.rsd</t>
  </si>
  <si>
    <t xml:space="preserve">cdad.a </t>
  </si>
  <si>
    <t xml:space="preserve">cdae.a </t>
  </si>
  <si>
    <t xml:space="preserve">cdaf.a </t>
  </si>
  <si>
    <t xml:space="preserve">cdba.a </t>
  </si>
  <si>
    <t xml:space="preserve">cjar </t>
  </si>
  <si>
    <t xml:space="preserve">cdbb.a </t>
  </si>
  <si>
    <t xml:space="preserve">cdbc.a </t>
  </si>
  <si>
    <t xml:space="preserve">cdbd.a </t>
  </si>
  <si>
    <t xml:space="preserve">cdbe.a </t>
  </si>
  <si>
    <t xml:space="preserve">cdbf.a </t>
  </si>
  <si>
    <t xml:space="preserve">cdca.a </t>
  </si>
  <si>
    <t xml:space="preserve">cdcb.a </t>
  </si>
  <si>
    <t xml:space="preserve">cjas </t>
  </si>
  <si>
    <t xml:space="preserve">cdcc.a </t>
  </si>
  <si>
    <t xml:space="preserve">cdcd.a </t>
  </si>
  <si>
    <t xml:space="preserve">cdce.a </t>
  </si>
  <si>
    <t xml:space="preserve">cdcf.a </t>
  </si>
  <si>
    <t xml:space="preserve">cdda.a </t>
  </si>
  <si>
    <t xml:space="preserve">cddb.a </t>
  </si>
  <si>
    <t>Commander attacking take 11</t>
  </si>
  <si>
    <t xml:space="preserve">cddc.a </t>
  </si>
  <si>
    <t xml:space="preserve">cddd.a </t>
  </si>
  <si>
    <t xml:space="preserve">cjat </t>
  </si>
  <si>
    <t xml:space="preserve">cdde.a </t>
  </si>
  <si>
    <t xml:space="preserve">cddf.a </t>
  </si>
  <si>
    <t xml:space="preserve">cdea.a </t>
  </si>
  <si>
    <t xml:space="preserve">cdeb.a </t>
  </si>
  <si>
    <t xml:space="preserve">cdec.a </t>
  </si>
  <si>
    <t xml:space="preserve">cded.a </t>
  </si>
  <si>
    <t xml:space="preserve">cdee.a </t>
  </si>
  <si>
    <t xml:space="preserve">cdef.a </t>
  </si>
  <si>
    <t xml:space="preserve">cjax </t>
  </si>
  <si>
    <t xml:space="preserve">cdfa.a </t>
  </si>
  <si>
    <t xml:space="preserve">cdfb.a </t>
  </si>
  <si>
    <t>ix.p</t>
  </si>
  <si>
    <t xml:space="preserve">cdfc.a </t>
  </si>
  <si>
    <t>Commander attacking take 12</t>
  </si>
  <si>
    <t xml:space="preserve">cdfd.a </t>
  </si>
  <si>
    <t xml:space="preserve">cdfe.a </t>
  </si>
  <si>
    <t xml:space="preserve">cdff.a </t>
  </si>
  <si>
    <t xml:space="preserve">cdga.a </t>
  </si>
  <si>
    <t xml:space="preserve">cdgb.a </t>
  </si>
  <si>
    <t xml:space="preserve">cjaz </t>
  </si>
  <si>
    <t>ix.rsd</t>
  </si>
  <si>
    <t xml:space="preserve">cdgc.a </t>
  </si>
  <si>
    <t xml:space="preserve">cdgd.a </t>
  </si>
  <si>
    <t xml:space="preserve">cdge.a </t>
  </si>
  <si>
    <t xml:space="preserve">cdgf.a </t>
  </si>
  <si>
    <t xml:space="preserve">cdha.a </t>
  </si>
  <si>
    <t xml:space="preserve">cdhb.a </t>
  </si>
  <si>
    <t xml:space="preserve">cdhc.a </t>
  </si>
  <si>
    <t>iy.p</t>
  </si>
  <si>
    <t xml:space="preserve">cdhd.a </t>
  </si>
  <si>
    <t>Commander attacking take 13</t>
  </si>
  <si>
    <t xml:space="preserve">cdhe.a </t>
  </si>
  <si>
    <t xml:space="preserve">cjba </t>
  </si>
  <si>
    <t xml:space="preserve">cdhf.a </t>
  </si>
  <si>
    <t xml:space="preserve">cdia.a </t>
  </si>
  <si>
    <t xml:space="preserve">cdib.a </t>
  </si>
  <si>
    <t xml:space="preserve">cdic.a </t>
  </si>
  <si>
    <t xml:space="preserve">cdid.a </t>
  </si>
  <si>
    <t xml:space="preserve">cdie.a </t>
  </si>
  <si>
    <t>iy.rsd</t>
  </si>
  <si>
    <t xml:space="preserve">cdif.a </t>
  </si>
  <si>
    <t xml:space="preserve">cdja.hrc </t>
  </si>
  <si>
    <t>ippan_3_sk</t>
  </si>
  <si>
    <t xml:space="preserve">cdjb.rsd </t>
  </si>
  <si>
    <t>Employee 3: Lower Chest</t>
  </si>
  <si>
    <t xml:space="preserve">cjbb </t>
  </si>
  <si>
    <t xml:space="preserve">cdjc.p </t>
  </si>
  <si>
    <t xml:space="preserve">cdjd.rsd </t>
  </si>
  <si>
    <t>Employee 3: Upper Chest</t>
  </si>
  <si>
    <t xml:space="preserve">cdje.p </t>
  </si>
  <si>
    <t>Commander attacking take 14</t>
  </si>
  <si>
    <t xml:space="preserve">cdjf.rsd </t>
  </si>
  <si>
    <t>Employee 3: Head</t>
  </si>
  <si>
    <t xml:space="preserve">ceaa.p </t>
  </si>
  <si>
    <t xml:space="preserve">ceab.tex </t>
  </si>
  <si>
    <t>Employee 3: Eye</t>
  </si>
  <si>
    <t xml:space="preserve">ceac.tex </t>
  </si>
  <si>
    <t xml:space="preserve">cead.tex </t>
  </si>
  <si>
    <t>Employee 3: Mouth</t>
  </si>
  <si>
    <t xml:space="preserve">ceae.rsd </t>
  </si>
  <si>
    <t>Employee 3: Upper Arm</t>
  </si>
  <si>
    <t xml:space="preserve">cjbc </t>
  </si>
  <si>
    <t xml:space="preserve">ceaf.p </t>
  </si>
  <si>
    <t xml:space="preserve">ceba.rsd </t>
  </si>
  <si>
    <t>Employee 3: Lower Arm</t>
  </si>
  <si>
    <t xml:space="preserve">cebb.p </t>
  </si>
  <si>
    <t xml:space="preserve">cebc.rsd </t>
  </si>
  <si>
    <t>Employee 3: Hand</t>
  </si>
  <si>
    <t xml:space="preserve">cebd.p </t>
  </si>
  <si>
    <t>ja.p</t>
  </si>
  <si>
    <t>Commander attacking take 15</t>
  </si>
  <si>
    <t xml:space="preserve">cebe.rsd </t>
  </si>
  <si>
    <t xml:space="preserve">cjbe </t>
  </si>
  <si>
    <t xml:space="preserve">cebf.p </t>
  </si>
  <si>
    <t xml:space="preserve">ceca.rsd </t>
  </si>
  <si>
    <t xml:space="preserve">cecb.p </t>
  </si>
  <si>
    <t xml:space="preserve">cecc.rsd </t>
  </si>
  <si>
    <t xml:space="preserve">cecd.p </t>
  </si>
  <si>
    <t>ja.rsd</t>
  </si>
  <si>
    <t xml:space="preserve">cece.rsd </t>
  </si>
  <si>
    <t>Employee 3: Upper Leg</t>
  </si>
  <si>
    <t xml:space="preserve">cjda </t>
  </si>
  <si>
    <t xml:space="preserve">cecf.p </t>
  </si>
  <si>
    <t xml:space="preserve">ceda.rsd </t>
  </si>
  <si>
    <t>Employee 3: Lower Leg</t>
  </si>
  <si>
    <t xml:space="preserve">ckaa </t>
  </si>
  <si>
    <t xml:space="preserve">cedb.p </t>
  </si>
  <si>
    <t>Vargid Police: Battle Skeleton</t>
  </si>
  <si>
    <t xml:space="preserve">cedc.rsd </t>
  </si>
  <si>
    <t>Employee 3: Foot</t>
  </si>
  <si>
    <t xml:space="preserve">cedd.p </t>
  </si>
  <si>
    <t>jb.p</t>
  </si>
  <si>
    <t>Wyvern model</t>
  </si>
  <si>
    <t xml:space="preserve">cede.rsd </t>
  </si>
  <si>
    <t xml:space="preserve">cedf.p </t>
  </si>
  <si>
    <t xml:space="preserve">ceea.rsd </t>
  </si>
  <si>
    <t xml:space="preserve">ceeb.p </t>
  </si>
  <si>
    <t xml:space="preserve">ckab </t>
  </si>
  <si>
    <t xml:space="preserve">ceec.rsd </t>
  </si>
  <si>
    <t>Vargid Police: Unidentified Part</t>
  </si>
  <si>
    <t xml:space="preserve">ceed.p </t>
  </si>
  <si>
    <t xml:space="preserve">ceee.a </t>
  </si>
  <si>
    <t xml:space="preserve">ckam </t>
  </si>
  <si>
    <t>jb.rsd</t>
  </si>
  <si>
    <t xml:space="preserve">ceef.a </t>
  </si>
  <si>
    <t xml:space="preserve">cefa.a </t>
  </si>
  <si>
    <t xml:space="preserve">cefb.a </t>
  </si>
  <si>
    <t xml:space="preserve">cefc.a </t>
  </si>
  <si>
    <t xml:space="preserve">cefd.hrc </t>
  </si>
  <si>
    <t>man_13_sk</t>
  </si>
  <si>
    <t xml:space="preserve">cefe.rsd </t>
  </si>
  <si>
    <t xml:space="preserve">ceff.p </t>
  </si>
  <si>
    <t xml:space="preserve">cega.rsd </t>
  </si>
  <si>
    <t xml:space="preserve">ckan </t>
  </si>
  <si>
    <t xml:space="preserve">cegb.p </t>
  </si>
  <si>
    <t>Wyvern attacking take 1</t>
  </si>
  <si>
    <t xml:space="preserve">cegc.rsd </t>
  </si>
  <si>
    <t xml:space="preserve">cegd.p </t>
  </si>
  <si>
    <t xml:space="preserve">cege.tex </t>
  </si>
  <si>
    <t xml:space="preserve">cegf.tex </t>
  </si>
  <si>
    <t xml:space="preserve">ckao </t>
  </si>
  <si>
    <t xml:space="preserve">ceha.rsd </t>
  </si>
  <si>
    <t xml:space="preserve">cehb.p </t>
  </si>
  <si>
    <t xml:space="preserve">cehc.rsd </t>
  </si>
  <si>
    <t xml:space="preserve">cehd.p </t>
  </si>
  <si>
    <t xml:space="preserve">cehe.rsd </t>
  </si>
  <si>
    <t xml:space="preserve">cehf.p </t>
  </si>
  <si>
    <t xml:space="preserve">ckaq </t>
  </si>
  <si>
    <t xml:space="preserve">ceia.rsd </t>
  </si>
  <si>
    <t>Wyvern attacking take 2</t>
  </si>
  <si>
    <t xml:space="preserve">ceib.p </t>
  </si>
  <si>
    <t xml:space="preserve">ceic.rsd </t>
  </si>
  <si>
    <t xml:space="preserve">ceid.p </t>
  </si>
  <si>
    <t xml:space="preserve">ceie.rsd </t>
  </si>
  <si>
    <t xml:space="preserve">ceif.p </t>
  </si>
  <si>
    <t xml:space="preserve">ckar </t>
  </si>
  <si>
    <t xml:space="preserve">ceja.rsd </t>
  </si>
  <si>
    <t xml:space="preserve">cejb.p </t>
  </si>
  <si>
    <t xml:space="preserve">cejc.rsd </t>
  </si>
  <si>
    <t xml:space="preserve">cejd.p </t>
  </si>
  <si>
    <t xml:space="preserve">ceje.rsd </t>
  </si>
  <si>
    <t>je.p</t>
  </si>
  <si>
    <t xml:space="preserve">cejf.p </t>
  </si>
  <si>
    <t xml:space="preserve">ckat </t>
  </si>
  <si>
    <t>Wyvern attacking take 3</t>
  </si>
  <si>
    <t xml:space="preserve">cfaa.rsd </t>
  </si>
  <si>
    <t xml:space="preserve">cfab.p </t>
  </si>
  <si>
    <t xml:space="preserve">cfac.rsd </t>
  </si>
  <si>
    <t xml:space="preserve">cfad.p </t>
  </si>
  <si>
    <t xml:space="preserve">ckau </t>
  </si>
  <si>
    <t xml:space="preserve">cfae.rsd </t>
  </si>
  <si>
    <t>je.rsd</t>
  </si>
  <si>
    <t xml:space="preserve">cfaf.p </t>
  </si>
  <si>
    <t xml:space="preserve">cfba.a </t>
  </si>
  <si>
    <t xml:space="preserve">cfbb.hrc </t>
  </si>
  <si>
    <t>beggar_sk</t>
  </si>
  <si>
    <t>Beggar</t>
  </si>
  <si>
    <t xml:space="preserve">cfbc.rsd </t>
  </si>
  <si>
    <t xml:space="preserve">ckaw </t>
  </si>
  <si>
    <t xml:space="preserve">cfbd.p </t>
  </si>
  <si>
    <t>jf.p</t>
  </si>
  <si>
    <t xml:space="preserve">cfbe.rsd </t>
  </si>
  <si>
    <t>Wyvern attacking take 4</t>
  </si>
  <si>
    <t xml:space="preserve">cfbf.p </t>
  </si>
  <si>
    <t xml:space="preserve">cfca.rsd </t>
  </si>
  <si>
    <t xml:space="preserve">cfcb.p </t>
  </si>
  <si>
    <t xml:space="preserve">ckax </t>
  </si>
  <si>
    <t xml:space="preserve">cfcc.tex </t>
  </si>
  <si>
    <t xml:space="preserve">cfcd.tex </t>
  </si>
  <si>
    <t>jf.rsd</t>
  </si>
  <si>
    <t xml:space="preserve">cfce.rsd </t>
  </si>
  <si>
    <t xml:space="preserve">ckay </t>
  </si>
  <si>
    <t xml:space="preserve">cfcf.p </t>
  </si>
  <si>
    <t xml:space="preserve">cfda.rsd </t>
  </si>
  <si>
    <t xml:space="preserve">cfdb.p </t>
  </si>
  <si>
    <t>Wyvern attacking take 5</t>
  </si>
  <si>
    <t xml:space="preserve">cfdc.rsd </t>
  </si>
  <si>
    <t xml:space="preserve">cfdd.p </t>
  </si>
  <si>
    <t xml:space="preserve">ckaz </t>
  </si>
  <si>
    <t xml:space="preserve">cfde.rsd </t>
  </si>
  <si>
    <t xml:space="preserve">cfdf.p </t>
  </si>
  <si>
    <t xml:space="preserve">cfea.rsd </t>
  </si>
  <si>
    <t xml:space="preserve">cfeb.p </t>
  </si>
  <si>
    <t xml:space="preserve">cfec.rsd </t>
  </si>
  <si>
    <t xml:space="preserve">cfed.p </t>
  </si>
  <si>
    <t xml:space="preserve">cfee.rsd </t>
  </si>
  <si>
    <t xml:space="preserve">ckbb </t>
  </si>
  <si>
    <t xml:space="preserve">cfef.p </t>
  </si>
  <si>
    <t xml:space="preserve">cffa.rsd </t>
  </si>
  <si>
    <t>Wyvern attacking take 6</t>
  </si>
  <si>
    <t xml:space="preserve">cffb.p </t>
  </si>
  <si>
    <t xml:space="preserve">cffc.rsd </t>
  </si>
  <si>
    <t xml:space="preserve">cffd.p </t>
  </si>
  <si>
    <t xml:space="preserve">cffe.rsd </t>
  </si>
  <si>
    <t xml:space="preserve">ckbc </t>
  </si>
  <si>
    <t xml:space="preserve">cfff.p </t>
  </si>
  <si>
    <t xml:space="preserve">cfga.rsd </t>
  </si>
  <si>
    <t xml:space="preserve">cfgb.p </t>
  </si>
  <si>
    <t xml:space="preserve">cfgc.rsd </t>
  </si>
  <si>
    <t xml:space="preserve">cfgd.p </t>
  </si>
  <si>
    <t xml:space="preserve">ckbd </t>
  </si>
  <si>
    <t xml:space="preserve">cfge.a </t>
  </si>
  <si>
    <t>Wyvern attacking take 7</t>
  </si>
  <si>
    <t xml:space="preserve">cfgf.a </t>
  </si>
  <si>
    <t xml:space="preserve">cfha.hrc </t>
  </si>
  <si>
    <t>usan_sk</t>
  </si>
  <si>
    <t xml:space="preserve">cfhb.rsd </t>
  </si>
  <si>
    <t xml:space="preserve">cfhc.p </t>
  </si>
  <si>
    <t xml:space="preserve">ckbe </t>
  </si>
  <si>
    <t xml:space="preserve">cfhd.rsd </t>
  </si>
  <si>
    <t xml:space="preserve">cfhe.p </t>
  </si>
  <si>
    <t xml:space="preserve">cfhf.rsd </t>
  </si>
  <si>
    <t xml:space="preserve">cfia.p </t>
  </si>
  <si>
    <t xml:space="preserve">cfib.tex </t>
  </si>
  <si>
    <t xml:space="preserve">cfic.rsd </t>
  </si>
  <si>
    <t xml:space="preserve">cfid.p </t>
  </si>
  <si>
    <t xml:space="preserve">cfie.rsd </t>
  </si>
  <si>
    <t xml:space="preserve">ckbg </t>
  </si>
  <si>
    <t>Wyvern attacking take 8</t>
  </si>
  <si>
    <t xml:space="preserve">cfif.p </t>
  </si>
  <si>
    <t xml:space="preserve">cfja.rsd </t>
  </si>
  <si>
    <t xml:space="preserve">cfjb.p </t>
  </si>
  <si>
    <t xml:space="preserve">cfjc.rsd </t>
  </si>
  <si>
    <t xml:space="preserve">cfjd.p </t>
  </si>
  <si>
    <t xml:space="preserve">cfje.rsd </t>
  </si>
  <si>
    <t xml:space="preserve">cfjf.p </t>
  </si>
  <si>
    <t xml:space="preserve">cgaa.rsd </t>
  </si>
  <si>
    <t xml:space="preserve">cgab.p </t>
  </si>
  <si>
    <t xml:space="preserve">cgac.rsd </t>
  </si>
  <si>
    <t xml:space="preserve">cgad.p </t>
  </si>
  <si>
    <t xml:space="preserve">cgae.rsd </t>
  </si>
  <si>
    <t xml:space="preserve">ckbh </t>
  </si>
  <si>
    <t xml:space="preserve">cgaf.p </t>
  </si>
  <si>
    <t xml:space="preserve">cgba.rsd </t>
  </si>
  <si>
    <t>jk.p</t>
  </si>
  <si>
    <t>Wyvern attacking take 9</t>
  </si>
  <si>
    <t xml:space="preserve">cgbb.p </t>
  </si>
  <si>
    <t xml:space="preserve">cgbc.rsd </t>
  </si>
  <si>
    <t xml:space="preserve">cgbd.p </t>
  </si>
  <si>
    <t xml:space="preserve">cgbe.rsd </t>
  </si>
  <si>
    <t xml:space="preserve">cgbf.p </t>
  </si>
  <si>
    <t xml:space="preserve">cgca.rsd </t>
  </si>
  <si>
    <t xml:space="preserve">cgcb.p </t>
  </si>
  <si>
    <t>jk.rsd</t>
  </si>
  <si>
    <t xml:space="preserve">cgcc.a </t>
  </si>
  <si>
    <t xml:space="preserve">ckbi </t>
  </si>
  <si>
    <t xml:space="preserve">cgcd.a </t>
  </si>
  <si>
    <t xml:space="preserve">cgce.a </t>
  </si>
  <si>
    <t xml:space="preserve">cgcf.a </t>
  </si>
  <si>
    <t xml:space="preserve">cgda.hrc </t>
  </si>
  <si>
    <t>child_sk</t>
  </si>
  <si>
    <t xml:space="preserve">cgdb.rsd </t>
  </si>
  <si>
    <t xml:space="preserve">cgdc.p </t>
  </si>
  <si>
    <t>jl.p</t>
  </si>
  <si>
    <t>Wyvern attacking take 10</t>
  </si>
  <si>
    <t xml:space="preserve">cgdd.rsd </t>
  </si>
  <si>
    <t xml:space="preserve">cgde.p </t>
  </si>
  <si>
    <t xml:space="preserve">cgdf.rsd </t>
  </si>
  <si>
    <t xml:space="preserve">cgea.p </t>
  </si>
  <si>
    <t xml:space="preserve">ckbj </t>
  </si>
  <si>
    <t xml:space="preserve">cgeb.tex </t>
  </si>
  <si>
    <t>jl.rsd</t>
  </si>
  <si>
    <t xml:space="preserve">cgec.tex </t>
  </si>
  <si>
    <t xml:space="preserve">cged.tex </t>
  </si>
  <si>
    <t xml:space="preserve">cgee.rsd </t>
  </si>
  <si>
    <t xml:space="preserve">cgef.p </t>
  </si>
  <si>
    <t xml:space="preserve">cgfa.rsd </t>
  </si>
  <si>
    <t xml:space="preserve">cgfb.p </t>
  </si>
  <si>
    <t xml:space="preserve">cgfc.rsd </t>
  </si>
  <si>
    <t xml:space="preserve">cgfd.p </t>
  </si>
  <si>
    <t>Wyvern attacking take 11</t>
  </si>
  <si>
    <t xml:space="preserve">ckbl </t>
  </si>
  <si>
    <t xml:space="preserve">cgfe.rsd </t>
  </si>
  <si>
    <t xml:space="preserve">cgff.p </t>
  </si>
  <si>
    <t xml:space="preserve">cgga.rsd </t>
  </si>
  <si>
    <t xml:space="preserve">cggb.p </t>
  </si>
  <si>
    <t xml:space="preserve">cggc.rsd </t>
  </si>
  <si>
    <t xml:space="preserve">cggd.p </t>
  </si>
  <si>
    <t xml:space="preserve">cgge.rsd </t>
  </si>
  <si>
    <t xml:space="preserve">ckbm </t>
  </si>
  <si>
    <t xml:space="preserve">cggf.p </t>
  </si>
  <si>
    <t xml:space="preserve">cgha.rsd </t>
  </si>
  <si>
    <t xml:space="preserve">cghb.p </t>
  </si>
  <si>
    <t xml:space="preserve">cghc.rsd </t>
  </si>
  <si>
    <t xml:space="preserve">cghd.p </t>
  </si>
  <si>
    <t xml:space="preserve">cghe.rsd </t>
  </si>
  <si>
    <t xml:space="preserve">cghf.p </t>
  </si>
  <si>
    <t>jn.p</t>
  </si>
  <si>
    <t>Wyvern attacking take 12</t>
  </si>
  <si>
    <t xml:space="preserve">cgia.rsd </t>
  </si>
  <si>
    <t xml:space="preserve">cgib.p </t>
  </si>
  <si>
    <t xml:space="preserve">ckbn </t>
  </si>
  <si>
    <t xml:space="preserve">cgic.rsd </t>
  </si>
  <si>
    <t xml:space="preserve">cgid.p </t>
  </si>
  <si>
    <t xml:space="preserve">cgie.a </t>
  </si>
  <si>
    <t xml:space="preserve">cgif.hrc </t>
  </si>
  <si>
    <t>boy2_sk</t>
  </si>
  <si>
    <t xml:space="preserve">cgja.rsd </t>
  </si>
  <si>
    <t>jn.rsd</t>
  </si>
  <si>
    <t xml:space="preserve">cgjb.p </t>
  </si>
  <si>
    <t xml:space="preserve">cgjc.rsd </t>
  </si>
  <si>
    <t xml:space="preserve">ckbo </t>
  </si>
  <si>
    <t xml:space="preserve">cgjd.p </t>
  </si>
  <si>
    <t xml:space="preserve">cgje.rsd </t>
  </si>
  <si>
    <t xml:space="preserve">cgjf.p </t>
  </si>
  <si>
    <t xml:space="preserve">chaa.tex </t>
  </si>
  <si>
    <t xml:space="preserve">chab.tex </t>
  </si>
  <si>
    <t xml:space="preserve">chac.tex </t>
  </si>
  <si>
    <t>jo.p</t>
  </si>
  <si>
    <t xml:space="preserve">chad.rsd </t>
  </si>
  <si>
    <t>Wyvern attacking take 13</t>
  </si>
  <si>
    <t xml:space="preserve">ckbp </t>
  </si>
  <si>
    <t xml:space="preserve">chae.p </t>
  </si>
  <si>
    <t xml:space="preserve">chaf.rsd </t>
  </si>
  <si>
    <t xml:space="preserve">chba.p </t>
  </si>
  <si>
    <t xml:space="preserve">chbb.rsd </t>
  </si>
  <si>
    <t xml:space="preserve">chbc.p </t>
  </si>
  <si>
    <t>jo.rsd</t>
  </si>
  <si>
    <t xml:space="preserve">chbd.rsd </t>
  </si>
  <si>
    <t xml:space="preserve">ckbq </t>
  </si>
  <si>
    <t xml:space="preserve">chbe.p </t>
  </si>
  <si>
    <t xml:space="preserve">chbf.rsd </t>
  </si>
  <si>
    <t xml:space="preserve">chca.p </t>
  </si>
  <si>
    <t xml:space="preserve">chcb.rsd </t>
  </si>
  <si>
    <t xml:space="preserve">chcc.p </t>
  </si>
  <si>
    <t xml:space="preserve">chcd.rsd </t>
  </si>
  <si>
    <t xml:space="preserve">chce.p </t>
  </si>
  <si>
    <t>Wyvern attacking take 14</t>
  </si>
  <si>
    <t xml:space="preserve">ckbr </t>
  </si>
  <si>
    <t xml:space="preserve">chcf.rsd </t>
  </si>
  <si>
    <t xml:space="preserve">chda.p </t>
  </si>
  <si>
    <t xml:space="preserve">chdb.rsd </t>
  </si>
  <si>
    <t xml:space="preserve">chdc.p </t>
  </si>
  <si>
    <t xml:space="preserve">chdd.rsd </t>
  </si>
  <si>
    <t xml:space="preserve">chde.p </t>
  </si>
  <si>
    <t xml:space="preserve">ckda </t>
  </si>
  <si>
    <t xml:space="preserve">chdf.rsd </t>
  </si>
  <si>
    <t xml:space="preserve">chea.p </t>
  </si>
  <si>
    <t xml:space="preserve">cheb.rsd </t>
  </si>
  <si>
    <t xml:space="preserve">claa </t>
  </si>
  <si>
    <t>Zenene: Battle Skeleton</t>
  </si>
  <si>
    <t xml:space="preserve">chec.p </t>
  </si>
  <si>
    <t xml:space="preserve">ched.hrc </t>
  </si>
  <si>
    <t>girl3_st</t>
  </si>
  <si>
    <t xml:space="preserve">chee.rsd </t>
  </si>
  <si>
    <t xml:space="preserve">chef.p </t>
  </si>
  <si>
    <t xml:space="preserve">chfa.rsd </t>
  </si>
  <si>
    <t xml:space="preserve">chfb.p </t>
  </si>
  <si>
    <t xml:space="preserve">chfc.rsd </t>
  </si>
  <si>
    <t xml:space="preserve">clab </t>
  </si>
  <si>
    <t xml:space="preserve">chfd.p </t>
  </si>
  <si>
    <t>Zenene: Unidentified Part</t>
  </si>
  <si>
    <t xml:space="preserve">chfe.tex </t>
  </si>
  <si>
    <t xml:space="preserve">clac </t>
  </si>
  <si>
    <t xml:space="preserve">chff.tex </t>
  </si>
  <si>
    <t xml:space="preserve">chga.tex </t>
  </si>
  <si>
    <t>jq.p</t>
  </si>
  <si>
    <t xml:space="preserve">chgb.rsd </t>
  </si>
  <si>
    <t>Wyvern attacking take 15</t>
  </si>
  <si>
    <t xml:space="preserve">chgc.p </t>
  </si>
  <si>
    <t xml:space="preserve">chgd.rsd </t>
  </si>
  <si>
    <t xml:space="preserve">chge.p </t>
  </si>
  <si>
    <t xml:space="preserve">chgf.rsd </t>
  </si>
  <si>
    <t xml:space="preserve">chha.p </t>
  </si>
  <si>
    <t xml:space="preserve">clam </t>
  </si>
  <si>
    <t>jq.rsd</t>
  </si>
  <si>
    <t xml:space="preserve">chhb.rsd </t>
  </si>
  <si>
    <t xml:space="preserve">chhc.p </t>
  </si>
  <si>
    <t xml:space="preserve">chhd.rsd </t>
  </si>
  <si>
    <t xml:space="preserve">chhe.p </t>
  </si>
  <si>
    <t xml:space="preserve">chhf.rsd </t>
  </si>
  <si>
    <t xml:space="preserve">chia.p </t>
  </si>
  <si>
    <t xml:space="preserve">chib.rsd </t>
  </si>
  <si>
    <t xml:space="preserve">clao </t>
  </si>
  <si>
    <t xml:space="preserve">chic.p </t>
  </si>
  <si>
    <t>jr.p</t>
  </si>
  <si>
    <t xml:space="preserve">chid.rsd </t>
  </si>
  <si>
    <t>Wyvern attacking take 16</t>
  </si>
  <si>
    <t xml:space="preserve">chie.p </t>
  </si>
  <si>
    <t xml:space="preserve">chif.rsd </t>
  </si>
  <si>
    <t xml:space="preserve">chja.p </t>
  </si>
  <si>
    <t xml:space="preserve">chjb.rsd </t>
  </si>
  <si>
    <t xml:space="preserve">chjc.p </t>
  </si>
  <si>
    <t xml:space="preserve">chjd.rsd </t>
  </si>
  <si>
    <t xml:space="preserve">chje.p </t>
  </si>
  <si>
    <t xml:space="preserve">chjf.rsd </t>
  </si>
  <si>
    <t xml:space="preserve">clap </t>
  </si>
  <si>
    <t xml:space="preserve">ciaa.p </t>
  </si>
  <si>
    <t xml:space="preserve">ciab.a </t>
  </si>
  <si>
    <t>jr.rsd</t>
  </si>
  <si>
    <t xml:space="preserve">ciac.hrc </t>
  </si>
  <si>
    <t>man_14_sk</t>
  </si>
  <si>
    <t xml:space="preserve">ciad.rsd </t>
  </si>
  <si>
    <t xml:space="preserve">ciae.p </t>
  </si>
  <si>
    <t xml:space="preserve">ciaf.rsd </t>
  </si>
  <si>
    <t xml:space="preserve">ciba.p </t>
  </si>
  <si>
    <t xml:space="preserve">claq </t>
  </si>
  <si>
    <t xml:space="preserve">cibb.rsd </t>
  </si>
  <si>
    <t xml:space="preserve">cibc.p </t>
  </si>
  <si>
    <t xml:space="preserve">cibd.tex </t>
  </si>
  <si>
    <t xml:space="preserve">cibe.rsd </t>
  </si>
  <si>
    <t xml:space="preserve">cibf.p </t>
  </si>
  <si>
    <t xml:space="preserve">cica.rsd </t>
  </si>
  <si>
    <t xml:space="preserve">cicb.p </t>
  </si>
  <si>
    <t xml:space="preserve">cicc.rsd </t>
  </si>
  <si>
    <t>Wyvern attacking take 17</t>
  </si>
  <si>
    <t xml:space="preserve">cicd.p </t>
  </si>
  <si>
    <t xml:space="preserve">cice.rsd </t>
  </si>
  <si>
    <t xml:space="preserve">cicf.p </t>
  </si>
  <si>
    <t xml:space="preserve">cida.rsd </t>
  </si>
  <si>
    <t xml:space="preserve">cidb.p </t>
  </si>
  <si>
    <t xml:space="preserve">clar </t>
  </si>
  <si>
    <t xml:space="preserve">cidc.rsd </t>
  </si>
  <si>
    <t xml:space="preserve">cidd.p </t>
  </si>
  <si>
    <t xml:space="preserve">cide.rsd </t>
  </si>
  <si>
    <t xml:space="preserve">cidf.p </t>
  </si>
  <si>
    <t xml:space="preserve">ciea.rsd </t>
  </si>
  <si>
    <t xml:space="preserve">cieb.p </t>
  </si>
  <si>
    <t xml:space="preserve">ciec.rsd </t>
  </si>
  <si>
    <t xml:space="preserve">cied.p </t>
  </si>
  <si>
    <t xml:space="preserve">ciee.rsd </t>
  </si>
  <si>
    <t xml:space="preserve">cief.p </t>
  </si>
  <si>
    <t xml:space="preserve">cifa.rsd </t>
  </si>
  <si>
    <t xml:space="preserve">cifb.p </t>
  </si>
  <si>
    <t>jt.p</t>
  </si>
  <si>
    <t xml:space="preserve">cifc.rsd </t>
  </si>
  <si>
    <t>Wyvern attacking take 18</t>
  </si>
  <si>
    <t xml:space="preserve">clat </t>
  </si>
  <si>
    <t xml:space="preserve">cifd.p </t>
  </si>
  <si>
    <t xml:space="preserve">cife.a </t>
  </si>
  <si>
    <t xml:space="preserve">ciff.a </t>
  </si>
  <si>
    <t xml:space="preserve">ciga.a </t>
  </si>
  <si>
    <t xml:space="preserve">cigb.a </t>
  </si>
  <si>
    <t xml:space="preserve">cigc.a </t>
  </si>
  <si>
    <t>jt.rsd</t>
  </si>
  <si>
    <t xml:space="preserve">cigd.a </t>
  </si>
  <si>
    <t xml:space="preserve">cige.hrc </t>
  </si>
  <si>
    <t>nman_sk</t>
  </si>
  <si>
    <t xml:space="preserve">cigf.rsd </t>
  </si>
  <si>
    <t xml:space="preserve">ciha.p </t>
  </si>
  <si>
    <t xml:space="preserve">cihb.rsd </t>
  </si>
  <si>
    <t xml:space="preserve">clau </t>
  </si>
  <si>
    <t>ju.p</t>
  </si>
  <si>
    <t xml:space="preserve">cihc.p </t>
  </si>
  <si>
    <t>Beast model</t>
  </si>
  <si>
    <t xml:space="preserve">cihd.rsd </t>
  </si>
  <si>
    <t xml:space="preserve">cihe.p </t>
  </si>
  <si>
    <t xml:space="preserve">cihf.tex </t>
  </si>
  <si>
    <t>ju.rsd</t>
  </si>
  <si>
    <t xml:space="preserve">ciia.tex </t>
  </si>
  <si>
    <t xml:space="preserve">ciib.tex </t>
  </si>
  <si>
    <t xml:space="preserve">clav </t>
  </si>
  <si>
    <t xml:space="preserve">ciic.rsd </t>
  </si>
  <si>
    <t xml:space="preserve">ciid.p </t>
  </si>
  <si>
    <t>Beast attacking take 1</t>
  </si>
  <si>
    <t xml:space="preserve">ciie.rsd </t>
  </si>
  <si>
    <t xml:space="preserve">ciif.p </t>
  </si>
  <si>
    <t xml:space="preserve">cija.rsd </t>
  </si>
  <si>
    <t xml:space="preserve">cijb.p </t>
  </si>
  <si>
    <t xml:space="preserve">cijc.rsd </t>
  </si>
  <si>
    <t xml:space="preserve">cijd.p </t>
  </si>
  <si>
    <t xml:space="preserve">claw </t>
  </si>
  <si>
    <t xml:space="preserve">cije.rsd </t>
  </si>
  <si>
    <t xml:space="preserve">cijf.p </t>
  </si>
  <si>
    <t xml:space="preserve">cjaa.rsd </t>
  </si>
  <si>
    <t xml:space="preserve">cjab.p </t>
  </si>
  <si>
    <t>Beast attacking take 2</t>
  </si>
  <si>
    <t xml:space="preserve">cjac.rsd </t>
  </si>
  <si>
    <t xml:space="preserve">cjad.p </t>
  </si>
  <si>
    <t xml:space="preserve">cjae.rsd </t>
  </si>
  <si>
    <t xml:space="preserve">clax </t>
  </si>
  <si>
    <t xml:space="preserve">cjaf.p </t>
  </si>
  <si>
    <t xml:space="preserve">cjba.rsd </t>
  </si>
  <si>
    <t xml:space="preserve">cjbb.p </t>
  </si>
  <si>
    <t xml:space="preserve">cjbc.rsd </t>
  </si>
  <si>
    <t xml:space="preserve">cjbd.p </t>
  </si>
  <si>
    <t xml:space="preserve">cjbe.rsd </t>
  </si>
  <si>
    <t xml:space="preserve">cjbf.p </t>
  </si>
  <si>
    <t xml:space="preserve">clay </t>
  </si>
  <si>
    <t>Beast attacking take 3</t>
  </si>
  <si>
    <t xml:space="preserve">cjca.rsd </t>
  </si>
  <si>
    <t xml:space="preserve">cjcb.p </t>
  </si>
  <si>
    <t xml:space="preserve">cjcc.hrc </t>
  </si>
  <si>
    <t>man9_st</t>
  </si>
  <si>
    <t xml:space="preserve">cjcd.rsd </t>
  </si>
  <si>
    <t xml:space="preserve">cjce.p </t>
  </si>
  <si>
    <t xml:space="preserve">cjcf.rsd </t>
  </si>
  <si>
    <t xml:space="preserve">claz </t>
  </si>
  <si>
    <t xml:space="preserve">cjda.p </t>
  </si>
  <si>
    <t xml:space="preserve">cjdb.rsd </t>
  </si>
  <si>
    <t xml:space="preserve">cjdc.p </t>
  </si>
  <si>
    <t xml:space="preserve">cjdd.tex </t>
  </si>
  <si>
    <t xml:space="preserve">cjde.tex </t>
  </si>
  <si>
    <t xml:space="preserve">cjdf.tex </t>
  </si>
  <si>
    <t>Beast attacking take 4</t>
  </si>
  <si>
    <t xml:space="preserve">clbb </t>
  </si>
  <si>
    <t xml:space="preserve">cjea.rsd </t>
  </si>
  <si>
    <t xml:space="preserve">cjeb.p </t>
  </si>
  <si>
    <t xml:space="preserve">cjec.rsd </t>
  </si>
  <si>
    <t xml:space="preserve">cjed.p </t>
  </si>
  <si>
    <t xml:space="preserve">cjee.rsd </t>
  </si>
  <si>
    <t xml:space="preserve">cjef.p </t>
  </si>
  <si>
    <t xml:space="preserve">cjfa.rsd </t>
  </si>
  <si>
    <t xml:space="preserve">cjfb.p </t>
  </si>
  <si>
    <t xml:space="preserve">cjfc.rsd </t>
  </si>
  <si>
    <t xml:space="preserve">clbd </t>
  </si>
  <si>
    <t xml:space="preserve">cjfd.p </t>
  </si>
  <si>
    <t>Beast attacking take 5</t>
  </si>
  <si>
    <t xml:space="preserve">cjfe.rsd </t>
  </si>
  <si>
    <t xml:space="preserve">cjff.p </t>
  </si>
  <si>
    <t xml:space="preserve">cjga.rsd </t>
  </si>
  <si>
    <t xml:space="preserve">cjgb.p </t>
  </si>
  <si>
    <t xml:space="preserve">cjgc.rsd </t>
  </si>
  <si>
    <t xml:space="preserve">clbe </t>
  </si>
  <si>
    <t xml:space="preserve">cjgd.p </t>
  </si>
  <si>
    <t xml:space="preserve">cjge.rsd </t>
  </si>
  <si>
    <t xml:space="preserve">cjgf.p </t>
  </si>
  <si>
    <t xml:space="preserve">cjha.rsd </t>
  </si>
  <si>
    <t>Beast attacking take 6</t>
  </si>
  <si>
    <t xml:space="preserve">cjhb.p </t>
  </si>
  <si>
    <t xml:space="preserve">cjhc.rsd </t>
  </si>
  <si>
    <t xml:space="preserve">clbf </t>
  </si>
  <si>
    <t xml:space="preserve">cjhd.p </t>
  </si>
  <si>
    <t xml:space="preserve">cjhe.rsd </t>
  </si>
  <si>
    <t xml:space="preserve">cjhf.p </t>
  </si>
  <si>
    <t xml:space="preserve">cjia.a </t>
  </si>
  <si>
    <t xml:space="preserve">cjib.a </t>
  </si>
  <si>
    <t xml:space="preserve">cjic.a </t>
  </si>
  <si>
    <t xml:space="preserve">cjid.a </t>
  </si>
  <si>
    <t xml:space="preserve">clbh </t>
  </si>
  <si>
    <t xml:space="preserve">cjie.a </t>
  </si>
  <si>
    <t>Beast attacking take 7</t>
  </si>
  <si>
    <t xml:space="preserve">cjif.hrc </t>
  </si>
  <si>
    <t>m4_sk</t>
  </si>
  <si>
    <t xml:space="preserve">cjja.rsd </t>
  </si>
  <si>
    <t xml:space="preserve">cjjb.p </t>
  </si>
  <si>
    <t xml:space="preserve">cjjc.rsd </t>
  </si>
  <si>
    <t xml:space="preserve">cjjd.p </t>
  </si>
  <si>
    <t xml:space="preserve">cjje.rsd </t>
  </si>
  <si>
    <t xml:space="preserve">clbj </t>
  </si>
  <si>
    <t xml:space="preserve">cjjf.p </t>
  </si>
  <si>
    <t>Beast attacking take 8</t>
  </si>
  <si>
    <t xml:space="preserve">ckaa.tex </t>
  </si>
  <si>
    <t xml:space="preserve">ckab.tex </t>
  </si>
  <si>
    <t xml:space="preserve">ckac.tex </t>
  </si>
  <si>
    <t xml:space="preserve">ckad.rsd </t>
  </si>
  <si>
    <t xml:space="preserve">ckae.p </t>
  </si>
  <si>
    <t xml:space="preserve">clbk </t>
  </si>
  <si>
    <t xml:space="preserve">ckaf.rsd </t>
  </si>
  <si>
    <t xml:space="preserve">ckba.p </t>
  </si>
  <si>
    <t xml:space="preserve">ckbb.rsd </t>
  </si>
  <si>
    <t xml:space="preserve">ckbc.p </t>
  </si>
  <si>
    <t xml:space="preserve">ckbd.rsd </t>
  </si>
  <si>
    <t>kd.p</t>
  </si>
  <si>
    <t>Beast attacking take 9</t>
  </si>
  <si>
    <t xml:space="preserve">ckbe.p </t>
  </si>
  <si>
    <t xml:space="preserve">ckbf.rsd </t>
  </si>
  <si>
    <t xml:space="preserve">clbl </t>
  </si>
  <si>
    <t xml:space="preserve">ckca.p </t>
  </si>
  <si>
    <t xml:space="preserve">ckcb.rsd </t>
  </si>
  <si>
    <t>kd.rsd</t>
  </si>
  <si>
    <t xml:space="preserve">ckcc.p </t>
  </si>
  <si>
    <t xml:space="preserve">ckcd.rsd </t>
  </si>
  <si>
    <t xml:space="preserve">clbn </t>
  </si>
  <si>
    <t xml:space="preserve">ckce.p </t>
  </si>
  <si>
    <t>ke.p</t>
  </si>
  <si>
    <t xml:space="preserve">ckcf.rsd </t>
  </si>
  <si>
    <t>Beast attacking take 10</t>
  </si>
  <si>
    <t xml:space="preserve">ckda.p </t>
  </si>
  <si>
    <t xml:space="preserve">ckdb.rsd </t>
  </si>
  <si>
    <t xml:space="preserve">ckdc.p </t>
  </si>
  <si>
    <t>ke.rsd</t>
  </si>
  <si>
    <t xml:space="preserve">ckdd.rsd </t>
  </si>
  <si>
    <t xml:space="preserve">ckde.p </t>
  </si>
  <si>
    <t xml:space="preserve">clbo </t>
  </si>
  <si>
    <t xml:space="preserve">ckdf.rsd </t>
  </si>
  <si>
    <t xml:space="preserve">ckea.p </t>
  </si>
  <si>
    <t xml:space="preserve">ckeb.rsd </t>
  </si>
  <si>
    <t>Beast attacking take 11</t>
  </si>
  <si>
    <t xml:space="preserve">ckec.p </t>
  </si>
  <si>
    <t xml:space="preserve">cked.a </t>
  </si>
  <si>
    <t xml:space="preserve">clbp </t>
  </si>
  <si>
    <t xml:space="preserve">ckee.a </t>
  </si>
  <si>
    <t xml:space="preserve">ckef.a </t>
  </si>
  <si>
    <t xml:space="preserve">ckfa.a </t>
  </si>
  <si>
    <t xml:space="preserve">ckfb.a </t>
  </si>
  <si>
    <t>Beast attacking take 12</t>
  </si>
  <si>
    <t xml:space="preserve">ckfc.hrc </t>
  </si>
  <si>
    <t xml:space="preserve">clbq </t>
  </si>
  <si>
    <t>sman1_sk</t>
  </si>
  <si>
    <t xml:space="preserve">ckfd.rsd </t>
  </si>
  <si>
    <t xml:space="preserve">ckfe.p </t>
  </si>
  <si>
    <t xml:space="preserve">ckff.rsd </t>
  </si>
  <si>
    <t xml:space="preserve">ckga.p </t>
  </si>
  <si>
    <t xml:space="preserve">clbr </t>
  </si>
  <si>
    <t xml:space="preserve">ckgb.rsd </t>
  </si>
  <si>
    <t xml:space="preserve">ckgc.p </t>
  </si>
  <si>
    <t>Beast attacking take 13</t>
  </si>
  <si>
    <t xml:space="preserve">ckgd.tex </t>
  </si>
  <si>
    <t xml:space="preserve">ckge.tex </t>
  </si>
  <si>
    <t xml:space="preserve">ckgf.tex </t>
  </si>
  <si>
    <t xml:space="preserve">ckha.rsd </t>
  </si>
  <si>
    <t xml:space="preserve">clbs </t>
  </si>
  <si>
    <t xml:space="preserve">ckhb.p </t>
  </si>
  <si>
    <t xml:space="preserve">ckhc.rsd </t>
  </si>
  <si>
    <t xml:space="preserve">ckhd.p </t>
  </si>
  <si>
    <t xml:space="preserve">ckhe.rsd </t>
  </si>
  <si>
    <t>Beast attacking take 14</t>
  </si>
  <si>
    <t xml:space="preserve">ckhf.p </t>
  </si>
  <si>
    <t xml:space="preserve">ckia.rsd </t>
  </si>
  <si>
    <t xml:space="preserve">clda </t>
  </si>
  <si>
    <t xml:space="preserve">ckib.p </t>
  </si>
  <si>
    <t xml:space="preserve">ckic.rsd </t>
  </si>
  <si>
    <t xml:space="preserve">cmaa </t>
  </si>
  <si>
    <t>Sample H0512:Battle Skeleton</t>
  </si>
  <si>
    <t xml:space="preserve">ckid.p </t>
  </si>
  <si>
    <t xml:space="preserve">ckie.rsd </t>
  </si>
  <si>
    <t>Barbarian model</t>
  </si>
  <si>
    <t xml:space="preserve">ckif.p </t>
  </si>
  <si>
    <t xml:space="preserve">ckja.rsd </t>
  </si>
  <si>
    <t xml:space="preserve">cmab </t>
  </si>
  <si>
    <t>Sample H0512: Unidentified Part</t>
  </si>
  <si>
    <t xml:space="preserve">ckjb.p </t>
  </si>
  <si>
    <t xml:space="preserve">ckjc.rsd </t>
  </si>
  <si>
    <t xml:space="preserve">cmam </t>
  </si>
  <si>
    <t>48 K</t>
  </si>
  <si>
    <t xml:space="preserve">ckjd.p </t>
  </si>
  <si>
    <t xml:space="preserve">ckje.rsd </t>
  </si>
  <si>
    <t xml:space="preserve">ckjf.p </t>
  </si>
  <si>
    <t xml:space="preserve">claa.rsd </t>
  </si>
  <si>
    <t xml:space="preserve">clab.p </t>
  </si>
  <si>
    <t xml:space="preserve">clac.rsd </t>
  </si>
  <si>
    <t xml:space="preserve">clad.p </t>
  </si>
  <si>
    <t>Barbarian attacking take 1</t>
  </si>
  <si>
    <t xml:space="preserve">cmao </t>
  </si>
  <si>
    <t xml:space="preserve">clae.rsd </t>
  </si>
  <si>
    <t xml:space="preserve">claf.p </t>
  </si>
  <si>
    <t xml:space="preserve">clba.a </t>
  </si>
  <si>
    <t xml:space="preserve">clbb.hrc </t>
  </si>
  <si>
    <t>sman2_sk</t>
  </si>
  <si>
    <t xml:space="preserve">clbc.rsd </t>
  </si>
  <si>
    <t xml:space="preserve">cmap </t>
  </si>
  <si>
    <t xml:space="preserve">clbd.p </t>
  </si>
  <si>
    <t xml:space="preserve">clbe.rsd </t>
  </si>
  <si>
    <t xml:space="preserve">clbf.p </t>
  </si>
  <si>
    <t xml:space="preserve">clca.rsd </t>
  </si>
  <si>
    <t xml:space="preserve">clcb.p </t>
  </si>
  <si>
    <t xml:space="preserve">clcc.tex </t>
  </si>
  <si>
    <t xml:space="preserve">clcd.rsd </t>
  </si>
  <si>
    <t xml:space="preserve">clce.p </t>
  </si>
  <si>
    <t xml:space="preserve">clcf.rsd </t>
  </si>
  <si>
    <t>Barbarian attacking take 2</t>
  </si>
  <si>
    <t xml:space="preserve">cmaq </t>
  </si>
  <si>
    <t xml:space="preserve">clda.p </t>
  </si>
  <si>
    <t xml:space="preserve">cldb.rsd </t>
  </si>
  <si>
    <t xml:space="preserve">cldc.p </t>
  </si>
  <si>
    <t xml:space="preserve">cldd.rsd </t>
  </si>
  <si>
    <t xml:space="preserve">clde.p </t>
  </si>
  <si>
    <t xml:space="preserve">cldf.rsd </t>
  </si>
  <si>
    <t xml:space="preserve">clea.p </t>
  </si>
  <si>
    <t xml:space="preserve">cleb.rsd </t>
  </si>
  <si>
    <t xml:space="preserve">clec.p </t>
  </si>
  <si>
    <t xml:space="preserve">cled.rsd </t>
  </si>
  <si>
    <t xml:space="preserve">clee.p </t>
  </si>
  <si>
    <t xml:space="preserve">cmar </t>
  </si>
  <si>
    <t xml:space="preserve">clef.rsd </t>
  </si>
  <si>
    <t xml:space="preserve">clfa.p </t>
  </si>
  <si>
    <t xml:space="preserve">clfb.rsd </t>
  </si>
  <si>
    <t>Barbarian attacking take 3</t>
  </si>
  <si>
    <t xml:space="preserve">clfc.p </t>
  </si>
  <si>
    <t xml:space="preserve">clfd.rsd </t>
  </si>
  <si>
    <t xml:space="preserve">clfe.p </t>
  </si>
  <si>
    <t xml:space="preserve">clff.rsd </t>
  </si>
  <si>
    <t xml:space="preserve">clga.p </t>
  </si>
  <si>
    <t xml:space="preserve">clgb.rsd </t>
  </si>
  <si>
    <t xml:space="preserve">clgc.p </t>
  </si>
  <si>
    <t xml:space="preserve">clgd.hrc </t>
  </si>
  <si>
    <t xml:space="preserve">cmat </t>
  </si>
  <si>
    <t>cloudup_sk</t>
  </si>
  <si>
    <t xml:space="preserve">clge.rsd </t>
  </si>
  <si>
    <t xml:space="preserve">clgf.p </t>
  </si>
  <si>
    <t xml:space="preserve">clha.rsd </t>
  </si>
  <si>
    <t xml:space="preserve">clhb.p </t>
  </si>
  <si>
    <t xml:space="preserve">clhc.rsd </t>
  </si>
  <si>
    <t>kn.p</t>
  </si>
  <si>
    <t xml:space="preserve">clhd.p </t>
  </si>
  <si>
    <t>Barbarian attacking take 4</t>
  </si>
  <si>
    <t xml:space="preserve">clhe.rsd </t>
  </si>
  <si>
    <t xml:space="preserve">clhf.p </t>
  </si>
  <si>
    <t xml:space="preserve">clia.tex </t>
  </si>
  <si>
    <t xml:space="preserve">clib.tex </t>
  </si>
  <si>
    <t xml:space="preserve">clic.rsd </t>
  </si>
  <si>
    <t xml:space="preserve">cmau </t>
  </si>
  <si>
    <t xml:space="preserve">clid.p </t>
  </si>
  <si>
    <t>kn.rsd</t>
  </si>
  <si>
    <t xml:space="preserve">clie.rsd </t>
  </si>
  <si>
    <t xml:space="preserve">clif.p </t>
  </si>
  <si>
    <t xml:space="preserve">clja.rsd </t>
  </si>
  <si>
    <t xml:space="preserve">cljb.p </t>
  </si>
  <si>
    <t xml:space="preserve">cljc.rsd </t>
  </si>
  <si>
    <t xml:space="preserve">cljd.p </t>
  </si>
  <si>
    <t xml:space="preserve">clje.rsd </t>
  </si>
  <si>
    <t>ko.p</t>
  </si>
  <si>
    <t xml:space="preserve">cljf.p </t>
  </si>
  <si>
    <t>Barbarian attacking take 5</t>
  </si>
  <si>
    <t xml:space="preserve">cmav </t>
  </si>
  <si>
    <t xml:space="preserve">cmaa.rsd </t>
  </si>
  <si>
    <t xml:space="preserve">cmab.p </t>
  </si>
  <si>
    <t xml:space="preserve">cmac.rsd </t>
  </si>
  <si>
    <t xml:space="preserve">cmad.p </t>
  </si>
  <si>
    <t xml:space="preserve">cmae.rsd </t>
  </si>
  <si>
    <t xml:space="preserve">cmaf.p </t>
  </si>
  <si>
    <t xml:space="preserve">cmba.rsd </t>
  </si>
  <si>
    <t>ko.rsd</t>
  </si>
  <si>
    <t xml:space="preserve">cmbb.p </t>
  </si>
  <si>
    <t xml:space="preserve">.cmbc.rsd </t>
  </si>
  <si>
    <t xml:space="preserve">cmbd.p </t>
  </si>
  <si>
    <t xml:space="preserve">.cmbe.rsd </t>
  </si>
  <si>
    <t xml:space="preserve">cmax </t>
  </si>
  <si>
    <t xml:space="preserve">cmbf.p </t>
  </si>
  <si>
    <t xml:space="preserve">cmca.rsd </t>
  </si>
  <si>
    <t>Barbarian attacking take 6</t>
  </si>
  <si>
    <t xml:space="preserve">cmcb.p </t>
  </si>
  <si>
    <t xml:space="preserve">cmcc.rsd </t>
  </si>
  <si>
    <t xml:space="preserve">cmcd.p </t>
  </si>
  <si>
    <t xml:space="preserve">cmce.rsd </t>
  </si>
  <si>
    <t xml:space="preserve">cmcf.p </t>
  </si>
  <si>
    <t xml:space="preserve">cmda.a </t>
  </si>
  <si>
    <t xml:space="preserve">cmdb.a </t>
  </si>
  <si>
    <t xml:space="preserve">cmdc.a </t>
  </si>
  <si>
    <t xml:space="preserve">cmdd.a </t>
  </si>
  <si>
    <t xml:space="preserve">cmay </t>
  </si>
  <si>
    <t xml:space="preserve">cmde.hrc </t>
  </si>
  <si>
    <t>highrez_st</t>
  </si>
  <si>
    <t>kq.p</t>
  </si>
  <si>
    <t xml:space="preserve">cmdf.rsd </t>
  </si>
  <si>
    <t>Barbarian attacking take 7</t>
  </si>
  <si>
    <t xml:space="preserve">cmea.p </t>
  </si>
  <si>
    <t xml:space="preserve">cmeb.rsd </t>
  </si>
  <si>
    <t xml:space="preserve">cmec.p </t>
  </si>
  <si>
    <t xml:space="preserve">cmed.tex </t>
  </si>
  <si>
    <t xml:space="preserve">cmee.tex </t>
  </si>
  <si>
    <t>kq.rsd</t>
  </si>
  <si>
    <t xml:space="preserve">cmef.rsd </t>
  </si>
  <si>
    <t xml:space="preserve">cmfa.p </t>
  </si>
  <si>
    <t xml:space="preserve">cmfb.rsd </t>
  </si>
  <si>
    <t xml:space="preserve">cmfc.p </t>
  </si>
  <si>
    <t xml:space="preserve">cmfd.rsd </t>
  </si>
  <si>
    <t xml:space="preserve">cmfe.p </t>
  </si>
  <si>
    <t xml:space="preserve">cmff.rsd </t>
  </si>
  <si>
    <t xml:space="preserve">cmaz </t>
  </si>
  <si>
    <t>kr.p</t>
  </si>
  <si>
    <t xml:space="preserve">cmga.p </t>
  </si>
  <si>
    <t>Barbarian attacking take 8</t>
  </si>
  <si>
    <t xml:space="preserve">cmgb.rsd </t>
  </si>
  <si>
    <t xml:space="preserve">cmgc.p </t>
  </si>
  <si>
    <t xml:space="preserve">cmgd.rsd </t>
  </si>
  <si>
    <t xml:space="preserve">cmge.p </t>
  </si>
  <si>
    <t xml:space="preserve">cmgf.rsd </t>
  </si>
  <si>
    <t xml:space="preserve">cmha.p </t>
  </si>
  <si>
    <t xml:space="preserve">cmhb.a </t>
  </si>
  <si>
    <t xml:space="preserve">cmhc.a </t>
  </si>
  <si>
    <t>kr.rsd</t>
  </si>
  <si>
    <t xml:space="preserve">cmhd.a </t>
  </si>
  <si>
    <t xml:space="preserve">cmbb </t>
  </si>
  <si>
    <t>7.6 K</t>
  </si>
  <si>
    <t xml:space="preserve">cmhe.a </t>
  </si>
  <si>
    <t xml:space="preserve">cmhf.a </t>
  </si>
  <si>
    <t xml:space="preserve">cmia.a </t>
  </si>
  <si>
    <t xml:space="preserve">cmib.a </t>
  </si>
  <si>
    <t xml:space="preserve">cmic.a </t>
  </si>
  <si>
    <t xml:space="preserve">cmid.a </t>
  </si>
  <si>
    <t xml:space="preserve">cmie.a </t>
  </si>
  <si>
    <t xml:space="preserve">cmif.hrc </t>
  </si>
  <si>
    <t xml:space="preserve">cmbd </t>
  </si>
  <si>
    <t>man1_sk</t>
  </si>
  <si>
    <t xml:space="preserve">cmja.rsd </t>
  </si>
  <si>
    <t xml:space="preserve">cmjb.p </t>
  </si>
  <si>
    <t>Barbarian attacking take 9</t>
  </si>
  <si>
    <t xml:space="preserve">cmjc.rsd </t>
  </si>
  <si>
    <t xml:space="preserve">cmjd.p </t>
  </si>
  <si>
    <t xml:space="preserve">cmje.rsd </t>
  </si>
  <si>
    <t xml:space="preserve">cmbe </t>
  </si>
  <si>
    <t xml:space="preserve">cmjf.p </t>
  </si>
  <si>
    <t xml:space="preserve">cnaa.tex </t>
  </si>
  <si>
    <t xml:space="preserve">cnab.tex </t>
  </si>
  <si>
    <t xml:space="preserve">cnac.tex </t>
  </si>
  <si>
    <t xml:space="preserve">cnad.rsd </t>
  </si>
  <si>
    <t xml:space="preserve">cnae.p </t>
  </si>
  <si>
    <t xml:space="preserve">cnaf.rsd </t>
  </si>
  <si>
    <t xml:space="preserve">cmbh </t>
  </si>
  <si>
    <t xml:space="preserve">cnba.p </t>
  </si>
  <si>
    <t xml:space="preserve">cnbb.rsd </t>
  </si>
  <si>
    <t xml:space="preserve">cnbc.p </t>
  </si>
  <si>
    <t xml:space="preserve">cnbd.rsd </t>
  </si>
  <si>
    <t xml:space="preserve">cnbe.p </t>
  </si>
  <si>
    <t>kt.p</t>
  </si>
  <si>
    <t>Barbarian attacking take 10</t>
  </si>
  <si>
    <t xml:space="preserve">cnbf.rsd </t>
  </si>
  <si>
    <t xml:space="preserve">cnca.p </t>
  </si>
  <si>
    <t xml:space="preserve">cncb.rsd </t>
  </si>
  <si>
    <t xml:space="preserve">cncc.p </t>
  </si>
  <si>
    <t xml:space="preserve">cmbj </t>
  </si>
  <si>
    <t xml:space="preserve">cncd.rsd </t>
  </si>
  <si>
    <t>kt.rsd</t>
  </si>
  <si>
    <t xml:space="preserve">cnce.p </t>
  </si>
  <si>
    <t xml:space="preserve">cncf.rsd </t>
  </si>
  <si>
    <t xml:space="preserve">cnda.p </t>
  </si>
  <si>
    <t xml:space="preserve">cndb.rsd </t>
  </si>
  <si>
    <t xml:space="preserve">cndc.p </t>
  </si>
  <si>
    <t xml:space="preserve">cndd.rsd </t>
  </si>
  <si>
    <t>ku.p</t>
  </si>
  <si>
    <t xml:space="preserve">cnde.p </t>
  </si>
  <si>
    <t>Barbarian attacking take 11</t>
  </si>
  <si>
    <t xml:space="preserve">cndf.rsd </t>
  </si>
  <si>
    <t xml:space="preserve">cnea.p </t>
  </si>
  <si>
    <t xml:space="preserve">cmbm </t>
  </si>
  <si>
    <t xml:space="preserve">cneb.rsd </t>
  </si>
  <si>
    <t xml:space="preserve">cnec.p </t>
  </si>
  <si>
    <t>ku.rsd</t>
  </si>
  <si>
    <t xml:space="preserve">cned.hrc </t>
  </si>
  <si>
    <t>zuta_sk</t>
  </si>
  <si>
    <t xml:space="preserve">cnee.rsd </t>
  </si>
  <si>
    <t xml:space="preserve">cnef.p </t>
  </si>
  <si>
    <t xml:space="preserve">cnfa.a </t>
  </si>
  <si>
    <t xml:space="preserve">cnfb.hrc </t>
  </si>
  <si>
    <t>_kisya</t>
  </si>
  <si>
    <t xml:space="preserve">cmbo </t>
  </si>
  <si>
    <t xml:space="preserve">cnfc.rsd </t>
  </si>
  <si>
    <t xml:space="preserve">cnfd.p </t>
  </si>
  <si>
    <t>Barbarian attacking take 12</t>
  </si>
  <si>
    <t xml:space="preserve">cnfe.tex </t>
  </si>
  <si>
    <t xml:space="preserve">cnff.rsd </t>
  </si>
  <si>
    <t xml:space="preserve">cnga.p </t>
  </si>
  <si>
    <t xml:space="preserve">cngb.tex </t>
  </si>
  <si>
    <t xml:space="preserve">cngc.tex </t>
  </si>
  <si>
    <t xml:space="preserve">cngd.tex </t>
  </si>
  <si>
    <t xml:space="preserve">cnge.rsd </t>
  </si>
  <si>
    <t xml:space="preserve">cngf.p </t>
  </si>
  <si>
    <t xml:space="preserve">cnha.tex </t>
  </si>
  <si>
    <t xml:space="preserve">cnhb.tex </t>
  </si>
  <si>
    <t xml:space="preserve">cmbq </t>
  </si>
  <si>
    <t xml:space="preserve">cnhc.tex </t>
  </si>
  <si>
    <t>720 Bytes</t>
  </si>
  <si>
    <t xml:space="preserve">cnhd.tex </t>
  </si>
  <si>
    <t xml:space="preserve">cnhe.a </t>
  </si>
  <si>
    <t xml:space="preserve">cnhf.hrc </t>
  </si>
  <si>
    <t>_kyaku</t>
  </si>
  <si>
    <t>kw.p</t>
  </si>
  <si>
    <t xml:space="preserve">cnia.rsd </t>
  </si>
  <si>
    <t xml:space="preserve">cnib.p </t>
  </si>
  <si>
    <t xml:space="preserve">cnic.tex </t>
  </si>
  <si>
    <t xml:space="preserve">cnid.tex </t>
  </si>
  <si>
    <t xml:space="preserve">cnie.a </t>
  </si>
  <si>
    <t xml:space="preserve">cnif.a </t>
  </si>
  <si>
    <t xml:space="preserve">cnja.a </t>
  </si>
  <si>
    <t xml:space="preserve">cmbs </t>
  </si>
  <si>
    <t xml:space="preserve">cnjb.a </t>
  </si>
  <si>
    <t xml:space="preserve">cnjc.a </t>
  </si>
  <si>
    <t xml:space="preserve">cnjd.a </t>
  </si>
  <si>
    <t xml:space="preserve">cnje.a </t>
  </si>
  <si>
    <t xml:space="preserve">cnjf.a </t>
  </si>
  <si>
    <t xml:space="preserve">coaa.a </t>
  </si>
  <si>
    <t xml:space="preserve">coab.a </t>
  </si>
  <si>
    <t>kw.rsd</t>
  </si>
  <si>
    <t xml:space="preserve">coac.a </t>
  </si>
  <si>
    <t xml:space="preserve">coad.hrc </t>
  </si>
  <si>
    <t>obasan2_sk</t>
  </si>
  <si>
    <t xml:space="preserve">coae.rsd </t>
  </si>
  <si>
    <t xml:space="preserve">cmbt </t>
  </si>
  <si>
    <t xml:space="preserve">coaf.p </t>
  </si>
  <si>
    <t xml:space="preserve">coba.rsd </t>
  </si>
  <si>
    <t xml:space="preserve">cobb.p </t>
  </si>
  <si>
    <t>kx.p</t>
  </si>
  <si>
    <t xml:space="preserve">cobc.rsd </t>
  </si>
  <si>
    <t xml:space="preserve">cobd.p </t>
  </si>
  <si>
    <t xml:space="preserve">cobe.tex </t>
  </si>
  <si>
    <t xml:space="preserve">cobf.tex </t>
  </si>
  <si>
    <t xml:space="preserve">coca.tex </t>
  </si>
  <si>
    <t xml:space="preserve">cmbu </t>
  </si>
  <si>
    <t xml:space="preserve">cocb.rsd </t>
  </si>
  <si>
    <t>kx.rsd</t>
  </si>
  <si>
    <t xml:space="preserve">cocc.p </t>
  </si>
  <si>
    <t xml:space="preserve">cocd.rsd </t>
  </si>
  <si>
    <t xml:space="preserve">coce.p </t>
  </si>
  <si>
    <t xml:space="preserve">cocf.rsd </t>
  </si>
  <si>
    <t xml:space="preserve">coda.p </t>
  </si>
  <si>
    <t xml:space="preserve">codb.rsd </t>
  </si>
  <si>
    <t xml:space="preserve">cmbv </t>
  </si>
  <si>
    <t xml:space="preserve">codc.p </t>
  </si>
  <si>
    <t xml:space="preserve">codd.rsd </t>
  </si>
  <si>
    <t xml:space="preserve">code.p </t>
  </si>
  <si>
    <t xml:space="preserve">codf.rsd </t>
  </si>
  <si>
    <t xml:space="preserve">coea.p </t>
  </si>
  <si>
    <t xml:space="preserve">coeb.rsd </t>
  </si>
  <si>
    <t xml:space="preserve">cmbx </t>
  </si>
  <si>
    <t>kz.p</t>
  </si>
  <si>
    <t xml:space="preserve">coec.p </t>
  </si>
  <si>
    <t xml:space="preserve">coed.rsd </t>
  </si>
  <si>
    <t xml:space="preserve">coee.p </t>
  </si>
  <si>
    <t>kz.rsd</t>
  </si>
  <si>
    <t xml:space="preserve">cmby </t>
  </si>
  <si>
    <t xml:space="preserve">coef.rsd </t>
  </si>
  <si>
    <t xml:space="preserve">cofa.p </t>
  </si>
  <si>
    <t xml:space="preserve">cofb.rsd </t>
  </si>
  <si>
    <t xml:space="preserve">cofc.p </t>
  </si>
  <si>
    <t xml:space="preserve">cofd.rsd </t>
  </si>
  <si>
    <t xml:space="preserve">cofe.p </t>
  </si>
  <si>
    <t xml:space="preserve">cmbz </t>
  </si>
  <si>
    <t xml:space="preserve">coff.rsd </t>
  </si>
  <si>
    <t xml:space="preserve">coga.p </t>
  </si>
  <si>
    <t>la.p</t>
  </si>
  <si>
    <t xml:space="preserve">cogb.hrc </t>
  </si>
  <si>
    <t>Stoner boulder</t>
  </si>
  <si>
    <t>emother_sk</t>
  </si>
  <si>
    <t>Elmyra Gainsborough</t>
  </si>
  <si>
    <t xml:space="preserve">cogc.rsd </t>
  </si>
  <si>
    <t>Elmyra: Lower Chest</t>
  </si>
  <si>
    <t xml:space="preserve">cogd.p </t>
  </si>
  <si>
    <t xml:space="preserve">cmcb </t>
  </si>
  <si>
    <t xml:space="preserve">coge.rsd </t>
  </si>
  <si>
    <t>Elmyra: Upper Chest</t>
  </si>
  <si>
    <t xml:space="preserve">cogf.p </t>
  </si>
  <si>
    <t xml:space="preserve">coha.rsd </t>
  </si>
  <si>
    <t>Elmyra: Head</t>
  </si>
  <si>
    <t xml:space="preserve">cohb.p </t>
  </si>
  <si>
    <t>la.rsd</t>
  </si>
  <si>
    <t xml:space="preserve">cohc.tex </t>
  </si>
  <si>
    <t>Elmyra: Eye</t>
  </si>
  <si>
    <t xml:space="preserve">cohd.tex </t>
  </si>
  <si>
    <t xml:space="preserve">cohe.tex </t>
  </si>
  <si>
    <t>Elmyra: Mouth</t>
  </si>
  <si>
    <t xml:space="preserve">cmcd </t>
  </si>
  <si>
    <t xml:space="preserve">cohf.rsd </t>
  </si>
  <si>
    <t>Elmyra: Upper Arm</t>
  </si>
  <si>
    <t xml:space="preserve">coia.p </t>
  </si>
  <si>
    <t xml:space="preserve">coib.rsd </t>
  </si>
  <si>
    <t>Elmyra: Lower Arm</t>
  </si>
  <si>
    <t xml:space="preserve">coic.p </t>
  </si>
  <si>
    <t xml:space="preserve">coid.rsd </t>
  </si>
  <si>
    <t>Elmyra: Hand</t>
  </si>
  <si>
    <t xml:space="preserve">cmce </t>
  </si>
  <si>
    <t xml:space="preserve">coie.p </t>
  </si>
  <si>
    <t>Tristoner boulder</t>
  </si>
  <si>
    <t xml:space="preserve">coif.rsd </t>
  </si>
  <si>
    <t xml:space="preserve">coja.p </t>
  </si>
  <si>
    <t xml:space="preserve">cojb.rsd </t>
  </si>
  <si>
    <t xml:space="preserve">cojc.p </t>
  </si>
  <si>
    <t xml:space="preserve">cojd.rsd </t>
  </si>
  <si>
    <t xml:space="preserve">coje.p </t>
  </si>
  <si>
    <t xml:space="preserve">cojf.rsd </t>
  </si>
  <si>
    <t>Elmyra: Upper Leg</t>
  </si>
  <si>
    <t xml:space="preserve">cmcf </t>
  </si>
  <si>
    <t xml:space="preserve">cpaa.p </t>
  </si>
  <si>
    <t xml:space="preserve">cpab.rsd </t>
  </si>
  <si>
    <t>Elmyra: Lower Leg</t>
  </si>
  <si>
    <t xml:space="preserve">cpac.p </t>
  </si>
  <si>
    <t xml:space="preserve">cpad.rsd </t>
  </si>
  <si>
    <t>Elmyra: Foot</t>
  </si>
  <si>
    <t xml:space="preserve">cpae.p </t>
  </si>
  <si>
    <t xml:space="preserve">cpaf.rsd </t>
  </si>
  <si>
    <t xml:space="preserve">cpba.p </t>
  </si>
  <si>
    <t xml:space="preserve">cpbb.rsd </t>
  </si>
  <si>
    <t xml:space="preserve">cpbc.p </t>
  </si>
  <si>
    <t xml:space="preserve">cmda </t>
  </si>
  <si>
    <t>Catapult boulder</t>
  </si>
  <si>
    <t xml:space="preserve">cpbd.rsd </t>
  </si>
  <si>
    <t xml:space="preserve">cpbe.p </t>
  </si>
  <si>
    <t xml:space="preserve">cnaa </t>
  </si>
  <si>
    <t>172 Bytes</t>
  </si>
  <si>
    <t xml:space="preserve">cpbf.a </t>
  </si>
  <si>
    <t>Sample H0512-opt :Battle Skeleton</t>
  </si>
  <si>
    <t xml:space="preserve">cpca.hrc </t>
  </si>
  <si>
    <t>girl2_sk</t>
  </si>
  <si>
    <t xml:space="preserve">cpcb.rsd </t>
  </si>
  <si>
    <t xml:space="preserve">cpcc.p </t>
  </si>
  <si>
    <t xml:space="preserve">cpcd.rsd </t>
  </si>
  <si>
    <t xml:space="preserve">cpce.p </t>
  </si>
  <si>
    <t xml:space="preserve">cpcf.rsd </t>
  </si>
  <si>
    <t xml:space="preserve">cnab </t>
  </si>
  <si>
    <t>Sample H0512-opt : Unidentified Part</t>
  </si>
  <si>
    <t xml:space="preserve">cpda.p </t>
  </si>
  <si>
    <t xml:space="preserve">cnam </t>
  </si>
  <si>
    <t xml:space="preserve">cpdb.tex </t>
  </si>
  <si>
    <t xml:space="preserve">cpdc.tex </t>
  </si>
  <si>
    <t xml:space="preserve">cpdd.tex </t>
  </si>
  <si>
    <t xml:space="preserve">cpde.rsd </t>
  </si>
  <si>
    <t>Fire catapult boulder</t>
  </si>
  <si>
    <t xml:space="preserve">cpdf.p </t>
  </si>
  <si>
    <t xml:space="preserve">cnap </t>
  </si>
  <si>
    <t>688 Bytes</t>
  </si>
  <si>
    <t xml:space="preserve">cpea.rsd </t>
  </si>
  <si>
    <t xml:space="preserve">cpeb.p </t>
  </si>
  <si>
    <t xml:space="preserve">cpec.rsd </t>
  </si>
  <si>
    <t xml:space="preserve">cped.p </t>
  </si>
  <si>
    <t xml:space="preserve">cnar </t>
  </si>
  <si>
    <t xml:space="preserve">cpee.rsd </t>
  </si>
  <si>
    <t xml:space="preserve">cpef.p </t>
  </si>
  <si>
    <t xml:space="preserve">cpfa.rsd </t>
  </si>
  <si>
    <t xml:space="preserve">cpfb.p </t>
  </si>
  <si>
    <t xml:space="preserve">cnat </t>
  </si>
  <si>
    <t xml:space="preserve">cpfc.rsd </t>
  </si>
  <si>
    <t xml:space="preserve">cpfd.p </t>
  </si>
  <si>
    <t xml:space="preserve">cpfe.rsd </t>
  </si>
  <si>
    <t>Shooters Arrow</t>
  </si>
  <si>
    <t xml:space="preserve">cpff.p </t>
  </si>
  <si>
    <t xml:space="preserve">cnav </t>
  </si>
  <si>
    <t xml:space="preserve">cpga.rsd </t>
  </si>
  <si>
    <t xml:space="preserve">cpgb.p </t>
  </si>
  <si>
    <t xml:space="preserve">cpgc.rsd </t>
  </si>
  <si>
    <t xml:space="preserve">cpgd.p </t>
  </si>
  <si>
    <t xml:space="preserve">cpge.rsd </t>
  </si>
  <si>
    <t xml:space="preserve">cnda </t>
  </si>
  <si>
    <t xml:space="preserve">cpgf.p </t>
  </si>
  <si>
    <t xml:space="preserve">cpha.rsd </t>
  </si>
  <si>
    <t xml:space="preserve">coaa </t>
  </si>
  <si>
    <t xml:space="preserve">cphb.p </t>
  </si>
  <si>
    <t>Hundred Gunner: Battle Skeleton</t>
  </si>
  <si>
    <t xml:space="preserve">cphc.rsd </t>
  </si>
  <si>
    <t>Barbarians Arrow</t>
  </si>
  <si>
    <t xml:space="preserve">cphd.p </t>
  </si>
  <si>
    <t xml:space="preserve">cphe.a </t>
  </si>
  <si>
    <t xml:space="preserve">cphf.a </t>
  </si>
  <si>
    <t xml:space="preserve">cpia.a </t>
  </si>
  <si>
    <t xml:space="preserve">cpib.a </t>
  </si>
  <si>
    <t xml:space="preserve">cpic.a </t>
  </si>
  <si>
    <t xml:space="preserve">coab </t>
  </si>
  <si>
    <t xml:space="preserve">cpid.a </t>
  </si>
  <si>
    <t>Hundred Gunner: Unidentified Part</t>
  </si>
  <si>
    <t xml:space="preserve">cpie.a </t>
  </si>
  <si>
    <t xml:space="preserve">cpif.a </t>
  </si>
  <si>
    <t xml:space="preserve">coac </t>
  </si>
  <si>
    <t xml:space="preserve">cpja.a </t>
  </si>
  <si>
    <t xml:space="preserve">cpjb.a </t>
  </si>
  <si>
    <t xml:space="preserve">cpjc.a </t>
  </si>
  <si>
    <t>Green crystal</t>
  </si>
  <si>
    <t xml:space="preserve">cpjd.a </t>
  </si>
  <si>
    <t xml:space="preserve">cpje.a </t>
  </si>
  <si>
    <t xml:space="preserve">cpjf.hrc </t>
  </si>
  <si>
    <t xml:space="preserve">coam </t>
  </si>
  <si>
    <t>81 K</t>
  </si>
  <si>
    <t>ifarna_sk</t>
  </si>
  <si>
    <t xml:space="preserve">cqaa.rsd </t>
  </si>
  <si>
    <t>Ifalna: Lower Chest</t>
  </si>
  <si>
    <t xml:space="preserve">cqab.p </t>
  </si>
  <si>
    <t xml:space="preserve">cqac.rsd </t>
  </si>
  <si>
    <t>Ifalna: Upper Chest</t>
  </si>
  <si>
    <t xml:space="preserve">cqad.p </t>
  </si>
  <si>
    <t xml:space="preserve">coao </t>
  </si>
  <si>
    <t>Yellow arrow</t>
  </si>
  <si>
    <t xml:space="preserve">cqae.rsd </t>
  </si>
  <si>
    <t>Ifalna: Head</t>
  </si>
  <si>
    <t xml:space="preserve">cqaf.p </t>
  </si>
  <si>
    <t xml:space="preserve">cqba.tex </t>
  </si>
  <si>
    <t>Ifalna: Eye</t>
  </si>
  <si>
    <t xml:space="preserve">coaq </t>
  </si>
  <si>
    <t xml:space="preserve">cqbb.tex </t>
  </si>
  <si>
    <t xml:space="preserve">cqbc.tex </t>
  </si>
  <si>
    <t>Ifalna: Mouth</t>
  </si>
  <si>
    <t xml:space="preserve">cqbd.rsd </t>
  </si>
  <si>
    <t>Ifalna: Hair</t>
  </si>
  <si>
    <t xml:space="preserve">cqbe.p </t>
  </si>
  <si>
    <t>Yellow triangle</t>
  </si>
  <si>
    <t xml:space="preserve">coas </t>
  </si>
  <si>
    <t xml:space="preserve">cqbf.rsd </t>
  </si>
  <si>
    <t>Ifalna: Upper Arm</t>
  </si>
  <si>
    <t xml:space="preserve">cqca.p </t>
  </si>
  <si>
    <t xml:space="preserve">cqcb.rsd </t>
  </si>
  <si>
    <t>Ifalna: Lower Arm</t>
  </si>
  <si>
    <t xml:space="preserve">cqcc.p </t>
  </si>
  <si>
    <t xml:space="preserve">cqcd.rsd </t>
  </si>
  <si>
    <t>Ifalna: Hand</t>
  </si>
  <si>
    <t xml:space="preserve">coav </t>
  </si>
  <si>
    <t xml:space="preserve">cqce.p </t>
  </si>
  <si>
    <t xml:space="preserve">cqcf.rsd </t>
  </si>
  <si>
    <t xml:space="preserve">cqda.p </t>
  </si>
  <si>
    <t>lj.p</t>
  </si>
  <si>
    <t xml:space="preserve">cqdb.rsd </t>
  </si>
  <si>
    <t>Yellow circle</t>
  </si>
  <si>
    <t xml:space="preserve">cqdc.p </t>
  </si>
  <si>
    <t xml:space="preserve">cqdd.rsd </t>
  </si>
  <si>
    <t xml:space="preserve">coax </t>
  </si>
  <si>
    <t xml:space="preserve">cqde.p </t>
  </si>
  <si>
    <t xml:space="preserve">cqdf.rsd </t>
  </si>
  <si>
    <t>Ifalna: Upper Leg</t>
  </si>
  <si>
    <t xml:space="preserve">cqea.p </t>
  </si>
  <si>
    <t>lj.rsd</t>
  </si>
  <si>
    <t xml:space="preserve">cqeb.rsd </t>
  </si>
  <si>
    <t>Ifalna: Lower Leg</t>
  </si>
  <si>
    <t xml:space="preserve">cqec.p </t>
  </si>
  <si>
    <t xml:space="preserve">coaz </t>
  </si>
  <si>
    <t xml:space="preserve">cqed.rsd </t>
  </si>
  <si>
    <t>Ifalna: Foot</t>
  </si>
  <si>
    <t xml:space="preserve">cqee.p </t>
  </si>
  <si>
    <t xml:space="preserve">cqef.rsd </t>
  </si>
  <si>
    <t>lk.p</t>
  </si>
  <si>
    <t xml:space="preserve">cqfa.p </t>
  </si>
  <si>
    <t xml:space="preserve">cqfb.rsd </t>
  </si>
  <si>
    <t xml:space="preserve">cqfc.p </t>
  </si>
  <si>
    <t xml:space="preserve">cqfd.rsd </t>
  </si>
  <si>
    <t xml:space="preserve">cqfe.p </t>
  </si>
  <si>
    <t xml:space="preserve">cobb </t>
  </si>
  <si>
    <t xml:space="preserve">cqff.a </t>
  </si>
  <si>
    <t>5.1 K</t>
  </si>
  <si>
    <t>lk.rsd</t>
  </si>
  <si>
    <t xml:space="preserve">cqga.hrc </t>
  </si>
  <si>
    <t>earith5_st</t>
  </si>
  <si>
    <t>Aerith - 5 Years Old</t>
  </si>
  <si>
    <t xml:space="preserve">cqgb.rsd </t>
  </si>
  <si>
    <t xml:space="preserve">cqgc.p </t>
  </si>
  <si>
    <t xml:space="preserve">cqgd.rsd </t>
  </si>
  <si>
    <t xml:space="preserve">cqge.p </t>
  </si>
  <si>
    <t xml:space="preserve">cqgf.rsd </t>
  </si>
  <si>
    <t xml:space="preserve">cobe </t>
  </si>
  <si>
    <t>Sword model</t>
  </si>
  <si>
    <t xml:space="preserve">cqha.p </t>
  </si>
  <si>
    <t xml:space="preserve">cqhb.tex </t>
  </si>
  <si>
    <t xml:space="preserve">cqhc.tex </t>
  </si>
  <si>
    <t xml:space="preserve">cqhd.tex </t>
  </si>
  <si>
    <t xml:space="preserve">cqhe.rsd </t>
  </si>
  <si>
    <t xml:space="preserve">cobh </t>
  </si>
  <si>
    <t xml:space="preserve">cqhf.p </t>
  </si>
  <si>
    <t xml:space="preserve">cqia.rsd </t>
  </si>
  <si>
    <t xml:space="preserve">cqib.p </t>
  </si>
  <si>
    <t xml:space="preserve">cqic.rsd </t>
  </si>
  <si>
    <t xml:space="preserve">cqid.p </t>
  </si>
  <si>
    <t xml:space="preserve">cqie.rsd </t>
  </si>
  <si>
    <t xml:space="preserve">cobj </t>
  </si>
  <si>
    <t>Daggers model</t>
  </si>
  <si>
    <t xml:space="preserve">cqif.p </t>
  </si>
  <si>
    <t xml:space="preserve">cqja.rsd </t>
  </si>
  <si>
    <t xml:space="preserve">cqjb.p </t>
  </si>
  <si>
    <t xml:space="preserve">cqjc.rsd </t>
  </si>
  <si>
    <t xml:space="preserve">cqjd.p </t>
  </si>
  <si>
    <t xml:space="preserve">cobl </t>
  </si>
  <si>
    <t xml:space="preserve">cqje.rsd </t>
  </si>
  <si>
    <t xml:space="preserve">cqjf.p </t>
  </si>
  <si>
    <t xml:space="preserve">craa.rsd </t>
  </si>
  <si>
    <t xml:space="preserve">crab.p </t>
  </si>
  <si>
    <t xml:space="preserve">crac.rsd </t>
  </si>
  <si>
    <t xml:space="preserve">cobn </t>
  </si>
  <si>
    <t>Hammer model</t>
  </si>
  <si>
    <t xml:space="preserve">crad.p </t>
  </si>
  <si>
    <t xml:space="preserve">crae.rsd </t>
  </si>
  <si>
    <t xml:space="preserve">craf.p </t>
  </si>
  <si>
    <t xml:space="preserve">cobp </t>
  </si>
  <si>
    <t xml:space="preserve">crba.rsd </t>
  </si>
  <si>
    <t xml:space="preserve">crbb.p </t>
  </si>
  <si>
    <t xml:space="preserve">crbc.rsd </t>
  </si>
  <si>
    <t xml:space="preserve">cobr </t>
  </si>
  <si>
    <t xml:space="preserve">crbd.p </t>
  </si>
  <si>
    <t xml:space="preserve">crbe.a </t>
  </si>
  <si>
    <t xml:space="preserve">crbf.a </t>
  </si>
  <si>
    <t xml:space="preserve">crca.hrc </t>
  </si>
  <si>
    <t>man2_sk</t>
  </si>
  <si>
    <t xml:space="preserve">crcb.rsd </t>
  </si>
  <si>
    <t>lo.p</t>
  </si>
  <si>
    <t xml:space="preserve">crcc.p </t>
  </si>
  <si>
    <t>Same as lm</t>
  </si>
  <si>
    <t xml:space="preserve">cobu </t>
  </si>
  <si>
    <t xml:space="preserve">crcd.rsd </t>
  </si>
  <si>
    <t xml:space="preserve">crce.p </t>
  </si>
  <si>
    <t xml:space="preserve">crcf.rsd </t>
  </si>
  <si>
    <t xml:space="preserve">crda.p </t>
  </si>
  <si>
    <t>lo.rsd</t>
  </si>
  <si>
    <t xml:space="preserve">crdb.tex </t>
  </si>
  <si>
    <t xml:space="preserve">cobx </t>
  </si>
  <si>
    <t xml:space="preserve">crdc.tex </t>
  </si>
  <si>
    <t xml:space="preserve">crdd.tex </t>
  </si>
  <si>
    <t xml:space="preserve">crde.rsd </t>
  </si>
  <si>
    <t xml:space="preserve">crdf.p </t>
  </si>
  <si>
    <t>lp.p</t>
  </si>
  <si>
    <t xml:space="preserve">crea.rsd </t>
  </si>
  <si>
    <t>Staff model</t>
  </si>
  <si>
    <t xml:space="preserve">cobz </t>
  </si>
  <si>
    <t xml:space="preserve">creb.p </t>
  </si>
  <si>
    <t>4.9 K</t>
  </si>
  <si>
    <t xml:space="preserve">crec.rsd </t>
  </si>
  <si>
    <t xml:space="preserve">cred.p </t>
  </si>
  <si>
    <t xml:space="preserve">cree.rsd </t>
  </si>
  <si>
    <t xml:space="preserve">cref.p </t>
  </si>
  <si>
    <t>lp.rsd</t>
  </si>
  <si>
    <t xml:space="preserve">crfa.rsd </t>
  </si>
  <si>
    <t xml:space="preserve">cocb </t>
  </si>
  <si>
    <t xml:space="preserve">crfb.p </t>
  </si>
  <si>
    <t xml:space="preserve">crfc.rsd </t>
  </si>
  <si>
    <t xml:space="preserve">crfd.p </t>
  </si>
  <si>
    <t xml:space="preserve">cocd </t>
  </si>
  <si>
    <t xml:space="preserve">crfe.rsd </t>
  </si>
  <si>
    <t xml:space="preserve">crff.p </t>
  </si>
  <si>
    <t xml:space="preserve">crga.rsd </t>
  </si>
  <si>
    <t>Same as lp</t>
  </si>
  <si>
    <t xml:space="preserve">crgb.p </t>
  </si>
  <si>
    <t xml:space="preserve">cocf </t>
  </si>
  <si>
    <t xml:space="preserve">crgc.rsd </t>
  </si>
  <si>
    <t xml:space="preserve">crgd.p </t>
  </si>
  <si>
    <t xml:space="preserve">crge.rsd </t>
  </si>
  <si>
    <t xml:space="preserve">crgf.p </t>
  </si>
  <si>
    <t xml:space="preserve">crha.rsd </t>
  </si>
  <si>
    <t xml:space="preserve">coch </t>
  </si>
  <si>
    <t xml:space="preserve">crhb.p </t>
  </si>
  <si>
    <t xml:space="preserve">crhc.rsd </t>
  </si>
  <si>
    <t xml:space="preserve">crhd.p </t>
  </si>
  <si>
    <t xml:space="preserve">crhe.a </t>
  </si>
  <si>
    <t xml:space="preserve">coda </t>
  </si>
  <si>
    <t>map0.tex</t>
  </si>
  <si>
    <t xml:space="preserve">crhf.a </t>
  </si>
  <si>
    <t>Fort condor background part 1</t>
  </si>
  <si>
    <t xml:space="preserve">cria.a </t>
  </si>
  <si>
    <t xml:space="preserve">cpaa </t>
  </si>
  <si>
    <t>Heli Gunner:Battle Skeleton</t>
  </si>
  <si>
    <t xml:space="preserve">crib.a </t>
  </si>
  <si>
    <t xml:space="preserve">cric.a </t>
  </si>
  <si>
    <t xml:space="preserve">crid.hrc </t>
  </si>
  <si>
    <t>man12_sk</t>
  </si>
  <si>
    <t xml:space="preserve">crie.rsd </t>
  </si>
  <si>
    <t xml:space="preserve">cpab </t>
  </si>
  <si>
    <t>536 Bytes</t>
  </si>
  <si>
    <t xml:space="preserve">crif.p </t>
  </si>
  <si>
    <t>Heli Gunner: Unidentified Part</t>
  </si>
  <si>
    <t>map1.tex</t>
  </si>
  <si>
    <t>Fort condor background part 2</t>
  </si>
  <si>
    <t xml:space="preserve">crja.rsd </t>
  </si>
  <si>
    <t xml:space="preserve">cpam </t>
  </si>
  <si>
    <t>57 K</t>
  </si>
  <si>
    <t xml:space="preserve">crjb.p </t>
  </si>
  <si>
    <t xml:space="preserve">crjc.rsd </t>
  </si>
  <si>
    <t xml:space="preserve">crjd.p </t>
  </si>
  <si>
    <t xml:space="preserve">crje.tex </t>
  </si>
  <si>
    <t xml:space="preserve">crjf.tex </t>
  </si>
  <si>
    <t>map2.tex</t>
  </si>
  <si>
    <t>Fort condor background part 3</t>
  </si>
  <si>
    <t xml:space="preserve">cpao </t>
  </si>
  <si>
    <t xml:space="preserve">csaa.tex </t>
  </si>
  <si>
    <t xml:space="preserve">csab.rsd </t>
  </si>
  <si>
    <t xml:space="preserve">csac.p </t>
  </si>
  <si>
    <t xml:space="preserve">csad.rsd </t>
  </si>
  <si>
    <t xml:space="preserve">csae.p </t>
  </si>
  <si>
    <t xml:space="preserve">csaf.rsd </t>
  </si>
  <si>
    <t xml:space="preserve">cpap </t>
  </si>
  <si>
    <t>map3.tex</t>
  </si>
  <si>
    <t>Fort condor background part 4</t>
  </si>
  <si>
    <t xml:space="preserve">csba.p </t>
  </si>
  <si>
    <t xml:space="preserve">csbb.rsd </t>
  </si>
  <si>
    <t xml:space="preserve">csbc.p </t>
  </si>
  <si>
    <t xml:space="preserve">csbd.rsd </t>
  </si>
  <si>
    <t xml:space="preserve">cpar </t>
  </si>
  <si>
    <t xml:space="preserve">csbe.p </t>
  </si>
  <si>
    <t>map4.tex</t>
  </si>
  <si>
    <t xml:space="preserve">csbf.rsd </t>
  </si>
  <si>
    <t>Fort condor background part 5</t>
  </si>
  <si>
    <t xml:space="preserve">csca.p </t>
  </si>
  <si>
    <t xml:space="preserve">cpas </t>
  </si>
  <si>
    <t xml:space="preserve">cscb.rsd </t>
  </si>
  <si>
    <t xml:space="preserve">cscc.p </t>
  </si>
  <si>
    <t xml:space="preserve">cscd.rsd </t>
  </si>
  <si>
    <t xml:space="preserve">cpau </t>
  </si>
  <si>
    <t xml:space="preserve">csce.p </t>
  </si>
  <si>
    <t>map5.tex</t>
  </si>
  <si>
    <t>Fort condor background part 6</t>
  </si>
  <si>
    <t xml:space="preserve">cscf.rsd </t>
  </si>
  <si>
    <t xml:space="preserve">csda.p </t>
  </si>
  <si>
    <t xml:space="preserve">csdb.rsd </t>
  </si>
  <si>
    <t xml:space="preserve">cpav </t>
  </si>
  <si>
    <t xml:space="preserve">csdc.p </t>
  </si>
  <si>
    <t xml:space="preserve">csdd.rsd </t>
  </si>
  <si>
    <t>map6.tex</t>
  </si>
  <si>
    <t>Fort condor background part 7</t>
  </si>
  <si>
    <t xml:space="preserve">csde.p </t>
  </si>
  <si>
    <t xml:space="preserve">cpay </t>
  </si>
  <si>
    <t xml:space="preserve">csdf.rsd </t>
  </si>
  <si>
    <t xml:space="preserve">csea.p </t>
  </si>
  <si>
    <t xml:space="preserve">cseb.a </t>
  </si>
  <si>
    <t xml:space="preserve">csec.a </t>
  </si>
  <si>
    <t xml:space="preserve">csed.hrc </t>
  </si>
  <si>
    <t>man16_sk</t>
  </si>
  <si>
    <t>map7.tex</t>
  </si>
  <si>
    <t xml:space="preserve">cpaz </t>
  </si>
  <si>
    <t xml:space="preserve">csee.rsd </t>
  </si>
  <si>
    <t>Fort condor background part 8</t>
  </si>
  <si>
    <t xml:space="preserve">csef.p </t>
  </si>
  <si>
    <t xml:space="preserve">csfa.rsd </t>
  </si>
  <si>
    <t xml:space="preserve">csfb.p </t>
  </si>
  <si>
    <t xml:space="preserve">csfc.rsd </t>
  </si>
  <si>
    <t xml:space="preserve">cpbd </t>
  </si>
  <si>
    <t xml:space="preserve">csfd.p </t>
  </si>
  <si>
    <t>mes02.tex</t>
  </si>
  <si>
    <t>Japanese text</t>
  </si>
  <si>
    <t xml:space="preserve">csfe.tex </t>
  </si>
  <si>
    <t xml:space="preserve">csff.tex </t>
  </si>
  <si>
    <t xml:space="preserve">csga.tex </t>
  </si>
  <si>
    <t xml:space="preserve">cpbf </t>
  </si>
  <si>
    <t xml:space="preserve">csgb.rsd </t>
  </si>
  <si>
    <t xml:space="preserve">csgc.p </t>
  </si>
  <si>
    <t xml:space="preserve">csgd.rsd </t>
  </si>
  <si>
    <t>vert.bin</t>
  </si>
  <si>
    <t>Fort condor Walkmesh (entry length 0x4C)</t>
  </si>
  <si>
    <t xml:space="preserve">csge.p </t>
  </si>
  <si>
    <t xml:space="preserve">cpbi </t>
  </si>
  <si>
    <t xml:space="preserve">csgf.rsd </t>
  </si>
  <si>
    <t xml:space="preserve">csha.p </t>
  </si>
  <si>
    <t xml:space="preserve">cshb.rsd </t>
  </si>
  <si>
    <t xml:space="preserve">cshc.p </t>
  </si>
  <si>
    <t xml:space="preserve">cpbj </t>
  </si>
  <si>
    <t xml:space="preserve">cshd.rsd </t>
  </si>
  <si>
    <t xml:space="preserve">cshe.p </t>
  </si>
  <si>
    <t xml:space="preserve">cshf.rsd </t>
  </si>
  <si>
    <t xml:space="preserve">csia.p </t>
  </si>
  <si>
    <t xml:space="preserve">cpbl </t>
  </si>
  <si>
    <t xml:space="preserve">csib.rsd </t>
  </si>
  <si>
    <t xml:space="preserve">csic.p </t>
  </si>
  <si>
    <t xml:space="preserve">csid.rsd </t>
  </si>
  <si>
    <t xml:space="preserve">csie.p </t>
  </si>
  <si>
    <t xml:space="preserve">cpbm </t>
  </si>
  <si>
    <t xml:space="preserve">csif.rsd </t>
  </si>
  <si>
    <t xml:space="preserve">csja.p </t>
  </si>
  <si>
    <t xml:space="preserve">csjb.rsd </t>
  </si>
  <si>
    <t xml:space="preserve">cpbq </t>
  </si>
  <si>
    <t xml:space="preserve">csjc.p </t>
  </si>
  <si>
    <t xml:space="preserve">csjd.rsd </t>
  </si>
  <si>
    <t xml:space="preserve">csje.p </t>
  </si>
  <si>
    <t xml:space="preserve">csjf.rsd </t>
  </si>
  <si>
    <t xml:space="preserve">cpbs </t>
  </si>
  <si>
    <t xml:space="preserve">ctaa.p </t>
  </si>
  <si>
    <t>after_1.tex</t>
  </si>
  <si>
    <t xml:space="preserve">ctab.a </t>
  </si>
  <si>
    <t>"Five hundred years later..."</t>
  </si>
  <si>
    <t xml:space="preserve">ctac.a </t>
  </si>
  <si>
    <t xml:space="preserve">ctad.a </t>
  </si>
  <si>
    <t xml:space="preserve">ctae.a </t>
  </si>
  <si>
    <t xml:space="preserve">ctaf.a </t>
  </si>
  <si>
    <t xml:space="preserve">ctba.a </t>
  </si>
  <si>
    <t xml:space="preserve">ctbb.a </t>
  </si>
  <si>
    <t xml:space="preserve">cpbv </t>
  </si>
  <si>
    <t xml:space="preserve">ctbc.a </t>
  </si>
  <si>
    <t xml:space="preserve">ctbd.a </t>
  </si>
  <si>
    <t xml:space="preserve">ctbe.hrc </t>
  </si>
  <si>
    <t>mtra5_sk</t>
  </si>
  <si>
    <t xml:space="preserve">ctbf.rsd </t>
  </si>
  <si>
    <t>Support Materia (Blue)</t>
  </si>
  <si>
    <t xml:space="preserve">ctca.p </t>
  </si>
  <si>
    <t xml:space="preserve">ctcb.a </t>
  </si>
  <si>
    <t xml:space="preserve">ctcc.hrc </t>
  </si>
  <si>
    <t>fstaf_sk</t>
  </si>
  <si>
    <t xml:space="preserve">ctcd.rsd </t>
  </si>
  <si>
    <t xml:space="preserve">ctce.p </t>
  </si>
  <si>
    <t xml:space="preserve">ctcf.rsd </t>
  </si>
  <si>
    <t xml:space="preserve">ctda.p </t>
  </si>
  <si>
    <t xml:space="preserve">ctdb.rsd </t>
  </si>
  <si>
    <t xml:space="preserve">cpbx </t>
  </si>
  <si>
    <t>ff7logo.tex</t>
  </si>
  <si>
    <t xml:space="preserve">ctdc.p </t>
  </si>
  <si>
    <t>FF7 logo Part 1</t>
  </si>
  <si>
    <t xml:space="preserve">ctdd.tex </t>
  </si>
  <si>
    <t xml:space="preserve">ctde.tex </t>
  </si>
  <si>
    <t xml:space="preserve">ctdf.tex </t>
  </si>
  <si>
    <t xml:space="preserve">ctea.rsd </t>
  </si>
  <si>
    <t xml:space="preserve">cpby </t>
  </si>
  <si>
    <t xml:space="preserve">cteb.p </t>
  </si>
  <si>
    <t xml:space="preserve">ctec.rsd </t>
  </si>
  <si>
    <t xml:space="preserve">cted.p </t>
  </si>
  <si>
    <t xml:space="preserve">ctee.rsd </t>
  </si>
  <si>
    <t xml:space="preserve">ctef.p </t>
  </si>
  <si>
    <t xml:space="preserve">ctfa.rsd </t>
  </si>
  <si>
    <t>ff7logo_a.tex</t>
  </si>
  <si>
    <t xml:space="preserve">cpcc </t>
  </si>
  <si>
    <t>FF7 logo Part 2</t>
  </si>
  <si>
    <t xml:space="preserve">ctfb.p </t>
  </si>
  <si>
    <t xml:space="preserve">ctfc.rsd </t>
  </si>
  <si>
    <t xml:space="preserve">ctfd.p </t>
  </si>
  <si>
    <t xml:space="preserve">ctfe.rsd </t>
  </si>
  <si>
    <t xml:space="preserve">ctff.p </t>
  </si>
  <si>
    <t xml:space="preserve">ctga.rsd </t>
  </si>
  <si>
    <t xml:space="preserve">cpce </t>
  </si>
  <si>
    <t>ff7logo_b.tex</t>
  </si>
  <si>
    <t xml:space="preserve">ctgb.p </t>
  </si>
  <si>
    <t>FF7 logo Part 3</t>
  </si>
  <si>
    <t xml:space="preserve">ctgc.rsd </t>
  </si>
  <si>
    <t xml:space="preserve">ctgd.p </t>
  </si>
  <si>
    <t xml:space="preserve">ctge.rsd </t>
  </si>
  <si>
    <t xml:space="preserve">ctgf.p </t>
  </si>
  <si>
    <t xml:space="preserve">ctha.rsd </t>
  </si>
  <si>
    <t xml:space="preserve">cpch </t>
  </si>
  <si>
    <t xml:space="preserve">cthb.p </t>
  </si>
  <si>
    <t>ff7logo_c.tex</t>
  </si>
  <si>
    <t xml:space="preserve">cthc.rsd </t>
  </si>
  <si>
    <t>FF7 logo Part 4</t>
  </si>
  <si>
    <t xml:space="preserve">cthd.p </t>
  </si>
  <si>
    <t xml:space="preserve">cthe.rsd </t>
  </si>
  <si>
    <t xml:space="preserve">cthf.p </t>
  </si>
  <si>
    <t xml:space="preserve">ctia.a </t>
  </si>
  <si>
    <t xml:space="preserve">ctib.hrc </t>
  </si>
  <si>
    <t>boy3_sk</t>
  </si>
  <si>
    <t xml:space="preserve">ctic.rsd </t>
  </si>
  <si>
    <t xml:space="preserve">ctid.p </t>
  </si>
  <si>
    <t xml:space="preserve">ctie.rsd </t>
  </si>
  <si>
    <t xml:space="preserve">cpda </t>
  </si>
  <si>
    <t xml:space="preserve">ctif.p </t>
  </si>
  <si>
    <t xml:space="preserve">ctja.rsd </t>
  </si>
  <si>
    <t>ff7logo_d.tex</t>
  </si>
  <si>
    <t xml:space="preserve">ctjb.p </t>
  </si>
  <si>
    <t>FF7 logo Part 5</t>
  </si>
  <si>
    <t xml:space="preserve">ctjc.tex </t>
  </si>
  <si>
    <t xml:space="preserve">cqaa </t>
  </si>
  <si>
    <t xml:space="preserve">ctjd.rsd </t>
  </si>
  <si>
    <t xml:space="preserve">ctje.p </t>
  </si>
  <si>
    <t>Rufus' Battle Skeleton</t>
  </si>
  <si>
    <t xml:space="preserve">ctjf.rsd </t>
  </si>
  <si>
    <t xml:space="preserve">cuaa.p </t>
  </si>
  <si>
    <t xml:space="preserve">cuab.rsd </t>
  </si>
  <si>
    <t xml:space="preserve">cuac.p </t>
  </si>
  <si>
    <t xml:space="preserve">cuad.rsd </t>
  </si>
  <si>
    <t xml:space="preserve">cuae.p </t>
  </si>
  <si>
    <t xml:space="preserve">cuaf.rsd </t>
  </si>
  <si>
    <t xml:space="preserve">cuba.p </t>
  </si>
  <si>
    <t>font.tex</t>
  </si>
  <si>
    <t>FONT</t>
  </si>
  <si>
    <t xml:space="preserve">cubb.rsd </t>
  </si>
  <si>
    <t xml:space="preserve">cqab </t>
  </si>
  <si>
    <t xml:space="preserve">cubc.p </t>
  </si>
  <si>
    <t>Rufus: Unidentified Part</t>
  </si>
  <si>
    <t xml:space="preserve">cubd.rsd </t>
  </si>
  <si>
    <t xml:space="preserve">cube.p </t>
  </si>
  <si>
    <t xml:space="preserve">cubf.rsd </t>
  </si>
  <si>
    <t xml:space="preserve">cuca.p </t>
  </si>
  <si>
    <t xml:space="preserve">cqac </t>
  </si>
  <si>
    <t xml:space="preserve">cucb.rsd </t>
  </si>
  <si>
    <t xml:space="preserve">cucc.p </t>
  </si>
  <si>
    <t xml:space="preserve">cucd.rsd </t>
  </si>
  <si>
    <t xml:space="preserve">cuce.p </t>
  </si>
  <si>
    <t xml:space="preserve">cucf.rsd </t>
  </si>
  <si>
    <t xml:space="preserve">cuda.p </t>
  </si>
  <si>
    <t xml:space="preserve">cudb.rsd </t>
  </si>
  <si>
    <t xml:space="preserve">cudc.p </t>
  </si>
  <si>
    <t xml:space="preserve">cudd.a </t>
  </si>
  <si>
    <t xml:space="preserve">cude.a </t>
  </si>
  <si>
    <t xml:space="preserve">cudf.a </t>
  </si>
  <si>
    <t xml:space="preserve">cuea.a </t>
  </si>
  <si>
    <t xml:space="preserve">cueb.a </t>
  </si>
  <si>
    <t xml:space="preserve">cqam </t>
  </si>
  <si>
    <t xml:space="preserve">cuec.a </t>
  </si>
  <si>
    <t xml:space="preserve">Rufus: Upper Chest Model </t>
  </si>
  <si>
    <t xml:space="preserve">cued.a </t>
  </si>
  <si>
    <t xml:space="preserve">cuee.a </t>
  </si>
  <si>
    <t xml:space="preserve">cuef.a </t>
  </si>
  <si>
    <t xml:space="preserve">cufa.a </t>
  </si>
  <si>
    <t xml:space="preserve">cufb.a </t>
  </si>
  <si>
    <t xml:space="preserve">cufc.hrc </t>
  </si>
  <si>
    <t>font_s.tex</t>
  </si>
  <si>
    <t>v1_sk</t>
  </si>
  <si>
    <t xml:space="preserve">cufd.rsd </t>
  </si>
  <si>
    <t xml:space="preserve">cufe.p </t>
  </si>
  <si>
    <t xml:space="preserve">cqan </t>
  </si>
  <si>
    <t xml:space="preserve">cuff.rsd </t>
  </si>
  <si>
    <t>Rufus: Head Model</t>
  </si>
  <si>
    <t xml:space="preserve">cuga.p </t>
  </si>
  <si>
    <t xml:space="preserve">cugb.rsd </t>
  </si>
  <si>
    <t xml:space="preserve">cugc.p </t>
  </si>
  <si>
    <t xml:space="preserve">cugd.tex </t>
  </si>
  <si>
    <t xml:space="preserve">cuge.rsd </t>
  </si>
  <si>
    <t xml:space="preserve">cugf.p </t>
  </si>
  <si>
    <t xml:space="preserve">cuha.rsd </t>
  </si>
  <si>
    <t xml:space="preserve">cqao </t>
  </si>
  <si>
    <t xml:space="preserve">cuhb.p </t>
  </si>
  <si>
    <t>Rufus: Lower Chest Model</t>
  </si>
  <si>
    <t xml:space="preserve">cuhc.rsd </t>
  </si>
  <si>
    <t xml:space="preserve">cuhd.p </t>
  </si>
  <si>
    <t xml:space="preserve">cuhe.rsd </t>
  </si>
  <si>
    <t xml:space="preserve">cuhf.p </t>
  </si>
  <si>
    <t xml:space="preserve">cuia.rsd </t>
  </si>
  <si>
    <t xml:space="preserve">cuib.p </t>
  </si>
  <si>
    <t>font_ua.tex</t>
  </si>
  <si>
    <t xml:space="preserve">cuic.rsd </t>
  </si>
  <si>
    <t xml:space="preserve">cuid.p </t>
  </si>
  <si>
    <t xml:space="preserve">cuie.rsd </t>
  </si>
  <si>
    <t xml:space="preserve">cuif.p </t>
  </si>
  <si>
    <t xml:space="preserve">cqaq </t>
  </si>
  <si>
    <t xml:space="preserve">cuja.rsd </t>
  </si>
  <si>
    <t xml:space="preserve">cujb.p </t>
  </si>
  <si>
    <t xml:space="preserve">cujc.rsd </t>
  </si>
  <si>
    <t xml:space="preserve">cujd.p </t>
  </si>
  <si>
    <t xml:space="preserve">cuje.rsd </t>
  </si>
  <si>
    <t xml:space="preserve">cujf.p </t>
  </si>
  <si>
    <t xml:space="preserve">cvaa.rsd </t>
  </si>
  <si>
    <t>unknown if left or right</t>
  </si>
  <si>
    <t xml:space="preserve">cvab.p </t>
  </si>
  <si>
    <t xml:space="preserve">cqar </t>
  </si>
  <si>
    <t xml:space="preserve">cvac.rsd </t>
  </si>
  <si>
    <t>Rufus: Lower Arms</t>
  </si>
  <si>
    <t xml:space="preserve">cvad.p </t>
  </si>
  <si>
    <t xml:space="preserve">cvae.a </t>
  </si>
  <si>
    <t xml:space="preserve">cvaf.a </t>
  </si>
  <si>
    <t xml:space="preserve">cvba.hrc </t>
  </si>
  <si>
    <t>v2_sk</t>
  </si>
  <si>
    <t xml:space="preserve">cvbb.rsd </t>
  </si>
  <si>
    <t xml:space="preserve">cvbc.p </t>
  </si>
  <si>
    <t>font_ub.tex</t>
  </si>
  <si>
    <t xml:space="preserve">cvbd.rsd </t>
  </si>
  <si>
    <t xml:space="preserve">cqas </t>
  </si>
  <si>
    <t xml:space="preserve">cvbe.p </t>
  </si>
  <si>
    <t>Rufus: Upper Shoe (ankle)</t>
  </si>
  <si>
    <t xml:space="preserve">cvbf.rsd </t>
  </si>
  <si>
    <t xml:space="preserve">cvca.p </t>
  </si>
  <si>
    <t xml:space="preserve">cvcb.tex </t>
  </si>
  <si>
    <t xml:space="preserve">cvcc.tex </t>
  </si>
  <si>
    <t xml:space="preserve">cvcd.tex </t>
  </si>
  <si>
    <t xml:space="preserve">cvce.rsd </t>
  </si>
  <si>
    <t xml:space="preserve">cqat </t>
  </si>
  <si>
    <t xml:space="preserve">cvcf.p </t>
  </si>
  <si>
    <t>Rufus: Lower Shoe (foot)</t>
  </si>
  <si>
    <t xml:space="preserve">cvda.rsd </t>
  </si>
  <si>
    <t xml:space="preserve">cvdb.p </t>
  </si>
  <si>
    <t xml:space="preserve">cvdc.rsd </t>
  </si>
  <si>
    <t xml:space="preserve">cvdd.p </t>
  </si>
  <si>
    <t xml:space="preserve">cvde.rsd </t>
  </si>
  <si>
    <t xml:space="preserve">cqav </t>
  </si>
  <si>
    <t xml:space="preserve">cvdf.p </t>
  </si>
  <si>
    <t xml:space="preserve">Rufus: Inner Jacket Side </t>
  </si>
  <si>
    <t xml:space="preserve">cvea.rsd </t>
  </si>
  <si>
    <t>name1.tex</t>
  </si>
  <si>
    <t xml:space="preserve">cveb.p </t>
  </si>
  <si>
    <t>Credits 1</t>
  </si>
  <si>
    <t xml:space="preserve">cvec.rsd </t>
  </si>
  <si>
    <t>Right?,Upper ?</t>
  </si>
  <si>
    <t xml:space="preserve">cqaw </t>
  </si>
  <si>
    <t xml:space="preserve">cved.p </t>
  </si>
  <si>
    <t>Rufus: Inner Jacket Side</t>
  </si>
  <si>
    <t xml:space="preserve">cvee.rsd </t>
  </si>
  <si>
    <t xml:space="preserve">cvef.p </t>
  </si>
  <si>
    <t xml:space="preserve">cvfa.rsd </t>
  </si>
  <si>
    <t>Right?,Lower?</t>
  </si>
  <si>
    <t xml:space="preserve">cvfb.p </t>
  </si>
  <si>
    <t xml:space="preserve">cqay </t>
  </si>
  <si>
    <t xml:space="preserve">cvfc.rsd </t>
  </si>
  <si>
    <t>Rufus: Bottom Rear Jacket</t>
  </si>
  <si>
    <t xml:space="preserve">cvfd.p </t>
  </si>
  <si>
    <t xml:space="preserve">cvfe.rsd </t>
  </si>
  <si>
    <t xml:space="preserve">cvff.p </t>
  </si>
  <si>
    <t xml:space="preserve">cvga.rsd </t>
  </si>
  <si>
    <t xml:space="preserve">cqbb </t>
  </si>
  <si>
    <t xml:space="preserve">cvgb.p </t>
  </si>
  <si>
    <t xml:space="preserve">Rufus: Inner Jacket </t>
  </si>
  <si>
    <t xml:space="preserve">cvgc.rsd </t>
  </si>
  <si>
    <t xml:space="preserve">cvgd.p </t>
  </si>
  <si>
    <t xml:space="preserve">cvge.hrc </t>
  </si>
  <si>
    <t>v4_sk</t>
  </si>
  <si>
    <t xml:space="preserve">cvgf.rsd </t>
  </si>
  <si>
    <t>Left?,Upper?</t>
  </si>
  <si>
    <t>name1_a.tex</t>
  </si>
  <si>
    <t xml:space="preserve">cvha.p </t>
  </si>
  <si>
    <t>Credits 1 A</t>
  </si>
  <si>
    <t xml:space="preserve">cqbc </t>
  </si>
  <si>
    <t xml:space="preserve">cvhb.rsd </t>
  </si>
  <si>
    <t xml:space="preserve">cvhc.p </t>
  </si>
  <si>
    <t xml:space="preserve">cvhd.rsd </t>
  </si>
  <si>
    <t xml:space="preserve">cvhe.p </t>
  </si>
  <si>
    <t xml:space="preserve">cvhf.tex </t>
  </si>
  <si>
    <t>Left?,Lower?</t>
  </si>
  <si>
    <t xml:space="preserve">cqbd </t>
  </si>
  <si>
    <t xml:space="preserve">cvia.tex </t>
  </si>
  <si>
    <t xml:space="preserve">Rufus: Upper Leg </t>
  </si>
  <si>
    <t xml:space="preserve">cvib.rsd </t>
  </si>
  <si>
    <t xml:space="preserve">cvic.p </t>
  </si>
  <si>
    <t xml:space="preserve">cvid.rsd </t>
  </si>
  <si>
    <t xml:space="preserve">cvie.p </t>
  </si>
  <si>
    <t>unknow if left or right</t>
  </si>
  <si>
    <t xml:space="preserve">cvif.rsd </t>
  </si>
  <si>
    <t xml:space="preserve">cqbe </t>
  </si>
  <si>
    <t xml:space="preserve">cvja.p </t>
  </si>
  <si>
    <t xml:space="preserve">cvjb.rsd </t>
  </si>
  <si>
    <t xml:space="preserve">cvjc.p </t>
  </si>
  <si>
    <t xml:space="preserve">cvjd.rsd </t>
  </si>
  <si>
    <t xml:space="preserve">cvje.p </t>
  </si>
  <si>
    <t xml:space="preserve">cvjf.rsd </t>
  </si>
  <si>
    <t>name1_b.tex</t>
  </si>
  <si>
    <t>Credits 1 B</t>
  </si>
  <si>
    <t xml:space="preserve">cwaa.p </t>
  </si>
  <si>
    <t xml:space="preserve">cqbf </t>
  </si>
  <si>
    <t xml:space="preserve">cwab.rsd </t>
  </si>
  <si>
    <t xml:space="preserve">cwac.p </t>
  </si>
  <si>
    <t xml:space="preserve">cwad.rsd </t>
  </si>
  <si>
    <t xml:space="preserve">cwae.p </t>
  </si>
  <si>
    <t xml:space="preserve">cwaf.rsd </t>
  </si>
  <si>
    <t xml:space="preserve">cwba.p </t>
  </si>
  <si>
    <t xml:space="preserve">cqbg </t>
  </si>
  <si>
    <t xml:space="preserve">cwbb.rsd </t>
  </si>
  <si>
    <t xml:space="preserve">cwbc.p </t>
  </si>
  <si>
    <t xml:space="preserve">cwbd.rsd </t>
  </si>
  <si>
    <t xml:space="preserve">cwbe.p </t>
  </si>
  <si>
    <t xml:space="preserve">cwbf.rsd </t>
  </si>
  <si>
    <t xml:space="preserve">cqbj </t>
  </si>
  <si>
    <t>Rufus: Upper Left Arm</t>
  </si>
  <si>
    <t xml:space="preserve">cwca.p </t>
  </si>
  <si>
    <t xml:space="preserve">cwcb.a </t>
  </si>
  <si>
    <t xml:space="preserve">cwcc.a </t>
  </si>
  <si>
    <t>name2.tex</t>
  </si>
  <si>
    <t xml:space="preserve">cwcd.a </t>
  </si>
  <si>
    <t>Credits 2</t>
  </si>
  <si>
    <t xml:space="preserve">cwce.a </t>
  </si>
  <si>
    <t xml:space="preserve">cwcf.a </t>
  </si>
  <si>
    <t xml:space="preserve">cwda.a </t>
  </si>
  <si>
    <t xml:space="preserve">cwdb.a </t>
  </si>
  <si>
    <t xml:space="preserve">cqbk </t>
  </si>
  <si>
    <t xml:space="preserve">cwdc.a </t>
  </si>
  <si>
    <t>Rufus: Lower Left Arm</t>
  </si>
  <si>
    <t xml:space="preserve">cwdd.a </t>
  </si>
  <si>
    <t xml:space="preserve">cwde.a </t>
  </si>
  <si>
    <t xml:space="preserve">cwdf.a </t>
  </si>
  <si>
    <t xml:space="preserve">cwea.a </t>
  </si>
  <si>
    <t xml:space="preserve">cweb.a </t>
  </si>
  <si>
    <t xml:space="preserve">cwec.a </t>
  </si>
  <si>
    <t xml:space="preserve">cwed.hrc </t>
  </si>
  <si>
    <t>w3_sk</t>
  </si>
  <si>
    <t xml:space="preserve">cqbl </t>
  </si>
  <si>
    <t xml:space="preserve">cwee.rsd </t>
  </si>
  <si>
    <t>Rufus: Left Hand</t>
  </si>
  <si>
    <t xml:space="preserve">cwef.p </t>
  </si>
  <si>
    <t xml:space="preserve">cwfa.rsd </t>
  </si>
  <si>
    <t>name2_a.tex</t>
  </si>
  <si>
    <t>Credits 2 A</t>
  </si>
  <si>
    <t xml:space="preserve">cwfb.p </t>
  </si>
  <si>
    <t xml:space="preserve">cqbn </t>
  </si>
  <si>
    <t>Rufus: Right Upper Jacket</t>
  </si>
  <si>
    <t xml:space="preserve">cwfc.rsd </t>
  </si>
  <si>
    <t xml:space="preserve">cwfd.p </t>
  </si>
  <si>
    <t xml:space="preserve">cwfe.tex </t>
  </si>
  <si>
    <t xml:space="preserve">cqbp </t>
  </si>
  <si>
    <t>Rufus: Left Upper Jacket</t>
  </si>
  <si>
    <t xml:space="preserve">cwff.tex </t>
  </si>
  <si>
    <t xml:space="preserve">cwga.tex </t>
  </si>
  <si>
    <t xml:space="preserve">cwgb.rsd </t>
  </si>
  <si>
    <t xml:space="preserve">cwgc.p </t>
  </si>
  <si>
    <t xml:space="preserve">cqbs </t>
  </si>
  <si>
    <t>Rufus: Upper Right Arm</t>
  </si>
  <si>
    <t xml:space="preserve">cwgd.rsd </t>
  </si>
  <si>
    <t xml:space="preserve">cwge.p </t>
  </si>
  <si>
    <t xml:space="preserve">cwgf.rsd </t>
  </si>
  <si>
    <t xml:space="preserve">cwha.p </t>
  </si>
  <si>
    <t xml:space="preserve">cqbt </t>
  </si>
  <si>
    <t>Rufus: Lower Right Arm</t>
  </si>
  <si>
    <t xml:space="preserve">cwhb.rsd </t>
  </si>
  <si>
    <t>name2_b.tex</t>
  </si>
  <si>
    <t>Credits 2 B</t>
  </si>
  <si>
    <t xml:space="preserve">cwhc.p </t>
  </si>
  <si>
    <t xml:space="preserve">cwhd.rsd </t>
  </si>
  <si>
    <t xml:space="preserve">cwhe.p </t>
  </si>
  <si>
    <t xml:space="preserve">cqbu </t>
  </si>
  <si>
    <t xml:space="preserve">cwhf.rsd </t>
  </si>
  <si>
    <t>8.9 K</t>
  </si>
  <si>
    <t>Rufus: Right Hand (with shotgun)</t>
  </si>
  <si>
    <t xml:space="preserve">cwia.p </t>
  </si>
  <si>
    <t xml:space="preserve">cwib.rsd </t>
  </si>
  <si>
    <t xml:space="preserve">cwic.p </t>
  </si>
  <si>
    <t xml:space="preserve">cqda </t>
  </si>
  <si>
    <t xml:space="preserve">cwid.rsd </t>
  </si>
  <si>
    <t xml:space="preserve">craa </t>
  </si>
  <si>
    <t>Dark Nation:Battle Skeleton</t>
  </si>
  <si>
    <t xml:space="preserve">cwie.p </t>
  </si>
  <si>
    <t xml:space="preserve">cwif.rsd </t>
  </si>
  <si>
    <t>Guard Hound clone 2 (araa)</t>
  </si>
  <si>
    <t xml:space="preserve">crab </t>
  </si>
  <si>
    <t xml:space="preserve">cwja.p </t>
  </si>
  <si>
    <t>Dark Nation: Unidentified Part</t>
  </si>
  <si>
    <t xml:space="preserve">cwjb.rsd </t>
  </si>
  <si>
    <t xml:space="preserve">cram </t>
  </si>
  <si>
    <t xml:space="preserve">cwjc.p </t>
  </si>
  <si>
    <t>name3.tex</t>
  </si>
  <si>
    <t>Credits 3</t>
  </si>
  <si>
    <t xml:space="preserve">cwjd.rsd </t>
  </si>
  <si>
    <t xml:space="preserve">cran </t>
  </si>
  <si>
    <t xml:space="preserve">cwje.p </t>
  </si>
  <si>
    <t xml:space="preserve">cwjf.rsd </t>
  </si>
  <si>
    <t xml:space="preserve">cxaa.p </t>
  </si>
  <si>
    <t xml:space="preserve">cxab.a </t>
  </si>
  <si>
    <t xml:space="preserve">cxac.a </t>
  </si>
  <si>
    <t xml:space="preserve">cxad.a </t>
  </si>
  <si>
    <t xml:space="preserve">crao </t>
  </si>
  <si>
    <t xml:space="preserve">cxae.a </t>
  </si>
  <si>
    <t xml:space="preserve">cxaf.a </t>
  </si>
  <si>
    <t xml:space="preserve">cxba.a </t>
  </si>
  <si>
    <t xml:space="preserve">cxbb.a </t>
  </si>
  <si>
    <t xml:space="preserve">cxbc.a </t>
  </si>
  <si>
    <t xml:space="preserve">cxbd.a </t>
  </si>
  <si>
    <t xml:space="preserve">cxbe.a </t>
  </si>
  <si>
    <t>name3_a.tex</t>
  </si>
  <si>
    <t xml:space="preserve">crap </t>
  </si>
  <si>
    <t xml:space="preserve">cxbf.a </t>
  </si>
  <si>
    <t>Credits 3 A</t>
  </si>
  <si>
    <t xml:space="preserve">cxca.a </t>
  </si>
  <si>
    <t xml:space="preserve">cxcb.a </t>
  </si>
  <si>
    <t xml:space="preserve">cxcc.a </t>
  </si>
  <si>
    <t xml:space="preserve">cxcd.a </t>
  </si>
  <si>
    <t xml:space="preserve">cxce.a </t>
  </si>
  <si>
    <t xml:space="preserve">cxcf.a </t>
  </si>
  <si>
    <t xml:space="preserve">cxda.a </t>
  </si>
  <si>
    <t xml:space="preserve">cxdb.a </t>
  </si>
  <si>
    <t xml:space="preserve">craq </t>
  </si>
  <si>
    <t xml:space="preserve">cxdc.a </t>
  </si>
  <si>
    <t xml:space="preserve">cxdd.a </t>
  </si>
  <si>
    <t xml:space="preserve">cxde.a </t>
  </si>
  <si>
    <t xml:space="preserve">cxdf.a </t>
  </si>
  <si>
    <t xml:space="preserve">cxea.a </t>
  </si>
  <si>
    <t xml:space="preserve">cxeb.a </t>
  </si>
  <si>
    <t xml:space="preserve">cxec.a </t>
  </si>
  <si>
    <t xml:space="preserve">cxed.a </t>
  </si>
  <si>
    <t xml:space="preserve">crar </t>
  </si>
  <si>
    <t>name3_b.tex</t>
  </si>
  <si>
    <t xml:space="preserve">cxee.a </t>
  </si>
  <si>
    <t>Credits 3 B</t>
  </si>
  <si>
    <t xml:space="preserve">cxef.a </t>
  </si>
  <si>
    <t xml:space="preserve">cxfa.a </t>
  </si>
  <si>
    <t xml:space="preserve">cxfb.a </t>
  </si>
  <si>
    <t xml:space="preserve">cxfc.a </t>
  </si>
  <si>
    <t xml:space="preserve">crat </t>
  </si>
  <si>
    <t xml:space="preserve">cxfd.a </t>
  </si>
  <si>
    <t xml:space="preserve">cxfe.a </t>
  </si>
  <si>
    <t xml:space="preserve">cxff.a </t>
  </si>
  <si>
    <t xml:space="preserve">cxga.a </t>
  </si>
  <si>
    <t xml:space="preserve">cxgb.a </t>
  </si>
  <si>
    <t xml:space="preserve">crau </t>
  </si>
  <si>
    <t xml:space="preserve">cxgc.a </t>
  </si>
  <si>
    <t xml:space="preserve">cxgd.a </t>
  </si>
  <si>
    <t xml:space="preserve">cxge.a </t>
  </si>
  <si>
    <t xml:space="preserve">cxgf.a </t>
  </si>
  <si>
    <t xml:space="preserve">crav </t>
  </si>
  <si>
    <t xml:space="preserve">cxha.a </t>
  </si>
  <si>
    <t xml:space="preserve">cxhb.a </t>
  </si>
  <si>
    <t>name4.tex</t>
  </si>
  <si>
    <t>Credits 4</t>
  </si>
  <si>
    <t xml:space="preserve">cxhc.a </t>
  </si>
  <si>
    <t xml:space="preserve">cxhd.a </t>
  </si>
  <si>
    <t xml:space="preserve">cxhe.a </t>
  </si>
  <si>
    <t xml:space="preserve">craw </t>
  </si>
  <si>
    <t xml:space="preserve">cxhf.a </t>
  </si>
  <si>
    <t xml:space="preserve">cxia.a </t>
  </si>
  <si>
    <t xml:space="preserve">cxib.a </t>
  </si>
  <si>
    <t xml:space="preserve">cxic.a </t>
  </si>
  <si>
    <t xml:space="preserve">cxid.a </t>
  </si>
  <si>
    <t xml:space="preserve">cxie.a </t>
  </si>
  <si>
    <t xml:space="preserve">cxif.a </t>
  </si>
  <si>
    <t xml:space="preserve">cxja.a </t>
  </si>
  <si>
    <t xml:space="preserve">cxjb.a </t>
  </si>
  <si>
    <t xml:space="preserve">cxjc.a </t>
  </si>
  <si>
    <t xml:space="preserve">crax </t>
  </si>
  <si>
    <t xml:space="preserve">cxjd.a </t>
  </si>
  <si>
    <t xml:space="preserve">cxje.a </t>
  </si>
  <si>
    <t xml:space="preserve">cxjf.a </t>
  </si>
  <si>
    <t xml:space="preserve">cyaa.a </t>
  </si>
  <si>
    <t>name4_a.tex</t>
  </si>
  <si>
    <t xml:space="preserve">cyab.a </t>
  </si>
  <si>
    <t>Credits 4 A</t>
  </si>
  <si>
    <t xml:space="preserve">cyac.a </t>
  </si>
  <si>
    <t xml:space="preserve">cray </t>
  </si>
  <si>
    <t xml:space="preserve">cyad.a </t>
  </si>
  <si>
    <t xml:space="preserve">cyae.hrc </t>
  </si>
  <si>
    <t>marine_sk</t>
  </si>
  <si>
    <t>Marlene</t>
  </si>
  <si>
    <t xml:space="preserve">cyaf.rsd </t>
  </si>
  <si>
    <t>Marlene: Lower Chest</t>
  </si>
  <si>
    <t xml:space="preserve">cyba.p </t>
  </si>
  <si>
    <t xml:space="preserve">cybb.rsd </t>
  </si>
  <si>
    <t>Marlene: Upper Chest</t>
  </si>
  <si>
    <t xml:space="preserve">cybc.p </t>
  </si>
  <si>
    <t xml:space="preserve">craz </t>
  </si>
  <si>
    <t xml:space="preserve">cybd.rsd </t>
  </si>
  <si>
    <t>Marlene: Head</t>
  </si>
  <si>
    <t xml:space="preserve">cybe.p </t>
  </si>
  <si>
    <t xml:space="preserve">cybf.tex </t>
  </si>
  <si>
    <t>Marlene: Eye</t>
  </si>
  <si>
    <t xml:space="preserve">cyca.tex </t>
  </si>
  <si>
    <t>name4_b.tex</t>
  </si>
  <si>
    <t xml:space="preserve">cycb.tex </t>
  </si>
  <si>
    <t>Credits 4 B</t>
  </si>
  <si>
    <t>Marlene: Mouth</t>
  </si>
  <si>
    <t xml:space="preserve">cycc.rsd </t>
  </si>
  <si>
    <t>Marlene: Upper Arm</t>
  </si>
  <si>
    <t xml:space="preserve">cycd.p </t>
  </si>
  <si>
    <t xml:space="preserve">crbb </t>
  </si>
  <si>
    <t xml:space="preserve">cyce.rsd </t>
  </si>
  <si>
    <t>Marlene: Lower Arm</t>
  </si>
  <si>
    <t xml:space="preserve">cycf.p </t>
  </si>
  <si>
    <t xml:space="preserve">cyda.rsd </t>
  </si>
  <si>
    <t>Marlene: Hand</t>
  </si>
  <si>
    <t xml:space="preserve">cydb.p </t>
  </si>
  <si>
    <t xml:space="preserve">cydc.rsd </t>
  </si>
  <si>
    <t xml:space="preserve">cydd.p </t>
  </si>
  <si>
    <t xml:space="preserve">crbc </t>
  </si>
  <si>
    <t xml:space="preserve">cyde.rsd </t>
  </si>
  <si>
    <t xml:space="preserve">cydf.p </t>
  </si>
  <si>
    <t xml:space="preserve">cyea.rsd </t>
  </si>
  <si>
    <t>name5.tex</t>
  </si>
  <si>
    <t xml:space="preserve">cyeb.p </t>
  </si>
  <si>
    <t>Credits 5</t>
  </si>
  <si>
    <t xml:space="preserve">crbd </t>
  </si>
  <si>
    <t xml:space="preserve">cyec.rsd </t>
  </si>
  <si>
    <t>Marlene: Upper Leg</t>
  </si>
  <si>
    <t xml:space="preserve">cyed.p </t>
  </si>
  <si>
    <t xml:space="preserve">cyee.rsd </t>
  </si>
  <si>
    <t>Marlene: Lower Leg</t>
  </si>
  <si>
    <t xml:space="preserve">cyef.p </t>
  </si>
  <si>
    <t xml:space="preserve">cyfa.rsd </t>
  </si>
  <si>
    <t>Marlene: Foot</t>
  </si>
  <si>
    <t xml:space="preserve">cyfb.p </t>
  </si>
  <si>
    <t xml:space="preserve">crbe </t>
  </si>
  <si>
    <t xml:space="preserve">cyfc.rsd </t>
  </si>
  <si>
    <t xml:space="preserve">cyfd.p </t>
  </si>
  <si>
    <t xml:space="preserve">cyfe.rsd </t>
  </si>
  <si>
    <t xml:space="preserve">cyff.p </t>
  </si>
  <si>
    <t xml:space="preserve">crbg </t>
  </si>
  <si>
    <t>name5_a.tex</t>
  </si>
  <si>
    <t>Credits 5 A</t>
  </si>
  <si>
    <t xml:space="preserve">cyga.rsd </t>
  </si>
  <si>
    <t xml:space="preserve">cygb.p </t>
  </si>
  <si>
    <t xml:space="preserve">cygc.a </t>
  </si>
  <si>
    <t xml:space="preserve">cygd.a </t>
  </si>
  <si>
    <t xml:space="preserve">cyge.a </t>
  </si>
  <si>
    <t xml:space="preserve">crbh </t>
  </si>
  <si>
    <t xml:space="preserve">cygf.a </t>
  </si>
  <si>
    <t xml:space="preserve">cyha.a </t>
  </si>
  <si>
    <t xml:space="preserve">cyhb.a </t>
  </si>
  <si>
    <t xml:space="preserve">cyhc.a </t>
  </si>
  <si>
    <t xml:space="preserve">cyhd.a </t>
  </si>
  <si>
    <t xml:space="preserve">cyhe.a </t>
  </si>
  <si>
    <t xml:space="preserve">cyhf.a </t>
  </si>
  <si>
    <t xml:space="preserve">cyia.a </t>
  </si>
  <si>
    <t xml:space="preserve">crbi </t>
  </si>
  <si>
    <t xml:space="preserve">cyib.a </t>
  </si>
  <si>
    <t xml:space="preserve">cyic.a </t>
  </si>
  <si>
    <t xml:space="preserve">cyid.a </t>
  </si>
  <si>
    <t>name5_b.tex</t>
  </si>
  <si>
    <t xml:space="preserve">cyie.a </t>
  </si>
  <si>
    <t>Credits 5 B</t>
  </si>
  <si>
    <t xml:space="preserve">cyif.hrc </t>
  </si>
  <si>
    <t>camera_sk</t>
  </si>
  <si>
    <t xml:space="preserve">cyja.rsd </t>
  </si>
  <si>
    <t xml:space="preserve">cyjb.p </t>
  </si>
  <si>
    <t xml:space="preserve">crbj </t>
  </si>
  <si>
    <t xml:space="preserve">cyjc.rsd </t>
  </si>
  <si>
    <t xml:space="preserve">cyjd.p </t>
  </si>
  <si>
    <t xml:space="preserve">cyje.rsd </t>
  </si>
  <si>
    <t xml:space="preserve">cyjf.p </t>
  </si>
  <si>
    <t xml:space="preserve">czaa.tex </t>
  </si>
  <si>
    <t xml:space="preserve">czab.tex </t>
  </si>
  <si>
    <t xml:space="preserve">crbk </t>
  </si>
  <si>
    <t xml:space="preserve">czac.tex </t>
  </si>
  <si>
    <t xml:space="preserve">czad.rsd </t>
  </si>
  <si>
    <t xml:space="preserve">czae.p </t>
  </si>
  <si>
    <t>name6.tex</t>
  </si>
  <si>
    <t>Credits 6</t>
  </si>
  <si>
    <t xml:space="preserve">czaf.rsd </t>
  </si>
  <si>
    <t xml:space="preserve">czba.p </t>
  </si>
  <si>
    <t xml:space="preserve">czbb.rsd </t>
  </si>
  <si>
    <t xml:space="preserve">crbm </t>
  </si>
  <si>
    <t xml:space="preserve">czbc.p </t>
  </si>
  <si>
    <t xml:space="preserve">czbd.rsd </t>
  </si>
  <si>
    <t xml:space="preserve">czbe.p </t>
  </si>
  <si>
    <t xml:space="preserve">czbf.rsd </t>
  </si>
  <si>
    <t xml:space="preserve">czca.p </t>
  </si>
  <si>
    <t xml:space="preserve">czcb.rsd </t>
  </si>
  <si>
    <t xml:space="preserve">crbn </t>
  </si>
  <si>
    <t xml:space="preserve">czcc.p </t>
  </si>
  <si>
    <t xml:space="preserve">czcd.rsd </t>
  </si>
  <si>
    <t xml:space="preserve">czce.p </t>
  </si>
  <si>
    <t>name6_a.tex</t>
  </si>
  <si>
    <t>Credits 6 A</t>
  </si>
  <si>
    <t xml:space="preserve">czcf.rsd </t>
  </si>
  <si>
    <t xml:space="preserve">czda.p </t>
  </si>
  <si>
    <t xml:space="preserve">czdb.rsd </t>
  </si>
  <si>
    <t xml:space="preserve">crbo </t>
  </si>
  <si>
    <t xml:space="preserve">czdc.p </t>
  </si>
  <si>
    <t xml:space="preserve">czdd.rsd </t>
  </si>
  <si>
    <t xml:space="preserve">czde.p </t>
  </si>
  <si>
    <t xml:space="preserve">czdf.rsd </t>
  </si>
  <si>
    <t xml:space="preserve">czea.p </t>
  </si>
  <si>
    <t xml:space="preserve">czeb.rsd </t>
  </si>
  <si>
    <t xml:space="preserve">crbp </t>
  </si>
  <si>
    <t xml:space="preserve">czec.p </t>
  </si>
  <si>
    <t xml:space="preserve">czed.hrc </t>
  </si>
  <si>
    <t>pinbl_sk</t>
  </si>
  <si>
    <t>Pinball (avalanche hideout)</t>
  </si>
  <si>
    <t xml:space="preserve">czee.rsd </t>
  </si>
  <si>
    <t>Pinball</t>
  </si>
  <si>
    <t xml:space="preserve">czef.p </t>
  </si>
  <si>
    <t>name6_b.tex</t>
  </si>
  <si>
    <t xml:space="preserve">czfa.tex </t>
  </si>
  <si>
    <t>Credits 6 B</t>
  </si>
  <si>
    <t xml:space="preserve">czfb.tex </t>
  </si>
  <si>
    <t xml:space="preserve">czfc.tex </t>
  </si>
  <si>
    <t xml:space="preserve">crbq </t>
  </si>
  <si>
    <t xml:space="preserve">czfd.tex </t>
  </si>
  <si>
    <t xml:space="preserve">czfe.tex </t>
  </si>
  <si>
    <t xml:space="preserve">czff.a </t>
  </si>
  <si>
    <t xml:space="preserve">czga.a </t>
  </si>
  <si>
    <t xml:space="preserve">czgb.hrc </t>
  </si>
  <si>
    <t>cash_sk</t>
  </si>
  <si>
    <t>Barret 's cash?</t>
  </si>
  <si>
    <t xml:space="preserve">czgc.rsd </t>
  </si>
  <si>
    <t>Cash</t>
  </si>
  <si>
    <t xml:space="preserve">crbs </t>
  </si>
  <si>
    <t xml:space="preserve">czgd.p </t>
  </si>
  <si>
    <t xml:space="preserve">czge.a </t>
  </si>
  <si>
    <t xml:space="preserve">czgf.hrc </t>
  </si>
  <si>
    <t>hana_sk</t>
  </si>
  <si>
    <t>Flowers</t>
  </si>
  <si>
    <t xml:space="preserve">czha.rsd </t>
  </si>
  <si>
    <t xml:space="preserve">czhb.p </t>
  </si>
  <si>
    <t xml:space="preserve">czhc.a </t>
  </si>
  <si>
    <t>name7.tex</t>
  </si>
  <si>
    <t xml:space="preserve">czhd.a </t>
  </si>
  <si>
    <t>Credits 7</t>
  </si>
  <si>
    <t xml:space="preserve">crbt </t>
  </si>
  <si>
    <t xml:space="preserve">czhe.a </t>
  </si>
  <si>
    <t xml:space="preserve">czhf.a </t>
  </si>
  <si>
    <t xml:space="preserve">czia.a </t>
  </si>
  <si>
    <t xml:space="preserve">czib.a </t>
  </si>
  <si>
    <t xml:space="preserve">czic.a </t>
  </si>
  <si>
    <t xml:space="preserve">czid.a </t>
  </si>
  <si>
    <t xml:space="preserve">czie.a </t>
  </si>
  <si>
    <t xml:space="preserve">czif.a </t>
  </si>
  <si>
    <t xml:space="preserve">czja.a </t>
  </si>
  <si>
    <t xml:space="preserve">czjb.a </t>
  </si>
  <si>
    <t xml:space="preserve">crbu </t>
  </si>
  <si>
    <t xml:space="preserve">czjc.a </t>
  </si>
  <si>
    <t xml:space="preserve">czjd.a </t>
  </si>
  <si>
    <t xml:space="preserve">czje.a </t>
  </si>
  <si>
    <t xml:space="preserve">czjf.a </t>
  </si>
  <si>
    <t xml:space="preserve">daaa.a </t>
  </si>
  <si>
    <t xml:space="preserve">daab.a </t>
  </si>
  <si>
    <t>name7_a.tex</t>
  </si>
  <si>
    <t xml:space="preserve">daac.a </t>
  </si>
  <si>
    <t>Credits 7 A</t>
  </si>
  <si>
    <t xml:space="preserve">daad.a </t>
  </si>
  <si>
    <t xml:space="preserve">daae.a </t>
  </si>
  <si>
    <t xml:space="preserve">daaf.a </t>
  </si>
  <si>
    <t xml:space="preserve">daba.a </t>
  </si>
  <si>
    <t xml:space="preserve">dabb.a </t>
  </si>
  <si>
    <t xml:space="preserve">dabc.a </t>
  </si>
  <si>
    <t xml:space="preserve">crbv </t>
  </si>
  <si>
    <t xml:space="preserve">dabd.a </t>
  </si>
  <si>
    <t xml:space="preserve">dabe.a </t>
  </si>
  <si>
    <t xml:space="preserve">dabf.hrc </t>
  </si>
  <si>
    <t>mtra8_sk</t>
  </si>
  <si>
    <t xml:space="preserve">daca.rsd </t>
  </si>
  <si>
    <t xml:space="preserve">Spell Materia (Green) </t>
  </si>
  <si>
    <t xml:space="preserve">dacb.p </t>
  </si>
  <si>
    <t xml:space="preserve">dacc.a </t>
  </si>
  <si>
    <t xml:space="preserve">dacd.a </t>
  </si>
  <si>
    <t xml:space="preserve">dace.a </t>
  </si>
  <si>
    <t xml:space="preserve">crbw </t>
  </si>
  <si>
    <t xml:space="preserve">dacf.a </t>
  </si>
  <si>
    <t xml:space="preserve">dada.a </t>
  </si>
  <si>
    <t xml:space="preserve">dadb.a </t>
  </si>
  <si>
    <t xml:space="preserve">dadc.a </t>
  </si>
  <si>
    <t xml:space="preserve">dadd.a </t>
  </si>
  <si>
    <t xml:space="preserve">dade.a </t>
  </si>
  <si>
    <t xml:space="preserve">dadf.a </t>
  </si>
  <si>
    <t>name7_b.tex</t>
  </si>
  <si>
    <t xml:space="preserve">daea.a </t>
  </si>
  <si>
    <t>Credits 7 B</t>
  </si>
  <si>
    <t xml:space="preserve">daeb.a </t>
  </si>
  <si>
    <t xml:space="preserve">crda </t>
  </si>
  <si>
    <t>8.7 K</t>
  </si>
  <si>
    <t xml:space="preserve">daec.a </t>
  </si>
  <si>
    <t xml:space="preserve">daed.a </t>
  </si>
  <si>
    <t xml:space="preserve">csaa </t>
  </si>
  <si>
    <t xml:space="preserve">daee.a </t>
  </si>
  <si>
    <t>Helicopter: Battle Skeleton</t>
  </si>
  <si>
    <t xml:space="preserve">daef.a </t>
  </si>
  <si>
    <t xml:space="preserve">dafa.a </t>
  </si>
  <si>
    <t xml:space="preserve">dafb.hrc </t>
  </si>
  <si>
    <t>w2_sk</t>
  </si>
  <si>
    <t xml:space="preserve">dafc.rsd </t>
  </si>
  <si>
    <t xml:space="preserve">dafd.p </t>
  </si>
  <si>
    <t xml:space="preserve">dafe.rsd </t>
  </si>
  <si>
    <t xml:space="preserve">daff.p </t>
  </si>
  <si>
    <t xml:space="preserve">csab </t>
  </si>
  <si>
    <t xml:space="preserve">daga.rsd </t>
  </si>
  <si>
    <t xml:space="preserve">dagb.p </t>
  </si>
  <si>
    <t xml:space="preserve">dagc.tex </t>
  </si>
  <si>
    <t>Helicopter: Unidentified Part</t>
  </si>
  <si>
    <t>name8.tex</t>
  </si>
  <si>
    <t>Credits 8</t>
  </si>
  <si>
    <t xml:space="preserve">dagd.tex </t>
  </si>
  <si>
    <t xml:space="preserve">csam </t>
  </si>
  <si>
    <t xml:space="preserve">dage.tex </t>
  </si>
  <si>
    <t>Helicopter: Main Body</t>
  </si>
  <si>
    <t xml:space="preserve">dagf.rsd </t>
  </si>
  <si>
    <t xml:space="preserve">daha.p </t>
  </si>
  <si>
    <t xml:space="preserve">dahb.rsd </t>
  </si>
  <si>
    <t xml:space="preserve">dahc.p </t>
  </si>
  <si>
    <t xml:space="preserve">dahd.rsd </t>
  </si>
  <si>
    <t xml:space="preserve">csao </t>
  </si>
  <si>
    <t xml:space="preserve">dahe.p </t>
  </si>
  <si>
    <t>Helicopter: Rear Rotor</t>
  </si>
  <si>
    <t xml:space="preserve">dahf.rsd </t>
  </si>
  <si>
    <t xml:space="preserve">daia.p </t>
  </si>
  <si>
    <t xml:space="preserve">daib.rsd </t>
  </si>
  <si>
    <t xml:space="preserve">daic.p </t>
  </si>
  <si>
    <t xml:space="preserve">daid.rsd </t>
  </si>
  <si>
    <t>name8_a.tex</t>
  </si>
  <si>
    <t>Credits 8 A</t>
  </si>
  <si>
    <t xml:space="preserve">daie.p </t>
  </si>
  <si>
    <t xml:space="preserve">csaq </t>
  </si>
  <si>
    <t>Helicopter: Main Rotor</t>
  </si>
  <si>
    <t xml:space="preserve">daif.rsd </t>
  </si>
  <si>
    <t xml:space="preserve">daja.p </t>
  </si>
  <si>
    <t xml:space="preserve">dajb.rsd </t>
  </si>
  <si>
    <t xml:space="preserve">dajc.p </t>
  </si>
  <si>
    <t xml:space="preserve">dajd.rsd </t>
  </si>
  <si>
    <t xml:space="preserve">csda </t>
  </si>
  <si>
    <t xml:space="preserve">daje.p </t>
  </si>
  <si>
    <t xml:space="preserve">dajf.rsd </t>
  </si>
  <si>
    <t xml:space="preserve">ctaa </t>
  </si>
  <si>
    <t>592 Bytes</t>
  </si>
  <si>
    <t>Motor Ball: Battle Skeleton</t>
  </si>
  <si>
    <t xml:space="preserve">dbaa.p </t>
  </si>
  <si>
    <t>name8_b.tex</t>
  </si>
  <si>
    <t>Credits 8 B</t>
  </si>
  <si>
    <t xml:space="preserve">dbab.rsd </t>
  </si>
  <si>
    <t xml:space="preserve">dbac.p </t>
  </si>
  <si>
    <t xml:space="preserve">dbad.rsd </t>
  </si>
  <si>
    <t xml:space="preserve">dbae.p </t>
  </si>
  <si>
    <t xml:space="preserve">dbaf.a </t>
  </si>
  <si>
    <t xml:space="preserve">ctab </t>
  </si>
  <si>
    <t>492 Bytes</t>
  </si>
  <si>
    <t xml:space="preserve">dbba.a </t>
  </si>
  <si>
    <t>Motor Ball: Unidentified Part</t>
  </si>
  <si>
    <t xml:space="preserve">dbbb.a </t>
  </si>
  <si>
    <t xml:space="preserve">dbbc.a </t>
  </si>
  <si>
    <t xml:space="preserve">ctam </t>
  </si>
  <si>
    <t xml:space="preserve">dbbd.a </t>
  </si>
  <si>
    <t xml:space="preserve">dbbe.a </t>
  </si>
  <si>
    <t xml:space="preserve">dbbf.a </t>
  </si>
  <si>
    <t xml:space="preserve">dbca.a </t>
  </si>
  <si>
    <t xml:space="preserve">dbcb.a </t>
  </si>
  <si>
    <t xml:space="preserve">dbcc.a </t>
  </si>
  <si>
    <t>opback_a.tex</t>
  </si>
  <si>
    <t xml:space="preserve">dbcd.a </t>
  </si>
  <si>
    <t>Opening Back Ground A</t>
  </si>
  <si>
    <t xml:space="preserve">dbce.a </t>
  </si>
  <si>
    <t xml:space="preserve">ctan </t>
  </si>
  <si>
    <t xml:space="preserve">dbcf.a </t>
  </si>
  <si>
    <t xml:space="preserve">dbda.a </t>
  </si>
  <si>
    <t xml:space="preserve">dbdb.a </t>
  </si>
  <si>
    <t xml:space="preserve">dbdc.a </t>
  </si>
  <si>
    <t xml:space="preserve">dbdd.a </t>
  </si>
  <si>
    <t xml:space="preserve">dbde.a </t>
  </si>
  <si>
    <t>opback_b.tex</t>
  </si>
  <si>
    <t xml:space="preserve">dbdf.a </t>
  </si>
  <si>
    <t>Opening Back Ground B</t>
  </si>
  <si>
    <t xml:space="preserve">dbea.a </t>
  </si>
  <si>
    <t xml:space="preserve">ctao </t>
  </si>
  <si>
    <t xml:space="preserve">dbeb.a </t>
  </si>
  <si>
    <t xml:space="preserve">dbec.hrc </t>
  </si>
  <si>
    <t>sd_tuon_sk</t>
  </si>
  <si>
    <t xml:space="preserve">dbed.rsd </t>
  </si>
  <si>
    <t xml:space="preserve">dbee.p </t>
  </si>
  <si>
    <t xml:space="preserve">dbef.rsd </t>
  </si>
  <si>
    <t>opback_c.tex</t>
  </si>
  <si>
    <t>Opening Back Ground C</t>
  </si>
  <si>
    <t xml:space="preserve">dbfa.p </t>
  </si>
  <si>
    <t xml:space="preserve">ctax </t>
  </si>
  <si>
    <t xml:space="preserve">dbfb.rsd </t>
  </si>
  <si>
    <t xml:space="preserve">dbfc.p </t>
  </si>
  <si>
    <t xml:space="preserve">dbfd.tex </t>
  </si>
  <si>
    <t xml:space="preserve">dbfe.tex </t>
  </si>
  <si>
    <t>opback_d.tex</t>
  </si>
  <si>
    <t>Opening Back Ground D</t>
  </si>
  <si>
    <t xml:space="preserve">dbff.tex </t>
  </si>
  <si>
    <t xml:space="preserve">ctay </t>
  </si>
  <si>
    <t xml:space="preserve">dbga.rsd </t>
  </si>
  <si>
    <t xml:space="preserve">dbgb.p </t>
  </si>
  <si>
    <t xml:space="preserve">dbgc.rsd </t>
  </si>
  <si>
    <t xml:space="preserve">ctaz </t>
  </si>
  <si>
    <t xml:space="preserve">dbgd.p </t>
  </si>
  <si>
    <t xml:space="preserve">dbge.rsd </t>
  </si>
  <si>
    <t>opback_e.tex</t>
  </si>
  <si>
    <t>Opening Back Ground F</t>
  </si>
  <si>
    <t xml:space="preserve">dbgf.p </t>
  </si>
  <si>
    <t xml:space="preserve">dbha.rsd </t>
  </si>
  <si>
    <t xml:space="preserve">ctba </t>
  </si>
  <si>
    <t xml:space="preserve">dbhb.p </t>
  </si>
  <si>
    <t xml:space="preserve">dbhc.rsd </t>
  </si>
  <si>
    <t xml:space="preserve">dbhd.p </t>
  </si>
  <si>
    <t>opback_f.tex</t>
  </si>
  <si>
    <t xml:space="preserve">dbhe.rsd </t>
  </si>
  <si>
    <t>Opening Back Ground G</t>
  </si>
  <si>
    <t xml:space="preserve">dbhf.p </t>
  </si>
  <si>
    <t xml:space="preserve">dbia.rsd </t>
  </si>
  <si>
    <t xml:space="preserve">ctbb </t>
  </si>
  <si>
    <t xml:space="preserve">dbib.p </t>
  </si>
  <si>
    <t xml:space="preserve">dbic.rsd </t>
  </si>
  <si>
    <t>opback1.tex</t>
  </si>
  <si>
    <t xml:space="preserve">dbid.p </t>
  </si>
  <si>
    <t>Opening Back Ground 1</t>
  </si>
  <si>
    <t xml:space="preserve">dbie.rsd </t>
  </si>
  <si>
    <t xml:space="preserve">dbif.p </t>
  </si>
  <si>
    <t xml:space="preserve">ctbd </t>
  </si>
  <si>
    <t xml:space="preserve">dbja.rsd </t>
  </si>
  <si>
    <t xml:space="preserve">dbjb.p </t>
  </si>
  <si>
    <t>opback2.tex</t>
  </si>
  <si>
    <t xml:space="preserve">dbjc.rsd </t>
  </si>
  <si>
    <t>Opening Back Ground 2</t>
  </si>
  <si>
    <t xml:space="preserve">dbjd.p </t>
  </si>
  <si>
    <t xml:space="preserve">ctbe </t>
  </si>
  <si>
    <t xml:space="preserve">dbje.rsd </t>
  </si>
  <si>
    <t xml:space="preserve">dbjf.p </t>
  </si>
  <si>
    <t xml:space="preserve">dcaa.rsd </t>
  </si>
  <si>
    <t xml:space="preserve">dcab.p </t>
  </si>
  <si>
    <t>people.bin</t>
  </si>
  <si>
    <t xml:space="preserve">dcac.a </t>
  </si>
  <si>
    <t xml:space="preserve">dcad.a </t>
  </si>
  <si>
    <t xml:space="preserve">ctbf </t>
  </si>
  <si>
    <t xml:space="preserve">dcae.a </t>
  </si>
  <si>
    <t xml:space="preserve">dcaf.a </t>
  </si>
  <si>
    <t xml:space="preserve">dcba.a </t>
  </si>
  <si>
    <t xml:space="preserve">dcbb.a </t>
  </si>
  <si>
    <t xml:space="preserve">dcbc.a </t>
  </si>
  <si>
    <t xml:space="preserve">ctbg </t>
  </si>
  <si>
    <t xml:space="preserve">dcbd.a </t>
  </si>
  <si>
    <t xml:space="preserve">dcbe.a </t>
  </si>
  <si>
    <t>aeris_a.tex</t>
  </si>
  <si>
    <t xml:space="preserve">dcbf.a </t>
  </si>
  <si>
    <t>Aerith Still Part 1</t>
  </si>
  <si>
    <t xml:space="preserve">dcca.a </t>
  </si>
  <si>
    <t xml:space="preserve">ctbh </t>
  </si>
  <si>
    <t>8.6 K</t>
  </si>
  <si>
    <t xml:space="preserve">dccb.a </t>
  </si>
  <si>
    <t xml:space="preserve">dccc.a </t>
  </si>
  <si>
    <t xml:space="preserve">dccd.a </t>
  </si>
  <si>
    <t xml:space="preserve">dcce.hrc </t>
  </si>
  <si>
    <t>plr3rop2_sk</t>
  </si>
  <si>
    <t xml:space="preserve">ctbi </t>
  </si>
  <si>
    <t xml:space="preserve">dccf.rsd </t>
  </si>
  <si>
    <t xml:space="preserve">dcda.p </t>
  </si>
  <si>
    <t xml:space="preserve">dcdb.rsd </t>
  </si>
  <si>
    <t>aeris_b.tex</t>
  </si>
  <si>
    <t xml:space="preserve">dcdc.p </t>
  </si>
  <si>
    <t>Aerith Still Part 2</t>
  </si>
  <si>
    <t xml:space="preserve">dcdd.a </t>
  </si>
  <si>
    <t xml:space="preserve">ctbk </t>
  </si>
  <si>
    <t xml:space="preserve">dcde.a </t>
  </si>
  <si>
    <t xml:space="preserve">dcdf.a </t>
  </si>
  <si>
    <t xml:space="preserve">dcea.a </t>
  </si>
  <si>
    <t xml:space="preserve">dceb.a </t>
  </si>
  <si>
    <t xml:space="preserve">dcec.a </t>
  </si>
  <si>
    <t xml:space="preserve">dced.a </t>
  </si>
  <si>
    <t xml:space="preserve">dcee.a </t>
  </si>
  <si>
    <t xml:space="preserve">dcef.a </t>
  </si>
  <si>
    <t xml:space="preserve">ctbl </t>
  </si>
  <si>
    <t xml:space="preserve">dcfa.a </t>
  </si>
  <si>
    <t xml:space="preserve">dcfb.hrc </t>
  </si>
  <si>
    <t>aeris_c.tex</t>
  </si>
  <si>
    <t>potion_g_sk</t>
  </si>
  <si>
    <t>Aerith Still Part 3</t>
  </si>
  <si>
    <t xml:space="preserve">dcfc.rsd </t>
  </si>
  <si>
    <t xml:space="preserve">dcfd.p </t>
  </si>
  <si>
    <t xml:space="preserve">dcfe.a </t>
  </si>
  <si>
    <t xml:space="preserve">ctbn </t>
  </si>
  <si>
    <t xml:space="preserve">dcff.a </t>
  </si>
  <si>
    <t xml:space="preserve">dcga.a </t>
  </si>
  <si>
    <t xml:space="preserve">dcgb.a </t>
  </si>
  <si>
    <t xml:space="preserve">dcgc.a </t>
  </si>
  <si>
    <t>aeris_d.tex</t>
  </si>
  <si>
    <t xml:space="preserve">dcgd.a </t>
  </si>
  <si>
    <t>Aerith Still Part 4</t>
  </si>
  <si>
    <t xml:space="preserve">dcge.a </t>
  </si>
  <si>
    <t xml:space="preserve">dcgf.a </t>
  </si>
  <si>
    <t xml:space="preserve">ctbo </t>
  </si>
  <si>
    <t xml:space="preserve">dcha.a </t>
  </si>
  <si>
    <t xml:space="preserve">dchb.a </t>
  </si>
  <si>
    <t xml:space="preserve">dchc.a </t>
  </si>
  <si>
    <t xml:space="preserve">dchd.a </t>
  </si>
  <si>
    <t>aeris_x.tex</t>
  </si>
  <si>
    <t xml:space="preserve">dche.a </t>
  </si>
  <si>
    <t>Aerith Still Part 5</t>
  </si>
  <si>
    <t xml:space="preserve">ctbp </t>
  </si>
  <si>
    <t xml:space="preserve">dchf.a </t>
  </si>
  <si>
    <t xml:space="preserve">dcia.a </t>
  </si>
  <si>
    <t xml:space="preserve">dcib.a </t>
  </si>
  <si>
    <t xml:space="preserve">dcic.hrc </t>
  </si>
  <si>
    <t>man5_sk</t>
  </si>
  <si>
    <t xml:space="preserve">dcid.rsd </t>
  </si>
  <si>
    <t xml:space="preserve">dcie.p </t>
  </si>
  <si>
    <t xml:space="preserve">ctbr </t>
  </si>
  <si>
    <t xml:space="preserve">dcif.rsd </t>
  </si>
  <si>
    <t>barr_a.tex</t>
  </si>
  <si>
    <t>Barret Still Part 1</t>
  </si>
  <si>
    <t xml:space="preserve">dcja.p </t>
  </si>
  <si>
    <t xml:space="preserve">dcjb.rsd </t>
  </si>
  <si>
    <t xml:space="preserve">dcjc.p </t>
  </si>
  <si>
    <t xml:space="preserve">dcjd.tex </t>
  </si>
  <si>
    <t xml:space="preserve">dcje.tex </t>
  </si>
  <si>
    <t xml:space="preserve">dcjf.tex </t>
  </si>
  <si>
    <t xml:space="preserve">ctbs </t>
  </si>
  <si>
    <t>barr_b.tex</t>
  </si>
  <si>
    <t xml:space="preserve">ddaa.rsd </t>
  </si>
  <si>
    <t>Barret Still Part 2</t>
  </si>
  <si>
    <t xml:space="preserve">ddab.p </t>
  </si>
  <si>
    <t xml:space="preserve">ddac.rsd </t>
  </si>
  <si>
    <t xml:space="preserve">ddad.p </t>
  </si>
  <si>
    <t xml:space="preserve">ddae.rsd </t>
  </si>
  <si>
    <t xml:space="preserve">ddaf.p </t>
  </si>
  <si>
    <t xml:space="preserve">ctbt </t>
  </si>
  <si>
    <t>barr_c.tex</t>
  </si>
  <si>
    <t xml:space="preserve">ddba.rsd </t>
  </si>
  <si>
    <t>Barret Still Part 3</t>
  </si>
  <si>
    <t xml:space="preserve">ddbb.p </t>
  </si>
  <si>
    <t xml:space="preserve">ddbc.rsd </t>
  </si>
  <si>
    <t xml:space="preserve">ddbd.p </t>
  </si>
  <si>
    <t xml:space="preserve">ddbe.rsd </t>
  </si>
  <si>
    <t xml:space="preserve">ddbf.p </t>
  </si>
  <si>
    <t>barr_d.tex</t>
  </si>
  <si>
    <t xml:space="preserve">ddca.rsd </t>
  </si>
  <si>
    <t xml:space="preserve">ctbv </t>
  </si>
  <si>
    <t>Barret Still Part 4</t>
  </si>
  <si>
    <t xml:space="preserve">ddcb.p </t>
  </si>
  <si>
    <t xml:space="preserve">ddcc.rsd </t>
  </si>
  <si>
    <t xml:space="preserve">ddcd.p </t>
  </si>
  <si>
    <t xml:space="preserve">ctbw </t>
  </si>
  <si>
    <t xml:space="preserve">ddce.rsd </t>
  </si>
  <si>
    <t xml:space="preserve">ddcf.p </t>
  </si>
  <si>
    <t>barr_x.tex</t>
  </si>
  <si>
    <t xml:space="preserve">ddda.rsd </t>
  </si>
  <si>
    <t>Barret Still Part 5</t>
  </si>
  <si>
    <t xml:space="preserve">dddb.p </t>
  </si>
  <si>
    <t xml:space="preserve">dddc.rsd </t>
  </si>
  <si>
    <t xml:space="preserve">dddd.p </t>
  </si>
  <si>
    <t xml:space="preserve">ctby </t>
  </si>
  <si>
    <t xml:space="preserve">ddde.rsd </t>
  </si>
  <si>
    <t xml:space="preserve">dddf.p </t>
  </si>
  <si>
    <t xml:space="preserve">ddea.a </t>
  </si>
  <si>
    <t xml:space="preserve">ddeb.a </t>
  </si>
  <si>
    <t xml:space="preserve">ddec.a </t>
  </si>
  <si>
    <t>cid_a.tex</t>
  </si>
  <si>
    <t xml:space="preserve">dded.a </t>
  </si>
  <si>
    <t xml:space="preserve">ctbz </t>
  </si>
  <si>
    <t>Cid Still Part 1</t>
  </si>
  <si>
    <t xml:space="preserve">ddee.a </t>
  </si>
  <si>
    <t xml:space="preserve">ddef.a </t>
  </si>
  <si>
    <t xml:space="preserve">ddfa.a </t>
  </si>
  <si>
    <t xml:space="preserve">ddfb.a </t>
  </si>
  <si>
    <t xml:space="preserve">ddfc.a </t>
  </si>
  <si>
    <t xml:space="preserve">ddfd.a </t>
  </si>
  <si>
    <t xml:space="preserve">ddfe.a </t>
  </si>
  <si>
    <t xml:space="preserve">ddff.a </t>
  </si>
  <si>
    <t xml:space="preserve">ctca </t>
  </si>
  <si>
    <t xml:space="preserve">ddga.a </t>
  </si>
  <si>
    <t xml:space="preserve">ddgb.a </t>
  </si>
  <si>
    <t>cid_b.tex</t>
  </si>
  <si>
    <t xml:space="preserve">ddgc.a </t>
  </si>
  <si>
    <t>Cid Still Part 2</t>
  </si>
  <si>
    <t xml:space="preserve">ddgd.a </t>
  </si>
  <si>
    <t xml:space="preserve">ddge.a </t>
  </si>
  <si>
    <t xml:space="preserve">ddgf.a </t>
  </si>
  <si>
    <t xml:space="preserve">ddha.hrc </t>
  </si>
  <si>
    <t>man_sol_sk</t>
  </si>
  <si>
    <t xml:space="preserve">ctcc </t>
  </si>
  <si>
    <t xml:space="preserve">ddhb.rsd </t>
  </si>
  <si>
    <t xml:space="preserve">ddhc.p </t>
  </si>
  <si>
    <t xml:space="preserve">ddhd.rsd </t>
  </si>
  <si>
    <t xml:space="preserve">ddhe.p </t>
  </si>
  <si>
    <t>cid_c.tex</t>
  </si>
  <si>
    <t xml:space="preserve">ddhf.rsd </t>
  </si>
  <si>
    <t>Cid Still Part 3</t>
  </si>
  <si>
    <t xml:space="preserve">ctcd </t>
  </si>
  <si>
    <t xml:space="preserve">ddia.p </t>
  </si>
  <si>
    <t xml:space="preserve">ddib.tex </t>
  </si>
  <si>
    <t xml:space="preserve">ddic.tex </t>
  </si>
  <si>
    <t xml:space="preserve">ddid.tex </t>
  </si>
  <si>
    <t xml:space="preserve">ddie.rsd </t>
  </si>
  <si>
    <t xml:space="preserve">ctce </t>
  </si>
  <si>
    <t xml:space="preserve">ddif.p </t>
  </si>
  <si>
    <t xml:space="preserve">ddja.rsd </t>
  </si>
  <si>
    <t>cid_d.tex</t>
  </si>
  <si>
    <t xml:space="preserve">ddjb.p </t>
  </si>
  <si>
    <t>Cid Still Part 4</t>
  </si>
  <si>
    <t xml:space="preserve">ddjc.rsd </t>
  </si>
  <si>
    <t xml:space="preserve">ddjd.p </t>
  </si>
  <si>
    <t xml:space="preserve">ddje.rsd </t>
  </si>
  <si>
    <t xml:space="preserve">ctda </t>
  </si>
  <si>
    <t>32 K</t>
  </si>
  <si>
    <t xml:space="preserve">ddjf.p </t>
  </si>
  <si>
    <t xml:space="preserve">deaa.rsd </t>
  </si>
  <si>
    <t xml:space="preserve">cuaa </t>
  </si>
  <si>
    <t>340 Bytes</t>
  </si>
  <si>
    <t xml:space="preserve">deab.p </t>
  </si>
  <si>
    <t>Devil Ride: Battle Skeleton</t>
  </si>
  <si>
    <t xml:space="preserve">deac.rsd </t>
  </si>
  <si>
    <t xml:space="preserve">dead.p </t>
  </si>
  <si>
    <t>cid_x.tex</t>
  </si>
  <si>
    <t>Cid Still Part 5</t>
  </si>
  <si>
    <t xml:space="preserve">deae.rsd </t>
  </si>
  <si>
    <t xml:space="preserve">cuab </t>
  </si>
  <si>
    <t>Devil Ride: Unidentified Part</t>
  </si>
  <si>
    <t xml:space="preserve">deaf.p </t>
  </si>
  <si>
    <t xml:space="preserve">cuam </t>
  </si>
  <si>
    <t xml:space="preserve">deba.rsd </t>
  </si>
  <si>
    <t>36 K</t>
  </si>
  <si>
    <t xml:space="preserve">debb.p </t>
  </si>
  <si>
    <t xml:space="preserve">debc.rsd </t>
  </si>
  <si>
    <t>cloud_a.tex</t>
  </si>
  <si>
    <t xml:space="preserve">debd.p </t>
  </si>
  <si>
    <t>Cloud Still Part 1</t>
  </si>
  <si>
    <t xml:space="preserve">debe.rsd </t>
  </si>
  <si>
    <t xml:space="preserve">cuao </t>
  </si>
  <si>
    <t xml:space="preserve">debf.p </t>
  </si>
  <si>
    <t xml:space="preserve">deca.rsd </t>
  </si>
  <si>
    <t xml:space="preserve">decb.p </t>
  </si>
  <si>
    <t xml:space="preserve">decc.rsd </t>
  </si>
  <si>
    <t xml:space="preserve">decd.p </t>
  </si>
  <si>
    <t>cloud_b.tex</t>
  </si>
  <si>
    <t xml:space="preserve">dece.a </t>
  </si>
  <si>
    <t>Cloud Still Part 2</t>
  </si>
  <si>
    <t xml:space="preserve">decf.a </t>
  </si>
  <si>
    <t xml:space="preserve">deda.hrc </t>
  </si>
  <si>
    <t>m3_sk</t>
  </si>
  <si>
    <t xml:space="preserve">cuaq </t>
  </si>
  <si>
    <t xml:space="preserve">dedb.rsd </t>
  </si>
  <si>
    <t xml:space="preserve">dedc.p </t>
  </si>
  <si>
    <t xml:space="preserve">dedd.rsd </t>
  </si>
  <si>
    <t xml:space="preserve">dede.p </t>
  </si>
  <si>
    <t xml:space="preserve">dedf.rsd </t>
  </si>
  <si>
    <t xml:space="preserve">deea.p </t>
  </si>
  <si>
    <t xml:space="preserve">deeb.tex </t>
  </si>
  <si>
    <t>cloud_c.tex</t>
  </si>
  <si>
    <t>Cloud Still Part 3</t>
  </si>
  <si>
    <t xml:space="preserve">deec.tex </t>
  </si>
  <si>
    <t xml:space="preserve">deed.tex </t>
  </si>
  <si>
    <t xml:space="preserve">deee.rsd </t>
  </si>
  <si>
    <t xml:space="preserve">cuav </t>
  </si>
  <si>
    <t xml:space="preserve">deef.p </t>
  </si>
  <si>
    <t xml:space="preserve">defa.rsd </t>
  </si>
  <si>
    <t xml:space="preserve">defb.p </t>
  </si>
  <si>
    <t xml:space="preserve">defc.rsd </t>
  </si>
  <si>
    <t xml:space="preserve">defd.p </t>
  </si>
  <si>
    <t>cloud_d.tex</t>
  </si>
  <si>
    <t xml:space="preserve">defe.rsd </t>
  </si>
  <si>
    <t>Cloud Still Part 4</t>
  </si>
  <si>
    <t xml:space="preserve">cuaw </t>
  </si>
  <si>
    <t xml:space="preserve">deff.p </t>
  </si>
  <si>
    <t xml:space="preserve">dega.rsd </t>
  </si>
  <si>
    <t xml:space="preserve">degb.p </t>
  </si>
  <si>
    <t xml:space="preserve">degc.rsd </t>
  </si>
  <si>
    <t xml:space="preserve">degd.p </t>
  </si>
  <si>
    <t xml:space="preserve">dege.rsd </t>
  </si>
  <si>
    <t xml:space="preserve">cuax </t>
  </si>
  <si>
    <t xml:space="preserve">degf.p </t>
  </si>
  <si>
    <t xml:space="preserve">deha.rsd </t>
  </si>
  <si>
    <t>cloud_x.tex</t>
  </si>
  <si>
    <t>Cloud Still Part 5</t>
  </si>
  <si>
    <t xml:space="preserve">dehb.p </t>
  </si>
  <si>
    <t xml:space="preserve">dehc.rsd </t>
  </si>
  <si>
    <t xml:space="preserve">dehd.p </t>
  </si>
  <si>
    <t xml:space="preserve">dehe.rsd </t>
  </si>
  <si>
    <t xml:space="preserve">cuay </t>
  </si>
  <si>
    <t xml:space="preserve">dehf.p </t>
  </si>
  <si>
    <t xml:space="preserve">deia.rsd </t>
  </si>
  <si>
    <t xml:space="preserve">deib.p </t>
  </si>
  <si>
    <t xml:space="preserve">deic.rsd </t>
  </si>
  <si>
    <t>disk1_a.tex</t>
  </si>
  <si>
    <t xml:space="preserve">deid.p </t>
  </si>
  <si>
    <t>Disk 1 Still Part 1</t>
  </si>
  <si>
    <t xml:space="preserve">cuba </t>
  </si>
  <si>
    <t xml:space="preserve">deie.hrc </t>
  </si>
  <si>
    <t>dog_st</t>
  </si>
  <si>
    <t xml:space="preserve">deif.rsd </t>
  </si>
  <si>
    <t xml:space="preserve">deja.p </t>
  </si>
  <si>
    <t xml:space="preserve">dejb.rsd </t>
  </si>
  <si>
    <t xml:space="preserve">dejc.p </t>
  </si>
  <si>
    <t xml:space="preserve">dejd.rsd </t>
  </si>
  <si>
    <t xml:space="preserve">deje.p </t>
  </si>
  <si>
    <t xml:space="preserve">dejf.rsd </t>
  </si>
  <si>
    <t xml:space="preserve">cubc </t>
  </si>
  <si>
    <t xml:space="preserve">dfaa.p </t>
  </si>
  <si>
    <t xml:space="preserve">dfab.rsd </t>
  </si>
  <si>
    <t xml:space="preserve">dfac.p </t>
  </si>
  <si>
    <t xml:space="preserve">dfad.rsd </t>
  </si>
  <si>
    <t xml:space="preserve">dfae.p </t>
  </si>
  <si>
    <t xml:space="preserve">dfaf.rsd </t>
  </si>
  <si>
    <t xml:space="preserve">dfba.p </t>
  </si>
  <si>
    <t xml:space="preserve">dfbb.rsd </t>
  </si>
  <si>
    <t xml:space="preserve">dfbc.p </t>
  </si>
  <si>
    <t xml:space="preserve">dfbd.rsd </t>
  </si>
  <si>
    <t xml:space="preserve">dfbe.p </t>
  </si>
  <si>
    <t xml:space="preserve">dfbf.rsd </t>
  </si>
  <si>
    <t xml:space="preserve">dfca.p </t>
  </si>
  <si>
    <t xml:space="preserve">dfcb.rsd </t>
  </si>
  <si>
    <t xml:space="preserve">cubd </t>
  </si>
  <si>
    <t xml:space="preserve">dfcc.p </t>
  </si>
  <si>
    <t xml:space="preserve">dfcd.rsd </t>
  </si>
  <si>
    <t xml:space="preserve">dfce.p </t>
  </si>
  <si>
    <t xml:space="preserve">dfcf.rsd </t>
  </si>
  <si>
    <t xml:space="preserve">dfda.p </t>
  </si>
  <si>
    <t>disk1_b.tex</t>
  </si>
  <si>
    <t xml:space="preserve">dfdb.rsd </t>
  </si>
  <si>
    <t xml:space="preserve">dfdc.p </t>
  </si>
  <si>
    <t>Disk 1 Still Part 2</t>
  </si>
  <si>
    <t xml:space="preserve">dfdd.rsd </t>
  </si>
  <si>
    <t xml:space="preserve">dfde.p </t>
  </si>
  <si>
    <t xml:space="preserve">dfdf.rsd </t>
  </si>
  <si>
    <t xml:space="preserve">dfea.p </t>
  </si>
  <si>
    <t xml:space="preserve">dfeb.rsd </t>
  </si>
  <si>
    <t xml:space="preserve">dfec.p </t>
  </si>
  <si>
    <t xml:space="preserve">dfed.rsd </t>
  </si>
  <si>
    <t xml:space="preserve">cube </t>
  </si>
  <si>
    <t xml:space="preserve">dfee.p </t>
  </si>
  <si>
    <t xml:space="preserve">dfef.rsd </t>
  </si>
  <si>
    <t xml:space="preserve">dffa.p </t>
  </si>
  <si>
    <t xml:space="preserve">dffb.rsd </t>
  </si>
  <si>
    <t xml:space="preserve">dffc.p </t>
  </si>
  <si>
    <t xml:space="preserve">dffd.rsd </t>
  </si>
  <si>
    <t xml:space="preserve">dffe.p </t>
  </si>
  <si>
    <t xml:space="preserve">dfff.rsd </t>
  </si>
  <si>
    <t xml:space="preserve">dfga.p </t>
  </si>
  <si>
    <t xml:space="preserve">dfgb.a </t>
  </si>
  <si>
    <t xml:space="preserve">dfgc.a </t>
  </si>
  <si>
    <t xml:space="preserve">dfgd.hrc </t>
  </si>
  <si>
    <t xml:space="preserve">cubf </t>
  </si>
  <si>
    <t>merchant_sk</t>
  </si>
  <si>
    <t xml:space="preserve">dfge.rsd </t>
  </si>
  <si>
    <t xml:space="preserve">dfgf.p </t>
  </si>
  <si>
    <t xml:space="preserve">dfha.rsd </t>
  </si>
  <si>
    <t xml:space="preserve">dfhb.p </t>
  </si>
  <si>
    <t>disk1_x.tex</t>
  </si>
  <si>
    <t>Disk 1 Still Part 3</t>
  </si>
  <si>
    <t xml:space="preserve">dfhc.rsd </t>
  </si>
  <si>
    <t xml:space="preserve">cubi </t>
  </si>
  <si>
    <t xml:space="preserve">dfhd.p </t>
  </si>
  <si>
    <t xml:space="preserve">dfhe.tex </t>
  </si>
  <si>
    <t xml:space="preserve">dfhf.tex </t>
  </si>
  <si>
    <t xml:space="preserve">dfia.tex </t>
  </si>
  <si>
    <t xml:space="preserve">dfib.rsd </t>
  </si>
  <si>
    <t xml:space="preserve">dfic.p </t>
  </si>
  <si>
    <t xml:space="preserve">cuda </t>
  </si>
  <si>
    <t xml:space="preserve">dfid.rsd </t>
  </si>
  <si>
    <t xml:space="preserve">dfie.p </t>
  </si>
  <si>
    <t xml:space="preserve">dfif.rsd </t>
  </si>
  <si>
    <t xml:space="preserve">cvaa </t>
  </si>
  <si>
    <t xml:space="preserve">dfja.p </t>
  </si>
  <si>
    <t>Custom Sweeper: Battle Skeleton</t>
  </si>
  <si>
    <t xml:space="preserve">dfjb.rsd </t>
  </si>
  <si>
    <t xml:space="preserve">dfjc.p </t>
  </si>
  <si>
    <t xml:space="preserve">dfjd.rsd </t>
  </si>
  <si>
    <t>disk2_a.tex</t>
  </si>
  <si>
    <t xml:space="preserve">dfje.p </t>
  </si>
  <si>
    <t>Disk 2 Still Part 1</t>
  </si>
  <si>
    <t xml:space="preserve">dfjf.rsd </t>
  </si>
  <si>
    <t xml:space="preserve">dgaa.p </t>
  </si>
  <si>
    <t xml:space="preserve">dgab.rsd </t>
  </si>
  <si>
    <t xml:space="preserve">dgac.p </t>
  </si>
  <si>
    <t>Sweeper clone 1 (avaa)</t>
  </si>
  <si>
    <t xml:space="preserve">dgad.rsd </t>
  </si>
  <si>
    <t xml:space="preserve">cvab </t>
  </si>
  <si>
    <t xml:space="preserve">dgae.p </t>
  </si>
  <si>
    <t>Custom Sweeper: Unidentified Part</t>
  </si>
  <si>
    <t xml:space="preserve">dgaf.rsd </t>
  </si>
  <si>
    <t xml:space="preserve">dgba.p </t>
  </si>
  <si>
    <t xml:space="preserve">dgbb.rsd </t>
  </si>
  <si>
    <t xml:space="preserve">cvam </t>
  </si>
  <si>
    <t xml:space="preserve">dgbc.p </t>
  </si>
  <si>
    <t xml:space="preserve">dgbd.rsd </t>
  </si>
  <si>
    <t xml:space="preserve">dgbe.p </t>
  </si>
  <si>
    <t xml:space="preserve">dgbf.rsd </t>
  </si>
  <si>
    <t xml:space="preserve">dgca.p </t>
  </si>
  <si>
    <t xml:space="preserve">dgcb.a </t>
  </si>
  <si>
    <t xml:space="preserve">dgcc.a </t>
  </si>
  <si>
    <t xml:space="preserve">dgcd.hrc </t>
  </si>
  <si>
    <t>boy_sk</t>
  </si>
  <si>
    <t xml:space="preserve">dgce.rsd </t>
  </si>
  <si>
    <t xml:space="preserve">cvao </t>
  </si>
  <si>
    <t xml:space="preserve">dgcf.p </t>
  </si>
  <si>
    <t>disk2_b.tex</t>
  </si>
  <si>
    <t xml:space="preserve">dgda.rsd </t>
  </si>
  <si>
    <t>Disk 2 Still Part 2</t>
  </si>
  <si>
    <t xml:space="preserve">dgdb.p </t>
  </si>
  <si>
    <t xml:space="preserve">dgdc.rsd </t>
  </si>
  <si>
    <t xml:space="preserve">dgdd.p </t>
  </si>
  <si>
    <t xml:space="preserve">dgde.tex </t>
  </si>
  <si>
    <t xml:space="preserve">cvap </t>
  </si>
  <si>
    <t xml:space="preserve">dgdf.tex </t>
  </si>
  <si>
    <t xml:space="preserve">dgea.tex </t>
  </si>
  <si>
    <t xml:space="preserve">dgeb.rsd </t>
  </si>
  <si>
    <t xml:space="preserve">dgec.p </t>
  </si>
  <si>
    <t xml:space="preserve">dged.rsd </t>
  </si>
  <si>
    <t xml:space="preserve">dgee.p </t>
  </si>
  <si>
    <t xml:space="preserve">dgef.rsd </t>
  </si>
  <si>
    <t xml:space="preserve">dgfa.p </t>
  </si>
  <si>
    <t xml:space="preserve">dgfb.rsd </t>
  </si>
  <si>
    <t xml:space="preserve">cvar </t>
  </si>
  <si>
    <t xml:space="preserve">dgfc.p </t>
  </si>
  <si>
    <t xml:space="preserve">dgfd.rsd </t>
  </si>
  <si>
    <t>disk2_x.tex</t>
  </si>
  <si>
    <t>Disk 2 Still Part 3</t>
  </si>
  <si>
    <t xml:space="preserve">dgfe.p </t>
  </si>
  <si>
    <t xml:space="preserve">dgff.rsd </t>
  </si>
  <si>
    <t xml:space="preserve">dgga.p </t>
  </si>
  <si>
    <t xml:space="preserve">dggb.rsd </t>
  </si>
  <si>
    <t xml:space="preserve">cvat </t>
  </si>
  <si>
    <t xml:space="preserve">dggc.p </t>
  </si>
  <si>
    <t xml:space="preserve">dggd.rsd </t>
  </si>
  <si>
    <t xml:space="preserve">dgge.p </t>
  </si>
  <si>
    <t xml:space="preserve">dggf.rsd </t>
  </si>
  <si>
    <t xml:space="preserve">dgha.p </t>
  </si>
  <si>
    <t xml:space="preserve">dghb.rsd </t>
  </si>
  <si>
    <t xml:space="preserve">cvav </t>
  </si>
  <si>
    <t xml:space="preserve">dghc.p </t>
  </si>
  <si>
    <t xml:space="preserve">dghd.rsd </t>
  </si>
  <si>
    <t>disk3_a.tex</t>
  </si>
  <si>
    <t>Disk 3 Still Part 1</t>
  </si>
  <si>
    <t xml:space="preserve">dghe.p </t>
  </si>
  <si>
    <t xml:space="preserve">dghf.rsd </t>
  </si>
  <si>
    <t xml:space="preserve">cvax </t>
  </si>
  <si>
    <t xml:space="preserve">dgia.p </t>
  </si>
  <si>
    <t xml:space="preserve">dgib.a </t>
  </si>
  <si>
    <t xml:space="preserve">dgic.a </t>
  </si>
  <si>
    <t xml:space="preserve">dgid.a </t>
  </si>
  <si>
    <t xml:space="preserve">dgie.a </t>
  </si>
  <si>
    <t xml:space="preserve">dgif.a </t>
  </si>
  <si>
    <t xml:space="preserve">dgja.a </t>
  </si>
  <si>
    <t xml:space="preserve">dgjb.a </t>
  </si>
  <si>
    <t xml:space="preserve">cvaz </t>
  </si>
  <si>
    <t xml:space="preserve">dgjc.a </t>
  </si>
  <si>
    <t xml:space="preserve">dgjd.a </t>
  </si>
  <si>
    <t xml:space="preserve">dgje.a </t>
  </si>
  <si>
    <t xml:space="preserve">dgjf.a </t>
  </si>
  <si>
    <t>disk3_b.tex</t>
  </si>
  <si>
    <t xml:space="preserve">dhaa.a </t>
  </si>
  <si>
    <t>Disk 3 Still Part 2</t>
  </si>
  <si>
    <t xml:space="preserve">dhab.a </t>
  </si>
  <si>
    <t xml:space="preserve">dhac.a </t>
  </si>
  <si>
    <t xml:space="preserve">cvbb </t>
  </si>
  <si>
    <t xml:space="preserve">dhad.a </t>
  </si>
  <si>
    <t xml:space="preserve">dhae.a </t>
  </si>
  <si>
    <t xml:space="preserve">dhaf.hrc </t>
  </si>
  <si>
    <t xml:space="preserve">dhba.rsd </t>
  </si>
  <si>
    <t xml:space="preserve">dhbb.p </t>
  </si>
  <si>
    <t xml:space="preserve">dhbc.rsd </t>
  </si>
  <si>
    <t xml:space="preserve">cvbc </t>
  </si>
  <si>
    <t xml:space="preserve">dhbd.p </t>
  </si>
  <si>
    <t xml:space="preserve">dhbe.rsd </t>
  </si>
  <si>
    <t xml:space="preserve">dhbf.p </t>
  </si>
  <si>
    <t xml:space="preserve">dhca.rsd </t>
  </si>
  <si>
    <t xml:space="preserve">dhcb.p </t>
  </si>
  <si>
    <t xml:space="preserve">dhcc.rsd </t>
  </si>
  <si>
    <t xml:space="preserve">dhcd.p </t>
  </si>
  <si>
    <t>disk3_x.tex</t>
  </si>
  <si>
    <t xml:space="preserve">dhce.rsd </t>
  </si>
  <si>
    <t xml:space="preserve">cvbe </t>
  </si>
  <si>
    <t>Disk 3 Still Part 3</t>
  </si>
  <si>
    <t xml:space="preserve">dhcf.p </t>
  </si>
  <si>
    <t xml:space="preserve">dhda.rsd </t>
  </si>
  <si>
    <t xml:space="preserve">dhdb.p </t>
  </si>
  <si>
    <t xml:space="preserve">dhdc.rsd </t>
  </si>
  <si>
    <t xml:space="preserve">dhdd.p </t>
  </si>
  <si>
    <t xml:space="preserve">dhde.rsd </t>
  </si>
  <si>
    <t xml:space="preserve">dhdf.p </t>
  </si>
  <si>
    <t xml:space="preserve">dhea.rsd </t>
  </si>
  <si>
    <t xml:space="preserve">cvbg </t>
  </si>
  <si>
    <t xml:space="preserve">dheb.p </t>
  </si>
  <si>
    <t xml:space="preserve">dhec.rsd </t>
  </si>
  <si>
    <t xml:space="preserve">dhed.p </t>
  </si>
  <si>
    <t xml:space="preserve">dhee.rsd </t>
  </si>
  <si>
    <t xml:space="preserve">dhef.p </t>
  </si>
  <si>
    <t xml:space="preserve">dhfa.rsd </t>
  </si>
  <si>
    <t xml:space="preserve">dhfb.p </t>
  </si>
  <si>
    <t xml:space="preserve">dhfc.rsd </t>
  </si>
  <si>
    <t>e_over_a.tex</t>
  </si>
  <si>
    <t xml:space="preserve">dhfd.p </t>
  </si>
  <si>
    <t>Game Over Still Part 1</t>
  </si>
  <si>
    <t>Different starting letter depending on the language</t>
  </si>
  <si>
    <t xml:space="preserve">dhfe.rsd </t>
  </si>
  <si>
    <t xml:space="preserve">dhff.p </t>
  </si>
  <si>
    <t xml:space="preserve">dhga.a </t>
  </si>
  <si>
    <t xml:space="preserve">dhgb.a </t>
  </si>
  <si>
    <t xml:space="preserve">dhgc.a </t>
  </si>
  <si>
    <t xml:space="preserve">dhgd.a </t>
  </si>
  <si>
    <t xml:space="preserve">dhge.hrc </t>
  </si>
  <si>
    <t>turu_sk</t>
  </si>
  <si>
    <t xml:space="preserve">dhgf.rsd </t>
  </si>
  <si>
    <t xml:space="preserve">dhha.p </t>
  </si>
  <si>
    <t xml:space="preserve">dhhb.a </t>
  </si>
  <si>
    <t xml:space="preserve">cvbi </t>
  </si>
  <si>
    <t xml:space="preserve">dhhc.a </t>
  </si>
  <si>
    <t xml:space="preserve">dhhd.a </t>
  </si>
  <si>
    <t xml:space="preserve">dhhe.a </t>
  </si>
  <si>
    <t xml:space="preserve">dhhf.hrc </t>
  </si>
  <si>
    <t>ladd_sk</t>
  </si>
  <si>
    <t>e_over_b.tex</t>
  </si>
  <si>
    <t xml:space="preserve">dhia.rsd </t>
  </si>
  <si>
    <t>Game Over Still Part 2</t>
  </si>
  <si>
    <t xml:space="preserve">dhib.p </t>
  </si>
  <si>
    <t xml:space="preserve">dhic.a </t>
  </si>
  <si>
    <t xml:space="preserve">dhid.hrc </t>
  </si>
  <si>
    <t>gun_e_sk</t>
  </si>
  <si>
    <t xml:space="preserve">cvbj </t>
  </si>
  <si>
    <t xml:space="preserve">dhie.rsd </t>
  </si>
  <si>
    <t xml:space="preserve">dhif.p </t>
  </si>
  <si>
    <t xml:space="preserve">dhja.rsd </t>
  </si>
  <si>
    <t xml:space="preserve">dhjb.p </t>
  </si>
  <si>
    <t xml:space="preserve">dhjc.rsd </t>
  </si>
  <si>
    <t xml:space="preserve">dhjd.p </t>
  </si>
  <si>
    <t xml:space="preserve">dhje.rsd </t>
  </si>
  <si>
    <t xml:space="preserve">dhjf.p </t>
  </si>
  <si>
    <t xml:space="preserve">diaa.rsd </t>
  </si>
  <si>
    <t xml:space="preserve">cvbk </t>
  </si>
  <si>
    <t xml:space="preserve">diab.p </t>
  </si>
  <si>
    <t xml:space="preserve">diac.rsd </t>
  </si>
  <si>
    <t xml:space="preserve">diad.p </t>
  </si>
  <si>
    <t xml:space="preserve">diae.rsd </t>
  </si>
  <si>
    <t xml:space="preserve">diaf.p </t>
  </si>
  <si>
    <t xml:space="preserve">diba.a </t>
  </si>
  <si>
    <t xml:space="preserve">dibb.a </t>
  </si>
  <si>
    <t xml:space="preserve">cvbl </t>
  </si>
  <si>
    <t xml:space="preserve">dibc.a </t>
  </si>
  <si>
    <t xml:space="preserve">dibd.a </t>
  </si>
  <si>
    <t>e_over_c.tex</t>
  </si>
  <si>
    <t>Game Over Still Part 3</t>
  </si>
  <si>
    <t xml:space="preserve">dibe.a </t>
  </si>
  <si>
    <t xml:space="preserve">dibf.a </t>
  </si>
  <si>
    <t xml:space="preserve">dica.a </t>
  </si>
  <si>
    <t xml:space="preserve">dicb.a </t>
  </si>
  <si>
    <t xml:space="preserve">dicc.a </t>
  </si>
  <si>
    <t xml:space="preserve">cvbn </t>
  </si>
  <si>
    <t xml:space="preserve">dicd.a </t>
  </si>
  <si>
    <t xml:space="preserve">dice.a </t>
  </si>
  <si>
    <t xml:space="preserve">dicf.a </t>
  </si>
  <si>
    <t xml:space="preserve">dida.a </t>
  </si>
  <si>
    <t xml:space="preserve">didb.a </t>
  </si>
  <si>
    <t xml:space="preserve">didc.a </t>
  </si>
  <si>
    <t xml:space="preserve">didd.a </t>
  </si>
  <si>
    <t xml:space="preserve">dide.a </t>
  </si>
  <si>
    <t xml:space="preserve">cvbp </t>
  </si>
  <si>
    <t xml:space="preserve">didf.a </t>
  </si>
  <si>
    <t>e_over_d.tex</t>
  </si>
  <si>
    <t xml:space="preserve">diea.a </t>
  </si>
  <si>
    <t>Game Over Still Part 4</t>
  </si>
  <si>
    <t xml:space="preserve">dieb.a </t>
  </si>
  <si>
    <t xml:space="preserve">diec.a </t>
  </si>
  <si>
    <t xml:space="preserve">cvbr </t>
  </si>
  <si>
    <t xml:space="preserve">died.a </t>
  </si>
  <si>
    <t xml:space="preserve">diee.a </t>
  </si>
  <si>
    <t xml:space="preserve">dief.a </t>
  </si>
  <si>
    <t xml:space="preserve">difa.a </t>
  </si>
  <si>
    <t xml:space="preserve">difb.a </t>
  </si>
  <si>
    <t xml:space="preserve">difc.a </t>
  </si>
  <si>
    <t xml:space="preserve">difd.a </t>
  </si>
  <si>
    <t xml:space="preserve">dife.a </t>
  </si>
  <si>
    <t xml:space="preserve">cvbs </t>
  </si>
  <si>
    <t xml:space="preserve">diff.hrc </t>
  </si>
  <si>
    <t>earith10_sk</t>
  </si>
  <si>
    <t xml:space="preserve">diga.rsd </t>
  </si>
  <si>
    <t xml:space="preserve">digb.p </t>
  </si>
  <si>
    <t xml:space="preserve">digc.rsd </t>
  </si>
  <si>
    <t>e_over_e.tex</t>
  </si>
  <si>
    <t>Game Over Still Part 5</t>
  </si>
  <si>
    <t xml:space="preserve">digd.p </t>
  </si>
  <si>
    <t xml:space="preserve">dige.rsd </t>
  </si>
  <si>
    <t xml:space="preserve">cvbt </t>
  </si>
  <si>
    <t xml:space="preserve">digf.p </t>
  </si>
  <si>
    <t xml:space="preserve">diha.tex </t>
  </si>
  <si>
    <t xml:space="preserve">dihb.tex </t>
  </si>
  <si>
    <t xml:space="preserve">cvbu </t>
  </si>
  <si>
    <t xml:space="preserve">dihc.tex </t>
  </si>
  <si>
    <t xml:space="preserve">dihd.rsd </t>
  </si>
  <si>
    <t xml:space="preserve">dihe.p </t>
  </si>
  <si>
    <t xml:space="preserve">dihf.rsd </t>
  </si>
  <si>
    <t xml:space="preserve">diia.p </t>
  </si>
  <si>
    <t xml:space="preserve">diib.rsd </t>
  </si>
  <si>
    <t xml:space="preserve">cvbw </t>
  </si>
  <si>
    <t xml:space="preserve">diic.p </t>
  </si>
  <si>
    <t>e_over_f.tex</t>
  </si>
  <si>
    <t>Game Over Still Part 6</t>
  </si>
  <si>
    <t xml:space="preserve">diid.rsd </t>
  </si>
  <si>
    <t xml:space="preserve">diie.p </t>
  </si>
  <si>
    <t xml:space="preserve">diif.rsd </t>
  </si>
  <si>
    <t xml:space="preserve">dija.p </t>
  </si>
  <si>
    <t xml:space="preserve">cvda </t>
  </si>
  <si>
    <t xml:space="preserve">dijb.rsd </t>
  </si>
  <si>
    <t xml:space="preserve">dijc.p </t>
  </si>
  <si>
    <t xml:space="preserve">cwaa </t>
  </si>
  <si>
    <t>Kalm Fang: Battle Skeleton</t>
  </si>
  <si>
    <t xml:space="preserve">dijd.rsd </t>
  </si>
  <si>
    <t xml:space="preserve">dije.p </t>
  </si>
  <si>
    <t xml:space="preserve">dijf.rsd </t>
  </si>
  <si>
    <t xml:space="preserve">djaa.p </t>
  </si>
  <si>
    <t>e_over_la.tex</t>
  </si>
  <si>
    <t xml:space="preserve">djab.rsd </t>
  </si>
  <si>
    <t>Game Over Still Part 7</t>
  </si>
  <si>
    <t xml:space="preserve">djac.p </t>
  </si>
  <si>
    <t xml:space="preserve">djad.rsd </t>
  </si>
  <si>
    <t xml:space="preserve">djae.p </t>
  </si>
  <si>
    <t xml:space="preserve">djaf.rsd </t>
  </si>
  <si>
    <t xml:space="preserve">djba.p </t>
  </si>
  <si>
    <t xml:space="preserve">djbb.rsd </t>
  </si>
  <si>
    <t xml:space="preserve">djbc.p </t>
  </si>
  <si>
    <t xml:space="preserve">djbd.a </t>
  </si>
  <si>
    <t xml:space="preserve">djbe.a </t>
  </si>
  <si>
    <t xml:space="preserve">djbf.a </t>
  </si>
  <si>
    <t xml:space="preserve">djca.a </t>
  </si>
  <si>
    <t xml:space="preserve">djcb.a </t>
  </si>
  <si>
    <t xml:space="preserve">djcc.a </t>
  </si>
  <si>
    <t>e_over_lb.tex</t>
  </si>
  <si>
    <t xml:space="preserve">djcd.a </t>
  </si>
  <si>
    <t>Game Over Still Part 8</t>
  </si>
  <si>
    <t xml:space="preserve">djce.a </t>
  </si>
  <si>
    <t xml:space="preserve">cwab </t>
  </si>
  <si>
    <t xml:space="preserve">djcf.a </t>
  </si>
  <si>
    <t>Kalm Fang: Unidentified Part</t>
  </si>
  <si>
    <t xml:space="preserve">djda.a </t>
  </si>
  <si>
    <t xml:space="preserve">djdb.a </t>
  </si>
  <si>
    <t xml:space="preserve">cwam </t>
  </si>
  <si>
    <t xml:space="preserve">djdc.a </t>
  </si>
  <si>
    <t xml:space="preserve">djdd.a </t>
  </si>
  <si>
    <t xml:space="preserve">djde.a </t>
  </si>
  <si>
    <t xml:space="preserve">djdf.a </t>
  </si>
  <si>
    <t xml:space="preserve">djea.a </t>
  </si>
  <si>
    <t xml:space="preserve">djeb.a </t>
  </si>
  <si>
    <t xml:space="preserve">djec.a </t>
  </si>
  <si>
    <t xml:space="preserve">djed.a </t>
  </si>
  <si>
    <t xml:space="preserve">cwan </t>
  </si>
  <si>
    <t xml:space="preserve">djee.a </t>
  </si>
  <si>
    <t xml:space="preserve">djef.a </t>
  </si>
  <si>
    <t xml:space="preserve">djfa.hrc </t>
  </si>
  <si>
    <t>tkklen_sk</t>
  </si>
  <si>
    <t>kets_a.tex</t>
  </si>
  <si>
    <t xml:space="preserve">djfb.rsd </t>
  </si>
  <si>
    <t>Cait Sith Still Part 1</t>
  </si>
  <si>
    <t xml:space="preserve">djfc.p </t>
  </si>
  <si>
    <t xml:space="preserve">djfd.a </t>
  </si>
  <si>
    <t xml:space="preserve">djfe.hrc </t>
  </si>
  <si>
    <t>tekotu_sk</t>
  </si>
  <si>
    <t xml:space="preserve">djff.rsd </t>
  </si>
  <si>
    <t xml:space="preserve">djga.p </t>
  </si>
  <si>
    <t xml:space="preserve">cwao </t>
  </si>
  <si>
    <t xml:space="preserve">djgb.a </t>
  </si>
  <si>
    <t xml:space="preserve">djgc.a </t>
  </si>
  <si>
    <t>kets_b.tex</t>
  </si>
  <si>
    <t>Cait Sith Still Part 2</t>
  </si>
  <si>
    <t xml:space="preserve">djgd.a </t>
  </si>
  <si>
    <t xml:space="preserve">djge.a </t>
  </si>
  <si>
    <t xml:space="preserve">djgf.a </t>
  </si>
  <si>
    <t xml:space="preserve">djha.a </t>
  </si>
  <si>
    <t xml:space="preserve">djhb.a </t>
  </si>
  <si>
    <t xml:space="preserve">cwap </t>
  </si>
  <si>
    <t xml:space="preserve">djhc.a </t>
  </si>
  <si>
    <t>kets_c.tex</t>
  </si>
  <si>
    <t xml:space="preserve">djhd.a </t>
  </si>
  <si>
    <t>Cait Sith Still Part 3</t>
  </si>
  <si>
    <t xml:space="preserve">djhe.a </t>
  </si>
  <si>
    <t xml:space="preserve">djhf.a </t>
  </si>
  <si>
    <t xml:space="preserve">djia.a </t>
  </si>
  <si>
    <t xml:space="preserve">djib.a </t>
  </si>
  <si>
    <t xml:space="preserve">djic.a </t>
  </si>
  <si>
    <t xml:space="preserve">djid.hrc </t>
  </si>
  <si>
    <t xml:space="preserve">cwar </t>
  </si>
  <si>
    <t>wagon_st</t>
  </si>
  <si>
    <t xml:space="preserve">djie.rsd </t>
  </si>
  <si>
    <t>kets_d.tex</t>
  </si>
  <si>
    <t xml:space="preserve">djif.p </t>
  </si>
  <si>
    <t xml:space="preserve">djja.rsd </t>
  </si>
  <si>
    <t>Cait Sith Still Part 4</t>
  </si>
  <si>
    <t xml:space="preserve">djjb.p </t>
  </si>
  <si>
    <t xml:space="preserve">djjc.rsd </t>
  </si>
  <si>
    <t xml:space="preserve">djjd.p </t>
  </si>
  <si>
    <t xml:space="preserve">djje.rsd </t>
  </si>
  <si>
    <t xml:space="preserve">djjf.p </t>
  </si>
  <si>
    <t xml:space="preserve">dkaa.rsd </t>
  </si>
  <si>
    <t xml:space="preserve">cwat </t>
  </si>
  <si>
    <t xml:space="preserve">dkab.p </t>
  </si>
  <si>
    <t xml:space="preserve">dkac.rsd </t>
  </si>
  <si>
    <t xml:space="preserve">dkad.p </t>
  </si>
  <si>
    <t xml:space="preserve">dkae.rsd </t>
  </si>
  <si>
    <t>kets_x.tex</t>
  </si>
  <si>
    <t xml:space="preserve">dkaf.p </t>
  </si>
  <si>
    <t>Cait Sith Still Part 5</t>
  </si>
  <si>
    <t xml:space="preserve">dkba.rsd </t>
  </si>
  <si>
    <t xml:space="preserve">dkbb.p </t>
  </si>
  <si>
    <t xml:space="preserve">dkbc.rsd </t>
  </si>
  <si>
    <t xml:space="preserve">dkbd.p </t>
  </si>
  <si>
    <t xml:space="preserve">dkbe.rsd </t>
  </si>
  <si>
    <t xml:space="preserve">dkbf.p </t>
  </si>
  <si>
    <t xml:space="preserve">dkca.rsd </t>
  </si>
  <si>
    <t xml:space="preserve">dkcb.p </t>
  </si>
  <si>
    <t xml:space="preserve">cwau </t>
  </si>
  <si>
    <t xml:space="preserve">dkcc.rsd </t>
  </si>
  <si>
    <t xml:space="preserve">dkcd.p </t>
  </si>
  <si>
    <t xml:space="preserve">dkce.rsd </t>
  </si>
  <si>
    <t>red_a.tex</t>
  </si>
  <si>
    <t>Red XII Still Part 1</t>
  </si>
  <si>
    <t xml:space="preserve">dkcf.p </t>
  </si>
  <si>
    <t xml:space="preserve">dkda.rsd </t>
  </si>
  <si>
    <t xml:space="preserve">dkdb.p </t>
  </si>
  <si>
    <t xml:space="preserve">dkdc.rsd </t>
  </si>
  <si>
    <t xml:space="preserve">dkdd.p </t>
  </si>
  <si>
    <t xml:space="preserve">cwav </t>
  </si>
  <si>
    <t xml:space="preserve">dkde.rsd </t>
  </si>
  <si>
    <t xml:space="preserve">dkdf.p </t>
  </si>
  <si>
    <t xml:space="preserve">dkea.rsd </t>
  </si>
  <si>
    <t>red_b.tex</t>
  </si>
  <si>
    <t xml:space="preserve">dkeb.p </t>
  </si>
  <si>
    <t>Red XII Still Part 2</t>
  </si>
  <si>
    <t xml:space="preserve">dkec.rsd </t>
  </si>
  <si>
    <t xml:space="preserve">dked.p </t>
  </si>
  <si>
    <t xml:space="preserve">dkee.rsd </t>
  </si>
  <si>
    <t xml:space="preserve">dkef.p </t>
  </si>
  <si>
    <t xml:space="preserve">dkfa.rsd </t>
  </si>
  <si>
    <t xml:space="preserve">cwaw </t>
  </si>
  <si>
    <t xml:space="preserve">dkfb.p </t>
  </si>
  <si>
    <t xml:space="preserve">dkfc.rsd </t>
  </si>
  <si>
    <t>red_c.tex</t>
  </si>
  <si>
    <t>Red XII Still Part 3</t>
  </si>
  <si>
    <t xml:space="preserve">dkfd.p </t>
  </si>
  <si>
    <t xml:space="preserve">dkfe.rsd </t>
  </si>
  <si>
    <t xml:space="preserve">dkff.p </t>
  </si>
  <si>
    <t xml:space="preserve">dkga.rsd </t>
  </si>
  <si>
    <t xml:space="preserve">dkgb.p </t>
  </si>
  <si>
    <t xml:space="preserve">dkgc.rsd </t>
  </si>
  <si>
    <t xml:space="preserve">dkgd.p </t>
  </si>
  <si>
    <t xml:space="preserve">cway </t>
  </si>
  <si>
    <t xml:space="preserve">dkge.rsd </t>
  </si>
  <si>
    <t>red_d.tex</t>
  </si>
  <si>
    <t xml:space="preserve">dkgf.p </t>
  </si>
  <si>
    <t>Red XII Still Part 4</t>
  </si>
  <si>
    <t xml:space="preserve">dkha.rsd </t>
  </si>
  <si>
    <t xml:space="preserve">dkhb.p </t>
  </si>
  <si>
    <t xml:space="preserve">dkhc.rsd </t>
  </si>
  <si>
    <t xml:space="preserve">dkhd.p </t>
  </si>
  <si>
    <t xml:space="preserve">dkhe.rsd </t>
  </si>
  <si>
    <t xml:space="preserve">cwaz </t>
  </si>
  <si>
    <t xml:space="preserve">dkhf.p </t>
  </si>
  <si>
    <t xml:space="preserve">dkia.rsd </t>
  </si>
  <si>
    <t xml:space="preserve">dkib.p </t>
  </si>
  <si>
    <t xml:space="preserve">dkic.a </t>
  </si>
  <si>
    <t>red_x.tex</t>
  </si>
  <si>
    <t xml:space="preserve">dkid.a </t>
  </si>
  <si>
    <t xml:space="preserve">dkie.hrc </t>
  </si>
  <si>
    <t>Red XII Still Part 5</t>
  </si>
  <si>
    <t>md62dr_r_sk</t>
  </si>
  <si>
    <t xml:space="preserve">dkif.rsd </t>
  </si>
  <si>
    <t xml:space="preserve">dkja.p </t>
  </si>
  <si>
    <t xml:space="preserve">dkjb.tex </t>
  </si>
  <si>
    <t xml:space="preserve">dkjc.a </t>
  </si>
  <si>
    <t xml:space="preserve">dkjd.hrc </t>
  </si>
  <si>
    <t>md62dr_l_sk</t>
  </si>
  <si>
    <t xml:space="preserve">dkje.rsd </t>
  </si>
  <si>
    <t xml:space="preserve">cwba </t>
  </si>
  <si>
    <t xml:space="preserve">dkjf.p </t>
  </si>
  <si>
    <t xml:space="preserve">dlaa.tex </t>
  </si>
  <si>
    <t xml:space="preserve">dlab.a </t>
  </si>
  <si>
    <t xml:space="preserve">dlac.a </t>
  </si>
  <si>
    <t xml:space="preserve">dlad.a </t>
  </si>
  <si>
    <t>tifa_a.tex</t>
  </si>
  <si>
    <t xml:space="preserve">dlae.a </t>
  </si>
  <si>
    <t xml:space="preserve">dlaf.a </t>
  </si>
  <si>
    <t>Tifa Still Part 1</t>
  </si>
  <si>
    <t xml:space="preserve">dlba.a </t>
  </si>
  <si>
    <t xml:space="preserve">dlbb.a </t>
  </si>
  <si>
    <t xml:space="preserve">cwbb </t>
  </si>
  <si>
    <t xml:space="preserve">dlbc.a </t>
  </si>
  <si>
    <t xml:space="preserve">dlbd.a </t>
  </si>
  <si>
    <t xml:space="preserve">dlbe.a </t>
  </si>
  <si>
    <t xml:space="preserve">dlbf.a </t>
  </si>
  <si>
    <t xml:space="preserve">dlca.a </t>
  </si>
  <si>
    <t xml:space="preserve">dlcb.a </t>
  </si>
  <si>
    <t xml:space="preserve">dlcc.a </t>
  </si>
  <si>
    <t xml:space="preserve">cwbd </t>
  </si>
  <si>
    <t>tifa_b.tex</t>
  </si>
  <si>
    <t xml:space="preserve">dlcd.a </t>
  </si>
  <si>
    <t>Tifa Still Part 2</t>
  </si>
  <si>
    <t xml:space="preserve">dlce.a </t>
  </si>
  <si>
    <t xml:space="preserve">dlcf.a </t>
  </si>
  <si>
    <t xml:space="preserve">dlda.a </t>
  </si>
  <si>
    <t xml:space="preserve">dldb.a </t>
  </si>
  <si>
    <t xml:space="preserve">dldc.a </t>
  </si>
  <si>
    <t xml:space="preserve">dldd.a </t>
  </si>
  <si>
    <t xml:space="preserve">cwbe </t>
  </si>
  <si>
    <t>tifa_c.tex</t>
  </si>
  <si>
    <t xml:space="preserve">dlde.a </t>
  </si>
  <si>
    <t>Tifa Still Part 3</t>
  </si>
  <si>
    <t xml:space="preserve">dldf.a </t>
  </si>
  <si>
    <t xml:space="preserve">dlea.a </t>
  </si>
  <si>
    <t xml:space="preserve">dleb.a </t>
  </si>
  <si>
    <t xml:space="preserve">dlec.a </t>
  </si>
  <si>
    <t xml:space="preserve">dled.a </t>
  </si>
  <si>
    <t xml:space="preserve">dlee.a </t>
  </si>
  <si>
    <t xml:space="preserve">cwbf </t>
  </si>
  <si>
    <t xml:space="preserve">dlef.a </t>
  </si>
  <si>
    <t>tifa_d.tex</t>
  </si>
  <si>
    <t>Tifa Still Part 4</t>
  </si>
  <si>
    <t xml:space="preserve">dlfa.a </t>
  </si>
  <si>
    <t xml:space="preserve">dlfb.hrc </t>
  </si>
  <si>
    <t>cloudw_st</t>
  </si>
  <si>
    <t xml:space="preserve">dlfc.rsd </t>
  </si>
  <si>
    <t xml:space="preserve">dlfd.p </t>
  </si>
  <si>
    <t xml:space="preserve">dlfe.rsd </t>
  </si>
  <si>
    <t xml:space="preserve">cwbg </t>
  </si>
  <si>
    <t>tifa_x.tex</t>
  </si>
  <si>
    <t xml:space="preserve">dlff.p </t>
  </si>
  <si>
    <t>Tifa Still Part 5</t>
  </si>
  <si>
    <t xml:space="preserve">dlga.rsd </t>
  </si>
  <si>
    <t xml:space="preserve">dlgb.p </t>
  </si>
  <si>
    <t xml:space="preserve">dlgc.tex </t>
  </si>
  <si>
    <t xml:space="preserve">dlgd.tex </t>
  </si>
  <si>
    <t xml:space="preserve">cwbi </t>
  </si>
  <si>
    <t xml:space="preserve">dlge.tex </t>
  </si>
  <si>
    <t>vinc_a.tex</t>
  </si>
  <si>
    <t>Vincent Still Part 1</t>
  </si>
  <si>
    <t xml:space="preserve">dlgf.rsd </t>
  </si>
  <si>
    <t xml:space="preserve">dlha.p </t>
  </si>
  <si>
    <t xml:space="preserve">dlhb.rsd </t>
  </si>
  <si>
    <t xml:space="preserve">dlhc.p </t>
  </si>
  <si>
    <t xml:space="preserve">cwbj </t>
  </si>
  <si>
    <t xml:space="preserve">dlhd.rsd </t>
  </si>
  <si>
    <t>vinc_b.tex</t>
  </si>
  <si>
    <t xml:space="preserve">dlhe.p </t>
  </si>
  <si>
    <t>Vincent Still Part 2</t>
  </si>
  <si>
    <t xml:space="preserve">dlhf.rsd </t>
  </si>
  <si>
    <t xml:space="preserve">dlia.p </t>
  </si>
  <si>
    <t xml:space="preserve">dlib.rsd </t>
  </si>
  <si>
    <t xml:space="preserve">dlic.p </t>
  </si>
  <si>
    <t xml:space="preserve">cwbk </t>
  </si>
  <si>
    <t>vinc_c.tex</t>
  </si>
  <si>
    <t xml:space="preserve">dlid.rsd </t>
  </si>
  <si>
    <t>Vincent Still Part 3</t>
  </si>
  <si>
    <t xml:space="preserve">dlie.p </t>
  </si>
  <si>
    <t xml:space="preserve">dlif.rsd </t>
  </si>
  <si>
    <t xml:space="preserve">dlja.p </t>
  </si>
  <si>
    <t xml:space="preserve">dljb.rsd </t>
  </si>
  <si>
    <t xml:space="preserve">cwbl </t>
  </si>
  <si>
    <t xml:space="preserve">dljc.p </t>
  </si>
  <si>
    <t>vinc_d.tex</t>
  </si>
  <si>
    <t>Vincent Still Part 4</t>
  </si>
  <si>
    <t xml:space="preserve">dljd.rsd </t>
  </si>
  <si>
    <t xml:space="preserve">dlje.p </t>
  </si>
  <si>
    <t xml:space="preserve">dljf.rsd </t>
  </si>
  <si>
    <t xml:space="preserve">dmaa.p </t>
  </si>
  <si>
    <t xml:space="preserve">dmab.rsd </t>
  </si>
  <si>
    <t>vinc_x.tex</t>
  </si>
  <si>
    <t xml:space="preserve">cwbm </t>
  </si>
  <si>
    <t>Vincent Still Part 5</t>
  </si>
  <si>
    <t xml:space="preserve">dmac.p </t>
  </si>
  <si>
    <t xml:space="preserve">dmad.rsd </t>
  </si>
  <si>
    <t xml:space="preserve">dmae.p </t>
  </si>
  <si>
    <t xml:space="preserve">dmaf.rsd </t>
  </si>
  <si>
    <t xml:space="preserve">dmba.p </t>
  </si>
  <si>
    <t xml:space="preserve">dmbb.a </t>
  </si>
  <si>
    <t xml:space="preserve">cwbn </t>
  </si>
  <si>
    <t xml:space="preserve">dmbc.a </t>
  </si>
  <si>
    <t>yuff_a.tex</t>
  </si>
  <si>
    <t xml:space="preserve">dmbd.a </t>
  </si>
  <si>
    <t>Yuffie Still Part 1</t>
  </si>
  <si>
    <t xml:space="preserve">dmbe.a </t>
  </si>
  <si>
    <t xml:space="preserve">dmbf.a </t>
  </si>
  <si>
    <t xml:space="preserve">dmca.a </t>
  </si>
  <si>
    <t xml:space="preserve">dmcb.hrc </t>
  </si>
  <si>
    <t>old2_sk</t>
  </si>
  <si>
    <t xml:space="preserve">dmcc.rsd </t>
  </si>
  <si>
    <t xml:space="preserve">cwbo </t>
  </si>
  <si>
    <t xml:space="preserve">dmcd.p </t>
  </si>
  <si>
    <t xml:space="preserve">dmce.rsd </t>
  </si>
  <si>
    <t xml:space="preserve">dmcf.p </t>
  </si>
  <si>
    <t xml:space="preserve">dmda.rsd </t>
  </si>
  <si>
    <t>yuff_b.tex</t>
  </si>
  <si>
    <t xml:space="preserve">dmdb.p </t>
  </si>
  <si>
    <t>Yuffie Still Part 2</t>
  </si>
  <si>
    <t xml:space="preserve">cwda </t>
  </si>
  <si>
    <t xml:space="preserve">dmdc.tex </t>
  </si>
  <si>
    <t xml:space="preserve">dmdd.tex </t>
  </si>
  <si>
    <t xml:space="preserve">cxaa </t>
  </si>
  <si>
    <t>Prowler: Battle Skeleton</t>
  </si>
  <si>
    <t xml:space="preserve">dmde.tex </t>
  </si>
  <si>
    <t>yuff_c.tex</t>
  </si>
  <si>
    <t xml:space="preserve">dmdf.rsd </t>
  </si>
  <si>
    <t>Yuffie Still Part 3</t>
  </si>
  <si>
    <t xml:space="preserve">dmea.p </t>
  </si>
  <si>
    <t xml:space="preserve">dmeb.rsd </t>
  </si>
  <si>
    <t xml:space="preserve">dmec.p </t>
  </si>
  <si>
    <t>Vice clone 1 (biaa)</t>
  </si>
  <si>
    <t xml:space="preserve">cxab </t>
  </si>
  <si>
    <t xml:space="preserve">dmed.rsd </t>
  </si>
  <si>
    <t>Prowler: Unidentified Part</t>
  </si>
  <si>
    <t xml:space="preserve">dmee.p </t>
  </si>
  <si>
    <t>yuff_d.tex</t>
  </si>
  <si>
    <t xml:space="preserve">dmef.rsd </t>
  </si>
  <si>
    <t>Yuffie Still Part 4</t>
  </si>
  <si>
    <t xml:space="preserve">cxam </t>
  </si>
  <si>
    <t xml:space="preserve">dmfa.p </t>
  </si>
  <si>
    <t xml:space="preserve">dmfb.rsd </t>
  </si>
  <si>
    <t xml:space="preserve">dmfc.p </t>
  </si>
  <si>
    <t xml:space="preserve">dmfd.rsd </t>
  </si>
  <si>
    <t xml:space="preserve">dmfe.p </t>
  </si>
  <si>
    <t>yuff_x.tex</t>
  </si>
  <si>
    <t>Yuffie Still Part 5</t>
  </si>
  <si>
    <t xml:space="preserve">dmff.rsd </t>
  </si>
  <si>
    <t xml:space="preserve">dmga.p </t>
  </si>
  <si>
    <t xml:space="preserve">cxan </t>
  </si>
  <si>
    <t xml:space="preserve">dmgb.rsd </t>
  </si>
  <si>
    <t xml:space="preserve">dmgc.p </t>
  </si>
  <si>
    <t xml:space="preserve">dmgd.rsd </t>
  </si>
  <si>
    <t xml:space="preserve">dmge.p </t>
  </si>
  <si>
    <t xml:space="preserve">dmgf.rsd </t>
  </si>
  <si>
    <t xml:space="preserve">dmha.p </t>
  </si>
  <si>
    <t xml:space="preserve">dmhb.rsd </t>
  </si>
  <si>
    <t xml:space="preserve">cxao </t>
  </si>
  <si>
    <t xml:space="preserve">dmhc.p </t>
  </si>
  <si>
    <t xml:space="preserve">dmhd.rsd </t>
  </si>
  <si>
    <t>ancnt1</t>
  </si>
  <si>
    <t xml:space="preserve">dmhe.p </t>
  </si>
  <si>
    <t>Forgotten city</t>
  </si>
  <si>
    <t>Field Map</t>
  </si>
  <si>
    <t xml:space="preserve">dmhf.a </t>
  </si>
  <si>
    <t xml:space="preserve">dmia.hrc </t>
  </si>
  <si>
    <t>fm1_sk</t>
  </si>
  <si>
    <t xml:space="preserve">dmib.rsd </t>
  </si>
  <si>
    <t xml:space="preserve">cxap </t>
  </si>
  <si>
    <t xml:space="preserve">dmic.p </t>
  </si>
  <si>
    <t xml:space="preserve">dmid.rsd </t>
  </si>
  <si>
    <t xml:space="preserve">dmie.p </t>
  </si>
  <si>
    <t xml:space="preserve">dmif.tex </t>
  </si>
  <si>
    <t xml:space="preserve">dmja.tex </t>
  </si>
  <si>
    <t>ancnt2</t>
  </si>
  <si>
    <t xml:space="preserve">dmjb.tex </t>
  </si>
  <si>
    <t>Forgotten city altar where Aeris dies</t>
  </si>
  <si>
    <t xml:space="preserve">dmjc.rsd </t>
  </si>
  <si>
    <t xml:space="preserve">cxaq </t>
  </si>
  <si>
    <t xml:space="preserve">dmjd.p </t>
  </si>
  <si>
    <t xml:space="preserve">dmje.rsd </t>
  </si>
  <si>
    <t xml:space="preserve">dmjf.p </t>
  </si>
  <si>
    <t xml:space="preserve">dnaa.rsd </t>
  </si>
  <si>
    <t xml:space="preserve">dnab.p </t>
  </si>
  <si>
    <t xml:space="preserve">dnac.rsd </t>
  </si>
  <si>
    <t xml:space="preserve">dnad.p </t>
  </si>
  <si>
    <t xml:space="preserve">cxas </t>
  </si>
  <si>
    <t xml:space="preserve">dnae.rsd </t>
  </si>
  <si>
    <t>ancnt3</t>
  </si>
  <si>
    <t xml:space="preserve">dnaf.p </t>
  </si>
  <si>
    <t xml:space="preserve">dnba.rsd </t>
  </si>
  <si>
    <t>Sephiroth falls</t>
  </si>
  <si>
    <t xml:space="preserve">dnbb.p </t>
  </si>
  <si>
    <t xml:space="preserve">dnbc.rsd </t>
  </si>
  <si>
    <t xml:space="preserve">dnbd.p </t>
  </si>
  <si>
    <t xml:space="preserve">dnbe.rsd </t>
  </si>
  <si>
    <t xml:space="preserve">dnbf.p </t>
  </si>
  <si>
    <t>ancnt4</t>
  </si>
  <si>
    <t xml:space="preserve">dnca.rsd </t>
  </si>
  <si>
    <t xml:space="preserve">cxav </t>
  </si>
  <si>
    <t>Different angle</t>
  </si>
  <si>
    <t xml:space="preserve">dncb.p </t>
  </si>
  <si>
    <t xml:space="preserve">dncc.rsd </t>
  </si>
  <si>
    <t xml:space="preserve">dncd.p </t>
  </si>
  <si>
    <t xml:space="preserve">dnce.rsd </t>
  </si>
  <si>
    <t>anfrst_1</t>
  </si>
  <si>
    <t xml:space="preserve">dncf.p </t>
  </si>
  <si>
    <t>Ancient forest first area</t>
  </si>
  <si>
    <t xml:space="preserve">dnda.rsd </t>
  </si>
  <si>
    <t xml:space="preserve">dndb.p </t>
  </si>
  <si>
    <t xml:space="preserve">dndc.a </t>
  </si>
  <si>
    <t xml:space="preserve">dndd.a </t>
  </si>
  <si>
    <t xml:space="preserve">cxaw </t>
  </si>
  <si>
    <t xml:space="preserve">dnde.a </t>
  </si>
  <si>
    <t xml:space="preserve">dndf.hrc </t>
  </si>
  <si>
    <t>muki3_sk</t>
  </si>
  <si>
    <t xml:space="preserve">dnea.rsd </t>
  </si>
  <si>
    <t>anfrst_2</t>
  </si>
  <si>
    <t>Ancient forest treetops</t>
  </si>
  <si>
    <t xml:space="preserve">dneb.p </t>
  </si>
  <si>
    <t xml:space="preserve">dnec.rsd </t>
  </si>
  <si>
    <t xml:space="preserve">cxax </t>
  </si>
  <si>
    <t xml:space="preserve">dned.p </t>
  </si>
  <si>
    <t>anfrst_3</t>
  </si>
  <si>
    <t xml:space="preserve">dnee.rsd </t>
  </si>
  <si>
    <t>Ancient forest second area</t>
  </si>
  <si>
    <t xml:space="preserve">dnef.p </t>
  </si>
  <si>
    <t xml:space="preserve">dnfa.tex </t>
  </si>
  <si>
    <t xml:space="preserve">dnfb.tex </t>
  </si>
  <si>
    <t xml:space="preserve">cxaz </t>
  </si>
  <si>
    <t xml:space="preserve">dnfc.tex </t>
  </si>
  <si>
    <t>anfrst_4</t>
  </si>
  <si>
    <t xml:space="preserve">dnfd.rsd </t>
  </si>
  <si>
    <t>Ancient forest third area</t>
  </si>
  <si>
    <t xml:space="preserve">dnfe.p </t>
  </si>
  <si>
    <t xml:space="preserve">dnff.rsd </t>
  </si>
  <si>
    <t xml:space="preserve">dnga.p </t>
  </si>
  <si>
    <t xml:space="preserve">cxbb </t>
  </si>
  <si>
    <t xml:space="preserve">dngb.rsd </t>
  </si>
  <si>
    <t xml:space="preserve">dngc.p </t>
  </si>
  <si>
    <t>anfrst_5</t>
  </si>
  <si>
    <t>Ancient forest cave</t>
  </si>
  <si>
    <t xml:space="preserve">dngd.rsd </t>
  </si>
  <si>
    <t xml:space="preserve">dnge.p </t>
  </si>
  <si>
    <t xml:space="preserve">cxbd </t>
  </si>
  <si>
    <t xml:space="preserve">dngf.rsd </t>
  </si>
  <si>
    <t xml:space="preserve">dnha.p </t>
  </si>
  <si>
    <t xml:space="preserve">dnhb.rsd </t>
  </si>
  <si>
    <t xml:space="preserve">dnhc.p </t>
  </si>
  <si>
    <t xml:space="preserve">dnhd.rsd </t>
  </si>
  <si>
    <t xml:space="preserve">dnhe.p </t>
  </si>
  <si>
    <t>astage_a</t>
  </si>
  <si>
    <t xml:space="preserve">dnhf.rsd </t>
  </si>
  <si>
    <t>Gold Saucer theatre</t>
  </si>
  <si>
    <t xml:space="preserve">dnia.p </t>
  </si>
  <si>
    <t xml:space="preserve">cxbg </t>
  </si>
  <si>
    <t xml:space="preserve">dnib.rsd </t>
  </si>
  <si>
    <t xml:space="preserve">dnic.p </t>
  </si>
  <si>
    <t xml:space="preserve">dnid.rsd </t>
  </si>
  <si>
    <t>astage_b</t>
  </si>
  <si>
    <t xml:space="preserve">dnie.p </t>
  </si>
  <si>
    <t>Gold Saucer theatre stage</t>
  </si>
  <si>
    <t xml:space="preserve">dnif.rsd </t>
  </si>
  <si>
    <t xml:space="preserve">dnja.p </t>
  </si>
  <si>
    <t xml:space="preserve">dnjb.rsd </t>
  </si>
  <si>
    <t>b_eye2.tex</t>
  </si>
  <si>
    <t xml:space="preserve">cxbh </t>
  </si>
  <si>
    <t>Barret eye closed</t>
  </si>
  <si>
    <t xml:space="preserve">dnjc.p </t>
  </si>
  <si>
    <t xml:space="preserve">dnjd.a </t>
  </si>
  <si>
    <t xml:space="preserve">dnje.hrc </t>
  </si>
  <si>
    <t>muki1_sk</t>
  </si>
  <si>
    <t xml:space="preserve">dnjf.rsd </t>
  </si>
  <si>
    <t xml:space="preserve">doaa.p </t>
  </si>
  <si>
    <t>b_eye2r.tex</t>
  </si>
  <si>
    <t xml:space="preserve">doab.rsd </t>
  </si>
  <si>
    <t xml:space="preserve">doac.p </t>
  </si>
  <si>
    <t xml:space="preserve">cxbi </t>
  </si>
  <si>
    <t xml:space="preserve">doad.rsd </t>
  </si>
  <si>
    <t xml:space="preserve">doae.p </t>
  </si>
  <si>
    <t>bigwheel</t>
  </si>
  <si>
    <t>Gold Saucer big wheel</t>
  </si>
  <si>
    <t xml:space="preserve">doaf.tex </t>
  </si>
  <si>
    <t xml:space="preserve">doba.tex </t>
  </si>
  <si>
    <t xml:space="preserve">dobb.tex </t>
  </si>
  <si>
    <t xml:space="preserve">dobc.rsd </t>
  </si>
  <si>
    <t>blackbg1</t>
  </si>
  <si>
    <t xml:space="preserve">cxbk </t>
  </si>
  <si>
    <t>Debug - Kita room</t>
  </si>
  <si>
    <t xml:space="preserve">dobd.p </t>
  </si>
  <si>
    <t xml:space="preserve">dobe.rsd </t>
  </si>
  <si>
    <t xml:space="preserve">dobf.p </t>
  </si>
  <si>
    <t>blackbg2</t>
  </si>
  <si>
    <t>Debug - Tori room</t>
  </si>
  <si>
    <t xml:space="preserve">doca.rsd </t>
  </si>
  <si>
    <t xml:space="preserve">docb.p </t>
  </si>
  <si>
    <t xml:space="preserve">docc.rsd </t>
  </si>
  <si>
    <t xml:space="preserve">cxbm </t>
  </si>
  <si>
    <t xml:space="preserve">docd.p </t>
  </si>
  <si>
    <t>blackbg3</t>
  </si>
  <si>
    <t xml:space="preserve">doce.rsd </t>
  </si>
  <si>
    <t>Debug - Keisuke room</t>
  </si>
  <si>
    <t xml:space="preserve">docf.p </t>
  </si>
  <si>
    <t xml:space="preserve">doda.rsd </t>
  </si>
  <si>
    <t xml:space="preserve">dodb.p </t>
  </si>
  <si>
    <t xml:space="preserve">dodc.rsd </t>
  </si>
  <si>
    <t xml:space="preserve">cxbo </t>
  </si>
  <si>
    <t xml:space="preserve">dodd.p </t>
  </si>
  <si>
    <t>blackbg4</t>
  </si>
  <si>
    <t xml:space="preserve">dode.rsd </t>
  </si>
  <si>
    <t>Debug - Hiroki room</t>
  </si>
  <si>
    <t xml:space="preserve">dodf.p </t>
  </si>
  <si>
    <t xml:space="preserve">doea.rsd </t>
  </si>
  <si>
    <t xml:space="preserve">doeb.p </t>
  </si>
  <si>
    <t xml:space="preserve">cxbq </t>
  </si>
  <si>
    <t xml:space="preserve">doec.rsd </t>
  </si>
  <si>
    <t xml:space="preserve">doed.p </t>
  </si>
  <si>
    <t>blackbg5</t>
  </si>
  <si>
    <t>Debug - Nojima room</t>
  </si>
  <si>
    <t xml:space="preserve">doee.rsd </t>
  </si>
  <si>
    <t xml:space="preserve">doef.p </t>
  </si>
  <si>
    <t xml:space="preserve">dofa.rsd </t>
  </si>
  <si>
    <t xml:space="preserve">dofb.p </t>
  </si>
  <si>
    <t xml:space="preserve">cxbr </t>
  </si>
  <si>
    <t xml:space="preserve">dofc.a </t>
  </si>
  <si>
    <t>blackbg6</t>
  </si>
  <si>
    <t xml:space="preserve">dofd.a </t>
  </si>
  <si>
    <t>Debug - Akiyama room</t>
  </si>
  <si>
    <t xml:space="preserve">dofe.a </t>
  </si>
  <si>
    <t xml:space="preserve">doff.a </t>
  </si>
  <si>
    <t xml:space="preserve">doga.hrc </t>
  </si>
  <si>
    <t>tifa_w_sk</t>
  </si>
  <si>
    <t xml:space="preserve">dogb.rsd </t>
  </si>
  <si>
    <t xml:space="preserve">dogc.p </t>
  </si>
  <si>
    <t xml:space="preserve">cxbs </t>
  </si>
  <si>
    <t xml:space="preserve">dogd.a </t>
  </si>
  <si>
    <t xml:space="preserve">doge.a </t>
  </si>
  <si>
    <t xml:space="preserve">dogf.a </t>
  </si>
  <si>
    <t>blackbg7</t>
  </si>
  <si>
    <t>Debug - Yosioka room</t>
  </si>
  <si>
    <t xml:space="preserve">doha.a </t>
  </si>
  <si>
    <t xml:space="preserve">dohb.a </t>
  </si>
  <si>
    <t xml:space="preserve">dohc.a </t>
  </si>
  <si>
    <t xml:space="preserve">dohd.a </t>
  </si>
  <si>
    <t xml:space="preserve">dohe.a </t>
  </si>
  <si>
    <t xml:space="preserve">dohf.a </t>
  </si>
  <si>
    <t xml:space="preserve">cxbt </t>
  </si>
  <si>
    <t xml:space="preserve">doia.a </t>
  </si>
  <si>
    <t xml:space="preserve">doib.hrc </t>
  </si>
  <si>
    <t>blackbg8</t>
  </si>
  <si>
    <t>woman6_st</t>
  </si>
  <si>
    <t>Debug - Kyonen room</t>
  </si>
  <si>
    <t xml:space="preserve">doic.rsd </t>
  </si>
  <si>
    <t xml:space="preserve">doid.p </t>
  </si>
  <si>
    <t xml:space="preserve">doie.rsd </t>
  </si>
  <si>
    <t xml:space="preserve">doif.p </t>
  </si>
  <si>
    <t xml:space="preserve">doja.rsd </t>
  </si>
  <si>
    <t xml:space="preserve">cxbv </t>
  </si>
  <si>
    <t xml:space="preserve">dojb.p </t>
  </si>
  <si>
    <t xml:space="preserve">dojc.tex </t>
  </si>
  <si>
    <t xml:space="preserve">dojd.tex </t>
  </si>
  <si>
    <t xml:space="preserve">doje.tex </t>
  </si>
  <si>
    <t xml:space="preserve">dojf.rsd </t>
  </si>
  <si>
    <t>blackbg9</t>
  </si>
  <si>
    <t>Black background testing purposes??</t>
  </si>
  <si>
    <t xml:space="preserve">dpaa.p </t>
  </si>
  <si>
    <t xml:space="preserve">cxbw </t>
  </si>
  <si>
    <t xml:space="preserve">dpab.rsd </t>
  </si>
  <si>
    <t xml:space="preserve">dpac.p </t>
  </si>
  <si>
    <t xml:space="preserve">dpad.rsd </t>
  </si>
  <si>
    <t xml:space="preserve">dpae.p </t>
  </si>
  <si>
    <t xml:space="preserve">dpaf.rsd </t>
  </si>
  <si>
    <t>blackbgb</t>
  </si>
  <si>
    <t xml:space="preserve">dpba.p </t>
  </si>
  <si>
    <t xml:space="preserve">dpbb.rsd </t>
  </si>
  <si>
    <t xml:space="preserve">cxbx </t>
  </si>
  <si>
    <t xml:space="preserve">dpbc.p </t>
  </si>
  <si>
    <t xml:space="preserve">dpbd.rsd </t>
  </si>
  <si>
    <t xml:space="preserve">dpbe.p </t>
  </si>
  <si>
    <t xml:space="preserve">dpbf.rsd </t>
  </si>
  <si>
    <t xml:space="preserve">dpca.p </t>
  </si>
  <si>
    <t xml:space="preserve">dpcb.rsd </t>
  </si>
  <si>
    <t xml:space="preserve">dpcc.p </t>
  </si>
  <si>
    <t>blackbgc</t>
  </si>
  <si>
    <t xml:space="preserve">dpcd.rsd </t>
  </si>
  <si>
    <t xml:space="preserve">dpce.p </t>
  </si>
  <si>
    <t xml:space="preserve">cxby </t>
  </si>
  <si>
    <t xml:space="preserve">dpcf.rsd </t>
  </si>
  <si>
    <t xml:space="preserve">dpda.p </t>
  </si>
  <si>
    <t xml:space="preserve">dpdb.rsd </t>
  </si>
  <si>
    <t xml:space="preserve">dpdc.p </t>
  </si>
  <si>
    <t xml:space="preserve">dpdd.rsd </t>
  </si>
  <si>
    <t xml:space="preserve">dpde.p </t>
  </si>
  <si>
    <t xml:space="preserve">dpdf.a </t>
  </si>
  <si>
    <t>blackbgd</t>
  </si>
  <si>
    <t xml:space="preserve">dpea.a </t>
  </si>
  <si>
    <t xml:space="preserve">dpeb.a </t>
  </si>
  <si>
    <t xml:space="preserve">dpec.a </t>
  </si>
  <si>
    <t xml:space="preserve">dped.a </t>
  </si>
  <si>
    <t xml:space="preserve">cxda </t>
  </si>
  <si>
    <t xml:space="preserve">dpee.a </t>
  </si>
  <si>
    <t xml:space="preserve">dpef.hrc </t>
  </si>
  <si>
    <t>man17_sk</t>
  </si>
  <si>
    <t xml:space="preserve">dpfa.rsd </t>
  </si>
  <si>
    <t xml:space="preserve">dpfb.p </t>
  </si>
  <si>
    <t xml:space="preserve">cyaa </t>
  </si>
  <si>
    <t>Elfadunk: Battle Skeleton</t>
  </si>
  <si>
    <t>blackbge</t>
  </si>
  <si>
    <t xml:space="preserve">dpfc.rsd </t>
  </si>
  <si>
    <t xml:space="preserve">dpfd.p </t>
  </si>
  <si>
    <t xml:space="preserve">dpfe.rsd </t>
  </si>
  <si>
    <t xml:space="preserve">dpff.p </t>
  </si>
  <si>
    <t xml:space="preserve">dpga.tex </t>
  </si>
  <si>
    <t xml:space="preserve">dpgb.tex </t>
  </si>
  <si>
    <t xml:space="preserve">dpgc.tex </t>
  </si>
  <si>
    <t xml:space="preserve">cyab </t>
  </si>
  <si>
    <t>blackbgh</t>
  </si>
  <si>
    <t xml:space="preserve">dpgd.rsd </t>
  </si>
  <si>
    <t>Elfadunk: Unidentified Part</t>
  </si>
  <si>
    <t xml:space="preserve">dpge.p </t>
  </si>
  <si>
    <t xml:space="preserve">dpgf.rsd </t>
  </si>
  <si>
    <t xml:space="preserve">cyam </t>
  </si>
  <si>
    <t xml:space="preserve">dpha.p </t>
  </si>
  <si>
    <t xml:space="preserve">dphb.rsd </t>
  </si>
  <si>
    <t xml:space="preserve">dphc.p </t>
  </si>
  <si>
    <t xml:space="preserve">dphd.rsd </t>
  </si>
  <si>
    <t xml:space="preserve">dphe.p </t>
  </si>
  <si>
    <t>blackbgi</t>
  </si>
  <si>
    <t xml:space="preserve">dphf.rsd </t>
  </si>
  <si>
    <t>Debug - Toki room</t>
  </si>
  <si>
    <t xml:space="preserve">dpia.p </t>
  </si>
  <si>
    <t xml:space="preserve">dpib.rsd </t>
  </si>
  <si>
    <t xml:space="preserve">dpic.p </t>
  </si>
  <si>
    <t xml:space="preserve">cyan </t>
  </si>
  <si>
    <t xml:space="preserve">dpid.rsd </t>
  </si>
  <si>
    <t xml:space="preserve">dpie.p </t>
  </si>
  <si>
    <t xml:space="preserve">dpif.rsd </t>
  </si>
  <si>
    <t xml:space="preserve">dpja.p </t>
  </si>
  <si>
    <t>blackbgj</t>
  </si>
  <si>
    <t xml:space="preserve">dpjb.rsd </t>
  </si>
  <si>
    <t xml:space="preserve">dpjc.p </t>
  </si>
  <si>
    <t xml:space="preserve">dpjd.rsd </t>
  </si>
  <si>
    <t xml:space="preserve">dpje.p </t>
  </si>
  <si>
    <t xml:space="preserve">dpjf.rsd </t>
  </si>
  <si>
    <t xml:space="preserve">cyao </t>
  </si>
  <si>
    <t xml:space="preserve">dqaa.p </t>
  </si>
  <si>
    <t xml:space="preserve">dqab.rsd </t>
  </si>
  <si>
    <t xml:space="preserve">dqac.p </t>
  </si>
  <si>
    <t xml:space="preserve">dqad.a </t>
  </si>
  <si>
    <t>blackbgk</t>
  </si>
  <si>
    <t xml:space="preserve">dqae.hrc </t>
  </si>
  <si>
    <t>Debug - Masa room (Dark City Fourth Street)</t>
  </si>
  <si>
    <t>woman9_sk</t>
  </si>
  <si>
    <t xml:space="preserve">dqaf.rsd </t>
  </si>
  <si>
    <t xml:space="preserve">dqba.p </t>
  </si>
  <si>
    <t xml:space="preserve">dqbb.rsd </t>
  </si>
  <si>
    <t xml:space="preserve">dqbc.p </t>
  </si>
  <si>
    <t xml:space="preserve">cyap </t>
  </si>
  <si>
    <t xml:space="preserve">dqbd.rsd </t>
  </si>
  <si>
    <t xml:space="preserve">dqbe.p </t>
  </si>
  <si>
    <t xml:space="preserve">dqbf.tex </t>
  </si>
  <si>
    <t xml:space="preserve">dqca.tex </t>
  </si>
  <si>
    <t xml:space="preserve">dqcb.tex </t>
  </si>
  <si>
    <t xml:space="preserve">dqcc.rsd </t>
  </si>
  <si>
    <t xml:space="preserve">dqcd.p </t>
  </si>
  <si>
    <t xml:space="preserve">dqce.rsd </t>
  </si>
  <si>
    <t xml:space="preserve">cyaq </t>
  </si>
  <si>
    <t>blin1</t>
  </si>
  <si>
    <t>Shinra building floor 1</t>
  </si>
  <si>
    <t xml:space="preserve">dqcf.p </t>
  </si>
  <si>
    <t xml:space="preserve">dqda.rsd </t>
  </si>
  <si>
    <t xml:space="preserve">dqdb.p </t>
  </si>
  <si>
    <t xml:space="preserve">dqdc.rsd </t>
  </si>
  <si>
    <t xml:space="preserve">dqdd.p </t>
  </si>
  <si>
    <t xml:space="preserve">dqde.rsd </t>
  </si>
  <si>
    <t>blin2</t>
  </si>
  <si>
    <t xml:space="preserve">cyas </t>
  </si>
  <si>
    <t>Shinra building floor 2</t>
  </si>
  <si>
    <t xml:space="preserve">dqdf.p </t>
  </si>
  <si>
    <t xml:space="preserve">dqea.rsd </t>
  </si>
  <si>
    <t xml:space="preserve">dqeb.p </t>
  </si>
  <si>
    <t xml:space="preserve">dqec.rsd </t>
  </si>
  <si>
    <t xml:space="preserve">dqed.p </t>
  </si>
  <si>
    <t xml:space="preserve">dqee.rsd </t>
  </si>
  <si>
    <t xml:space="preserve">dqef.p </t>
  </si>
  <si>
    <t>blin2_i</t>
  </si>
  <si>
    <t xml:space="preserve">dqfa.rsd </t>
  </si>
  <si>
    <t>Shinra building floor 2 shop</t>
  </si>
  <si>
    <t xml:space="preserve">dqfb.p </t>
  </si>
  <si>
    <t xml:space="preserve">dqfc.rsd </t>
  </si>
  <si>
    <t xml:space="preserve">dqfd.p </t>
  </si>
  <si>
    <t xml:space="preserve">dqfe.rsd </t>
  </si>
  <si>
    <t xml:space="preserve">dqff.p </t>
  </si>
  <si>
    <t xml:space="preserve">dqga.rsd </t>
  </si>
  <si>
    <t xml:space="preserve">cyau </t>
  </si>
  <si>
    <t xml:space="preserve">dqgb.p </t>
  </si>
  <si>
    <t xml:space="preserve">dqgc.a </t>
  </si>
  <si>
    <t>blin3_1</t>
  </si>
  <si>
    <t xml:space="preserve">dqgd.hrc </t>
  </si>
  <si>
    <t>man8_st</t>
  </si>
  <si>
    <t>Shinra building floor 3</t>
  </si>
  <si>
    <t xml:space="preserve">dqge.rsd </t>
  </si>
  <si>
    <t xml:space="preserve">dqgf.p </t>
  </si>
  <si>
    <t xml:space="preserve">dqha.rsd </t>
  </si>
  <si>
    <t xml:space="preserve">dqhb.p </t>
  </si>
  <si>
    <t xml:space="preserve">dqhc.rsd </t>
  </si>
  <si>
    <t xml:space="preserve">dqhd.p </t>
  </si>
  <si>
    <t xml:space="preserve">dqhe.tex </t>
  </si>
  <si>
    <t xml:space="preserve">cyav </t>
  </si>
  <si>
    <t xml:space="preserve">dqhf.tex </t>
  </si>
  <si>
    <t>blin59</t>
  </si>
  <si>
    <t xml:space="preserve">dqia.tex </t>
  </si>
  <si>
    <t>Shinra building floor 59</t>
  </si>
  <si>
    <t xml:space="preserve">dqib.rsd </t>
  </si>
  <si>
    <t xml:space="preserve">dqic.p </t>
  </si>
  <si>
    <t xml:space="preserve">dqid.rsd </t>
  </si>
  <si>
    <t xml:space="preserve">dqie.p </t>
  </si>
  <si>
    <t xml:space="preserve">dqif.rsd </t>
  </si>
  <si>
    <t xml:space="preserve">cyaw </t>
  </si>
  <si>
    <t xml:space="preserve">dqja.p </t>
  </si>
  <si>
    <t>blin60_1</t>
  </si>
  <si>
    <t>Shinra building floor 60</t>
  </si>
  <si>
    <t xml:space="preserve">dqjb.rsd </t>
  </si>
  <si>
    <t xml:space="preserve">dqjc.p </t>
  </si>
  <si>
    <t xml:space="preserve">dqjd.rsd </t>
  </si>
  <si>
    <t xml:space="preserve">dqje.p </t>
  </si>
  <si>
    <t xml:space="preserve">dqjf.rsd </t>
  </si>
  <si>
    <t xml:space="preserve">cyay </t>
  </si>
  <si>
    <t xml:space="preserve">draa.p </t>
  </si>
  <si>
    <t>blin60_2</t>
  </si>
  <si>
    <t xml:space="preserve">drab.rsd </t>
  </si>
  <si>
    <t xml:space="preserve">drac.p </t>
  </si>
  <si>
    <t xml:space="preserve">drad.rsd </t>
  </si>
  <si>
    <t xml:space="preserve">drae.p </t>
  </si>
  <si>
    <t xml:space="preserve">draf.rsd </t>
  </si>
  <si>
    <t xml:space="preserve">cyaz </t>
  </si>
  <si>
    <t xml:space="preserve">drba.p </t>
  </si>
  <si>
    <t xml:space="preserve">drbb.rsd </t>
  </si>
  <si>
    <t>blin61</t>
  </si>
  <si>
    <t xml:space="preserve">drbc.p </t>
  </si>
  <si>
    <t>Shinra building floor 61</t>
  </si>
  <si>
    <t xml:space="preserve">drbd.rsd </t>
  </si>
  <si>
    <t xml:space="preserve">drbe.p </t>
  </si>
  <si>
    <t xml:space="preserve">drbf.rsd </t>
  </si>
  <si>
    <t xml:space="preserve">cyba </t>
  </si>
  <si>
    <t xml:space="preserve">drca.p </t>
  </si>
  <si>
    <t xml:space="preserve">drcb.a </t>
  </si>
  <si>
    <t xml:space="preserve">drcc.hrc </t>
  </si>
  <si>
    <t>m6_sk</t>
  </si>
  <si>
    <t>blin62_1</t>
  </si>
  <si>
    <t xml:space="preserve">drcd.rsd </t>
  </si>
  <si>
    <t>Shinra building floor 62</t>
  </si>
  <si>
    <t xml:space="preserve">drce.p </t>
  </si>
  <si>
    <t xml:space="preserve">drcf.rsd </t>
  </si>
  <si>
    <t xml:space="preserve">drda.p </t>
  </si>
  <si>
    <t xml:space="preserve">cybc </t>
  </si>
  <si>
    <t xml:space="preserve">drdb.rsd </t>
  </si>
  <si>
    <t xml:space="preserve">drdc.p </t>
  </si>
  <si>
    <t xml:space="preserve">drdd.tex </t>
  </si>
  <si>
    <t>blin62_2</t>
  </si>
  <si>
    <t xml:space="preserve">drde.tex </t>
  </si>
  <si>
    <t xml:space="preserve">drdf.tex </t>
  </si>
  <si>
    <t xml:space="preserve">drea.rsd </t>
  </si>
  <si>
    <t xml:space="preserve">dreb.p </t>
  </si>
  <si>
    <t xml:space="preserve">drec.rsd </t>
  </si>
  <si>
    <t xml:space="preserve">cybd </t>
  </si>
  <si>
    <t xml:space="preserve">dred.p </t>
  </si>
  <si>
    <t xml:space="preserve">dree.rsd </t>
  </si>
  <si>
    <t>blin62_3</t>
  </si>
  <si>
    <t xml:space="preserve">dref.p </t>
  </si>
  <si>
    <t xml:space="preserve">drfa.rsd </t>
  </si>
  <si>
    <t xml:space="preserve">drfb.p </t>
  </si>
  <si>
    <t xml:space="preserve">drfc.rsd </t>
  </si>
  <si>
    <t xml:space="preserve">drfd.p </t>
  </si>
  <si>
    <t xml:space="preserve">cybe </t>
  </si>
  <si>
    <t xml:space="preserve">drfe.rsd </t>
  </si>
  <si>
    <t xml:space="preserve">drff.p </t>
  </si>
  <si>
    <t xml:space="preserve">drga.rsd </t>
  </si>
  <si>
    <t>blin63_1</t>
  </si>
  <si>
    <t>Shinra building floor 63</t>
  </si>
  <si>
    <t xml:space="preserve">drgb.p </t>
  </si>
  <si>
    <t xml:space="preserve">drgc.rsd </t>
  </si>
  <si>
    <t xml:space="preserve">drgd.p </t>
  </si>
  <si>
    <t xml:space="preserve">cybg </t>
  </si>
  <si>
    <t xml:space="preserve">drge.rsd </t>
  </si>
  <si>
    <t xml:space="preserve">drgf.p </t>
  </si>
  <si>
    <t xml:space="preserve">drha.rsd </t>
  </si>
  <si>
    <t xml:space="preserve">drhb.p </t>
  </si>
  <si>
    <t xml:space="preserve">drhc.rsd </t>
  </si>
  <si>
    <t xml:space="preserve">drhd.p </t>
  </si>
  <si>
    <t xml:space="preserve">cybh </t>
  </si>
  <si>
    <t xml:space="preserve">drhe.rsd </t>
  </si>
  <si>
    <t xml:space="preserve">drhf.p </t>
  </si>
  <si>
    <t xml:space="preserve">dria.hrc </t>
  </si>
  <si>
    <t xml:space="preserve">drib.rsd </t>
  </si>
  <si>
    <t xml:space="preserve">dric.p </t>
  </si>
  <si>
    <t xml:space="preserve">cybi </t>
  </si>
  <si>
    <t xml:space="preserve">drid.tex </t>
  </si>
  <si>
    <t xml:space="preserve">drie.a </t>
  </si>
  <si>
    <t xml:space="preserve">drif.hrc </t>
  </si>
  <si>
    <t>inchss_sk</t>
  </si>
  <si>
    <t xml:space="preserve">drja.rsd </t>
  </si>
  <si>
    <t xml:space="preserve">drjb.p </t>
  </si>
  <si>
    <t xml:space="preserve">cybk </t>
  </si>
  <si>
    <t xml:space="preserve">drjc.tex </t>
  </si>
  <si>
    <t xml:space="preserve">drjd.a </t>
  </si>
  <si>
    <t xml:space="preserve">drje.hrc </t>
  </si>
  <si>
    <t>inchsm_sk</t>
  </si>
  <si>
    <t xml:space="preserve">drjf.rsd </t>
  </si>
  <si>
    <t xml:space="preserve">dsaa.p </t>
  </si>
  <si>
    <t xml:space="preserve">dsab.tex </t>
  </si>
  <si>
    <t xml:space="preserve">dsac.a </t>
  </si>
  <si>
    <t xml:space="preserve">cyda </t>
  </si>
  <si>
    <t xml:space="preserve">dsad.a </t>
  </si>
  <si>
    <t xml:space="preserve">dsae.a </t>
  </si>
  <si>
    <t>blin63_t</t>
  </si>
  <si>
    <t xml:space="preserve">dsaf.a </t>
  </si>
  <si>
    <t xml:space="preserve">czaa </t>
  </si>
  <si>
    <t xml:space="preserve">dsba.a </t>
  </si>
  <si>
    <t>Mu: Battle Skeleton</t>
  </si>
  <si>
    <t xml:space="preserve">dsbb.a </t>
  </si>
  <si>
    <t xml:space="preserve">dsbc.hrc </t>
  </si>
  <si>
    <t>fw1_sk</t>
  </si>
  <si>
    <t xml:space="preserve">dsbd.rsd </t>
  </si>
  <si>
    <t xml:space="preserve">dsbe.p </t>
  </si>
  <si>
    <t xml:space="preserve">dsbf.rsd </t>
  </si>
  <si>
    <t xml:space="preserve">dsca.p </t>
  </si>
  <si>
    <t xml:space="preserve">dscb.tex </t>
  </si>
  <si>
    <t xml:space="preserve">dscc.tex </t>
  </si>
  <si>
    <t xml:space="preserve">dscd.tex </t>
  </si>
  <si>
    <t>blin64</t>
  </si>
  <si>
    <t xml:space="preserve">dsce.rsd </t>
  </si>
  <si>
    <t>Shinra building floor 64</t>
  </si>
  <si>
    <t xml:space="preserve">czab </t>
  </si>
  <si>
    <t xml:space="preserve">dscf.p </t>
  </si>
  <si>
    <t>Mu: Unidentified Part</t>
  </si>
  <si>
    <t xml:space="preserve">dsda.rsd </t>
  </si>
  <si>
    <t xml:space="preserve">dsdb.p </t>
  </si>
  <si>
    <t xml:space="preserve">czac </t>
  </si>
  <si>
    <t xml:space="preserve">dsdc.rsd </t>
  </si>
  <si>
    <t>Mu: Rock Texture</t>
  </si>
  <si>
    <t xml:space="preserve">dsdd.p </t>
  </si>
  <si>
    <t xml:space="preserve">dsde.rsd </t>
  </si>
  <si>
    <t xml:space="preserve">dsdf.p </t>
  </si>
  <si>
    <t xml:space="preserve">dsea.rsd </t>
  </si>
  <si>
    <t xml:space="preserve">dseb.p </t>
  </si>
  <si>
    <t>blin65_1</t>
  </si>
  <si>
    <t>Shinra building floor 65</t>
  </si>
  <si>
    <t xml:space="preserve">dsec.rsd </t>
  </si>
  <si>
    <t xml:space="preserve">dsed.p </t>
  </si>
  <si>
    <t xml:space="preserve">dsee.rsd </t>
  </si>
  <si>
    <t xml:space="preserve">czam </t>
  </si>
  <si>
    <t xml:space="preserve">dsef.p </t>
  </si>
  <si>
    <t xml:space="preserve">dsfa.rsd </t>
  </si>
  <si>
    <t>blin65_2</t>
  </si>
  <si>
    <t xml:space="preserve">dsfb.p </t>
  </si>
  <si>
    <t xml:space="preserve">dsfc.rsd </t>
  </si>
  <si>
    <t xml:space="preserve">dsfd.p </t>
  </si>
  <si>
    <t xml:space="preserve">dsfe.rsd </t>
  </si>
  <si>
    <t xml:space="preserve">czat </t>
  </si>
  <si>
    <t xml:space="preserve">dsff.p </t>
  </si>
  <si>
    <t>blin66_1</t>
  </si>
  <si>
    <t>Shinra building floor 66</t>
  </si>
  <si>
    <t xml:space="preserve">dsga.rsd </t>
  </si>
  <si>
    <t xml:space="preserve">dsgb.p </t>
  </si>
  <si>
    <t xml:space="preserve">czau </t>
  </si>
  <si>
    <t xml:space="preserve">dsgc.rsd </t>
  </si>
  <si>
    <t xml:space="preserve">dsgd.p </t>
  </si>
  <si>
    <t xml:space="preserve">dsge.a </t>
  </si>
  <si>
    <t xml:space="preserve">dsgf.hrc </t>
  </si>
  <si>
    <t>wold1_sk</t>
  </si>
  <si>
    <t xml:space="preserve">dsha.rsd </t>
  </si>
  <si>
    <t xml:space="preserve">dshb.p </t>
  </si>
  <si>
    <t>blin66_2</t>
  </si>
  <si>
    <t xml:space="preserve">dshc.rsd </t>
  </si>
  <si>
    <t xml:space="preserve">czaw </t>
  </si>
  <si>
    <t xml:space="preserve">dshd.p </t>
  </si>
  <si>
    <t xml:space="preserve">dshe.rsd </t>
  </si>
  <si>
    <t xml:space="preserve">dshf.p </t>
  </si>
  <si>
    <t xml:space="preserve">dsia.tex </t>
  </si>
  <si>
    <t xml:space="preserve">dsib.tex </t>
  </si>
  <si>
    <t xml:space="preserve">dsic.tex </t>
  </si>
  <si>
    <t xml:space="preserve">dsid.rsd </t>
  </si>
  <si>
    <t>blin66_3</t>
  </si>
  <si>
    <t xml:space="preserve">czay </t>
  </si>
  <si>
    <t xml:space="preserve">dsie.p </t>
  </si>
  <si>
    <t xml:space="preserve">czbb </t>
  </si>
  <si>
    <t xml:space="preserve">dsif.rsd </t>
  </si>
  <si>
    <t xml:space="preserve">dsja.p </t>
  </si>
  <si>
    <t xml:space="preserve">dsjb.rsd </t>
  </si>
  <si>
    <t xml:space="preserve">dsjc.p </t>
  </si>
  <si>
    <t>blin66_4</t>
  </si>
  <si>
    <t xml:space="preserve">dsjd.rsd </t>
  </si>
  <si>
    <t xml:space="preserve">dsje.p </t>
  </si>
  <si>
    <t xml:space="preserve">czbc </t>
  </si>
  <si>
    <t xml:space="preserve">dsjf.rsd </t>
  </si>
  <si>
    <t xml:space="preserve">dtaa.p </t>
  </si>
  <si>
    <t xml:space="preserve">dtab.rsd </t>
  </si>
  <si>
    <t>blin66_5</t>
  </si>
  <si>
    <t xml:space="preserve">dtac.p </t>
  </si>
  <si>
    <t xml:space="preserve">dtad.rsd </t>
  </si>
  <si>
    <t xml:space="preserve">dtae.p </t>
  </si>
  <si>
    <t xml:space="preserve">czbf </t>
  </si>
  <si>
    <t xml:space="preserve">dtaf.rsd </t>
  </si>
  <si>
    <t xml:space="preserve">dtba.p </t>
  </si>
  <si>
    <t xml:space="preserve">dtbb.rsd </t>
  </si>
  <si>
    <t xml:space="preserve">dtbc.p </t>
  </si>
  <si>
    <t xml:space="preserve">dtbd.rsd </t>
  </si>
  <si>
    <t>blin66_6</t>
  </si>
  <si>
    <t xml:space="preserve">dtbe.p </t>
  </si>
  <si>
    <t xml:space="preserve">dtbf.rsd </t>
  </si>
  <si>
    <t xml:space="preserve">dtca.p </t>
  </si>
  <si>
    <t xml:space="preserve">dtcb.rsd </t>
  </si>
  <si>
    <t xml:space="preserve">czbg </t>
  </si>
  <si>
    <t xml:space="preserve">dtcc.p </t>
  </si>
  <si>
    <t>blin67_1</t>
  </si>
  <si>
    <t>Shinra building floor 67</t>
  </si>
  <si>
    <t xml:space="preserve">dtcd.a </t>
  </si>
  <si>
    <t xml:space="preserve">dtce.hrc </t>
  </si>
  <si>
    <t>rkt_m_sk</t>
  </si>
  <si>
    <t xml:space="preserve">dtcf.rsd </t>
  </si>
  <si>
    <t xml:space="preserve">dtda.p </t>
  </si>
  <si>
    <t xml:space="preserve">dtdb.rsd </t>
  </si>
  <si>
    <t xml:space="preserve">czbi </t>
  </si>
  <si>
    <t>blin67_2</t>
  </si>
  <si>
    <t xml:space="preserve">dtdc.p </t>
  </si>
  <si>
    <t xml:space="preserve">dtdd.rsd </t>
  </si>
  <si>
    <t xml:space="preserve">dtde.p </t>
  </si>
  <si>
    <t xml:space="preserve">dtdf.tex </t>
  </si>
  <si>
    <t xml:space="preserve">dtea.tex </t>
  </si>
  <si>
    <t>blin67_3</t>
  </si>
  <si>
    <t xml:space="preserve">czbj </t>
  </si>
  <si>
    <t xml:space="preserve">dteb.tex </t>
  </si>
  <si>
    <t xml:space="preserve">dtec.rsd </t>
  </si>
  <si>
    <t xml:space="preserve">dted.p </t>
  </si>
  <si>
    <t xml:space="preserve">dtee.rsd </t>
  </si>
  <si>
    <t>blin67_4</t>
  </si>
  <si>
    <t xml:space="preserve">dtef.p </t>
  </si>
  <si>
    <t xml:space="preserve">dtfa.rsd </t>
  </si>
  <si>
    <t xml:space="preserve">dtfb.p </t>
  </si>
  <si>
    <t xml:space="preserve">dtfc.rsd </t>
  </si>
  <si>
    <t xml:space="preserve">dtfd.p </t>
  </si>
  <si>
    <t xml:space="preserve">czbk </t>
  </si>
  <si>
    <t>blin671b</t>
  </si>
  <si>
    <t xml:space="preserve">dtfe.rsd </t>
  </si>
  <si>
    <t xml:space="preserve">dtff.p </t>
  </si>
  <si>
    <t xml:space="preserve">dtga.rsd </t>
  </si>
  <si>
    <t xml:space="preserve">dtgb.p </t>
  </si>
  <si>
    <t xml:space="preserve">dtgc.rsd </t>
  </si>
  <si>
    <t>blin673b</t>
  </si>
  <si>
    <t xml:space="preserve">czbl </t>
  </si>
  <si>
    <t xml:space="preserve">dtgd.p </t>
  </si>
  <si>
    <t xml:space="preserve">dtge.rsd </t>
  </si>
  <si>
    <t xml:space="preserve">dtgf.p </t>
  </si>
  <si>
    <t xml:space="preserve">dtha.rsd </t>
  </si>
  <si>
    <t xml:space="preserve">dthb.p </t>
  </si>
  <si>
    <t>blin68_1</t>
  </si>
  <si>
    <t xml:space="preserve">dthc.rsd </t>
  </si>
  <si>
    <t xml:space="preserve">czda </t>
  </si>
  <si>
    <t>Shinra building floor 68</t>
  </si>
  <si>
    <t xml:space="preserve">dthd.p </t>
  </si>
  <si>
    <t xml:space="preserve">dthe.rsd </t>
  </si>
  <si>
    <t xml:space="preserve">daaa </t>
  </si>
  <si>
    <t>Mu (Rock Only): Battle Skeleton</t>
  </si>
  <si>
    <t xml:space="preserve">dthf.p </t>
  </si>
  <si>
    <t xml:space="preserve">dtia.rsd </t>
  </si>
  <si>
    <t>blin68_2</t>
  </si>
  <si>
    <t xml:space="preserve">dtib.p </t>
  </si>
  <si>
    <t xml:space="preserve">dtic.hrc </t>
  </si>
  <si>
    <t>cnlbpl_sk</t>
  </si>
  <si>
    <t xml:space="preserve">dtid.rsd </t>
  </si>
  <si>
    <t xml:space="preserve">daab </t>
  </si>
  <si>
    <t xml:space="preserve">dtie.p </t>
  </si>
  <si>
    <t>Mu (Rock Only): Unidentified Part</t>
  </si>
  <si>
    <t xml:space="preserve">dtif.a </t>
  </si>
  <si>
    <t xml:space="preserve">dtja.a </t>
  </si>
  <si>
    <t xml:space="preserve">daac </t>
  </si>
  <si>
    <t xml:space="preserve">dtjb.hrc </t>
  </si>
  <si>
    <t>Mu (Rock Only): Rock Texture</t>
  </si>
  <si>
    <t>buka_sk</t>
  </si>
  <si>
    <t xml:space="preserve">dtjc.rsd </t>
  </si>
  <si>
    <t>blin69_1</t>
  </si>
  <si>
    <t>Shinra building floor 69</t>
  </si>
  <si>
    <t xml:space="preserve">dtjd.p </t>
  </si>
  <si>
    <t xml:space="preserve">dtje.rsd </t>
  </si>
  <si>
    <t xml:space="preserve">dtjf.p </t>
  </si>
  <si>
    <t xml:space="preserve">duaa.rsd </t>
  </si>
  <si>
    <t xml:space="preserve">duab.p </t>
  </si>
  <si>
    <t xml:space="preserve">daam </t>
  </si>
  <si>
    <t xml:space="preserve">duac.tex </t>
  </si>
  <si>
    <t>blin70_1</t>
  </si>
  <si>
    <t>Mu (Rock Only): Rock Model</t>
  </si>
  <si>
    <t>Shinra building floor 70</t>
  </si>
  <si>
    <t xml:space="preserve">duad.tex </t>
  </si>
  <si>
    <t xml:space="preserve">duae.tex </t>
  </si>
  <si>
    <t xml:space="preserve">duaf.rsd </t>
  </si>
  <si>
    <t xml:space="preserve">duba.p </t>
  </si>
  <si>
    <t xml:space="preserve">dubb.rsd </t>
  </si>
  <si>
    <t>blin70_2</t>
  </si>
  <si>
    <t xml:space="preserve">dada </t>
  </si>
  <si>
    <t>68 Bytes</t>
  </si>
  <si>
    <t xml:space="preserve">dubc.p </t>
  </si>
  <si>
    <t xml:space="preserve">dbaa </t>
  </si>
  <si>
    <t>Mandragora:Battle Skeleton</t>
  </si>
  <si>
    <t xml:space="preserve">dubd.rsd </t>
  </si>
  <si>
    <t>blin70_3</t>
  </si>
  <si>
    <t xml:space="preserve">dube.p </t>
  </si>
  <si>
    <t xml:space="preserve">dubf.rsd </t>
  </si>
  <si>
    <t xml:space="preserve">duca.p </t>
  </si>
  <si>
    <t xml:space="preserve">dbab </t>
  </si>
  <si>
    <t xml:space="preserve">ducb.rsd </t>
  </si>
  <si>
    <t>Mandragora: Unidentified Part</t>
  </si>
  <si>
    <t xml:space="preserve">ducc.p </t>
  </si>
  <si>
    <t xml:space="preserve">dbam </t>
  </si>
  <si>
    <t xml:space="preserve">ducd.rsd </t>
  </si>
  <si>
    <t>blin70_4</t>
  </si>
  <si>
    <t xml:space="preserve">duce.p </t>
  </si>
  <si>
    <t xml:space="preserve">ducf.rsd </t>
  </si>
  <si>
    <t xml:space="preserve">duda.p </t>
  </si>
  <si>
    <t xml:space="preserve">dban </t>
  </si>
  <si>
    <t xml:space="preserve">dudb.rsd </t>
  </si>
  <si>
    <t xml:space="preserve">dudc.p </t>
  </si>
  <si>
    <t xml:space="preserve">dudd.rsd </t>
  </si>
  <si>
    <t>blinele</t>
  </si>
  <si>
    <t>Shinra building random floor elevator</t>
  </si>
  <si>
    <t xml:space="preserve">dbap </t>
  </si>
  <si>
    <t xml:space="preserve">dude.p </t>
  </si>
  <si>
    <t xml:space="preserve">dudf.rsd </t>
  </si>
  <si>
    <t xml:space="preserve">duea.p </t>
  </si>
  <si>
    <t xml:space="preserve">dueb.rsd </t>
  </si>
  <si>
    <t>blinst_1</t>
  </si>
  <si>
    <t xml:space="preserve">dbaq </t>
  </si>
  <si>
    <t xml:space="preserve">duec.p </t>
  </si>
  <si>
    <t>Shinra building stairs stage 1</t>
  </si>
  <si>
    <t xml:space="preserve">dued.rsd </t>
  </si>
  <si>
    <t xml:space="preserve">duee.p </t>
  </si>
  <si>
    <t xml:space="preserve">duef.a </t>
  </si>
  <si>
    <t xml:space="preserve">dbas </t>
  </si>
  <si>
    <t xml:space="preserve">dufa.hrc </t>
  </si>
  <si>
    <t>blinst_2</t>
  </si>
  <si>
    <t>youjinr_sk</t>
  </si>
  <si>
    <t>Shinra building stairs stage 2</t>
  </si>
  <si>
    <t xml:space="preserve">dufb.rsd </t>
  </si>
  <si>
    <t xml:space="preserve">dufc.p </t>
  </si>
  <si>
    <t xml:space="preserve">dufd.rsd </t>
  </si>
  <si>
    <t xml:space="preserve">dufe.p </t>
  </si>
  <si>
    <t xml:space="preserve">dbat </t>
  </si>
  <si>
    <t xml:space="preserve">duff.rsd </t>
  </si>
  <si>
    <t>blinst_3</t>
  </si>
  <si>
    <t>Shinra building stairs stage 3 end</t>
  </si>
  <si>
    <t xml:space="preserve">duga.p </t>
  </si>
  <si>
    <t xml:space="preserve">dugb.tex </t>
  </si>
  <si>
    <t xml:space="preserve">dugc.rsd </t>
  </si>
  <si>
    <t xml:space="preserve">dugd.p </t>
  </si>
  <si>
    <t xml:space="preserve">dbav </t>
  </si>
  <si>
    <t xml:space="preserve">duge.rsd </t>
  </si>
  <si>
    <t>blue_1</t>
  </si>
  <si>
    <t>Forgotten capital way to the city</t>
  </si>
  <si>
    <t xml:space="preserve">dugf.p </t>
  </si>
  <si>
    <t xml:space="preserve">duha.rsd </t>
  </si>
  <si>
    <t xml:space="preserve">duhb.p </t>
  </si>
  <si>
    <t xml:space="preserve">duhc.rsd </t>
  </si>
  <si>
    <t xml:space="preserve">dbaw </t>
  </si>
  <si>
    <t xml:space="preserve">duhd.p </t>
  </si>
  <si>
    <t>blue_2</t>
  </si>
  <si>
    <t>Forgotten capital Aeris burial place</t>
  </si>
  <si>
    <t xml:space="preserve">duhe.rsd </t>
  </si>
  <si>
    <t xml:space="preserve">duhf.p </t>
  </si>
  <si>
    <t xml:space="preserve">duia.rsd </t>
  </si>
  <si>
    <t xml:space="preserve">duib.p </t>
  </si>
  <si>
    <t xml:space="preserve">dbay </t>
  </si>
  <si>
    <t xml:space="preserve">duic.rsd </t>
  </si>
  <si>
    <t>bonevil</t>
  </si>
  <si>
    <t>Bone village</t>
  </si>
  <si>
    <t xml:space="preserve">duid.p </t>
  </si>
  <si>
    <t>NPCs layout</t>
  </si>
  <si>
    <t xml:space="preserve">duie.rsd </t>
  </si>
  <si>
    <t xml:space="preserve">duif.p </t>
  </si>
  <si>
    <t xml:space="preserve">duja.rsd </t>
  </si>
  <si>
    <t xml:space="preserve">dbaz </t>
  </si>
  <si>
    <t xml:space="preserve">dujb.p </t>
  </si>
  <si>
    <t>bonevil2</t>
  </si>
  <si>
    <t>Buried items layout</t>
  </si>
  <si>
    <t xml:space="preserve">dujc.rsd </t>
  </si>
  <si>
    <t xml:space="preserve">dujd.p </t>
  </si>
  <si>
    <t xml:space="preserve">duje.rsd </t>
  </si>
  <si>
    <t xml:space="preserve">dujf.p </t>
  </si>
  <si>
    <t>bugin1a</t>
  </si>
  <si>
    <t>Buggenhagen observatory planet room</t>
  </si>
  <si>
    <t xml:space="preserve">dvaa.rsd </t>
  </si>
  <si>
    <t xml:space="preserve">dvab.p </t>
  </si>
  <si>
    <t xml:space="preserve">dvac.a </t>
  </si>
  <si>
    <t xml:space="preserve">dvad.a </t>
  </si>
  <si>
    <t xml:space="preserve">dvae.a </t>
  </si>
  <si>
    <t xml:space="preserve">dvaf.a </t>
  </si>
  <si>
    <t>bugin1b</t>
  </si>
  <si>
    <t>Buggenhagen observatory planet room upper</t>
  </si>
  <si>
    <t xml:space="preserve">dvba.a </t>
  </si>
  <si>
    <t>Character layout</t>
  </si>
  <si>
    <t xml:space="preserve">dvbb.a </t>
  </si>
  <si>
    <t xml:space="preserve">dvbc.a </t>
  </si>
  <si>
    <t xml:space="preserve">dbbb </t>
  </si>
  <si>
    <t xml:space="preserve">dvbd.a </t>
  </si>
  <si>
    <t xml:space="preserve">dvbe.hrc </t>
  </si>
  <si>
    <t>bugin1c</t>
  </si>
  <si>
    <t>youjinl_sk</t>
  </si>
  <si>
    <t xml:space="preserve">dvbf.rsd </t>
  </si>
  <si>
    <t>Materia layout</t>
  </si>
  <si>
    <t xml:space="preserve">dvca.p </t>
  </si>
  <si>
    <t xml:space="preserve">dvcb.rsd </t>
  </si>
  <si>
    <t xml:space="preserve">dvcc.p </t>
  </si>
  <si>
    <t>bugin2</t>
  </si>
  <si>
    <t xml:space="preserve">dvcd.rsd </t>
  </si>
  <si>
    <t xml:space="preserve">dbbc </t>
  </si>
  <si>
    <t>Buggenhagen observatory</t>
  </si>
  <si>
    <t xml:space="preserve">dvce.p </t>
  </si>
  <si>
    <t xml:space="preserve">dvcf.tex </t>
  </si>
  <si>
    <t xml:space="preserve">dvda.tex </t>
  </si>
  <si>
    <t xml:space="preserve">dvdb.tex </t>
  </si>
  <si>
    <t>bugin3</t>
  </si>
  <si>
    <t xml:space="preserve">dvdc.rsd </t>
  </si>
  <si>
    <t>Earth for buggenhagen explanation</t>
  </si>
  <si>
    <t xml:space="preserve">dvdd.p </t>
  </si>
  <si>
    <t xml:space="preserve">dvde.rsd </t>
  </si>
  <si>
    <t xml:space="preserve">dvdf.p </t>
  </si>
  <si>
    <t xml:space="preserve">dbbe </t>
  </si>
  <si>
    <t xml:space="preserve">dvea.rsd </t>
  </si>
  <si>
    <t xml:space="preserve">dveb.p </t>
  </si>
  <si>
    <t>bwhlin</t>
  </si>
  <si>
    <t xml:space="preserve">dvec.rsd </t>
  </si>
  <si>
    <t>Round Square</t>
  </si>
  <si>
    <t xml:space="preserve">dved.p </t>
  </si>
  <si>
    <t xml:space="preserve">dvee.rsd </t>
  </si>
  <si>
    <t xml:space="preserve">dvef.p </t>
  </si>
  <si>
    <t xml:space="preserve">dvfa.rsd </t>
  </si>
  <si>
    <t xml:space="preserve">dvfb.p </t>
  </si>
  <si>
    <t xml:space="preserve">dvfc.rsd </t>
  </si>
  <si>
    <t>bwhlin2</t>
  </si>
  <si>
    <t xml:space="preserve">dvfd.p </t>
  </si>
  <si>
    <t xml:space="preserve">dbbf </t>
  </si>
  <si>
    <t xml:space="preserve">dvfe.rsd </t>
  </si>
  <si>
    <t xml:space="preserve">dvff.p </t>
  </si>
  <si>
    <t xml:space="preserve">dvga.rsd </t>
  </si>
  <si>
    <t xml:space="preserve">dvgb.p </t>
  </si>
  <si>
    <t xml:space="preserve">dvgc.rsd </t>
  </si>
  <si>
    <t xml:space="preserve">dvgd.p </t>
  </si>
  <si>
    <t>c_eye2.tex</t>
  </si>
  <si>
    <t>Cloud eye closed</t>
  </si>
  <si>
    <t xml:space="preserve">dbbh </t>
  </si>
  <si>
    <t>c_eye2r.tex</t>
  </si>
  <si>
    <t xml:space="preserve">dbbi </t>
  </si>
  <si>
    <t>canon_1</t>
  </si>
  <si>
    <t>Midgar cannon stairs</t>
  </si>
  <si>
    <t xml:space="preserve">dbbk </t>
  </si>
  <si>
    <t>canon_2</t>
  </si>
  <si>
    <t xml:space="preserve">dvge.rsd </t>
  </si>
  <si>
    <t>Midgar cannon Hojo control panel</t>
  </si>
  <si>
    <t xml:space="preserve">dvgf.p </t>
  </si>
  <si>
    <t xml:space="preserve">dvha.rsd </t>
  </si>
  <si>
    <t xml:space="preserve">dvhb.p </t>
  </si>
  <si>
    <t xml:space="preserve">dvhc.a </t>
  </si>
  <si>
    <t xml:space="preserve">dvhd.a </t>
  </si>
  <si>
    <t xml:space="preserve">dvhe.a </t>
  </si>
  <si>
    <t>cargoin</t>
  </si>
  <si>
    <t xml:space="preserve">dvhf.hrc </t>
  </si>
  <si>
    <t>Train After Bombing mission Rear Car</t>
  </si>
  <si>
    <t>korneo_sk</t>
  </si>
  <si>
    <t xml:space="preserve">dvia.rsd </t>
  </si>
  <si>
    <t>meteor crashes</t>
  </si>
  <si>
    <t xml:space="preserve">dbbl </t>
  </si>
  <si>
    <t xml:space="preserve">dvib.p </t>
  </si>
  <si>
    <t xml:space="preserve">dvic.rsd </t>
  </si>
  <si>
    <t xml:space="preserve">dvid.p </t>
  </si>
  <si>
    <t>chi_red2.tex</t>
  </si>
  <si>
    <t xml:space="preserve">dvie.rsd </t>
  </si>
  <si>
    <t>Red XII eye open</t>
  </si>
  <si>
    <t xml:space="preserve">dvif.p </t>
  </si>
  <si>
    <t xml:space="preserve">dvja.tex </t>
  </si>
  <si>
    <t xml:space="preserve">dbbn </t>
  </si>
  <si>
    <t xml:space="preserve">dvjb.tex </t>
  </si>
  <si>
    <t xml:space="preserve">dvjc.tex </t>
  </si>
  <si>
    <t xml:space="preserve">dvjd.rsd </t>
  </si>
  <si>
    <t>chi_red5.tex</t>
  </si>
  <si>
    <t xml:space="preserve">dvje.p </t>
  </si>
  <si>
    <t xml:space="preserve">dbbp </t>
  </si>
  <si>
    <t xml:space="preserve">dvjf.rsd </t>
  </si>
  <si>
    <t xml:space="preserve">dwaa.p </t>
  </si>
  <si>
    <t xml:space="preserve">dwab.rsd </t>
  </si>
  <si>
    <t xml:space="preserve">dwac.p </t>
  </si>
  <si>
    <t>chorace</t>
  </si>
  <si>
    <t xml:space="preserve">dwad.rsd </t>
  </si>
  <si>
    <t>Gold saucer chocobo races entrance stairs</t>
  </si>
  <si>
    <t xml:space="preserve">dwae.p </t>
  </si>
  <si>
    <t>Regular stage</t>
  </si>
  <si>
    <t xml:space="preserve">dwaf.rsd </t>
  </si>
  <si>
    <t xml:space="preserve">dbbr </t>
  </si>
  <si>
    <t xml:space="preserve">dwba.p </t>
  </si>
  <si>
    <t xml:space="preserve">dwbb.rsd </t>
  </si>
  <si>
    <t xml:space="preserve">dwbc.p </t>
  </si>
  <si>
    <t>chorace2</t>
  </si>
  <si>
    <t xml:space="preserve">dwbd.rsd </t>
  </si>
  <si>
    <t>Cait Sith chasing stage</t>
  </si>
  <si>
    <t xml:space="preserve">dbbt </t>
  </si>
  <si>
    <t xml:space="preserve">dwbe.p </t>
  </si>
  <si>
    <t xml:space="preserve">dwbf.rsd </t>
  </si>
  <si>
    <t xml:space="preserve">dwca.p </t>
  </si>
  <si>
    <t xml:space="preserve">dwcb.rsd </t>
  </si>
  <si>
    <t>chrin_1a</t>
  </si>
  <si>
    <t xml:space="preserve">dwcc.p </t>
  </si>
  <si>
    <t>Aeris church</t>
  </si>
  <si>
    <t xml:space="preserve">dwcd.rsd </t>
  </si>
  <si>
    <t xml:space="preserve">dbbw </t>
  </si>
  <si>
    <t xml:space="preserve">dwce.p </t>
  </si>
  <si>
    <t xml:space="preserve">dwcf.rsd </t>
  </si>
  <si>
    <t xml:space="preserve">dwda.p </t>
  </si>
  <si>
    <t>chrin_1b</t>
  </si>
  <si>
    <t xml:space="preserve">dwdb.rsd </t>
  </si>
  <si>
    <t xml:space="preserve">dwdc.p </t>
  </si>
  <si>
    <t xml:space="preserve">dwdd.a </t>
  </si>
  <si>
    <t xml:space="preserve">dbby </t>
  </si>
  <si>
    <t xml:space="preserve">dwde.a </t>
  </si>
  <si>
    <t xml:space="preserve">dwdf.a </t>
  </si>
  <si>
    <t xml:space="preserve">dwea.a </t>
  </si>
  <si>
    <t xml:space="preserve">dweb.a </t>
  </si>
  <si>
    <t xml:space="preserve">dwec.a </t>
  </si>
  <si>
    <t xml:space="preserve">dwed.a </t>
  </si>
  <si>
    <t xml:space="preserve">dwee.a </t>
  </si>
  <si>
    <t xml:space="preserve">dwef.a </t>
  </si>
  <si>
    <t>chrin_2</t>
  </si>
  <si>
    <t xml:space="preserve">dbbz </t>
  </si>
  <si>
    <t xml:space="preserve">dwfa.a </t>
  </si>
  <si>
    <t>Aeris church upper floor</t>
  </si>
  <si>
    <t xml:space="preserve">dwfb.a </t>
  </si>
  <si>
    <t xml:space="preserve">dwfc.a </t>
  </si>
  <si>
    <t xml:space="preserve">dwfd.a </t>
  </si>
  <si>
    <t xml:space="preserve">dwfe.a </t>
  </si>
  <si>
    <t xml:space="preserve">dwff.a </t>
  </si>
  <si>
    <t xml:space="preserve">dwga.a </t>
  </si>
  <si>
    <t xml:space="preserve">dwgb.a </t>
  </si>
  <si>
    <t>chrin_3a</t>
  </si>
  <si>
    <t xml:space="preserve">dbda </t>
  </si>
  <si>
    <t xml:space="preserve">dwgc.a </t>
  </si>
  <si>
    <t xml:space="preserve">dwgd.a </t>
  </si>
  <si>
    <t xml:space="preserve">dwge.a </t>
  </si>
  <si>
    <t xml:space="preserve">dwgf.a </t>
  </si>
  <si>
    <t xml:space="preserve">dcaa </t>
  </si>
  <si>
    <t xml:space="preserve">dwha.a </t>
  </si>
  <si>
    <t>Levrikon: Unidentified Part</t>
  </si>
  <si>
    <t xml:space="preserve">dwhb.a </t>
  </si>
  <si>
    <t xml:space="preserve">dwhc.a </t>
  </si>
  <si>
    <t>chrin_3b</t>
  </si>
  <si>
    <t xml:space="preserve">dwhd.a </t>
  </si>
  <si>
    <t>Aeris church upper floor roof exit</t>
  </si>
  <si>
    <t xml:space="preserve">dwhe.a </t>
  </si>
  <si>
    <t xml:space="preserve">dwhf.a </t>
  </si>
  <si>
    <t xml:space="preserve">dwia.a </t>
  </si>
  <si>
    <t xml:space="preserve">dwib.a </t>
  </si>
  <si>
    <t xml:space="preserve">dcab </t>
  </si>
  <si>
    <t xml:space="preserve">dwic.a </t>
  </si>
  <si>
    <t xml:space="preserve">dwid.a </t>
  </si>
  <si>
    <t>church</t>
  </si>
  <si>
    <t xml:space="preserve">dwie.a </t>
  </si>
  <si>
    <t>Aeris church outside</t>
  </si>
  <si>
    <t xml:space="preserve">dcam </t>
  </si>
  <si>
    <t xml:space="preserve">dwif.a </t>
  </si>
  <si>
    <t xml:space="preserve">dwja.a </t>
  </si>
  <si>
    <t xml:space="preserve">dwjb.a </t>
  </si>
  <si>
    <t xml:space="preserve">dwjc.a </t>
  </si>
  <si>
    <t xml:space="preserve">dwjd.a </t>
  </si>
  <si>
    <t xml:space="preserve">dwje.a </t>
  </si>
  <si>
    <t>ci_eye2.tex</t>
  </si>
  <si>
    <t xml:space="preserve">dwjf.a </t>
  </si>
  <si>
    <t>Cid eye closed</t>
  </si>
  <si>
    <t xml:space="preserve">dxaa.a </t>
  </si>
  <si>
    <t xml:space="preserve">dcap </t>
  </si>
  <si>
    <t xml:space="preserve">dxab.a </t>
  </si>
  <si>
    <t xml:space="preserve">dxac.a </t>
  </si>
  <si>
    <t xml:space="preserve">dxad.a </t>
  </si>
  <si>
    <t xml:space="preserve">dxae.a </t>
  </si>
  <si>
    <t xml:space="preserve">dxaf.a </t>
  </si>
  <si>
    <t>ci_eye2r.tex</t>
  </si>
  <si>
    <t xml:space="preserve">dxba.a </t>
  </si>
  <si>
    <t xml:space="preserve">dxbb.a </t>
  </si>
  <si>
    <t xml:space="preserve">dxbc.a </t>
  </si>
  <si>
    <t xml:space="preserve">dcaq </t>
  </si>
  <si>
    <t xml:space="preserve">dxbd.hrc </t>
  </si>
  <si>
    <t>reifuku_sk</t>
  </si>
  <si>
    <t xml:space="preserve">dxbe.rsd </t>
  </si>
  <si>
    <t xml:space="preserve">dxbf.p </t>
  </si>
  <si>
    <t xml:space="preserve">dxca.rsd </t>
  </si>
  <si>
    <t>clsin2_1</t>
  </si>
  <si>
    <t xml:space="preserve">dxcb.p </t>
  </si>
  <si>
    <t>Battle square</t>
  </si>
  <si>
    <t xml:space="preserve">dxcc.rsd </t>
  </si>
  <si>
    <t xml:space="preserve">dcar </t>
  </si>
  <si>
    <t xml:space="preserve">dxcd.p </t>
  </si>
  <si>
    <t xml:space="preserve">dxce.tex </t>
  </si>
  <si>
    <t xml:space="preserve">dxcf.rsd </t>
  </si>
  <si>
    <t xml:space="preserve">dxda.p </t>
  </si>
  <si>
    <t>clsin2_2</t>
  </si>
  <si>
    <t>Dio's showroom</t>
  </si>
  <si>
    <t xml:space="preserve">dxdb.rsd </t>
  </si>
  <si>
    <t xml:space="preserve">dxdc.p </t>
  </si>
  <si>
    <t xml:space="preserve">dxdd.rsd </t>
  </si>
  <si>
    <t xml:space="preserve">dxde.p </t>
  </si>
  <si>
    <t xml:space="preserve">dxdf.rsd </t>
  </si>
  <si>
    <t xml:space="preserve">dcas </t>
  </si>
  <si>
    <t xml:space="preserve">dxea.p </t>
  </si>
  <si>
    <t xml:space="preserve">dxeb.rsd </t>
  </si>
  <si>
    <t>clsin2_3</t>
  </si>
  <si>
    <t xml:space="preserve">dxec.p </t>
  </si>
  <si>
    <t>Gateway to Corel prison</t>
  </si>
  <si>
    <t xml:space="preserve">dxed.rsd </t>
  </si>
  <si>
    <t xml:space="preserve">dxee.p </t>
  </si>
  <si>
    <t xml:space="preserve">dxef.rsd </t>
  </si>
  <si>
    <t xml:space="preserve">dxfa.p </t>
  </si>
  <si>
    <t xml:space="preserve">dcat </t>
  </si>
  <si>
    <t xml:space="preserve">dxfb.rsd </t>
  </si>
  <si>
    <t xml:space="preserve">dxfc.p </t>
  </si>
  <si>
    <t>colne_1</t>
  </si>
  <si>
    <t xml:space="preserve">dxfd.rsd </t>
  </si>
  <si>
    <t>Wallmarket corneo house entrance</t>
  </si>
  <si>
    <t xml:space="preserve">dxfe.p </t>
  </si>
  <si>
    <t xml:space="preserve">dxff.rsd </t>
  </si>
  <si>
    <t xml:space="preserve">dxga.p </t>
  </si>
  <si>
    <t xml:space="preserve">dcau </t>
  </si>
  <si>
    <t xml:space="preserve">dxgb.rsd </t>
  </si>
  <si>
    <t xml:space="preserve">dxgc.p </t>
  </si>
  <si>
    <t xml:space="preserve">dxgd.rsd </t>
  </si>
  <si>
    <t xml:space="preserve">dxge.p </t>
  </si>
  <si>
    <t>colne_2</t>
  </si>
  <si>
    <t xml:space="preserve">dxgf.a </t>
  </si>
  <si>
    <t>Corneo house main hall</t>
  </si>
  <si>
    <t xml:space="preserve">dxha.a </t>
  </si>
  <si>
    <t xml:space="preserve">dxhb.a </t>
  </si>
  <si>
    <t xml:space="preserve">dxhc.a </t>
  </si>
  <si>
    <t xml:space="preserve">dcav </t>
  </si>
  <si>
    <t xml:space="preserve">dxhd.a </t>
  </si>
  <si>
    <t xml:space="preserve">dxhe.a </t>
  </si>
  <si>
    <t xml:space="preserve">dxhf.a </t>
  </si>
  <si>
    <t xml:space="preserve">dxia.a </t>
  </si>
  <si>
    <t>colne_3</t>
  </si>
  <si>
    <t>Corneo house room</t>
  </si>
  <si>
    <t xml:space="preserve">dxib.a </t>
  </si>
  <si>
    <t xml:space="preserve">dxic.a </t>
  </si>
  <si>
    <t xml:space="preserve">dxid.a </t>
  </si>
  <si>
    <t xml:space="preserve">dcaw </t>
  </si>
  <si>
    <t>992 Bytes</t>
  </si>
  <si>
    <t xml:space="preserve">dxie.a </t>
  </si>
  <si>
    <t xml:space="preserve">dxif.a </t>
  </si>
  <si>
    <t xml:space="preserve">dxja.a </t>
  </si>
  <si>
    <t xml:space="preserve">dxjb.a </t>
  </si>
  <si>
    <t>colne_4</t>
  </si>
  <si>
    <t>Corneo house basement</t>
  </si>
  <si>
    <t xml:space="preserve">dxjc.a </t>
  </si>
  <si>
    <t xml:space="preserve">dxjd.a </t>
  </si>
  <si>
    <t xml:space="preserve">dxje.hrc </t>
  </si>
  <si>
    <t>oldw2_sk</t>
  </si>
  <si>
    <t xml:space="preserve">dxjf.rsd </t>
  </si>
  <si>
    <t xml:space="preserve">dyaa.p </t>
  </si>
  <si>
    <t xml:space="preserve">dyab.rsd </t>
  </si>
  <si>
    <t>colne_5</t>
  </si>
  <si>
    <t xml:space="preserve">dyac.p </t>
  </si>
  <si>
    <t>Corneos office</t>
  </si>
  <si>
    <t xml:space="preserve">dcay </t>
  </si>
  <si>
    <t>896 Bytes</t>
  </si>
  <si>
    <t xml:space="preserve">dyad.rsd </t>
  </si>
  <si>
    <t xml:space="preserve">dyae.p </t>
  </si>
  <si>
    <t xml:space="preserve">dyaf.tex </t>
  </si>
  <si>
    <t xml:space="preserve">dyba.tex </t>
  </si>
  <si>
    <t>colne_6</t>
  </si>
  <si>
    <t>Corneos room</t>
  </si>
  <si>
    <t xml:space="preserve">dybb.tex </t>
  </si>
  <si>
    <t xml:space="preserve">dybc.rsd </t>
  </si>
  <si>
    <t xml:space="preserve">dybd.p </t>
  </si>
  <si>
    <t xml:space="preserve">dybe.rsd </t>
  </si>
  <si>
    <t xml:space="preserve">dcba </t>
  </si>
  <si>
    <t>776 Bytes</t>
  </si>
  <si>
    <t xml:space="preserve">dybf.p </t>
  </si>
  <si>
    <t>colne_b1</t>
  </si>
  <si>
    <t>Wallmarket sewers</t>
  </si>
  <si>
    <t xml:space="preserve">dyca.rsd </t>
  </si>
  <si>
    <t xml:space="preserve">dycb.p </t>
  </si>
  <si>
    <t xml:space="preserve">dycc.rsd </t>
  </si>
  <si>
    <t xml:space="preserve">dycd.p </t>
  </si>
  <si>
    <t xml:space="preserve">dyce.rsd </t>
  </si>
  <si>
    <t xml:space="preserve">dycf.p </t>
  </si>
  <si>
    <t>colne_b3</t>
  </si>
  <si>
    <t>Wallmarket sewers exit</t>
  </si>
  <si>
    <t xml:space="preserve">dyda.rsd </t>
  </si>
  <si>
    <t xml:space="preserve">dydb.p </t>
  </si>
  <si>
    <t xml:space="preserve">dydc.rsd </t>
  </si>
  <si>
    <t xml:space="preserve">dcbd </t>
  </si>
  <si>
    <t xml:space="preserve">dydd.p </t>
  </si>
  <si>
    <t xml:space="preserve">dyde.rsd </t>
  </si>
  <si>
    <t xml:space="preserve">dydf.p </t>
  </si>
  <si>
    <t>coloin1</t>
  </si>
  <si>
    <t>Battle square hall</t>
  </si>
  <si>
    <t>Normal stage</t>
  </si>
  <si>
    <t xml:space="preserve">dyea.rsd </t>
  </si>
  <si>
    <t xml:space="preserve">dyeb.p </t>
  </si>
  <si>
    <t xml:space="preserve">dyec.rsd </t>
  </si>
  <si>
    <t xml:space="preserve">dyed.p </t>
  </si>
  <si>
    <t xml:space="preserve">dyee.rsd </t>
  </si>
  <si>
    <t>coloin2</t>
  </si>
  <si>
    <t xml:space="preserve">dcbe </t>
  </si>
  <si>
    <t xml:space="preserve">dyef.p </t>
  </si>
  <si>
    <t>Stage with dead people</t>
  </si>
  <si>
    <t xml:space="preserve">dyfa.rsd </t>
  </si>
  <si>
    <t xml:space="preserve">dyfb.p </t>
  </si>
  <si>
    <t xml:space="preserve">dyfc.a </t>
  </si>
  <si>
    <t xml:space="preserve">dyfd.hrc </t>
  </si>
  <si>
    <t>king_sk</t>
  </si>
  <si>
    <t>coloss</t>
  </si>
  <si>
    <t xml:space="preserve">dyfe.rsd </t>
  </si>
  <si>
    <t>Battle square stairs</t>
  </si>
  <si>
    <t xml:space="preserve">dyff.p </t>
  </si>
  <si>
    <t xml:space="preserve">dyga.rsd </t>
  </si>
  <si>
    <t xml:space="preserve">dygb.p </t>
  </si>
  <si>
    <t xml:space="preserve">dygc.tex </t>
  </si>
  <si>
    <t xml:space="preserve">dygd.tex </t>
  </si>
  <si>
    <t xml:space="preserve">dcbf </t>
  </si>
  <si>
    <t xml:space="preserve">dyge.tex </t>
  </si>
  <si>
    <t>condor1</t>
  </si>
  <si>
    <t xml:space="preserve">dygf.rsd </t>
  </si>
  <si>
    <t>Fort condor entrance</t>
  </si>
  <si>
    <t xml:space="preserve">dyha.p </t>
  </si>
  <si>
    <t xml:space="preserve">dyhb.rsd </t>
  </si>
  <si>
    <t xml:space="preserve">dyhc.p </t>
  </si>
  <si>
    <t xml:space="preserve">dyhd.rsd </t>
  </si>
  <si>
    <t xml:space="preserve">dyhe.p </t>
  </si>
  <si>
    <t xml:space="preserve">dyhf.rsd </t>
  </si>
  <si>
    <t>condor2</t>
  </si>
  <si>
    <t xml:space="preserve">dyia.p </t>
  </si>
  <si>
    <t>Fort condor rope to reach the fort</t>
  </si>
  <si>
    <t xml:space="preserve">dyib.rsd </t>
  </si>
  <si>
    <t xml:space="preserve">dyic.p </t>
  </si>
  <si>
    <t xml:space="preserve">dyid.rsd </t>
  </si>
  <si>
    <t xml:space="preserve">dcbh </t>
  </si>
  <si>
    <t xml:space="preserve">dyie.p </t>
  </si>
  <si>
    <t xml:space="preserve">dyif.rsd </t>
  </si>
  <si>
    <t xml:space="preserve">dyja.p </t>
  </si>
  <si>
    <t xml:space="preserve">dyjb.rsd </t>
  </si>
  <si>
    <t>convil_1</t>
  </si>
  <si>
    <t xml:space="preserve">dyjc.p </t>
  </si>
  <si>
    <t>Fort condor</t>
  </si>
  <si>
    <t xml:space="preserve">dyjd.rsd </t>
  </si>
  <si>
    <t xml:space="preserve">dyje.p </t>
  </si>
  <si>
    <t xml:space="preserve">dyjf.rsd </t>
  </si>
  <si>
    <t xml:space="preserve">dzaa.p </t>
  </si>
  <si>
    <t xml:space="preserve">dzab.rsd </t>
  </si>
  <si>
    <t xml:space="preserve">dzac.p </t>
  </si>
  <si>
    <t>convil_2</t>
  </si>
  <si>
    <t xml:space="preserve">dzad.rsd </t>
  </si>
  <si>
    <t>Condor nest</t>
  </si>
  <si>
    <t xml:space="preserve">dzae.p </t>
  </si>
  <si>
    <t xml:space="preserve">dcbi </t>
  </si>
  <si>
    <t xml:space="preserve">dzaf.a </t>
  </si>
  <si>
    <t xml:space="preserve">dzba.a </t>
  </si>
  <si>
    <t xml:space="preserve">dzbb.hrc </t>
  </si>
  <si>
    <t>sold_sk</t>
  </si>
  <si>
    <t xml:space="preserve">dzbc.rsd </t>
  </si>
  <si>
    <t xml:space="preserve">dzbd.p </t>
  </si>
  <si>
    <t>convil_4</t>
  </si>
  <si>
    <t xml:space="preserve">dzbe.rsd </t>
  </si>
  <si>
    <t xml:space="preserve">dzbf.p </t>
  </si>
  <si>
    <t>Egg hatched</t>
  </si>
  <si>
    <t xml:space="preserve">dzca.rsd </t>
  </si>
  <si>
    <t xml:space="preserve">dzcb.p </t>
  </si>
  <si>
    <t xml:space="preserve">dzcc.tex </t>
  </si>
  <si>
    <t xml:space="preserve">dzcd.tex </t>
  </si>
  <si>
    <t xml:space="preserve">dzce.rsd </t>
  </si>
  <si>
    <t xml:space="preserve">dcbj </t>
  </si>
  <si>
    <t xml:space="preserve">dzcf.p </t>
  </si>
  <si>
    <t xml:space="preserve">dzda.rsd </t>
  </si>
  <si>
    <t>corel1</t>
  </si>
  <si>
    <t xml:space="preserve">dzdb.p </t>
  </si>
  <si>
    <t>Hill with Corel in flames at the distance</t>
  </si>
  <si>
    <t xml:space="preserve">dzdc.rsd </t>
  </si>
  <si>
    <t xml:space="preserve">dzdd.p </t>
  </si>
  <si>
    <t xml:space="preserve">dzde.rsd </t>
  </si>
  <si>
    <t xml:space="preserve">dzdf.p </t>
  </si>
  <si>
    <t xml:space="preserve">dzea.rsd </t>
  </si>
  <si>
    <t xml:space="preserve">dzeb.p </t>
  </si>
  <si>
    <t xml:space="preserve">dzec.rsd </t>
  </si>
  <si>
    <t>corel2</t>
  </si>
  <si>
    <t>Corel before incident</t>
  </si>
  <si>
    <t xml:space="preserve">dzed.p </t>
  </si>
  <si>
    <t xml:space="preserve">dcbl </t>
  </si>
  <si>
    <t xml:space="preserve">dzee.rsd </t>
  </si>
  <si>
    <t xml:space="preserve">dzef.p </t>
  </si>
  <si>
    <t xml:space="preserve">dzfa.rsd </t>
  </si>
  <si>
    <t xml:space="preserve">dzfb.p </t>
  </si>
  <si>
    <t xml:space="preserve">dzfc.rsd </t>
  </si>
  <si>
    <t xml:space="preserve">dzfd.p </t>
  </si>
  <si>
    <t xml:space="preserve">dzfe.rsd </t>
  </si>
  <si>
    <t xml:space="preserve">dzff.p </t>
  </si>
  <si>
    <t xml:space="preserve">dzga.rsd </t>
  </si>
  <si>
    <t xml:space="preserve">dzgb.p </t>
  </si>
  <si>
    <t xml:space="preserve">dzgc.rsd </t>
  </si>
  <si>
    <t>corel3</t>
  </si>
  <si>
    <t>Corel shinra destroying the city</t>
  </si>
  <si>
    <t xml:space="preserve">dzgd.p </t>
  </si>
  <si>
    <t xml:space="preserve">dzge.a </t>
  </si>
  <si>
    <t xml:space="preserve">dzgf.hrc </t>
  </si>
  <si>
    <t>ippan_2_sk</t>
  </si>
  <si>
    <t xml:space="preserve">dcbm </t>
  </si>
  <si>
    <t xml:space="preserve">dzha.rsd </t>
  </si>
  <si>
    <t xml:space="preserve">dzhb.p </t>
  </si>
  <si>
    <t xml:space="preserve">dzhc.rsd </t>
  </si>
  <si>
    <t xml:space="preserve">dzhd.p </t>
  </si>
  <si>
    <t xml:space="preserve">dzhe.rsd </t>
  </si>
  <si>
    <t>corelin</t>
  </si>
  <si>
    <t xml:space="preserve">dzhf.p </t>
  </si>
  <si>
    <t>Corel inside house</t>
  </si>
  <si>
    <t xml:space="preserve">dzia.tex </t>
  </si>
  <si>
    <t xml:space="preserve">dzib.tex </t>
  </si>
  <si>
    <t xml:space="preserve">dzic.tex </t>
  </si>
  <si>
    <t xml:space="preserve">dcbn </t>
  </si>
  <si>
    <t xml:space="preserve">dzid.rsd </t>
  </si>
  <si>
    <t xml:space="preserve">dzie.p </t>
  </si>
  <si>
    <t xml:space="preserve">dzif.rsd </t>
  </si>
  <si>
    <t xml:space="preserve">dzja.p </t>
  </si>
  <si>
    <t xml:space="preserve">dzjb.rsd </t>
  </si>
  <si>
    <t>cos_btm</t>
  </si>
  <si>
    <t xml:space="preserve">dzjc.p </t>
  </si>
  <si>
    <t>Cosmo canyon</t>
  </si>
  <si>
    <t xml:space="preserve">dzjd.rsd </t>
  </si>
  <si>
    <t xml:space="preserve">dzje.p </t>
  </si>
  <si>
    <t xml:space="preserve">dzjf.rsd </t>
  </si>
  <si>
    <t xml:space="preserve">eaaa.p </t>
  </si>
  <si>
    <t xml:space="preserve">dcbo </t>
  </si>
  <si>
    <t xml:space="preserve">eaab.rsd </t>
  </si>
  <si>
    <t>cos_btm2</t>
  </si>
  <si>
    <t xml:space="preserve">eaac.p </t>
  </si>
  <si>
    <t>Cosmo canyon fireplace</t>
  </si>
  <si>
    <t xml:space="preserve">eaad.rsd </t>
  </si>
  <si>
    <t xml:space="preserve">eaae.p </t>
  </si>
  <si>
    <t xml:space="preserve">eaaf.rsd </t>
  </si>
  <si>
    <t xml:space="preserve">eaba.p </t>
  </si>
  <si>
    <t xml:space="preserve">eabb.rsd </t>
  </si>
  <si>
    <t>cos_top</t>
  </si>
  <si>
    <t>Cosmo canyon observatory</t>
  </si>
  <si>
    <t xml:space="preserve">eabc.p </t>
  </si>
  <si>
    <t xml:space="preserve">eabd.rsd </t>
  </si>
  <si>
    <t xml:space="preserve">dcda </t>
  </si>
  <si>
    <t xml:space="preserve">eabe.p </t>
  </si>
  <si>
    <t xml:space="preserve">eabf.rsd </t>
  </si>
  <si>
    <t xml:space="preserve">eaca.p </t>
  </si>
  <si>
    <t xml:space="preserve">ddaa </t>
  </si>
  <si>
    <t>cosin1</t>
  </si>
  <si>
    <t>Cosmo canyon weapon shop</t>
  </si>
  <si>
    <t xml:space="preserve">eacb.rsd </t>
  </si>
  <si>
    <t>Midgar Zolom: Battle Skeleton</t>
  </si>
  <si>
    <t xml:space="preserve">eacc.p </t>
  </si>
  <si>
    <t xml:space="preserve">eacd.a </t>
  </si>
  <si>
    <t xml:space="preserve">eace.a </t>
  </si>
  <si>
    <t xml:space="preserve">eacf.a </t>
  </si>
  <si>
    <t xml:space="preserve">eada.a </t>
  </si>
  <si>
    <t>cosin1_1</t>
  </si>
  <si>
    <t xml:space="preserve">eadb.a </t>
  </si>
  <si>
    <t>Cosmo canyon barrel room</t>
  </si>
  <si>
    <t xml:space="preserve">eadc.a </t>
  </si>
  <si>
    <t xml:space="preserve">eadd.a </t>
  </si>
  <si>
    <t xml:space="preserve">eade.a </t>
  </si>
  <si>
    <t xml:space="preserve">eadf.a </t>
  </si>
  <si>
    <t xml:space="preserve">ddab </t>
  </si>
  <si>
    <t xml:space="preserve">eaea.a </t>
  </si>
  <si>
    <t>Midgar Zolom: Unidentified Part</t>
  </si>
  <si>
    <t xml:space="preserve">eaeb.a </t>
  </si>
  <si>
    <t xml:space="preserve">eaec.a </t>
  </si>
  <si>
    <t>cosin2</t>
  </si>
  <si>
    <t>Cosmo canyon entrance to the cave</t>
  </si>
  <si>
    <t xml:space="preserve">eaed.a </t>
  </si>
  <si>
    <t xml:space="preserve">eaee.a </t>
  </si>
  <si>
    <t xml:space="preserve">ddam </t>
  </si>
  <si>
    <t xml:space="preserve">eaef.a </t>
  </si>
  <si>
    <t xml:space="preserve">eafa.a </t>
  </si>
  <si>
    <t xml:space="preserve">eafb.a </t>
  </si>
  <si>
    <t xml:space="preserve">eafc.a </t>
  </si>
  <si>
    <t>cosin3</t>
  </si>
  <si>
    <t xml:space="preserve">eafd.a </t>
  </si>
  <si>
    <t>Cosmo canyon inn</t>
  </si>
  <si>
    <t xml:space="preserve">eafe.a </t>
  </si>
  <si>
    <t xml:space="preserve">eaff.a </t>
  </si>
  <si>
    <t xml:space="preserve">eaga.hrc </t>
  </si>
  <si>
    <t>wcrm1pl_sk</t>
  </si>
  <si>
    <t xml:space="preserve">eagb.rsd </t>
  </si>
  <si>
    <t xml:space="preserve">eagc.p </t>
  </si>
  <si>
    <t xml:space="preserve">eagd.a </t>
  </si>
  <si>
    <t xml:space="preserve">eage.a </t>
  </si>
  <si>
    <t>cosin4</t>
  </si>
  <si>
    <t>Cosmo canyon stairs</t>
  </si>
  <si>
    <t xml:space="preserve">eagf.hrc </t>
  </si>
  <si>
    <t xml:space="preserve">ddan </t>
  </si>
  <si>
    <t>wcrm1pr_sk</t>
  </si>
  <si>
    <t xml:space="preserve">eaha.rsd </t>
  </si>
  <si>
    <t xml:space="preserve">eahb.p </t>
  </si>
  <si>
    <t xml:space="preserve">eahc.a </t>
  </si>
  <si>
    <t xml:space="preserve">eahd.a </t>
  </si>
  <si>
    <t xml:space="preserve">eahe.a </t>
  </si>
  <si>
    <t>cosin5</t>
  </si>
  <si>
    <t xml:space="preserve">eahf.a </t>
  </si>
  <si>
    <t>Cosmo canyon ladders and ropes for the cave</t>
  </si>
  <si>
    <t xml:space="preserve">eaia.a </t>
  </si>
  <si>
    <t xml:space="preserve">eaib.a </t>
  </si>
  <si>
    <t xml:space="preserve">eaic.a </t>
  </si>
  <si>
    <t xml:space="preserve">eaid.hrc </t>
  </si>
  <si>
    <t>heri_sk</t>
  </si>
  <si>
    <t xml:space="preserve">eaie.rsd </t>
  </si>
  <si>
    <t xml:space="preserve">ddao </t>
  </si>
  <si>
    <t xml:space="preserve">eaif.p </t>
  </si>
  <si>
    <t xml:space="preserve">eaja.rsd </t>
  </si>
  <si>
    <t>cosmin2</t>
  </si>
  <si>
    <t>Cosmo canyon materia shop</t>
  </si>
  <si>
    <t xml:space="preserve">eajb.p </t>
  </si>
  <si>
    <t xml:space="preserve">eajc.rsd </t>
  </si>
  <si>
    <t xml:space="preserve">eajd.p </t>
  </si>
  <si>
    <t xml:space="preserve">eaje.rsd </t>
  </si>
  <si>
    <t xml:space="preserve">eajf.p </t>
  </si>
  <si>
    <t xml:space="preserve">ebaa.rsd </t>
  </si>
  <si>
    <t xml:space="preserve">ebab.p </t>
  </si>
  <si>
    <t xml:space="preserve">ebac.rsd </t>
  </si>
  <si>
    <t>cosmin3</t>
  </si>
  <si>
    <t xml:space="preserve">ebad.p </t>
  </si>
  <si>
    <t>Cosmo canyon backstage</t>
  </si>
  <si>
    <t xml:space="preserve">ddap </t>
  </si>
  <si>
    <t xml:space="preserve">ebae.rsd </t>
  </si>
  <si>
    <t xml:space="preserve">ebaf.p </t>
  </si>
  <si>
    <t xml:space="preserve">ebba.rsd </t>
  </si>
  <si>
    <t xml:space="preserve">ebbb.p </t>
  </si>
  <si>
    <t>cosmin4</t>
  </si>
  <si>
    <t xml:space="preserve">ebbc.rsd </t>
  </si>
  <si>
    <t>Cosmo canyon room</t>
  </si>
  <si>
    <t xml:space="preserve">ebbd.p </t>
  </si>
  <si>
    <t xml:space="preserve">ebbe.rsd </t>
  </si>
  <si>
    <t xml:space="preserve">ebbf.p </t>
  </si>
  <si>
    <t xml:space="preserve">ebca.hrc </t>
  </si>
  <si>
    <t>spotlgt_sk</t>
  </si>
  <si>
    <t xml:space="preserve">ebcb.rsd </t>
  </si>
  <si>
    <t>cosmin6</t>
  </si>
  <si>
    <t>Cosmo canyon inn room</t>
  </si>
  <si>
    <t xml:space="preserve">ebcc.p </t>
  </si>
  <si>
    <t xml:space="preserve">ebcd.tex </t>
  </si>
  <si>
    <t xml:space="preserve">ddaq </t>
  </si>
  <si>
    <t xml:space="preserve">ebce.a </t>
  </si>
  <si>
    <t xml:space="preserve">ebcf.a </t>
  </si>
  <si>
    <t xml:space="preserve">ebda.a </t>
  </si>
  <si>
    <t xml:space="preserve">ebdb.a </t>
  </si>
  <si>
    <t>cosmin7</t>
  </si>
  <si>
    <t>Cosmo canyon item shop</t>
  </si>
  <si>
    <t xml:space="preserve">ebdc.a </t>
  </si>
  <si>
    <t xml:space="preserve">ebdd.a </t>
  </si>
  <si>
    <t xml:space="preserve">ebde.a </t>
  </si>
  <si>
    <t xml:space="preserve">ebdf.a </t>
  </si>
  <si>
    <t xml:space="preserve">ebea.a </t>
  </si>
  <si>
    <t xml:space="preserve">ebeb.a </t>
  </si>
  <si>
    <t xml:space="preserve">ebec.hrc </t>
  </si>
  <si>
    <t>cosmo</t>
  </si>
  <si>
    <t xml:space="preserve">ddar </t>
  </si>
  <si>
    <t>cboy_sk</t>
  </si>
  <si>
    <t>Cosmo canyon full view</t>
  </si>
  <si>
    <t xml:space="preserve">ebed.rsd </t>
  </si>
  <si>
    <t>Meteor crashes</t>
  </si>
  <si>
    <t xml:space="preserve">ebee.p </t>
  </si>
  <si>
    <t xml:space="preserve">ebef.rsd </t>
  </si>
  <si>
    <t xml:space="preserve">ebfa.p </t>
  </si>
  <si>
    <t xml:space="preserve">ebfb.tex </t>
  </si>
  <si>
    <t xml:space="preserve">ebfc.tex </t>
  </si>
  <si>
    <t xml:space="preserve">ebfd.tex </t>
  </si>
  <si>
    <t xml:space="preserve">ebfe.rsd </t>
  </si>
  <si>
    <t xml:space="preserve">ebff.p </t>
  </si>
  <si>
    <t>cosmo2</t>
  </si>
  <si>
    <t xml:space="preserve">ebga.rsd </t>
  </si>
  <si>
    <t>Cosmo canyon full view extra light</t>
  </si>
  <si>
    <t xml:space="preserve">ebgb.p </t>
  </si>
  <si>
    <t xml:space="preserve">ddas </t>
  </si>
  <si>
    <t xml:space="preserve">ebgc.rsd </t>
  </si>
  <si>
    <t xml:space="preserve">ebgd.p </t>
  </si>
  <si>
    <t xml:space="preserve">ebge.rsd </t>
  </si>
  <si>
    <t xml:space="preserve">ebgf.p </t>
  </si>
  <si>
    <t xml:space="preserve">ebha.rsd </t>
  </si>
  <si>
    <t xml:space="preserve">ebhb.p </t>
  </si>
  <si>
    <t xml:space="preserve">ebhc.rsd </t>
  </si>
  <si>
    <t xml:space="preserve">ebhd.p </t>
  </si>
  <si>
    <t xml:space="preserve">ebhe.rsd </t>
  </si>
  <si>
    <t xml:space="preserve">ebhf.p </t>
  </si>
  <si>
    <t>crater_1</t>
  </si>
  <si>
    <t xml:space="preserve">ebia.rsd </t>
  </si>
  <si>
    <t>North crater passage</t>
  </si>
  <si>
    <t xml:space="preserve">ebib.p </t>
  </si>
  <si>
    <t xml:space="preserve">ebic.rsd </t>
  </si>
  <si>
    <t xml:space="preserve">ddau </t>
  </si>
  <si>
    <t xml:space="preserve">ebid.p </t>
  </si>
  <si>
    <t xml:space="preserve">ebie.rsd </t>
  </si>
  <si>
    <t xml:space="preserve">ebif.p </t>
  </si>
  <si>
    <t xml:space="preserve">ebja.rsd </t>
  </si>
  <si>
    <t xml:space="preserve">ebjb.p </t>
  </si>
  <si>
    <t xml:space="preserve">ebjc.rsd </t>
  </si>
  <si>
    <t xml:space="preserve">ebjd.p </t>
  </si>
  <si>
    <t xml:space="preserve">ebje.a </t>
  </si>
  <si>
    <t>crater_2</t>
  </si>
  <si>
    <t xml:space="preserve">ebjf.hrc </t>
  </si>
  <si>
    <t>North crater</t>
  </si>
  <si>
    <t>bleldr_l_sk</t>
  </si>
  <si>
    <t xml:space="preserve">ecaa.rsd </t>
  </si>
  <si>
    <t xml:space="preserve">ecab.p </t>
  </si>
  <si>
    <t xml:space="preserve">ecac.tex </t>
  </si>
  <si>
    <t xml:space="preserve">ecad.a </t>
  </si>
  <si>
    <t xml:space="preserve">ddaw </t>
  </si>
  <si>
    <t xml:space="preserve">ecae.hrc </t>
  </si>
  <si>
    <t>bleldr_r_sk</t>
  </si>
  <si>
    <t xml:space="preserve">ecaf.rsd </t>
  </si>
  <si>
    <t xml:space="preserve">ecba.p </t>
  </si>
  <si>
    <t>crcin_1</t>
  </si>
  <si>
    <t xml:space="preserve">ecbb.tex </t>
  </si>
  <si>
    <t>Gold saucer chocobo races hall</t>
  </si>
  <si>
    <t xml:space="preserve">ecbc.a </t>
  </si>
  <si>
    <t xml:space="preserve">ecbd.a </t>
  </si>
  <si>
    <t xml:space="preserve">ecbe.a </t>
  </si>
  <si>
    <t xml:space="preserve">ecbf.hrc </t>
  </si>
  <si>
    <t>woman7_st</t>
  </si>
  <si>
    <t xml:space="preserve">ecca.rsd </t>
  </si>
  <si>
    <t>crcin_2</t>
  </si>
  <si>
    <t xml:space="preserve">eccb.p </t>
  </si>
  <si>
    <t>Gold saucer chocobo races waiting room</t>
  </si>
  <si>
    <t xml:space="preserve">eccc.rsd </t>
  </si>
  <si>
    <t xml:space="preserve">dday </t>
  </si>
  <si>
    <t xml:space="preserve">eccd.p </t>
  </si>
  <si>
    <t>920 Bytes</t>
  </si>
  <si>
    <t xml:space="preserve">ecce.rsd </t>
  </si>
  <si>
    <t xml:space="preserve">eccf.p </t>
  </si>
  <si>
    <t xml:space="preserve">ecda.tex </t>
  </si>
  <si>
    <t xml:space="preserve">ecdb.tex </t>
  </si>
  <si>
    <t>datiao_1</t>
  </si>
  <si>
    <t xml:space="preserve">ecdc.tex </t>
  </si>
  <si>
    <t>Da-chao mount</t>
  </si>
  <si>
    <t xml:space="preserve">ecdd.rsd </t>
  </si>
  <si>
    <t xml:space="preserve">ecde.p </t>
  </si>
  <si>
    <t xml:space="preserve">ecdf.rsd </t>
  </si>
  <si>
    <t xml:space="preserve">ecea.p </t>
  </si>
  <si>
    <t xml:space="preserve">eceb.rsd </t>
  </si>
  <si>
    <t xml:space="preserve">ecec.p </t>
  </si>
  <si>
    <t xml:space="preserve">eced.rsd </t>
  </si>
  <si>
    <t>datiao_2</t>
  </si>
  <si>
    <t>Da-chao mount statue head</t>
  </si>
  <si>
    <t xml:space="preserve">ecee.p </t>
  </si>
  <si>
    <t xml:space="preserve">ddaz </t>
  </si>
  <si>
    <t xml:space="preserve">ecef.rsd </t>
  </si>
  <si>
    <t xml:space="preserve">ecfa.p </t>
  </si>
  <si>
    <t xml:space="preserve">ecfb.rsd </t>
  </si>
  <si>
    <t xml:space="preserve">ecfc.p </t>
  </si>
  <si>
    <t xml:space="preserve">ecfd.rsd </t>
  </si>
  <si>
    <t xml:space="preserve">ecfe.p </t>
  </si>
  <si>
    <t>datiao_3</t>
  </si>
  <si>
    <t xml:space="preserve">ecff.rsd </t>
  </si>
  <si>
    <t>Da-chao mount statue hand</t>
  </si>
  <si>
    <t xml:space="preserve">ecga.p </t>
  </si>
  <si>
    <t xml:space="preserve">ecgb.rsd </t>
  </si>
  <si>
    <t xml:space="preserve">ecgc.p </t>
  </si>
  <si>
    <t xml:space="preserve">ecgd.rsd </t>
  </si>
  <si>
    <t xml:space="preserve">ecge.p </t>
  </si>
  <si>
    <t xml:space="preserve">ecgf.rsd </t>
  </si>
  <si>
    <t xml:space="preserve">ddba </t>
  </si>
  <si>
    <t xml:space="preserve">ecia.a </t>
  </si>
  <si>
    <t xml:space="preserve">ecib.hrc </t>
  </si>
  <si>
    <t xml:space="preserve">ecic.rsd </t>
  </si>
  <si>
    <t xml:space="preserve">ecid.p </t>
  </si>
  <si>
    <t xml:space="preserve">ecie.rsd </t>
  </si>
  <si>
    <t>datiao_4</t>
  </si>
  <si>
    <t xml:space="preserve">ecif.p </t>
  </si>
  <si>
    <t>Da-chao mount statue hand and head</t>
  </si>
  <si>
    <t xml:space="preserve">ecja.rsd </t>
  </si>
  <si>
    <t xml:space="preserve">ecjb.p </t>
  </si>
  <si>
    <t xml:space="preserve">ecjc.tex </t>
  </si>
  <si>
    <t xml:space="preserve">ecjd.tex </t>
  </si>
  <si>
    <t xml:space="preserve">ddbb </t>
  </si>
  <si>
    <t xml:space="preserve">ecje.tex </t>
  </si>
  <si>
    <t>datiao_5</t>
  </si>
  <si>
    <t>Da-chao mount cave entrance</t>
  </si>
  <si>
    <t xml:space="preserve">ecjf.rsd </t>
  </si>
  <si>
    <t xml:space="preserve">echa.p </t>
  </si>
  <si>
    <t xml:space="preserve">echb.rsd </t>
  </si>
  <si>
    <t xml:space="preserve">echc.p </t>
  </si>
  <si>
    <t xml:space="preserve">echd.hrc </t>
  </si>
  <si>
    <t>blin1_sk</t>
  </si>
  <si>
    <t xml:space="preserve">eche.rsd </t>
  </si>
  <si>
    <t xml:space="preserve">echf.p </t>
  </si>
  <si>
    <t>datiao_6</t>
  </si>
  <si>
    <t xml:space="preserve">edaa.p </t>
  </si>
  <si>
    <t xml:space="preserve">edab.rsd </t>
  </si>
  <si>
    <t xml:space="preserve">edac.p </t>
  </si>
  <si>
    <t xml:space="preserve">edad.rsd </t>
  </si>
  <si>
    <t xml:space="preserve">edae.p </t>
  </si>
  <si>
    <t xml:space="preserve">ddbc </t>
  </si>
  <si>
    <t xml:space="preserve">edaf.rsd </t>
  </si>
  <si>
    <t xml:space="preserve">edba.p </t>
  </si>
  <si>
    <t>datiao_7</t>
  </si>
  <si>
    <t xml:space="preserve">edbb.rsd </t>
  </si>
  <si>
    <t xml:space="preserve">edbc.p </t>
  </si>
  <si>
    <t xml:space="preserve">edbd.rsd </t>
  </si>
  <si>
    <t xml:space="preserve">edbe.p </t>
  </si>
  <si>
    <t xml:space="preserve">edbf.rsd </t>
  </si>
  <si>
    <t xml:space="preserve">edca.p </t>
  </si>
  <si>
    <t xml:space="preserve">edcb.rsd </t>
  </si>
  <si>
    <t>datiao_8</t>
  </si>
  <si>
    <t xml:space="preserve">edcc.p </t>
  </si>
  <si>
    <t>Da-chao cave with flames</t>
  </si>
  <si>
    <t xml:space="preserve">edcd.rsd </t>
  </si>
  <si>
    <t xml:space="preserve">edce.p </t>
  </si>
  <si>
    <t xml:space="preserve">ddbd </t>
  </si>
  <si>
    <t xml:space="preserve">edcf.rsd </t>
  </si>
  <si>
    <t xml:space="preserve">edda.p </t>
  </si>
  <si>
    <t xml:space="preserve">eddb.rsd </t>
  </si>
  <si>
    <t xml:space="preserve">eddc.p </t>
  </si>
  <si>
    <t>del1</t>
  </si>
  <si>
    <t xml:space="preserve">eddd.rsd </t>
  </si>
  <si>
    <t>Costa del Sol Harbor</t>
  </si>
  <si>
    <t xml:space="preserve">edde.p </t>
  </si>
  <si>
    <t xml:space="preserve">eddf.a </t>
  </si>
  <si>
    <t xml:space="preserve">edea.hrc </t>
  </si>
  <si>
    <t>onna_sk</t>
  </si>
  <si>
    <t xml:space="preserve">edeb.rsd </t>
  </si>
  <si>
    <t xml:space="preserve">edec.p </t>
  </si>
  <si>
    <t xml:space="preserve">eded.rsd </t>
  </si>
  <si>
    <t xml:space="preserve">ddbe </t>
  </si>
  <si>
    <t xml:space="preserve">edee.p </t>
  </si>
  <si>
    <t>del12</t>
  </si>
  <si>
    <t>Costa del Sol harbor</t>
  </si>
  <si>
    <t xml:space="preserve">edef.rsd </t>
  </si>
  <si>
    <t xml:space="preserve">edfa.p </t>
  </si>
  <si>
    <t xml:space="preserve">edfb.tex </t>
  </si>
  <si>
    <t xml:space="preserve">edfc.tex </t>
  </si>
  <si>
    <t xml:space="preserve">edfd.tex </t>
  </si>
  <si>
    <t xml:space="preserve">edfe.rsd </t>
  </si>
  <si>
    <t xml:space="preserve">edff.p </t>
  </si>
  <si>
    <t>del2</t>
  </si>
  <si>
    <t xml:space="preserve">edga.rsd </t>
  </si>
  <si>
    <t xml:space="preserve">edgb.p </t>
  </si>
  <si>
    <t xml:space="preserve">edgc.rsd </t>
  </si>
  <si>
    <t xml:space="preserve">edgd.p </t>
  </si>
  <si>
    <t xml:space="preserve">edge.rsd </t>
  </si>
  <si>
    <t xml:space="preserve">ddbf </t>
  </si>
  <si>
    <t xml:space="preserve">edgf.p </t>
  </si>
  <si>
    <t xml:space="preserve">edha.rsd </t>
  </si>
  <si>
    <t>del3</t>
  </si>
  <si>
    <t xml:space="preserve">edhb.p </t>
  </si>
  <si>
    <t xml:space="preserve">edhc.rsd </t>
  </si>
  <si>
    <t>Shore</t>
  </si>
  <si>
    <t xml:space="preserve">edhd.p </t>
  </si>
  <si>
    <t xml:space="preserve">edhe.rsd </t>
  </si>
  <si>
    <t xml:space="preserve">edhf.p </t>
  </si>
  <si>
    <t xml:space="preserve">edia.rsd </t>
  </si>
  <si>
    <t>delinn</t>
  </si>
  <si>
    <t>Costa del Sol Inn</t>
  </si>
  <si>
    <t xml:space="preserve">edib.p </t>
  </si>
  <si>
    <t xml:space="preserve">edic.rsd </t>
  </si>
  <si>
    <t xml:space="preserve">ddbg </t>
  </si>
  <si>
    <t xml:space="preserve">edid.p </t>
  </si>
  <si>
    <t xml:space="preserve">edie.rsd </t>
  </si>
  <si>
    <t xml:space="preserve">edif.p </t>
  </si>
  <si>
    <t>delmin1</t>
  </si>
  <si>
    <t xml:space="preserve">edja.rsd </t>
  </si>
  <si>
    <t>House for Sale</t>
  </si>
  <si>
    <t xml:space="preserve">edjb.p </t>
  </si>
  <si>
    <t xml:space="preserve">edjc.a </t>
  </si>
  <si>
    <t xml:space="preserve">edjd.hrc </t>
  </si>
  <si>
    <t>oldm4_sk</t>
  </si>
  <si>
    <t xml:space="preserve">edje.rsd </t>
  </si>
  <si>
    <t xml:space="preserve">edjf.p </t>
  </si>
  <si>
    <t xml:space="preserve">eeaa.rsd </t>
  </si>
  <si>
    <t xml:space="preserve">eeab.p </t>
  </si>
  <si>
    <t xml:space="preserve">eeac.rsd </t>
  </si>
  <si>
    <t xml:space="preserve">ddbh </t>
  </si>
  <si>
    <t xml:space="preserve">eead.p </t>
  </si>
  <si>
    <t xml:space="preserve">eeae.tex </t>
  </si>
  <si>
    <t xml:space="preserve">eeaf.tex </t>
  </si>
  <si>
    <t>delmin12</t>
  </si>
  <si>
    <t>Cellar</t>
  </si>
  <si>
    <t xml:space="preserve">eeba.rsd </t>
  </si>
  <si>
    <t xml:space="preserve">eebb.p </t>
  </si>
  <si>
    <t xml:space="preserve">eebc.rsd </t>
  </si>
  <si>
    <t xml:space="preserve">eebd.p </t>
  </si>
  <si>
    <t xml:space="preserve">eebe.rsd </t>
  </si>
  <si>
    <t xml:space="preserve">eebf.p </t>
  </si>
  <si>
    <t xml:space="preserve">eeca.rsd </t>
  </si>
  <si>
    <t>delmin2</t>
  </si>
  <si>
    <t xml:space="preserve">eecb.p </t>
  </si>
  <si>
    <t>Johnny's New Home</t>
  </si>
  <si>
    <t xml:space="preserve">eecc.rsd </t>
  </si>
  <si>
    <t xml:space="preserve">eecd.p </t>
  </si>
  <si>
    <t xml:space="preserve">ddbi </t>
  </si>
  <si>
    <t xml:space="preserve">eece.rsd </t>
  </si>
  <si>
    <t xml:space="preserve">eecf.p </t>
  </si>
  <si>
    <t xml:space="preserve">eeda.rsd </t>
  </si>
  <si>
    <t xml:space="preserve">eedb.p </t>
  </si>
  <si>
    <t xml:space="preserve">eedc.rsd </t>
  </si>
  <si>
    <t xml:space="preserve">eedd.p </t>
  </si>
  <si>
    <t xml:space="preserve">eede.rsd </t>
  </si>
  <si>
    <t>delpb</t>
  </si>
  <si>
    <t xml:space="preserve">eedf.p </t>
  </si>
  <si>
    <t>Bar</t>
  </si>
  <si>
    <t xml:space="preserve">eeea.rsd </t>
  </si>
  <si>
    <t xml:space="preserve">eeeb.p </t>
  </si>
  <si>
    <t xml:space="preserve">eeec.rsd </t>
  </si>
  <si>
    <t xml:space="preserve">eeed.p </t>
  </si>
  <si>
    <t xml:space="preserve">eeee.rsd </t>
  </si>
  <si>
    <t xml:space="preserve">ddbj </t>
  </si>
  <si>
    <t xml:space="preserve">eeef.p </t>
  </si>
  <si>
    <t>desert1</t>
  </si>
  <si>
    <t>Corel Desert</t>
  </si>
  <si>
    <t xml:space="preserve">eefa.a </t>
  </si>
  <si>
    <t xml:space="preserve">eefb.hrc </t>
  </si>
  <si>
    <t>sptarm_sk</t>
  </si>
  <si>
    <t xml:space="preserve">eefc.rsd </t>
  </si>
  <si>
    <t xml:space="preserve">eefd.p </t>
  </si>
  <si>
    <t>desert2</t>
  </si>
  <si>
    <t xml:space="preserve">eefe.rsd </t>
  </si>
  <si>
    <t xml:space="preserve">ddbk </t>
  </si>
  <si>
    <t xml:space="preserve">eeff.p </t>
  </si>
  <si>
    <t xml:space="preserve">eega.a </t>
  </si>
  <si>
    <t xml:space="preserve">eegb.a </t>
  </si>
  <si>
    <t xml:space="preserve">eegc.hrc </t>
  </si>
  <si>
    <t>sg_palmer_sk</t>
  </si>
  <si>
    <t>dyne</t>
  </si>
  <si>
    <t xml:space="preserve">eegd.rsd </t>
  </si>
  <si>
    <t xml:space="preserve">eege.p </t>
  </si>
  <si>
    <t xml:space="preserve">eegf.rsd </t>
  </si>
  <si>
    <t xml:space="preserve">eeha.p </t>
  </si>
  <si>
    <t>ea_eye2.tex</t>
  </si>
  <si>
    <t>Aeris eye closed</t>
  </si>
  <si>
    <t xml:space="preserve">eehb.rsd </t>
  </si>
  <si>
    <t xml:space="preserve">eehc.p </t>
  </si>
  <si>
    <t xml:space="preserve">ddbl </t>
  </si>
  <si>
    <t xml:space="preserve">eehd.tex </t>
  </si>
  <si>
    <t>ea_eye2r.tex</t>
  </si>
  <si>
    <t xml:space="preserve">eehe.tex </t>
  </si>
  <si>
    <t xml:space="preserve">eehf.tex </t>
  </si>
  <si>
    <t>ealin_1</t>
  </si>
  <si>
    <t xml:space="preserve">eeia.rsd </t>
  </si>
  <si>
    <t>Aerith's House</t>
  </si>
  <si>
    <t xml:space="preserve">eeib.p </t>
  </si>
  <si>
    <t xml:space="preserve">eeic.rsd </t>
  </si>
  <si>
    <t xml:space="preserve">ddbm </t>
  </si>
  <si>
    <t xml:space="preserve">eeid.p </t>
  </si>
  <si>
    <t>ealin_12</t>
  </si>
  <si>
    <t xml:space="preserve">eeie.rsd </t>
  </si>
  <si>
    <t xml:space="preserve">eeif.p </t>
  </si>
  <si>
    <t xml:space="preserve">eeja.rsd </t>
  </si>
  <si>
    <t xml:space="preserve">eejb.p </t>
  </si>
  <si>
    <t xml:space="preserve">eejc.rsd </t>
  </si>
  <si>
    <t>ealin_2</t>
  </si>
  <si>
    <t xml:space="preserve">eejd.p </t>
  </si>
  <si>
    <t xml:space="preserve">eeje.rsd </t>
  </si>
  <si>
    <t xml:space="preserve">eejf.p </t>
  </si>
  <si>
    <t xml:space="preserve">ddbn </t>
  </si>
  <si>
    <t xml:space="preserve">efaa.rsd </t>
  </si>
  <si>
    <t>eals_1</t>
  </si>
  <si>
    <t xml:space="preserve">efab.p </t>
  </si>
  <si>
    <t>Aerith's House: Yard</t>
  </si>
  <si>
    <t xml:space="preserve">efac.rsd </t>
  </si>
  <si>
    <t xml:space="preserve">efad.p </t>
  </si>
  <si>
    <t xml:space="preserve">efae.rsd </t>
  </si>
  <si>
    <t xml:space="preserve">efaf.p </t>
  </si>
  <si>
    <t>eleout</t>
  </si>
  <si>
    <t xml:space="preserve">efba.rsd </t>
  </si>
  <si>
    <t>Shinra building elevator without background</t>
  </si>
  <si>
    <t xml:space="preserve">efbb.p </t>
  </si>
  <si>
    <t xml:space="preserve">ddbo </t>
  </si>
  <si>
    <t xml:space="preserve">efbc.rsd </t>
  </si>
  <si>
    <t xml:space="preserve">efbd.p </t>
  </si>
  <si>
    <t xml:space="preserve">efbe.rsd </t>
  </si>
  <si>
    <t xml:space="preserve">efbf.p </t>
  </si>
  <si>
    <t xml:space="preserve">efca.a </t>
  </si>
  <si>
    <t xml:space="preserve">efcb.a </t>
  </si>
  <si>
    <t xml:space="preserve">efcc.a </t>
  </si>
  <si>
    <t xml:space="preserve">efcd.a </t>
  </si>
  <si>
    <t xml:space="preserve">efce.a </t>
  </si>
  <si>
    <t xml:space="preserve">efcf.a </t>
  </si>
  <si>
    <t xml:space="preserve">efda.a </t>
  </si>
  <si>
    <t xml:space="preserve">efdb.a </t>
  </si>
  <si>
    <t xml:space="preserve">efdc.a </t>
  </si>
  <si>
    <t xml:space="preserve">efdd.a </t>
  </si>
  <si>
    <t xml:space="preserve">ddbp </t>
  </si>
  <si>
    <t xml:space="preserve">efde.a </t>
  </si>
  <si>
    <t xml:space="preserve">efdf.a </t>
  </si>
  <si>
    <t xml:space="preserve">efea.a </t>
  </si>
  <si>
    <t xml:space="preserve">efeb.a </t>
  </si>
  <si>
    <t xml:space="preserve">efec.a </t>
  </si>
  <si>
    <t xml:space="preserve">efed.a </t>
  </si>
  <si>
    <t xml:space="preserve">efee.a </t>
  </si>
  <si>
    <t xml:space="preserve">efef.a </t>
  </si>
  <si>
    <t xml:space="preserve">effa.a </t>
  </si>
  <si>
    <t xml:space="preserve">effb.hrc </t>
  </si>
  <si>
    <t>bl664ft_sk</t>
  </si>
  <si>
    <t xml:space="preserve">effc.rsd </t>
  </si>
  <si>
    <t>elevtr1</t>
  </si>
  <si>
    <t>Midgar Platform Elevator</t>
  </si>
  <si>
    <t xml:space="preserve">effd.p </t>
  </si>
  <si>
    <t>Sector 1</t>
  </si>
  <si>
    <t xml:space="preserve">ddbq </t>
  </si>
  <si>
    <t xml:space="preserve">effe.a </t>
  </si>
  <si>
    <t xml:space="preserve">efff.a </t>
  </si>
  <si>
    <t xml:space="preserve">efga.a </t>
  </si>
  <si>
    <t xml:space="preserve">efgb.a </t>
  </si>
  <si>
    <t xml:space="preserve">efgc.a </t>
  </si>
  <si>
    <t xml:space="preserve">efgd.a </t>
  </si>
  <si>
    <t>elm</t>
  </si>
  <si>
    <t>Kalm</t>
  </si>
  <si>
    <t xml:space="preserve">efge.a </t>
  </si>
  <si>
    <t xml:space="preserve">efgf.a </t>
  </si>
  <si>
    <t xml:space="preserve">efha.a </t>
  </si>
  <si>
    <t xml:space="preserve">efhb.a </t>
  </si>
  <si>
    <t xml:space="preserve">efhc.a </t>
  </si>
  <si>
    <t xml:space="preserve">efhd.a </t>
  </si>
  <si>
    <t xml:space="preserve">efhe.a </t>
  </si>
  <si>
    <t xml:space="preserve">ddbr </t>
  </si>
  <si>
    <t xml:space="preserve">efhf.a </t>
  </si>
  <si>
    <t xml:space="preserve">efia.a </t>
  </si>
  <si>
    <t>elm_i</t>
  </si>
  <si>
    <t xml:space="preserve">efib.a </t>
  </si>
  <si>
    <t>Kalm: Item Store</t>
  </si>
  <si>
    <t xml:space="preserve">efic.a </t>
  </si>
  <si>
    <t xml:space="preserve">efid.a </t>
  </si>
  <si>
    <t xml:space="preserve">efie.a </t>
  </si>
  <si>
    <t xml:space="preserve">efif.a </t>
  </si>
  <si>
    <t xml:space="preserve">efja.a </t>
  </si>
  <si>
    <t xml:space="preserve">ddbs </t>
  </si>
  <si>
    <t xml:space="preserve">efjb.a </t>
  </si>
  <si>
    <t xml:space="preserve">efjc.a </t>
  </si>
  <si>
    <t xml:space="preserve">efjd.a </t>
  </si>
  <si>
    <t>elm_wa</t>
  </si>
  <si>
    <t>Kalm: Weapon Store</t>
  </si>
  <si>
    <t xml:space="preserve">efje.a </t>
  </si>
  <si>
    <t xml:space="preserve">efjf.a </t>
  </si>
  <si>
    <t xml:space="preserve">egaa.a </t>
  </si>
  <si>
    <t xml:space="preserve">egab.a </t>
  </si>
  <si>
    <t xml:space="preserve">ddbt </t>
  </si>
  <si>
    <t xml:space="preserve">egac.a </t>
  </si>
  <si>
    <t xml:space="preserve">egad.a </t>
  </si>
  <si>
    <t xml:space="preserve">egae.a </t>
  </si>
  <si>
    <t xml:space="preserve">egaf.a </t>
  </si>
  <si>
    <t>elmin1_1</t>
  </si>
  <si>
    <t>Kalm house 1</t>
  </si>
  <si>
    <t xml:space="preserve">egba.a </t>
  </si>
  <si>
    <t xml:space="preserve">egbb.a </t>
  </si>
  <si>
    <t xml:space="preserve">egbc.a </t>
  </si>
  <si>
    <t xml:space="preserve">egbd.a </t>
  </si>
  <si>
    <t xml:space="preserve">ddbu </t>
  </si>
  <si>
    <t xml:space="preserve">egbe.a </t>
  </si>
  <si>
    <t xml:space="preserve">egbf.a </t>
  </si>
  <si>
    <t xml:space="preserve">egca.a </t>
  </si>
  <si>
    <t>elmin1_2</t>
  </si>
  <si>
    <t>Kalm house 1 upper floor</t>
  </si>
  <si>
    <t xml:space="preserve">egcb.a </t>
  </si>
  <si>
    <t xml:space="preserve">egcc.a </t>
  </si>
  <si>
    <t xml:space="preserve">egcd.a </t>
  </si>
  <si>
    <t xml:space="preserve">egce.a </t>
  </si>
  <si>
    <t xml:space="preserve">egcf.a </t>
  </si>
  <si>
    <t xml:space="preserve">egda.a </t>
  </si>
  <si>
    <t xml:space="preserve">ddbv </t>
  </si>
  <si>
    <t xml:space="preserve">egdb.a </t>
  </si>
  <si>
    <t xml:space="preserve">egdc.a </t>
  </si>
  <si>
    <t>elmin2_1</t>
  </si>
  <si>
    <t xml:space="preserve">egdd.a </t>
  </si>
  <si>
    <t>Kalm house 2</t>
  </si>
  <si>
    <t xml:space="preserve">egde.a </t>
  </si>
  <si>
    <t xml:space="preserve">egdf.a </t>
  </si>
  <si>
    <t xml:space="preserve">egea.a </t>
  </si>
  <si>
    <t xml:space="preserve">egeb.a </t>
  </si>
  <si>
    <t xml:space="preserve">egec.a </t>
  </si>
  <si>
    <t xml:space="preserve">eged.a </t>
  </si>
  <si>
    <t xml:space="preserve">egee.a </t>
  </si>
  <si>
    <t xml:space="preserve">egef.a </t>
  </si>
  <si>
    <t xml:space="preserve">egfa.a </t>
  </si>
  <si>
    <t>elmin2_2</t>
  </si>
  <si>
    <t xml:space="preserve">ddbx </t>
  </si>
  <si>
    <t>Kalm house 2 upper floor</t>
  </si>
  <si>
    <t xml:space="preserve">egfb.a </t>
  </si>
  <si>
    <t xml:space="preserve">egfc.a </t>
  </si>
  <si>
    <t xml:space="preserve">egfd.a </t>
  </si>
  <si>
    <t xml:space="preserve">egfe.a </t>
  </si>
  <si>
    <t xml:space="preserve">egff.a </t>
  </si>
  <si>
    <t xml:space="preserve">egga.a </t>
  </si>
  <si>
    <t>elmin3_1</t>
  </si>
  <si>
    <t xml:space="preserve">eggb.a </t>
  </si>
  <si>
    <t>Kalm house 3</t>
  </si>
  <si>
    <t xml:space="preserve">eggc.a </t>
  </si>
  <si>
    <t xml:space="preserve">eggd.a </t>
  </si>
  <si>
    <t xml:space="preserve">ddby </t>
  </si>
  <si>
    <t xml:space="preserve">egge.a </t>
  </si>
  <si>
    <t xml:space="preserve">eggf.a </t>
  </si>
  <si>
    <t>elmin3_2</t>
  </si>
  <si>
    <t xml:space="preserve">egha.a </t>
  </si>
  <si>
    <t>Kalm house 3 upper floor</t>
  </si>
  <si>
    <t xml:space="preserve">eghb.a </t>
  </si>
  <si>
    <t xml:space="preserve">eghc.a </t>
  </si>
  <si>
    <t xml:space="preserve">eghd.a </t>
  </si>
  <si>
    <t xml:space="preserve">eghe.hrc </t>
  </si>
  <si>
    <t>elmin4_1</t>
  </si>
  <si>
    <t>Kalm house 4</t>
  </si>
  <si>
    <t xml:space="preserve">eghf.rsd </t>
  </si>
  <si>
    <t xml:space="preserve">ddbz </t>
  </si>
  <si>
    <t xml:space="preserve">egia.p </t>
  </si>
  <si>
    <t xml:space="preserve">egib.a </t>
  </si>
  <si>
    <t xml:space="preserve">egic.a </t>
  </si>
  <si>
    <t>elmin4_2</t>
  </si>
  <si>
    <t xml:space="preserve">egid.a </t>
  </si>
  <si>
    <t>Kalm house 4 upper floor</t>
  </si>
  <si>
    <t xml:space="preserve">egie.a </t>
  </si>
  <si>
    <t xml:space="preserve">egif.a </t>
  </si>
  <si>
    <t xml:space="preserve">egja.a </t>
  </si>
  <si>
    <t xml:space="preserve">egjb.a </t>
  </si>
  <si>
    <t xml:space="preserve">ddcb </t>
  </si>
  <si>
    <t>elminn_1</t>
  </si>
  <si>
    <t xml:space="preserve">egjc.a </t>
  </si>
  <si>
    <t>Kalm inn</t>
  </si>
  <si>
    <t xml:space="preserve">egjd.a </t>
  </si>
  <si>
    <t xml:space="preserve">egje.a </t>
  </si>
  <si>
    <t xml:space="preserve">egjf.a </t>
  </si>
  <si>
    <t xml:space="preserve">ehaa.a </t>
  </si>
  <si>
    <t xml:space="preserve">ehab.a </t>
  </si>
  <si>
    <t xml:space="preserve">ehac.a </t>
  </si>
  <si>
    <t>elminn_2</t>
  </si>
  <si>
    <t xml:space="preserve">ehad.a </t>
  </si>
  <si>
    <t>Kalm inn upper floor</t>
  </si>
  <si>
    <t xml:space="preserve">ehae.a </t>
  </si>
  <si>
    <t xml:space="preserve">ehaf.a </t>
  </si>
  <si>
    <t xml:space="preserve">ehba.a </t>
  </si>
  <si>
    <t xml:space="preserve">ddcc </t>
  </si>
  <si>
    <t xml:space="preserve">ehbb.a </t>
  </si>
  <si>
    <t xml:space="preserve">ehbc.a </t>
  </si>
  <si>
    <t xml:space="preserve">ehbd.a </t>
  </si>
  <si>
    <t>elmpb</t>
  </si>
  <si>
    <t xml:space="preserve">ehbe.hrc </t>
  </si>
  <si>
    <t>woman5_st</t>
  </si>
  <si>
    <t>Kalm: Bar</t>
  </si>
  <si>
    <t xml:space="preserve">ehbf.rsd </t>
  </si>
  <si>
    <t xml:space="preserve">ehca.p </t>
  </si>
  <si>
    <t xml:space="preserve">ehcb.rsd </t>
  </si>
  <si>
    <t xml:space="preserve">ehcc.p </t>
  </si>
  <si>
    <t xml:space="preserve">ehcd.rsd </t>
  </si>
  <si>
    <t xml:space="preserve">ehce.p </t>
  </si>
  <si>
    <t xml:space="preserve">ehcf.tex </t>
  </si>
  <si>
    <t>elmtow</t>
  </si>
  <si>
    <t xml:space="preserve">ehda.tex </t>
  </si>
  <si>
    <t>Kalm: House 3 upper floor</t>
  </si>
  <si>
    <t xml:space="preserve">ddcd </t>
  </si>
  <si>
    <t xml:space="preserve">ehdb.rsd </t>
  </si>
  <si>
    <t xml:space="preserve">ehdc.p </t>
  </si>
  <si>
    <t xml:space="preserve">ehdd.rsd </t>
  </si>
  <si>
    <t xml:space="preserve">ehde.p </t>
  </si>
  <si>
    <t xml:space="preserve">ehdf.rsd </t>
  </si>
  <si>
    <t xml:space="preserve">ehea.p </t>
  </si>
  <si>
    <t>farm</t>
  </si>
  <si>
    <t xml:space="preserve">eheb.rsd </t>
  </si>
  <si>
    <t>Chocobo farm</t>
  </si>
  <si>
    <t xml:space="preserve">ehec.p </t>
  </si>
  <si>
    <t xml:space="preserve">ehed.rsd </t>
  </si>
  <si>
    <t xml:space="preserve">ehee.p </t>
  </si>
  <si>
    <t xml:space="preserve">ehef.rsd </t>
  </si>
  <si>
    <t xml:space="preserve">ddda </t>
  </si>
  <si>
    <t xml:space="preserve">ehfa.p </t>
  </si>
  <si>
    <t>51 K</t>
  </si>
  <si>
    <t xml:space="preserve">ehfb.rsd </t>
  </si>
  <si>
    <t xml:space="preserve">ehfc.p </t>
  </si>
  <si>
    <t>flevel.siz</t>
  </si>
  <si>
    <t xml:space="preserve">ehfd.rsd </t>
  </si>
  <si>
    <t>Field files sizes</t>
  </si>
  <si>
    <t xml:space="preserve">ehfe.p </t>
  </si>
  <si>
    <t xml:space="preserve">ehff.rsd </t>
  </si>
  <si>
    <t xml:space="preserve">deaa </t>
  </si>
  <si>
    <t>fr_e</t>
  </si>
  <si>
    <t>Madouge: Battle Skeleton</t>
  </si>
  <si>
    <t>Diamond Weapon field??</t>
  </si>
  <si>
    <t xml:space="preserve">ehga.p </t>
  </si>
  <si>
    <t>After Diamond Weapon Battle</t>
  </si>
  <si>
    <t xml:space="preserve">ehgb.rsd </t>
  </si>
  <si>
    <t xml:space="preserve">ehgc.p </t>
  </si>
  <si>
    <t xml:space="preserve">ehgd.rsd </t>
  </si>
  <si>
    <t xml:space="preserve">ehge.p </t>
  </si>
  <si>
    <t xml:space="preserve">ehgf.rsd </t>
  </si>
  <si>
    <t xml:space="preserve">ehha.p </t>
  </si>
  <si>
    <t xml:space="preserve">ehhb.a </t>
  </si>
  <si>
    <t xml:space="preserve">ehhc.hrc </t>
  </si>
  <si>
    <t>frcyo</t>
  </si>
  <si>
    <t>cloak_sk</t>
  </si>
  <si>
    <t>Chocobo farm: Stables</t>
  </si>
  <si>
    <t xml:space="preserve">ehhd.rsd </t>
  </si>
  <si>
    <t xml:space="preserve">ehhe.p </t>
  </si>
  <si>
    <t xml:space="preserve">deab </t>
  </si>
  <si>
    <t xml:space="preserve">ehhf.rsd </t>
  </si>
  <si>
    <t xml:space="preserve">ehia.p </t>
  </si>
  <si>
    <t>Madouge: Unidentified Part</t>
  </si>
  <si>
    <t xml:space="preserve">ehib.rsd </t>
  </si>
  <si>
    <t xml:space="preserve">ehic.p </t>
  </si>
  <si>
    <t xml:space="preserve">ehid.rsd </t>
  </si>
  <si>
    <t xml:space="preserve">deam </t>
  </si>
  <si>
    <t xml:space="preserve">ehie.p </t>
  </si>
  <si>
    <t>frmin</t>
  </si>
  <si>
    <t xml:space="preserve">ehif.a </t>
  </si>
  <si>
    <t>Chocobo farm: Choco Bill's House</t>
  </si>
  <si>
    <t xml:space="preserve">ehja.a </t>
  </si>
  <si>
    <t xml:space="preserve">ehjb.a </t>
  </si>
  <si>
    <t xml:space="preserve">ehjc.a </t>
  </si>
  <si>
    <t xml:space="preserve">ehjd.a </t>
  </si>
  <si>
    <t xml:space="preserve">ehje.a </t>
  </si>
  <si>
    <t xml:space="preserve">ehjf.a </t>
  </si>
  <si>
    <t xml:space="preserve">eiaa.a </t>
  </si>
  <si>
    <t xml:space="preserve">eiab.a </t>
  </si>
  <si>
    <t xml:space="preserve">eiac.hrc </t>
  </si>
  <si>
    <t>fship_1</t>
  </si>
  <si>
    <t>Highwind</t>
  </si>
  <si>
    <t xml:space="preserve">eiad.rsd </t>
  </si>
  <si>
    <t xml:space="preserve">eiae.p </t>
  </si>
  <si>
    <t xml:space="preserve">eiaf.rsd </t>
  </si>
  <si>
    <t xml:space="preserve">dean </t>
  </si>
  <si>
    <t xml:space="preserve">eiba.p </t>
  </si>
  <si>
    <t xml:space="preserve">eibb.rsd </t>
  </si>
  <si>
    <t>fship_12</t>
  </si>
  <si>
    <t>Highwind: Deck</t>
  </si>
  <si>
    <t xml:space="preserve">eibc.p </t>
  </si>
  <si>
    <t xml:space="preserve">eibd.tex </t>
  </si>
  <si>
    <t xml:space="preserve">eibe.tex </t>
  </si>
  <si>
    <t xml:space="preserve">eibf.tex </t>
  </si>
  <si>
    <t xml:space="preserve">eica.rsd </t>
  </si>
  <si>
    <t>fship_2</t>
  </si>
  <si>
    <t xml:space="preserve">eicb.p </t>
  </si>
  <si>
    <t>Highwind: Control room</t>
  </si>
  <si>
    <t xml:space="preserve">deaq </t>
  </si>
  <si>
    <t xml:space="preserve">eicc.rsd </t>
  </si>
  <si>
    <t xml:space="preserve">eicd.p </t>
  </si>
  <si>
    <t xml:space="preserve">eice.rsd </t>
  </si>
  <si>
    <t xml:space="preserve">eicf.p </t>
  </si>
  <si>
    <t>fship_22</t>
  </si>
  <si>
    <t xml:space="preserve">eida.rsd </t>
  </si>
  <si>
    <t xml:space="preserve">eidb.p </t>
  </si>
  <si>
    <t xml:space="preserve">eidc.rsd </t>
  </si>
  <si>
    <t xml:space="preserve">eidd.p </t>
  </si>
  <si>
    <t xml:space="preserve">eide.rsd </t>
  </si>
  <si>
    <t xml:space="preserve">eidf.p </t>
  </si>
  <si>
    <t>fship_23</t>
  </si>
  <si>
    <t xml:space="preserve">dear </t>
  </si>
  <si>
    <t xml:space="preserve">eiea.rsd </t>
  </si>
  <si>
    <t xml:space="preserve">eieb.p </t>
  </si>
  <si>
    <t xml:space="preserve">eiec.rsd </t>
  </si>
  <si>
    <t xml:space="preserve">eied.p </t>
  </si>
  <si>
    <t xml:space="preserve">eiee.rsd </t>
  </si>
  <si>
    <t xml:space="preserve">eief.p </t>
  </si>
  <si>
    <t xml:space="preserve">eifa.rsd </t>
  </si>
  <si>
    <t xml:space="preserve">eifb.p </t>
  </si>
  <si>
    <t xml:space="preserve">eifc.rsd </t>
  </si>
  <si>
    <t xml:space="preserve">eifd.p </t>
  </si>
  <si>
    <t xml:space="preserve">deas </t>
  </si>
  <si>
    <t>fship_24</t>
  </si>
  <si>
    <t xml:space="preserve">eife.rsd </t>
  </si>
  <si>
    <t>Highwind: Bridge</t>
  </si>
  <si>
    <t xml:space="preserve">eiff.p </t>
  </si>
  <si>
    <t xml:space="preserve">eiga.a </t>
  </si>
  <si>
    <t xml:space="preserve">eigb.a </t>
  </si>
  <si>
    <t xml:space="preserve">eigc.a </t>
  </si>
  <si>
    <t xml:space="preserve">eigd.a </t>
  </si>
  <si>
    <t xml:space="preserve">.eige.a </t>
  </si>
  <si>
    <t xml:space="preserve">eigf.a </t>
  </si>
  <si>
    <t xml:space="preserve">eiha.a </t>
  </si>
  <si>
    <t xml:space="preserve">eihb.a </t>
  </si>
  <si>
    <t xml:space="preserve">eihc.a </t>
  </si>
  <si>
    <t xml:space="preserve">eihd.hrc </t>
  </si>
  <si>
    <t>hei1_sk</t>
  </si>
  <si>
    <t>fship_25</t>
  </si>
  <si>
    <t xml:space="preserve">eihe.rsd </t>
  </si>
  <si>
    <t xml:space="preserve">deau </t>
  </si>
  <si>
    <t xml:space="preserve">eihf.p </t>
  </si>
  <si>
    <t xml:space="preserve">eiia.rsd </t>
  </si>
  <si>
    <t xml:space="preserve">eiib.p </t>
  </si>
  <si>
    <t xml:space="preserve">eiic.rsd </t>
  </si>
  <si>
    <t xml:space="preserve">eiid.p </t>
  </si>
  <si>
    <t xml:space="preserve">eiie.tex </t>
  </si>
  <si>
    <t xml:space="preserve">eiif.tex </t>
  </si>
  <si>
    <t xml:space="preserve">eija.tex </t>
  </si>
  <si>
    <t xml:space="preserve">deav </t>
  </si>
  <si>
    <t xml:space="preserve">eijb.rsd </t>
  </si>
  <si>
    <t xml:space="preserve">eijc.p </t>
  </si>
  <si>
    <t xml:space="preserve">eijd.rsd </t>
  </si>
  <si>
    <t xml:space="preserve">eije.p </t>
  </si>
  <si>
    <t xml:space="preserve">eijf.rsd </t>
  </si>
  <si>
    <t xml:space="preserve">ejaa.p </t>
  </si>
  <si>
    <t>fship_3</t>
  </si>
  <si>
    <t xml:space="preserve">ejab.rsd </t>
  </si>
  <si>
    <t xml:space="preserve">ejac.p </t>
  </si>
  <si>
    <t xml:space="preserve">ejad.rsd </t>
  </si>
  <si>
    <t xml:space="preserve">deax </t>
  </si>
  <si>
    <t xml:space="preserve">ejae.p </t>
  </si>
  <si>
    <t xml:space="preserve">ejaf.rsd </t>
  </si>
  <si>
    <t xml:space="preserve">ejba.p </t>
  </si>
  <si>
    <t xml:space="preserve">ejbb.rsd </t>
  </si>
  <si>
    <t xml:space="preserve">ejbc.p </t>
  </si>
  <si>
    <t xml:space="preserve">ejbd.rsd </t>
  </si>
  <si>
    <t>fship_4</t>
  </si>
  <si>
    <t xml:space="preserve">ejbe.p </t>
  </si>
  <si>
    <t xml:space="preserve">deay </t>
  </si>
  <si>
    <t xml:space="preserve">ejbf.rsd </t>
  </si>
  <si>
    <t xml:space="preserve">ejca.p </t>
  </si>
  <si>
    <t xml:space="preserve">ejcb.rsd </t>
  </si>
  <si>
    <t xml:space="preserve">ejcc.p </t>
  </si>
  <si>
    <t xml:space="preserve">ejcd.rsd </t>
  </si>
  <si>
    <t>fship_42</t>
  </si>
  <si>
    <t>Highwind: Inside airship</t>
  </si>
  <si>
    <t xml:space="preserve">ejce.p </t>
  </si>
  <si>
    <t xml:space="preserve">deba </t>
  </si>
  <si>
    <t xml:space="preserve">ejcf.rsd </t>
  </si>
  <si>
    <t xml:space="preserve">ejda.p </t>
  </si>
  <si>
    <t xml:space="preserve">ejdb.a </t>
  </si>
  <si>
    <t xml:space="preserve">ejdc.hrc </t>
  </si>
  <si>
    <t>zacks_sk</t>
  </si>
  <si>
    <t xml:space="preserve">ejdd.rsd </t>
  </si>
  <si>
    <t xml:space="preserve">ejde.p </t>
  </si>
  <si>
    <t xml:space="preserve">ejdf.rsd </t>
  </si>
  <si>
    <t xml:space="preserve">ejea.p </t>
  </si>
  <si>
    <t xml:space="preserve">ejeb.rsd </t>
  </si>
  <si>
    <t xml:space="preserve">ejec.p </t>
  </si>
  <si>
    <t>fship_5</t>
  </si>
  <si>
    <t xml:space="preserve">ejed.rsd </t>
  </si>
  <si>
    <t xml:space="preserve">ejee.p </t>
  </si>
  <si>
    <t xml:space="preserve">debb </t>
  </si>
  <si>
    <t xml:space="preserve">ejef.tex </t>
  </si>
  <si>
    <t xml:space="preserve">ejfa.tex </t>
  </si>
  <si>
    <t xml:space="preserve">ejfb.tex </t>
  </si>
  <si>
    <t xml:space="preserve">ejfc.rsd </t>
  </si>
  <si>
    <t xml:space="preserve">ejfd.p </t>
  </si>
  <si>
    <t xml:space="preserve">ejfe.rsd </t>
  </si>
  <si>
    <t xml:space="preserve">ejff.p </t>
  </si>
  <si>
    <t xml:space="preserve">ejga.rsd </t>
  </si>
  <si>
    <t xml:space="preserve">ejgb.p </t>
  </si>
  <si>
    <t xml:space="preserve">ejgc.rsd </t>
  </si>
  <si>
    <t xml:space="preserve">ejgd.p </t>
  </si>
  <si>
    <t>gaia_1</t>
  </si>
  <si>
    <t xml:space="preserve">ejge.rsd </t>
  </si>
  <si>
    <t>Gaea's Cliff</t>
  </si>
  <si>
    <t xml:space="preserve">ejgf.p </t>
  </si>
  <si>
    <t xml:space="preserve">debd </t>
  </si>
  <si>
    <t xml:space="preserve">ejha.rsd </t>
  </si>
  <si>
    <t xml:space="preserve">ejhb.p </t>
  </si>
  <si>
    <t xml:space="preserve">ejhc.rsd </t>
  </si>
  <si>
    <t xml:space="preserve">ejhd.p </t>
  </si>
  <si>
    <t xml:space="preserve">ejhe.rsd </t>
  </si>
  <si>
    <t xml:space="preserve">ejhf.p </t>
  </si>
  <si>
    <t xml:space="preserve">ejia.rsd </t>
  </si>
  <si>
    <t xml:space="preserve">ejib.p </t>
  </si>
  <si>
    <t xml:space="preserve">ejic.rsd </t>
  </si>
  <si>
    <t xml:space="preserve">ejid.p </t>
  </si>
  <si>
    <t xml:space="preserve">ejie.rsd </t>
  </si>
  <si>
    <t>gaia_2</t>
  </si>
  <si>
    <t xml:space="preserve">ejif.p </t>
  </si>
  <si>
    <t xml:space="preserve">ejja.rsd </t>
  </si>
  <si>
    <t xml:space="preserve">debe </t>
  </si>
  <si>
    <t xml:space="preserve">ejjb.p </t>
  </si>
  <si>
    <t xml:space="preserve">ejjc.a </t>
  </si>
  <si>
    <t xml:space="preserve">ejjd.a </t>
  </si>
  <si>
    <t xml:space="preserve">ejje.a </t>
  </si>
  <si>
    <t xml:space="preserve">ejjf.a </t>
  </si>
  <si>
    <t xml:space="preserve">ekaa.a </t>
  </si>
  <si>
    <t xml:space="preserve">ekab.a </t>
  </si>
  <si>
    <t xml:space="preserve">ekac.a </t>
  </si>
  <si>
    <t xml:space="preserve">ekad.a </t>
  </si>
  <si>
    <t xml:space="preserve">ekae.a </t>
  </si>
  <si>
    <t xml:space="preserve">ekaf.a </t>
  </si>
  <si>
    <t>gaia_31</t>
  </si>
  <si>
    <t xml:space="preserve">ekba.a </t>
  </si>
  <si>
    <t xml:space="preserve">ekbb.a </t>
  </si>
  <si>
    <t xml:space="preserve">debh </t>
  </si>
  <si>
    <t xml:space="preserve">ekbc.a </t>
  </si>
  <si>
    <t xml:space="preserve">ekbd.a </t>
  </si>
  <si>
    <t xml:space="preserve">ekbe.a </t>
  </si>
  <si>
    <t xml:space="preserve">ekbf.hrc </t>
  </si>
  <si>
    <t>hei4_sk</t>
  </si>
  <si>
    <t xml:space="preserve">ekca.rsd </t>
  </si>
  <si>
    <t xml:space="preserve">ekcb.p </t>
  </si>
  <si>
    <t xml:space="preserve">ekcc.rsd </t>
  </si>
  <si>
    <t xml:space="preserve">ekcd.p </t>
  </si>
  <si>
    <t xml:space="preserve">ekce.rsd </t>
  </si>
  <si>
    <t xml:space="preserve">ekcf.p </t>
  </si>
  <si>
    <t>gaia_32</t>
  </si>
  <si>
    <t xml:space="preserve">ekda.tex </t>
  </si>
  <si>
    <t xml:space="preserve">ekdb.tex </t>
  </si>
  <si>
    <t xml:space="preserve">ekdc.tex </t>
  </si>
  <si>
    <t xml:space="preserve">ekdd.rsd </t>
  </si>
  <si>
    <t xml:space="preserve">ekde.p </t>
  </si>
  <si>
    <t xml:space="preserve">debi </t>
  </si>
  <si>
    <t xml:space="preserve">ekdf.rsd </t>
  </si>
  <si>
    <t xml:space="preserve">ekea.p </t>
  </si>
  <si>
    <t xml:space="preserve">ekeb.rsd </t>
  </si>
  <si>
    <t xml:space="preserve">ekec.p </t>
  </si>
  <si>
    <t>gaiafoot</t>
  </si>
  <si>
    <t>Base of Gaea's Cliff</t>
  </si>
  <si>
    <t xml:space="preserve">eked.rsd </t>
  </si>
  <si>
    <t xml:space="preserve">ekee.p </t>
  </si>
  <si>
    <t xml:space="preserve">ekef.rsd </t>
  </si>
  <si>
    <t xml:space="preserve">ekfa.p </t>
  </si>
  <si>
    <t xml:space="preserve">ekfb.rsd </t>
  </si>
  <si>
    <t xml:space="preserve">ekfc.p </t>
  </si>
  <si>
    <t xml:space="preserve">debj </t>
  </si>
  <si>
    <t xml:space="preserve">ekfd.rsd </t>
  </si>
  <si>
    <t xml:space="preserve">ekfe.p </t>
  </si>
  <si>
    <t xml:space="preserve">ekff.rsd </t>
  </si>
  <si>
    <t>gaiin_1</t>
  </si>
  <si>
    <t>Inside of Gaea's Cliff</t>
  </si>
  <si>
    <t xml:space="preserve">ekga.p </t>
  </si>
  <si>
    <t xml:space="preserve">ekgb.rsd </t>
  </si>
  <si>
    <t xml:space="preserve">ekgc.p </t>
  </si>
  <si>
    <t xml:space="preserve">ekgd.rsd </t>
  </si>
  <si>
    <t xml:space="preserve">ekge.p </t>
  </si>
  <si>
    <t xml:space="preserve">ekgf.rsd </t>
  </si>
  <si>
    <t xml:space="preserve">ekha.p </t>
  </si>
  <si>
    <t xml:space="preserve">debk </t>
  </si>
  <si>
    <t xml:space="preserve">ekhb.rsd </t>
  </si>
  <si>
    <t xml:space="preserve">ekhc.p </t>
  </si>
  <si>
    <t>gaiin_2</t>
  </si>
  <si>
    <t xml:space="preserve">ekhd.a </t>
  </si>
  <si>
    <t xml:space="preserve">ekhe.a </t>
  </si>
  <si>
    <t xml:space="preserve">ekhf.a </t>
  </si>
  <si>
    <t xml:space="preserve">.ekia.a </t>
  </si>
  <si>
    <t xml:space="preserve">ekib.a </t>
  </si>
  <si>
    <t xml:space="preserve">ekic.a </t>
  </si>
  <si>
    <t xml:space="preserve">ekid.a </t>
  </si>
  <si>
    <t xml:space="preserve">ekie.a </t>
  </si>
  <si>
    <t xml:space="preserve">ekif.a </t>
  </si>
  <si>
    <t xml:space="preserve">debl </t>
  </si>
  <si>
    <t xml:space="preserve">ekja.a </t>
  </si>
  <si>
    <t xml:space="preserve">ekjb.hrc </t>
  </si>
  <si>
    <t>gaiin_3</t>
  </si>
  <si>
    <t>yhojo_sk</t>
  </si>
  <si>
    <t xml:space="preserve">ekjc.rsd </t>
  </si>
  <si>
    <t xml:space="preserve">ekjd.p </t>
  </si>
  <si>
    <t xml:space="preserve">ekje.rsd </t>
  </si>
  <si>
    <t xml:space="preserve">ekjf.p </t>
  </si>
  <si>
    <t xml:space="preserve">elaa.rsd </t>
  </si>
  <si>
    <t xml:space="preserve">elab.p </t>
  </si>
  <si>
    <t xml:space="preserve">elac.tex </t>
  </si>
  <si>
    <t xml:space="preserve">elad.tex </t>
  </si>
  <si>
    <t xml:space="preserve">debm </t>
  </si>
  <si>
    <t>gaiin_4</t>
  </si>
  <si>
    <t xml:space="preserve">elae.tex </t>
  </si>
  <si>
    <t xml:space="preserve">elaf.rsd </t>
  </si>
  <si>
    <t xml:space="preserve">elba.p </t>
  </si>
  <si>
    <t xml:space="preserve">elbb.rsd </t>
  </si>
  <si>
    <t xml:space="preserve">elbc.p </t>
  </si>
  <si>
    <t xml:space="preserve">elbd.rsd </t>
  </si>
  <si>
    <t xml:space="preserve">elbe.p </t>
  </si>
  <si>
    <t xml:space="preserve">elbf.rsd </t>
  </si>
  <si>
    <t xml:space="preserve">elca.p </t>
  </si>
  <si>
    <t>gaiin_5</t>
  </si>
  <si>
    <t xml:space="preserve">elcb.rsd </t>
  </si>
  <si>
    <t xml:space="preserve">elcc.p </t>
  </si>
  <si>
    <t xml:space="preserve">debn </t>
  </si>
  <si>
    <t xml:space="preserve">elcd.rsd </t>
  </si>
  <si>
    <t xml:space="preserve">elce.p </t>
  </si>
  <si>
    <t xml:space="preserve">elcf.rsd </t>
  </si>
  <si>
    <t xml:space="preserve">elda.p </t>
  </si>
  <si>
    <t xml:space="preserve">eldb.rsd </t>
  </si>
  <si>
    <t xml:space="preserve">eldc.p </t>
  </si>
  <si>
    <t>gaiin_6</t>
  </si>
  <si>
    <t xml:space="preserve">eldd.rsd </t>
  </si>
  <si>
    <t xml:space="preserve">elde.p </t>
  </si>
  <si>
    <t xml:space="preserve">eldf.rsd </t>
  </si>
  <si>
    <t xml:space="preserve">debp </t>
  </si>
  <si>
    <t xml:space="preserve">elea.p </t>
  </si>
  <si>
    <t xml:space="preserve">eleb.rsd </t>
  </si>
  <si>
    <t xml:space="preserve">elec.p </t>
  </si>
  <si>
    <t>gaiin_7</t>
  </si>
  <si>
    <t xml:space="preserve">eled.rsd </t>
  </si>
  <si>
    <t xml:space="preserve">elee.p </t>
  </si>
  <si>
    <t xml:space="preserve">elef.a </t>
  </si>
  <si>
    <t xml:space="preserve">elfa.a </t>
  </si>
  <si>
    <t xml:space="preserve">elfb.a </t>
  </si>
  <si>
    <t xml:space="preserve">elfc.a </t>
  </si>
  <si>
    <t>games</t>
  </si>
  <si>
    <t>Gold Saucer: Wonder Square</t>
  </si>
  <si>
    <t xml:space="preserve">elfd.a </t>
  </si>
  <si>
    <t xml:space="preserve">debq </t>
  </si>
  <si>
    <t xml:space="preserve">elfe.a </t>
  </si>
  <si>
    <t xml:space="preserve">elff.a </t>
  </si>
  <si>
    <t xml:space="preserve">elga.a </t>
  </si>
  <si>
    <t xml:space="preserve">elgb.a </t>
  </si>
  <si>
    <t xml:space="preserve">elgc.hrc </t>
  </si>
  <si>
    <t>gast_sk</t>
  </si>
  <si>
    <t xml:space="preserve">elgd.rsd </t>
  </si>
  <si>
    <t xml:space="preserve">elge.p </t>
  </si>
  <si>
    <t xml:space="preserve">elgf.rsd </t>
  </si>
  <si>
    <t xml:space="preserve">elha.p </t>
  </si>
  <si>
    <t>games_1</t>
  </si>
  <si>
    <t xml:space="preserve">elhb.rsd </t>
  </si>
  <si>
    <t>Gold Saucer: Wonder Square: Building 1f.</t>
  </si>
  <si>
    <t xml:space="preserve">elhc.p </t>
  </si>
  <si>
    <t xml:space="preserve">elhd.tex </t>
  </si>
  <si>
    <t xml:space="preserve">elhe.tex </t>
  </si>
  <si>
    <t xml:space="preserve">debr </t>
  </si>
  <si>
    <t xml:space="preserve">elhf.rsd </t>
  </si>
  <si>
    <t xml:space="preserve">elia.p </t>
  </si>
  <si>
    <t xml:space="preserve">elib.rsd </t>
  </si>
  <si>
    <t xml:space="preserve">elic.p </t>
  </si>
  <si>
    <t xml:space="preserve">elid.rsd </t>
  </si>
  <si>
    <t>games_2</t>
  </si>
  <si>
    <t>Gold Saucer: Wonder Square: Building 2f.</t>
  </si>
  <si>
    <t xml:space="preserve">elie.p </t>
  </si>
  <si>
    <t xml:space="preserve">elif.rsd </t>
  </si>
  <si>
    <t xml:space="preserve">elja.p </t>
  </si>
  <si>
    <t xml:space="preserve">eljb.rsd </t>
  </si>
  <si>
    <t xml:space="preserve">eljc.p </t>
  </si>
  <si>
    <t xml:space="preserve">eljd.rsd </t>
  </si>
  <si>
    <t xml:space="preserve">elje.p </t>
  </si>
  <si>
    <t xml:space="preserve">eljf.rsd </t>
  </si>
  <si>
    <t xml:space="preserve">debt </t>
  </si>
  <si>
    <t xml:space="preserve">emaa.p </t>
  </si>
  <si>
    <t xml:space="preserve">emab.rsd </t>
  </si>
  <si>
    <t xml:space="preserve">emac.p </t>
  </si>
  <si>
    <t>ghotel</t>
  </si>
  <si>
    <t xml:space="preserve">emad.rsd </t>
  </si>
  <si>
    <t>Gold Saucer: Ghost Hotel</t>
  </si>
  <si>
    <t xml:space="preserve">emae.p </t>
  </si>
  <si>
    <t xml:space="preserve">emaf.rsd </t>
  </si>
  <si>
    <t xml:space="preserve">emba.p </t>
  </si>
  <si>
    <t xml:space="preserve">embb.rsd </t>
  </si>
  <si>
    <t xml:space="preserve">embc.p </t>
  </si>
  <si>
    <t xml:space="preserve">embd.rsd </t>
  </si>
  <si>
    <t xml:space="preserve">embe.p </t>
  </si>
  <si>
    <t xml:space="preserve">embf.a </t>
  </si>
  <si>
    <t>ghotin_1</t>
  </si>
  <si>
    <t xml:space="preserve">debu </t>
  </si>
  <si>
    <t xml:space="preserve">emca.a </t>
  </si>
  <si>
    <t xml:space="preserve">emcb.a </t>
  </si>
  <si>
    <t xml:space="preserve">emcc.a </t>
  </si>
  <si>
    <t xml:space="preserve">emcd.a </t>
  </si>
  <si>
    <t xml:space="preserve">emce.a </t>
  </si>
  <si>
    <t xml:space="preserve">emcf.a </t>
  </si>
  <si>
    <t xml:space="preserve">emda.a </t>
  </si>
  <si>
    <t>ghotin_2</t>
  </si>
  <si>
    <t xml:space="preserve">emdb.a </t>
  </si>
  <si>
    <t xml:space="preserve">debv </t>
  </si>
  <si>
    <t>ghotin_3</t>
  </si>
  <si>
    <t>Gold Saucer: Ghost Hotel: Hotel Shop</t>
  </si>
  <si>
    <t>ghotin_4</t>
  </si>
  <si>
    <t xml:space="preserve">deda </t>
  </si>
  <si>
    <t>gidun_1</t>
  </si>
  <si>
    <t>Cave of the Gi</t>
  </si>
  <si>
    <t xml:space="preserve">dfaa </t>
  </si>
  <si>
    <t>292 Bytes</t>
  </si>
  <si>
    <t>Crawler: Battle Skeleton</t>
  </si>
  <si>
    <t xml:space="preserve">emdc.a </t>
  </si>
  <si>
    <t xml:space="preserve">emdd.a </t>
  </si>
  <si>
    <t>gidun_2</t>
  </si>
  <si>
    <t xml:space="preserve">emde.a </t>
  </si>
  <si>
    <t xml:space="preserve">emdf.hrc </t>
  </si>
  <si>
    <t>man15_st</t>
  </si>
  <si>
    <t xml:space="preserve">emea.rsd </t>
  </si>
  <si>
    <t xml:space="preserve">emeb.p </t>
  </si>
  <si>
    <t xml:space="preserve">dfab </t>
  </si>
  <si>
    <t xml:space="preserve">emec.rsd </t>
  </si>
  <si>
    <t>Crawler: Unidentified Part</t>
  </si>
  <si>
    <t>gidun_3</t>
  </si>
  <si>
    <t xml:space="preserve">emed.p </t>
  </si>
  <si>
    <t xml:space="preserve">emee.rsd </t>
  </si>
  <si>
    <t xml:space="preserve">dfac </t>
  </si>
  <si>
    <t xml:space="preserve">emef.p </t>
  </si>
  <si>
    <t xml:space="preserve">emfa.tex </t>
  </si>
  <si>
    <t xml:space="preserve">emfb.tex </t>
  </si>
  <si>
    <t>gidun_4</t>
  </si>
  <si>
    <t xml:space="preserve">emfc.tex </t>
  </si>
  <si>
    <t xml:space="preserve">emfd.rsd </t>
  </si>
  <si>
    <t xml:space="preserve">emfe.p </t>
  </si>
  <si>
    <t xml:space="preserve">emff.rsd </t>
  </si>
  <si>
    <t xml:space="preserve">emga.p </t>
  </si>
  <si>
    <t xml:space="preserve">emgb.rsd </t>
  </si>
  <si>
    <t>gldelev</t>
  </si>
  <si>
    <t>Corel Prison - Gold Saucer Elevator</t>
  </si>
  <si>
    <t xml:space="preserve">emgc.p </t>
  </si>
  <si>
    <t xml:space="preserve">dfad </t>
  </si>
  <si>
    <t xml:space="preserve">emgd.rsd </t>
  </si>
  <si>
    <t xml:space="preserve">emge.p </t>
  </si>
  <si>
    <t xml:space="preserve">emgf.rsd </t>
  </si>
  <si>
    <t xml:space="preserve">emha.p </t>
  </si>
  <si>
    <t>gldgate</t>
  </si>
  <si>
    <t>Gold Saucer: Station</t>
  </si>
  <si>
    <t xml:space="preserve">emhb.rsd </t>
  </si>
  <si>
    <t xml:space="preserve">emhc.p </t>
  </si>
  <si>
    <t xml:space="preserve">emhd.rsd </t>
  </si>
  <si>
    <t xml:space="preserve">emhe.p </t>
  </si>
  <si>
    <t xml:space="preserve">emhf.rsd </t>
  </si>
  <si>
    <t xml:space="preserve">dfae </t>
  </si>
  <si>
    <t>gldinfo</t>
  </si>
  <si>
    <t xml:space="preserve">emia.p </t>
  </si>
  <si>
    <t>Gold Saucer: Entrance Information??</t>
  </si>
  <si>
    <t xml:space="preserve">emib.rsd </t>
  </si>
  <si>
    <t xml:space="preserve">emic.p </t>
  </si>
  <si>
    <t xml:space="preserve">emid.rsd </t>
  </si>
  <si>
    <t xml:space="preserve">emie.p </t>
  </si>
  <si>
    <t xml:space="preserve">emif.rsd </t>
  </si>
  <si>
    <t>gldst</t>
  </si>
  <si>
    <t xml:space="preserve">emja.p </t>
  </si>
  <si>
    <t>Gold Saucer: Entrance</t>
  </si>
  <si>
    <t xml:space="preserve">emjb.rsd </t>
  </si>
  <si>
    <t xml:space="preserve">emjc.p </t>
  </si>
  <si>
    <t xml:space="preserve">dfam </t>
  </si>
  <si>
    <t xml:space="preserve">emjd.a </t>
  </si>
  <si>
    <t xml:space="preserve">emje.a </t>
  </si>
  <si>
    <t xml:space="preserve">emjf.a </t>
  </si>
  <si>
    <t>gninn</t>
  </si>
  <si>
    <t xml:space="preserve">enaa.a </t>
  </si>
  <si>
    <t>Gongaga Village: Inn</t>
  </si>
  <si>
    <t xml:space="preserve">enab.hrc </t>
  </si>
  <si>
    <t>cloud13_sk</t>
  </si>
  <si>
    <t xml:space="preserve">enac.rsd </t>
  </si>
  <si>
    <t xml:space="preserve">enad.p </t>
  </si>
  <si>
    <t xml:space="preserve">enae.rsd </t>
  </si>
  <si>
    <t>gnmk</t>
  </si>
  <si>
    <t xml:space="preserve">enaf.p </t>
  </si>
  <si>
    <t xml:space="preserve">dfan </t>
  </si>
  <si>
    <t>Gongaga Village: Meltdown Reactor</t>
  </si>
  <si>
    <t xml:space="preserve">enba.rsd </t>
  </si>
  <si>
    <t xml:space="preserve">enbb.p </t>
  </si>
  <si>
    <t xml:space="preserve">enbc.tex </t>
  </si>
  <si>
    <t xml:space="preserve">enbd.tex </t>
  </si>
  <si>
    <t>gnmkf</t>
  </si>
  <si>
    <t xml:space="preserve">enbe.tex </t>
  </si>
  <si>
    <t>Gongaga Village: Jungle</t>
  </si>
  <si>
    <t xml:space="preserve">enbf.rsd </t>
  </si>
  <si>
    <t xml:space="preserve">enca.p </t>
  </si>
  <si>
    <t xml:space="preserve">encb.rsd </t>
  </si>
  <si>
    <t xml:space="preserve">dfao </t>
  </si>
  <si>
    <t xml:space="preserve">encc.p </t>
  </si>
  <si>
    <t xml:space="preserve">encd.rsd </t>
  </si>
  <si>
    <t>gomin</t>
  </si>
  <si>
    <t>Gongaga Village: Zack's Home</t>
  </si>
  <si>
    <t xml:space="preserve">ence.p </t>
  </si>
  <si>
    <t xml:space="preserve">encf.rsd </t>
  </si>
  <si>
    <t xml:space="preserve">enda.p </t>
  </si>
  <si>
    <t xml:space="preserve">endb.rsd </t>
  </si>
  <si>
    <t xml:space="preserve">endc.p </t>
  </si>
  <si>
    <t xml:space="preserve">endd.rsd </t>
  </si>
  <si>
    <t>gon_i</t>
  </si>
  <si>
    <t>Gongaga Village: Item Store</t>
  </si>
  <si>
    <t xml:space="preserve">ende.p </t>
  </si>
  <si>
    <t xml:space="preserve">dfap </t>
  </si>
  <si>
    <t>6.6 K</t>
  </si>
  <si>
    <t xml:space="preserve">endf.rsd </t>
  </si>
  <si>
    <t xml:space="preserve">enea.p </t>
  </si>
  <si>
    <t xml:space="preserve">eneb.rsd </t>
  </si>
  <si>
    <t xml:space="preserve">enec.p </t>
  </si>
  <si>
    <t xml:space="preserve">ened.rsd </t>
  </si>
  <si>
    <t xml:space="preserve">enee.p </t>
  </si>
  <si>
    <t xml:space="preserve">enef.rsd </t>
  </si>
  <si>
    <t xml:space="preserve">enfa.p </t>
  </si>
  <si>
    <t xml:space="preserve">enfb.rsd </t>
  </si>
  <si>
    <t>gon_wa1</t>
  </si>
  <si>
    <t xml:space="preserve">dfaq </t>
  </si>
  <si>
    <t xml:space="preserve">enfc.p </t>
  </si>
  <si>
    <t>Gongaga Village: Weapons Store 1f</t>
  </si>
  <si>
    <t xml:space="preserve">enfd.rsd </t>
  </si>
  <si>
    <t xml:space="preserve">enfe.p </t>
  </si>
  <si>
    <t xml:space="preserve">enff.a </t>
  </si>
  <si>
    <t xml:space="preserve">enga.a </t>
  </si>
  <si>
    <t xml:space="preserve">engb.a </t>
  </si>
  <si>
    <t>gon_wa2</t>
  </si>
  <si>
    <t xml:space="preserve">engc.a </t>
  </si>
  <si>
    <t>Gongaga Village: Weapons Store 2f</t>
  </si>
  <si>
    <t xml:space="preserve">engd.a </t>
  </si>
  <si>
    <t xml:space="preserve">enge.a </t>
  </si>
  <si>
    <t xml:space="preserve">engf.a </t>
  </si>
  <si>
    <t xml:space="preserve">dfas </t>
  </si>
  <si>
    <t xml:space="preserve">enha.a </t>
  </si>
  <si>
    <t xml:space="preserve">enhb.a </t>
  </si>
  <si>
    <t xml:space="preserve">enhc.a </t>
  </si>
  <si>
    <t xml:space="preserve">enhd.a </t>
  </si>
  <si>
    <t>gongaga</t>
  </si>
  <si>
    <t xml:space="preserve">enhe.a </t>
  </si>
  <si>
    <t>Gongaga Village</t>
  </si>
  <si>
    <t xml:space="preserve">enhf.a </t>
  </si>
  <si>
    <t xml:space="preserve">enia.a </t>
  </si>
  <si>
    <t xml:space="preserve">enib.a </t>
  </si>
  <si>
    <t xml:space="preserve">enic.a </t>
  </si>
  <si>
    <t xml:space="preserve">enid.a </t>
  </si>
  <si>
    <t xml:space="preserve">enie.a </t>
  </si>
  <si>
    <t xml:space="preserve">dfat </t>
  </si>
  <si>
    <t xml:space="preserve">enif.a </t>
  </si>
  <si>
    <t>gonjun1</t>
  </si>
  <si>
    <t xml:space="preserve">enja.a </t>
  </si>
  <si>
    <t xml:space="preserve">enjb.a </t>
  </si>
  <si>
    <t xml:space="preserve">enjc.a </t>
  </si>
  <si>
    <t>gonjun2</t>
  </si>
  <si>
    <t xml:space="preserve">enjd.a </t>
  </si>
  <si>
    <t xml:space="preserve">enje.a </t>
  </si>
  <si>
    <t xml:space="preserve">enjf.a </t>
  </si>
  <si>
    <t xml:space="preserve">eoaa.a </t>
  </si>
  <si>
    <t xml:space="preserve">eoab.a </t>
  </si>
  <si>
    <t xml:space="preserve">eoac.hrc </t>
  </si>
  <si>
    <t>key_sk</t>
  </si>
  <si>
    <t xml:space="preserve">eoad.rsd </t>
  </si>
  <si>
    <t xml:space="preserve">dfau </t>
  </si>
  <si>
    <t>goson</t>
  </si>
  <si>
    <t xml:space="preserve">eoae.p </t>
  </si>
  <si>
    <t>Gongaga Village: Mayor's Home</t>
  </si>
  <si>
    <t xml:space="preserve">eoaf.a </t>
  </si>
  <si>
    <t xml:space="preserve">eoba.a </t>
  </si>
  <si>
    <t xml:space="preserve">eobb.a </t>
  </si>
  <si>
    <t xml:space="preserve">eobc.a </t>
  </si>
  <si>
    <t xml:space="preserve">eobd.a </t>
  </si>
  <si>
    <t xml:space="preserve">eobe.a </t>
  </si>
  <si>
    <t>hand.tex</t>
  </si>
  <si>
    <t>Overhead hand and field exit triangles</t>
  </si>
  <si>
    <t xml:space="preserve">eobf.a </t>
  </si>
  <si>
    <t xml:space="preserve">eoca.a </t>
  </si>
  <si>
    <t xml:space="preserve">eocb.a </t>
  </si>
  <si>
    <t xml:space="preserve">dfav </t>
  </si>
  <si>
    <t xml:space="preserve">eocc.a </t>
  </si>
  <si>
    <t xml:space="preserve">eocd.a </t>
  </si>
  <si>
    <t xml:space="preserve">eoce.hrc </t>
  </si>
  <si>
    <t>kanhuta_sk</t>
  </si>
  <si>
    <t>hand_1.tex</t>
  </si>
  <si>
    <t xml:space="preserve">eocf.rsd </t>
  </si>
  <si>
    <t xml:space="preserve">eoda.p </t>
  </si>
  <si>
    <t xml:space="preserve">eodb.tex </t>
  </si>
  <si>
    <t xml:space="preserve">eodc.a </t>
  </si>
  <si>
    <t xml:space="preserve">eodd.a </t>
  </si>
  <si>
    <t xml:space="preserve">eode.a </t>
  </si>
  <si>
    <t xml:space="preserve">eodf.a </t>
  </si>
  <si>
    <t xml:space="preserve">eoea.hrc </t>
  </si>
  <si>
    <t>readc_sk</t>
  </si>
  <si>
    <t xml:space="preserve">dfax </t>
  </si>
  <si>
    <t>hekiga</t>
  </si>
  <si>
    <t xml:space="preserve">eoeb.rsd </t>
  </si>
  <si>
    <t>Forgotten City</t>
  </si>
  <si>
    <t xml:space="preserve">eoec.p </t>
  </si>
  <si>
    <t xml:space="preserve">eoed.rsd </t>
  </si>
  <si>
    <t xml:space="preserve">eoee.p </t>
  </si>
  <si>
    <t xml:space="preserve">eoef.rsd </t>
  </si>
  <si>
    <t xml:space="preserve">eofa.p </t>
  </si>
  <si>
    <t>hideway1</t>
  </si>
  <si>
    <t>Hidden Passage</t>
  </si>
  <si>
    <t xml:space="preserve">eofb.tex </t>
  </si>
  <si>
    <t xml:space="preserve">eofc.tex </t>
  </si>
  <si>
    <t xml:space="preserve">dfay </t>
  </si>
  <si>
    <t xml:space="preserve">eofd.tex </t>
  </si>
  <si>
    <t xml:space="preserve">eofe.rsd </t>
  </si>
  <si>
    <t>hideway2</t>
  </si>
  <si>
    <t xml:space="preserve">eoff.p </t>
  </si>
  <si>
    <t xml:space="preserve">eoga.rsd </t>
  </si>
  <si>
    <t xml:space="preserve">eogb.p </t>
  </si>
  <si>
    <t xml:space="preserve">eogc.rsd </t>
  </si>
  <si>
    <t xml:space="preserve">eogd.p </t>
  </si>
  <si>
    <t>hideway3</t>
  </si>
  <si>
    <t xml:space="preserve">eoge.rsd </t>
  </si>
  <si>
    <t xml:space="preserve">dfaz </t>
  </si>
  <si>
    <t xml:space="preserve">eogf.p </t>
  </si>
  <si>
    <t xml:space="preserve">eoha.rsd </t>
  </si>
  <si>
    <t xml:space="preserve">eohb.p </t>
  </si>
  <si>
    <t xml:space="preserve">eohc.rsd </t>
  </si>
  <si>
    <t xml:space="preserve">eohd.p </t>
  </si>
  <si>
    <t>hill</t>
  </si>
  <si>
    <t>Hill with tifa and cloud alone before crater</t>
  </si>
  <si>
    <t xml:space="preserve">eohe.rsd </t>
  </si>
  <si>
    <t xml:space="preserve">eohf.p </t>
  </si>
  <si>
    <t xml:space="preserve">eoia.rsd </t>
  </si>
  <si>
    <t xml:space="preserve">eoib.p </t>
  </si>
  <si>
    <t xml:space="preserve">dfba </t>
  </si>
  <si>
    <t xml:space="preserve">eoic.rsd </t>
  </si>
  <si>
    <t>hill2</t>
  </si>
  <si>
    <t xml:space="preserve">eoid.p </t>
  </si>
  <si>
    <t xml:space="preserve">eoie.rsd </t>
  </si>
  <si>
    <t xml:space="preserve">eoif.p </t>
  </si>
  <si>
    <t xml:space="preserve">eoja.rsd </t>
  </si>
  <si>
    <t xml:space="preserve">eojb.p </t>
  </si>
  <si>
    <t xml:space="preserve">eojc.rsd </t>
  </si>
  <si>
    <t>holu_1</t>
  </si>
  <si>
    <t xml:space="preserve">eojd.p </t>
  </si>
  <si>
    <t xml:space="preserve">eoje.rsd </t>
  </si>
  <si>
    <t xml:space="preserve">dfbc </t>
  </si>
  <si>
    <t xml:space="preserve">eojf.p </t>
  </si>
  <si>
    <t xml:space="preserve">epaa.a </t>
  </si>
  <si>
    <t xml:space="preserve">epab.a </t>
  </si>
  <si>
    <t xml:space="preserve">epac.a </t>
  </si>
  <si>
    <t>holu_2</t>
  </si>
  <si>
    <t xml:space="preserve">epad.a </t>
  </si>
  <si>
    <t xml:space="preserve">epae.a </t>
  </si>
  <si>
    <t xml:space="preserve">epaf.a </t>
  </si>
  <si>
    <t xml:space="preserve">epba.a </t>
  </si>
  <si>
    <t xml:space="preserve">epbb.a </t>
  </si>
  <si>
    <t xml:space="preserve">epbc.a </t>
  </si>
  <si>
    <t xml:space="preserve">dfbd </t>
  </si>
  <si>
    <t xml:space="preserve">epbd.a </t>
  </si>
  <si>
    <t>hyou1</t>
  </si>
  <si>
    <t xml:space="preserve">epbe.a </t>
  </si>
  <si>
    <t>Great Glacier</t>
  </si>
  <si>
    <t xml:space="preserve">epbf.a </t>
  </si>
  <si>
    <t>"ice gate"</t>
  </si>
  <si>
    <t xml:space="preserve">epca.a </t>
  </si>
  <si>
    <t xml:space="preserve">epcb.a </t>
  </si>
  <si>
    <t xml:space="preserve">epcc.a </t>
  </si>
  <si>
    <t xml:space="preserve">epcd.a </t>
  </si>
  <si>
    <t xml:space="preserve">epce.a </t>
  </si>
  <si>
    <t xml:space="preserve">epcf.a </t>
  </si>
  <si>
    <t xml:space="preserve">epda.a </t>
  </si>
  <si>
    <t>hyou2</t>
  </si>
  <si>
    <t xml:space="preserve">epdb.a </t>
  </si>
  <si>
    <t xml:space="preserve">dfbe </t>
  </si>
  <si>
    <t xml:space="preserve">epdc.a </t>
  </si>
  <si>
    <t xml:space="preserve">epdd.a </t>
  </si>
  <si>
    <t xml:space="preserve">epde.a </t>
  </si>
  <si>
    <t xml:space="preserve">epdf.a </t>
  </si>
  <si>
    <t xml:space="preserve">epea.a </t>
  </si>
  <si>
    <t xml:space="preserve">epeb.a </t>
  </si>
  <si>
    <t xml:space="preserve">epec.a </t>
  </si>
  <si>
    <t xml:space="preserve">eped.a </t>
  </si>
  <si>
    <t xml:space="preserve">epee.a </t>
  </si>
  <si>
    <t xml:space="preserve">epef.a </t>
  </si>
  <si>
    <t xml:space="preserve">epfa.a </t>
  </si>
  <si>
    <t xml:space="preserve">dfbf </t>
  </si>
  <si>
    <t>hyou3</t>
  </si>
  <si>
    <t xml:space="preserve">epfb.hrc </t>
  </si>
  <si>
    <t>nibl_sk</t>
  </si>
  <si>
    <t xml:space="preserve">epfc.rsd </t>
  </si>
  <si>
    <t xml:space="preserve">epfd.p </t>
  </si>
  <si>
    <t xml:space="preserve">epfe.rsd </t>
  </si>
  <si>
    <t xml:space="preserve">epff.p </t>
  </si>
  <si>
    <t xml:space="preserve">epga.rsd </t>
  </si>
  <si>
    <t xml:space="preserve">epgb.p </t>
  </si>
  <si>
    <t xml:space="preserve">epgc.rsd </t>
  </si>
  <si>
    <t>hyou4</t>
  </si>
  <si>
    <t xml:space="preserve">epgd.p </t>
  </si>
  <si>
    <t xml:space="preserve">epge.rsd </t>
  </si>
  <si>
    <t xml:space="preserve">epgf.p </t>
  </si>
  <si>
    <t xml:space="preserve">epha.rsd </t>
  </si>
  <si>
    <t xml:space="preserve">dfda </t>
  </si>
  <si>
    <t xml:space="preserve">ephb.p </t>
  </si>
  <si>
    <t xml:space="preserve">ephc.rsd </t>
  </si>
  <si>
    <t xml:space="preserve">ephd.p </t>
  </si>
  <si>
    <t xml:space="preserve">dgaa </t>
  </si>
  <si>
    <t xml:space="preserve">ephe.rsd </t>
  </si>
  <si>
    <t xml:space="preserve">ephf.p </t>
  </si>
  <si>
    <t>Ark Dragon: Battle Skeleton</t>
  </si>
  <si>
    <t xml:space="preserve">epia.rsd </t>
  </si>
  <si>
    <t>hyou5_1</t>
  </si>
  <si>
    <t>Great Glacier: Lake</t>
  </si>
  <si>
    <t xml:space="preserve">epib.p </t>
  </si>
  <si>
    <t xml:space="preserve">epic.rsd </t>
  </si>
  <si>
    <t xml:space="preserve">epid.p </t>
  </si>
  <si>
    <t xml:space="preserve">epie.rsd </t>
  </si>
  <si>
    <t xml:space="preserve">epif.p </t>
  </si>
  <si>
    <t xml:space="preserve">epja.rsd </t>
  </si>
  <si>
    <t xml:space="preserve">epjb.p </t>
  </si>
  <si>
    <t xml:space="preserve">epjc.rsd </t>
  </si>
  <si>
    <t xml:space="preserve">epjd.p </t>
  </si>
  <si>
    <t xml:space="preserve">epje.rsd </t>
  </si>
  <si>
    <t xml:space="preserve">dgab </t>
  </si>
  <si>
    <t>hyou5_2</t>
  </si>
  <si>
    <t xml:space="preserve">epjf.p </t>
  </si>
  <si>
    <t>Ark Dragon: Unidentified Part</t>
  </si>
  <si>
    <t>Great glacier ice blocks puzzle</t>
  </si>
  <si>
    <t xml:space="preserve">eqaa.rsd </t>
  </si>
  <si>
    <t xml:space="preserve">eqab.p </t>
  </si>
  <si>
    <t xml:space="preserve">eqac.rsd </t>
  </si>
  <si>
    <t xml:space="preserve">dgam </t>
  </si>
  <si>
    <t xml:space="preserve">eqad.p </t>
  </si>
  <si>
    <t xml:space="preserve">eqae.rsd </t>
  </si>
  <si>
    <t xml:space="preserve">eqaf.p </t>
  </si>
  <si>
    <t xml:space="preserve">eqba.rsd </t>
  </si>
  <si>
    <t xml:space="preserve">eqbb.p </t>
  </si>
  <si>
    <t xml:space="preserve">eqbc.rsd </t>
  </si>
  <si>
    <t xml:space="preserve">eqbd.p </t>
  </si>
  <si>
    <t xml:space="preserve">eqbe.rsd </t>
  </si>
  <si>
    <t xml:space="preserve">eqbf.p </t>
  </si>
  <si>
    <t>hyou5_3</t>
  </si>
  <si>
    <t xml:space="preserve">eqca.rsd </t>
  </si>
  <si>
    <t>Cave</t>
  </si>
  <si>
    <t xml:space="preserve">eqcb.p </t>
  </si>
  <si>
    <t xml:space="preserve">eqcc.rsd </t>
  </si>
  <si>
    <t xml:space="preserve">eqcd.p </t>
  </si>
  <si>
    <t xml:space="preserve">dgan </t>
  </si>
  <si>
    <t xml:space="preserve">eqce.rsd </t>
  </si>
  <si>
    <t xml:space="preserve">eqcf.p </t>
  </si>
  <si>
    <t xml:space="preserve">eqda.a </t>
  </si>
  <si>
    <t xml:space="preserve">eqdb.a </t>
  </si>
  <si>
    <t xml:space="preserve">eqdc.a </t>
  </si>
  <si>
    <t>hyou5_4</t>
  </si>
  <si>
    <t xml:space="preserve">eqdd.a </t>
  </si>
  <si>
    <t xml:space="preserve">eqde.a </t>
  </si>
  <si>
    <t xml:space="preserve">eqdf.a </t>
  </si>
  <si>
    <t xml:space="preserve">eqea.a </t>
  </si>
  <si>
    <t xml:space="preserve">eqeb.a </t>
  </si>
  <si>
    <t xml:space="preserve">eqec.a </t>
  </si>
  <si>
    <t xml:space="preserve">dgao </t>
  </si>
  <si>
    <t xml:space="preserve">eqed.a </t>
  </si>
  <si>
    <t>hyou6</t>
  </si>
  <si>
    <t xml:space="preserve">eqee.a </t>
  </si>
  <si>
    <t xml:space="preserve">eqef.a </t>
  </si>
  <si>
    <t xml:space="preserve">eqfa.a </t>
  </si>
  <si>
    <t xml:space="preserve">eqfb.a </t>
  </si>
  <si>
    <t xml:space="preserve">eqfc.a </t>
  </si>
  <si>
    <t xml:space="preserve">eqfd.a </t>
  </si>
  <si>
    <t xml:space="preserve">eqfe.a </t>
  </si>
  <si>
    <t xml:space="preserve">eqff.a </t>
  </si>
  <si>
    <t xml:space="preserve">eqga.a </t>
  </si>
  <si>
    <t xml:space="preserve">eqgb.a </t>
  </si>
  <si>
    <t xml:space="preserve">dgap </t>
  </si>
  <si>
    <t>hyou7</t>
  </si>
  <si>
    <t xml:space="preserve">eqgc.a </t>
  </si>
  <si>
    <t>7.8 K</t>
  </si>
  <si>
    <t xml:space="preserve">eqgd.a </t>
  </si>
  <si>
    <t xml:space="preserve">eqge.a </t>
  </si>
  <si>
    <t xml:space="preserve">eqgf.a </t>
  </si>
  <si>
    <t xml:space="preserve">eqha.a </t>
  </si>
  <si>
    <t xml:space="preserve">eqhb.a </t>
  </si>
  <si>
    <t xml:space="preserve">eqhc.a </t>
  </si>
  <si>
    <t xml:space="preserve">eqhd.a </t>
  </si>
  <si>
    <t xml:space="preserve">eqhe.a </t>
  </si>
  <si>
    <t>hyou8_1</t>
  </si>
  <si>
    <t xml:space="preserve">dgar </t>
  </si>
  <si>
    <t xml:space="preserve">eqhf.a </t>
  </si>
  <si>
    <t xml:space="preserve">eqia.a </t>
  </si>
  <si>
    <t xml:space="preserve">eqib.hrc </t>
  </si>
  <si>
    <t>tifas_sk</t>
  </si>
  <si>
    <t xml:space="preserve">eqic.rsd </t>
  </si>
  <si>
    <t xml:space="preserve">eqid.p </t>
  </si>
  <si>
    <t xml:space="preserve">eqie.rsd </t>
  </si>
  <si>
    <t>hyou8_2</t>
  </si>
  <si>
    <t xml:space="preserve">dgat </t>
  </si>
  <si>
    <t xml:space="preserve">eqif.p </t>
  </si>
  <si>
    <t xml:space="preserve">eqja.rsd </t>
  </si>
  <si>
    <t xml:space="preserve">eqjb.p </t>
  </si>
  <si>
    <t xml:space="preserve">eqjc.tex </t>
  </si>
  <si>
    <t xml:space="preserve">eqjd.tex </t>
  </si>
  <si>
    <t xml:space="preserve">dgau </t>
  </si>
  <si>
    <t>hyou9</t>
  </si>
  <si>
    <t xml:space="preserve">eqje.tex </t>
  </si>
  <si>
    <t xml:space="preserve">eqjf.rsd </t>
  </si>
  <si>
    <t xml:space="preserve">eraa.p </t>
  </si>
  <si>
    <t xml:space="preserve">erab.rsd </t>
  </si>
  <si>
    <t xml:space="preserve">erac.p </t>
  </si>
  <si>
    <t xml:space="preserve">dgav </t>
  </si>
  <si>
    <t xml:space="preserve">erad.rsd </t>
  </si>
  <si>
    <t>hyou10</t>
  </si>
  <si>
    <t xml:space="preserve">erae.p </t>
  </si>
  <si>
    <t xml:space="preserve">eraf.rsd </t>
  </si>
  <si>
    <t xml:space="preserve">erba.p </t>
  </si>
  <si>
    <t xml:space="preserve">erbb.rsd </t>
  </si>
  <si>
    <t>hyou11</t>
  </si>
  <si>
    <t xml:space="preserve">erbc.p </t>
  </si>
  <si>
    <t xml:space="preserve">dgax </t>
  </si>
  <si>
    <t xml:space="preserve">erbd.rsd </t>
  </si>
  <si>
    <t xml:space="preserve">erbe.p </t>
  </si>
  <si>
    <t xml:space="preserve">erbf.rsd </t>
  </si>
  <si>
    <t>hyou12</t>
  </si>
  <si>
    <t xml:space="preserve">erca.p </t>
  </si>
  <si>
    <t xml:space="preserve">dgay </t>
  </si>
  <si>
    <t xml:space="preserve">ercb.rsd </t>
  </si>
  <si>
    <t xml:space="preserve">ercc.p </t>
  </si>
  <si>
    <t xml:space="preserve">ercd.rsd </t>
  </si>
  <si>
    <t xml:space="preserve">erce.p </t>
  </si>
  <si>
    <t xml:space="preserve">ercf.rsd </t>
  </si>
  <si>
    <t xml:space="preserve">erda.p </t>
  </si>
  <si>
    <t xml:space="preserve">erdb.rsd </t>
  </si>
  <si>
    <t>hyou13_1</t>
  </si>
  <si>
    <t xml:space="preserve">erdc.p </t>
  </si>
  <si>
    <t xml:space="preserve">dgaz </t>
  </si>
  <si>
    <t xml:space="preserve">erdd.rsd </t>
  </si>
  <si>
    <t xml:space="preserve">erde.p </t>
  </si>
  <si>
    <t xml:space="preserve">erdf.rsd </t>
  </si>
  <si>
    <t xml:space="preserve">erea.p </t>
  </si>
  <si>
    <t>hyou13_2</t>
  </si>
  <si>
    <t xml:space="preserve">ereb.rsd </t>
  </si>
  <si>
    <t xml:space="preserve">erec.p </t>
  </si>
  <si>
    <t xml:space="preserve">ered.a </t>
  </si>
  <si>
    <t xml:space="preserve">dgbb </t>
  </si>
  <si>
    <t xml:space="preserve">eree.a </t>
  </si>
  <si>
    <t xml:space="preserve">eref.a </t>
  </si>
  <si>
    <t xml:space="preserve">erfa.a </t>
  </si>
  <si>
    <t xml:space="preserve">erfb.a </t>
  </si>
  <si>
    <t>hyoumap</t>
  </si>
  <si>
    <t>Great glacier map</t>
  </si>
  <si>
    <t xml:space="preserve">erfc.a </t>
  </si>
  <si>
    <t xml:space="preserve">erfd.a </t>
  </si>
  <si>
    <t xml:space="preserve">erfe.a </t>
  </si>
  <si>
    <t xml:space="preserve">dgbd </t>
  </si>
  <si>
    <t xml:space="preserve">erff.a </t>
  </si>
  <si>
    <t xml:space="preserve">erga.a </t>
  </si>
  <si>
    <t xml:space="preserve">ergb.a </t>
  </si>
  <si>
    <t xml:space="preserve">ergc.a </t>
  </si>
  <si>
    <t xml:space="preserve">ergd.a </t>
  </si>
  <si>
    <t>icedun_1</t>
  </si>
  <si>
    <t xml:space="preserve">erge.a </t>
  </si>
  <si>
    <t>Frostbite Cave</t>
  </si>
  <si>
    <t xml:space="preserve">ergf.a </t>
  </si>
  <si>
    <t xml:space="preserve">erha.hrc </t>
  </si>
  <si>
    <t xml:space="preserve">dgbf </t>
  </si>
  <si>
    <t xml:space="preserve">erhb.rsd </t>
  </si>
  <si>
    <t xml:space="preserve">erhc.p </t>
  </si>
  <si>
    <t xml:space="preserve">erhd.rsd </t>
  </si>
  <si>
    <t>icedun_2</t>
  </si>
  <si>
    <t xml:space="preserve">erhe.p </t>
  </si>
  <si>
    <t xml:space="preserve">erhf.rsd </t>
  </si>
  <si>
    <t xml:space="preserve">eria.p </t>
  </si>
  <si>
    <t xml:space="preserve">dgbh </t>
  </si>
  <si>
    <t xml:space="preserve">erib.tex </t>
  </si>
  <si>
    <t xml:space="preserve">eric.tex </t>
  </si>
  <si>
    <t xml:space="preserve">erid.tex </t>
  </si>
  <si>
    <t>ithill</t>
  </si>
  <si>
    <t>Mideel 2: Entrance</t>
  </si>
  <si>
    <t xml:space="preserve">erie.rsd </t>
  </si>
  <si>
    <t xml:space="preserve">erif.p </t>
  </si>
  <si>
    <t xml:space="preserve">dgbj </t>
  </si>
  <si>
    <t xml:space="preserve">erja.rsd </t>
  </si>
  <si>
    <t xml:space="preserve">erjb.p </t>
  </si>
  <si>
    <t xml:space="preserve">erjc.rsd </t>
  </si>
  <si>
    <t>ithos</t>
  </si>
  <si>
    <t xml:space="preserve">erjd.p </t>
  </si>
  <si>
    <t>Mideel: Clinic</t>
  </si>
  <si>
    <t xml:space="preserve">erje.rsd </t>
  </si>
  <si>
    <t xml:space="preserve">erjf.p </t>
  </si>
  <si>
    <t xml:space="preserve">dgbk </t>
  </si>
  <si>
    <t xml:space="preserve">esaa.rsd </t>
  </si>
  <si>
    <t xml:space="preserve">esab.p </t>
  </si>
  <si>
    <t xml:space="preserve">esac.rsd </t>
  </si>
  <si>
    <t xml:space="preserve">esad.p </t>
  </si>
  <si>
    <t>itmin1</t>
  </si>
  <si>
    <t xml:space="preserve">esae.rsd </t>
  </si>
  <si>
    <t>Mideel: House1</t>
  </si>
  <si>
    <t xml:space="preserve">dgbl </t>
  </si>
  <si>
    <t xml:space="preserve">esaf.p </t>
  </si>
  <si>
    <t xml:space="preserve">esba.rsd </t>
  </si>
  <si>
    <t xml:space="preserve">esbb.p </t>
  </si>
  <si>
    <t xml:space="preserve">esbc.rsd </t>
  </si>
  <si>
    <t xml:space="preserve">esbd.p </t>
  </si>
  <si>
    <t>itmin2</t>
  </si>
  <si>
    <t>Mideel: House2</t>
  </si>
  <si>
    <t xml:space="preserve">esbe.rsd </t>
  </si>
  <si>
    <t xml:space="preserve">dgbn </t>
  </si>
  <si>
    <t xml:space="preserve">esbf.p </t>
  </si>
  <si>
    <t xml:space="preserve">esca.rsd </t>
  </si>
  <si>
    <t xml:space="preserve">escb.p </t>
  </si>
  <si>
    <t xml:space="preserve">escc.rsd </t>
  </si>
  <si>
    <t>itown_i</t>
  </si>
  <si>
    <t xml:space="preserve">escd.p </t>
  </si>
  <si>
    <t>Mideel: Item Store</t>
  </si>
  <si>
    <t xml:space="preserve">dgbo </t>
  </si>
  <si>
    <t xml:space="preserve">esce.rsd </t>
  </si>
  <si>
    <t xml:space="preserve">escf.p </t>
  </si>
  <si>
    <t xml:space="preserve">esda.rsd </t>
  </si>
  <si>
    <t xml:space="preserve">esdb.p </t>
  </si>
  <si>
    <t xml:space="preserve">esdc.a </t>
  </si>
  <si>
    <t xml:space="preserve">esdd.a </t>
  </si>
  <si>
    <t xml:space="preserve">esde.a </t>
  </si>
  <si>
    <t>itown_m</t>
  </si>
  <si>
    <t xml:space="preserve">esdf.a </t>
  </si>
  <si>
    <t>Mideel: Materia Store</t>
  </si>
  <si>
    <t xml:space="preserve">esea.a </t>
  </si>
  <si>
    <t xml:space="preserve">eseb.hrc </t>
  </si>
  <si>
    <t>hei2_sk</t>
  </si>
  <si>
    <t xml:space="preserve">dgbp </t>
  </si>
  <si>
    <t xml:space="preserve">esec.rsd </t>
  </si>
  <si>
    <t xml:space="preserve">esed.p </t>
  </si>
  <si>
    <t xml:space="preserve">esee.rsd </t>
  </si>
  <si>
    <t xml:space="preserve">esef.p </t>
  </si>
  <si>
    <t xml:space="preserve">esfa.rsd </t>
  </si>
  <si>
    <t xml:space="preserve">esfb.p </t>
  </si>
  <si>
    <t xml:space="preserve">esfc.rsd </t>
  </si>
  <si>
    <t xml:space="preserve">esfd.p </t>
  </si>
  <si>
    <t xml:space="preserve">esfe.rsd </t>
  </si>
  <si>
    <t>itown_w</t>
  </si>
  <si>
    <t xml:space="preserve">esff.p </t>
  </si>
  <si>
    <t>Mideel: Weapon Store</t>
  </si>
  <si>
    <t xml:space="preserve">esga.rsd </t>
  </si>
  <si>
    <t xml:space="preserve">esgb.p </t>
  </si>
  <si>
    <t xml:space="preserve">dgbq </t>
  </si>
  <si>
    <t xml:space="preserve">esgc.rsd </t>
  </si>
  <si>
    <t xml:space="preserve">esgd.p </t>
  </si>
  <si>
    <t xml:space="preserve">esge.rsd </t>
  </si>
  <si>
    <t xml:space="preserve">esgf.p </t>
  </si>
  <si>
    <t xml:space="preserve">esha.rsd </t>
  </si>
  <si>
    <t xml:space="preserve">eshb.p </t>
  </si>
  <si>
    <t xml:space="preserve">eshc.rsd </t>
  </si>
  <si>
    <t xml:space="preserve">eshd.p </t>
  </si>
  <si>
    <t xml:space="preserve">eshe.rsd </t>
  </si>
  <si>
    <t>itown12</t>
  </si>
  <si>
    <t xml:space="preserve">eshf.p </t>
  </si>
  <si>
    <t>Mideel</t>
  </si>
  <si>
    <t xml:space="preserve">esia.rsd </t>
  </si>
  <si>
    <t xml:space="preserve">esib.p </t>
  </si>
  <si>
    <t xml:space="preserve">dgbr </t>
  </si>
  <si>
    <t xml:space="preserve">esic.rsd </t>
  </si>
  <si>
    <t xml:space="preserve">esid.p </t>
  </si>
  <si>
    <t xml:space="preserve">esie.rsd </t>
  </si>
  <si>
    <t xml:space="preserve">esif.p </t>
  </si>
  <si>
    <t xml:space="preserve">esja.rsd </t>
  </si>
  <si>
    <t xml:space="preserve">esjb.p </t>
  </si>
  <si>
    <t>itown1a</t>
  </si>
  <si>
    <t xml:space="preserve">esjc.a </t>
  </si>
  <si>
    <t xml:space="preserve">esjd.a </t>
  </si>
  <si>
    <t xml:space="preserve">esje.a </t>
  </si>
  <si>
    <t xml:space="preserve">dgbs </t>
  </si>
  <si>
    <t xml:space="preserve">esjf.a </t>
  </si>
  <si>
    <t xml:space="preserve">etaa.a </t>
  </si>
  <si>
    <t xml:space="preserve">etab.a </t>
  </si>
  <si>
    <t xml:space="preserve">etac.a </t>
  </si>
  <si>
    <t xml:space="preserve">etad.a </t>
  </si>
  <si>
    <t>itown1b</t>
  </si>
  <si>
    <t>Mideel 2</t>
  </si>
  <si>
    <t xml:space="preserve">etae.a </t>
  </si>
  <si>
    <t xml:space="preserve">etaf.a </t>
  </si>
  <si>
    <t xml:space="preserve">etba.a </t>
  </si>
  <si>
    <t xml:space="preserve">dgbt </t>
  </si>
  <si>
    <t xml:space="preserve">etbb.a </t>
  </si>
  <si>
    <t xml:space="preserve">etbc.a </t>
  </si>
  <si>
    <t xml:space="preserve">etbd.a </t>
  </si>
  <si>
    <t xml:space="preserve">etbe.a </t>
  </si>
  <si>
    <t xml:space="preserve">etbf.a </t>
  </si>
  <si>
    <t>itown2</t>
  </si>
  <si>
    <t xml:space="preserve">etca.a </t>
  </si>
  <si>
    <t xml:space="preserve">etcb.a </t>
  </si>
  <si>
    <t xml:space="preserve">etcc.a </t>
  </si>
  <si>
    <t xml:space="preserve">dgda </t>
  </si>
  <si>
    <t xml:space="preserve">etcd.a </t>
  </si>
  <si>
    <t xml:space="preserve">etce.a </t>
  </si>
  <si>
    <t xml:space="preserve">etcf.a </t>
  </si>
  <si>
    <t xml:space="preserve">dhaa </t>
  </si>
  <si>
    <t xml:space="preserve">etda.a </t>
  </si>
  <si>
    <t>Castanets: Battle Skeleton</t>
  </si>
  <si>
    <t>jail1</t>
  </si>
  <si>
    <t xml:space="preserve">etdb.a </t>
  </si>
  <si>
    <t>Corel Prison</t>
  </si>
  <si>
    <t xml:space="preserve">etdc.a </t>
  </si>
  <si>
    <t xml:space="preserve">etdd.a </t>
  </si>
  <si>
    <t xml:space="preserve">etde.a </t>
  </si>
  <si>
    <t xml:space="preserve">etdf.a </t>
  </si>
  <si>
    <t xml:space="preserve">etea.a </t>
  </si>
  <si>
    <t>Ceasar clone 1 (bnaa)</t>
  </si>
  <si>
    <t xml:space="preserve">eteb.a </t>
  </si>
  <si>
    <t xml:space="preserve">dhab </t>
  </si>
  <si>
    <t>jail2</t>
  </si>
  <si>
    <t xml:space="preserve">etec.a </t>
  </si>
  <si>
    <t>Castanets: Unidentified Part</t>
  </si>
  <si>
    <t xml:space="preserve">eted.a </t>
  </si>
  <si>
    <t xml:space="preserve">etee.a </t>
  </si>
  <si>
    <t xml:space="preserve">dham </t>
  </si>
  <si>
    <t xml:space="preserve">etef.a </t>
  </si>
  <si>
    <t xml:space="preserve">etfa.a </t>
  </si>
  <si>
    <t xml:space="preserve">etfb.a </t>
  </si>
  <si>
    <t xml:space="preserve">etfc.a </t>
  </si>
  <si>
    <t xml:space="preserve">etfd.a </t>
  </si>
  <si>
    <t>jail3</t>
  </si>
  <si>
    <t xml:space="preserve">etfe.hrc </t>
  </si>
  <si>
    <t xml:space="preserve">etff.rsd </t>
  </si>
  <si>
    <t xml:space="preserve">etga.p </t>
  </si>
  <si>
    <t xml:space="preserve">etgb.rsd </t>
  </si>
  <si>
    <t xml:space="preserve">dhap </t>
  </si>
  <si>
    <t xml:space="preserve">etgc.p </t>
  </si>
  <si>
    <t xml:space="preserve">etgd.rsd </t>
  </si>
  <si>
    <t xml:space="preserve">etge.p </t>
  </si>
  <si>
    <t>jail4</t>
  </si>
  <si>
    <t xml:space="preserve">etgf.rsd </t>
  </si>
  <si>
    <t xml:space="preserve">etha.p </t>
  </si>
  <si>
    <t xml:space="preserve">ethb.rsd </t>
  </si>
  <si>
    <t xml:space="preserve">ethc.p </t>
  </si>
  <si>
    <t xml:space="preserve">ethd.rsd </t>
  </si>
  <si>
    <t xml:space="preserve">dhar </t>
  </si>
  <si>
    <t xml:space="preserve">ethe.p </t>
  </si>
  <si>
    <t xml:space="preserve">ethf.rsd </t>
  </si>
  <si>
    <t xml:space="preserve">etia.p </t>
  </si>
  <si>
    <t>jailin1</t>
  </si>
  <si>
    <t>Corel Prison: Basement</t>
  </si>
  <si>
    <t xml:space="preserve">etib.rsd </t>
  </si>
  <si>
    <t xml:space="preserve">etic.p </t>
  </si>
  <si>
    <t xml:space="preserve">etid.rsd </t>
  </si>
  <si>
    <t xml:space="preserve">etie.p </t>
  </si>
  <si>
    <t xml:space="preserve">etif.rsd </t>
  </si>
  <si>
    <t xml:space="preserve">dhas </t>
  </si>
  <si>
    <t xml:space="preserve">etja.p </t>
  </si>
  <si>
    <t xml:space="preserve">etjb.rsd </t>
  </si>
  <si>
    <t xml:space="preserve">etjc.p </t>
  </si>
  <si>
    <t xml:space="preserve">etjd.rsd </t>
  </si>
  <si>
    <t>jailin2</t>
  </si>
  <si>
    <t xml:space="preserve">etje.p </t>
  </si>
  <si>
    <t>Corel Prison: Mayor's Old House</t>
  </si>
  <si>
    <t xml:space="preserve">etjf.rsd </t>
  </si>
  <si>
    <t xml:space="preserve">euaa.p </t>
  </si>
  <si>
    <t xml:space="preserve">euab.rsd </t>
  </si>
  <si>
    <t xml:space="preserve">euac.p </t>
  </si>
  <si>
    <t xml:space="preserve">euad.rsd </t>
  </si>
  <si>
    <t xml:space="preserve">dhau </t>
  </si>
  <si>
    <t xml:space="preserve">euae.p </t>
  </si>
  <si>
    <t xml:space="preserve">euaf.hrc </t>
  </si>
  <si>
    <t>jailin3</t>
  </si>
  <si>
    <t xml:space="preserve">euba.rsd </t>
  </si>
  <si>
    <t>Corel Prison:</t>
  </si>
  <si>
    <t xml:space="preserve">eubb.p </t>
  </si>
  <si>
    <t xml:space="preserve">eubc.rsd </t>
  </si>
  <si>
    <t xml:space="preserve">eubd.p </t>
  </si>
  <si>
    <t xml:space="preserve">eube.rsd </t>
  </si>
  <si>
    <t xml:space="preserve">eubf.p </t>
  </si>
  <si>
    <t xml:space="preserve">euca.rsd </t>
  </si>
  <si>
    <t xml:space="preserve">dhav </t>
  </si>
  <si>
    <t xml:space="preserve">eucb.p </t>
  </si>
  <si>
    <t xml:space="preserve">eucc.rsd </t>
  </si>
  <si>
    <t>jailin4</t>
  </si>
  <si>
    <t xml:space="preserve">eucd.p </t>
  </si>
  <si>
    <t>Corel Prison: Container</t>
  </si>
  <si>
    <t xml:space="preserve">euce.rsd </t>
  </si>
  <si>
    <t xml:space="preserve">eucf.p </t>
  </si>
  <si>
    <t xml:space="preserve">euda.rsd </t>
  </si>
  <si>
    <t xml:space="preserve">eudb.p </t>
  </si>
  <si>
    <t xml:space="preserve">eudc.rsd </t>
  </si>
  <si>
    <t xml:space="preserve">eudd.p </t>
  </si>
  <si>
    <t xml:space="preserve">eude.rsd </t>
  </si>
  <si>
    <t xml:space="preserve">eudf.p </t>
  </si>
  <si>
    <t xml:space="preserve">dhaw </t>
  </si>
  <si>
    <t xml:space="preserve">euea.rsd </t>
  </si>
  <si>
    <t>jailpb</t>
  </si>
  <si>
    <t xml:space="preserve">eueb.p </t>
  </si>
  <si>
    <t>Corel Prison: Prison Pub</t>
  </si>
  <si>
    <t xml:space="preserve">euec.rsd </t>
  </si>
  <si>
    <t xml:space="preserve">eued.p </t>
  </si>
  <si>
    <t xml:space="preserve">euee.rsd </t>
  </si>
  <si>
    <t xml:space="preserve">euef.p </t>
  </si>
  <si>
    <t xml:space="preserve">eufa.rsd </t>
  </si>
  <si>
    <t xml:space="preserve">eufb.p </t>
  </si>
  <si>
    <t xml:space="preserve">eufc.rsd </t>
  </si>
  <si>
    <t xml:space="preserve">eufd.p </t>
  </si>
  <si>
    <t xml:space="preserve">eufe.rsd </t>
  </si>
  <si>
    <t xml:space="preserve">euff.p </t>
  </si>
  <si>
    <t>jet</t>
  </si>
  <si>
    <t xml:space="preserve">dhay </t>
  </si>
  <si>
    <t xml:space="preserve">euga.a </t>
  </si>
  <si>
    <t>988 Bytes</t>
  </si>
  <si>
    <t>Gold Saucer: Station Gate</t>
  </si>
  <si>
    <t xml:space="preserve">eugb.a </t>
  </si>
  <si>
    <t xml:space="preserve">eugc.a </t>
  </si>
  <si>
    <t xml:space="preserve">eugd.a </t>
  </si>
  <si>
    <t xml:space="preserve">euge.a </t>
  </si>
  <si>
    <t xml:space="preserve">eugf.a </t>
  </si>
  <si>
    <t xml:space="preserve">euha.a </t>
  </si>
  <si>
    <t xml:space="preserve">euhb.hrc </t>
  </si>
  <si>
    <t>coldm_sk</t>
  </si>
  <si>
    <t xml:space="preserve">euhc.rsd </t>
  </si>
  <si>
    <t xml:space="preserve">euhd.p </t>
  </si>
  <si>
    <t xml:space="preserve">euhe.rsd </t>
  </si>
  <si>
    <t xml:space="preserve">euhf.p </t>
  </si>
  <si>
    <t xml:space="preserve">dhaz </t>
  </si>
  <si>
    <t xml:space="preserve">euia.tex </t>
  </si>
  <si>
    <t xml:space="preserve">euib.rsd </t>
  </si>
  <si>
    <t xml:space="preserve">euic.p </t>
  </si>
  <si>
    <t xml:space="preserve">euid.rsd </t>
  </si>
  <si>
    <t xml:space="preserve">euie.p </t>
  </si>
  <si>
    <t xml:space="preserve">euif.rsd </t>
  </si>
  <si>
    <t>jetin1</t>
  </si>
  <si>
    <t xml:space="preserve">euja.p </t>
  </si>
  <si>
    <t xml:space="preserve">eujb.rsd </t>
  </si>
  <si>
    <t xml:space="preserve">eujc.p </t>
  </si>
  <si>
    <t xml:space="preserve">eujd.rsd </t>
  </si>
  <si>
    <t xml:space="preserve">euje.p </t>
  </si>
  <si>
    <t xml:space="preserve">eujf.rsd </t>
  </si>
  <si>
    <t xml:space="preserve">evaa.p </t>
  </si>
  <si>
    <t xml:space="preserve">dhba </t>
  </si>
  <si>
    <t xml:space="preserve">evab.rsd </t>
  </si>
  <si>
    <t xml:space="preserve">evac.p </t>
  </si>
  <si>
    <t xml:space="preserve">evad.rsd </t>
  </si>
  <si>
    <t xml:space="preserve">evae.p </t>
  </si>
  <si>
    <t xml:space="preserve">evaf.rsd </t>
  </si>
  <si>
    <t>jtempl</t>
  </si>
  <si>
    <t xml:space="preserve">evba.p </t>
  </si>
  <si>
    <t>Temple of the Ancients: Gate</t>
  </si>
  <si>
    <t xml:space="preserve">evbb.rsd </t>
  </si>
  <si>
    <t xml:space="preserve">evbc.p </t>
  </si>
  <si>
    <t xml:space="preserve">evbd.rsd </t>
  </si>
  <si>
    <t xml:space="preserve">evbe.p </t>
  </si>
  <si>
    <t xml:space="preserve">dhbb </t>
  </si>
  <si>
    <t xml:space="preserve">evbf.rsd </t>
  </si>
  <si>
    <t xml:space="preserve">evca.p </t>
  </si>
  <si>
    <t xml:space="preserve">evcb.a </t>
  </si>
  <si>
    <t xml:space="preserve">evcc.a </t>
  </si>
  <si>
    <t xml:space="preserve">evcd.a </t>
  </si>
  <si>
    <t>jtemplb</t>
  </si>
  <si>
    <t xml:space="preserve">evce.a </t>
  </si>
  <si>
    <t>Temple of the Ancients: Crater</t>
  </si>
  <si>
    <t xml:space="preserve">evcf.a </t>
  </si>
  <si>
    <t xml:space="preserve">evda.a </t>
  </si>
  <si>
    <t xml:space="preserve">evdb.a </t>
  </si>
  <si>
    <t xml:space="preserve">evdc.a </t>
  </si>
  <si>
    <t xml:space="preserve">evdd.a </t>
  </si>
  <si>
    <t xml:space="preserve">dhbd </t>
  </si>
  <si>
    <t xml:space="preserve">evde.a </t>
  </si>
  <si>
    <t xml:space="preserve">evdf.a </t>
  </si>
  <si>
    <t xml:space="preserve">evea.a </t>
  </si>
  <si>
    <t xml:space="preserve">eveb.a </t>
  </si>
  <si>
    <t xml:space="preserve">evec.a </t>
  </si>
  <si>
    <t>jtemplc</t>
  </si>
  <si>
    <t xml:space="preserve">eved.a </t>
  </si>
  <si>
    <t>Temple of the Ancients</t>
  </si>
  <si>
    <t xml:space="preserve">evee.a </t>
  </si>
  <si>
    <t xml:space="preserve">evef.a </t>
  </si>
  <si>
    <t xml:space="preserve">evfa.a </t>
  </si>
  <si>
    <t xml:space="preserve">evfb.a </t>
  </si>
  <si>
    <t xml:space="preserve">evfc.a </t>
  </si>
  <si>
    <t xml:space="preserve">evfd.a </t>
  </si>
  <si>
    <t xml:space="preserve">evfe.hrc </t>
  </si>
  <si>
    <t xml:space="preserve">dhbe </t>
  </si>
  <si>
    <t>sd_eriana_sk</t>
  </si>
  <si>
    <t xml:space="preserve">evff.rsd </t>
  </si>
  <si>
    <t xml:space="preserve">jtmpin1 </t>
  </si>
  <si>
    <t xml:space="preserve">evga.p </t>
  </si>
  <si>
    <t xml:space="preserve">evgb.rsd </t>
  </si>
  <si>
    <t xml:space="preserve">evgc.p </t>
  </si>
  <si>
    <t xml:space="preserve">evgd.rsd </t>
  </si>
  <si>
    <t xml:space="preserve">evge.p </t>
  </si>
  <si>
    <t xml:space="preserve">evgf.tex </t>
  </si>
  <si>
    <t xml:space="preserve">evha.tex </t>
  </si>
  <si>
    <t xml:space="preserve">dhbf </t>
  </si>
  <si>
    <t xml:space="preserve">evhb.tex </t>
  </si>
  <si>
    <t>jtmpin2</t>
  </si>
  <si>
    <t xml:space="preserve">evhc.rsd </t>
  </si>
  <si>
    <t>Temple of the Ancients entrance mechanism</t>
  </si>
  <si>
    <t xml:space="preserve">evhd.p </t>
  </si>
  <si>
    <t xml:space="preserve">evhe.rsd </t>
  </si>
  <si>
    <t xml:space="preserve">evhf.p </t>
  </si>
  <si>
    <t xml:space="preserve">evia.rsd </t>
  </si>
  <si>
    <t xml:space="preserve">evib.p </t>
  </si>
  <si>
    <t>jumin</t>
  </si>
  <si>
    <t xml:space="preserve">dhbg </t>
  </si>
  <si>
    <t>Under Junon: Inn</t>
  </si>
  <si>
    <t xml:space="preserve">evic.rsd </t>
  </si>
  <si>
    <t xml:space="preserve">evid.p </t>
  </si>
  <si>
    <t xml:space="preserve">evie.rsd </t>
  </si>
  <si>
    <t xml:space="preserve">evif.p </t>
  </si>
  <si>
    <t>jun_a</t>
  </si>
  <si>
    <t>Junon: Item Store f</t>
  </si>
  <si>
    <t xml:space="preserve">dhbi </t>
  </si>
  <si>
    <t xml:space="preserve">evja.rsd </t>
  </si>
  <si>
    <t xml:space="preserve">evjb.p </t>
  </si>
  <si>
    <t xml:space="preserve">evjc.rsd </t>
  </si>
  <si>
    <t xml:space="preserve">evjd.p </t>
  </si>
  <si>
    <t xml:space="preserve">evje.rsd </t>
  </si>
  <si>
    <t xml:space="preserve">evjf.p </t>
  </si>
  <si>
    <t xml:space="preserve">dhbj </t>
  </si>
  <si>
    <t xml:space="preserve">ewaa.rsd </t>
  </si>
  <si>
    <t>jun_i1</t>
  </si>
  <si>
    <t xml:space="preserve">ewab.p </t>
  </si>
  <si>
    <t>Junon: Item Store</t>
  </si>
  <si>
    <t xml:space="preserve">ewac.rsd </t>
  </si>
  <si>
    <t xml:space="preserve">ewad.p </t>
  </si>
  <si>
    <t xml:space="preserve">ewae.rsd </t>
  </si>
  <si>
    <t xml:space="preserve">ewaf.p </t>
  </si>
  <si>
    <t xml:space="preserve">ewba.rsd </t>
  </si>
  <si>
    <t xml:space="preserve">ewbb.p </t>
  </si>
  <si>
    <t xml:space="preserve">dhbk </t>
  </si>
  <si>
    <t xml:space="preserve">ewbc.a </t>
  </si>
  <si>
    <t xml:space="preserve">ewbd.hrc </t>
  </si>
  <si>
    <t>jun_i2</t>
  </si>
  <si>
    <t>cfman_sk</t>
  </si>
  <si>
    <t xml:space="preserve">ewbe.rsd </t>
  </si>
  <si>
    <t>Junon: Materia Store f</t>
  </si>
  <si>
    <t xml:space="preserve">ewbf.p </t>
  </si>
  <si>
    <t xml:space="preserve">ewca.rsd </t>
  </si>
  <si>
    <t xml:space="preserve">ewcb.p </t>
  </si>
  <si>
    <t xml:space="preserve">ewcc.rsd </t>
  </si>
  <si>
    <t xml:space="preserve">ewcd.p </t>
  </si>
  <si>
    <t xml:space="preserve">ewce.tex </t>
  </si>
  <si>
    <t xml:space="preserve">ewcf.tex </t>
  </si>
  <si>
    <t>jun_m</t>
  </si>
  <si>
    <t xml:space="preserve">dhbm </t>
  </si>
  <si>
    <t xml:space="preserve">ewda.tex </t>
  </si>
  <si>
    <t>Junon: Materia Store</t>
  </si>
  <si>
    <t xml:space="preserve">ewdb.rsd </t>
  </si>
  <si>
    <t xml:space="preserve">ewdc.p </t>
  </si>
  <si>
    <t xml:space="preserve">ewdd.rsd </t>
  </si>
  <si>
    <t xml:space="preserve">ewde.p </t>
  </si>
  <si>
    <t xml:space="preserve">ewdf.rsd </t>
  </si>
  <si>
    <t xml:space="preserve">ewea.p </t>
  </si>
  <si>
    <t xml:space="preserve">eweb.rsd </t>
  </si>
  <si>
    <t>jun_w</t>
  </si>
  <si>
    <t xml:space="preserve">ewec.p </t>
  </si>
  <si>
    <t xml:space="preserve">dhbn </t>
  </si>
  <si>
    <t>Junon: Weapon Store f</t>
  </si>
  <si>
    <t xml:space="preserve">ewed.rsd </t>
  </si>
  <si>
    <t xml:space="preserve">ewee.p </t>
  </si>
  <si>
    <t xml:space="preserve">ewef.rsd </t>
  </si>
  <si>
    <t xml:space="preserve">ewfa.p </t>
  </si>
  <si>
    <t xml:space="preserve">ewfb.rsd </t>
  </si>
  <si>
    <t xml:space="preserve">ewfc.p </t>
  </si>
  <si>
    <t xml:space="preserve">ewfd.rsd </t>
  </si>
  <si>
    <t>jun_wa</t>
  </si>
  <si>
    <t xml:space="preserve">dhbp </t>
  </si>
  <si>
    <t xml:space="preserve">ewfe.p </t>
  </si>
  <si>
    <t>Junon: Weapon Store</t>
  </si>
  <si>
    <t xml:space="preserve">ewff.rsd </t>
  </si>
  <si>
    <t xml:space="preserve">ewga.p </t>
  </si>
  <si>
    <t xml:space="preserve">ewgb.rsd </t>
  </si>
  <si>
    <t xml:space="preserve">ewgc.p </t>
  </si>
  <si>
    <t xml:space="preserve">ewgd.rsd </t>
  </si>
  <si>
    <t xml:space="preserve">ewge.p </t>
  </si>
  <si>
    <t xml:space="preserve">ewgf.rsd </t>
  </si>
  <si>
    <t xml:space="preserve">ewha.p </t>
  </si>
  <si>
    <t>junair</t>
  </si>
  <si>
    <t xml:space="preserve">ewhb.a </t>
  </si>
  <si>
    <t>Junon: Airport</t>
  </si>
  <si>
    <t xml:space="preserve">ewhc.a </t>
  </si>
  <si>
    <t xml:space="preserve">dhbq </t>
  </si>
  <si>
    <t xml:space="preserve">ewhd.a </t>
  </si>
  <si>
    <t xml:space="preserve">ewhe.a </t>
  </si>
  <si>
    <t xml:space="preserve">ewhf.a </t>
  </si>
  <si>
    <t xml:space="preserve">ewia.a </t>
  </si>
  <si>
    <t>junair2</t>
  </si>
  <si>
    <t xml:space="preserve">ewib.a </t>
  </si>
  <si>
    <t xml:space="preserve">ewic.a </t>
  </si>
  <si>
    <t xml:space="preserve">ewid.a </t>
  </si>
  <si>
    <t>Escaping from Junon</t>
  </si>
  <si>
    <t xml:space="preserve">dhbs </t>
  </si>
  <si>
    <t xml:space="preserve">ewie.a </t>
  </si>
  <si>
    <t xml:space="preserve">ewif.a </t>
  </si>
  <si>
    <t xml:space="preserve">ewja.a </t>
  </si>
  <si>
    <t xml:space="preserve">ewjb.a </t>
  </si>
  <si>
    <t xml:space="preserve">ewjc.a </t>
  </si>
  <si>
    <t xml:space="preserve">ewjd.a </t>
  </si>
  <si>
    <t xml:space="preserve">ewje.hrc </t>
  </si>
  <si>
    <t>cfwo_sk</t>
  </si>
  <si>
    <t xml:space="preserve">ewjf.rsd </t>
  </si>
  <si>
    <t>junbin1</t>
  </si>
  <si>
    <t xml:space="preserve">exaa.p </t>
  </si>
  <si>
    <t>Junon:</t>
  </si>
  <si>
    <t xml:space="preserve">exab.rsd </t>
  </si>
  <si>
    <t xml:space="preserve">dhbt </t>
  </si>
  <si>
    <t xml:space="preserve">exac.p </t>
  </si>
  <si>
    <t xml:space="preserve">exad.rsd </t>
  </si>
  <si>
    <t xml:space="preserve">exae.p </t>
  </si>
  <si>
    <t xml:space="preserve">exaf.tex </t>
  </si>
  <si>
    <t xml:space="preserve">exba.tex </t>
  </si>
  <si>
    <t xml:space="preserve">exbb.tex </t>
  </si>
  <si>
    <t xml:space="preserve">exbc.rsd </t>
  </si>
  <si>
    <t>junbin12</t>
  </si>
  <si>
    <t xml:space="preserve">exbd.p </t>
  </si>
  <si>
    <t xml:space="preserve">exbe.rsd </t>
  </si>
  <si>
    <t xml:space="preserve">exbf.p </t>
  </si>
  <si>
    <t xml:space="preserve">exca.rsd </t>
  </si>
  <si>
    <t xml:space="preserve">excb.p </t>
  </si>
  <si>
    <t xml:space="preserve">excc.rsd </t>
  </si>
  <si>
    <t xml:space="preserve">excd.p </t>
  </si>
  <si>
    <t xml:space="preserve">exce.rsd </t>
  </si>
  <si>
    <t xml:space="preserve">excf.p </t>
  </si>
  <si>
    <t xml:space="preserve">exda.rsd </t>
  </si>
  <si>
    <t>junbin21</t>
  </si>
  <si>
    <t xml:space="preserve">exdb.p </t>
  </si>
  <si>
    <t>Junon</t>
  </si>
  <si>
    <t xml:space="preserve">exdc.rsd </t>
  </si>
  <si>
    <t xml:space="preserve">exdd.p </t>
  </si>
  <si>
    <t xml:space="preserve">exde.rsd </t>
  </si>
  <si>
    <t xml:space="preserve">exdf.p </t>
  </si>
  <si>
    <t xml:space="preserve">exea.rsd </t>
  </si>
  <si>
    <t xml:space="preserve">exeb.p </t>
  </si>
  <si>
    <t xml:space="preserve">exec.rsd </t>
  </si>
  <si>
    <t>junbin22</t>
  </si>
  <si>
    <t xml:space="preserve">exed.p </t>
  </si>
  <si>
    <t xml:space="preserve">exee.rsd </t>
  </si>
  <si>
    <t xml:space="preserve">exef.p </t>
  </si>
  <si>
    <t xml:space="preserve">dhbv </t>
  </si>
  <si>
    <t xml:space="preserve">exfa.rsd </t>
  </si>
  <si>
    <t xml:space="preserve">exfb.p </t>
  </si>
  <si>
    <t xml:space="preserve">exfc.a </t>
  </si>
  <si>
    <t>junbin3</t>
  </si>
  <si>
    <t xml:space="preserve">exfd.a </t>
  </si>
  <si>
    <t>Junon: Dr.'s Office</t>
  </si>
  <si>
    <t xml:space="preserve">exfe.a </t>
  </si>
  <si>
    <t xml:space="preserve">exff.a </t>
  </si>
  <si>
    <t xml:space="preserve">dhbw </t>
  </si>
  <si>
    <t xml:space="preserve">exga.hrc </t>
  </si>
  <si>
    <t>condor_sk</t>
  </si>
  <si>
    <t xml:space="preserve">exgb.rsd </t>
  </si>
  <si>
    <t xml:space="preserve">exgc.p </t>
  </si>
  <si>
    <t xml:space="preserve">exgd.rsd </t>
  </si>
  <si>
    <t>junbin4</t>
  </si>
  <si>
    <t>Junon: Press Room</t>
  </si>
  <si>
    <t xml:space="preserve">exge.p </t>
  </si>
  <si>
    <t xml:space="preserve">exgf.rsd </t>
  </si>
  <si>
    <t xml:space="preserve">exha.p </t>
  </si>
  <si>
    <t xml:space="preserve">exhb.rsd </t>
  </si>
  <si>
    <t xml:space="preserve">dhda </t>
  </si>
  <si>
    <t xml:space="preserve">exhc.p </t>
  </si>
  <si>
    <t xml:space="preserve">exhd.rsd </t>
  </si>
  <si>
    <t xml:space="preserve">exhe.p </t>
  </si>
  <si>
    <t xml:space="preserve">diaa </t>
  </si>
  <si>
    <t>junbin5</t>
  </si>
  <si>
    <t xml:space="preserve">exhf.rsd </t>
  </si>
  <si>
    <t>Zemzelett: Battle Skeleton</t>
  </si>
  <si>
    <t>Junon: Gas Room</t>
  </si>
  <si>
    <t xml:space="preserve">exia.p </t>
  </si>
  <si>
    <t xml:space="preserve">exib.rsd </t>
  </si>
  <si>
    <t xml:space="preserve">exic.p </t>
  </si>
  <si>
    <t xml:space="preserve">exid.rsd </t>
  </si>
  <si>
    <t xml:space="preserve">exie.p </t>
  </si>
  <si>
    <t xml:space="preserve">exif.rsd </t>
  </si>
  <si>
    <t xml:space="preserve">exja.p </t>
  </si>
  <si>
    <t xml:space="preserve">exjb.rsd </t>
  </si>
  <si>
    <t xml:space="preserve">diab </t>
  </si>
  <si>
    <t xml:space="preserve">exjc.p </t>
  </si>
  <si>
    <t>Zemzelett: Unidentified Part</t>
  </si>
  <si>
    <t xml:space="preserve">exjd.rsd </t>
  </si>
  <si>
    <t xml:space="preserve">diam </t>
  </si>
  <si>
    <t xml:space="preserve">exje.p </t>
  </si>
  <si>
    <t>jundoc1a</t>
  </si>
  <si>
    <t>Junon Dock</t>
  </si>
  <si>
    <t xml:space="preserve">exjf.rsd </t>
  </si>
  <si>
    <t xml:space="preserve">eyaa.p </t>
  </si>
  <si>
    <t xml:space="preserve">eyab.rsd </t>
  </si>
  <si>
    <t xml:space="preserve">eyac.p </t>
  </si>
  <si>
    <t xml:space="preserve">dian </t>
  </si>
  <si>
    <t>jundoc1b</t>
  </si>
  <si>
    <t xml:space="preserve">eyad.rsd </t>
  </si>
  <si>
    <t xml:space="preserve">eyae.p </t>
  </si>
  <si>
    <t xml:space="preserve">eyaf.rsd </t>
  </si>
  <si>
    <t xml:space="preserve">eyba.p </t>
  </si>
  <si>
    <t xml:space="preserve">eybb.rsd </t>
  </si>
  <si>
    <t xml:space="preserve">eybc.p </t>
  </si>
  <si>
    <t xml:space="preserve">eybd.rsd </t>
  </si>
  <si>
    <t xml:space="preserve">diao </t>
  </si>
  <si>
    <t xml:space="preserve">eybe.p </t>
  </si>
  <si>
    <t>junele1</t>
  </si>
  <si>
    <t xml:space="preserve">eybf.rsd </t>
  </si>
  <si>
    <t>Junon: Elevator</t>
  </si>
  <si>
    <t xml:space="preserve">eyca.p </t>
  </si>
  <si>
    <t xml:space="preserve">eycb.rsd </t>
  </si>
  <si>
    <t xml:space="preserve">eycc.p </t>
  </si>
  <si>
    <t xml:space="preserve">eycd.rsd </t>
  </si>
  <si>
    <t xml:space="preserve">eyce.p </t>
  </si>
  <si>
    <t xml:space="preserve">eycf.rsd </t>
  </si>
  <si>
    <t xml:space="preserve">diap </t>
  </si>
  <si>
    <t xml:space="preserve">eyda.p </t>
  </si>
  <si>
    <t>junele2</t>
  </si>
  <si>
    <t xml:space="preserve">eydb.a </t>
  </si>
  <si>
    <t xml:space="preserve">eydc.a </t>
  </si>
  <si>
    <t xml:space="preserve">eydd.a </t>
  </si>
  <si>
    <t xml:space="preserve">eyde.a </t>
  </si>
  <si>
    <t xml:space="preserve">eydf.a </t>
  </si>
  <si>
    <t>junin1</t>
  </si>
  <si>
    <t xml:space="preserve">eyea.a </t>
  </si>
  <si>
    <t>Junon: Airport Path</t>
  </si>
  <si>
    <t xml:space="preserve">eyeb.a </t>
  </si>
  <si>
    <t xml:space="preserve">diaq </t>
  </si>
  <si>
    <t>668 Bytes</t>
  </si>
  <si>
    <t xml:space="preserve">eyec.a </t>
  </si>
  <si>
    <t xml:space="preserve">eyed.a </t>
  </si>
  <si>
    <t xml:space="preserve">eyee.a </t>
  </si>
  <si>
    <t>junin1a</t>
  </si>
  <si>
    <t>Junon: Locker Room</t>
  </si>
  <si>
    <t xml:space="preserve">eyef.a </t>
  </si>
  <si>
    <t xml:space="preserve">eyfa.a </t>
  </si>
  <si>
    <t xml:space="preserve">eyfb.a </t>
  </si>
  <si>
    <t xml:space="preserve">eyfc.a </t>
  </si>
  <si>
    <t xml:space="preserve">diar </t>
  </si>
  <si>
    <t>junin2</t>
  </si>
  <si>
    <t xml:space="preserve">eyfd.a </t>
  </si>
  <si>
    <t>Junon: Outside Press Room</t>
  </si>
  <si>
    <t xml:space="preserve">eyfe.a </t>
  </si>
  <si>
    <t xml:space="preserve">eyff.a </t>
  </si>
  <si>
    <t xml:space="preserve">eyga.a </t>
  </si>
  <si>
    <t xml:space="preserve">eygb.a </t>
  </si>
  <si>
    <t xml:space="preserve">eygc.a </t>
  </si>
  <si>
    <t xml:space="preserve">eygd.a </t>
  </si>
  <si>
    <t xml:space="preserve">eyge.a </t>
  </si>
  <si>
    <t xml:space="preserve">dias </t>
  </si>
  <si>
    <t xml:space="preserve">eygf.a </t>
  </si>
  <si>
    <t xml:space="preserve">eyha.a </t>
  </si>
  <si>
    <t xml:space="preserve">eyhb.a </t>
  </si>
  <si>
    <t>junin3</t>
  </si>
  <si>
    <t>Junon Path</t>
  </si>
  <si>
    <t xml:space="preserve">eyhc.a </t>
  </si>
  <si>
    <t xml:space="preserve">eyhd.a </t>
  </si>
  <si>
    <t xml:space="preserve">eyhe.a </t>
  </si>
  <si>
    <t xml:space="preserve">eyhf.a </t>
  </si>
  <si>
    <t xml:space="preserve">eyia.a </t>
  </si>
  <si>
    <t xml:space="preserve">diat </t>
  </si>
  <si>
    <t xml:space="preserve">eyib.a </t>
  </si>
  <si>
    <t xml:space="preserve">eyic.a </t>
  </si>
  <si>
    <t xml:space="preserve">eyid.a </t>
  </si>
  <si>
    <t>junin4</t>
  </si>
  <si>
    <t xml:space="preserve">eyie.hrc </t>
  </si>
  <si>
    <t>car_sk</t>
  </si>
  <si>
    <t xml:space="preserve">eyif.rsd </t>
  </si>
  <si>
    <t xml:space="preserve">eyja.p </t>
  </si>
  <si>
    <t xml:space="preserve">eyjb.rsd </t>
  </si>
  <si>
    <t xml:space="preserve">diav </t>
  </si>
  <si>
    <t>junin5</t>
  </si>
  <si>
    <t xml:space="preserve">eyjc.p </t>
  </si>
  <si>
    <t xml:space="preserve">eyjd.rsd </t>
  </si>
  <si>
    <t xml:space="preserve">eyje.p </t>
  </si>
  <si>
    <t xml:space="preserve">eyjf.rsd </t>
  </si>
  <si>
    <t xml:space="preserve">ezaa.p </t>
  </si>
  <si>
    <t xml:space="preserve">ezab.rsd </t>
  </si>
  <si>
    <t>junin6</t>
  </si>
  <si>
    <t xml:space="preserve">ezac.p </t>
  </si>
  <si>
    <t xml:space="preserve">ezad.rsd </t>
  </si>
  <si>
    <t xml:space="preserve">ezae.p </t>
  </si>
  <si>
    <t xml:space="preserve">ezaf.rsd </t>
  </si>
  <si>
    <t xml:space="preserve">diaw </t>
  </si>
  <si>
    <t xml:space="preserve">ezba.p </t>
  </si>
  <si>
    <t>junin7</t>
  </si>
  <si>
    <t xml:space="preserve">ezbb.rsd </t>
  </si>
  <si>
    <t xml:space="preserve">ezbc.p </t>
  </si>
  <si>
    <t xml:space="preserve">ezbd.a </t>
  </si>
  <si>
    <t xml:space="preserve">ezbe.a </t>
  </si>
  <si>
    <t xml:space="preserve">ezbf.a </t>
  </si>
  <si>
    <t xml:space="preserve">diax </t>
  </si>
  <si>
    <t xml:space="preserve">ezca.a </t>
  </si>
  <si>
    <t xml:space="preserve">ezcb.a </t>
  </si>
  <si>
    <t>juninn</t>
  </si>
  <si>
    <t xml:space="preserve">ezcc.hrc </t>
  </si>
  <si>
    <t>Junon Inn</t>
  </si>
  <si>
    <t>cat2_sk</t>
  </si>
  <si>
    <t xml:space="preserve">ezcd.rsd </t>
  </si>
  <si>
    <t xml:space="preserve">ezce.p </t>
  </si>
  <si>
    <t xml:space="preserve">ezcf.rsd </t>
  </si>
  <si>
    <t xml:space="preserve">ezda.p </t>
  </si>
  <si>
    <t xml:space="preserve">ezdb.rsd </t>
  </si>
  <si>
    <t xml:space="preserve">ezdc.p </t>
  </si>
  <si>
    <t>junmin1</t>
  </si>
  <si>
    <t xml:space="preserve">diba </t>
  </si>
  <si>
    <t>Junon: Barracks</t>
  </si>
  <si>
    <t xml:space="preserve">ezdd.rsd </t>
  </si>
  <si>
    <t xml:space="preserve">ezde.p </t>
  </si>
  <si>
    <t xml:space="preserve">ezdf.rsd </t>
  </si>
  <si>
    <t xml:space="preserve">ezea.p </t>
  </si>
  <si>
    <t xml:space="preserve">ezeb.rsd </t>
  </si>
  <si>
    <t xml:space="preserve">ezec.p </t>
  </si>
  <si>
    <t xml:space="preserve">ezed.rsd </t>
  </si>
  <si>
    <t>junmin2</t>
  </si>
  <si>
    <t xml:space="preserve">ezee.p </t>
  </si>
  <si>
    <t xml:space="preserve">ezef.rsd </t>
  </si>
  <si>
    <t xml:space="preserve">ezfa.p </t>
  </si>
  <si>
    <t xml:space="preserve">ezfb.rsd </t>
  </si>
  <si>
    <t xml:space="preserve">ezfc.p </t>
  </si>
  <si>
    <t xml:space="preserve">dibb </t>
  </si>
  <si>
    <t xml:space="preserve">ezfd.rsd </t>
  </si>
  <si>
    <t xml:space="preserve">ezfe.p </t>
  </si>
  <si>
    <t>junmin3</t>
  </si>
  <si>
    <t xml:space="preserve">ezff.rsd </t>
  </si>
  <si>
    <t xml:space="preserve">ezga.p </t>
  </si>
  <si>
    <t xml:space="preserve">ezgb.rsd </t>
  </si>
  <si>
    <t xml:space="preserve">ezgc.p </t>
  </si>
  <si>
    <t xml:space="preserve">ezgd.rsd </t>
  </si>
  <si>
    <t xml:space="preserve">ezge.p </t>
  </si>
  <si>
    <t xml:space="preserve">dibd </t>
  </si>
  <si>
    <t xml:space="preserve">ezgf.rsd </t>
  </si>
  <si>
    <t>junmin4</t>
  </si>
  <si>
    <t xml:space="preserve">ezha.p </t>
  </si>
  <si>
    <t xml:space="preserve">ezhb.rsd </t>
  </si>
  <si>
    <t xml:space="preserve">ezhc.p </t>
  </si>
  <si>
    <t xml:space="preserve">ezhd.rsd </t>
  </si>
  <si>
    <t xml:space="preserve">ezhe.p </t>
  </si>
  <si>
    <t xml:space="preserve">ezhf.rsd </t>
  </si>
  <si>
    <t xml:space="preserve">ezia.p </t>
  </si>
  <si>
    <t xml:space="preserve">dibe </t>
  </si>
  <si>
    <t xml:space="preserve">ezib.rsd </t>
  </si>
  <si>
    <t>junmin5</t>
  </si>
  <si>
    <t xml:space="preserve">ezic.p </t>
  </si>
  <si>
    <t xml:space="preserve">ezid.rsd </t>
  </si>
  <si>
    <t xml:space="preserve">ezie.p </t>
  </si>
  <si>
    <t xml:space="preserve">ezif.rsd </t>
  </si>
  <si>
    <t xml:space="preserve">ezja.p </t>
  </si>
  <si>
    <t xml:space="preserve">ezjb.rsd </t>
  </si>
  <si>
    <t xml:space="preserve">ezjc.p </t>
  </si>
  <si>
    <t xml:space="preserve">dibf </t>
  </si>
  <si>
    <t xml:space="preserve">ezjd.rsd </t>
  </si>
  <si>
    <t xml:space="preserve">ezje.p </t>
  </si>
  <si>
    <t>junon</t>
  </si>
  <si>
    <t xml:space="preserve">ezjf.rsd </t>
  </si>
  <si>
    <t>Upper Junon</t>
  </si>
  <si>
    <t xml:space="preserve">faaa.p </t>
  </si>
  <si>
    <t xml:space="preserve">faab.a </t>
  </si>
  <si>
    <t xml:space="preserve">faac.a </t>
  </si>
  <si>
    <t xml:space="preserve">faad.a </t>
  </si>
  <si>
    <t xml:space="preserve">faae.hrc </t>
  </si>
  <si>
    <t>potion_1_sk</t>
  </si>
  <si>
    <t xml:space="preserve">dibi </t>
  </si>
  <si>
    <t xml:space="preserve">faaf.rsd </t>
  </si>
  <si>
    <t>junone2</t>
  </si>
  <si>
    <t xml:space="preserve">faba.p </t>
  </si>
  <si>
    <t>Junon: Canon</t>
  </si>
  <si>
    <t xml:space="preserve">fabb.hrc </t>
  </si>
  <si>
    <t>potion_r_sk</t>
  </si>
  <si>
    <t xml:space="preserve">fabc.rsd </t>
  </si>
  <si>
    <t xml:space="preserve">fabd.p </t>
  </si>
  <si>
    <t xml:space="preserve">fabe.hrc </t>
  </si>
  <si>
    <t>potion_2_sk</t>
  </si>
  <si>
    <t xml:space="preserve">fabf.rsd </t>
  </si>
  <si>
    <t xml:space="preserve">dibj </t>
  </si>
  <si>
    <t xml:space="preserve">faca.p </t>
  </si>
  <si>
    <t>junone22</t>
  </si>
  <si>
    <t xml:space="preserve">facb.a </t>
  </si>
  <si>
    <t>The missing canon</t>
  </si>
  <si>
    <t xml:space="preserve">facc.hrc </t>
  </si>
  <si>
    <t>bigpl_sk</t>
  </si>
  <si>
    <t xml:space="preserve">facd.rsd </t>
  </si>
  <si>
    <t xml:space="preserve">face.p </t>
  </si>
  <si>
    <t xml:space="preserve">facf.a </t>
  </si>
  <si>
    <t xml:space="preserve">fada.a </t>
  </si>
  <si>
    <t xml:space="preserve">fadb.a </t>
  </si>
  <si>
    <t xml:space="preserve">fadc.hrc </t>
  </si>
  <si>
    <t>potion_4_sk</t>
  </si>
  <si>
    <t xml:space="preserve">fadd.rsd </t>
  </si>
  <si>
    <t xml:space="preserve">fade.p </t>
  </si>
  <si>
    <t>junone3</t>
  </si>
  <si>
    <t xml:space="preserve">dibl </t>
  </si>
  <si>
    <t xml:space="preserve">fadf.a </t>
  </si>
  <si>
    <t xml:space="preserve">faea.a </t>
  </si>
  <si>
    <t xml:space="preserve">faeb.a </t>
  </si>
  <si>
    <t xml:space="preserve">faec.a </t>
  </si>
  <si>
    <t xml:space="preserve">faed.a </t>
  </si>
  <si>
    <t xml:space="preserve">faee.a </t>
  </si>
  <si>
    <t xml:space="preserve">faef.a </t>
  </si>
  <si>
    <t xml:space="preserve">fafa.a </t>
  </si>
  <si>
    <t xml:space="preserve">fafb.a </t>
  </si>
  <si>
    <t xml:space="preserve">fafc.a </t>
  </si>
  <si>
    <t xml:space="preserve">fafd.a </t>
  </si>
  <si>
    <t>junone4</t>
  </si>
  <si>
    <t xml:space="preserve">fafe.a </t>
  </si>
  <si>
    <t xml:space="preserve">dibm </t>
  </si>
  <si>
    <t xml:space="preserve">faff.a </t>
  </si>
  <si>
    <t xml:space="preserve">faga.a </t>
  </si>
  <si>
    <t xml:space="preserve">fagb.a </t>
  </si>
  <si>
    <t xml:space="preserve">fagc.a </t>
  </si>
  <si>
    <t xml:space="preserve">fagd.a </t>
  </si>
  <si>
    <t xml:space="preserve">fage.a </t>
  </si>
  <si>
    <t xml:space="preserve">fagf.a </t>
  </si>
  <si>
    <t xml:space="preserve">faha.a </t>
  </si>
  <si>
    <t xml:space="preserve">fahb.a </t>
  </si>
  <si>
    <t xml:space="preserve">fahc.a </t>
  </si>
  <si>
    <t xml:space="preserve">fahd.a </t>
  </si>
  <si>
    <t>junone5</t>
  </si>
  <si>
    <t xml:space="preserve">fahe.a </t>
  </si>
  <si>
    <t xml:space="preserve">fahf.a </t>
  </si>
  <si>
    <t xml:space="preserve">faia.a </t>
  </si>
  <si>
    <t xml:space="preserve">dibn </t>
  </si>
  <si>
    <t xml:space="preserve">faib.a </t>
  </si>
  <si>
    <t xml:space="preserve">faic.a </t>
  </si>
  <si>
    <t xml:space="preserve">faid.a </t>
  </si>
  <si>
    <t xml:space="preserve">faie.a </t>
  </si>
  <si>
    <t xml:space="preserve">faif.a </t>
  </si>
  <si>
    <t xml:space="preserve">faja.a </t>
  </si>
  <si>
    <t xml:space="preserve">fajb.a </t>
  </si>
  <si>
    <t xml:space="preserve">fajc.a </t>
  </si>
  <si>
    <t xml:space="preserve">fajd.a </t>
  </si>
  <si>
    <t>junone6</t>
  </si>
  <si>
    <t xml:space="preserve">faje.a </t>
  </si>
  <si>
    <t xml:space="preserve">fajf.a </t>
  </si>
  <si>
    <t xml:space="preserve">fbaa.a </t>
  </si>
  <si>
    <t xml:space="preserve">fbab.a </t>
  </si>
  <si>
    <t xml:space="preserve">dibp </t>
  </si>
  <si>
    <t xml:space="preserve">fbac.a </t>
  </si>
  <si>
    <t xml:space="preserve">fbad.a </t>
  </si>
  <si>
    <t xml:space="preserve">fbae.a </t>
  </si>
  <si>
    <t xml:space="preserve">fbaf.a </t>
  </si>
  <si>
    <t xml:space="preserve">fbba.hrc </t>
  </si>
  <si>
    <t>report1_sk</t>
  </si>
  <si>
    <t xml:space="preserve">fbbb.rsd </t>
  </si>
  <si>
    <t>junone7</t>
  </si>
  <si>
    <t xml:space="preserve">fbbc.p </t>
  </si>
  <si>
    <t xml:space="preserve">fbbd.rsd </t>
  </si>
  <si>
    <t xml:space="preserve">fbbe.p </t>
  </si>
  <si>
    <t xml:space="preserve">fbbf.rsd </t>
  </si>
  <si>
    <t xml:space="preserve">dibq </t>
  </si>
  <si>
    <t xml:space="preserve">fbca.p </t>
  </si>
  <si>
    <t xml:space="preserve">fbcb.tex </t>
  </si>
  <si>
    <t xml:space="preserve">fbcc.tex </t>
  </si>
  <si>
    <t xml:space="preserve">fbcd.tex </t>
  </si>
  <si>
    <t xml:space="preserve">fbce.rsd </t>
  </si>
  <si>
    <t xml:space="preserve">fbcf.p </t>
  </si>
  <si>
    <t xml:space="preserve">fbda.rsd </t>
  </si>
  <si>
    <t xml:space="preserve">fbdb.p </t>
  </si>
  <si>
    <t>junonl1</t>
  </si>
  <si>
    <t xml:space="preserve">dibr </t>
  </si>
  <si>
    <t xml:space="preserve">fbdc.rsd </t>
  </si>
  <si>
    <t>Lower Junon</t>
  </si>
  <si>
    <t xml:space="preserve">fbdd.p </t>
  </si>
  <si>
    <t xml:space="preserve">fbde.rsd </t>
  </si>
  <si>
    <t xml:space="preserve">fbdf.p </t>
  </si>
  <si>
    <t xml:space="preserve">fbea.rsd </t>
  </si>
  <si>
    <t xml:space="preserve">fbeb.p </t>
  </si>
  <si>
    <t xml:space="preserve">fbec.rsd </t>
  </si>
  <si>
    <t>junonl2</t>
  </si>
  <si>
    <t xml:space="preserve">dibt </t>
  </si>
  <si>
    <t xml:space="preserve">fbed.p </t>
  </si>
  <si>
    <t xml:space="preserve">fbee.rsd </t>
  </si>
  <si>
    <t xml:space="preserve">fbef.p </t>
  </si>
  <si>
    <t xml:space="preserve">fbfa.rsd </t>
  </si>
  <si>
    <t xml:space="preserve">fbfb.p </t>
  </si>
  <si>
    <t>junonl3</t>
  </si>
  <si>
    <t xml:space="preserve">fbfc.rsd </t>
  </si>
  <si>
    <t xml:space="preserve">dibu </t>
  </si>
  <si>
    <t xml:space="preserve">fbfd.p </t>
  </si>
  <si>
    <t xml:space="preserve">fbfe.rsd </t>
  </si>
  <si>
    <t xml:space="preserve">fbff.p </t>
  </si>
  <si>
    <t xml:space="preserve">fbga.rsd </t>
  </si>
  <si>
    <t>junonr1</t>
  </si>
  <si>
    <t xml:space="preserve">fbgb.p </t>
  </si>
  <si>
    <t xml:space="preserve">fbgc.rsd </t>
  </si>
  <si>
    <t xml:space="preserve">dibv </t>
  </si>
  <si>
    <t xml:space="preserve">fbgd.p </t>
  </si>
  <si>
    <t xml:space="preserve">fbge.hrc </t>
  </si>
  <si>
    <t>r_ketcy_sk</t>
  </si>
  <si>
    <t xml:space="preserve">fbgf.rsd </t>
  </si>
  <si>
    <t xml:space="preserve">fbha.p </t>
  </si>
  <si>
    <t>junonr2</t>
  </si>
  <si>
    <t xml:space="preserve">fbhb.rsd </t>
  </si>
  <si>
    <t xml:space="preserve">fbhc.p </t>
  </si>
  <si>
    <t xml:space="preserve">fbhd.rsd </t>
  </si>
  <si>
    <t xml:space="preserve">dibx </t>
  </si>
  <si>
    <t xml:space="preserve">fbhe.p </t>
  </si>
  <si>
    <t xml:space="preserve">fbhf.rsd </t>
  </si>
  <si>
    <t xml:space="preserve">fbia.p </t>
  </si>
  <si>
    <t xml:space="preserve">fbib.rsd </t>
  </si>
  <si>
    <t xml:space="preserve">fbic.p </t>
  </si>
  <si>
    <t>junonr3</t>
  </si>
  <si>
    <t xml:space="preserve">fbid.rsd </t>
  </si>
  <si>
    <t xml:space="preserve">fbie.p </t>
  </si>
  <si>
    <t xml:space="preserve">fbif.tex </t>
  </si>
  <si>
    <t xml:space="preserve">fbja.rsd </t>
  </si>
  <si>
    <t xml:space="preserve">diby </t>
  </si>
  <si>
    <t xml:space="preserve">fbjb.p </t>
  </si>
  <si>
    <t xml:space="preserve">fbjc.rsd </t>
  </si>
  <si>
    <t xml:space="preserve">fbjd.p </t>
  </si>
  <si>
    <t xml:space="preserve">fbje.rsd </t>
  </si>
  <si>
    <t>junonr4</t>
  </si>
  <si>
    <t xml:space="preserve">fbjf.p </t>
  </si>
  <si>
    <t xml:space="preserve">fcaa.rsd </t>
  </si>
  <si>
    <t xml:space="preserve">fcab.p </t>
  </si>
  <si>
    <t xml:space="preserve">fcac.a </t>
  </si>
  <si>
    <t xml:space="preserve">fcad.a </t>
  </si>
  <si>
    <t xml:space="preserve">fcae.a </t>
  </si>
  <si>
    <t xml:space="preserve">dibz </t>
  </si>
  <si>
    <t xml:space="preserve">fcaf.hrc </t>
  </si>
  <si>
    <t>report3_st</t>
  </si>
  <si>
    <t xml:space="preserve">fcba.rsd </t>
  </si>
  <si>
    <t xml:space="preserve">fcbb.p </t>
  </si>
  <si>
    <t xml:space="preserve">fcbc.rsd </t>
  </si>
  <si>
    <t>junpb.tut</t>
  </si>
  <si>
    <t xml:space="preserve">fcbd.p </t>
  </si>
  <si>
    <t>Respectable Inn - Tutorials</t>
  </si>
  <si>
    <t xml:space="preserve">fcbe.rsd </t>
  </si>
  <si>
    <t xml:space="preserve">fcbf.p </t>
  </si>
  <si>
    <t>junpb_1</t>
  </si>
  <si>
    <t>Shinra Member's Bar</t>
  </si>
  <si>
    <t xml:space="preserve">fcca.tex </t>
  </si>
  <si>
    <t xml:space="preserve">fccb.tex </t>
  </si>
  <si>
    <t xml:space="preserve">fccc.tex </t>
  </si>
  <si>
    <t xml:space="preserve">fccd.rsd </t>
  </si>
  <si>
    <t xml:space="preserve">dida </t>
  </si>
  <si>
    <t xml:space="preserve">fcce.p </t>
  </si>
  <si>
    <t xml:space="preserve">fccf.rsd </t>
  </si>
  <si>
    <t xml:space="preserve">djaa </t>
  </si>
  <si>
    <t>junpb_2</t>
  </si>
  <si>
    <t>Nerosuferoth: Battle Skeleton</t>
  </si>
  <si>
    <t>Respectable Inn</t>
  </si>
  <si>
    <t xml:space="preserve">fcda.p </t>
  </si>
  <si>
    <t xml:space="preserve">fcdb.rsd </t>
  </si>
  <si>
    <t xml:space="preserve">fcdc.p </t>
  </si>
  <si>
    <t xml:space="preserve">fcdd.rsd </t>
  </si>
  <si>
    <t xml:space="preserve">fcde.p </t>
  </si>
  <si>
    <t xml:space="preserve">fcdf.rsd </t>
  </si>
  <si>
    <t xml:space="preserve">fcea.p </t>
  </si>
  <si>
    <t xml:space="preserve">djab </t>
  </si>
  <si>
    <t xml:space="preserve">fceb.rsd </t>
  </si>
  <si>
    <t>junpb_3</t>
  </si>
  <si>
    <t>Nerosuferoth: Unidentified Part</t>
  </si>
  <si>
    <t xml:space="preserve">fcec.p </t>
  </si>
  <si>
    <t xml:space="preserve">fced.rsd </t>
  </si>
  <si>
    <t xml:space="preserve">fcee.p </t>
  </si>
  <si>
    <t xml:space="preserve">djam </t>
  </si>
  <si>
    <t xml:space="preserve">fcef.rsd </t>
  </si>
  <si>
    <t xml:space="preserve">fcfa.p </t>
  </si>
  <si>
    <t xml:space="preserve">fcfb.rsd </t>
  </si>
  <si>
    <t xml:space="preserve">fcfc.p </t>
  </si>
  <si>
    <t>junsbd1</t>
  </si>
  <si>
    <t xml:space="preserve">fcfd.rsd </t>
  </si>
  <si>
    <t>Submarine Dock</t>
  </si>
  <si>
    <t xml:space="preserve">fcfe.p </t>
  </si>
  <si>
    <t xml:space="preserve">djan </t>
  </si>
  <si>
    <t xml:space="preserve">fcff.rsd </t>
  </si>
  <si>
    <t xml:space="preserve">fcga.p </t>
  </si>
  <si>
    <t xml:space="preserve">fcgb.rsd </t>
  </si>
  <si>
    <t xml:space="preserve">fcgc.p </t>
  </si>
  <si>
    <t xml:space="preserve">fcgd.hrc </t>
  </si>
  <si>
    <t>report2_st</t>
  </si>
  <si>
    <t xml:space="preserve">fcge.rsd </t>
  </si>
  <si>
    <t>kuro_1</t>
  </si>
  <si>
    <t xml:space="preserve">fcgf.p </t>
  </si>
  <si>
    <t xml:space="preserve">fcia.tex </t>
  </si>
  <si>
    <t xml:space="preserve">djaq </t>
  </si>
  <si>
    <t xml:space="preserve">fcib.rsd </t>
  </si>
  <si>
    <t xml:space="preserve">fcic.p </t>
  </si>
  <si>
    <t xml:space="preserve">fcid.rsd </t>
  </si>
  <si>
    <t xml:space="preserve">fcie.p </t>
  </si>
  <si>
    <t xml:space="preserve">fcif.rsd </t>
  </si>
  <si>
    <t xml:space="preserve">fcja.p </t>
  </si>
  <si>
    <t xml:space="preserve">fcjb.rsd </t>
  </si>
  <si>
    <t>kuro_2</t>
  </si>
  <si>
    <t xml:space="preserve">fcjc.p </t>
  </si>
  <si>
    <t xml:space="preserve">djar </t>
  </si>
  <si>
    <t xml:space="preserve">fcjd.rsd </t>
  </si>
  <si>
    <t xml:space="preserve">fcje.p </t>
  </si>
  <si>
    <t xml:space="preserve">fcjf.rsd </t>
  </si>
  <si>
    <t xml:space="preserve">fcha.rsd </t>
  </si>
  <si>
    <t xml:space="preserve">fchb.p </t>
  </si>
  <si>
    <t xml:space="preserve">fchc.rsd </t>
  </si>
  <si>
    <t xml:space="preserve">fchd.p </t>
  </si>
  <si>
    <t xml:space="preserve">fche.tex </t>
  </si>
  <si>
    <t xml:space="preserve">fchf.tex </t>
  </si>
  <si>
    <t xml:space="preserve">fdaa.p </t>
  </si>
  <si>
    <t>kuro_3</t>
  </si>
  <si>
    <t xml:space="preserve">fdab.rsd </t>
  </si>
  <si>
    <t xml:space="preserve">djas </t>
  </si>
  <si>
    <t xml:space="preserve">fdac.p </t>
  </si>
  <si>
    <t xml:space="preserve">fdad.rsd </t>
  </si>
  <si>
    <t xml:space="preserve">fdae.p </t>
  </si>
  <si>
    <t xml:space="preserve">fdaf.rsd </t>
  </si>
  <si>
    <t xml:space="preserve">fdba.p </t>
  </si>
  <si>
    <t xml:space="preserve">fdbb.rsd </t>
  </si>
  <si>
    <t xml:space="preserve">fdbc.p </t>
  </si>
  <si>
    <t xml:space="preserve">fdbd.rsd </t>
  </si>
  <si>
    <t xml:space="preserve">fdbe.p </t>
  </si>
  <si>
    <t xml:space="preserve">fdbf.rsd </t>
  </si>
  <si>
    <t xml:space="preserve">fdca.p </t>
  </si>
  <si>
    <t xml:space="preserve">fdcb.a </t>
  </si>
  <si>
    <t>kuro_4</t>
  </si>
  <si>
    <t xml:space="preserve">fdcc.a </t>
  </si>
  <si>
    <t xml:space="preserve">fdcd.a </t>
  </si>
  <si>
    <t xml:space="preserve">fdce.a </t>
  </si>
  <si>
    <t xml:space="preserve">fdcf.a </t>
  </si>
  <si>
    <t xml:space="preserve">djat </t>
  </si>
  <si>
    <t xml:space="preserve">fdda.a </t>
  </si>
  <si>
    <t xml:space="preserve">fddb.a </t>
  </si>
  <si>
    <t xml:space="preserve">fddc.a </t>
  </si>
  <si>
    <t xml:space="preserve">fddd.a </t>
  </si>
  <si>
    <t xml:space="preserve">fdde.a </t>
  </si>
  <si>
    <t>kuro_5</t>
  </si>
  <si>
    <t xml:space="preserve">fddf.a </t>
  </si>
  <si>
    <t xml:space="preserve">fdea.a </t>
  </si>
  <si>
    <t xml:space="preserve">fdeb.a </t>
  </si>
  <si>
    <t xml:space="preserve">djau </t>
  </si>
  <si>
    <t xml:space="preserve">fdec.a </t>
  </si>
  <si>
    <t xml:space="preserve">fded.a </t>
  </si>
  <si>
    <t xml:space="preserve">fdee.a </t>
  </si>
  <si>
    <t xml:space="preserve">fdef.a </t>
  </si>
  <si>
    <t xml:space="preserve">fdfa.a </t>
  </si>
  <si>
    <t xml:space="preserve">fdfb.a </t>
  </si>
  <si>
    <t xml:space="preserve">fdfc.a </t>
  </si>
  <si>
    <t xml:space="preserve">fdfd.a </t>
  </si>
  <si>
    <t xml:space="preserve">fdfe.a </t>
  </si>
  <si>
    <t xml:space="preserve">fdff.a </t>
  </si>
  <si>
    <t>kuro_6</t>
  </si>
  <si>
    <t xml:space="preserve">fdga.a </t>
  </si>
  <si>
    <t xml:space="preserve">fdgb.a </t>
  </si>
  <si>
    <t xml:space="preserve">djaw </t>
  </si>
  <si>
    <t xml:space="preserve">fdgc.a </t>
  </si>
  <si>
    <t xml:space="preserve">fdgd.a </t>
  </si>
  <si>
    <t xml:space="preserve">fdge.a </t>
  </si>
  <si>
    <t xml:space="preserve">fdgf.a </t>
  </si>
  <si>
    <t xml:space="preserve">fdha.a </t>
  </si>
  <si>
    <t xml:space="preserve">fdhb.a </t>
  </si>
  <si>
    <t xml:space="preserve">fdhc.a </t>
  </si>
  <si>
    <t xml:space="preserve">fdhd.a </t>
  </si>
  <si>
    <t xml:space="preserve">fdhe.a </t>
  </si>
  <si>
    <t xml:space="preserve">fdhf.a </t>
  </si>
  <si>
    <t xml:space="preserve">fdia.a </t>
  </si>
  <si>
    <t xml:space="preserve">fdib.a </t>
  </si>
  <si>
    <t>kuro_7</t>
  </si>
  <si>
    <t xml:space="preserve">fdic.a </t>
  </si>
  <si>
    <t xml:space="preserve">fdid.a </t>
  </si>
  <si>
    <t xml:space="preserve">djaz </t>
  </si>
  <si>
    <t xml:space="preserve">fdie.a </t>
  </si>
  <si>
    <t xml:space="preserve">fdif.a </t>
  </si>
  <si>
    <t xml:space="preserve">fdja.a </t>
  </si>
  <si>
    <t xml:space="preserve">fdjb.a </t>
  </si>
  <si>
    <t xml:space="preserve">fdjc.a </t>
  </si>
  <si>
    <t xml:space="preserve">fdjd.a </t>
  </si>
  <si>
    <t xml:space="preserve">fdje.a </t>
  </si>
  <si>
    <t xml:space="preserve">fdjf.a </t>
  </si>
  <si>
    <t xml:space="preserve">feaa.a </t>
  </si>
  <si>
    <t xml:space="preserve">feab.a </t>
  </si>
  <si>
    <t xml:space="preserve">feac.a </t>
  </si>
  <si>
    <t xml:space="preserve">fead.a </t>
  </si>
  <si>
    <t xml:space="preserve">feae.a </t>
  </si>
  <si>
    <t>kuro_8</t>
  </si>
  <si>
    <t xml:space="preserve">djba </t>
  </si>
  <si>
    <t xml:space="preserve">feaf.a </t>
  </si>
  <si>
    <t xml:space="preserve">feba.a </t>
  </si>
  <si>
    <t xml:space="preserve">febb.a </t>
  </si>
  <si>
    <t xml:space="preserve">febc.a </t>
  </si>
  <si>
    <t xml:space="preserve">febd.a </t>
  </si>
  <si>
    <t xml:space="preserve">febe.a </t>
  </si>
  <si>
    <t xml:space="preserve">febf.a </t>
  </si>
  <si>
    <t xml:space="preserve">feca.a </t>
  </si>
  <si>
    <t xml:space="preserve">fecb.a </t>
  </si>
  <si>
    <t xml:space="preserve">fecc.a </t>
  </si>
  <si>
    <t xml:space="preserve">fecd.a </t>
  </si>
  <si>
    <t xml:space="preserve">fece.a </t>
  </si>
  <si>
    <t xml:space="preserve">fecf.a </t>
  </si>
  <si>
    <t xml:space="preserve">djbb </t>
  </si>
  <si>
    <t xml:space="preserve">feda.a </t>
  </si>
  <si>
    <t>kuro_82</t>
  </si>
  <si>
    <t xml:space="preserve">fedb.a </t>
  </si>
  <si>
    <t xml:space="preserve">fedc.a </t>
  </si>
  <si>
    <t xml:space="preserve">fedd.a </t>
  </si>
  <si>
    <t xml:space="preserve">fede.a </t>
  </si>
  <si>
    <t xml:space="preserve">fedf.a </t>
  </si>
  <si>
    <t xml:space="preserve">feea.hrc </t>
  </si>
  <si>
    <t>r_yufi_sk</t>
  </si>
  <si>
    <t xml:space="preserve">feeb.rsd </t>
  </si>
  <si>
    <t xml:space="preserve">feec.p </t>
  </si>
  <si>
    <t xml:space="preserve">feed.rsd </t>
  </si>
  <si>
    <t xml:space="preserve">feee.p </t>
  </si>
  <si>
    <t xml:space="preserve">feef.rsd </t>
  </si>
  <si>
    <t>kuro_9</t>
  </si>
  <si>
    <t xml:space="preserve">djbf </t>
  </si>
  <si>
    <t xml:space="preserve">fefa.p </t>
  </si>
  <si>
    <t xml:space="preserve">fefb.tex </t>
  </si>
  <si>
    <t xml:space="preserve">fefc.tex </t>
  </si>
  <si>
    <t xml:space="preserve">fefd.tex </t>
  </si>
  <si>
    <t xml:space="preserve">fefe.rsd </t>
  </si>
  <si>
    <t>kuro_10</t>
  </si>
  <si>
    <t xml:space="preserve">djbg </t>
  </si>
  <si>
    <t xml:space="preserve">feff.p </t>
  </si>
  <si>
    <t xml:space="preserve">fega.rsd </t>
  </si>
  <si>
    <t xml:space="preserve">fegb.p </t>
  </si>
  <si>
    <t xml:space="preserve">fegc.rsd </t>
  </si>
  <si>
    <t xml:space="preserve">fegd.p </t>
  </si>
  <si>
    <t xml:space="preserve">fege.rsd </t>
  </si>
  <si>
    <t>kuro_11</t>
  </si>
  <si>
    <t xml:space="preserve">fegf.p </t>
  </si>
  <si>
    <t xml:space="preserve">djbh </t>
  </si>
  <si>
    <t xml:space="preserve">feha.rsd </t>
  </si>
  <si>
    <t xml:space="preserve">fehb.p </t>
  </si>
  <si>
    <t xml:space="preserve">fehc.rsd </t>
  </si>
  <si>
    <t xml:space="preserve">fehd.p </t>
  </si>
  <si>
    <t xml:space="preserve">fehe.rsd </t>
  </si>
  <si>
    <t xml:space="preserve">fehf.p </t>
  </si>
  <si>
    <t>kuro_12</t>
  </si>
  <si>
    <t xml:space="preserve">djbk </t>
  </si>
  <si>
    <t xml:space="preserve">feia.rsd </t>
  </si>
  <si>
    <t xml:space="preserve">feib.p </t>
  </si>
  <si>
    <t xml:space="preserve">feic.rsd </t>
  </si>
  <si>
    <t xml:space="preserve">feid.p </t>
  </si>
  <si>
    <t xml:space="preserve">feie.rsd </t>
  </si>
  <si>
    <t>las0_1</t>
  </si>
  <si>
    <t xml:space="preserve">djbl </t>
  </si>
  <si>
    <t xml:space="preserve">feif.p </t>
  </si>
  <si>
    <t>Highwind, on deck</t>
  </si>
  <si>
    <t xml:space="preserve">feja.rsd </t>
  </si>
  <si>
    <t xml:space="preserve">fejb.p </t>
  </si>
  <si>
    <t xml:space="preserve">fejc.rsd </t>
  </si>
  <si>
    <t xml:space="preserve">fejd.p </t>
  </si>
  <si>
    <t xml:space="preserve">feje.rsd </t>
  </si>
  <si>
    <t xml:space="preserve">fejf.p </t>
  </si>
  <si>
    <t>las0_2</t>
  </si>
  <si>
    <t>Northern Cave</t>
  </si>
  <si>
    <t xml:space="preserve">ffaa.rsd </t>
  </si>
  <si>
    <t xml:space="preserve">djbm </t>
  </si>
  <si>
    <t xml:space="preserve">ffab.p </t>
  </si>
  <si>
    <t xml:space="preserve">ffac.a </t>
  </si>
  <si>
    <t xml:space="preserve">ffad.a </t>
  </si>
  <si>
    <t xml:space="preserve">ffae.a </t>
  </si>
  <si>
    <t xml:space="preserve">ffaf.a </t>
  </si>
  <si>
    <t xml:space="preserve">ffba.a </t>
  </si>
  <si>
    <t>las0_3</t>
  </si>
  <si>
    <t xml:space="preserve">ffbb.a </t>
  </si>
  <si>
    <t>Northern Cave Crater</t>
  </si>
  <si>
    <t xml:space="preserve">ffbc.a </t>
  </si>
  <si>
    <t xml:space="preserve">ffbd.a </t>
  </si>
  <si>
    <t xml:space="preserve">djbn </t>
  </si>
  <si>
    <t xml:space="preserve">ffbe.a </t>
  </si>
  <si>
    <t xml:space="preserve">ffbf.a </t>
  </si>
  <si>
    <t xml:space="preserve">ffca.a </t>
  </si>
  <si>
    <t xml:space="preserve">ffcb.a </t>
  </si>
  <si>
    <t>las0_4</t>
  </si>
  <si>
    <t xml:space="preserve">ffcc.a </t>
  </si>
  <si>
    <t xml:space="preserve">ffcd.a </t>
  </si>
  <si>
    <t xml:space="preserve">ffce.a </t>
  </si>
  <si>
    <t xml:space="preserve">ffcf.a </t>
  </si>
  <si>
    <t xml:space="preserve">djbo </t>
  </si>
  <si>
    <t xml:space="preserve">ffda.a </t>
  </si>
  <si>
    <t xml:space="preserve">ffdb.a </t>
  </si>
  <si>
    <t xml:space="preserve">ffdc.a </t>
  </si>
  <si>
    <t>las0_5</t>
  </si>
  <si>
    <t xml:space="preserve">ffdd.a </t>
  </si>
  <si>
    <t>Inside Northern Cave</t>
  </si>
  <si>
    <t xml:space="preserve">ffde.a </t>
  </si>
  <si>
    <t xml:space="preserve">ffdf.a </t>
  </si>
  <si>
    <t xml:space="preserve">ffea.a </t>
  </si>
  <si>
    <t xml:space="preserve">ffeb.a </t>
  </si>
  <si>
    <t xml:space="preserve">djbp </t>
  </si>
  <si>
    <t xml:space="preserve">ffec.hrc </t>
  </si>
  <si>
    <t>fish1_sk</t>
  </si>
  <si>
    <t xml:space="preserve">ffed.rsd </t>
  </si>
  <si>
    <t>las0_6</t>
  </si>
  <si>
    <t xml:space="preserve">ffee.p </t>
  </si>
  <si>
    <t xml:space="preserve">ffef.rsd </t>
  </si>
  <si>
    <t xml:space="preserve">fffa.p </t>
  </si>
  <si>
    <t xml:space="preserve">fffb.rsd </t>
  </si>
  <si>
    <t xml:space="preserve">fffc.p </t>
  </si>
  <si>
    <t xml:space="preserve">fffd.rsd </t>
  </si>
  <si>
    <t xml:space="preserve">djda </t>
  </si>
  <si>
    <t xml:space="preserve">fffe.p </t>
  </si>
  <si>
    <t xml:space="preserve">ffff.rsd </t>
  </si>
  <si>
    <t>las0_7</t>
  </si>
  <si>
    <t xml:space="preserve">ffga.p </t>
  </si>
  <si>
    <t xml:space="preserve">dkaa </t>
  </si>
  <si>
    <t xml:space="preserve">ffgb.rsd </t>
  </si>
  <si>
    <t>Hell Rider VR2: Battle Skeleton</t>
  </si>
  <si>
    <t xml:space="preserve">ffgc.p </t>
  </si>
  <si>
    <t xml:space="preserve">ffgd.rsd </t>
  </si>
  <si>
    <t xml:space="preserve">ffge.p </t>
  </si>
  <si>
    <t xml:space="preserve">ffgf.a </t>
  </si>
  <si>
    <t xml:space="preserve">ffha.hrc </t>
  </si>
  <si>
    <t>fish3_sk</t>
  </si>
  <si>
    <t>las0_8</t>
  </si>
  <si>
    <t xml:space="preserve">ffhb.rsd </t>
  </si>
  <si>
    <t xml:space="preserve">ffhc.p </t>
  </si>
  <si>
    <t xml:space="preserve">dkab </t>
  </si>
  <si>
    <t xml:space="preserve">ffhd.rsd </t>
  </si>
  <si>
    <t>Hell Rider VR2: Unidentified Part</t>
  </si>
  <si>
    <t xml:space="preserve">ffhe.p </t>
  </si>
  <si>
    <t xml:space="preserve">ffhf.rsd </t>
  </si>
  <si>
    <t xml:space="preserve">dkam </t>
  </si>
  <si>
    <t xml:space="preserve">ffia.p </t>
  </si>
  <si>
    <t>6.8 K</t>
  </si>
  <si>
    <t xml:space="preserve">ffib.rsd </t>
  </si>
  <si>
    <t>las1_1</t>
  </si>
  <si>
    <t xml:space="preserve">ffic.p </t>
  </si>
  <si>
    <t xml:space="preserve">ffid.rsd </t>
  </si>
  <si>
    <t xml:space="preserve">ffie.p </t>
  </si>
  <si>
    <t xml:space="preserve">ffif.rsd </t>
  </si>
  <si>
    <t xml:space="preserve">ffja.p </t>
  </si>
  <si>
    <t xml:space="preserve">ffjb.rsd </t>
  </si>
  <si>
    <t xml:space="preserve">ffjc.p </t>
  </si>
  <si>
    <t xml:space="preserve">ffjd.rsd </t>
  </si>
  <si>
    <t xml:space="preserve">ffje.p </t>
  </si>
  <si>
    <t xml:space="preserve">ffjf.rsd </t>
  </si>
  <si>
    <t xml:space="preserve">fgaa.p </t>
  </si>
  <si>
    <t>las1_2</t>
  </si>
  <si>
    <t xml:space="preserve">fgab.rsd </t>
  </si>
  <si>
    <t xml:space="preserve">fgac.p </t>
  </si>
  <si>
    <t xml:space="preserve">fgad.a </t>
  </si>
  <si>
    <t xml:space="preserve">dkao </t>
  </si>
  <si>
    <t xml:space="preserve">fgae.hrc </t>
  </si>
  <si>
    <t>fish2_sk</t>
  </si>
  <si>
    <t xml:space="preserve">fgaf.rsd </t>
  </si>
  <si>
    <t xml:space="preserve">fgba.p </t>
  </si>
  <si>
    <t xml:space="preserve">fgbb.rsd </t>
  </si>
  <si>
    <t xml:space="preserve">fgbc.p </t>
  </si>
  <si>
    <t xml:space="preserve">fgbd.rsd </t>
  </si>
  <si>
    <t xml:space="preserve">fgbe.p </t>
  </si>
  <si>
    <t xml:space="preserve">fgbf.rsd </t>
  </si>
  <si>
    <t xml:space="preserve">fgca.p </t>
  </si>
  <si>
    <t>las1_3</t>
  </si>
  <si>
    <t xml:space="preserve">fgcb.rsd </t>
  </si>
  <si>
    <t xml:space="preserve">dkap </t>
  </si>
  <si>
    <t xml:space="preserve">fgcc.p </t>
  </si>
  <si>
    <t xml:space="preserve">fgcd.rsd </t>
  </si>
  <si>
    <t xml:space="preserve">fgce.p </t>
  </si>
  <si>
    <t xml:space="preserve">fgcf.rsd </t>
  </si>
  <si>
    <t xml:space="preserve">fgda.p </t>
  </si>
  <si>
    <t xml:space="preserve">fgdb.rsd </t>
  </si>
  <si>
    <t xml:space="preserve">fgdc.p </t>
  </si>
  <si>
    <t xml:space="preserve">fgdd.rsd </t>
  </si>
  <si>
    <t>las1_4</t>
  </si>
  <si>
    <t xml:space="preserve">fgde.p </t>
  </si>
  <si>
    <t xml:space="preserve">fgdf.rsd </t>
  </si>
  <si>
    <t xml:space="preserve">fgea.p </t>
  </si>
  <si>
    <t xml:space="preserve">fgeb.a </t>
  </si>
  <si>
    <t xml:space="preserve">dkaq </t>
  </si>
  <si>
    <t xml:space="preserve">fgec.hrc </t>
  </si>
  <si>
    <t>semkwnd_sk</t>
  </si>
  <si>
    <t xml:space="preserve">fged.rsd </t>
  </si>
  <si>
    <t xml:space="preserve">fgee.p </t>
  </si>
  <si>
    <t>las2_1</t>
  </si>
  <si>
    <t xml:space="preserve">fgef.tex </t>
  </si>
  <si>
    <t xml:space="preserve">fgfa.a </t>
  </si>
  <si>
    <t xml:space="preserve">fgfb.hrc </t>
  </si>
  <si>
    <t xml:space="preserve">fgfc.rsd </t>
  </si>
  <si>
    <t xml:space="preserve">fgfd.p </t>
  </si>
  <si>
    <t xml:space="preserve">fgfe.rsd </t>
  </si>
  <si>
    <t xml:space="preserve">fgff.p </t>
  </si>
  <si>
    <t xml:space="preserve">fgga.rsd </t>
  </si>
  <si>
    <t>las2_2</t>
  </si>
  <si>
    <t xml:space="preserve">fggb.p </t>
  </si>
  <si>
    <t xml:space="preserve">dkas </t>
  </si>
  <si>
    <t xml:space="preserve">fggc.rsd </t>
  </si>
  <si>
    <t xml:space="preserve">fggd.p </t>
  </si>
  <si>
    <t xml:space="preserve">fgge.rsd </t>
  </si>
  <si>
    <t xml:space="preserve">fggf.p </t>
  </si>
  <si>
    <t xml:space="preserve">fgha.rsd </t>
  </si>
  <si>
    <t xml:space="preserve">fghb.p </t>
  </si>
  <si>
    <t xml:space="preserve">fghc.a </t>
  </si>
  <si>
    <t xml:space="preserve">fghd.a </t>
  </si>
  <si>
    <t>las2_3</t>
  </si>
  <si>
    <t xml:space="preserve">fghe.a </t>
  </si>
  <si>
    <t xml:space="preserve">fghf.hrc </t>
  </si>
  <si>
    <t>hmtra_sk</t>
  </si>
  <si>
    <t xml:space="preserve">fgia.rsd </t>
  </si>
  <si>
    <t xml:space="preserve">dkat </t>
  </si>
  <si>
    <t xml:space="preserve">fgib.p </t>
  </si>
  <si>
    <t>las2_4</t>
  </si>
  <si>
    <t xml:space="preserve">fgic.tex </t>
  </si>
  <si>
    <t xml:space="preserve">fgid.rsd </t>
  </si>
  <si>
    <t xml:space="preserve">fgie.p </t>
  </si>
  <si>
    <t xml:space="preserve">fgif.a </t>
  </si>
  <si>
    <t xml:space="preserve">fgja.a </t>
  </si>
  <si>
    <t>las3_1</t>
  </si>
  <si>
    <t xml:space="preserve">fgjb.a </t>
  </si>
  <si>
    <t xml:space="preserve">fgjc.a </t>
  </si>
  <si>
    <t xml:space="preserve">dkav </t>
  </si>
  <si>
    <t xml:space="preserve">fgjd.a </t>
  </si>
  <si>
    <t xml:space="preserve">fgje.a </t>
  </si>
  <si>
    <t xml:space="preserve">fgjf.a </t>
  </si>
  <si>
    <t>las3_2</t>
  </si>
  <si>
    <t xml:space="preserve">fhaa.hrc </t>
  </si>
  <si>
    <t>kaitei_sk</t>
  </si>
  <si>
    <t xml:space="preserve">fhab.rsd </t>
  </si>
  <si>
    <t xml:space="preserve">fhac.p </t>
  </si>
  <si>
    <t xml:space="preserve">fhad.rsd </t>
  </si>
  <si>
    <t>las3_3</t>
  </si>
  <si>
    <t xml:space="preserve">fhae.p </t>
  </si>
  <si>
    <t xml:space="preserve">dkaw </t>
  </si>
  <si>
    <t xml:space="preserve">fhaf.rsd </t>
  </si>
  <si>
    <t xml:space="preserve">fhba.p </t>
  </si>
  <si>
    <t xml:space="preserve">fhbb.rsd </t>
  </si>
  <si>
    <t xml:space="preserve">fhbc.p </t>
  </si>
  <si>
    <t>las4_0</t>
  </si>
  <si>
    <t xml:space="preserve">fhbd.rsd </t>
  </si>
  <si>
    <t>Bottom of Northern Cave</t>
  </si>
  <si>
    <t xml:space="preserve">fhbe.p </t>
  </si>
  <si>
    <t xml:space="preserve">fhbf.rsd </t>
  </si>
  <si>
    <t xml:space="preserve">fhca.p </t>
  </si>
  <si>
    <t xml:space="preserve">fhcb.rsd </t>
  </si>
  <si>
    <t xml:space="preserve">dkay </t>
  </si>
  <si>
    <t xml:space="preserve">fhcc.p </t>
  </si>
  <si>
    <t xml:space="preserve">fhcd.rsd </t>
  </si>
  <si>
    <t xml:space="preserve">fhce.p </t>
  </si>
  <si>
    <t xml:space="preserve">fhcf.rsd </t>
  </si>
  <si>
    <t xml:space="preserve">fhda.p </t>
  </si>
  <si>
    <t xml:space="preserve">fhdb.rsd </t>
  </si>
  <si>
    <t>las4_1</t>
  </si>
  <si>
    <t xml:space="preserve">fhdc.p </t>
  </si>
  <si>
    <t xml:space="preserve">fhdd.rsd </t>
  </si>
  <si>
    <t xml:space="preserve">fhde.p </t>
  </si>
  <si>
    <t xml:space="preserve">fhdf.rsd </t>
  </si>
  <si>
    <t xml:space="preserve">fhea.p </t>
  </si>
  <si>
    <t xml:space="preserve">fheb.rsd </t>
  </si>
  <si>
    <t xml:space="preserve">dkaz </t>
  </si>
  <si>
    <t xml:space="preserve">fhec.p </t>
  </si>
  <si>
    <t xml:space="preserve">fhed.rsd </t>
  </si>
  <si>
    <t>las4_2</t>
  </si>
  <si>
    <t xml:space="preserve">fhee.p </t>
  </si>
  <si>
    <t>Inside the Planet</t>
  </si>
  <si>
    <t xml:space="preserve">fhef.rsd </t>
  </si>
  <si>
    <t xml:space="preserve">fhfa.p </t>
  </si>
  <si>
    <t xml:space="preserve">fhfb.rsd </t>
  </si>
  <si>
    <t xml:space="preserve">fhfc.p </t>
  </si>
  <si>
    <t xml:space="preserve">fhfd.rsd </t>
  </si>
  <si>
    <t xml:space="preserve">fhfe.p </t>
  </si>
  <si>
    <t xml:space="preserve">dkba </t>
  </si>
  <si>
    <t xml:space="preserve">fhff.rsd </t>
  </si>
  <si>
    <t xml:space="preserve">fhga.p </t>
  </si>
  <si>
    <t>las4_3</t>
  </si>
  <si>
    <t xml:space="preserve">fhgb.rsd </t>
  </si>
  <si>
    <t xml:space="preserve">fhgc.p </t>
  </si>
  <si>
    <t xml:space="preserve">fhgd.rsd </t>
  </si>
  <si>
    <t xml:space="preserve">fhge.p </t>
  </si>
  <si>
    <t xml:space="preserve">fhgf.rsd </t>
  </si>
  <si>
    <t xml:space="preserve">fhha.p </t>
  </si>
  <si>
    <t xml:space="preserve">fhhb.a </t>
  </si>
  <si>
    <t>las4_4</t>
  </si>
  <si>
    <t xml:space="preserve">fhhc.a </t>
  </si>
  <si>
    <t xml:space="preserve">fhhd.a </t>
  </si>
  <si>
    <t xml:space="preserve">fhhe.a </t>
  </si>
  <si>
    <t xml:space="preserve">dkbb </t>
  </si>
  <si>
    <t xml:space="preserve">fhhf.a </t>
  </si>
  <si>
    <t xml:space="preserve">fhia.a </t>
  </si>
  <si>
    <t>las4_42</t>
  </si>
  <si>
    <t xml:space="preserve">fhib.a </t>
  </si>
  <si>
    <t xml:space="preserve">fhic.hrc </t>
  </si>
  <si>
    <t>ujneldru_sk</t>
  </si>
  <si>
    <t xml:space="preserve">fhid.rsd </t>
  </si>
  <si>
    <t xml:space="preserve">fhie.p </t>
  </si>
  <si>
    <t xml:space="preserve">fhif.tex </t>
  </si>
  <si>
    <t xml:space="preserve">fhja.a </t>
  </si>
  <si>
    <t xml:space="preserve">fhjb.hrc </t>
  </si>
  <si>
    <t>ujneldrd_sk</t>
  </si>
  <si>
    <t>lastmap</t>
  </si>
  <si>
    <t xml:space="preserve">fhjc.rsd </t>
  </si>
  <si>
    <t>Last stage Sephiroth battle</t>
  </si>
  <si>
    <t xml:space="preserve">fhjd.p </t>
  </si>
  <si>
    <t>Final</t>
  </si>
  <si>
    <t xml:space="preserve">fhje.tex </t>
  </si>
  <si>
    <t xml:space="preserve">fhjf.tex </t>
  </si>
  <si>
    <t xml:space="preserve">fiaa.a </t>
  </si>
  <si>
    <t xml:space="preserve">dkbd </t>
  </si>
  <si>
    <t xml:space="preserve">fiab.a </t>
  </si>
  <si>
    <t>life</t>
  </si>
  <si>
    <t xml:space="preserve">fiac.a </t>
  </si>
  <si>
    <t>Cloud and tifa getting out of the lifestream</t>
  </si>
  <si>
    <t xml:space="preserve">fiad.a </t>
  </si>
  <si>
    <t xml:space="preserve">fiae.a </t>
  </si>
  <si>
    <t xml:space="preserve">fiaf.a </t>
  </si>
  <si>
    <t xml:space="preserve">fiba.hrc </t>
  </si>
  <si>
    <t>maru_st</t>
  </si>
  <si>
    <t xml:space="preserve">fibb.rsd </t>
  </si>
  <si>
    <t xml:space="preserve">fibc.p </t>
  </si>
  <si>
    <t xml:space="preserve">fibd.rsd </t>
  </si>
  <si>
    <t>life2</t>
  </si>
  <si>
    <t xml:space="preserve">fibe.p </t>
  </si>
  <si>
    <t xml:space="preserve">fibf.rsd </t>
  </si>
  <si>
    <t xml:space="preserve">fica.p </t>
  </si>
  <si>
    <t xml:space="preserve">ficb.rsd </t>
  </si>
  <si>
    <t xml:space="preserve">ficc.p </t>
  </si>
  <si>
    <t xml:space="preserve">ficd.rsd </t>
  </si>
  <si>
    <t xml:space="preserve">dkbe </t>
  </si>
  <si>
    <t xml:space="preserve">fice.p </t>
  </si>
  <si>
    <t xml:space="preserve">ficf.rsd </t>
  </si>
  <si>
    <t>losin1</t>
  </si>
  <si>
    <t>Corel Valley</t>
  </si>
  <si>
    <t xml:space="preserve">fida.p </t>
  </si>
  <si>
    <t xml:space="preserve">fidb.rsd </t>
  </si>
  <si>
    <t xml:space="preserve">fidc.p </t>
  </si>
  <si>
    <t xml:space="preserve">fidd.rsd </t>
  </si>
  <si>
    <t xml:space="preserve">fide.p </t>
  </si>
  <si>
    <t xml:space="preserve">fidf.rsd </t>
  </si>
  <si>
    <t>losin2</t>
  </si>
  <si>
    <t xml:space="preserve">fiea.p </t>
  </si>
  <si>
    <t xml:space="preserve">fieb.rsd </t>
  </si>
  <si>
    <t xml:space="preserve">fiec.p </t>
  </si>
  <si>
    <t xml:space="preserve">fied.rsd </t>
  </si>
  <si>
    <t xml:space="preserve">fiee.p </t>
  </si>
  <si>
    <t xml:space="preserve">dkbf </t>
  </si>
  <si>
    <t xml:space="preserve">fief.rsd </t>
  </si>
  <si>
    <t>losin3</t>
  </si>
  <si>
    <t xml:space="preserve">fifa.p </t>
  </si>
  <si>
    <t xml:space="preserve">fifb.rsd </t>
  </si>
  <si>
    <t xml:space="preserve">fifc.p </t>
  </si>
  <si>
    <t xml:space="preserve">fifd.rsd </t>
  </si>
  <si>
    <t xml:space="preserve">fife.p </t>
  </si>
  <si>
    <t xml:space="preserve">fiff.rsd </t>
  </si>
  <si>
    <t xml:space="preserve">figa.p </t>
  </si>
  <si>
    <t>losinn</t>
  </si>
  <si>
    <t xml:space="preserve">figb.rsd </t>
  </si>
  <si>
    <t>Corel Valley: Inn</t>
  </si>
  <si>
    <t xml:space="preserve">figc.p </t>
  </si>
  <si>
    <t xml:space="preserve">figd.rsd </t>
  </si>
  <si>
    <t xml:space="preserve">fige.p </t>
  </si>
  <si>
    <t xml:space="preserve">figf.rsd </t>
  </si>
  <si>
    <t xml:space="preserve">dkbh </t>
  </si>
  <si>
    <t xml:space="preserve">fiha.p </t>
  </si>
  <si>
    <t xml:space="preserve">fihb.rsd </t>
  </si>
  <si>
    <t xml:space="preserve">fihc.p </t>
  </si>
  <si>
    <t xml:space="preserve">fihd.rsd </t>
  </si>
  <si>
    <t xml:space="preserve">fihe.p </t>
  </si>
  <si>
    <t xml:space="preserve">fihf.a </t>
  </si>
  <si>
    <t xml:space="preserve">fiia.a </t>
  </si>
  <si>
    <t>loslake1</t>
  </si>
  <si>
    <t xml:space="preserve">fiib.a </t>
  </si>
  <si>
    <t>Forgotten Capital</t>
  </si>
  <si>
    <t xml:space="preserve">fiic.a </t>
  </si>
  <si>
    <t xml:space="preserve">fiid.a </t>
  </si>
  <si>
    <t xml:space="preserve">fiie.a </t>
  </si>
  <si>
    <t xml:space="preserve">fiif.a </t>
  </si>
  <si>
    <t xml:space="preserve">dkbi </t>
  </si>
  <si>
    <t xml:space="preserve">fija.a </t>
  </si>
  <si>
    <t xml:space="preserve">fijb.a </t>
  </si>
  <si>
    <t>loslake2</t>
  </si>
  <si>
    <t xml:space="preserve">fijc.a </t>
  </si>
  <si>
    <t xml:space="preserve">fijd.a </t>
  </si>
  <si>
    <t xml:space="preserve">fije.a </t>
  </si>
  <si>
    <t xml:space="preserve">fijf.a </t>
  </si>
  <si>
    <t xml:space="preserve">fjaa.a </t>
  </si>
  <si>
    <t xml:space="preserve">fjab.a </t>
  </si>
  <si>
    <t>loslake3</t>
  </si>
  <si>
    <t xml:space="preserve">fjac.a </t>
  </si>
  <si>
    <t xml:space="preserve">fjad.a </t>
  </si>
  <si>
    <t xml:space="preserve">dkbj </t>
  </si>
  <si>
    <t xml:space="preserve">fjae.a </t>
  </si>
  <si>
    <t xml:space="preserve">fjaf.hrc </t>
  </si>
  <si>
    <t>mark_sk</t>
  </si>
  <si>
    <t xml:space="preserve">fjba.rsd </t>
  </si>
  <si>
    <t xml:space="preserve">fjbb.p </t>
  </si>
  <si>
    <t xml:space="preserve">fjbc.a </t>
  </si>
  <si>
    <t>lost1</t>
  </si>
  <si>
    <t xml:space="preserve">fjbd.hrc </t>
  </si>
  <si>
    <t>hai_sk</t>
  </si>
  <si>
    <t xml:space="preserve">fjbe.rsd </t>
  </si>
  <si>
    <t xml:space="preserve">fjbf.p </t>
  </si>
  <si>
    <t xml:space="preserve">fjca.a </t>
  </si>
  <si>
    <t xml:space="preserve">fjcb.a </t>
  </si>
  <si>
    <t xml:space="preserve">dkbk </t>
  </si>
  <si>
    <t>lost2</t>
  </si>
  <si>
    <t xml:space="preserve">fjcc.a </t>
  </si>
  <si>
    <t xml:space="preserve">fjcd.a </t>
  </si>
  <si>
    <t xml:space="preserve">fjce.a </t>
  </si>
  <si>
    <t xml:space="preserve">fjcf.hrc </t>
  </si>
  <si>
    <t>c_red_sk</t>
  </si>
  <si>
    <t xml:space="preserve">fjda.rsd </t>
  </si>
  <si>
    <t>lost3</t>
  </si>
  <si>
    <t xml:space="preserve">fjdb.p </t>
  </si>
  <si>
    <t xml:space="preserve">fjdc.rsd </t>
  </si>
  <si>
    <t xml:space="preserve">fjdd.p </t>
  </si>
  <si>
    <t xml:space="preserve">fjde.rsd </t>
  </si>
  <si>
    <t xml:space="preserve">dkbl </t>
  </si>
  <si>
    <t xml:space="preserve">fjdf.p </t>
  </si>
  <si>
    <t xml:space="preserve">fjea.rsd </t>
  </si>
  <si>
    <t xml:space="preserve">fjeb.p </t>
  </si>
  <si>
    <t>maplist</t>
  </si>
  <si>
    <t xml:space="preserve">fjec.rsd </t>
  </si>
  <si>
    <t xml:space="preserve">fjed.p </t>
  </si>
  <si>
    <t xml:space="preserve">fjee.rsd </t>
  </si>
  <si>
    <t xml:space="preserve">fjef.p </t>
  </si>
  <si>
    <t>md_e1</t>
  </si>
  <si>
    <t>Shin-Ra tower when meteor falls</t>
  </si>
  <si>
    <t xml:space="preserve">fjfa.rsd </t>
  </si>
  <si>
    <t xml:space="preserve">fjfb.p </t>
  </si>
  <si>
    <t xml:space="preserve">fjfc.rsd </t>
  </si>
  <si>
    <t xml:space="preserve">fjfd.p </t>
  </si>
  <si>
    <t xml:space="preserve">dkbm </t>
  </si>
  <si>
    <t xml:space="preserve">fjfe.rsd </t>
  </si>
  <si>
    <t xml:space="preserve">fjff.p </t>
  </si>
  <si>
    <t>md0</t>
  </si>
  <si>
    <t>Shin-ra tower</t>
  </si>
  <si>
    <t xml:space="preserve">fjga.rsd </t>
  </si>
  <si>
    <t xml:space="preserve">fjgb.p </t>
  </si>
  <si>
    <t xml:space="preserve">fjgc.rsd </t>
  </si>
  <si>
    <t xml:space="preserve">fjgd.p </t>
  </si>
  <si>
    <t xml:space="preserve">fjge.rsd </t>
  </si>
  <si>
    <t xml:space="preserve">fjgf.p </t>
  </si>
  <si>
    <t xml:space="preserve">dkbp </t>
  </si>
  <si>
    <t xml:space="preserve">fjha.rsd </t>
  </si>
  <si>
    <t>md1_1</t>
  </si>
  <si>
    <t xml:space="preserve">fjhb.p </t>
  </si>
  <si>
    <t xml:space="preserve">fjhc.rsd </t>
  </si>
  <si>
    <t xml:space="preserve">fjhd.p </t>
  </si>
  <si>
    <t xml:space="preserve">fjhe.rsd </t>
  </si>
  <si>
    <t xml:space="preserve">fjhf.p </t>
  </si>
  <si>
    <t xml:space="preserve">fjia.rsd </t>
  </si>
  <si>
    <t xml:space="preserve">fjib.p </t>
  </si>
  <si>
    <t xml:space="preserve">fjic.rsd </t>
  </si>
  <si>
    <t>md1_2</t>
  </si>
  <si>
    <t xml:space="preserve">fjid.p </t>
  </si>
  <si>
    <t>Sector 1 outside reactor</t>
  </si>
  <si>
    <t xml:space="preserve">dkbq </t>
  </si>
  <si>
    <t xml:space="preserve">fjie.rsd </t>
  </si>
  <si>
    <t xml:space="preserve">fjif.p </t>
  </si>
  <si>
    <t xml:space="preserve">fjja.a </t>
  </si>
  <si>
    <t xml:space="preserve">fjjb.a </t>
  </si>
  <si>
    <t xml:space="preserve">fjjc.a </t>
  </si>
  <si>
    <t xml:space="preserve">fjjd.a </t>
  </si>
  <si>
    <t>md1stin</t>
  </si>
  <si>
    <t xml:space="preserve">fjje.a </t>
  </si>
  <si>
    <t>Sector 1 Station</t>
  </si>
  <si>
    <t xml:space="preserve">fjjf.a </t>
  </si>
  <si>
    <t xml:space="preserve">fkaa.a </t>
  </si>
  <si>
    <t xml:space="preserve">fkab.a </t>
  </si>
  <si>
    <t xml:space="preserve">fkac.a </t>
  </si>
  <si>
    <t xml:space="preserve">fkad.a </t>
  </si>
  <si>
    <t xml:space="preserve">fkae.a </t>
  </si>
  <si>
    <t xml:space="preserve">dkbr </t>
  </si>
  <si>
    <t xml:space="preserve">fkaf.a </t>
  </si>
  <si>
    <t>md8_1</t>
  </si>
  <si>
    <t xml:space="preserve">fkba.a </t>
  </si>
  <si>
    <t>Sector 8</t>
  </si>
  <si>
    <t xml:space="preserve">fkbb.a </t>
  </si>
  <si>
    <t xml:space="preserve">fkbc.a </t>
  </si>
  <si>
    <t xml:space="preserve">fkbd.a </t>
  </si>
  <si>
    <t xml:space="preserve">fkbe.a </t>
  </si>
  <si>
    <t xml:space="preserve">fkbf.a </t>
  </si>
  <si>
    <t xml:space="preserve">fkca.hrc </t>
  </si>
  <si>
    <t>md8_2</t>
  </si>
  <si>
    <t>jeno_arm_sk</t>
  </si>
  <si>
    <t xml:space="preserve">dkbt </t>
  </si>
  <si>
    <t xml:space="preserve">fkcb.rsd </t>
  </si>
  <si>
    <t xml:space="preserve">fkcc.p </t>
  </si>
  <si>
    <t xml:space="preserve">fkcd.rsd </t>
  </si>
  <si>
    <t xml:space="preserve">fkce.p </t>
  </si>
  <si>
    <t>md8_3</t>
  </si>
  <si>
    <t xml:space="preserve">fkcf.a </t>
  </si>
  <si>
    <t xml:space="preserve">fkda.a </t>
  </si>
  <si>
    <t xml:space="preserve">fkdb.a </t>
  </si>
  <si>
    <t xml:space="preserve">fkdc.a </t>
  </si>
  <si>
    <t xml:space="preserve">dkbu </t>
  </si>
  <si>
    <t xml:space="preserve">fkdd.a </t>
  </si>
  <si>
    <t>md8_32</t>
  </si>
  <si>
    <t xml:space="preserve">fkde.a </t>
  </si>
  <si>
    <t xml:space="preserve">fkdf.hrc </t>
  </si>
  <si>
    <t>rgirl_sk</t>
  </si>
  <si>
    <t xml:space="preserve">fkea.rsd </t>
  </si>
  <si>
    <t xml:space="preserve">fkeb.p </t>
  </si>
  <si>
    <t xml:space="preserve">fkec.rsd </t>
  </si>
  <si>
    <t xml:space="preserve">fked.p </t>
  </si>
  <si>
    <t xml:space="preserve">dkbv </t>
  </si>
  <si>
    <t xml:space="preserve">fkee.rsd </t>
  </si>
  <si>
    <t>md8_4</t>
  </si>
  <si>
    <t xml:space="preserve">fkef.p </t>
  </si>
  <si>
    <t xml:space="preserve">fkfa.tex </t>
  </si>
  <si>
    <t xml:space="preserve">fkfb.tex </t>
  </si>
  <si>
    <t xml:space="preserve">fkfc.tex </t>
  </si>
  <si>
    <t xml:space="preserve">fkfd.rsd </t>
  </si>
  <si>
    <t>md8_5</t>
  </si>
  <si>
    <t xml:space="preserve">fkfe.p </t>
  </si>
  <si>
    <t xml:space="preserve">dkbx </t>
  </si>
  <si>
    <t xml:space="preserve">fkff.rsd </t>
  </si>
  <si>
    <t xml:space="preserve">fkga.p </t>
  </si>
  <si>
    <t xml:space="preserve">fkgb.rsd </t>
  </si>
  <si>
    <t xml:space="preserve">fkgc.p </t>
  </si>
  <si>
    <t xml:space="preserve">fkgd.rsd </t>
  </si>
  <si>
    <t xml:space="preserve">fkge.p </t>
  </si>
  <si>
    <t xml:space="preserve">fkgf.rsd </t>
  </si>
  <si>
    <t>md8_52</t>
  </si>
  <si>
    <t xml:space="preserve">fkha.p </t>
  </si>
  <si>
    <t xml:space="preserve">dkby </t>
  </si>
  <si>
    <t xml:space="preserve">fkhb.rsd </t>
  </si>
  <si>
    <t xml:space="preserve">fkhc.p </t>
  </si>
  <si>
    <t xml:space="preserve">fkhd.rsd </t>
  </si>
  <si>
    <t xml:space="preserve">fkhe.p </t>
  </si>
  <si>
    <t xml:space="preserve">fkhf.rsd </t>
  </si>
  <si>
    <t>md8_6</t>
  </si>
  <si>
    <t xml:space="preserve">fkia.p </t>
  </si>
  <si>
    <t xml:space="preserve">dkca </t>
  </si>
  <si>
    <t xml:space="preserve">fkib.rsd </t>
  </si>
  <si>
    <t xml:space="preserve">fkic.p </t>
  </si>
  <si>
    <t xml:space="preserve">fkid.rsd </t>
  </si>
  <si>
    <t xml:space="preserve">fkie.p </t>
  </si>
  <si>
    <t xml:space="preserve">fkif.rsd </t>
  </si>
  <si>
    <t>md8_b1</t>
  </si>
  <si>
    <t xml:space="preserve">fkja.p </t>
  </si>
  <si>
    <t xml:space="preserve">fkjb.rsd </t>
  </si>
  <si>
    <t xml:space="preserve">fkjc.p </t>
  </si>
  <si>
    <t xml:space="preserve">dkcb </t>
  </si>
  <si>
    <t xml:space="preserve">fkjd.a </t>
  </si>
  <si>
    <t xml:space="preserve">fkje.a </t>
  </si>
  <si>
    <t xml:space="preserve">fkjf.a </t>
  </si>
  <si>
    <t>md8_b2</t>
  </si>
  <si>
    <t xml:space="preserve">flaa.a </t>
  </si>
  <si>
    <t xml:space="preserve">flab.a </t>
  </si>
  <si>
    <t xml:space="preserve">flac.hrc </t>
  </si>
  <si>
    <t xml:space="preserve">flad.rsd </t>
  </si>
  <si>
    <t xml:space="preserve">dkcc </t>
  </si>
  <si>
    <t xml:space="preserve">flae.p </t>
  </si>
  <si>
    <t>md8brdg</t>
  </si>
  <si>
    <t xml:space="preserve">flaf.rsd </t>
  </si>
  <si>
    <t xml:space="preserve">flba.p </t>
  </si>
  <si>
    <t xml:space="preserve">flbb.rsd </t>
  </si>
  <si>
    <t>md8brdg2</t>
  </si>
  <si>
    <t xml:space="preserve">flbc.p </t>
  </si>
  <si>
    <t xml:space="preserve">dkce </t>
  </si>
  <si>
    <t xml:space="preserve">flbd.tex </t>
  </si>
  <si>
    <t xml:space="preserve">flbe.tex </t>
  </si>
  <si>
    <t xml:space="preserve">flbf.tex </t>
  </si>
  <si>
    <t>mds5_1</t>
  </si>
  <si>
    <t>Sector 5 Slum</t>
  </si>
  <si>
    <t xml:space="preserve">flca.rsd </t>
  </si>
  <si>
    <t xml:space="preserve">flcb.p </t>
  </si>
  <si>
    <t>mds5_2</t>
  </si>
  <si>
    <t xml:space="preserve">dkcf </t>
  </si>
  <si>
    <t xml:space="preserve">flcc.rsd </t>
  </si>
  <si>
    <t xml:space="preserve">flcd.p </t>
  </si>
  <si>
    <t xml:space="preserve">flce.rsd </t>
  </si>
  <si>
    <t xml:space="preserve">flcf.p </t>
  </si>
  <si>
    <t>mds5_3</t>
  </si>
  <si>
    <t xml:space="preserve">flda.rsd </t>
  </si>
  <si>
    <t xml:space="preserve">dkcg </t>
  </si>
  <si>
    <t>mds5_4</t>
  </si>
  <si>
    <t>Sector 5 Slum: Outside Plates</t>
  </si>
  <si>
    <t xml:space="preserve">fldb.p </t>
  </si>
  <si>
    <t xml:space="preserve">fldc.rsd </t>
  </si>
  <si>
    <t xml:space="preserve">fldd.p </t>
  </si>
  <si>
    <t>mds5_5</t>
  </si>
  <si>
    <t xml:space="preserve">flde.rsd </t>
  </si>
  <si>
    <t xml:space="preserve">dkda </t>
  </si>
  <si>
    <t xml:space="preserve">fldf.p </t>
  </si>
  <si>
    <t xml:space="preserve">flea.rsd </t>
  </si>
  <si>
    <t xml:space="preserve">dlaa </t>
  </si>
  <si>
    <t>Formula: Battle Skeleton</t>
  </si>
  <si>
    <t xml:space="preserve">fleb.p </t>
  </si>
  <si>
    <t>mds5_dk</t>
  </si>
  <si>
    <t xml:space="preserve">flec.rsd </t>
  </si>
  <si>
    <t xml:space="preserve">fled.p </t>
  </si>
  <si>
    <t xml:space="preserve">flee.rsd </t>
  </si>
  <si>
    <t xml:space="preserve">dlab </t>
  </si>
  <si>
    <t>504 Bytes</t>
  </si>
  <si>
    <t xml:space="preserve">flef.p </t>
  </si>
  <si>
    <t>Formula: Unidentified Part</t>
  </si>
  <si>
    <t xml:space="preserve">dlam </t>
  </si>
  <si>
    <t xml:space="preserve">flfa.rsd </t>
  </si>
  <si>
    <t>mds5_i</t>
  </si>
  <si>
    <t xml:space="preserve">flfb.p </t>
  </si>
  <si>
    <t>Sector 5 Slum: Item Store</t>
  </si>
  <si>
    <t xml:space="preserve">flfc.rsd </t>
  </si>
  <si>
    <t xml:space="preserve">dlan </t>
  </si>
  <si>
    <t xml:space="preserve">flfd.p </t>
  </si>
  <si>
    <t xml:space="preserve">flfe.rsd </t>
  </si>
  <si>
    <t xml:space="preserve">flff.p </t>
  </si>
  <si>
    <t xml:space="preserve">flga.a </t>
  </si>
  <si>
    <t xml:space="preserve">flgb.a </t>
  </si>
  <si>
    <t xml:space="preserve">flgc.a </t>
  </si>
  <si>
    <t xml:space="preserve">dlao </t>
  </si>
  <si>
    <t xml:space="preserve">flgd.a </t>
  </si>
  <si>
    <t xml:space="preserve">flge.hrc </t>
  </si>
  <si>
    <t>swoman1_sk</t>
  </si>
  <si>
    <t xml:space="preserve">flgf.rsd </t>
  </si>
  <si>
    <t>mds5_m</t>
  </si>
  <si>
    <t>Sector 5 Slum: Materia store</t>
  </si>
  <si>
    <t xml:space="preserve">dlaq </t>
  </si>
  <si>
    <t xml:space="preserve">flha.p </t>
  </si>
  <si>
    <t xml:space="preserve">flhb.rsd </t>
  </si>
  <si>
    <t xml:space="preserve">flhc.p </t>
  </si>
  <si>
    <t xml:space="preserve">flhd.rsd </t>
  </si>
  <si>
    <t xml:space="preserve">dlas </t>
  </si>
  <si>
    <t>mds5_w</t>
  </si>
  <si>
    <t xml:space="preserve">flhe.p </t>
  </si>
  <si>
    <t>Sector 5 Slum: Weapon Store</t>
  </si>
  <si>
    <t xml:space="preserve">flhf.tex </t>
  </si>
  <si>
    <t xml:space="preserve">flia.tex </t>
  </si>
  <si>
    <t xml:space="preserve">dlat </t>
  </si>
  <si>
    <t>mds6_1</t>
  </si>
  <si>
    <t>Sector 6</t>
  </si>
  <si>
    <t xml:space="preserve">flib.tex </t>
  </si>
  <si>
    <t xml:space="preserve">flic.rsd </t>
  </si>
  <si>
    <t xml:space="preserve">dlav </t>
  </si>
  <si>
    <t>mds6_2</t>
  </si>
  <si>
    <t xml:space="preserve">flid.p </t>
  </si>
  <si>
    <t xml:space="preserve">flie.rsd </t>
  </si>
  <si>
    <t xml:space="preserve">dlaw </t>
  </si>
  <si>
    <t>mds6_22</t>
  </si>
  <si>
    <t xml:space="preserve">flif.p </t>
  </si>
  <si>
    <t xml:space="preserve">flja.rsd </t>
  </si>
  <si>
    <t xml:space="preserve">fljb.p </t>
  </si>
  <si>
    <t xml:space="preserve">dlax </t>
  </si>
  <si>
    <t xml:space="preserve">fljc.rsd </t>
  </si>
  <si>
    <t xml:space="preserve">fljd.p </t>
  </si>
  <si>
    <t xml:space="preserve">flje.rsd </t>
  </si>
  <si>
    <t xml:space="preserve">fljf.p </t>
  </si>
  <si>
    <t xml:space="preserve">dlay </t>
  </si>
  <si>
    <t>mds6_3</t>
  </si>
  <si>
    <t xml:space="preserve">fmaa.rsd </t>
  </si>
  <si>
    <t xml:space="preserve">fmab.p </t>
  </si>
  <si>
    <t xml:space="preserve">fmac.rsd </t>
  </si>
  <si>
    <t xml:space="preserve">fmad.p </t>
  </si>
  <si>
    <t xml:space="preserve">dlba </t>
  </si>
  <si>
    <t xml:space="preserve">fmae.rsd </t>
  </si>
  <si>
    <t>mds7</t>
  </si>
  <si>
    <t xml:space="preserve">fmaf.p </t>
  </si>
  <si>
    <t>Sector 7</t>
  </si>
  <si>
    <t xml:space="preserve">fmba.rsd </t>
  </si>
  <si>
    <t xml:space="preserve">fmbb.p </t>
  </si>
  <si>
    <t xml:space="preserve">fmbc.rsd </t>
  </si>
  <si>
    <t xml:space="preserve">dlbc </t>
  </si>
  <si>
    <t xml:space="preserve">fmbd.p </t>
  </si>
  <si>
    <t>mds7_im</t>
  </si>
  <si>
    <t xml:space="preserve">fmbe.rsd </t>
  </si>
  <si>
    <t xml:space="preserve">fmbf.p </t>
  </si>
  <si>
    <t xml:space="preserve">fmca.rsd </t>
  </si>
  <si>
    <t xml:space="preserve">fmcb.p </t>
  </si>
  <si>
    <t xml:space="preserve">dlbe </t>
  </si>
  <si>
    <t xml:space="preserve">fmcc.hrc </t>
  </si>
  <si>
    <t>sboy_sk</t>
  </si>
  <si>
    <t xml:space="preserve">fmcd.rsd </t>
  </si>
  <si>
    <t xml:space="preserve">fmce.p </t>
  </si>
  <si>
    <t xml:space="preserve">fmcf.rsd </t>
  </si>
  <si>
    <t>mds7_w.tut</t>
  </si>
  <si>
    <t>Sector 7 Slums - Tutorials</t>
  </si>
  <si>
    <t xml:space="preserve">fmda.p </t>
  </si>
  <si>
    <t xml:space="preserve">fmdb.rsd </t>
  </si>
  <si>
    <t xml:space="preserve">dlbf </t>
  </si>
  <si>
    <t xml:space="preserve">fmdc.p </t>
  </si>
  <si>
    <t xml:space="preserve">fmdd.tex </t>
  </si>
  <si>
    <t xml:space="preserve">fmde.tex </t>
  </si>
  <si>
    <t xml:space="preserve">fmdf.tex </t>
  </si>
  <si>
    <t xml:space="preserve">fmea.rsd </t>
  </si>
  <si>
    <t xml:space="preserve">dlbh </t>
  </si>
  <si>
    <t xml:space="preserve">fmeb.p </t>
  </si>
  <si>
    <t>mds7_w1</t>
  </si>
  <si>
    <t xml:space="preserve">fmec.rsd </t>
  </si>
  <si>
    <t xml:space="preserve">fmed.p </t>
  </si>
  <si>
    <t xml:space="preserve">fmee.rsd </t>
  </si>
  <si>
    <t xml:space="preserve">dlbi </t>
  </si>
  <si>
    <t xml:space="preserve">fmef.p </t>
  </si>
  <si>
    <t xml:space="preserve">fmfa.rsd </t>
  </si>
  <si>
    <t xml:space="preserve">fmfb.p </t>
  </si>
  <si>
    <t xml:space="preserve">fmfc.rsd </t>
  </si>
  <si>
    <t xml:space="preserve">fmfd.p </t>
  </si>
  <si>
    <t>mds7_w2</t>
  </si>
  <si>
    <t xml:space="preserve">dlbj </t>
  </si>
  <si>
    <t xml:space="preserve">fmfe.rsd </t>
  </si>
  <si>
    <t xml:space="preserve">fmff.p </t>
  </si>
  <si>
    <t xml:space="preserve">fmga.rsd </t>
  </si>
  <si>
    <t xml:space="preserve">fmgb.p </t>
  </si>
  <si>
    <t xml:space="preserve">dlbk </t>
  </si>
  <si>
    <t xml:space="preserve">fmgc.rsd </t>
  </si>
  <si>
    <t xml:space="preserve">fmgd.p </t>
  </si>
  <si>
    <t xml:space="preserve">fmge.rsd </t>
  </si>
  <si>
    <t>mds7_w3</t>
  </si>
  <si>
    <t xml:space="preserve">fmgf.p </t>
  </si>
  <si>
    <t xml:space="preserve">fmha.rsd </t>
  </si>
  <si>
    <t xml:space="preserve">dlbm </t>
  </si>
  <si>
    <t xml:space="preserve">fmhb.p </t>
  </si>
  <si>
    <t xml:space="preserve">fmhc.rsd </t>
  </si>
  <si>
    <t xml:space="preserve">fmhd.p </t>
  </si>
  <si>
    <t xml:space="preserve">fmhe.rsd </t>
  </si>
  <si>
    <t xml:space="preserve">fmhf.p </t>
  </si>
  <si>
    <t xml:space="preserve">fmia.a </t>
  </si>
  <si>
    <t xml:space="preserve">dlbn </t>
  </si>
  <si>
    <t xml:space="preserve">fmib.hrc </t>
  </si>
  <si>
    <t>sgirl_sk</t>
  </si>
  <si>
    <t>mds7pb.tut</t>
  </si>
  <si>
    <t xml:space="preserve">fmic.rsd </t>
  </si>
  <si>
    <t>Sector 7 Slums: AVALANCHE Hideout - Tutorials</t>
  </si>
  <si>
    <t xml:space="preserve">fmid.p </t>
  </si>
  <si>
    <t xml:space="preserve">fmie.rsd </t>
  </si>
  <si>
    <t xml:space="preserve">fmif.p </t>
  </si>
  <si>
    <t xml:space="preserve">fmja.rsd </t>
  </si>
  <si>
    <t xml:space="preserve">dlbo </t>
  </si>
  <si>
    <t xml:space="preserve">fmjb.p </t>
  </si>
  <si>
    <t xml:space="preserve">fmjc.tex </t>
  </si>
  <si>
    <t xml:space="preserve">fmjd.tex </t>
  </si>
  <si>
    <t xml:space="preserve">fmje.tex </t>
  </si>
  <si>
    <t>mds7pb_1</t>
  </si>
  <si>
    <t xml:space="preserve">fmjf.rsd </t>
  </si>
  <si>
    <t xml:space="preserve">dlbp </t>
  </si>
  <si>
    <t xml:space="preserve">fnaa.p </t>
  </si>
  <si>
    <t xml:space="preserve">fnab.rsd </t>
  </si>
  <si>
    <t xml:space="preserve">fnac.p </t>
  </si>
  <si>
    <t xml:space="preserve">fnad.rsd </t>
  </si>
  <si>
    <t xml:space="preserve">fnae.p </t>
  </si>
  <si>
    <t xml:space="preserve">fnaf.rsd </t>
  </si>
  <si>
    <t xml:space="preserve">dlda </t>
  </si>
  <si>
    <t xml:space="preserve">fnba.p </t>
  </si>
  <si>
    <t xml:space="preserve">fnbb.rsd </t>
  </si>
  <si>
    <t xml:space="preserve">dmaa </t>
  </si>
  <si>
    <t>mds7pb_2</t>
  </si>
  <si>
    <t>Capparwire: Battle Skeleton</t>
  </si>
  <si>
    <t xml:space="preserve">fnbc.p </t>
  </si>
  <si>
    <t xml:space="preserve">fnbd.rsd </t>
  </si>
  <si>
    <t xml:space="preserve">fnbe.p </t>
  </si>
  <si>
    <t xml:space="preserve">fnbf.rsd </t>
  </si>
  <si>
    <t xml:space="preserve">fnca.p </t>
  </si>
  <si>
    <t xml:space="preserve">fncb.rsd </t>
  </si>
  <si>
    <t xml:space="preserve">dmab </t>
  </si>
  <si>
    <t>Capparwire: Unidentified Part</t>
  </si>
  <si>
    <t xml:space="preserve">fncc.p </t>
  </si>
  <si>
    <t xml:space="preserve">fncd.rsd </t>
  </si>
  <si>
    <t xml:space="preserve">dmam </t>
  </si>
  <si>
    <t>mds7plr1</t>
  </si>
  <si>
    <t xml:space="preserve">fnce.p </t>
  </si>
  <si>
    <t xml:space="preserve">fncf.rsd </t>
  </si>
  <si>
    <t xml:space="preserve">fnda.p </t>
  </si>
  <si>
    <t xml:space="preserve">fndb.rsd </t>
  </si>
  <si>
    <t xml:space="preserve">fndc.p </t>
  </si>
  <si>
    <t xml:space="preserve">fndd.rsd </t>
  </si>
  <si>
    <t>mds7plr2</t>
  </si>
  <si>
    <t xml:space="preserve">fnde.p </t>
  </si>
  <si>
    <t xml:space="preserve">fndf.hrc </t>
  </si>
  <si>
    <t xml:space="preserve">dmao </t>
  </si>
  <si>
    <t>_bal_toy</t>
  </si>
  <si>
    <t xml:space="preserve">fnea.rsd </t>
  </si>
  <si>
    <t xml:space="preserve">fneb.p </t>
  </si>
  <si>
    <t xml:space="preserve">fnec.a </t>
  </si>
  <si>
    <t>mds7st1</t>
  </si>
  <si>
    <t xml:space="preserve">fned.a </t>
  </si>
  <si>
    <t xml:space="preserve">fnee.a </t>
  </si>
  <si>
    <t xml:space="preserve">fnef.hrc </t>
  </si>
  <si>
    <t>man11_st</t>
  </si>
  <si>
    <t xml:space="preserve">fnfa.rsd </t>
  </si>
  <si>
    <t xml:space="preserve">dmap </t>
  </si>
  <si>
    <t xml:space="preserve">fnfb.p </t>
  </si>
  <si>
    <t>1004 Bytes</t>
  </si>
  <si>
    <t xml:space="preserve">fnfc.rsd </t>
  </si>
  <si>
    <t>mds7st2</t>
  </si>
  <si>
    <t xml:space="preserve">fnfd.p </t>
  </si>
  <si>
    <t xml:space="preserve">fnfe.rsd </t>
  </si>
  <si>
    <t xml:space="preserve">fnff.p </t>
  </si>
  <si>
    <t xml:space="preserve">dmaq </t>
  </si>
  <si>
    <t xml:space="preserve">fnga.tex </t>
  </si>
  <si>
    <t xml:space="preserve">fngb.tex </t>
  </si>
  <si>
    <t xml:space="preserve">fngc.tex </t>
  </si>
  <si>
    <t xml:space="preserve">fngd.rsd </t>
  </si>
  <si>
    <t>mds7st3</t>
  </si>
  <si>
    <t xml:space="preserve">fnge.p </t>
  </si>
  <si>
    <t xml:space="preserve">dmar </t>
  </si>
  <si>
    <t xml:space="preserve">fngf.rsd </t>
  </si>
  <si>
    <t xml:space="preserve">fnha.p </t>
  </si>
  <si>
    <t xml:space="preserve">fnhb.rsd </t>
  </si>
  <si>
    <t xml:space="preserve">fnhc.p </t>
  </si>
  <si>
    <t xml:space="preserve">fnhd.rsd </t>
  </si>
  <si>
    <t xml:space="preserve">fnhe.p </t>
  </si>
  <si>
    <t xml:space="preserve">fnhf.rsd </t>
  </si>
  <si>
    <t>mds7st32</t>
  </si>
  <si>
    <t xml:space="preserve">fnia.p </t>
  </si>
  <si>
    <t xml:space="preserve">dmas </t>
  </si>
  <si>
    <t xml:space="preserve">fnib.rsd </t>
  </si>
  <si>
    <t xml:space="preserve">fnic.p </t>
  </si>
  <si>
    <t xml:space="preserve">fnid.rsd </t>
  </si>
  <si>
    <t xml:space="preserve">fnie.p </t>
  </si>
  <si>
    <t xml:space="preserve">fnif.rsd </t>
  </si>
  <si>
    <t xml:space="preserve">fnja.p </t>
  </si>
  <si>
    <t xml:space="preserve">dmat </t>
  </si>
  <si>
    <t xml:space="preserve">fnjb.rsd </t>
  </si>
  <si>
    <t>mds7st33</t>
  </si>
  <si>
    <t xml:space="preserve">fnjc.p </t>
  </si>
  <si>
    <t xml:space="preserve">fnjd.rsd </t>
  </si>
  <si>
    <t xml:space="preserve">fnje.p </t>
  </si>
  <si>
    <t xml:space="preserve">fnjf.rsd </t>
  </si>
  <si>
    <t xml:space="preserve">dmau </t>
  </si>
  <si>
    <t xml:space="preserve">foaa.p </t>
  </si>
  <si>
    <t xml:space="preserve">foab.rsd </t>
  </si>
  <si>
    <t xml:space="preserve">foac.p </t>
  </si>
  <si>
    <t xml:space="preserve">foad.a </t>
  </si>
  <si>
    <t xml:space="preserve">foae.a </t>
  </si>
  <si>
    <t xml:space="preserve">dmav </t>
  </si>
  <si>
    <t xml:space="preserve">foaf.a </t>
  </si>
  <si>
    <t xml:space="preserve">foba.a </t>
  </si>
  <si>
    <t>midgal</t>
  </si>
  <si>
    <t xml:space="preserve">fobb.a </t>
  </si>
  <si>
    <t>Near midgar Zack death</t>
  </si>
  <si>
    <t xml:space="preserve">fobc.a </t>
  </si>
  <si>
    <t xml:space="preserve">fobd.a </t>
  </si>
  <si>
    <t xml:space="preserve">fobe.hrc </t>
  </si>
  <si>
    <t>begg2_sk</t>
  </si>
  <si>
    <t xml:space="preserve">fobf.rsd </t>
  </si>
  <si>
    <t xml:space="preserve">dmax </t>
  </si>
  <si>
    <t xml:space="preserve">foca.p </t>
  </si>
  <si>
    <t xml:space="preserve">focb.rsd </t>
  </si>
  <si>
    <t>min51_1</t>
  </si>
  <si>
    <t>Sector 7 house</t>
  </si>
  <si>
    <t xml:space="preserve">focc.p </t>
  </si>
  <si>
    <t xml:space="preserve">focd.rsd </t>
  </si>
  <si>
    <t xml:space="preserve">foce.p </t>
  </si>
  <si>
    <t xml:space="preserve">dmay </t>
  </si>
  <si>
    <t xml:space="preserve">focf.tex </t>
  </si>
  <si>
    <t>1012 Bytes</t>
  </si>
  <si>
    <t xml:space="preserve">foda.tex </t>
  </si>
  <si>
    <t>min51_2</t>
  </si>
  <si>
    <t xml:space="preserve">fodb.tex </t>
  </si>
  <si>
    <t>Sector 7 house upper floor</t>
  </si>
  <si>
    <t xml:space="preserve">fodc.rsd </t>
  </si>
  <si>
    <t xml:space="preserve">fodd.p </t>
  </si>
  <si>
    <t xml:space="preserve">fode.rsd </t>
  </si>
  <si>
    <t xml:space="preserve">fodf.p </t>
  </si>
  <si>
    <t xml:space="preserve">dmaz </t>
  </si>
  <si>
    <t>min71</t>
  </si>
  <si>
    <t xml:space="preserve">foea.rsd </t>
  </si>
  <si>
    <t xml:space="preserve">foeb.p </t>
  </si>
  <si>
    <t xml:space="preserve">foec.rsd </t>
  </si>
  <si>
    <t xml:space="preserve">foed.p </t>
  </si>
  <si>
    <t xml:space="preserve">foee.rsd </t>
  </si>
  <si>
    <t xml:space="preserve">dmba </t>
  </si>
  <si>
    <t xml:space="preserve">foef.p </t>
  </si>
  <si>
    <t>mkt_ia</t>
  </si>
  <si>
    <t>Wallmarket broken item machine</t>
  </si>
  <si>
    <t xml:space="preserve">fofa.rsd </t>
  </si>
  <si>
    <t xml:space="preserve">fofb.p </t>
  </si>
  <si>
    <t xml:space="preserve">fofc.rsd </t>
  </si>
  <si>
    <t xml:space="preserve">fofd.p </t>
  </si>
  <si>
    <t xml:space="preserve">dmbb </t>
  </si>
  <si>
    <t xml:space="preserve">fofe.rsd </t>
  </si>
  <si>
    <t>mkt_m</t>
  </si>
  <si>
    <t xml:space="preserve">foff.p </t>
  </si>
  <si>
    <t>Wallmarket materia shop</t>
  </si>
  <si>
    <t xml:space="preserve">foga.rsd </t>
  </si>
  <si>
    <t xml:space="preserve">fogb.p </t>
  </si>
  <si>
    <t xml:space="preserve">fogc.rsd </t>
  </si>
  <si>
    <t xml:space="preserve">fogd.p </t>
  </si>
  <si>
    <t xml:space="preserve">dmbc </t>
  </si>
  <si>
    <t xml:space="preserve">foge.rsd </t>
  </si>
  <si>
    <t>mkt_mens</t>
  </si>
  <si>
    <t xml:space="preserve">fogf.p </t>
  </si>
  <si>
    <t>Wallmarket gym</t>
  </si>
  <si>
    <t xml:space="preserve">foha.rsd </t>
  </si>
  <si>
    <t xml:space="preserve">fohb.p </t>
  </si>
  <si>
    <t xml:space="preserve">fohc.a </t>
  </si>
  <si>
    <t xml:space="preserve">fohd.a </t>
  </si>
  <si>
    <t xml:space="preserve">dmbd </t>
  </si>
  <si>
    <t xml:space="preserve">fohe.a </t>
  </si>
  <si>
    <t>mkt_s1</t>
  </si>
  <si>
    <t xml:space="preserve">fohf.a </t>
  </si>
  <si>
    <t>Wallmarket clothes shop</t>
  </si>
  <si>
    <t xml:space="preserve">foia.a </t>
  </si>
  <si>
    <t xml:space="preserve">foib.a </t>
  </si>
  <si>
    <t xml:space="preserve">foic.a </t>
  </si>
  <si>
    <t xml:space="preserve">foid.a </t>
  </si>
  <si>
    <t xml:space="preserve">dmbe </t>
  </si>
  <si>
    <t xml:space="preserve">foie.a </t>
  </si>
  <si>
    <t>848 Bytes</t>
  </si>
  <si>
    <t xml:space="preserve">foif.a </t>
  </si>
  <si>
    <t xml:space="preserve">foja.a </t>
  </si>
  <si>
    <t>mkt_s2</t>
  </si>
  <si>
    <t xml:space="preserve">fojb.a </t>
  </si>
  <si>
    <t>Wallmarket bar</t>
  </si>
  <si>
    <t xml:space="preserve">fojc.a </t>
  </si>
  <si>
    <t xml:space="preserve">fojd.a </t>
  </si>
  <si>
    <t xml:space="preserve">foje.a </t>
  </si>
  <si>
    <t xml:space="preserve">fojf.a </t>
  </si>
  <si>
    <t xml:space="preserve">fpaa.a </t>
  </si>
  <si>
    <t xml:space="preserve">fpab.a </t>
  </si>
  <si>
    <t xml:space="preserve">dmbg </t>
  </si>
  <si>
    <t>mkt_s3</t>
  </si>
  <si>
    <t xml:space="preserve">fpac.a </t>
  </si>
  <si>
    <t>Wallmarket item shop</t>
  </si>
  <si>
    <t xml:space="preserve">fpad.a </t>
  </si>
  <si>
    <t xml:space="preserve">fpae.a </t>
  </si>
  <si>
    <t xml:space="preserve">fpaf.a </t>
  </si>
  <si>
    <t xml:space="preserve">fpba.a </t>
  </si>
  <si>
    <t xml:space="preserve">fpbb.a </t>
  </si>
  <si>
    <t xml:space="preserve">fpbc.a </t>
  </si>
  <si>
    <t xml:space="preserve">fpbd.a </t>
  </si>
  <si>
    <t>mkt_w</t>
  </si>
  <si>
    <t>Wallmarket weapon shop</t>
  </si>
  <si>
    <t xml:space="preserve">fpbe.a </t>
  </si>
  <si>
    <t xml:space="preserve">fpbf.a </t>
  </si>
  <si>
    <t xml:space="preserve">dmbh </t>
  </si>
  <si>
    <t xml:space="preserve">fpca.a </t>
  </si>
  <si>
    <t xml:space="preserve">fpcb.hrc </t>
  </si>
  <si>
    <t>woman8_st</t>
  </si>
  <si>
    <t xml:space="preserve">fpcc.rsd </t>
  </si>
  <si>
    <t>mktinn</t>
  </si>
  <si>
    <t xml:space="preserve">fpcd.p </t>
  </si>
  <si>
    <t>Wallmarket inn</t>
  </si>
  <si>
    <t xml:space="preserve">fpce.rsd </t>
  </si>
  <si>
    <t xml:space="preserve">fpcf.p </t>
  </si>
  <si>
    <t xml:space="preserve">fpda.rsd </t>
  </si>
  <si>
    <t xml:space="preserve">fpdb.p </t>
  </si>
  <si>
    <t xml:space="preserve">fpdc.tex </t>
  </si>
  <si>
    <t>mktpb</t>
  </si>
  <si>
    <t xml:space="preserve">dmbi </t>
  </si>
  <si>
    <t>Wallmarket pub</t>
  </si>
  <si>
    <t xml:space="preserve">fpdd.tex </t>
  </si>
  <si>
    <t xml:space="preserve">fpde.tex </t>
  </si>
  <si>
    <t xml:space="preserve">fpdf.rsd </t>
  </si>
  <si>
    <t xml:space="preserve">fpea.p </t>
  </si>
  <si>
    <t xml:space="preserve">fpeb.rsd </t>
  </si>
  <si>
    <t>mogu_1</t>
  </si>
  <si>
    <t>Gold saucer mog minigame</t>
  </si>
  <si>
    <t xml:space="preserve">fpec.p </t>
  </si>
  <si>
    <t xml:space="preserve">fped.rsd </t>
  </si>
  <si>
    <t xml:space="preserve">fpee.p </t>
  </si>
  <si>
    <t xml:space="preserve">dmbj </t>
  </si>
  <si>
    <t xml:space="preserve">fpef.rsd </t>
  </si>
  <si>
    <t>move_d</t>
  </si>
  <si>
    <t xml:space="preserve">fpfa.p </t>
  </si>
  <si>
    <t>Great transittion screen 1</t>
  </si>
  <si>
    <t xml:space="preserve">fpfb.rsd </t>
  </si>
  <si>
    <t xml:space="preserve">fpfc.p </t>
  </si>
  <si>
    <t xml:space="preserve">fpfd.rsd </t>
  </si>
  <si>
    <t xml:space="preserve">fpfe.p </t>
  </si>
  <si>
    <t xml:space="preserve">dmbl </t>
  </si>
  <si>
    <t xml:space="preserve">fpff.rsd </t>
  </si>
  <si>
    <t xml:space="preserve">fpga.p </t>
  </si>
  <si>
    <t xml:space="preserve">fpgb.rsd </t>
  </si>
  <si>
    <t xml:space="preserve">fpgc.p </t>
  </si>
  <si>
    <t xml:space="preserve">fpgd.rsd </t>
  </si>
  <si>
    <t>move_f</t>
  </si>
  <si>
    <t xml:space="preserve">fpge.p </t>
  </si>
  <si>
    <t>Great transittion screen 2</t>
  </si>
  <si>
    <t xml:space="preserve">fpgf.rsd </t>
  </si>
  <si>
    <t xml:space="preserve">dmbm </t>
  </si>
  <si>
    <t xml:space="preserve">fpha.p </t>
  </si>
  <si>
    <t xml:space="preserve">fphb.rsd </t>
  </si>
  <si>
    <t xml:space="preserve">fphc.p </t>
  </si>
  <si>
    <t xml:space="preserve">fphd.rsd </t>
  </si>
  <si>
    <t>move_i</t>
  </si>
  <si>
    <t xml:space="preserve">fphe.p </t>
  </si>
  <si>
    <t>Great transittion screen 3</t>
  </si>
  <si>
    <t xml:space="preserve">dmbn </t>
  </si>
  <si>
    <t xml:space="preserve">fphf.a </t>
  </si>
  <si>
    <t xml:space="preserve">fpia.a </t>
  </si>
  <si>
    <t xml:space="preserve">fpib.a </t>
  </si>
  <si>
    <t xml:space="preserve">fpic.a </t>
  </si>
  <si>
    <t xml:space="preserve">fpid.a </t>
  </si>
  <si>
    <t>move_r</t>
  </si>
  <si>
    <t xml:space="preserve">fpie.a </t>
  </si>
  <si>
    <t>Great transittion screen 4</t>
  </si>
  <si>
    <t xml:space="preserve">fpif.a </t>
  </si>
  <si>
    <t xml:space="preserve">fpja.a </t>
  </si>
  <si>
    <t xml:space="preserve">fpjb.a </t>
  </si>
  <si>
    <t xml:space="preserve">dmbo </t>
  </si>
  <si>
    <t xml:space="preserve">fpjc.a </t>
  </si>
  <si>
    <t xml:space="preserve">fpjd.a </t>
  </si>
  <si>
    <t xml:space="preserve">fpje.a </t>
  </si>
  <si>
    <t xml:space="preserve">fpjf.a </t>
  </si>
  <si>
    <t xml:space="preserve">fqaa.a </t>
  </si>
  <si>
    <t xml:space="preserve">fqab.hrc </t>
  </si>
  <si>
    <t>kisya_l_sk</t>
  </si>
  <si>
    <t xml:space="preserve">dmda </t>
  </si>
  <si>
    <t>move_s</t>
  </si>
  <si>
    <t xml:space="preserve">fqac.rsd </t>
  </si>
  <si>
    <t>Great transittion screen 5</t>
  </si>
  <si>
    <t xml:space="preserve">fqad.p </t>
  </si>
  <si>
    <t xml:space="preserve">dnaa </t>
  </si>
  <si>
    <t xml:space="preserve">fqae.tex </t>
  </si>
  <si>
    <t>Bottomswell: Battle Skeleton</t>
  </si>
  <si>
    <t xml:space="preserve">fqaf.tex </t>
  </si>
  <si>
    <t xml:space="preserve">fqba.a </t>
  </si>
  <si>
    <t xml:space="preserve">fqbb.hrc </t>
  </si>
  <si>
    <t>kisya_s_sk</t>
  </si>
  <si>
    <t xml:space="preserve">fqbc.rsd </t>
  </si>
  <si>
    <t>move_u</t>
  </si>
  <si>
    <t>Great transittion screen 6</t>
  </si>
  <si>
    <t xml:space="preserve">fqbd.p </t>
  </si>
  <si>
    <t xml:space="preserve">fqbe.tex </t>
  </si>
  <si>
    <t xml:space="preserve">fqbf.tex </t>
  </si>
  <si>
    <t xml:space="preserve">fqca.a </t>
  </si>
  <si>
    <t xml:space="preserve">dnab </t>
  </si>
  <si>
    <t>512 Bytes</t>
  </si>
  <si>
    <t>Bottomswell: Unidentified Part</t>
  </si>
  <si>
    <t xml:space="preserve">fqcb.hrc </t>
  </si>
  <si>
    <t>yballet_sk</t>
  </si>
  <si>
    <t xml:space="preserve">fqcc.rsd </t>
  </si>
  <si>
    <t xml:space="preserve">dnam </t>
  </si>
  <si>
    <t>mrkt1</t>
  </si>
  <si>
    <t xml:space="preserve">fqcd.p </t>
  </si>
  <si>
    <t>Wallmarket upper part</t>
  </si>
  <si>
    <t xml:space="preserve">fqce.rsd </t>
  </si>
  <si>
    <t xml:space="preserve">fqcf.p </t>
  </si>
  <si>
    <t xml:space="preserve">fqda.rsd </t>
  </si>
  <si>
    <t xml:space="preserve">fqdb.p </t>
  </si>
  <si>
    <t xml:space="preserve">dnan </t>
  </si>
  <si>
    <t>mrkt2</t>
  </si>
  <si>
    <t xml:space="preserve">fqdc.tex </t>
  </si>
  <si>
    <t>Wallmarket lower part</t>
  </si>
  <si>
    <t xml:space="preserve">fqdd.tex </t>
  </si>
  <si>
    <t xml:space="preserve">fqde.tex </t>
  </si>
  <si>
    <t xml:space="preserve">fqdf.rsd </t>
  </si>
  <si>
    <t xml:space="preserve">fqea.p </t>
  </si>
  <si>
    <t>mrkt3</t>
  </si>
  <si>
    <t xml:space="preserve">dnao </t>
  </si>
  <si>
    <t xml:space="preserve">fqeb.rsd </t>
  </si>
  <si>
    <t>Wallmarket honeybee inn</t>
  </si>
  <si>
    <t xml:space="preserve">fqec.p </t>
  </si>
  <si>
    <t xml:space="preserve">fqed.rsd </t>
  </si>
  <si>
    <t xml:space="preserve">fqee.p </t>
  </si>
  <si>
    <t xml:space="preserve">fqef.rsd </t>
  </si>
  <si>
    <t xml:space="preserve">fqfa.p </t>
  </si>
  <si>
    <t>mrkt4</t>
  </si>
  <si>
    <t>Wallmarket climbing pipe stage</t>
  </si>
  <si>
    <t xml:space="preserve">fqfb.rsd </t>
  </si>
  <si>
    <t xml:space="preserve">dnaq </t>
  </si>
  <si>
    <t xml:space="preserve">fqfc.p </t>
  </si>
  <si>
    <t xml:space="preserve">fqfd.rsd </t>
  </si>
  <si>
    <t xml:space="preserve">fqfe.p </t>
  </si>
  <si>
    <t xml:space="preserve">fqff.rsd </t>
  </si>
  <si>
    <t>mtcrl_0</t>
  </si>
  <si>
    <t xml:space="preserve">fqga.p </t>
  </si>
  <si>
    <t>Mount corel way</t>
  </si>
  <si>
    <t xml:space="preserve">dnas </t>
  </si>
  <si>
    <t xml:space="preserve">fqgb.rsd </t>
  </si>
  <si>
    <t xml:space="preserve">fqgc.p </t>
  </si>
  <si>
    <t xml:space="preserve">fqgd.rsd </t>
  </si>
  <si>
    <t xml:space="preserve">fqge.p </t>
  </si>
  <si>
    <t>mtcrl_1</t>
  </si>
  <si>
    <t xml:space="preserve">fqgf.rsd </t>
  </si>
  <si>
    <t xml:space="preserve">dnau </t>
  </si>
  <si>
    <t xml:space="preserve">fqha.p </t>
  </si>
  <si>
    <t xml:space="preserve">fqhb.rsd </t>
  </si>
  <si>
    <t xml:space="preserve">fqhc.p </t>
  </si>
  <si>
    <t xml:space="preserve">fqhd.rsd </t>
  </si>
  <si>
    <t>mtcrl_2</t>
  </si>
  <si>
    <t xml:space="preserve">fqhe.p </t>
  </si>
  <si>
    <t>Mount corel reactor</t>
  </si>
  <si>
    <t xml:space="preserve">dnav </t>
  </si>
  <si>
    <t xml:space="preserve">fqhf.a </t>
  </si>
  <si>
    <t xml:space="preserve">fqia.a </t>
  </si>
  <si>
    <t xml:space="preserve">fqib.a </t>
  </si>
  <si>
    <t xml:space="preserve">fqic.a </t>
  </si>
  <si>
    <t xml:space="preserve">fqid.a </t>
  </si>
  <si>
    <t xml:space="preserve">fqie.a </t>
  </si>
  <si>
    <t>mtcrl_3</t>
  </si>
  <si>
    <t>Mount corel train track</t>
  </si>
  <si>
    <t xml:space="preserve">fqif.a </t>
  </si>
  <si>
    <t xml:space="preserve">fqja.a </t>
  </si>
  <si>
    <t xml:space="preserve">fqjb.hrc </t>
  </si>
  <si>
    <t>dainy_st</t>
  </si>
  <si>
    <t xml:space="preserve">fqjc.rsd </t>
  </si>
  <si>
    <t xml:space="preserve">dnax </t>
  </si>
  <si>
    <t xml:space="preserve">fqjd.p </t>
  </si>
  <si>
    <t>mtcrl_4</t>
  </si>
  <si>
    <t xml:space="preserve">fqje.rsd </t>
  </si>
  <si>
    <t>Mount corel track (zoomed out)</t>
  </si>
  <si>
    <t xml:space="preserve">fqjf.p </t>
  </si>
  <si>
    <t xml:space="preserve">fraa.rsd </t>
  </si>
  <si>
    <t xml:space="preserve">frab.p </t>
  </si>
  <si>
    <t xml:space="preserve">frac.tex </t>
  </si>
  <si>
    <t xml:space="preserve">dnaz </t>
  </si>
  <si>
    <t xml:space="preserve">frad.tex </t>
  </si>
  <si>
    <t xml:space="preserve">frae.tex </t>
  </si>
  <si>
    <t xml:space="preserve">fraf.rsd </t>
  </si>
  <si>
    <t xml:space="preserve">dnbb </t>
  </si>
  <si>
    <t xml:space="preserve">frba.p </t>
  </si>
  <si>
    <t xml:space="preserve">frbb.rsd </t>
  </si>
  <si>
    <t>mtcrl_5</t>
  </si>
  <si>
    <t>Mount corel train tracks after falling</t>
  </si>
  <si>
    <t xml:space="preserve">frbc.p </t>
  </si>
  <si>
    <t xml:space="preserve">frbd.rsd </t>
  </si>
  <si>
    <t xml:space="preserve">frbe.p </t>
  </si>
  <si>
    <t xml:space="preserve">frbf.rsd </t>
  </si>
  <si>
    <t xml:space="preserve">frca.p </t>
  </si>
  <si>
    <t xml:space="preserve">frcb.rsd </t>
  </si>
  <si>
    <t xml:space="preserve">dnbd </t>
  </si>
  <si>
    <t xml:space="preserve">frcc.p </t>
  </si>
  <si>
    <t xml:space="preserve">frcd.rsd </t>
  </si>
  <si>
    <t xml:space="preserve">frce.p </t>
  </si>
  <si>
    <t>mtcrl_6</t>
  </si>
  <si>
    <t xml:space="preserve">frcf.rsd </t>
  </si>
  <si>
    <t>Mount corel train track junction</t>
  </si>
  <si>
    <t xml:space="preserve">frda.p </t>
  </si>
  <si>
    <t xml:space="preserve">frdb.rsd </t>
  </si>
  <si>
    <t xml:space="preserve">frdc.p </t>
  </si>
  <si>
    <t xml:space="preserve">frdd.rsd </t>
  </si>
  <si>
    <t xml:space="preserve">frde.p </t>
  </si>
  <si>
    <t xml:space="preserve">dnbe </t>
  </si>
  <si>
    <t xml:space="preserve">frdf.rsd </t>
  </si>
  <si>
    <t xml:space="preserve">frea.p </t>
  </si>
  <si>
    <t xml:space="preserve">freb.rsd </t>
  </si>
  <si>
    <t xml:space="preserve">frec.p </t>
  </si>
  <si>
    <t>mtcrl_7</t>
  </si>
  <si>
    <t>Mount corel cave</t>
  </si>
  <si>
    <t xml:space="preserve">fred.rsd </t>
  </si>
  <si>
    <t xml:space="preserve">free.p </t>
  </si>
  <si>
    <t xml:space="preserve">fref.a </t>
  </si>
  <si>
    <t xml:space="preserve">frfa.a </t>
  </si>
  <si>
    <t xml:space="preserve">dnbg </t>
  </si>
  <si>
    <t xml:space="preserve">frfb.a </t>
  </si>
  <si>
    <t xml:space="preserve">frfc.a </t>
  </si>
  <si>
    <t xml:space="preserve">frfd.a </t>
  </si>
  <si>
    <t>mtcrl_8</t>
  </si>
  <si>
    <t xml:space="preserve">frfe.a </t>
  </si>
  <si>
    <t>Mount corel nest</t>
  </si>
  <si>
    <t xml:space="preserve">frff.a </t>
  </si>
  <si>
    <t xml:space="preserve">frga.a </t>
  </si>
  <si>
    <t xml:space="preserve">frgb.a </t>
  </si>
  <si>
    <t xml:space="preserve">dnbi </t>
  </si>
  <si>
    <t xml:space="preserve">frgc.a </t>
  </si>
  <si>
    <t xml:space="preserve">frgd.hrc </t>
  </si>
  <si>
    <t>mayor_sk</t>
  </si>
  <si>
    <t xml:space="preserve">frge.rsd </t>
  </si>
  <si>
    <t xml:space="preserve">frgf.p </t>
  </si>
  <si>
    <t xml:space="preserve">frha.rsd </t>
  </si>
  <si>
    <t xml:space="preserve">frhb.p </t>
  </si>
  <si>
    <t>mtcrl_9</t>
  </si>
  <si>
    <t xml:space="preserve">frhc.rsd </t>
  </si>
  <si>
    <t>Mount corel bridge</t>
  </si>
  <si>
    <t xml:space="preserve">frhd.p </t>
  </si>
  <si>
    <t xml:space="preserve">frhe.rsd </t>
  </si>
  <si>
    <t xml:space="preserve">dnbk </t>
  </si>
  <si>
    <t xml:space="preserve">frhf.p </t>
  </si>
  <si>
    <t xml:space="preserve">fria.rsd </t>
  </si>
  <si>
    <t xml:space="preserve">frib.p </t>
  </si>
  <si>
    <t xml:space="preserve">fric.rsd </t>
  </si>
  <si>
    <t xml:space="preserve">frid.p </t>
  </si>
  <si>
    <t xml:space="preserve">frie.rsd </t>
  </si>
  <si>
    <t xml:space="preserve">frif.p </t>
  </si>
  <si>
    <t xml:space="preserve">frja.rsd </t>
  </si>
  <si>
    <t xml:space="preserve">frjb.p </t>
  </si>
  <si>
    <t>mtnvl2</t>
  </si>
  <si>
    <t xml:space="preserve">frjc.rsd </t>
  </si>
  <si>
    <t xml:space="preserve">dnbm </t>
  </si>
  <si>
    <t>Mount nibel</t>
  </si>
  <si>
    <t xml:space="preserve">frjd.p </t>
  </si>
  <si>
    <t xml:space="preserve">frje.rsd </t>
  </si>
  <si>
    <t xml:space="preserve">frjf.p </t>
  </si>
  <si>
    <t xml:space="preserve">fsaa.rsd </t>
  </si>
  <si>
    <t xml:space="preserve">fsab.p </t>
  </si>
  <si>
    <t xml:space="preserve">fsac.rsd </t>
  </si>
  <si>
    <t>mtnvl3</t>
  </si>
  <si>
    <t>Mount nibel bridge</t>
  </si>
  <si>
    <t xml:space="preserve">dnbn </t>
  </si>
  <si>
    <t xml:space="preserve">fsad.p </t>
  </si>
  <si>
    <t xml:space="preserve">fsae.rsd </t>
  </si>
  <si>
    <t xml:space="preserve">fsaf.p </t>
  </si>
  <si>
    <t xml:space="preserve">fsba.rsd </t>
  </si>
  <si>
    <t xml:space="preserve">fsbb.p </t>
  </si>
  <si>
    <t xml:space="preserve">dnbo </t>
  </si>
  <si>
    <t>mtnvl4</t>
  </si>
  <si>
    <t xml:space="preserve">fsbc.rsd </t>
  </si>
  <si>
    <t>Mount nibel caves</t>
  </si>
  <si>
    <t xml:space="preserve">fsbd.p </t>
  </si>
  <si>
    <t xml:space="preserve">fsbe.a </t>
  </si>
  <si>
    <t xml:space="preserve">fsbf.a </t>
  </si>
  <si>
    <t xml:space="preserve">fsca.a </t>
  </si>
  <si>
    <t xml:space="preserve">fscb.a </t>
  </si>
  <si>
    <t xml:space="preserve">fscc.a </t>
  </si>
  <si>
    <t xml:space="preserve">fscd.a </t>
  </si>
  <si>
    <t xml:space="preserve">fsce.a </t>
  </si>
  <si>
    <t>mtnvl5</t>
  </si>
  <si>
    <t>Mount nibel reactor</t>
  </si>
  <si>
    <t xml:space="preserve">fscf.a </t>
  </si>
  <si>
    <t xml:space="preserve">fsda.a </t>
  </si>
  <si>
    <t xml:space="preserve">dnbp </t>
  </si>
  <si>
    <t xml:space="preserve">fsdb.a </t>
  </si>
  <si>
    <t xml:space="preserve">fsdc.a </t>
  </si>
  <si>
    <t xml:space="preserve">fsdd.hrc </t>
  </si>
  <si>
    <t>potion_3_sk</t>
  </si>
  <si>
    <t xml:space="preserve">fsde.rsd </t>
  </si>
  <si>
    <t>mtnvl6</t>
  </si>
  <si>
    <t xml:space="preserve">fsdf.p </t>
  </si>
  <si>
    <t>Mount nibel reactor overview</t>
  </si>
  <si>
    <t xml:space="preserve">fsea.a </t>
  </si>
  <si>
    <t xml:space="preserve">fseb.a </t>
  </si>
  <si>
    <t xml:space="preserve">fsec.a </t>
  </si>
  <si>
    <t xml:space="preserve">dnbr </t>
  </si>
  <si>
    <t xml:space="preserve">fsed.a </t>
  </si>
  <si>
    <t xml:space="preserve">fsee.a </t>
  </si>
  <si>
    <t xml:space="preserve">fsef.a </t>
  </si>
  <si>
    <t xml:space="preserve">fsfa.a </t>
  </si>
  <si>
    <t>mtnvl6b</t>
  </si>
  <si>
    <t xml:space="preserve">fsfb.a </t>
  </si>
  <si>
    <t>Mount nibel reactor entrance</t>
  </si>
  <si>
    <t xml:space="preserve">fsfc.a </t>
  </si>
  <si>
    <t xml:space="preserve">fsfd.a </t>
  </si>
  <si>
    <t xml:space="preserve">dnbs </t>
  </si>
  <si>
    <t xml:space="preserve">fsfe.a </t>
  </si>
  <si>
    <t xml:space="preserve">fsff.a </t>
  </si>
  <si>
    <t xml:space="preserve">fsga.a </t>
  </si>
  <si>
    <t xml:space="preserve">fsgb.a </t>
  </si>
  <si>
    <t xml:space="preserve">fsgc.a </t>
  </si>
  <si>
    <t xml:space="preserve">fsgd.a </t>
  </si>
  <si>
    <t>ncoin1</t>
  </si>
  <si>
    <t xml:space="preserve">fsge.hrc </t>
  </si>
  <si>
    <t>North corel house 1</t>
  </si>
  <si>
    <t>fm2_sk</t>
  </si>
  <si>
    <t xml:space="preserve">dnbt </t>
  </si>
  <si>
    <t xml:space="preserve">fsgf.rsd </t>
  </si>
  <si>
    <t xml:space="preserve">fsha.p </t>
  </si>
  <si>
    <t xml:space="preserve">fshb.rsd </t>
  </si>
  <si>
    <t xml:space="preserve">fshc.p </t>
  </si>
  <si>
    <t xml:space="preserve">fshd.rsd </t>
  </si>
  <si>
    <t xml:space="preserve">fshe.p </t>
  </si>
  <si>
    <t xml:space="preserve">fshf.tex </t>
  </si>
  <si>
    <t>ncoin2</t>
  </si>
  <si>
    <t xml:space="preserve">fsia.tex </t>
  </si>
  <si>
    <t>North corel house 2</t>
  </si>
  <si>
    <t xml:space="preserve">dnbv </t>
  </si>
  <si>
    <t xml:space="preserve">fsib.tex </t>
  </si>
  <si>
    <t xml:space="preserve">fsic.rsd </t>
  </si>
  <si>
    <t xml:space="preserve">fsid.p </t>
  </si>
  <si>
    <t xml:space="preserve">fsie.rsd </t>
  </si>
  <si>
    <t xml:space="preserve">fsif.p </t>
  </si>
  <si>
    <t>ncoin3</t>
  </si>
  <si>
    <t xml:space="preserve">fsja.rsd </t>
  </si>
  <si>
    <t>North corel house 3</t>
  </si>
  <si>
    <t xml:space="preserve">fsjb.p </t>
  </si>
  <si>
    <t xml:space="preserve">fsjc.rsd </t>
  </si>
  <si>
    <t xml:space="preserve">fsjd.p </t>
  </si>
  <si>
    <t xml:space="preserve">dnbw </t>
  </si>
  <si>
    <t xml:space="preserve">fsje.rsd </t>
  </si>
  <si>
    <t xml:space="preserve">fsjf.p </t>
  </si>
  <si>
    <t>ncoinn</t>
  </si>
  <si>
    <t>North corel inn</t>
  </si>
  <si>
    <t xml:space="preserve">ftaa.rsd </t>
  </si>
  <si>
    <t xml:space="preserve">ftab.p </t>
  </si>
  <si>
    <t xml:space="preserve">ftac.rsd </t>
  </si>
  <si>
    <t xml:space="preserve">ftad.p </t>
  </si>
  <si>
    <t xml:space="preserve">dnbx </t>
  </si>
  <si>
    <t xml:space="preserve">ftae.rsd </t>
  </si>
  <si>
    <t xml:space="preserve">ftaf.p </t>
  </si>
  <si>
    <t>ncorel</t>
  </si>
  <si>
    <t>North corel before train event</t>
  </si>
  <si>
    <t xml:space="preserve">ftba.rsd </t>
  </si>
  <si>
    <t xml:space="preserve">ftbb.p </t>
  </si>
  <si>
    <t xml:space="preserve">ftbc.rsd </t>
  </si>
  <si>
    <t xml:space="preserve">ftbd.p </t>
  </si>
  <si>
    <t xml:space="preserve">dnby </t>
  </si>
  <si>
    <t xml:space="preserve">ftbe.rsd </t>
  </si>
  <si>
    <t>ncorel2</t>
  </si>
  <si>
    <t>North corel train crashed</t>
  </si>
  <si>
    <t xml:space="preserve">ftbf.p </t>
  </si>
  <si>
    <t xml:space="preserve">ftca.rsd </t>
  </si>
  <si>
    <t xml:space="preserve">ftcb.p </t>
  </si>
  <si>
    <t xml:space="preserve">ftcc.a </t>
  </si>
  <si>
    <t xml:space="preserve">dnbz </t>
  </si>
  <si>
    <t xml:space="preserve">ftcd.a </t>
  </si>
  <si>
    <t>ncorel3</t>
  </si>
  <si>
    <t xml:space="preserve">ftce.a </t>
  </si>
  <si>
    <t>North corel train didnt crash</t>
  </si>
  <si>
    <t xml:space="preserve">ftcf.hrc </t>
  </si>
  <si>
    <t>fmw2_sk</t>
  </si>
  <si>
    <t xml:space="preserve">ftda.rsd </t>
  </si>
  <si>
    <t xml:space="preserve">ftdb.p </t>
  </si>
  <si>
    <t xml:space="preserve">ftdc.rsd </t>
  </si>
  <si>
    <t xml:space="preserve">dnca </t>
  </si>
  <si>
    <t xml:space="preserve">ftdd.p </t>
  </si>
  <si>
    <t xml:space="preserve">ftde.tex </t>
  </si>
  <si>
    <t>niv_cl</t>
  </si>
  <si>
    <t xml:space="preserve">ftdf.tex </t>
  </si>
  <si>
    <t>Nibelheim clouds house</t>
  </si>
  <si>
    <t xml:space="preserve">ftea.tex </t>
  </si>
  <si>
    <t xml:space="preserve">fteb.rsd </t>
  </si>
  <si>
    <t xml:space="preserve">ftec.p </t>
  </si>
  <si>
    <t xml:space="preserve">fted.rsd </t>
  </si>
  <si>
    <t xml:space="preserve">ftee.p </t>
  </si>
  <si>
    <t xml:space="preserve">ftef.rsd </t>
  </si>
  <si>
    <t xml:space="preserve">ftfa.p </t>
  </si>
  <si>
    <t>niv_ti1</t>
  </si>
  <si>
    <t xml:space="preserve">ftfb.rsd </t>
  </si>
  <si>
    <t>Nibelheim tifas house</t>
  </si>
  <si>
    <t xml:space="preserve">dncb </t>
  </si>
  <si>
    <t xml:space="preserve">ftfc.p </t>
  </si>
  <si>
    <t xml:space="preserve">ftfd.rsd </t>
  </si>
  <si>
    <t xml:space="preserve">ftfe.p </t>
  </si>
  <si>
    <t xml:space="preserve">ftff.rsd </t>
  </si>
  <si>
    <t xml:space="preserve">ftga.p </t>
  </si>
  <si>
    <t xml:space="preserve">ftgb.rsd </t>
  </si>
  <si>
    <t xml:space="preserve">ftgc.p </t>
  </si>
  <si>
    <t>niv_ti2</t>
  </si>
  <si>
    <t>Nibelheim tifas house floor 2</t>
  </si>
  <si>
    <t xml:space="preserve">ftgd.rsd </t>
  </si>
  <si>
    <t xml:space="preserve">ftge.p </t>
  </si>
  <si>
    <t xml:space="preserve">ftgf.rsd </t>
  </si>
  <si>
    <t xml:space="preserve">ftha.p </t>
  </si>
  <si>
    <t xml:space="preserve">dncc </t>
  </si>
  <si>
    <t xml:space="preserve">fthb.rsd </t>
  </si>
  <si>
    <t xml:space="preserve">fthc.p </t>
  </si>
  <si>
    <t xml:space="preserve">fthd.rsd </t>
  </si>
  <si>
    <t>niv_ti3</t>
  </si>
  <si>
    <t>Nibelheim tifas house in clouds memories</t>
  </si>
  <si>
    <t xml:space="preserve">fthe.p </t>
  </si>
  <si>
    <t xml:space="preserve">fthf.rsd </t>
  </si>
  <si>
    <t xml:space="preserve">ftia.p </t>
  </si>
  <si>
    <t xml:space="preserve">ftib.a </t>
  </si>
  <si>
    <t xml:space="preserve">ftic.hrc </t>
  </si>
  <si>
    <t>fmw1_sk</t>
  </si>
  <si>
    <t xml:space="preserve">ftid.rsd </t>
  </si>
  <si>
    <t xml:space="preserve">ftie.p </t>
  </si>
  <si>
    <t>niv_ti4</t>
  </si>
  <si>
    <t xml:space="preserve">dncd </t>
  </si>
  <si>
    <t xml:space="preserve">ftif.rsd </t>
  </si>
  <si>
    <t xml:space="preserve">ftja.p </t>
  </si>
  <si>
    <t xml:space="preserve">ftjb.rsd </t>
  </si>
  <si>
    <t xml:space="preserve">ftjc.p </t>
  </si>
  <si>
    <t xml:space="preserve">ftjd.tex </t>
  </si>
  <si>
    <t>niv_w</t>
  </si>
  <si>
    <t xml:space="preserve">ftje.tex </t>
  </si>
  <si>
    <t>Nibelheim house</t>
  </si>
  <si>
    <t xml:space="preserve">ftjf.tex </t>
  </si>
  <si>
    <t xml:space="preserve">dnce </t>
  </si>
  <si>
    <t xml:space="preserve">fuaa.rsd </t>
  </si>
  <si>
    <t xml:space="preserve">fuab.p </t>
  </si>
  <si>
    <t xml:space="preserve">fuac.rsd </t>
  </si>
  <si>
    <t>nivgate</t>
  </si>
  <si>
    <t xml:space="preserve">fuad.p </t>
  </si>
  <si>
    <t>Nibelheim entrance (when?)</t>
  </si>
  <si>
    <t xml:space="preserve">fuae.rsd </t>
  </si>
  <si>
    <t xml:space="preserve">fuaf.p </t>
  </si>
  <si>
    <t xml:space="preserve">fuba.rsd </t>
  </si>
  <si>
    <t xml:space="preserve">dncf </t>
  </si>
  <si>
    <t>nivgate2</t>
  </si>
  <si>
    <t xml:space="preserve">fubb.p </t>
  </si>
  <si>
    <t xml:space="preserve">fubc.rsd </t>
  </si>
  <si>
    <t xml:space="preserve">fubd.p </t>
  </si>
  <si>
    <t xml:space="preserve">fube.rsd </t>
  </si>
  <si>
    <t xml:space="preserve">fubf.p </t>
  </si>
  <si>
    <t xml:space="preserve">fuca.rsd </t>
  </si>
  <si>
    <t xml:space="preserve">fucb.p </t>
  </si>
  <si>
    <t>nivgate3</t>
  </si>
  <si>
    <t xml:space="preserve">fucc.rsd </t>
  </si>
  <si>
    <t xml:space="preserve">dnda </t>
  </si>
  <si>
    <t>39 K</t>
  </si>
  <si>
    <t xml:space="preserve">fucd.p </t>
  </si>
  <si>
    <t xml:space="preserve">fuce.rsd </t>
  </si>
  <si>
    <t xml:space="preserve">fucf.p </t>
  </si>
  <si>
    <t xml:space="preserve">fuda.rsd </t>
  </si>
  <si>
    <t>nivgate4</t>
  </si>
  <si>
    <t xml:space="preserve">fudb.p </t>
  </si>
  <si>
    <t>Nibelheim entrance cloud and zack</t>
  </si>
  <si>
    <t xml:space="preserve">fudc.rsd </t>
  </si>
  <si>
    <t xml:space="preserve">fudd.p </t>
  </si>
  <si>
    <t xml:space="preserve">fude.rsd </t>
  </si>
  <si>
    <t xml:space="preserve">doaa </t>
  </si>
  <si>
    <t xml:space="preserve">fudf.p </t>
  </si>
  <si>
    <t>Waterpolo: Battle Skeleton</t>
  </si>
  <si>
    <t>nivinn_1</t>
  </si>
  <si>
    <t xml:space="preserve">fuea.a </t>
  </si>
  <si>
    <t>Nibelheim inn</t>
  </si>
  <si>
    <t xml:space="preserve">fueb.a </t>
  </si>
  <si>
    <t xml:space="preserve">fuec.a </t>
  </si>
  <si>
    <t xml:space="preserve">fued.a </t>
  </si>
  <si>
    <t xml:space="preserve">fuee.a </t>
  </si>
  <si>
    <t xml:space="preserve">fuef.a </t>
  </si>
  <si>
    <t>nivinn_2</t>
  </si>
  <si>
    <t xml:space="preserve">fufa.a </t>
  </si>
  <si>
    <t>Nibelheim inn floor 2 flashback</t>
  </si>
  <si>
    <t xml:space="preserve">fufb.a </t>
  </si>
  <si>
    <t xml:space="preserve">fufc.a </t>
  </si>
  <si>
    <t xml:space="preserve">fufd.a </t>
  </si>
  <si>
    <t xml:space="preserve">doab </t>
  </si>
  <si>
    <t xml:space="preserve">fufe.hrc </t>
  </si>
  <si>
    <t>Waterpolo: Unidentified Part</t>
  </si>
  <si>
    <t>v3_sk</t>
  </si>
  <si>
    <t xml:space="preserve">fuff.rsd </t>
  </si>
  <si>
    <t xml:space="preserve">doam </t>
  </si>
  <si>
    <t xml:space="preserve">fuga.p </t>
  </si>
  <si>
    <t>Waterpolo: Model</t>
  </si>
  <si>
    <t>nivinn_3</t>
  </si>
  <si>
    <t>Nibelheim inn floor 2</t>
  </si>
  <si>
    <t xml:space="preserve">fugb.rsd </t>
  </si>
  <si>
    <t xml:space="preserve">fugc.p </t>
  </si>
  <si>
    <t xml:space="preserve">fugd.rsd </t>
  </si>
  <si>
    <t xml:space="preserve">fuge.p </t>
  </si>
  <si>
    <t xml:space="preserve">fugf.tex </t>
  </si>
  <si>
    <t>nivl</t>
  </si>
  <si>
    <t>Nibelheim flashback</t>
  </si>
  <si>
    <t xml:space="preserve">doda </t>
  </si>
  <si>
    <t xml:space="preserve">fuha.tex </t>
  </si>
  <si>
    <t>268 Bytes</t>
  </si>
  <si>
    <t xml:space="preserve">fuhb.tex </t>
  </si>
  <si>
    <t xml:space="preserve">dpaa </t>
  </si>
  <si>
    <t xml:space="preserve">fuhc.rsd </t>
  </si>
  <si>
    <t>Scrutin Eye:Battle Skeleton</t>
  </si>
  <si>
    <t xml:space="preserve">fuhd.p </t>
  </si>
  <si>
    <t xml:space="preserve">fuhe.rsd </t>
  </si>
  <si>
    <t>nivl_2</t>
  </si>
  <si>
    <t>Nibelheim memories</t>
  </si>
  <si>
    <t xml:space="preserve">fuhf.p </t>
  </si>
  <si>
    <t xml:space="preserve">fuia.rsd </t>
  </si>
  <si>
    <t xml:space="preserve">fuib.p </t>
  </si>
  <si>
    <t xml:space="preserve">fuic.rsd </t>
  </si>
  <si>
    <t xml:space="preserve">fuid.p </t>
  </si>
  <si>
    <t>nivl_3</t>
  </si>
  <si>
    <t>Mono Dive clone 1 (asaa)</t>
  </si>
  <si>
    <t>Nibelheim</t>
  </si>
  <si>
    <t xml:space="preserve">dpab </t>
  </si>
  <si>
    <t xml:space="preserve">fuie.rsd </t>
  </si>
  <si>
    <t>Scrutin Eye: Unidentified Part</t>
  </si>
  <si>
    <t xml:space="preserve">fuif.p </t>
  </si>
  <si>
    <t xml:space="preserve">dpam </t>
  </si>
  <si>
    <t xml:space="preserve">fuja.rsd </t>
  </si>
  <si>
    <t>nivl_4</t>
  </si>
  <si>
    <t>Nibelheim manor project</t>
  </si>
  <si>
    <t xml:space="preserve">fujb.p </t>
  </si>
  <si>
    <t xml:space="preserve">fujc.rsd </t>
  </si>
  <si>
    <t xml:space="preserve">fujd.p </t>
  </si>
  <si>
    <t xml:space="preserve">fuje.rsd </t>
  </si>
  <si>
    <t>nivl_b1</t>
  </si>
  <si>
    <t>Nibelheim in flames flashback</t>
  </si>
  <si>
    <t xml:space="preserve">fujf.p </t>
  </si>
  <si>
    <t xml:space="preserve">fvaa.rsd </t>
  </si>
  <si>
    <t xml:space="preserve">dpan </t>
  </si>
  <si>
    <t xml:space="preserve">fvab.p </t>
  </si>
  <si>
    <t xml:space="preserve">fvac.rsd </t>
  </si>
  <si>
    <t>nivl_b12</t>
  </si>
  <si>
    <t xml:space="preserve">fvad.p </t>
  </si>
  <si>
    <t>Nibelheim in flames</t>
  </si>
  <si>
    <t xml:space="preserve">fvae.rsd </t>
  </si>
  <si>
    <t xml:space="preserve">fvaf.p </t>
  </si>
  <si>
    <t xml:space="preserve">fvba.rsd </t>
  </si>
  <si>
    <t xml:space="preserve">fvbb.p </t>
  </si>
  <si>
    <t xml:space="preserve">fvbc.a </t>
  </si>
  <si>
    <t>nivl_b2</t>
  </si>
  <si>
    <t xml:space="preserve">fvbd.a </t>
  </si>
  <si>
    <t xml:space="preserve">dpao </t>
  </si>
  <si>
    <t xml:space="preserve">fvbe.a </t>
  </si>
  <si>
    <t xml:space="preserve">fvbf.a </t>
  </si>
  <si>
    <t xml:space="preserve">fvca.a </t>
  </si>
  <si>
    <t xml:space="preserve">fvcb.a </t>
  </si>
  <si>
    <t xml:space="preserve">fvcc.a </t>
  </si>
  <si>
    <t xml:space="preserve">fvcd.a </t>
  </si>
  <si>
    <t xml:space="preserve">fvce.a </t>
  </si>
  <si>
    <t>nivl_b22</t>
  </si>
  <si>
    <t xml:space="preserve">fvcf.a </t>
  </si>
  <si>
    <t xml:space="preserve">fvda.a </t>
  </si>
  <si>
    <t xml:space="preserve">fvdb.a </t>
  </si>
  <si>
    <t xml:space="preserve">fvdc.a </t>
  </si>
  <si>
    <t xml:space="preserve">fvdd.a </t>
  </si>
  <si>
    <t xml:space="preserve">dpap </t>
  </si>
  <si>
    <t xml:space="preserve">fvde.a </t>
  </si>
  <si>
    <t xml:space="preserve">fvdf.a </t>
  </si>
  <si>
    <t>nivl_e1</t>
  </si>
  <si>
    <t xml:space="preserve">fvea.a </t>
  </si>
  <si>
    <t>Nibelheim clouds promise</t>
  </si>
  <si>
    <t xml:space="preserve">fveb.a </t>
  </si>
  <si>
    <t xml:space="preserve">fvec.a </t>
  </si>
  <si>
    <t xml:space="preserve">fved.hrc </t>
  </si>
  <si>
    <t>korts_sk</t>
  </si>
  <si>
    <t xml:space="preserve">fvee.rsd </t>
  </si>
  <si>
    <t xml:space="preserve">fvef.p </t>
  </si>
  <si>
    <t xml:space="preserve">fvfa.rsd </t>
  </si>
  <si>
    <t>nivl_e2</t>
  </si>
  <si>
    <t>Nibelheim Sky (from kids scene)</t>
  </si>
  <si>
    <t xml:space="preserve">fvfb.p </t>
  </si>
  <si>
    <t xml:space="preserve">dpaq </t>
  </si>
  <si>
    <t xml:space="preserve">fvfc.rsd </t>
  </si>
  <si>
    <t xml:space="preserve">fvfd.p </t>
  </si>
  <si>
    <t xml:space="preserve">fvfe.tex </t>
  </si>
  <si>
    <t xml:space="preserve">fvff.tex </t>
  </si>
  <si>
    <t>nivl_e3</t>
  </si>
  <si>
    <t>Picture of Zack, Tifa&amp; Sephiroth</t>
  </si>
  <si>
    <t xml:space="preserve">fvga.tex </t>
  </si>
  <si>
    <t xml:space="preserve">fvgb.rsd </t>
  </si>
  <si>
    <t xml:space="preserve">fvgc.p </t>
  </si>
  <si>
    <t xml:space="preserve">dpar </t>
  </si>
  <si>
    <t xml:space="preserve">fvgd.rsd </t>
  </si>
  <si>
    <t xml:space="preserve">fvge.p </t>
  </si>
  <si>
    <t xml:space="preserve">fvgf.rsd </t>
  </si>
  <si>
    <t>nmkin_1</t>
  </si>
  <si>
    <t>Bombing reactor 5 entrance</t>
  </si>
  <si>
    <t xml:space="preserve">fvha.p </t>
  </si>
  <si>
    <t xml:space="preserve">fvhb.rsd </t>
  </si>
  <si>
    <t xml:space="preserve">fvhc.p </t>
  </si>
  <si>
    <t xml:space="preserve">fvhd.rsd </t>
  </si>
  <si>
    <t xml:space="preserve">fvhe.p </t>
  </si>
  <si>
    <t xml:space="preserve">dpas </t>
  </si>
  <si>
    <t>nmkin_2</t>
  </si>
  <si>
    <t xml:space="preserve">fvhf.rsd </t>
  </si>
  <si>
    <t>Bombing reactor 5 stairs</t>
  </si>
  <si>
    <t xml:space="preserve">fvia.p </t>
  </si>
  <si>
    <t xml:space="preserve">fvib.rsd </t>
  </si>
  <si>
    <t xml:space="preserve">fvic.p </t>
  </si>
  <si>
    <t xml:space="preserve">fvid.rsd </t>
  </si>
  <si>
    <t>nmkin_3</t>
  </si>
  <si>
    <t>Bombing reactor 5 ladders</t>
  </si>
  <si>
    <t xml:space="preserve">fvie.p </t>
  </si>
  <si>
    <t xml:space="preserve">fvif.rsd </t>
  </si>
  <si>
    <t xml:space="preserve">fvja.p </t>
  </si>
  <si>
    <t xml:space="preserve">dpat </t>
  </si>
  <si>
    <t xml:space="preserve">fvjb.rsd </t>
  </si>
  <si>
    <t xml:space="preserve">fvjc.p </t>
  </si>
  <si>
    <t xml:space="preserve">fvjd.rsd </t>
  </si>
  <si>
    <t>nmkin_4</t>
  </si>
  <si>
    <t>Bombing reactor 5</t>
  </si>
  <si>
    <t xml:space="preserve">fvje.p </t>
  </si>
  <si>
    <t xml:space="preserve">fvjf.rsd </t>
  </si>
  <si>
    <t xml:space="preserve">dpau </t>
  </si>
  <si>
    <t xml:space="preserve">fwaa.p </t>
  </si>
  <si>
    <t xml:space="preserve">fwab.a </t>
  </si>
  <si>
    <t xml:space="preserve">fwac.a </t>
  </si>
  <si>
    <t>nmkin_5</t>
  </si>
  <si>
    <t xml:space="preserve">fwad.a </t>
  </si>
  <si>
    <t xml:space="preserve">fwae.hrc </t>
  </si>
  <si>
    <t>esto_sk</t>
  </si>
  <si>
    <t xml:space="preserve">fwaf.rsd </t>
  </si>
  <si>
    <t xml:space="preserve">dpav </t>
  </si>
  <si>
    <t xml:space="preserve">fwba.p </t>
  </si>
  <si>
    <t xml:space="preserve">fwbb.rsd </t>
  </si>
  <si>
    <t xml:space="preserve">fwbc.p </t>
  </si>
  <si>
    <t>nrthmk</t>
  </si>
  <si>
    <t>Bombing reactor 5 escape</t>
  </si>
  <si>
    <t xml:space="preserve">fwbd.rsd </t>
  </si>
  <si>
    <t xml:space="preserve">fwbe.p </t>
  </si>
  <si>
    <t xml:space="preserve">dpaw </t>
  </si>
  <si>
    <t xml:space="preserve">fwbf.tex </t>
  </si>
  <si>
    <t xml:space="preserve">fwca.tex </t>
  </si>
  <si>
    <t xml:space="preserve">fwcb.tex </t>
  </si>
  <si>
    <t>nvdun1</t>
  </si>
  <si>
    <t>Nibel reactor pipes room</t>
  </si>
  <si>
    <t xml:space="preserve">fwcc.rsd </t>
  </si>
  <si>
    <t xml:space="preserve">fwcd.p </t>
  </si>
  <si>
    <t xml:space="preserve">dpax </t>
  </si>
  <si>
    <t xml:space="preserve">fwce.rsd </t>
  </si>
  <si>
    <t xml:space="preserve">fwcf.p </t>
  </si>
  <si>
    <t xml:space="preserve">fwda.rsd </t>
  </si>
  <si>
    <t>nvdun2</t>
  </si>
  <si>
    <t>Nibel reactor cave</t>
  </si>
  <si>
    <t xml:space="preserve">fwdb.p </t>
  </si>
  <si>
    <t xml:space="preserve">fwdc.rsd </t>
  </si>
  <si>
    <t xml:space="preserve">fwdd.p </t>
  </si>
  <si>
    <t>nvdun3</t>
  </si>
  <si>
    <t xml:space="preserve">fwde.rsd </t>
  </si>
  <si>
    <t xml:space="preserve">fwdf.p </t>
  </si>
  <si>
    <t xml:space="preserve">fwea.rsd </t>
  </si>
  <si>
    <t xml:space="preserve">dpay </t>
  </si>
  <si>
    <t xml:space="preserve">fweb.p </t>
  </si>
  <si>
    <t>nvdun31</t>
  </si>
  <si>
    <t>Nibel reactor cave materia fountain</t>
  </si>
  <si>
    <t xml:space="preserve">fwec.rsd </t>
  </si>
  <si>
    <t xml:space="preserve">fwed.p </t>
  </si>
  <si>
    <t xml:space="preserve">fwee.rsd </t>
  </si>
  <si>
    <t>nvdun4</t>
  </si>
  <si>
    <t xml:space="preserve">dpaz </t>
  </si>
  <si>
    <t xml:space="preserve">fwef.p </t>
  </si>
  <si>
    <t xml:space="preserve">fwfa.rsd </t>
  </si>
  <si>
    <t>nvmin1_1</t>
  </si>
  <si>
    <t xml:space="preserve">fwfb.p </t>
  </si>
  <si>
    <t xml:space="preserve">dpba </t>
  </si>
  <si>
    <t xml:space="preserve">fwfc.rsd </t>
  </si>
  <si>
    <t xml:space="preserve">fwfd.p </t>
  </si>
  <si>
    <t xml:space="preserve">fwfe.rsd </t>
  </si>
  <si>
    <t xml:space="preserve">fwff.p </t>
  </si>
  <si>
    <t>nvmin1_2</t>
  </si>
  <si>
    <t xml:space="preserve">fwga.rsd </t>
  </si>
  <si>
    <t>Nibelheim house upper floor</t>
  </si>
  <si>
    <t xml:space="preserve">dpbb </t>
  </si>
  <si>
    <t xml:space="preserve">fwgb.p </t>
  </si>
  <si>
    <t xml:space="preserve">fwgc.a </t>
  </si>
  <si>
    <t xml:space="preserve">fwgd.a </t>
  </si>
  <si>
    <t xml:space="preserve">fwge.a </t>
  </si>
  <si>
    <t xml:space="preserve">fwgf.hrc </t>
  </si>
  <si>
    <t>dyne_p_sk</t>
  </si>
  <si>
    <t>nvmkin1</t>
  </si>
  <si>
    <t xml:space="preserve">fwha.rsd </t>
  </si>
  <si>
    <t>Nibelheim reactor inside</t>
  </si>
  <si>
    <t xml:space="preserve">fwhb.p </t>
  </si>
  <si>
    <t xml:space="preserve">dpbc </t>
  </si>
  <si>
    <t xml:space="preserve">fwhc.rsd </t>
  </si>
  <si>
    <t xml:space="preserve">fwhd.p </t>
  </si>
  <si>
    <t xml:space="preserve">fwhe.rsd </t>
  </si>
  <si>
    <t xml:space="preserve">fwhf.p </t>
  </si>
  <si>
    <t xml:space="preserve">fwia.rsd </t>
  </si>
  <si>
    <t>nvmkin21</t>
  </si>
  <si>
    <t xml:space="preserve">fwib.p </t>
  </si>
  <si>
    <t xml:space="preserve">fwic.rsd </t>
  </si>
  <si>
    <t xml:space="preserve">dpbd </t>
  </si>
  <si>
    <t>Nibelheim reactor soldier projects flashback</t>
  </si>
  <si>
    <t xml:space="preserve">fwid.p </t>
  </si>
  <si>
    <t xml:space="preserve">fwie.rsd </t>
  </si>
  <si>
    <t xml:space="preserve">fwif.p </t>
  </si>
  <si>
    <t xml:space="preserve">fwja.rsd </t>
  </si>
  <si>
    <t xml:space="preserve">fwjb.p </t>
  </si>
  <si>
    <t>nvmkin22</t>
  </si>
  <si>
    <t>Nibelheim reactor soldier projects memories</t>
  </si>
  <si>
    <t xml:space="preserve">fwjc.rsd </t>
  </si>
  <si>
    <t xml:space="preserve">fwjd.p </t>
  </si>
  <si>
    <t xml:space="preserve">dpbe </t>
  </si>
  <si>
    <t xml:space="preserve">fwje.rsd </t>
  </si>
  <si>
    <t xml:space="preserve">fwjf.p </t>
  </si>
  <si>
    <t xml:space="preserve">fxaa.rsd </t>
  </si>
  <si>
    <t>nvmkin23</t>
  </si>
  <si>
    <t xml:space="preserve">fxab.p </t>
  </si>
  <si>
    <t>Nibelheim reactor a project in a camera</t>
  </si>
  <si>
    <t xml:space="preserve">fxac.rsd </t>
  </si>
  <si>
    <t xml:space="preserve">fxad.p </t>
  </si>
  <si>
    <t xml:space="preserve">fxae.a </t>
  </si>
  <si>
    <t xml:space="preserve">fxaf.a </t>
  </si>
  <si>
    <t xml:space="preserve">fxba.a </t>
  </si>
  <si>
    <t xml:space="preserve">dpbf </t>
  </si>
  <si>
    <t xml:space="preserve">fxbb.a </t>
  </si>
  <si>
    <t>nvmkin31</t>
  </si>
  <si>
    <t>Nibelheim reactor jenova room with statue</t>
  </si>
  <si>
    <t xml:space="preserve">fxbc.a </t>
  </si>
  <si>
    <t xml:space="preserve">fxbd.a </t>
  </si>
  <si>
    <t xml:space="preserve">fxbe.a </t>
  </si>
  <si>
    <t xml:space="preserve">fxbf.a </t>
  </si>
  <si>
    <t xml:space="preserve">fxca.a </t>
  </si>
  <si>
    <t>nvmkin32</t>
  </si>
  <si>
    <t>Nibelheim reactor jenova room statue removed</t>
  </si>
  <si>
    <t xml:space="preserve">fxcb.a </t>
  </si>
  <si>
    <t xml:space="preserve">dpbg </t>
  </si>
  <si>
    <t xml:space="preserve">fxcc.a </t>
  </si>
  <si>
    <t xml:space="preserve">fxcd.a </t>
  </si>
  <si>
    <t xml:space="preserve">fxce.a </t>
  </si>
  <si>
    <t xml:space="preserve">fxcf.a </t>
  </si>
  <si>
    <t xml:space="preserve">fxda.a </t>
  </si>
  <si>
    <t xml:space="preserve">fxdb.a </t>
  </si>
  <si>
    <t>onna_2</t>
  </si>
  <si>
    <t xml:space="preserve">fxdc.a </t>
  </si>
  <si>
    <t>Honeybee inn girls room</t>
  </si>
  <si>
    <t xml:space="preserve">fxdd.a </t>
  </si>
  <si>
    <t xml:space="preserve">fxde.a </t>
  </si>
  <si>
    <t xml:space="preserve">fxdf.a </t>
  </si>
  <si>
    <t xml:space="preserve">fxea.a </t>
  </si>
  <si>
    <t xml:space="preserve">fxeb.a </t>
  </si>
  <si>
    <t xml:space="preserve">dpbh </t>
  </si>
  <si>
    <t xml:space="preserve">fxec.a </t>
  </si>
  <si>
    <t>onna_4</t>
  </si>
  <si>
    <t xml:space="preserve">fxed.a </t>
  </si>
  <si>
    <t>Honeybee inn main hall</t>
  </si>
  <si>
    <t xml:space="preserve">fxee.a </t>
  </si>
  <si>
    <t xml:space="preserve">fxef.a </t>
  </si>
  <si>
    <t xml:space="preserve">fxfa.a </t>
  </si>
  <si>
    <t xml:space="preserve">fxfb.a </t>
  </si>
  <si>
    <t xml:space="preserve">fxfc.a </t>
  </si>
  <si>
    <t xml:space="preserve">fxfd.a </t>
  </si>
  <si>
    <t xml:space="preserve">fxfe.a </t>
  </si>
  <si>
    <t xml:space="preserve">fxff.a </t>
  </si>
  <si>
    <t>onna_5</t>
  </si>
  <si>
    <t>Honeybee inn private room</t>
  </si>
  <si>
    <t xml:space="preserve">fxga.a </t>
  </si>
  <si>
    <t xml:space="preserve">dpbi </t>
  </si>
  <si>
    <t xml:space="preserve">fxgb.a </t>
  </si>
  <si>
    <t xml:space="preserve">fxgc.a </t>
  </si>
  <si>
    <t xml:space="preserve">fxgd.a </t>
  </si>
  <si>
    <t xml:space="preserve">fxge.a </t>
  </si>
  <si>
    <t xml:space="preserve">fxgf.a </t>
  </si>
  <si>
    <t xml:space="preserve">fxha.a </t>
  </si>
  <si>
    <t>onna_52</t>
  </si>
  <si>
    <t xml:space="preserve">fxhb.a </t>
  </si>
  <si>
    <t>Honeybee inn group room</t>
  </si>
  <si>
    <t xml:space="preserve">fxhc.a </t>
  </si>
  <si>
    <t xml:space="preserve">dpbj </t>
  </si>
  <si>
    <t xml:space="preserve">fxhd.a </t>
  </si>
  <si>
    <t xml:space="preserve">fxhe.a </t>
  </si>
  <si>
    <t xml:space="preserve">fxhf.a </t>
  </si>
  <si>
    <t xml:space="preserve">fxia.a </t>
  </si>
  <si>
    <t xml:space="preserve">fxib.a </t>
  </si>
  <si>
    <t xml:space="preserve">fxic.a </t>
  </si>
  <si>
    <t>pillar_1</t>
  </si>
  <si>
    <t xml:space="preserve">dpbk </t>
  </si>
  <si>
    <t xml:space="preserve">fxid.a </t>
  </si>
  <si>
    <t>Midgar pillar</t>
  </si>
  <si>
    <t xml:space="preserve">fxie.a </t>
  </si>
  <si>
    <t xml:space="preserve">fxif.a </t>
  </si>
  <si>
    <t xml:space="preserve">fxja.a </t>
  </si>
  <si>
    <t xml:space="preserve">fxjb.a </t>
  </si>
  <si>
    <t xml:space="preserve">fxjc.hrc </t>
  </si>
  <si>
    <t xml:space="preserve">fxjd.rsd </t>
  </si>
  <si>
    <t xml:space="preserve">dpbl </t>
  </si>
  <si>
    <t>pillar_2</t>
  </si>
  <si>
    <t>Midgar pillar top</t>
  </si>
  <si>
    <t xml:space="preserve">fxje.p </t>
  </si>
  <si>
    <t xml:space="preserve">fxjf.rsd </t>
  </si>
  <si>
    <t xml:space="preserve">fyaa.p </t>
  </si>
  <si>
    <t xml:space="preserve">dpbm </t>
  </si>
  <si>
    <t>pillar_3</t>
  </si>
  <si>
    <t xml:space="preserve">fyab.rsd </t>
  </si>
  <si>
    <t>different angle</t>
  </si>
  <si>
    <t xml:space="preserve">fyac.p </t>
  </si>
  <si>
    <t xml:space="preserve">fyad.tex </t>
  </si>
  <si>
    <t xml:space="preserve">fyae.tex </t>
  </si>
  <si>
    <t xml:space="preserve">fyaf.tex </t>
  </si>
  <si>
    <t xml:space="preserve">dpbn </t>
  </si>
  <si>
    <t>prisila</t>
  </si>
  <si>
    <t xml:space="preserve">fyba.rsd </t>
  </si>
  <si>
    <t>Junon priscilla house</t>
  </si>
  <si>
    <t xml:space="preserve">fybb.p </t>
  </si>
  <si>
    <t xml:space="preserve">fybc.rsd </t>
  </si>
  <si>
    <t xml:space="preserve">fybd.p </t>
  </si>
  <si>
    <t xml:space="preserve">fybe.rsd </t>
  </si>
  <si>
    <t xml:space="preserve">fybf.p </t>
  </si>
  <si>
    <t>psdun_1</t>
  </si>
  <si>
    <t>Mythril cave</t>
  </si>
  <si>
    <t xml:space="preserve">fyca.rsd </t>
  </si>
  <si>
    <t xml:space="preserve">fycb.p </t>
  </si>
  <si>
    <t xml:space="preserve">fycc.rsd </t>
  </si>
  <si>
    <t xml:space="preserve">dpbo </t>
  </si>
  <si>
    <t xml:space="preserve">fycd.p </t>
  </si>
  <si>
    <t xml:space="preserve">fyce.rsd </t>
  </si>
  <si>
    <t>psdun_2</t>
  </si>
  <si>
    <t xml:space="preserve">fycf.p </t>
  </si>
  <si>
    <t xml:space="preserve">fyda.rsd </t>
  </si>
  <si>
    <t xml:space="preserve">fydb.p </t>
  </si>
  <si>
    <t xml:space="preserve">fydc.rsd </t>
  </si>
  <si>
    <t xml:space="preserve">fydd.p </t>
  </si>
  <si>
    <t xml:space="preserve">dpbp </t>
  </si>
  <si>
    <t>psdun_3</t>
  </si>
  <si>
    <t xml:space="preserve">fyde.rsd </t>
  </si>
  <si>
    <t xml:space="preserve">fydf.p </t>
  </si>
  <si>
    <t xml:space="preserve">fyea.rsd </t>
  </si>
  <si>
    <t xml:space="preserve">fyeb.p </t>
  </si>
  <si>
    <t xml:space="preserve">dpbq </t>
  </si>
  <si>
    <t>psdun_4</t>
  </si>
  <si>
    <t xml:space="preserve">fyec.rsd </t>
  </si>
  <si>
    <t xml:space="preserve">fyed.p </t>
  </si>
  <si>
    <t xml:space="preserve">fyee.rsd </t>
  </si>
  <si>
    <t xml:space="preserve">dpbr </t>
  </si>
  <si>
    <t>qa</t>
  </si>
  <si>
    <t>Gelnika entrance</t>
  </si>
  <si>
    <t xml:space="preserve">fyef.p </t>
  </si>
  <si>
    <t xml:space="preserve">fyfa.a </t>
  </si>
  <si>
    <t xml:space="preserve">fyfb.a </t>
  </si>
  <si>
    <t xml:space="preserve">dpda </t>
  </si>
  <si>
    <t xml:space="preserve">fyfc.a </t>
  </si>
  <si>
    <t>qb</t>
  </si>
  <si>
    <t xml:space="preserve">fyfd.a </t>
  </si>
  <si>
    <t>Gelnika turks</t>
  </si>
  <si>
    <t xml:space="preserve">dqaa </t>
  </si>
  <si>
    <t xml:space="preserve">fyfe.a </t>
  </si>
  <si>
    <t>Marine:Battle Skeleton</t>
  </si>
  <si>
    <t xml:space="preserve">fyff.a </t>
  </si>
  <si>
    <t xml:space="preserve">fyga.a </t>
  </si>
  <si>
    <t xml:space="preserve">fygb.a </t>
  </si>
  <si>
    <t>qc</t>
  </si>
  <si>
    <t xml:space="preserve">fygc.a </t>
  </si>
  <si>
    <t>Gelnika</t>
  </si>
  <si>
    <t xml:space="preserve">fygd.a </t>
  </si>
  <si>
    <t xml:space="preserve">fyge.a </t>
  </si>
  <si>
    <t xml:space="preserve">fygf.a </t>
  </si>
  <si>
    <t xml:space="preserve">fyha.a </t>
  </si>
  <si>
    <t>MP clone 2 (aqaa)</t>
  </si>
  <si>
    <t xml:space="preserve">dqab </t>
  </si>
  <si>
    <t xml:space="preserve">fyhb.a </t>
  </si>
  <si>
    <t>qd</t>
  </si>
  <si>
    <t>Marine: Unidentified Part</t>
  </si>
  <si>
    <t>Gelnika main storage area</t>
  </si>
  <si>
    <t xml:space="preserve">fyhc.a </t>
  </si>
  <si>
    <t xml:space="preserve">dqam </t>
  </si>
  <si>
    <t xml:space="preserve">fyhd.a </t>
  </si>
  <si>
    <t xml:space="preserve">fyhe.a </t>
  </si>
  <si>
    <t xml:space="preserve">fyhf.a </t>
  </si>
  <si>
    <t>rckt</t>
  </si>
  <si>
    <t xml:space="preserve">fyia.a </t>
  </si>
  <si>
    <t>Rocket town</t>
  </si>
  <si>
    <t xml:space="preserve">fyib.a </t>
  </si>
  <si>
    <t xml:space="preserve">fyic.a </t>
  </si>
  <si>
    <t xml:space="preserve">fyid.a </t>
  </si>
  <si>
    <t xml:space="preserve">dqan </t>
  </si>
  <si>
    <t xml:space="preserve">fyie.a </t>
  </si>
  <si>
    <t xml:space="preserve">fyif.a </t>
  </si>
  <si>
    <t xml:space="preserve">fyja.a </t>
  </si>
  <si>
    <t>rckt2</t>
  </si>
  <si>
    <t xml:space="preserve">fyjb.a </t>
  </si>
  <si>
    <t>After firing rocket</t>
  </si>
  <si>
    <t xml:space="preserve">fyjc.a </t>
  </si>
  <si>
    <t xml:space="preserve">fyjd.a </t>
  </si>
  <si>
    <t xml:space="preserve">fyje.a </t>
  </si>
  <si>
    <t xml:space="preserve">dqao </t>
  </si>
  <si>
    <t xml:space="preserve">fyjf.a </t>
  </si>
  <si>
    <t xml:space="preserve">fzaa.a </t>
  </si>
  <si>
    <t xml:space="preserve">fzab.a </t>
  </si>
  <si>
    <t>rckt3</t>
  </si>
  <si>
    <t xml:space="preserve">fzac.a </t>
  </si>
  <si>
    <t>Cid's Backyard W/ Bronco</t>
  </si>
  <si>
    <t xml:space="preserve">fzad.a </t>
  </si>
  <si>
    <t xml:space="preserve">fzae.a </t>
  </si>
  <si>
    <t xml:space="preserve">fzaf.a </t>
  </si>
  <si>
    <t xml:space="preserve">fzba.a </t>
  </si>
  <si>
    <t xml:space="preserve">dqar </t>
  </si>
  <si>
    <t xml:space="preserve">fzbb.a </t>
  </si>
  <si>
    <t xml:space="preserve">fzbc.a </t>
  </si>
  <si>
    <t>rckt32</t>
  </si>
  <si>
    <t xml:space="preserve">fzbd.a </t>
  </si>
  <si>
    <t>Indentical to rckt3</t>
  </si>
  <si>
    <t xml:space="preserve">fzbe.a </t>
  </si>
  <si>
    <t xml:space="preserve">fzbf.a </t>
  </si>
  <si>
    <t xml:space="preserve">fzca.a </t>
  </si>
  <si>
    <t xml:space="preserve">fzcb.a </t>
  </si>
  <si>
    <t xml:space="preserve">fzcc.hrc </t>
  </si>
  <si>
    <t xml:space="preserve">dqas </t>
  </si>
  <si>
    <t>dragon_sk</t>
  </si>
  <si>
    <t xml:space="preserve">fzcd.rsd </t>
  </si>
  <si>
    <t>rcktbas1</t>
  </si>
  <si>
    <t xml:space="preserve">fzce.p </t>
  </si>
  <si>
    <t>Rocket town Rocket base</t>
  </si>
  <si>
    <t xml:space="preserve">fzcf.rsd </t>
  </si>
  <si>
    <t xml:space="preserve">fzda.p </t>
  </si>
  <si>
    <t xml:space="preserve">fzdb.rsd </t>
  </si>
  <si>
    <t xml:space="preserve">fzdc.p </t>
  </si>
  <si>
    <t xml:space="preserve">fzdd.rsd </t>
  </si>
  <si>
    <t xml:space="preserve">dqat </t>
  </si>
  <si>
    <t xml:space="preserve">fzde.p </t>
  </si>
  <si>
    <t>rcktbas2</t>
  </si>
  <si>
    <t xml:space="preserve">fzdf.rsd </t>
  </si>
  <si>
    <t>Rocket town Rocket base top</t>
  </si>
  <si>
    <t xml:space="preserve">fzea.p </t>
  </si>
  <si>
    <t xml:space="preserve">fzeb.rsd </t>
  </si>
  <si>
    <t xml:space="preserve">fzec.p </t>
  </si>
  <si>
    <t xml:space="preserve">fzed.rsd </t>
  </si>
  <si>
    <t xml:space="preserve">fzee.p </t>
  </si>
  <si>
    <t xml:space="preserve">fzef.rsd </t>
  </si>
  <si>
    <t>rcktin1</t>
  </si>
  <si>
    <t xml:space="preserve">fzfa.p </t>
  </si>
  <si>
    <t>Inside rocket</t>
  </si>
  <si>
    <t xml:space="preserve">fzfb.rsd </t>
  </si>
  <si>
    <t xml:space="preserve">fzfc.p </t>
  </si>
  <si>
    <t xml:space="preserve">dqay </t>
  </si>
  <si>
    <t xml:space="preserve">fzfd.rsd </t>
  </si>
  <si>
    <t xml:space="preserve">fzfe.p </t>
  </si>
  <si>
    <t xml:space="preserve">fzff.rsd </t>
  </si>
  <si>
    <t xml:space="preserve">fzga.p </t>
  </si>
  <si>
    <t xml:space="preserve">fzgb.a </t>
  </si>
  <si>
    <t>rcktin2</t>
  </si>
  <si>
    <t xml:space="preserve">fzgc.a </t>
  </si>
  <si>
    <t xml:space="preserve">fzgd.a </t>
  </si>
  <si>
    <t xml:space="preserve">fzge.a </t>
  </si>
  <si>
    <t xml:space="preserve">dqaz </t>
  </si>
  <si>
    <t xml:space="preserve">fzgf.a </t>
  </si>
  <si>
    <t xml:space="preserve">fzha.a </t>
  </si>
  <si>
    <t xml:space="preserve">fzhb.a </t>
  </si>
  <si>
    <t xml:space="preserve">fzhc.a </t>
  </si>
  <si>
    <t xml:space="preserve">fzhd.a </t>
  </si>
  <si>
    <t xml:space="preserve">fzhe.a </t>
  </si>
  <si>
    <t>rcktin3</t>
  </si>
  <si>
    <t xml:space="preserve">fzhf.a </t>
  </si>
  <si>
    <t xml:space="preserve">fzia.a </t>
  </si>
  <si>
    <t xml:space="preserve">dqba </t>
  </si>
  <si>
    <t xml:space="preserve">fzib.a </t>
  </si>
  <si>
    <t xml:space="preserve">fzic.a </t>
  </si>
  <si>
    <t xml:space="preserve">fzid.a </t>
  </si>
  <si>
    <t xml:space="preserve">fzie.a </t>
  </si>
  <si>
    <t xml:space="preserve">fzif.a </t>
  </si>
  <si>
    <t xml:space="preserve">fzja.a </t>
  </si>
  <si>
    <t>rcktin4</t>
  </si>
  <si>
    <t>Inside rocket materia room</t>
  </si>
  <si>
    <t xml:space="preserve">fzjb.a </t>
  </si>
  <si>
    <t xml:space="preserve">fzjc.a </t>
  </si>
  <si>
    <t xml:space="preserve">fzjd.a </t>
  </si>
  <si>
    <t xml:space="preserve">dqbc </t>
  </si>
  <si>
    <t xml:space="preserve">fzje.a </t>
  </si>
  <si>
    <t xml:space="preserve">fzjf.a </t>
  </si>
  <si>
    <t>rcktin5</t>
  </si>
  <si>
    <t xml:space="preserve">gaaa.a </t>
  </si>
  <si>
    <t>Inside rocket control room</t>
  </si>
  <si>
    <t xml:space="preserve">gaab.a </t>
  </si>
  <si>
    <t xml:space="preserve">gaac.a </t>
  </si>
  <si>
    <t xml:space="preserve">dqbd </t>
  </si>
  <si>
    <t xml:space="preserve">gaad.a </t>
  </si>
  <si>
    <t xml:space="preserve">gaae.a </t>
  </si>
  <si>
    <t xml:space="preserve">gaaf.a </t>
  </si>
  <si>
    <t>rcktin6</t>
  </si>
  <si>
    <t>Inside rocket reactor room</t>
  </si>
  <si>
    <t xml:space="preserve">gaba.a </t>
  </si>
  <si>
    <t xml:space="preserve">gabb.a </t>
  </si>
  <si>
    <t xml:space="preserve">gabc.a </t>
  </si>
  <si>
    <t xml:space="preserve">gabd.a </t>
  </si>
  <si>
    <t xml:space="preserve">dqbe </t>
  </si>
  <si>
    <t xml:space="preserve">gabe.hrc </t>
  </si>
  <si>
    <t>rcktin7</t>
  </si>
  <si>
    <t>wiz_sk</t>
  </si>
  <si>
    <t>Rocket escape module</t>
  </si>
  <si>
    <t xml:space="preserve">gabf.rsd </t>
  </si>
  <si>
    <t xml:space="preserve">gaca.p </t>
  </si>
  <si>
    <t xml:space="preserve">gacb.rsd </t>
  </si>
  <si>
    <t>rcktin8</t>
  </si>
  <si>
    <t xml:space="preserve">gacc.p </t>
  </si>
  <si>
    <t xml:space="preserve">dqbf </t>
  </si>
  <si>
    <t>Same as rcktin1</t>
  </si>
  <si>
    <t xml:space="preserve">gacd.tex </t>
  </si>
  <si>
    <t xml:space="preserve">gace.tex </t>
  </si>
  <si>
    <t xml:space="preserve">gacf.tex </t>
  </si>
  <si>
    <t xml:space="preserve">gada.rsd </t>
  </si>
  <si>
    <t>rkt_i</t>
  </si>
  <si>
    <t>Rocket town item shop</t>
  </si>
  <si>
    <t xml:space="preserve">gadb.p </t>
  </si>
  <si>
    <t xml:space="preserve">gadc.rsd </t>
  </si>
  <si>
    <t xml:space="preserve">gadd.p </t>
  </si>
  <si>
    <t xml:space="preserve">dqbh </t>
  </si>
  <si>
    <t xml:space="preserve">gade.rsd </t>
  </si>
  <si>
    <t>rkt_w</t>
  </si>
  <si>
    <t xml:space="preserve">gadf.p </t>
  </si>
  <si>
    <t>Rocket town weapon shop</t>
  </si>
  <si>
    <t xml:space="preserve">gaea.rsd </t>
  </si>
  <si>
    <t xml:space="preserve">gaeb.p </t>
  </si>
  <si>
    <t xml:space="preserve">gaec.rsd </t>
  </si>
  <si>
    <t xml:space="preserve">dqbi </t>
  </si>
  <si>
    <t xml:space="preserve">gaed.p </t>
  </si>
  <si>
    <t>rktinn1</t>
  </si>
  <si>
    <t>Rocket town inn</t>
  </si>
  <si>
    <t xml:space="preserve">gaee.rsd </t>
  </si>
  <si>
    <t xml:space="preserve">gaef.p </t>
  </si>
  <si>
    <t xml:space="preserve">gafa.rsd </t>
  </si>
  <si>
    <t xml:space="preserve">gafb.p </t>
  </si>
  <si>
    <t xml:space="preserve">dqbj </t>
  </si>
  <si>
    <t xml:space="preserve">gafc.rsd </t>
  </si>
  <si>
    <t>rktinn2</t>
  </si>
  <si>
    <t>Rocket town inn floor 2</t>
  </si>
  <si>
    <t xml:space="preserve">gafd.p </t>
  </si>
  <si>
    <t xml:space="preserve">gafe.rsd </t>
  </si>
  <si>
    <t xml:space="preserve">gaff.p </t>
  </si>
  <si>
    <t xml:space="preserve">gaga.rsd </t>
  </si>
  <si>
    <t>rktmin1</t>
  </si>
  <si>
    <t>Rocket town house 1</t>
  </si>
  <si>
    <t xml:space="preserve">gagb.p </t>
  </si>
  <si>
    <t xml:space="preserve">dqbk </t>
  </si>
  <si>
    <t xml:space="preserve">gagc.rsd </t>
  </si>
  <si>
    <t xml:space="preserve">gagd.p </t>
  </si>
  <si>
    <t xml:space="preserve">gage.rsd </t>
  </si>
  <si>
    <t xml:space="preserve">gagf.p </t>
  </si>
  <si>
    <t>rktmin2</t>
  </si>
  <si>
    <t>Rocket town house 2</t>
  </si>
  <si>
    <t xml:space="preserve">gaha.a </t>
  </si>
  <si>
    <t xml:space="preserve">dqck </t>
  </si>
  <si>
    <t xml:space="preserve">gahb.a </t>
  </si>
  <si>
    <t xml:space="preserve">gahc.a </t>
  </si>
  <si>
    <t xml:space="preserve">gahd.a </t>
  </si>
  <si>
    <t>rktsid</t>
  </si>
  <si>
    <t xml:space="preserve">dqda </t>
  </si>
  <si>
    <t>Rocket town cid house</t>
  </si>
  <si>
    <t xml:space="preserve">gahe.a </t>
  </si>
  <si>
    <t xml:space="preserve">gahf.a </t>
  </si>
  <si>
    <t xml:space="preserve">draa </t>
  </si>
  <si>
    <t>Jenova Birth: Battle Skeleton</t>
  </si>
  <si>
    <t xml:space="preserve">gaia.a </t>
  </si>
  <si>
    <t xml:space="preserve">gaib.a </t>
  </si>
  <si>
    <t>roadend</t>
  </si>
  <si>
    <t xml:space="preserve">gaic.a </t>
  </si>
  <si>
    <t>Midgar end of road after motorbike minigame</t>
  </si>
  <si>
    <t xml:space="preserve">gaid.a </t>
  </si>
  <si>
    <t xml:space="preserve">gaie.a </t>
  </si>
  <si>
    <t xml:space="preserve">drab </t>
  </si>
  <si>
    <t xml:space="preserve">gaif.a </t>
  </si>
  <si>
    <t>Jenova Birth: Unidentified Part</t>
  </si>
  <si>
    <t xml:space="preserve">gaja.a </t>
  </si>
  <si>
    <t>rootmap</t>
  </si>
  <si>
    <t xml:space="preserve">gajb.a </t>
  </si>
  <si>
    <t xml:space="preserve">dram </t>
  </si>
  <si>
    <t>Train monitor</t>
  </si>
  <si>
    <t xml:space="preserve">gajc.hrc </t>
  </si>
  <si>
    <t>dio_st</t>
  </si>
  <si>
    <t xml:space="preserve">gajd.rsd </t>
  </si>
  <si>
    <t xml:space="preserve">gaje.p </t>
  </si>
  <si>
    <t>ropest</t>
  </si>
  <si>
    <t>Ropeway station</t>
  </si>
  <si>
    <t xml:space="preserve">gajf.rsd </t>
  </si>
  <si>
    <t xml:space="preserve">gbaa.p </t>
  </si>
  <si>
    <t xml:space="preserve">gbab.rsd </t>
  </si>
  <si>
    <t xml:space="preserve">dran </t>
  </si>
  <si>
    <t xml:space="preserve">gbac.p </t>
  </si>
  <si>
    <t>82 K</t>
  </si>
  <si>
    <t>sandun_1</t>
  </si>
  <si>
    <t>Glacier cracked wall</t>
  </si>
  <si>
    <t xml:space="preserve">gbad.tex </t>
  </si>
  <si>
    <t xml:space="preserve">gbae.tex </t>
  </si>
  <si>
    <t xml:space="preserve">gbaf.tex </t>
  </si>
  <si>
    <t>sandun_2</t>
  </si>
  <si>
    <t xml:space="preserve">gbba.rsd </t>
  </si>
  <si>
    <t>Glacier cave</t>
  </si>
  <si>
    <t xml:space="preserve">drap </t>
  </si>
  <si>
    <t xml:space="preserve">gbbb.p </t>
  </si>
  <si>
    <t xml:space="preserve">gbbc.rsd </t>
  </si>
  <si>
    <t xml:space="preserve">gbbd.p </t>
  </si>
  <si>
    <t>sango1</t>
  </si>
  <si>
    <t xml:space="preserve">gbbe.rsd </t>
  </si>
  <si>
    <t xml:space="preserve">drax </t>
  </si>
  <si>
    <t xml:space="preserve">gbbf.p </t>
  </si>
  <si>
    <t xml:space="preserve">gbca.rsd </t>
  </si>
  <si>
    <t>sango2</t>
  </si>
  <si>
    <t xml:space="preserve">drbb </t>
  </si>
  <si>
    <t>Path Thru Old City</t>
  </si>
  <si>
    <t>Not Readable</t>
  </si>
  <si>
    <t xml:space="preserve">drbc </t>
  </si>
  <si>
    <t xml:space="preserve">gbcb.p </t>
  </si>
  <si>
    <t>sango3</t>
  </si>
  <si>
    <t xml:space="preserve">gbcc.rsd </t>
  </si>
  <si>
    <t xml:space="preserve">drbd </t>
  </si>
  <si>
    <t xml:space="preserve">gbcd.p </t>
  </si>
  <si>
    <t xml:space="preserve">gbce.rsd </t>
  </si>
  <si>
    <t xml:space="preserve">gbcf.p </t>
  </si>
  <si>
    <t xml:space="preserve">gbda.rsd </t>
  </si>
  <si>
    <t>sbwy4_1</t>
  </si>
  <si>
    <t>Reactor 5 raid shaft</t>
  </si>
  <si>
    <t xml:space="preserve">gbdb.p </t>
  </si>
  <si>
    <t xml:space="preserve">drbj </t>
  </si>
  <si>
    <t xml:space="preserve">gbdc.rsd </t>
  </si>
  <si>
    <t xml:space="preserve">gbdd.p </t>
  </si>
  <si>
    <t xml:space="preserve">gbde.rsd </t>
  </si>
  <si>
    <t>sbwy4_2</t>
  </si>
  <si>
    <t>Reactor 5 raid shaft 2</t>
  </si>
  <si>
    <t xml:space="preserve">gbdf.p </t>
  </si>
  <si>
    <t xml:space="preserve">drda </t>
  </si>
  <si>
    <t xml:space="preserve">gbea.rsd </t>
  </si>
  <si>
    <t xml:space="preserve">dsaa </t>
  </si>
  <si>
    <t>136 Bytes</t>
  </si>
  <si>
    <t>Grangalan: Battle Skeleton</t>
  </si>
  <si>
    <t xml:space="preserve">gbeb.p </t>
  </si>
  <si>
    <t>sbwy4_22</t>
  </si>
  <si>
    <t>Reactor 5 raid shaft 4</t>
  </si>
  <si>
    <t xml:space="preserve">gbec.rsd </t>
  </si>
  <si>
    <t xml:space="preserve">gbed.p </t>
  </si>
  <si>
    <t xml:space="preserve">gbee.rsd </t>
  </si>
  <si>
    <t xml:space="preserve">dsab </t>
  </si>
  <si>
    <t>Grangalan: Unidentified Part</t>
  </si>
  <si>
    <t xml:space="preserve">gbef.p </t>
  </si>
  <si>
    <t>sbwy4_3</t>
  </si>
  <si>
    <t>Reactor 5 raid shaft 3</t>
  </si>
  <si>
    <t xml:space="preserve">dsac </t>
  </si>
  <si>
    <t xml:space="preserve">gbfa.a </t>
  </si>
  <si>
    <t>Grangalan: Face Parts</t>
  </si>
  <si>
    <t xml:space="preserve">gbfb.a </t>
  </si>
  <si>
    <t xml:space="preserve">gbfc.a </t>
  </si>
  <si>
    <t xml:space="preserve">gbfd.a </t>
  </si>
  <si>
    <t>sbwy4_4</t>
  </si>
  <si>
    <t>Reactor 5 raid ladder</t>
  </si>
  <si>
    <t xml:space="preserve">gbfe.a </t>
  </si>
  <si>
    <t xml:space="preserve">dsam </t>
  </si>
  <si>
    <t xml:space="preserve">gbff.a </t>
  </si>
  <si>
    <t xml:space="preserve">gbga.a </t>
  </si>
  <si>
    <t xml:space="preserve">gbgb.a </t>
  </si>
  <si>
    <t xml:space="preserve">gbgc.a </t>
  </si>
  <si>
    <t>sbwy4_5</t>
  </si>
  <si>
    <t xml:space="preserve">Reactor 5 overview </t>
  </si>
  <si>
    <t xml:space="preserve">gbgd.a </t>
  </si>
  <si>
    <t xml:space="preserve">dsap </t>
  </si>
  <si>
    <t xml:space="preserve">gbge.a </t>
  </si>
  <si>
    <t xml:space="preserve">gbgf.a </t>
  </si>
  <si>
    <t xml:space="preserve">gbha.a </t>
  </si>
  <si>
    <t xml:space="preserve">gbhb.a </t>
  </si>
  <si>
    <t>sbwy4_6</t>
  </si>
  <si>
    <t xml:space="preserve">gbhc.a </t>
  </si>
  <si>
    <t>Room right before reactor 5 proper</t>
  </si>
  <si>
    <t xml:space="preserve">gbhd.a </t>
  </si>
  <si>
    <t xml:space="preserve">gbhe.a </t>
  </si>
  <si>
    <t xml:space="preserve">gbhf.a </t>
  </si>
  <si>
    <t xml:space="preserve">gbia.hrc </t>
  </si>
  <si>
    <t xml:space="preserve">dsda </t>
  </si>
  <si>
    <t>costum_st</t>
  </si>
  <si>
    <t>sea</t>
  </si>
  <si>
    <t xml:space="preserve">gbib.rsd </t>
  </si>
  <si>
    <t>Tiny Bronco Sea</t>
  </si>
  <si>
    <t xml:space="preserve">gbic.p </t>
  </si>
  <si>
    <t xml:space="preserve">dtaa </t>
  </si>
  <si>
    <t>Grangalan Jr: Battle Skeleton</t>
  </si>
  <si>
    <t xml:space="preserve">gbid.rsd </t>
  </si>
  <si>
    <t xml:space="preserve">gbie.p </t>
  </si>
  <si>
    <t xml:space="preserve">gbif.rsd </t>
  </si>
  <si>
    <t>semkin_1</t>
  </si>
  <si>
    <t>Underwater Reactor??</t>
  </si>
  <si>
    <t xml:space="preserve">gbja.p </t>
  </si>
  <si>
    <t xml:space="preserve">gbjb.rsd </t>
  </si>
  <si>
    <t xml:space="preserve">gbjc.p </t>
  </si>
  <si>
    <t xml:space="preserve">dtab </t>
  </si>
  <si>
    <t>Grangalan Jr: Unidentified Part</t>
  </si>
  <si>
    <t xml:space="preserve">gbjd.rsd </t>
  </si>
  <si>
    <t xml:space="preserve">dtac </t>
  </si>
  <si>
    <t xml:space="preserve">gbje.p </t>
  </si>
  <si>
    <t>semkin_2</t>
  </si>
  <si>
    <t>Grangalan Jr: Face Parts</t>
  </si>
  <si>
    <t>Red and grey submarines docked</t>
  </si>
  <si>
    <t xml:space="preserve">gbjf.rsd </t>
  </si>
  <si>
    <t xml:space="preserve">gcaa.p </t>
  </si>
  <si>
    <t xml:space="preserve">gcab.rsd </t>
  </si>
  <si>
    <t xml:space="preserve">gcac.p </t>
  </si>
  <si>
    <t xml:space="preserve">dtam </t>
  </si>
  <si>
    <t xml:space="preserve">gcad.a </t>
  </si>
  <si>
    <t>semkin_3</t>
  </si>
  <si>
    <t>The way to the submarines</t>
  </si>
  <si>
    <t xml:space="preserve">gcae.a </t>
  </si>
  <si>
    <t xml:space="preserve">gcaf.a </t>
  </si>
  <si>
    <t xml:space="preserve">gcba.a </t>
  </si>
  <si>
    <t xml:space="preserve">gcbb.a </t>
  </si>
  <si>
    <t xml:space="preserve">gcbc.a </t>
  </si>
  <si>
    <t>semkin_4</t>
  </si>
  <si>
    <t>Huge materia container</t>
  </si>
  <si>
    <t xml:space="preserve">gcbd.hrc </t>
  </si>
  <si>
    <t>mstaf_sk</t>
  </si>
  <si>
    <t xml:space="preserve">dtap </t>
  </si>
  <si>
    <t xml:space="preserve">gcbe.rsd </t>
  </si>
  <si>
    <t xml:space="preserve">gcbf.p </t>
  </si>
  <si>
    <t xml:space="preserve">gcca.rsd </t>
  </si>
  <si>
    <t>semkin_5</t>
  </si>
  <si>
    <t xml:space="preserve">gccb.p </t>
  </si>
  <si>
    <t xml:space="preserve">gccc.rsd </t>
  </si>
  <si>
    <t xml:space="preserve">dtda </t>
  </si>
  <si>
    <t xml:space="preserve">gccd.p </t>
  </si>
  <si>
    <t xml:space="preserve">duaa </t>
  </si>
  <si>
    <t>semkin_6</t>
  </si>
  <si>
    <t>Grangalan Jr Jr: Battle Skeleton</t>
  </si>
  <si>
    <t xml:space="preserve">gcce.tex </t>
  </si>
  <si>
    <t>Only grey submarine docked</t>
  </si>
  <si>
    <t xml:space="preserve">gccf.tex </t>
  </si>
  <si>
    <t xml:space="preserve">gcda.tex </t>
  </si>
  <si>
    <t>semkin_7</t>
  </si>
  <si>
    <t xml:space="preserve">gcdb.rsd </t>
  </si>
  <si>
    <t xml:space="preserve">gcdc.p </t>
  </si>
  <si>
    <t xml:space="preserve">duab </t>
  </si>
  <si>
    <t>Grangalan Jr Jr: Unidentified Part</t>
  </si>
  <si>
    <t xml:space="preserve">gcdd.rsd </t>
  </si>
  <si>
    <t xml:space="preserve">gcde.p </t>
  </si>
  <si>
    <t xml:space="preserve">duac </t>
  </si>
  <si>
    <t>semkin_8</t>
  </si>
  <si>
    <t>Inside grey submarine</t>
  </si>
  <si>
    <t>Grangalan Jr Jr: Face Parts</t>
  </si>
  <si>
    <t xml:space="preserve">gcdf.rsd </t>
  </si>
  <si>
    <t xml:space="preserve">gcea.p </t>
  </si>
  <si>
    <t xml:space="preserve">gceb.rsd </t>
  </si>
  <si>
    <t>seto1</t>
  </si>
  <si>
    <t>Setos rock at cosmo canyon</t>
  </si>
  <si>
    <t xml:space="preserve">duam </t>
  </si>
  <si>
    <t xml:space="preserve">gcec.p </t>
  </si>
  <si>
    <t xml:space="preserve">gced.rsd </t>
  </si>
  <si>
    <t xml:space="preserve">gcee.p </t>
  </si>
  <si>
    <t xml:space="preserve">gcef.rsd </t>
  </si>
  <si>
    <t xml:space="preserve">duap </t>
  </si>
  <si>
    <t>ship_1</t>
  </si>
  <si>
    <t>Ship deck</t>
  </si>
  <si>
    <t xml:space="preserve">gcfa.p </t>
  </si>
  <si>
    <t xml:space="preserve">gcfb.rsd </t>
  </si>
  <si>
    <t xml:space="preserve">gcfc.p </t>
  </si>
  <si>
    <t xml:space="preserve">gcfd.rsd </t>
  </si>
  <si>
    <t>ship_2</t>
  </si>
  <si>
    <t xml:space="preserve">duda </t>
  </si>
  <si>
    <t>Ship deck near cabin</t>
  </si>
  <si>
    <t xml:space="preserve">gcfe.p </t>
  </si>
  <si>
    <t xml:space="preserve">dvaa </t>
  </si>
  <si>
    <t xml:space="preserve">gcff.rsd </t>
  </si>
  <si>
    <t>Beach Plug: Battle Skeleton</t>
  </si>
  <si>
    <t xml:space="preserve">gcga.p </t>
  </si>
  <si>
    <t xml:space="preserve">gcgb.rsd </t>
  </si>
  <si>
    <t xml:space="preserve">gcgc.p </t>
  </si>
  <si>
    <t>shpin_2</t>
  </si>
  <si>
    <t>Inside ship cargo room</t>
  </si>
  <si>
    <t xml:space="preserve">gcgd.rsd </t>
  </si>
  <si>
    <t xml:space="preserve">gcge.p </t>
  </si>
  <si>
    <t xml:space="preserve">dvab </t>
  </si>
  <si>
    <t xml:space="preserve">gcgf.rsd </t>
  </si>
  <si>
    <t>Beach Plug: Unidentified Part</t>
  </si>
  <si>
    <t xml:space="preserve">gcia.p </t>
  </si>
  <si>
    <t xml:space="preserve">dvam </t>
  </si>
  <si>
    <t xml:space="preserve">gcib.a </t>
  </si>
  <si>
    <t>shpin_22</t>
  </si>
  <si>
    <t>Inside ship cargo room empty</t>
  </si>
  <si>
    <t xml:space="preserve">gcic.a </t>
  </si>
  <si>
    <t xml:space="preserve">gcid.a </t>
  </si>
  <si>
    <t xml:space="preserve">gcie.a </t>
  </si>
  <si>
    <t xml:space="preserve">gcif.a </t>
  </si>
  <si>
    <t xml:space="preserve">gcha.p </t>
  </si>
  <si>
    <t xml:space="preserve">gchb.a </t>
  </si>
  <si>
    <t xml:space="preserve">dvan </t>
  </si>
  <si>
    <t>shpin_3</t>
  </si>
  <si>
    <t xml:space="preserve">gchc.hrc </t>
  </si>
  <si>
    <t>Inside ship jenova room</t>
  </si>
  <si>
    <t>jet_sk</t>
  </si>
  <si>
    <t xml:space="preserve">gchd.rsd </t>
  </si>
  <si>
    <t xml:space="preserve">gche.p </t>
  </si>
  <si>
    <t xml:space="preserve">gchf.rsd </t>
  </si>
  <si>
    <t xml:space="preserve">gcja.a </t>
  </si>
  <si>
    <t xml:space="preserve">gcjb.a </t>
  </si>
  <si>
    <t xml:space="preserve">gcjc.hrc </t>
  </si>
  <si>
    <t>kanran_sk</t>
  </si>
  <si>
    <t>sibuki1.tex</t>
  </si>
  <si>
    <t xml:space="preserve">dvao </t>
  </si>
  <si>
    <t xml:space="preserve">gcjd.rsd </t>
  </si>
  <si>
    <t xml:space="preserve">gcje.p </t>
  </si>
  <si>
    <t xml:space="preserve">gcjf.tex </t>
  </si>
  <si>
    <t xml:space="preserve">gdaa.a </t>
  </si>
  <si>
    <t xml:space="preserve">gdab.a </t>
  </si>
  <si>
    <t xml:space="preserve">gdac.a </t>
  </si>
  <si>
    <t xml:space="preserve">gdad.a </t>
  </si>
  <si>
    <t xml:space="preserve">dvap </t>
  </si>
  <si>
    <t>sibuki2.tex</t>
  </si>
  <si>
    <t xml:space="preserve">gdae.a </t>
  </si>
  <si>
    <t xml:space="preserve">gdaf.a </t>
  </si>
  <si>
    <t xml:space="preserve">gdba.a </t>
  </si>
  <si>
    <t xml:space="preserve">gdbb.a </t>
  </si>
  <si>
    <t xml:space="preserve">gdbc.a </t>
  </si>
  <si>
    <t xml:space="preserve">gdbd.a </t>
  </si>
  <si>
    <t xml:space="preserve">gdbe.a </t>
  </si>
  <si>
    <t>sibuki3.tex</t>
  </si>
  <si>
    <t xml:space="preserve">gdbf.a </t>
  </si>
  <si>
    <t xml:space="preserve">dvaq </t>
  </si>
  <si>
    <t>1.0 K</t>
  </si>
  <si>
    <t xml:space="preserve">gdca.a </t>
  </si>
  <si>
    <t xml:space="preserve">gdcb.a </t>
  </si>
  <si>
    <t xml:space="preserve">gdcc.a </t>
  </si>
  <si>
    <t xml:space="preserve">gdcd.a </t>
  </si>
  <si>
    <t xml:space="preserve">gdce.a </t>
  </si>
  <si>
    <t xml:space="preserve">gdcf.a </t>
  </si>
  <si>
    <t xml:space="preserve">gdda.a </t>
  </si>
  <si>
    <t>sibuki4.tex</t>
  </si>
  <si>
    <t xml:space="preserve">gddb.a </t>
  </si>
  <si>
    <t xml:space="preserve">dvar </t>
  </si>
  <si>
    <t xml:space="preserve">gddc.a </t>
  </si>
  <si>
    <t xml:space="preserve">gddd.a </t>
  </si>
  <si>
    <t xml:space="preserve">gdde.a </t>
  </si>
  <si>
    <t xml:space="preserve">gddf.a </t>
  </si>
  <si>
    <t xml:space="preserve">gdea.a </t>
  </si>
  <si>
    <t xml:space="preserve">gdeb.a </t>
  </si>
  <si>
    <t xml:space="preserve">gdec.a </t>
  </si>
  <si>
    <t>sichi</t>
  </si>
  <si>
    <t>Impaled Midgar zolom</t>
  </si>
  <si>
    <t xml:space="preserve">gded.a </t>
  </si>
  <si>
    <t xml:space="preserve">gdee.a </t>
  </si>
  <si>
    <t xml:space="preserve">gdef.a </t>
  </si>
  <si>
    <t xml:space="preserve">gdfa.a </t>
  </si>
  <si>
    <t xml:space="preserve">gdfb.a </t>
  </si>
  <si>
    <t xml:space="preserve">dvat </t>
  </si>
  <si>
    <t xml:space="preserve">gdfc.a </t>
  </si>
  <si>
    <t xml:space="preserve">gdfd.a </t>
  </si>
  <si>
    <t>sinbil_1</t>
  </si>
  <si>
    <t xml:space="preserve">gdfe.a </t>
  </si>
  <si>
    <t>Shinra building entrance</t>
  </si>
  <si>
    <t xml:space="preserve">gdff.a </t>
  </si>
  <si>
    <t xml:space="preserve">gdga.a </t>
  </si>
  <si>
    <t xml:space="preserve">gdgb.a </t>
  </si>
  <si>
    <t xml:space="preserve">gdgc.a </t>
  </si>
  <si>
    <t xml:space="preserve">gdgd.a </t>
  </si>
  <si>
    <t xml:space="preserve">gdge.a </t>
  </si>
  <si>
    <t xml:space="preserve">gdgf.a </t>
  </si>
  <si>
    <t xml:space="preserve">dvau </t>
  </si>
  <si>
    <t xml:space="preserve">gdha.a </t>
  </si>
  <si>
    <t>sinbil_2</t>
  </si>
  <si>
    <t xml:space="preserve">gdhb.a </t>
  </si>
  <si>
    <t>Shinra building way to the stairs</t>
  </si>
  <si>
    <t xml:space="preserve">gdhc.a </t>
  </si>
  <si>
    <t xml:space="preserve">gdhd.a </t>
  </si>
  <si>
    <t xml:space="preserve">gdhe.a </t>
  </si>
  <si>
    <t xml:space="preserve">gdhf.a </t>
  </si>
  <si>
    <t xml:space="preserve">gdia.a </t>
  </si>
  <si>
    <t xml:space="preserve">gdib.a </t>
  </si>
  <si>
    <t xml:space="preserve">gdic.hrc </t>
  </si>
  <si>
    <t xml:space="preserve">dvav </t>
  </si>
  <si>
    <t>bat_st</t>
  </si>
  <si>
    <t>sinin1_1</t>
  </si>
  <si>
    <t xml:space="preserve">gdid.rsd </t>
  </si>
  <si>
    <t>Nibelheim manor hall</t>
  </si>
  <si>
    <t xml:space="preserve">gdie.p </t>
  </si>
  <si>
    <t xml:space="preserve">gdif.rsd </t>
  </si>
  <si>
    <t xml:space="preserve">gdja.p </t>
  </si>
  <si>
    <t xml:space="preserve">gdjb.rsd </t>
  </si>
  <si>
    <t xml:space="preserve">gdjc.p </t>
  </si>
  <si>
    <t xml:space="preserve">gdjd.rsd </t>
  </si>
  <si>
    <t xml:space="preserve">dvaw </t>
  </si>
  <si>
    <t xml:space="preserve">gdje.p </t>
  </si>
  <si>
    <t>sinin1_2</t>
  </si>
  <si>
    <t xml:space="preserve">gdjf.rsd </t>
  </si>
  <si>
    <t>Nibelheim manor upper level</t>
  </si>
  <si>
    <t xml:space="preserve">geaa.p </t>
  </si>
  <si>
    <t xml:space="preserve">geab.rsd </t>
  </si>
  <si>
    <t xml:space="preserve">geac.p </t>
  </si>
  <si>
    <t xml:space="preserve">gead.rsd </t>
  </si>
  <si>
    <t xml:space="preserve">geae.p </t>
  </si>
  <si>
    <t xml:space="preserve">geaf.a </t>
  </si>
  <si>
    <t xml:space="preserve">geba.a </t>
  </si>
  <si>
    <t xml:space="preserve">dvay </t>
  </si>
  <si>
    <t xml:space="preserve">gebb.hrc </t>
  </si>
  <si>
    <t>sinin2_1</t>
  </si>
  <si>
    <t>noppo_st</t>
  </si>
  <si>
    <t xml:space="preserve">gebc.rsd </t>
  </si>
  <si>
    <t>Nibelheim manor upper level left wing</t>
  </si>
  <si>
    <t xml:space="preserve">gebd.p </t>
  </si>
  <si>
    <t xml:space="preserve">gebe.rsd </t>
  </si>
  <si>
    <t xml:space="preserve">gebf.p </t>
  </si>
  <si>
    <t xml:space="preserve">geca.rsd </t>
  </si>
  <si>
    <t xml:space="preserve">dvaz </t>
  </si>
  <si>
    <t xml:space="preserve">gecb.p </t>
  </si>
  <si>
    <t xml:space="preserve">gecc.tex </t>
  </si>
  <si>
    <t xml:space="preserve">gecd.tex </t>
  </si>
  <si>
    <t>sinin2_2</t>
  </si>
  <si>
    <t xml:space="preserve">gece.tex </t>
  </si>
  <si>
    <t>Nibelheim manor upper level right wing</t>
  </si>
  <si>
    <t xml:space="preserve">gecf.rsd </t>
  </si>
  <si>
    <t xml:space="preserve">dvba </t>
  </si>
  <si>
    <t xml:space="preserve">geda.p </t>
  </si>
  <si>
    <t xml:space="preserve">gedb.rsd </t>
  </si>
  <si>
    <t xml:space="preserve">gedc.p </t>
  </si>
  <si>
    <t xml:space="preserve">gedd.rsd </t>
  </si>
  <si>
    <t xml:space="preserve">gede.p </t>
  </si>
  <si>
    <t xml:space="preserve">gedf.rsd </t>
  </si>
  <si>
    <t xml:space="preserve">dvbb </t>
  </si>
  <si>
    <t xml:space="preserve">geea.p </t>
  </si>
  <si>
    <t>sinin3</t>
  </si>
  <si>
    <t>Nibelheim manor stairs to basement</t>
  </si>
  <si>
    <t xml:space="preserve">geeb.rsd </t>
  </si>
  <si>
    <t xml:space="preserve">geec.p </t>
  </si>
  <si>
    <t xml:space="preserve">geed.rsd </t>
  </si>
  <si>
    <t xml:space="preserve">geee.p </t>
  </si>
  <si>
    <t xml:space="preserve">geef.rsd </t>
  </si>
  <si>
    <t xml:space="preserve">gefa.p </t>
  </si>
  <si>
    <t xml:space="preserve">gefb.rsd </t>
  </si>
  <si>
    <t xml:space="preserve">dvbc </t>
  </si>
  <si>
    <t xml:space="preserve">gefc.p </t>
  </si>
  <si>
    <t>sininb1</t>
  </si>
  <si>
    <t xml:space="preserve">gefd.rsd </t>
  </si>
  <si>
    <t>Nibelheim manor basement</t>
  </si>
  <si>
    <t xml:space="preserve">gefe.p </t>
  </si>
  <si>
    <t xml:space="preserve">geff.rsd </t>
  </si>
  <si>
    <t xml:space="preserve">gega.p </t>
  </si>
  <si>
    <t xml:space="preserve">gegb.rsd </t>
  </si>
  <si>
    <t xml:space="preserve">dvbd </t>
  </si>
  <si>
    <t xml:space="preserve">gegc.p </t>
  </si>
  <si>
    <t xml:space="preserve">gegd.rsd </t>
  </si>
  <si>
    <t xml:space="preserve">gege.p </t>
  </si>
  <si>
    <t xml:space="preserve">gegf.a </t>
  </si>
  <si>
    <t>sininb2</t>
  </si>
  <si>
    <t xml:space="preserve">geha.a </t>
  </si>
  <si>
    <t>Nibelheim manor basement vincent room</t>
  </si>
  <si>
    <t xml:space="preserve">gehb.a </t>
  </si>
  <si>
    <t xml:space="preserve">dvbe </t>
  </si>
  <si>
    <t xml:space="preserve">gehc.a </t>
  </si>
  <si>
    <t xml:space="preserve">gehd.hrc </t>
  </si>
  <si>
    <t>semusi_st</t>
  </si>
  <si>
    <t xml:space="preserve">gehe.rsd </t>
  </si>
  <si>
    <t xml:space="preserve">gehf.p </t>
  </si>
  <si>
    <t xml:space="preserve">geia.rsd </t>
  </si>
  <si>
    <t xml:space="preserve">geib.p </t>
  </si>
  <si>
    <t xml:space="preserve">dvbf </t>
  </si>
  <si>
    <t xml:space="preserve">geic.rsd </t>
  </si>
  <si>
    <t>sininb31</t>
  </si>
  <si>
    <t xml:space="preserve">geid.p </t>
  </si>
  <si>
    <t>Nibelheim manor basement laboratory flashback</t>
  </si>
  <si>
    <t xml:space="preserve">geie.tex </t>
  </si>
  <si>
    <t xml:space="preserve">geif.tex </t>
  </si>
  <si>
    <t xml:space="preserve">geja.tex </t>
  </si>
  <si>
    <t xml:space="preserve">dvbh </t>
  </si>
  <si>
    <t xml:space="preserve">gejb.rsd </t>
  </si>
  <si>
    <t xml:space="preserve">gejc.p </t>
  </si>
  <si>
    <t xml:space="preserve">gejd.rsd </t>
  </si>
  <si>
    <t xml:space="preserve">geje.p </t>
  </si>
  <si>
    <t xml:space="preserve">gejf.rsd </t>
  </si>
  <si>
    <t>sininb32</t>
  </si>
  <si>
    <t xml:space="preserve">dvbj </t>
  </si>
  <si>
    <t xml:space="preserve">gfaa.p </t>
  </si>
  <si>
    <t xml:space="preserve">Nibelheim manor basement laboratory </t>
  </si>
  <si>
    <t xml:space="preserve">gfab.rsd </t>
  </si>
  <si>
    <t xml:space="preserve">gfac.p </t>
  </si>
  <si>
    <t xml:space="preserve">gfad.rsd </t>
  </si>
  <si>
    <t xml:space="preserve">gfae.p </t>
  </si>
  <si>
    <t xml:space="preserve">dvbl </t>
  </si>
  <si>
    <t xml:space="preserve">gfaf.rsd </t>
  </si>
  <si>
    <t xml:space="preserve">gfba.p </t>
  </si>
  <si>
    <t>sininb33</t>
  </si>
  <si>
    <t>Nibelheim manor basement laboratory Vincent flashback</t>
  </si>
  <si>
    <t xml:space="preserve">gfbb.rsd </t>
  </si>
  <si>
    <t xml:space="preserve">gfbc.p </t>
  </si>
  <si>
    <t xml:space="preserve">dvbn </t>
  </si>
  <si>
    <t xml:space="preserve">gfbd.rsd </t>
  </si>
  <si>
    <t xml:space="preserve">gfbe.p </t>
  </si>
  <si>
    <t xml:space="preserve">gfbf.rsd </t>
  </si>
  <si>
    <t xml:space="preserve">dvbp </t>
  </si>
  <si>
    <t xml:space="preserve">gfca.p </t>
  </si>
  <si>
    <t>sininb34</t>
  </si>
  <si>
    <t>Nibelheim manor basement laboratory tubes</t>
  </si>
  <si>
    <t xml:space="preserve">gfcb.rsd </t>
  </si>
  <si>
    <t xml:space="preserve">gfcc.p </t>
  </si>
  <si>
    <t xml:space="preserve">dvda </t>
  </si>
  <si>
    <t xml:space="preserve">gfcd.rsd </t>
  </si>
  <si>
    <t xml:space="preserve">gfce.p </t>
  </si>
  <si>
    <t xml:space="preserve">dwaa </t>
  </si>
  <si>
    <t>Search Crown: Battle Skeleton</t>
  </si>
  <si>
    <t>sininb35</t>
  </si>
  <si>
    <t xml:space="preserve">gfcf.rsd </t>
  </si>
  <si>
    <t>Nibelheim manor basement laboratory zack and cloud</t>
  </si>
  <si>
    <t xml:space="preserve">gfda.p </t>
  </si>
  <si>
    <t xml:space="preserve">gfdb.a </t>
  </si>
  <si>
    <t xml:space="preserve">dwab </t>
  </si>
  <si>
    <t xml:space="preserve">gfdc.a </t>
  </si>
  <si>
    <t>Search Crown: Unidentified Part</t>
  </si>
  <si>
    <t xml:space="preserve">gfdd.a </t>
  </si>
  <si>
    <t xml:space="preserve">dwam </t>
  </si>
  <si>
    <t xml:space="preserve">gfde.a </t>
  </si>
  <si>
    <t xml:space="preserve">gfdf.hrc </t>
  </si>
  <si>
    <t>sininb36</t>
  </si>
  <si>
    <t>hang_st</t>
  </si>
  <si>
    <t xml:space="preserve">gfea.rsd </t>
  </si>
  <si>
    <t xml:space="preserve">gfeb.p </t>
  </si>
  <si>
    <t xml:space="preserve">dwan </t>
  </si>
  <si>
    <t xml:space="preserve">gfec.rsd </t>
  </si>
  <si>
    <t xml:space="preserve">gfed.p </t>
  </si>
  <si>
    <t xml:space="preserve">gfee.rsd </t>
  </si>
  <si>
    <t xml:space="preserve">gfef.p </t>
  </si>
  <si>
    <t xml:space="preserve">gffa.rsd </t>
  </si>
  <si>
    <t xml:space="preserve">gffb.p </t>
  </si>
  <si>
    <t xml:space="preserve">gffc.rsd </t>
  </si>
  <si>
    <t>sininb41</t>
  </si>
  <si>
    <t xml:space="preserve">dwao </t>
  </si>
  <si>
    <t xml:space="preserve">gffd.p </t>
  </si>
  <si>
    <t>Nibelheim manor basement laboratory library flashback</t>
  </si>
  <si>
    <t xml:space="preserve">gffe.rsd </t>
  </si>
  <si>
    <t xml:space="preserve">gfff.p </t>
  </si>
  <si>
    <t xml:space="preserve">gfga.rsd </t>
  </si>
  <si>
    <t xml:space="preserve">gfgb.p </t>
  </si>
  <si>
    <t xml:space="preserve">gfgc.rsd </t>
  </si>
  <si>
    <t xml:space="preserve">gfgd.p </t>
  </si>
  <si>
    <t xml:space="preserve">gfge.rsd </t>
  </si>
  <si>
    <t xml:space="preserve">dwap </t>
  </si>
  <si>
    <t xml:space="preserve">gfgf.p </t>
  </si>
  <si>
    <t xml:space="preserve">gfha.rsd </t>
  </si>
  <si>
    <t xml:space="preserve">gfhb.p </t>
  </si>
  <si>
    <t>sininb42</t>
  </si>
  <si>
    <t xml:space="preserve">gfhc.rsd </t>
  </si>
  <si>
    <t>Nibelheim manor basement laboratory library</t>
  </si>
  <si>
    <t xml:space="preserve">gfhd.p </t>
  </si>
  <si>
    <t xml:space="preserve">gfhe.rsd </t>
  </si>
  <si>
    <t xml:space="preserve">gfhf.p </t>
  </si>
  <si>
    <t xml:space="preserve">gfia.rsd </t>
  </si>
  <si>
    <t xml:space="preserve">gfib.p </t>
  </si>
  <si>
    <t xml:space="preserve">dwaq </t>
  </si>
  <si>
    <t xml:space="preserve">gfic.rsd </t>
  </si>
  <si>
    <t xml:space="preserve">gfid.p </t>
  </si>
  <si>
    <t xml:space="preserve">gfie.rsd </t>
  </si>
  <si>
    <t xml:space="preserve">gfif.p </t>
  </si>
  <si>
    <t xml:space="preserve">gfja.rsd </t>
  </si>
  <si>
    <t>sininb51</t>
  </si>
  <si>
    <t xml:space="preserve">gfjb.p </t>
  </si>
  <si>
    <t xml:space="preserve">gfjc.tex </t>
  </si>
  <si>
    <t xml:space="preserve">gfjd.tex </t>
  </si>
  <si>
    <t xml:space="preserve">gfje.tex </t>
  </si>
  <si>
    <t xml:space="preserve">gfjf.a </t>
  </si>
  <si>
    <t xml:space="preserve">ggaa.a </t>
  </si>
  <si>
    <t xml:space="preserve">ggab.a </t>
  </si>
  <si>
    <t xml:space="preserve">ggac.a </t>
  </si>
  <si>
    <t xml:space="preserve">ggad.a </t>
  </si>
  <si>
    <t xml:space="preserve">ggae.a </t>
  </si>
  <si>
    <t xml:space="preserve">ggaf.a </t>
  </si>
  <si>
    <t xml:space="preserve">dwda </t>
  </si>
  <si>
    <t xml:space="preserve">ggba.a </t>
  </si>
  <si>
    <t xml:space="preserve">ggbb.a </t>
  </si>
  <si>
    <t xml:space="preserve">ggbc.a </t>
  </si>
  <si>
    <t>sininb52</t>
  </si>
  <si>
    <t xml:space="preserve">dxaa </t>
  </si>
  <si>
    <t xml:space="preserve">ggbd.a </t>
  </si>
  <si>
    <t>Needle Kiss: Battle Skeleton</t>
  </si>
  <si>
    <t xml:space="preserve">ggbe.a </t>
  </si>
  <si>
    <t xml:space="preserve">ggbf.a </t>
  </si>
  <si>
    <t xml:space="preserve">ggca.a </t>
  </si>
  <si>
    <t xml:space="preserve">ggcb.a </t>
  </si>
  <si>
    <t xml:space="preserve">ggcc.a </t>
  </si>
  <si>
    <t xml:space="preserve">dxab </t>
  </si>
  <si>
    <t>Needle Kiss: Unidentified Part</t>
  </si>
  <si>
    <t xml:space="preserve">ggcd.a </t>
  </si>
  <si>
    <t xml:space="preserve">dxam </t>
  </si>
  <si>
    <t>sky</t>
  </si>
  <si>
    <t xml:space="preserve">ggce.a </t>
  </si>
  <si>
    <t>Flying tiny bronco</t>
  </si>
  <si>
    <t xml:space="preserve">ggcf.a </t>
  </si>
  <si>
    <t xml:space="preserve">ggda.a </t>
  </si>
  <si>
    <t xml:space="preserve">ggdb.a </t>
  </si>
  <si>
    <t xml:space="preserve">ggdc.a </t>
  </si>
  <si>
    <t xml:space="preserve">ggdd.a </t>
  </si>
  <si>
    <t xml:space="preserve">ggde.a </t>
  </si>
  <si>
    <t xml:space="preserve">dxan </t>
  </si>
  <si>
    <t xml:space="preserve">ggdf.a </t>
  </si>
  <si>
    <t xml:space="preserve">ggea.a </t>
  </si>
  <si>
    <t xml:space="preserve">ggeb.a </t>
  </si>
  <si>
    <t xml:space="preserve">ggec.a </t>
  </si>
  <si>
    <t xml:space="preserve">gged.a </t>
  </si>
  <si>
    <t>slfrst_1</t>
  </si>
  <si>
    <t>Silent forest entrance</t>
  </si>
  <si>
    <t xml:space="preserve">ggee.a </t>
  </si>
  <si>
    <t xml:space="preserve">dxao </t>
  </si>
  <si>
    <t xml:space="preserve">ggef.hrc </t>
  </si>
  <si>
    <t>ght2_l_sk</t>
  </si>
  <si>
    <t xml:space="preserve">ggfa.rsd </t>
  </si>
  <si>
    <t xml:space="preserve">ggfb.p </t>
  </si>
  <si>
    <t xml:space="preserve">ggfc.tex </t>
  </si>
  <si>
    <t xml:space="preserve">ggfd.a </t>
  </si>
  <si>
    <t xml:space="preserve">ggfe.hrc </t>
  </si>
  <si>
    <t>ght2_r_sk</t>
  </si>
  <si>
    <t xml:space="preserve">ggff.rsd </t>
  </si>
  <si>
    <t xml:space="preserve">dxap </t>
  </si>
  <si>
    <t xml:space="preserve">ggga.p </t>
  </si>
  <si>
    <t xml:space="preserve">gggb.tex </t>
  </si>
  <si>
    <t xml:space="preserve">gggc.a </t>
  </si>
  <si>
    <t xml:space="preserve">gggd.a </t>
  </si>
  <si>
    <t xml:space="preserve">ggge.a </t>
  </si>
  <si>
    <t xml:space="preserve">gggf.a </t>
  </si>
  <si>
    <t xml:space="preserve">ggha.a </t>
  </si>
  <si>
    <t xml:space="preserve">dxaq </t>
  </si>
  <si>
    <t xml:space="preserve">gghb.a </t>
  </si>
  <si>
    <t>slfrst_2</t>
  </si>
  <si>
    <t xml:space="preserve">gghc.a </t>
  </si>
  <si>
    <t>Silent forest</t>
  </si>
  <si>
    <t xml:space="preserve">gghd.a </t>
  </si>
  <si>
    <t xml:space="preserve">gghe.hrc </t>
  </si>
  <si>
    <t>cursor_sk</t>
  </si>
  <si>
    <t xml:space="preserve">gghf.rsd </t>
  </si>
  <si>
    <t xml:space="preserve">dxas </t>
  </si>
  <si>
    <t xml:space="preserve">ggia.p </t>
  </si>
  <si>
    <t xml:space="preserve">ggib.tex </t>
  </si>
  <si>
    <t xml:space="preserve">ggic.a </t>
  </si>
  <si>
    <t xml:space="preserve">ggid.hrc </t>
  </si>
  <si>
    <t>clossl2_sk</t>
  </si>
  <si>
    <t xml:space="preserve">ggie.rsd </t>
  </si>
  <si>
    <t xml:space="preserve">ggif.p </t>
  </si>
  <si>
    <t>smkin_1</t>
  </si>
  <si>
    <t xml:space="preserve">ggja.tex </t>
  </si>
  <si>
    <t xml:space="preserve">dxat </t>
  </si>
  <si>
    <t>Second reactor bombing?</t>
  </si>
  <si>
    <t xml:space="preserve">ggjb.a </t>
  </si>
  <si>
    <t xml:space="preserve">ggjc.hrc </t>
  </si>
  <si>
    <t>clossl4_sk</t>
  </si>
  <si>
    <t xml:space="preserve">ggjd.rsd </t>
  </si>
  <si>
    <t xml:space="preserve">ggje.p </t>
  </si>
  <si>
    <t xml:space="preserve">ggjf.tex </t>
  </si>
  <si>
    <t xml:space="preserve">ghaa.a </t>
  </si>
  <si>
    <t xml:space="preserve">ghab.a </t>
  </si>
  <si>
    <t xml:space="preserve">ghac.a </t>
  </si>
  <si>
    <t xml:space="preserve">ghad.hrc </t>
  </si>
  <si>
    <t>w4_sk</t>
  </si>
  <si>
    <t xml:space="preserve">dxav </t>
  </si>
  <si>
    <t xml:space="preserve">ghae.rsd </t>
  </si>
  <si>
    <t xml:space="preserve">ghaf.p </t>
  </si>
  <si>
    <t>smkin_2</t>
  </si>
  <si>
    <t xml:space="preserve">ghba.rsd </t>
  </si>
  <si>
    <t>Second reactor bombing</t>
  </si>
  <si>
    <t xml:space="preserve">ghbb.p </t>
  </si>
  <si>
    <t xml:space="preserve">ghbc.rsd </t>
  </si>
  <si>
    <t xml:space="preserve">ghbd.p </t>
  </si>
  <si>
    <t xml:space="preserve">ghbe.tex </t>
  </si>
  <si>
    <t xml:space="preserve">ghbf.tex </t>
  </si>
  <si>
    <t xml:space="preserve">ghca.tex </t>
  </si>
  <si>
    <t xml:space="preserve">dxaw </t>
  </si>
  <si>
    <t xml:space="preserve">ghcb.rsd </t>
  </si>
  <si>
    <t>smkin_3</t>
  </si>
  <si>
    <t xml:space="preserve">ghcc.p </t>
  </si>
  <si>
    <t xml:space="preserve">ghcd.rsd </t>
  </si>
  <si>
    <t xml:space="preserve">ghce.p </t>
  </si>
  <si>
    <t xml:space="preserve">ghcf.rsd </t>
  </si>
  <si>
    <t xml:space="preserve">ghda.p </t>
  </si>
  <si>
    <t xml:space="preserve">ghdb.rsd </t>
  </si>
  <si>
    <t xml:space="preserve">dxay </t>
  </si>
  <si>
    <t xml:space="preserve">ghdc.p </t>
  </si>
  <si>
    <t xml:space="preserve">ghdd.rsd </t>
  </si>
  <si>
    <t xml:space="preserve">ghde.p </t>
  </si>
  <si>
    <t>smkin_4</t>
  </si>
  <si>
    <t xml:space="preserve">ghdf.rsd </t>
  </si>
  <si>
    <t xml:space="preserve">ghea.p </t>
  </si>
  <si>
    <t xml:space="preserve">gheb.rsd </t>
  </si>
  <si>
    <t xml:space="preserve">ghec.p </t>
  </si>
  <si>
    <t xml:space="preserve">ghed.rsd </t>
  </si>
  <si>
    <t xml:space="preserve">ghee.p </t>
  </si>
  <si>
    <t xml:space="preserve">ghef.rsd </t>
  </si>
  <si>
    <t xml:space="preserve">dxaz </t>
  </si>
  <si>
    <t xml:space="preserve">ghfa.p </t>
  </si>
  <si>
    <t xml:space="preserve">ghfb.rsd </t>
  </si>
  <si>
    <t>smkin_5</t>
  </si>
  <si>
    <t xml:space="preserve">ghfc.p </t>
  </si>
  <si>
    <t xml:space="preserve">ghfd.rsd </t>
  </si>
  <si>
    <t xml:space="preserve">ghfe.p </t>
  </si>
  <si>
    <t xml:space="preserve">ghff.rsd </t>
  </si>
  <si>
    <t xml:space="preserve">ghga.p </t>
  </si>
  <si>
    <t xml:space="preserve">ghgb.a </t>
  </si>
  <si>
    <t xml:space="preserve">dxba </t>
  </si>
  <si>
    <t xml:space="preserve">ghgc.a </t>
  </si>
  <si>
    <t xml:space="preserve">ghgd.a </t>
  </si>
  <si>
    <t xml:space="preserve">ghge.a </t>
  </si>
  <si>
    <t>sninn_1</t>
  </si>
  <si>
    <t xml:space="preserve">ghgf.hrc </t>
  </si>
  <si>
    <t>mech_st</t>
  </si>
  <si>
    <t>Icicle inn</t>
  </si>
  <si>
    <t xml:space="preserve">ghha.rsd </t>
  </si>
  <si>
    <t xml:space="preserve">ghhb.p </t>
  </si>
  <si>
    <t xml:space="preserve">ghhc.rsd </t>
  </si>
  <si>
    <t xml:space="preserve">ghhd.p </t>
  </si>
  <si>
    <t xml:space="preserve">ghhe.rsd </t>
  </si>
  <si>
    <t xml:space="preserve">ghhf.p </t>
  </si>
  <si>
    <t xml:space="preserve">ghia.rsd </t>
  </si>
  <si>
    <t xml:space="preserve">ghib.p </t>
  </si>
  <si>
    <t xml:space="preserve">dxbc </t>
  </si>
  <si>
    <t xml:space="preserve">ghic.rsd </t>
  </si>
  <si>
    <t xml:space="preserve">ghid.p </t>
  </si>
  <si>
    <t xml:space="preserve">ghie.rsd </t>
  </si>
  <si>
    <t xml:space="preserve">ghif.p </t>
  </si>
  <si>
    <t>sninn_2</t>
  </si>
  <si>
    <t xml:space="preserve">ghja.rsd </t>
  </si>
  <si>
    <t>Icicle inn floor 2</t>
  </si>
  <si>
    <t xml:space="preserve">ghjb.p </t>
  </si>
  <si>
    <t xml:space="preserve">ghjc.rsd </t>
  </si>
  <si>
    <t xml:space="preserve">ghjd.p </t>
  </si>
  <si>
    <t xml:space="preserve">ghje.rsd </t>
  </si>
  <si>
    <t xml:space="preserve">dxbe </t>
  </si>
  <si>
    <t xml:space="preserve">ghjf.p </t>
  </si>
  <si>
    <t xml:space="preserve">giaa.rsd </t>
  </si>
  <si>
    <t xml:space="preserve">giab.p </t>
  </si>
  <si>
    <t xml:space="preserve">giac.rsd </t>
  </si>
  <si>
    <t xml:space="preserve">giad.p </t>
  </si>
  <si>
    <t xml:space="preserve">giae.rsd </t>
  </si>
  <si>
    <t xml:space="preserve">giaf.p </t>
  </si>
  <si>
    <t>sninn_b1</t>
  </si>
  <si>
    <t xml:space="preserve">giba.rsd </t>
  </si>
  <si>
    <t xml:space="preserve">dxbg </t>
  </si>
  <si>
    <t>Icicle inn pub</t>
  </si>
  <si>
    <t xml:space="preserve">gibb.p </t>
  </si>
  <si>
    <t xml:space="preserve">gibc.rsd </t>
  </si>
  <si>
    <t xml:space="preserve">gibd.p </t>
  </si>
  <si>
    <t xml:space="preserve">gibe.rsd </t>
  </si>
  <si>
    <t xml:space="preserve">gibf.p </t>
  </si>
  <si>
    <t xml:space="preserve">gica.a </t>
  </si>
  <si>
    <t xml:space="preserve">gicb.a </t>
  </si>
  <si>
    <t xml:space="preserve">dxbi </t>
  </si>
  <si>
    <t xml:space="preserve">gicc.a </t>
  </si>
  <si>
    <t xml:space="preserve">gicd.a </t>
  </si>
  <si>
    <t xml:space="preserve">gice.a </t>
  </si>
  <si>
    <t xml:space="preserve">gicf.a </t>
  </si>
  <si>
    <t xml:space="preserve">gida.a </t>
  </si>
  <si>
    <t>snmayor</t>
  </si>
  <si>
    <t xml:space="preserve">gidb.a </t>
  </si>
  <si>
    <t>Icicle inn house 1</t>
  </si>
  <si>
    <t xml:space="preserve">gidc.a </t>
  </si>
  <si>
    <t xml:space="preserve">gidd.a </t>
  </si>
  <si>
    <t xml:space="preserve">dxbk </t>
  </si>
  <si>
    <t xml:space="preserve">gide.a </t>
  </si>
  <si>
    <t xml:space="preserve">gidf.a </t>
  </si>
  <si>
    <t xml:space="preserve">giea.a </t>
  </si>
  <si>
    <t xml:space="preserve">gieb.a </t>
  </si>
  <si>
    <t xml:space="preserve">giec.a </t>
  </si>
  <si>
    <t xml:space="preserve">gied.a </t>
  </si>
  <si>
    <t xml:space="preserve">giee.a </t>
  </si>
  <si>
    <t xml:space="preserve">dxbl </t>
  </si>
  <si>
    <t xml:space="preserve">gief.a </t>
  </si>
  <si>
    <t xml:space="preserve">gifa.a </t>
  </si>
  <si>
    <t xml:space="preserve">gifb.a </t>
  </si>
  <si>
    <t xml:space="preserve">gifc.a </t>
  </si>
  <si>
    <t xml:space="preserve">gifd.a </t>
  </si>
  <si>
    <t>snmin1</t>
  </si>
  <si>
    <t xml:space="preserve">gife.a </t>
  </si>
  <si>
    <t>Icicle inn house 2</t>
  </si>
  <si>
    <t xml:space="preserve">dxbm </t>
  </si>
  <si>
    <t xml:space="preserve">giff.a </t>
  </si>
  <si>
    <t xml:space="preserve">giga.a </t>
  </si>
  <si>
    <t xml:space="preserve">gigb.a </t>
  </si>
  <si>
    <t xml:space="preserve">gigc.a </t>
  </si>
  <si>
    <t xml:space="preserve">gigd.a </t>
  </si>
  <si>
    <t xml:space="preserve">gige.a </t>
  </si>
  <si>
    <t xml:space="preserve">gigf.a </t>
  </si>
  <si>
    <t xml:space="preserve">giha.hrc </t>
  </si>
  <si>
    <t xml:space="preserve">dxbo </t>
  </si>
  <si>
    <t>ude2_sk</t>
  </si>
  <si>
    <t xml:space="preserve">gihb.rsd </t>
  </si>
  <si>
    <t xml:space="preserve">gihc.p </t>
  </si>
  <si>
    <t xml:space="preserve">gihd.rsd </t>
  </si>
  <si>
    <t>snmin2</t>
  </si>
  <si>
    <t xml:space="preserve">gihe.p </t>
  </si>
  <si>
    <t>Icicle inn house 3</t>
  </si>
  <si>
    <t xml:space="preserve">gihf.rsd </t>
  </si>
  <si>
    <t xml:space="preserve">giia.p </t>
  </si>
  <si>
    <t xml:space="preserve">giib.tex </t>
  </si>
  <si>
    <t xml:space="preserve">dxbq </t>
  </si>
  <si>
    <t xml:space="preserve">giic.tex </t>
  </si>
  <si>
    <t xml:space="preserve">giid.tex </t>
  </si>
  <si>
    <t xml:space="preserve">giie.rsd </t>
  </si>
  <si>
    <t xml:space="preserve">giif.p </t>
  </si>
  <si>
    <t xml:space="preserve">gija.rsd </t>
  </si>
  <si>
    <t xml:space="preserve">gijb.p </t>
  </si>
  <si>
    <t xml:space="preserve">gijc.rsd </t>
  </si>
  <si>
    <t xml:space="preserve">gijd.p </t>
  </si>
  <si>
    <t>snow</t>
  </si>
  <si>
    <t xml:space="preserve">gije.a </t>
  </si>
  <si>
    <t>Icicle inn town</t>
  </si>
  <si>
    <t xml:space="preserve">gijf.a </t>
  </si>
  <si>
    <t xml:space="preserve">dxbs </t>
  </si>
  <si>
    <t xml:space="preserve">gjaa.a </t>
  </si>
  <si>
    <t xml:space="preserve">gjab.hrc </t>
  </si>
  <si>
    <t>ude1_sk</t>
  </si>
  <si>
    <t xml:space="preserve">gjac.rsd </t>
  </si>
  <si>
    <t xml:space="preserve">gjad.p </t>
  </si>
  <si>
    <t xml:space="preserve">gjae.rsd </t>
  </si>
  <si>
    <t xml:space="preserve">gjaf.p </t>
  </si>
  <si>
    <t xml:space="preserve">gjba.rsd </t>
  </si>
  <si>
    <t xml:space="preserve">dxda </t>
  </si>
  <si>
    <t xml:space="preserve">gjbb.p </t>
  </si>
  <si>
    <t xml:space="preserve">gjbc.tex </t>
  </si>
  <si>
    <t xml:space="preserve">gjbd.tex </t>
  </si>
  <si>
    <t xml:space="preserve">dyaa </t>
  </si>
  <si>
    <t>snw_w</t>
  </si>
  <si>
    <t xml:space="preserve">gjbe.tex </t>
  </si>
  <si>
    <t>Bloatfloat:Battle Skeleton</t>
  </si>
  <si>
    <t>Icicle inn weapon shop</t>
  </si>
  <si>
    <t xml:space="preserve">gjbf.rsd </t>
  </si>
  <si>
    <t xml:space="preserve">gjca.p </t>
  </si>
  <si>
    <t xml:space="preserve">gjcb.rsd </t>
  </si>
  <si>
    <t xml:space="preserve">gjcc.p </t>
  </si>
  <si>
    <t xml:space="preserve">gjcd.rsd </t>
  </si>
  <si>
    <t xml:space="preserve">gjce.p </t>
  </si>
  <si>
    <t>Blugu clone 1 (bbaa)</t>
  </si>
  <si>
    <t xml:space="preserve">gjcf.hrc </t>
  </si>
  <si>
    <t xml:space="preserve">dyab </t>
  </si>
  <si>
    <t>bal_toy2_sk</t>
  </si>
  <si>
    <t xml:space="preserve">gjda.rsd </t>
  </si>
  <si>
    <t>Bloatfloat: Unidentified Part</t>
  </si>
  <si>
    <t xml:space="preserve">gjdb.p </t>
  </si>
  <si>
    <t xml:space="preserve">dyam </t>
  </si>
  <si>
    <t xml:space="preserve">gjdc.a </t>
  </si>
  <si>
    <t>southmk1</t>
  </si>
  <si>
    <t xml:space="preserve">gjdd.a </t>
  </si>
  <si>
    <t>Second reactor bombing escape</t>
  </si>
  <si>
    <t xml:space="preserve">gjde.a </t>
  </si>
  <si>
    <t xml:space="preserve">gjdf.a </t>
  </si>
  <si>
    <t xml:space="preserve">gjea.a </t>
  </si>
  <si>
    <t xml:space="preserve">gjeb.hrc </t>
  </si>
  <si>
    <t>bike_sk</t>
  </si>
  <si>
    <t xml:space="preserve">gjec.rsd </t>
  </si>
  <si>
    <t xml:space="preserve">gjed.p </t>
  </si>
  <si>
    <t xml:space="preserve">dyan </t>
  </si>
  <si>
    <t xml:space="preserve">gjee.rsd </t>
  </si>
  <si>
    <t xml:space="preserve">gjef.p </t>
  </si>
  <si>
    <t xml:space="preserve">gjfa.a </t>
  </si>
  <si>
    <t xml:space="preserve">gjfb.a </t>
  </si>
  <si>
    <t xml:space="preserve">gjfc.a </t>
  </si>
  <si>
    <t>southmk2</t>
  </si>
  <si>
    <t xml:space="preserve">gjfd.a </t>
  </si>
  <si>
    <t xml:space="preserve">gjfe.a </t>
  </si>
  <si>
    <t xml:space="preserve">gjff.a </t>
  </si>
  <si>
    <t xml:space="preserve">dyaq </t>
  </si>
  <si>
    <t xml:space="preserve">gjga.a </t>
  </si>
  <si>
    <t xml:space="preserve">gjgb.a </t>
  </si>
  <si>
    <t xml:space="preserve">gjgc.a </t>
  </si>
  <si>
    <t xml:space="preserve">gjgd.a </t>
  </si>
  <si>
    <t xml:space="preserve">gjge.a </t>
  </si>
  <si>
    <t xml:space="preserve">gjgf.a </t>
  </si>
  <si>
    <t xml:space="preserve">gjha.hrc </t>
  </si>
  <si>
    <t xml:space="preserve">dyar </t>
  </si>
  <si>
    <t>kaku1_st</t>
  </si>
  <si>
    <t xml:space="preserve">gjhb.rsd </t>
  </si>
  <si>
    <t xml:space="preserve">gjhc.p </t>
  </si>
  <si>
    <t xml:space="preserve">gjhd.rsd </t>
  </si>
  <si>
    <t xml:space="preserve">gjhe.p </t>
  </si>
  <si>
    <t>spgate</t>
  </si>
  <si>
    <t xml:space="preserve">gjhf.rsd </t>
  </si>
  <si>
    <t xml:space="preserve">dyat </t>
  </si>
  <si>
    <t>Hallway on the way to sub event</t>
  </si>
  <si>
    <t xml:space="preserve">gjia.p </t>
  </si>
  <si>
    <t xml:space="preserve">gjib.tex </t>
  </si>
  <si>
    <t xml:space="preserve">gjic.tex </t>
  </si>
  <si>
    <t xml:space="preserve">gjid.tex </t>
  </si>
  <si>
    <t xml:space="preserve">gjie.rsd </t>
  </si>
  <si>
    <t xml:space="preserve">dyda </t>
  </si>
  <si>
    <t xml:space="preserve">gjif.p </t>
  </si>
  <si>
    <t xml:space="preserve">dzaa </t>
  </si>
  <si>
    <t xml:space="preserve">gjja.rsd </t>
  </si>
  <si>
    <t>Bagnadrana: Battle Skeleton</t>
  </si>
  <si>
    <t>spipe_1</t>
  </si>
  <si>
    <t xml:space="preserve">gjjb.p </t>
  </si>
  <si>
    <t>Underwater reactor pipe</t>
  </si>
  <si>
    <t xml:space="preserve">gjjc.rsd </t>
  </si>
  <si>
    <t xml:space="preserve">gjjd.p </t>
  </si>
  <si>
    <t xml:space="preserve">gjje.rsd </t>
  </si>
  <si>
    <t xml:space="preserve">gjjf.p </t>
  </si>
  <si>
    <t xml:space="preserve">dzab </t>
  </si>
  <si>
    <t xml:space="preserve">gkaa.rsd </t>
  </si>
  <si>
    <t>Bagnadrana: Unidentified Part</t>
  </si>
  <si>
    <t xml:space="preserve">gkab.p </t>
  </si>
  <si>
    <t xml:space="preserve">dzam </t>
  </si>
  <si>
    <t xml:space="preserve">gkac.rsd </t>
  </si>
  <si>
    <t xml:space="preserve">gkad.p </t>
  </si>
  <si>
    <t>spipe_2</t>
  </si>
  <si>
    <t xml:space="preserve">gkae.rsd </t>
  </si>
  <si>
    <t xml:space="preserve">gkaf.p </t>
  </si>
  <si>
    <t xml:space="preserve">gkba.rsd </t>
  </si>
  <si>
    <t xml:space="preserve">dzan </t>
  </si>
  <si>
    <t xml:space="preserve">gkbb.p </t>
  </si>
  <si>
    <t xml:space="preserve">gkbc.rsd </t>
  </si>
  <si>
    <t xml:space="preserve">gkbd.p </t>
  </si>
  <si>
    <t xml:space="preserve">gkbe.rsd </t>
  </si>
  <si>
    <t xml:space="preserve">gkbf.p </t>
  </si>
  <si>
    <t xml:space="preserve">dzao </t>
  </si>
  <si>
    <t>startmap</t>
  </si>
  <si>
    <t>Debug Room</t>
  </si>
  <si>
    <t xml:space="preserve">gkca.rsd </t>
  </si>
  <si>
    <t xml:space="preserve">gkcb.p </t>
  </si>
  <si>
    <t xml:space="preserve">gkcc.rsd </t>
  </si>
  <si>
    <t xml:space="preserve">gkcd.p </t>
  </si>
  <si>
    <t xml:space="preserve">gkce.a </t>
  </si>
  <si>
    <t xml:space="preserve">gkcf.hrc </t>
  </si>
  <si>
    <t xml:space="preserve">gkda.rsd </t>
  </si>
  <si>
    <t xml:space="preserve">gkdb.p </t>
  </si>
  <si>
    <t xml:space="preserve">dzap </t>
  </si>
  <si>
    <t xml:space="preserve">gkdc.rsd </t>
  </si>
  <si>
    <t>subin_1a</t>
  </si>
  <si>
    <t xml:space="preserve">gkdd.p </t>
  </si>
  <si>
    <t>Inside red submarine cabin</t>
  </si>
  <si>
    <t xml:space="preserve">gkde.rsd </t>
  </si>
  <si>
    <t xml:space="preserve">gkdf.p </t>
  </si>
  <si>
    <t xml:space="preserve">gkea.tex </t>
  </si>
  <si>
    <t xml:space="preserve">gkeb.tex </t>
  </si>
  <si>
    <t xml:space="preserve">dzaq </t>
  </si>
  <si>
    <t xml:space="preserve">gkec.tex </t>
  </si>
  <si>
    <t xml:space="preserve">gked.rsd </t>
  </si>
  <si>
    <t xml:space="preserve">gkee.p </t>
  </si>
  <si>
    <t xml:space="preserve">gkef.rsd </t>
  </si>
  <si>
    <t>subin_1b</t>
  </si>
  <si>
    <t>Inside gray submarine cabin</t>
  </si>
  <si>
    <t xml:space="preserve">gkfa.p </t>
  </si>
  <si>
    <t xml:space="preserve">gkfb.rsd </t>
  </si>
  <si>
    <t xml:space="preserve">gkfc.p </t>
  </si>
  <si>
    <t xml:space="preserve">dzar </t>
  </si>
  <si>
    <t xml:space="preserve">gkfd.rsd </t>
  </si>
  <si>
    <t xml:space="preserve">gkfe.p </t>
  </si>
  <si>
    <t xml:space="preserve">gkff.rsd </t>
  </si>
  <si>
    <t xml:space="preserve">gkga.p </t>
  </si>
  <si>
    <t xml:space="preserve">gkgb.rsd </t>
  </si>
  <si>
    <t>subin_2a</t>
  </si>
  <si>
    <t xml:space="preserve">gkgc.p </t>
  </si>
  <si>
    <t>Inside red submarine</t>
  </si>
  <si>
    <t xml:space="preserve">gkgd.rsd </t>
  </si>
  <si>
    <t xml:space="preserve">gkge.p </t>
  </si>
  <si>
    <t xml:space="preserve">gkgf.rsd </t>
  </si>
  <si>
    <t xml:space="preserve">gkha.p </t>
  </si>
  <si>
    <t xml:space="preserve">gkhb.rsd </t>
  </si>
  <si>
    <t xml:space="preserve">gkhc.p </t>
  </si>
  <si>
    <t xml:space="preserve">gkhd.rsd </t>
  </si>
  <si>
    <t xml:space="preserve">dzat </t>
  </si>
  <si>
    <t xml:space="preserve">gkhe.p </t>
  </si>
  <si>
    <t>subin_2b</t>
  </si>
  <si>
    <t xml:space="preserve">gkhf.rsd </t>
  </si>
  <si>
    <t>Inside gray submarine</t>
  </si>
  <si>
    <t xml:space="preserve">gkia.p </t>
  </si>
  <si>
    <t xml:space="preserve">gkib.rsd </t>
  </si>
  <si>
    <t xml:space="preserve">gkic.p </t>
  </si>
  <si>
    <t xml:space="preserve">gkid.hrc </t>
  </si>
  <si>
    <t>kaku3_sk</t>
  </si>
  <si>
    <t xml:space="preserve">gkie.rsd </t>
  </si>
  <si>
    <t xml:space="preserve">gkif.p </t>
  </si>
  <si>
    <t xml:space="preserve">gkja.rsd </t>
  </si>
  <si>
    <t xml:space="preserve">gkjb.p </t>
  </si>
  <si>
    <t xml:space="preserve">dzau </t>
  </si>
  <si>
    <t xml:space="preserve">gkjc.rsd </t>
  </si>
  <si>
    <t xml:space="preserve">gkjd.p </t>
  </si>
  <si>
    <t>subin_3</t>
  </si>
  <si>
    <t xml:space="preserve">gkje.tex </t>
  </si>
  <si>
    <t>Failing at submarine mission</t>
  </si>
  <si>
    <t xml:space="preserve">gkjf.tex </t>
  </si>
  <si>
    <t xml:space="preserve">glaa.tex </t>
  </si>
  <si>
    <t xml:space="preserve">glab.rsd </t>
  </si>
  <si>
    <t xml:space="preserve">dzav </t>
  </si>
  <si>
    <t xml:space="preserve">glac.p </t>
  </si>
  <si>
    <t xml:space="preserve">glad.rsd </t>
  </si>
  <si>
    <t xml:space="preserve">glae.p </t>
  </si>
  <si>
    <t xml:space="preserve">glaf.rsd </t>
  </si>
  <si>
    <t xml:space="preserve">glba.p </t>
  </si>
  <si>
    <t>t_eye2.tex</t>
  </si>
  <si>
    <t xml:space="preserve">dzax </t>
  </si>
  <si>
    <t>Tifa eye closed</t>
  </si>
  <si>
    <t xml:space="preserve">glbb.rsd </t>
  </si>
  <si>
    <t xml:space="preserve">glbc.p </t>
  </si>
  <si>
    <t xml:space="preserve">glbd.rsd </t>
  </si>
  <si>
    <t xml:space="preserve">glbe.p </t>
  </si>
  <si>
    <t xml:space="preserve">dzay </t>
  </si>
  <si>
    <t xml:space="preserve">glbf.rsd </t>
  </si>
  <si>
    <t xml:space="preserve">glca.p </t>
  </si>
  <si>
    <t xml:space="preserve">glcb.rsd </t>
  </si>
  <si>
    <t xml:space="preserve">glcc.p </t>
  </si>
  <si>
    <t>t_eye2r.tex</t>
  </si>
  <si>
    <t xml:space="preserve">glcd.rsd </t>
  </si>
  <si>
    <t xml:space="preserve">glce.p </t>
  </si>
  <si>
    <t xml:space="preserve">dzaz </t>
  </si>
  <si>
    <t xml:space="preserve">glcf.rsd </t>
  </si>
  <si>
    <t xml:space="preserve">glda.p </t>
  </si>
  <si>
    <t xml:space="preserve">gldb.rsd </t>
  </si>
  <si>
    <t xml:space="preserve">gldc.p </t>
  </si>
  <si>
    <t xml:space="preserve">gldd.rsd </t>
  </si>
  <si>
    <t xml:space="preserve">dzbb </t>
  </si>
  <si>
    <t xml:space="preserve">glde.p </t>
  </si>
  <si>
    <t xml:space="preserve">gldf.rsd </t>
  </si>
  <si>
    <t>tin_1</t>
  </si>
  <si>
    <t xml:space="preserve">glea.p </t>
  </si>
  <si>
    <t>Train wagon 1</t>
  </si>
  <si>
    <t xml:space="preserve">gleb.hrc </t>
  </si>
  <si>
    <t>kaku4_sk</t>
  </si>
  <si>
    <t xml:space="preserve">glec.rsd </t>
  </si>
  <si>
    <t xml:space="preserve">dzbc </t>
  </si>
  <si>
    <t xml:space="preserve">gled.p </t>
  </si>
  <si>
    <t xml:space="preserve">glee.rsd </t>
  </si>
  <si>
    <t xml:space="preserve">glef.p </t>
  </si>
  <si>
    <t xml:space="preserve">glfa.rsd </t>
  </si>
  <si>
    <t xml:space="preserve">glfb.p </t>
  </si>
  <si>
    <t xml:space="preserve">glfc.tex </t>
  </si>
  <si>
    <t xml:space="preserve">glfd.rsd </t>
  </si>
  <si>
    <t xml:space="preserve">dzbd </t>
  </si>
  <si>
    <t xml:space="preserve">glfe.p </t>
  </si>
  <si>
    <t>tin_2</t>
  </si>
  <si>
    <t>Train wagon 2</t>
  </si>
  <si>
    <t xml:space="preserve">glff.rsd </t>
  </si>
  <si>
    <t xml:space="preserve">glga.p </t>
  </si>
  <si>
    <t xml:space="preserve">glgb.rsd </t>
  </si>
  <si>
    <t xml:space="preserve">glgc.p </t>
  </si>
  <si>
    <t xml:space="preserve">glgd.rsd </t>
  </si>
  <si>
    <t xml:space="preserve">dzbf </t>
  </si>
  <si>
    <t xml:space="preserve">glge.p </t>
  </si>
  <si>
    <t xml:space="preserve">glgf.rsd </t>
  </si>
  <si>
    <t xml:space="preserve">glha.p </t>
  </si>
  <si>
    <t xml:space="preserve">glhb.rsd </t>
  </si>
  <si>
    <t xml:space="preserve">glhc.p </t>
  </si>
  <si>
    <t xml:space="preserve">dzbg </t>
  </si>
  <si>
    <t>tin_3</t>
  </si>
  <si>
    <t xml:space="preserve">glhd.rsd </t>
  </si>
  <si>
    <t>Train wagon 3</t>
  </si>
  <si>
    <t xml:space="preserve">glhe.p </t>
  </si>
  <si>
    <t xml:space="preserve">glhf.rsd </t>
  </si>
  <si>
    <t xml:space="preserve">glia.p </t>
  </si>
  <si>
    <t xml:space="preserve">glib.rsd </t>
  </si>
  <si>
    <t xml:space="preserve">dzbh </t>
  </si>
  <si>
    <t xml:space="preserve">glic.p </t>
  </si>
  <si>
    <t xml:space="preserve">glid.rsd </t>
  </si>
  <si>
    <t xml:space="preserve">glie.p </t>
  </si>
  <si>
    <t xml:space="preserve">glif.rsd </t>
  </si>
  <si>
    <t>tin_4</t>
  </si>
  <si>
    <t xml:space="preserve">glja.p </t>
  </si>
  <si>
    <t>Train wagon 4</t>
  </si>
  <si>
    <t xml:space="preserve">gljb.rsd </t>
  </si>
  <si>
    <t xml:space="preserve">dzbk </t>
  </si>
  <si>
    <t xml:space="preserve">gljc.p </t>
  </si>
  <si>
    <t xml:space="preserve">gljd.hrc </t>
  </si>
  <si>
    <t>mogrif_sk</t>
  </si>
  <si>
    <t xml:space="preserve">glje.rsd </t>
  </si>
  <si>
    <t xml:space="preserve">gljf.p </t>
  </si>
  <si>
    <t xml:space="preserve">gmaa.rsd </t>
  </si>
  <si>
    <t xml:space="preserve">gmab.p </t>
  </si>
  <si>
    <t xml:space="preserve">gmac.rsd </t>
  </si>
  <si>
    <t xml:space="preserve">gmad.p </t>
  </si>
  <si>
    <t xml:space="preserve">gmae.rsd </t>
  </si>
  <si>
    <t>tower5</t>
  </si>
  <si>
    <t xml:space="preserve">gmaf.p </t>
  </si>
  <si>
    <t>Wutai pagoda</t>
  </si>
  <si>
    <t xml:space="preserve">gmba.rsd </t>
  </si>
  <si>
    <t xml:space="preserve">dzbl </t>
  </si>
  <si>
    <t xml:space="preserve">gmbb.p </t>
  </si>
  <si>
    <t xml:space="preserve">gmbc.rsd </t>
  </si>
  <si>
    <t xml:space="preserve">gmbd.p </t>
  </si>
  <si>
    <t xml:space="preserve">gmbe.rsd </t>
  </si>
  <si>
    <t xml:space="preserve">gmbf.p </t>
  </si>
  <si>
    <t xml:space="preserve">gmca.rsd </t>
  </si>
  <si>
    <t xml:space="preserve">gmcb.p </t>
  </si>
  <si>
    <t xml:space="preserve">gmcc.rsd </t>
  </si>
  <si>
    <t xml:space="preserve">dzbm </t>
  </si>
  <si>
    <t xml:space="preserve">gmcd.p </t>
  </si>
  <si>
    <t xml:space="preserve">gmce.rsd </t>
  </si>
  <si>
    <t>trackin</t>
  </si>
  <si>
    <t xml:space="preserve">gmcf.p </t>
  </si>
  <si>
    <t>Truck to Nibelheim flashback</t>
  </si>
  <si>
    <t xml:space="preserve">gmda.rsd </t>
  </si>
  <si>
    <t xml:space="preserve">gmdb.p </t>
  </si>
  <si>
    <t xml:space="preserve">gmdc.rsd </t>
  </si>
  <si>
    <t xml:space="preserve">gmdd.p </t>
  </si>
  <si>
    <t xml:space="preserve">gmde.a </t>
  </si>
  <si>
    <t xml:space="preserve">dzbp </t>
  </si>
  <si>
    <t xml:space="preserve">gmdf.a </t>
  </si>
  <si>
    <t xml:space="preserve">gmea.a </t>
  </si>
  <si>
    <t xml:space="preserve">gmeb.a </t>
  </si>
  <si>
    <t xml:space="preserve">gmec.a </t>
  </si>
  <si>
    <t xml:space="preserve">gmed.a </t>
  </si>
  <si>
    <t xml:space="preserve">gmee.a </t>
  </si>
  <si>
    <t>trackin2</t>
  </si>
  <si>
    <t xml:space="preserve">gmef.a </t>
  </si>
  <si>
    <t>Truck to Nibelheim</t>
  </si>
  <si>
    <t xml:space="preserve">gmfa.a </t>
  </si>
  <si>
    <t xml:space="preserve">gmfb.a </t>
  </si>
  <si>
    <t xml:space="preserve">gmfc.a </t>
  </si>
  <si>
    <t xml:space="preserve">gmfd.a </t>
  </si>
  <si>
    <t xml:space="preserve">dzbq </t>
  </si>
  <si>
    <t xml:space="preserve">gmfe.a </t>
  </si>
  <si>
    <t xml:space="preserve">gmff.a </t>
  </si>
  <si>
    <t xml:space="preserve">gmga.a </t>
  </si>
  <si>
    <t xml:space="preserve">gmgb.a </t>
  </si>
  <si>
    <t xml:space="preserve">gmgc.a </t>
  </si>
  <si>
    <t xml:space="preserve">gmgd.a </t>
  </si>
  <si>
    <t xml:space="preserve">gmge.a </t>
  </si>
  <si>
    <t>trnad_1</t>
  </si>
  <si>
    <t xml:space="preserve">gmgf.a </t>
  </si>
  <si>
    <t>Whirlwind maze 1</t>
  </si>
  <si>
    <t xml:space="preserve">gmha.hrc </t>
  </si>
  <si>
    <t>mogrim_sk</t>
  </si>
  <si>
    <t xml:space="preserve">gmhb.rsd </t>
  </si>
  <si>
    <t xml:space="preserve">gmhc.p </t>
  </si>
  <si>
    <t xml:space="preserve">dzbr </t>
  </si>
  <si>
    <t xml:space="preserve">gmhd.rsd </t>
  </si>
  <si>
    <t xml:space="preserve">gmhe.p </t>
  </si>
  <si>
    <t xml:space="preserve">gmhf.rsd </t>
  </si>
  <si>
    <t xml:space="preserve">gmia.p </t>
  </si>
  <si>
    <t xml:space="preserve">gmib.rsd </t>
  </si>
  <si>
    <t xml:space="preserve">gmic.p </t>
  </si>
  <si>
    <t xml:space="preserve">gmid.rsd </t>
  </si>
  <si>
    <t>trnad_2</t>
  </si>
  <si>
    <t xml:space="preserve">gmie.p </t>
  </si>
  <si>
    <t xml:space="preserve">gmif.rsd </t>
  </si>
  <si>
    <t>Whirlwind maze 2</t>
  </si>
  <si>
    <t xml:space="preserve">gmja.p </t>
  </si>
  <si>
    <t xml:space="preserve">gmjb.rsd </t>
  </si>
  <si>
    <t xml:space="preserve">gmjc.p </t>
  </si>
  <si>
    <t xml:space="preserve">dzbt </t>
  </si>
  <si>
    <t xml:space="preserve">gmjd.rsd </t>
  </si>
  <si>
    <t xml:space="preserve">gmje.p </t>
  </si>
  <si>
    <t xml:space="preserve">gmjf.rsd </t>
  </si>
  <si>
    <t xml:space="preserve">gnaa.p </t>
  </si>
  <si>
    <t xml:space="preserve">gnab.rsd </t>
  </si>
  <si>
    <t xml:space="preserve">gnac.p </t>
  </si>
  <si>
    <t xml:space="preserve">gnad.rsd </t>
  </si>
  <si>
    <t xml:space="preserve">gnae.p </t>
  </si>
  <si>
    <t>trnad_3</t>
  </si>
  <si>
    <t xml:space="preserve">gnaf.rsd </t>
  </si>
  <si>
    <t>Whirlwind maze 3</t>
  </si>
  <si>
    <t xml:space="preserve">gnba.p </t>
  </si>
  <si>
    <t xml:space="preserve">gnbb.a </t>
  </si>
  <si>
    <t xml:space="preserve">dzbu </t>
  </si>
  <si>
    <t xml:space="preserve">gnbc.a </t>
  </si>
  <si>
    <t xml:space="preserve">gnbd.a </t>
  </si>
  <si>
    <t xml:space="preserve">gnbe.a </t>
  </si>
  <si>
    <t xml:space="preserve">gnbf.a </t>
  </si>
  <si>
    <t xml:space="preserve">gnca.hrc </t>
  </si>
  <si>
    <t>mogriw_sk</t>
  </si>
  <si>
    <t xml:space="preserve">gncb.rsd </t>
  </si>
  <si>
    <t xml:space="preserve">gncc.p </t>
  </si>
  <si>
    <t xml:space="preserve">gncd.rsd </t>
  </si>
  <si>
    <t>trnad_4</t>
  </si>
  <si>
    <t xml:space="preserve">gnce.p </t>
  </si>
  <si>
    <t>Whirlwind maze 4</t>
  </si>
  <si>
    <t xml:space="preserve">gncf.rsd </t>
  </si>
  <si>
    <t xml:space="preserve">dzbv </t>
  </si>
  <si>
    <t xml:space="preserve">gnda.p </t>
  </si>
  <si>
    <t xml:space="preserve">gndb.rsd </t>
  </si>
  <si>
    <t xml:space="preserve">gndc.p </t>
  </si>
  <si>
    <t xml:space="preserve">gndd.rsd </t>
  </si>
  <si>
    <t xml:space="preserve">gnde.p </t>
  </si>
  <si>
    <t xml:space="preserve">gndf.rsd </t>
  </si>
  <si>
    <t>trnad_51</t>
  </si>
  <si>
    <t xml:space="preserve">gnea.p </t>
  </si>
  <si>
    <t>Whirlwind maze sephiroth room</t>
  </si>
  <si>
    <t xml:space="preserve">gneb.rsd </t>
  </si>
  <si>
    <t xml:space="preserve">gnec.p </t>
  </si>
  <si>
    <t xml:space="preserve">gned.rsd </t>
  </si>
  <si>
    <t xml:space="preserve">dzda </t>
  </si>
  <si>
    <t xml:space="preserve">gnee.p </t>
  </si>
  <si>
    <t xml:space="preserve">eaaa </t>
  </si>
  <si>
    <t xml:space="preserve">gnef.rsd </t>
  </si>
  <si>
    <t>Cokatolis: Battle Skeleton</t>
  </si>
  <si>
    <t xml:space="preserve">gnfa.p </t>
  </si>
  <si>
    <t xml:space="preserve">gnfb.rsd </t>
  </si>
  <si>
    <t xml:space="preserve">gnfc.p </t>
  </si>
  <si>
    <t>trnad_52</t>
  </si>
  <si>
    <t>Whirlwind maze</t>
  </si>
  <si>
    <t xml:space="preserve">gnfd.rsd </t>
  </si>
  <si>
    <t xml:space="preserve">gnfe.p </t>
  </si>
  <si>
    <t xml:space="preserve">gnff.rsd </t>
  </si>
  <si>
    <t xml:space="preserve">gnga.p </t>
  </si>
  <si>
    <t xml:space="preserve">eaab </t>
  </si>
  <si>
    <t xml:space="preserve">gngb.hrc </t>
  </si>
  <si>
    <t>Cokatolis: Unidentified Part</t>
  </si>
  <si>
    <t>mogriy_sk</t>
  </si>
  <si>
    <t xml:space="preserve">gngc.rsd </t>
  </si>
  <si>
    <t xml:space="preserve">eaam </t>
  </si>
  <si>
    <t xml:space="preserve">gngd.p </t>
  </si>
  <si>
    <t>trnad_53</t>
  </si>
  <si>
    <t xml:space="preserve">gnge.rsd </t>
  </si>
  <si>
    <t>Panoramic view</t>
  </si>
  <si>
    <t xml:space="preserve">gngf.p </t>
  </si>
  <si>
    <t xml:space="preserve">gnha.rsd </t>
  </si>
  <si>
    <t xml:space="preserve">gnhb.p </t>
  </si>
  <si>
    <t xml:space="preserve">gnhc.rsd </t>
  </si>
  <si>
    <t xml:space="preserve">gnhd.p </t>
  </si>
  <si>
    <t xml:space="preserve">gnhe.rsd </t>
  </si>
  <si>
    <t xml:space="preserve">eaan </t>
  </si>
  <si>
    <t xml:space="preserve">gnhf.p </t>
  </si>
  <si>
    <t xml:space="preserve">gnia.rsd </t>
  </si>
  <si>
    <t>tunnel_1</t>
  </si>
  <si>
    <t xml:space="preserve">gnib.p </t>
  </si>
  <si>
    <t>Midgar raid tunnel 1</t>
  </si>
  <si>
    <t xml:space="preserve">gnic.rsd </t>
  </si>
  <si>
    <t xml:space="preserve">gnid.p </t>
  </si>
  <si>
    <t xml:space="preserve">gnie.rsd </t>
  </si>
  <si>
    <t xml:space="preserve">gnif.p </t>
  </si>
  <si>
    <t xml:space="preserve">gnja.rsd </t>
  </si>
  <si>
    <t xml:space="preserve">gnjb.p </t>
  </si>
  <si>
    <t xml:space="preserve">gnjc.rsd </t>
  </si>
  <si>
    <t xml:space="preserve">gnjd.p </t>
  </si>
  <si>
    <t xml:space="preserve">eaao </t>
  </si>
  <si>
    <t xml:space="preserve">gnje.rsd </t>
  </si>
  <si>
    <t xml:space="preserve">gnjf.p </t>
  </si>
  <si>
    <t xml:space="preserve">goaa.rsd </t>
  </si>
  <si>
    <t xml:space="preserve">goab.p </t>
  </si>
  <si>
    <t xml:space="preserve">goac.hrc </t>
  </si>
  <si>
    <t>mogrip_sk</t>
  </si>
  <si>
    <t xml:space="preserve">goad.rsd </t>
  </si>
  <si>
    <t xml:space="preserve">goae.p </t>
  </si>
  <si>
    <t xml:space="preserve">goaf.rsd </t>
  </si>
  <si>
    <t>tunnel_2</t>
  </si>
  <si>
    <t xml:space="preserve">goba.p </t>
  </si>
  <si>
    <t>Midgar raid tunnel dead end</t>
  </si>
  <si>
    <t xml:space="preserve">gobb.rsd </t>
  </si>
  <si>
    <t xml:space="preserve">eaap </t>
  </si>
  <si>
    <t xml:space="preserve">gobc.p </t>
  </si>
  <si>
    <t xml:space="preserve">gobd.rsd </t>
  </si>
  <si>
    <t xml:space="preserve">gobe.p </t>
  </si>
  <si>
    <t xml:space="preserve">gobf.rsd </t>
  </si>
  <si>
    <t xml:space="preserve">goca.p </t>
  </si>
  <si>
    <t xml:space="preserve">gocb.rsd </t>
  </si>
  <si>
    <t xml:space="preserve">gocc.p </t>
  </si>
  <si>
    <t>tunnel_3</t>
  </si>
  <si>
    <t xml:space="preserve">gocd.rsd </t>
  </si>
  <si>
    <t xml:space="preserve">eaaq </t>
  </si>
  <si>
    <t>Midgar raid tunnel exit door</t>
  </si>
  <si>
    <t xml:space="preserve">goce.p </t>
  </si>
  <si>
    <t xml:space="preserve">gocf.rsd </t>
  </si>
  <si>
    <t xml:space="preserve">goda.p </t>
  </si>
  <si>
    <t xml:space="preserve">godb.rsd </t>
  </si>
  <si>
    <t xml:space="preserve">godc.p </t>
  </si>
  <si>
    <t xml:space="preserve">godd.rsd </t>
  </si>
  <si>
    <t xml:space="preserve">gode.p </t>
  </si>
  <si>
    <t>tunnel_4</t>
  </si>
  <si>
    <t>Midgar raid tunnel 2</t>
  </si>
  <si>
    <t xml:space="preserve">godf.rsd </t>
  </si>
  <si>
    <t xml:space="preserve">eaas </t>
  </si>
  <si>
    <t xml:space="preserve">goea.p </t>
  </si>
  <si>
    <t xml:space="preserve">goeb.rsd </t>
  </si>
  <si>
    <t xml:space="preserve">goec.p </t>
  </si>
  <si>
    <t xml:space="preserve">goed.a </t>
  </si>
  <si>
    <t xml:space="preserve">goee.a </t>
  </si>
  <si>
    <t xml:space="preserve">goef.a </t>
  </si>
  <si>
    <t xml:space="preserve">gofa.a </t>
  </si>
  <si>
    <t xml:space="preserve">eaat </t>
  </si>
  <si>
    <t xml:space="preserve">gofb.a </t>
  </si>
  <si>
    <t>tunnel_5</t>
  </si>
  <si>
    <t xml:space="preserve">gofc.a </t>
  </si>
  <si>
    <t>Midgar raid tunnel junction</t>
  </si>
  <si>
    <t xml:space="preserve">gofd.hrc </t>
  </si>
  <si>
    <t>cgirl_st</t>
  </si>
  <si>
    <t xml:space="preserve">gofe.rsd </t>
  </si>
  <si>
    <t xml:space="preserve">goff.p </t>
  </si>
  <si>
    <t xml:space="preserve">goga.rsd </t>
  </si>
  <si>
    <t xml:space="preserve">gogb.p </t>
  </si>
  <si>
    <t xml:space="preserve">gogc.rsd </t>
  </si>
  <si>
    <t xml:space="preserve">gogd.p </t>
  </si>
  <si>
    <t>tunnel_6</t>
  </si>
  <si>
    <t>Midgar raid tunnel 3</t>
  </si>
  <si>
    <t xml:space="preserve">goge.tex </t>
  </si>
  <si>
    <t xml:space="preserve">eaau </t>
  </si>
  <si>
    <t xml:space="preserve">gogf.tex </t>
  </si>
  <si>
    <t xml:space="preserve">goha.tex </t>
  </si>
  <si>
    <t xml:space="preserve">gohb.rsd </t>
  </si>
  <si>
    <t xml:space="preserve">gohc.p </t>
  </si>
  <si>
    <t xml:space="preserve">gohd.rsd </t>
  </si>
  <si>
    <t>ujun_w</t>
  </si>
  <si>
    <t>Junon weapon shop</t>
  </si>
  <si>
    <t xml:space="preserve">gohe.p </t>
  </si>
  <si>
    <t xml:space="preserve">eaav </t>
  </si>
  <si>
    <t xml:space="preserve">gohf.rsd </t>
  </si>
  <si>
    <t xml:space="preserve">goia.p </t>
  </si>
  <si>
    <t xml:space="preserve">goib.rsd </t>
  </si>
  <si>
    <t xml:space="preserve">goic.p </t>
  </si>
  <si>
    <t xml:space="preserve">goid.rsd </t>
  </si>
  <si>
    <t xml:space="preserve">goie.p </t>
  </si>
  <si>
    <t>ujunon1</t>
  </si>
  <si>
    <t xml:space="preserve">goif.rsd </t>
  </si>
  <si>
    <t>Junon town</t>
  </si>
  <si>
    <t xml:space="preserve">eaax </t>
  </si>
  <si>
    <t xml:space="preserve">goja.p </t>
  </si>
  <si>
    <t xml:space="preserve">gojb.rsd </t>
  </si>
  <si>
    <t xml:space="preserve">gojc.p </t>
  </si>
  <si>
    <t xml:space="preserve">gojd.rsd </t>
  </si>
  <si>
    <t xml:space="preserve">goje.p </t>
  </si>
  <si>
    <t xml:space="preserve">gojf.rsd </t>
  </si>
  <si>
    <t xml:space="preserve">gpaa.p </t>
  </si>
  <si>
    <t>ujunon2</t>
  </si>
  <si>
    <t xml:space="preserve">gpab.rsd </t>
  </si>
  <si>
    <t>Junon shore</t>
  </si>
  <si>
    <t xml:space="preserve">gpac.p </t>
  </si>
  <si>
    <t xml:space="preserve">gpad.rsd </t>
  </si>
  <si>
    <t xml:space="preserve">eaay </t>
  </si>
  <si>
    <t xml:space="preserve">gpae.p </t>
  </si>
  <si>
    <t xml:space="preserve">gpaf.rsd </t>
  </si>
  <si>
    <t xml:space="preserve">gpba.p </t>
  </si>
  <si>
    <t xml:space="preserve">gpbb.a </t>
  </si>
  <si>
    <t xml:space="preserve">gpbc.a </t>
  </si>
  <si>
    <t xml:space="preserve">gpbd.a </t>
  </si>
  <si>
    <t xml:space="preserve">gpbe.a </t>
  </si>
  <si>
    <t>ujunon3</t>
  </si>
  <si>
    <t xml:space="preserve">gpbf.a </t>
  </si>
  <si>
    <t xml:space="preserve">gpca.a </t>
  </si>
  <si>
    <t xml:space="preserve">gpcb.a </t>
  </si>
  <si>
    <t xml:space="preserve">eaaz </t>
  </si>
  <si>
    <t xml:space="preserve">gpcc.a </t>
  </si>
  <si>
    <t xml:space="preserve">gpcd.hrc </t>
  </si>
  <si>
    <t>race1_sk</t>
  </si>
  <si>
    <t xml:space="preserve">gpce.rsd </t>
  </si>
  <si>
    <t xml:space="preserve">gpcf.p </t>
  </si>
  <si>
    <t xml:space="preserve">gpda.rsd </t>
  </si>
  <si>
    <t>ujunon4</t>
  </si>
  <si>
    <t xml:space="preserve">gpdb.p </t>
  </si>
  <si>
    <t>Junon stairs to the shore with priscilla minigame</t>
  </si>
  <si>
    <t xml:space="preserve">gpdc.rsd </t>
  </si>
  <si>
    <t xml:space="preserve">gpdd.p </t>
  </si>
  <si>
    <t xml:space="preserve">eaba </t>
  </si>
  <si>
    <t xml:space="preserve">gpde.tex </t>
  </si>
  <si>
    <t xml:space="preserve">gpdf.tex </t>
  </si>
  <si>
    <t xml:space="preserve">gpea.tex </t>
  </si>
  <si>
    <t xml:space="preserve">gpeb.rsd </t>
  </si>
  <si>
    <t xml:space="preserve">gpec.p </t>
  </si>
  <si>
    <t>ujunon5</t>
  </si>
  <si>
    <t xml:space="preserve">gped.rsd </t>
  </si>
  <si>
    <t>Junon stairs to the shore</t>
  </si>
  <si>
    <t xml:space="preserve">gpee.p </t>
  </si>
  <si>
    <t xml:space="preserve">gpef.rsd </t>
  </si>
  <si>
    <t xml:space="preserve">eabc </t>
  </si>
  <si>
    <t xml:space="preserve">gpfa.p </t>
  </si>
  <si>
    <t xml:space="preserve">gpfb.rsd </t>
  </si>
  <si>
    <t xml:space="preserve">gpfc.p </t>
  </si>
  <si>
    <t xml:space="preserve">gpfd.rsd </t>
  </si>
  <si>
    <t xml:space="preserve">gpfe.p </t>
  </si>
  <si>
    <t>uta_im</t>
  </si>
  <si>
    <t xml:space="preserve">gpff.rsd </t>
  </si>
  <si>
    <t>Wutai item shop</t>
  </si>
  <si>
    <t xml:space="preserve">gpga.p </t>
  </si>
  <si>
    <t xml:space="preserve">gpgb.rsd </t>
  </si>
  <si>
    <t xml:space="preserve">eabd </t>
  </si>
  <si>
    <t xml:space="preserve">gpgc.p </t>
  </si>
  <si>
    <t xml:space="preserve">gpgd.rsd </t>
  </si>
  <si>
    <t xml:space="preserve">gpge.p </t>
  </si>
  <si>
    <t>uta_wa</t>
  </si>
  <si>
    <t xml:space="preserve">gpgf.rsd </t>
  </si>
  <si>
    <t>Wutai weapon shop</t>
  </si>
  <si>
    <t xml:space="preserve">gpha.p </t>
  </si>
  <si>
    <t xml:space="preserve">gphb.rsd </t>
  </si>
  <si>
    <t xml:space="preserve">gphc.p </t>
  </si>
  <si>
    <t xml:space="preserve">gphd.rsd </t>
  </si>
  <si>
    <t xml:space="preserve">eabe </t>
  </si>
  <si>
    <t xml:space="preserve">gphe.p </t>
  </si>
  <si>
    <t>utapb</t>
  </si>
  <si>
    <t xml:space="preserve">gphf.rsd </t>
  </si>
  <si>
    <t>Wutai turtle paradise</t>
  </si>
  <si>
    <t xml:space="preserve">gpia.p </t>
  </si>
  <si>
    <t xml:space="preserve">gpib.a </t>
  </si>
  <si>
    <t xml:space="preserve">gpic.a </t>
  </si>
  <si>
    <t xml:space="preserve">gpid.a </t>
  </si>
  <si>
    <t xml:space="preserve">eabf </t>
  </si>
  <si>
    <t xml:space="preserve">gpie.a </t>
  </si>
  <si>
    <t xml:space="preserve">gpif.a </t>
  </si>
  <si>
    <t>utmin1</t>
  </si>
  <si>
    <t xml:space="preserve">gpja.a </t>
  </si>
  <si>
    <t>Wutai house 1</t>
  </si>
  <si>
    <t xml:space="preserve">gpjb.hrc </t>
  </si>
  <si>
    <t>race2_sk</t>
  </si>
  <si>
    <t xml:space="preserve">gpjc.rsd </t>
  </si>
  <si>
    <t xml:space="preserve">eabg </t>
  </si>
  <si>
    <t xml:space="preserve">gpjd.p </t>
  </si>
  <si>
    <t xml:space="preserve">gpje.rsd </t>
  </si>
  <si>
    <t xml:space="preserve">gpjf.p </t>
  </si>
  <si>
    <t>utmin2</t>
  </si>
  <si>
    <t xml:space="preserve">eabh </t>
  </si>
  <si>
    <t>Wutai house 2</t>
  </si>
  <si>
    <t xml:space="preserve">gqaa.rsd </t>
  </si>
  <si>
    <t xml:space="preserve">gqab.p </t>
  </si>
  <si>
    <t xml:space="preserve">gqac.tex </t>
  </si>
  <si>
    <t xml:space="preserve">eabj </t>
  </si>
  <si>
    <t xml:space="preserve">gqad.tex </t>
  </si>
  <si>
    <t xml:space="preserve">gqae.tex </t>
  </si>
  <si>
    <t>uttmpin1</t>
  </si>
  <si>
    <t xml:space="preserve">gqaf.rsd </t>
  </si>
  <si>
    <t>Wutai yuffie house 1</t>
  </si>
  <si>
    <t xml:space="preserve">gqba.p </t>
  </si>
  <si>
    <t xml:space="preserve">eabk </t>
  </si>
  <si>
    <t xml:space="preserve">gqbb.rsd </t>
  </si>
  <si>
    <t xml:space="preserve">gqbc.p </t>
  </si>
  <si>
    <t xml:space="preserve">gqbd.rsd </t>
  </si>
  <si>
    <t xml:space="preserve">gqbe.p </t>
  </si>
  <si>
    <t xml:space="preserve">eabl </t>
  </si>
  <si>
    <t>uttmpin2</t>
  </si>
  <si>
    <t>Wutai yuffie house 2</t>
  </si>
  <si>
    <t xml:space="preserve">gqbf.rsd </t>
  </si>
  <si>
    <t xml:space="preserve">gqca.p </t>
  </si>
  <si>
    <t xml:space="preserve">gqcb.rsd </t>
  </si>
  <si>
    <t xml:space="preserve">eabm </t>
  </si>
  <si>
    <t xml:space="preserve">gqcc.p </t>
  </si>
  <si>
    <t xml:space="preserve">gqcd.rsd </t>
  </si>
  <si>
    <t>uttmpin3</t>
  </si>
  <si>
    <t>Wutai yuffie house buddha-like room</t>
  </si>
  <si>
    <t xml:space="preserve">gqce.p </t>
  </si>
  <si>
    <t xml:space="preserve">gqcf.rsd </t>
  </si>
  <si>
    <t xml:space="preserve">gqda.p </t>
  </si>
  <si>
    <t xml:space="preserve">gqdb.rsd </t>
  </si>
  <si>
    <t xml:space="preserve">eabn </t>
  </si>
  <si>
    <t xml:space="preserve">gqdc.p </t>
  </si>
  <si>
    <t xml:space="preserve">gqdd.rsd </t>
  </si>
  <si>
    <t>uttmpin4</t>
  </si>
  <si>
    <t>Wutai yuffie house basement</t>
  </si>
  <si>
    <t xml:space="preserve">gqde.p </t>
  </si>
  <si>
    <t xml:space="preserve">gqdf.rsd </t>
  </si>
  <si>
    <t xml:space="preserve">gqea.p </t>
  </si>
  <si>
    <t xml:space="preserve">gqeb.rsd </t>
  </si>
  <si>
    <t xml:space="preserve">eabo </t>
  </si>
  <si>
    <t>468 Bytes</t>
  </si>
  <si>
    <t xml:space="preserve">gqec.p </t>
  </si>
  <si>
    <t xml:space="preserve">gqed.rsd </t>
  </si>
  <si>
    <t>uutai1</t>
  </si>
  <si>
    <t xml:space="preserve">gqee.p </t>
  </si>
  <si>
    <t xml:space="preserve">gqef.a </t>
  </si>
  <si>
    <t xml:space="preserve">gqfa.a </t>
  </si>
  <si>
    <t xml:space="preserve">gqfb.a </t>
  </si>
  <si>
    <t xml:space="preserve">gqfc.a </t>
  </si>
  <si>
    <t xml:space="preserve">gqfd.a </t>
  </si>
  <si>
    <t xml:space="preserve">gqfe.hrc </t>
  </si>
  <si>
    <t>uutai2</t>
  </si>
  <si>
    <t>race3_sk</t>
  </si>
  <si>
    <t>Wutai pagoda area</t>
  </si>
  <si>
    <t xml:space="preserve">gqff.rsd </t>
  </si>
  <si>
    <t xml:space="preserve">eabp </t>
  </si>
  <si>
    <t xml:space="preserve">gqga.p </t>
  </si>
  <si>
    <t xml:space="preserve">gqgb.rsd </t>
  </si>
  <si>
    <t xml:space="preserve">gqgc.p </t>
  </si>
  <si>
    <t xml:space="preserve">gqgd.rsd </t>
  </si>
  <si>
    <t>v_eye2.tex</t>
  </si>
  <si>
    <t xml:space="preserve">gqge.p </t>
  </si>
  <si>
    <t>Vincent eye closed</t>
  </si>
  <si>
    <t xml:space="preserve">gqgf.tex </t>
  </si>
  <si>
    <t xml:space="preserve">eada </t>
  </si>
  <si>
    <t xml:space="preserve">gqha.tex </t>
  </si>
  <si>
    <t xml:space="preserve">gqhb.tex </t>
  </si>
  <si>
    <t xml:space="preserve">ebaa </t>
  </si>
  <si>
    <t>Bomb: Battle Skeleton</t>
  </si>
  <si>
    <t xml:space="preserve">gqhc.rsd </t>
  </si>
  <si>
    <t>v_eye2r.tex</t>
  </si>
  <si>
    <t xml:space="preserve">gqhd.p </t>
  </si>
  <si>
    <t xml:space="preserve">gqhe.rsd </t>
  </si>
  <si>
    <t xml:space="preserve">gqhf.p </t>
  </si>
  <si>
    <t xml:space="preserve">gqia.rsd </t>
  </si>
  <si>
    <t xml:space="preserve">gqib.p </t>
  </si>
  <si>
    <t>wcrimb_1</t>
  </si>
  <si>
    <t>Wallmarket climbing over pipes and fans 1</t>
  </si>
  <si>
    <t xml:space="preserve">gqic.rsd </t>
  </si>
  <si>
    <t xml:space="preserve">gqid.p </t>
  </si>
  <si>
    <t xml:space="preserve">ebab </t>
  </si>
  <si>
    <t xml:space="preserve">gqie.rsd </t>
  </si>
  <si>
    <t>Bomb: Unidentified Part</t>
  </si>
  <si>
    <t xml:space="preserve">gqif.p </t>
  </si>
  <si>
    <t xml:space="preserve">ebam </t>
  </si>
  <si>
    <t xml:space="preserve">gqja.rsd </t>
  </si>
  <si>
    <t>wcrimb_2</t>
  </si>
  <si>
    <t xml:space="preserve">gqjb.p </t>
  </si>
  <si>
    <t xml:space="preserve">gqjc.rsd </t>
  </si>
  <si>
    <t xml:space="preserve">gqjd.p </t>
  </si>
  <si>
    <t xml:space="preserve">eban </t>
  </si>
  <si>
    <t xml:space="preserve">gqje.rsd </t>
  </si>
  <si>
    <t xml:space="preserve">gqjf.p </t>
  </si>
  <si>
    <t xml:space="preserve">graa.rsd </t>
  </si>
  <si>
    <t xml:space="preserve">grab.p </t>
  </si>
  <si>
    <t>white1</t>
  </si>
  <si>
    <t>Forgotten city 'waterfall room'</t>
  </si>
  <si>
    <t xml:space="preserve">grac.rsd </t>
  </si>
  <si>
    <t xml:space="preserve">ebau </t>
  </si>
  <si>
    <t xml:space="preserve">grad.p </t>
  </si>
  <si>
    <t xml:space="preserve">grae.rsd </t>
  </si>
  <si>
    <t xml:space="preserve">graf.p </t>
  </si>
  <si>
    <t xml:space="preserve">grba.rsd </t>
  </si>
  <si>
    <t>white2</t>
  </si>
  <si>
    <t xml:space="preserve">ebay </t>
  </si>
  <si>
    <t xml:space="preserve">grbb.p </t>
  </si>
  <si>
    <t xml:space="preserve">grbc.a </t>
  </si>
  <si>
    <t xml:space="preserve">grbd.a </t>
  </si>
  <si>
    <t xml:space="preserve">grbe.a </t>
  </si>
  <si>
    <t xml:space="preserve">grbf.a </t>
  </si>
  <si>
    <t xml:space="preserve">grca.a </t>
  </si>
  <si>
    <t>whitebg3</t>
  </si>
  <si>
    <t>Black background</t>
  </si>
  <si>
    <t xml:space="preserve">ebbc </t>
  </si>
  <si>
    <t xml:space="preserve">grcb.a </t>
  </si>
  <si>
    <t>Similar to the black backround files at the beggining</t>
  </si>
  <si>
    <t xml:space="preserve">grcc.hrc </t>
  </si>
  <si>
    <t>gldelev_sk</t>
  </si>
  <si>
    <t xml:space="preserve">grcd.rsd </t>
  </si>
  <si>
    <t xml:space="preserve">grce.p </t>
  </si>
  <si>
    <t xml:space="preserve">grcf.tex </t>
  </si>
  <si>
    <t>whitein</t>
  </si>
  <si>
    <t xml:space="preserve">grda.a </t>
  </si>
  <si>
    <t>Forgotten city unknown stage</t>
  </si>
  <si>
    <t xml:space="preserve">grdb.a </t>
  </si>
  <si>
    <t xml:space="preserve">ebbg </t>
  </si>
  <si>
    <t xml:space="preserve">grdc.a </t>
  </si>
  <si>
    <t xml:space="preserve">grdd.a </t>
  </si>
  <si>
    <t xml:space="preserve">grde.a </t>
  </si>
  <si>
    <t xml:space="preserve">grdf.a </t>
  </si>
  <si>
    <t xml:space="preserve">grea.a </t>
  </si>
  <si>
    <t>woa_1</t>
  </si>
  <si>
    <t xml:space="preserve">greb.a </t>
  </si>
  <si>
    <t>Whilrwind maze</t>
  </si>
  <si>
    <t xml:space="preserve">grec.a </t>
  </si>
  <si>
    <t xml:space="preserve">ebbi </t>
  </si>
  <si>
    <t xml:space="preserve">gred.a </t>
  </si>
  <si>
    <t xml:space="preserve">gree.a </t>
  </si>
  <si>
    <t xml:space="preserve">gref.a </t>
  </si>
  <si>
    <t xml:space="preserve">grfa.a </t>
  </si>
  <si>
    <t>woa_2</t>
  </si>
  <si>
    <t xml:space="preserve">grfb.a </t>
  </si>
  <si>
    <t xml:space="preserve">ebbk </t>
  </si>
  <si>
    <t xml:space="preserve">grfc.a </t>
  </si>
  <si>
    <t xml:space="preserve">grfd.a </t>
  </si>
  <si>
    <t xml:space="preserve">grfe.a </t>
  </si>
  <si>
    <t xml:space="preserve">grff.a </t>
  </si>
  <si>
    <t xml:space="preserve">grga.hrc </t>
  </si>
  <si>
    <t>cm_sk</t>
  </si>
  <si>
    <t xml:space="preserve">grgb.rsd </t>
  </si>
  <si>
    <t xml:space="preserve">grgc.p </t>
  </si>
  <si>
    <t xml:space="preserve">ebda </t>
  </si>
  <si>
    <t xml:space="preserve">grgd.rsd </t>
  </si>
  <si>
    <t>woa_3</t>
  </si>
  <si>
    <t xml:space="preserve">grge.p </t>
  </si>
  <si>
    <t xml:space="preserve">ecaa </t>
  </si>
  <si>
    <t>556 Bytes</t>
  </si>
  <si>
    <t>Death Claw: Battle Skeleton</t>
  </si>
  <si>
    <t xml:space="preserve">grgf.rsd </t>
  </si>
  <si>
    <t xml:space="preserve">grha.p </t>
  </si>
  <si>
    <t xml:space="preserve">grhb.tex </t>
  </si>
  <si>
    <t xml:space="preserve">grhc.tex </t>
  </si>
  <si>
    <t>y_eye2.tex</t>
  </si>
  <si>
    <t xml:space="preserve">grhd.tex </t>
  </si>
  <si>
    <t>Yuffie eye closed</t>
  </si>
  <si>
    <t xml:space="preserve">ecab </t>
  </si>
  <si>
    <t xml:space="preserve">grhe.rsd </t>
  </si>
  <si>
    <t>Death Claw: Unidentified Part</t>
  </si>
  <si>
    <t xml:space="preserve">grhf.p </t>
  </si>
  <si>
    <t xml:space="preserve">ecam </t>
  </si>
  <si>
    <t xml:space="preserve">gria.rsd </t>
  </si>
  <si>
    <t>y_eye2r.tex</t>
  </si>
  <si>
    <t xml:space="preserve">grib.p </t>
  </si>
  <si>
    <t xml:space="preserve">gric.rsd </t>
  </si>
  <si>
    <t xml:space="preserve">grid.p </t>
  </si>
  <si>
    <t xml:space="preserve">ecan </t>
  </si>
  <si>
    <t xml:space="preserve">grie.rsd </t>
  </si>
  <si>
    <t>yougan</t>
  </si>
  <si>
    <t xml:space="preserve">grif.p </t>
  </si>
  <si>
    <t>Way to wutai all materia stolen</t>
  </si>
  <si>
    <t xml:space="preserve">grja.rsd </t>
  </si>
  <si>
    <t xml:space="preserve">grjb.p </t>
  </si>
  <si>
    <t xml:space="preserve">grjc.rsd </t>
  </si>
  <si>
    <t xml:space="preserve">grjd.p </t>
  </si>
  <si>
    <t xml:space="preserve">grje.rsd </t>
  </si>
  <si>
    <t xml:space="preserve">grjf.p </t>
  </si>
  <si>
    <t xml:space="preserve">ecao </t>
  </si>
  <si>
    <t xml:space="preserve">gsaa.rsd </t>
  </si>
  <si>
    <t xml:space="preserve">gsab.p </t>
  </si>
  <si>
    <t>yougan2</t>
  </si>
  <si>
    <t>Yuffie first encounter background</t>
  </si>
  <si>
    <t xml:space="preserve">gsac.rsd </t>
  </si>
  <si>
    <t xml:space="preserve">gsad.p </t>
  </si>
  <si>
    <t xml:space="preserve">gsae.rsd </t>
  </si>
  <si>
    <t xml:space="preserve">gsaf.p </t>
  </si>
  <si>
    <t xml:space="preserve">ecaq </t>
  </si>
  <si>
    <t xml:space="preserve">gsba.rsd </t>
  </si>
  <si>
    <t xml:space="preserve">gsbb.p </t>
  </si>
  <si>
    <t>yougan3</t>
  </si>
  <si>
    <t xml:space="preserve">gsbc.rsd </t>
  </si>
  <si>
    <t xml:space="preserve">gsbd.p </t>
  </si>
  <si>
    <t xml:space="preserve">gsbe.hrc </t>
  </si>
  <si>
    <t>cg_sk</t>
  </si>
  <si>
    <t xml:space="preserve">gsbf.rsd </t>
  </si>
  <si>
    <t xml:space="preserve">ecar </t>
  </si>
  <si>
    <t>yufy1</t>
  </si>
  <si>
    <t>Yuffie house</t>
  </si>
  <si>
    <t xml:space="preserve">gsca.p </t>
  </si>
  <si>
    <t xml:space="preserve">gscb.rsd </t>
  </si>
  <si>
    <t xml:space="preserve">gscc.p </t>
  </si>
  <si>
    <t>yufy2</t>
  </si>
  <si>
    <t xml:space="preserve">gscd.rsd </t>
  </si>
  <si>
    <t>Yuffie house basement</t>
  </si>
  <si>
    <t xml:space="preserve">gsce.p </t>
  </si>
  <si>
    <t xml:space="preserve">ecas </t>
  </si>
  <si>
    <t xml:space="preserve">gscf.tex </t>
  </si>
  <si>
    <t xml:space="preserve">gsda.tex </t>
  </si>
  <si>
    <t xml:space="preserve">gsdb.tex </t>
  </si>
  <si>
    <t>zcoal_1</t>
  </si>
  <si>
    <t>North corel chasing train</t>
  </si>
  <si>
    <t xml:space="preserve">gsdc.rsd </t>
  </si>
  <si>
    <t xml:space="preserve">gsdd.p </t>
  </si>
  <si>
    <t xml:space="preserve">ecau </t>
  </si>
  <si>
    <t xml:space="preserve">gsde.rsd </t>
  </si>
  <si>
    <t>zcoal_2</t>
  </si>
  <si>
    <t>North corel train wagons</t>
  </si>
  <si>
    <t xml:space="preserve">gsdf.p </t>
  </si>
  <si>
    <t xml:space="preserve">gsea.rsd </t>
  </si>
  <si>
    <t xml:space="preserve">gseb.p </t>
  </si>
  <si>
    <t xml:space="preserve">gsec.rsd </t>
  </si>
  <si>
    <t xml:space="preserve">gsed.p </t>
  </si>
  <si>
    <t>zcoal_3</t>
  </si>
  <si>
    <t xml:space="preserve">ecav </t>
  </si>
  <si>
    <t>North corel train head</t>
  </si>
  <si>
    <t xml:space="preserve">gsee.rsd </t>
  </si>
  <si>
    <t xml:space="preserve">gsef.p </t>
  </si>
  <si>
    <t xml:space="preserve">gsfa.rsd </t>
  </si>
  <si>
    <t>zmind1</t>
  </si>
  <si>
    <t xml:space="preserve">ecaw </t>
  </si>
  <si>
    <t>800 Bytes</t>
  </si>
  <si>
    <t>Inside cloud's Mind Part 1</t>
  </si>
  <si>
    <t xml:space="preserve">gsfb.p </t>
  </si>
  <si>
    <t xml:space="preserve">gsfc.rsd </t>
  </si>
  <si>
    <t xml:space="preserve">gsfd.p </t>
  </si>
  <si>
    <t xml:space="preserve">gsfe.rsd </t>
  </si>
  <si>
    <t xml:space="preserve">gsff.p </t>
  </si>
  <si>
    <t>zmind2</t>
  </si>
  <si>
    <t xml:space="preserve">gsga.rsd </t>
  </si>
  <si>
    <t>Inside cloud's Mind Part 2</t>
  </si>
  <si>
    <t xml:space="preserve">gsgb.p </t>
  </si>
  <si>
    <t xml:space="preserve">gsgc.rsd </t>
  </si>
  <si>
    <t xml:space="preserve">gsgd.p </t>
  </si>
  <si>
    <t xml:space="preserve">ecay </t>
  </si>
  <si>
    <t xml:space="preserve">gsge.rsd </t>
  </si>
  <si>
    <t>zmind3</t>
  </si>
  <si>
    <t xml:space="preserve">gsgf.p </t>
  </si>
  <si>
    <t>Inside cloud's Mind Part 3</t>
  </si>
  <si>
    <t xml:space="preserve">gsha.rsd </t>
  </si>
  <si>
    <t xml:space="preserve">gshb.p </t>
  </si>
  <si>
    <t xml:space="preserve">gshc.hrc </t>
  </si>
  <si>
    <t>cos_pro1_sk</t>
  </si>
  <si>
    <t xml:space="preserve">gshd.rsd </t>
  </si>
  <si>
    <t xml:space="preserve">gshe.p </t>
  </si>
  <si>
    <t xml:space="preserve">gshf.a </t>
  </si>
  <si>
    <t>ztruck</t>
  </si>
  <si>
    <t>Zack and cloud escape truck</t>
  </si>
  <si>
    <t xml:space="preserve">gsia.a </t>
  </si>
  <si>
    <t xml:space="preserve">ecaz </t>
  </si>
  <si>
    <t xml:space="preserve">gsib.a </t>
  </si>
  <si>
    <t xml:space="preserve">gsic.a </t>
  </si>
  <si>
    <t xml:space="preserve">gsid.a </t>
  </si>
  <si>
    <t xml:space="preserve">gsie.a </t>
  </si>
  <si>
    <t xml:space="preserve">gsif.a </t>
  </si>
  <si>
    <t xml:space="preserve">gsja.a </t>
  </si>
  <si>
    <t>zz1</t>
  </si>
  <si>
    <t>Sleeping mans cave</t>
  </si>
  <si>
    <t xml:space="preserve">gsjb.a </t>
  </si>
  <si>
    <t xml:space="preserve">gsjc.a </t>
  </si>
  <si>
    <t xml:space="preserve">gsjd.a </t>
  </si>
  <si>
    <t xml:space="preserve">gsje.hrc </t>
  </si>
  <si>
    <t>cw_sk</t>
  </si>
  <si>
    <t xml:space="preserve">gsjf.rsd </t>
  </si>
  <si>
    <t xml:space="preserve">ecba </t>
  </si>
  <si>
    <t xml:space="preserve">gtaa.p </t>
  </si>
  <si>
    <t>zz2</t>
  </si>
  <si>
    <t>Smith house</t>
  </si>
  <si>
    <t xml:space="preserve">gtab.rsd </t>
  </si>
  <si>
    <t xml:space="preserve">gtac.p </t>
  </si>
  <si>
    <t xml:space="preserve">gtad.rsd </t>
  </si>
  <si>
    <t xml:space="preserve">gtae.p </t>
  </si>
  <si>
    <t>zz3</t>
  </si>
  <si>
    <t xml:space="preserve">gtaf.tex </t>
  </si>
  <si>
    <t>Chocobo sage house</t>
  </si>
  <si>
    <t xml:space="preserve">gtba.tex </t>
  </si>
  <si>
    <t xml:space="preserve">gtbb.tex </t>
  </si>
  <si>
    <t xml:space="preserve">ecbc </t>
  </si>
  <si>
    <t xml:space="preserve">gtbc.rsd </t>
  </si>
  <si>
    <t>zz4</t>
  </si>
  <si>
    <t>Lucretias cave</t>
  </si>
  <si>
    <t xml:space="preserve">gtbd.p </t>
  </si>
  <si>
    <t xml:space="preserve">gtbe.rsd </t>
  </si>
  <si>
    <t xml:space="preserve">gtbf.p </t>
  </si>
  <si>
    <t>zz5</t>
  </si>
  <si>
    <t>Yellow materia cave</t>
  </si>
  <si>
    <t xml:space="preserve">gtca.rsd </t>
  </si>
  <si>
    <t xml:space="preserve">ecbd </t>
  </si>
  <si>
    <t xml:space="preserve">gtcb.p </t>
  </si>
  <si>
    <t xml:space="preserve">gtcc.rsd </t>
  </si>
  <si>
    <t>zz6</t>
  </si>
  <si>
    <t xml:space="preserve">gtcd.p </t>
  </si>
  <si>
    <t>Purple materia cave</t>
  </si>
  <si>
    <t xml:space="preserve">gtce.rsd </t>
  </si>
  <si>
    <t xml:space="preserve">gtcf.p </t>
  </si>
  <si>
    <t xml:space="preserve">ecbe </t>
  </si>
  <si>
    <t xml:space="preserve">gtda.rsd </t>
  </si>
  <si>
    <t>zz7</t>
  </si>
  <si>
    <t>Blue materia cave</t>
  </si>
  <si>
    <t xml:space="preserve">gtdb.p </t>
  </si>
  <si>
    <t xml:space="preserve">gtdc.rsd </t>
  </si>
  <si>
    <t xml:space="preserve">gtdd.p </t>
  </si>
  <si>
    <t>zz8</t>
  </si>
  <si>
    <t xml:space="preserve">gtde.rsd </t>
  </si>
  <si>
    <t>Red materia cave</t>
  </si>
  <si>
    <t xml:space="preserve">gtdf.p </t>
  </si>
  <si>
    <t xml:space="preserve">ecbf </t>
  </si>
  <si>
    <t xml:space="preserve">gtea.rsd </t>
  </si>
  <si>
    <t xml:space="preserve">gteb.p </t>
  </si>
  <si>
    <t xml:space="preserve">gtec.rsd </t>
  </si>
  <si>
    <t>aaaa.adr</t>
  </si>
  <si>
    <t xml:space="preserve">gted.p </t>
  </si>
  <si>
    <t xml:space="preserve">gtee.rsd </t>
  </si>
  <si>
    <t xml:space="preserve">ecbh </t>
  </si>
  <si>
    <t>abaa.p</t>
  </si>
  <si>
    <t xml:space="preserve">gtef.p </t>
  </si>
  <si>
    <t xml:space="preserve">gtfa.rsd </t>
  </si>
  <si>
    <t xml:space="preserve">gtfb.p </t>
  </si>
  <si>
    <t xml:space="preserve">gtfc.hrc </t>
  </si>
  <si>
    <t>cow_sk</t>
  </si>
  <si>
    <t>acaa.p</t>
  </si>
  <si>
    <t xml:space="preserve">gtfd.rsd </t>
  </si>
  <si>
    <t xml:space="preserve">gtfe.p </t>
  </si>
  <si>
    <t xml:space="preserve">ecbi </t>
  </si>
  <si>
    <t xml:space="preserve">gtff.rsd </t>
  </si>
  <si>
    <t>adaa.rsd</t>
  </si>
  <si>
    <t xml:space="preserve">gtga.p </t>
  </si>
  <si>
    <t xml:space="preserve">gtgb.rsd </t>
  </si>
  <si>
    <t xml:space="preserve">gtgc.p </t>
  </si>
  <si>
    <t>aeaa.p</t>
  </si>
  <si>
    <t xml:space="preserve">gtgd.tex </t>
  </si>
  <si>
    <t xml:space="preserve">ecbj </t>
  </si>
  <si>
    <t xml:space="preserve">gtge.tex </t>
  </si>
  <si>
    <t xml:space="preserve">gtgf.tex </t>
  </si>
  <si>
    <t>afaa.rsd</t>
  </si>
  <si>
    <t xml:space="preserve">gtha.rsd </t>
  </si>
  <si>
    <t xml:space="preserve">gthb.p </t>
  </si>
  <si>
    <t xml:space="preserve">gthc.rsd </t>
  </si>
  <si>
    <t xml:space="preserve">ecbl </t>
  </si>
  <si>
    <t xml:space="preserve">gthd.p </t>
  </si>
  <si>
    <t>agaa.p</t>
  </si>
  <si>
    <t xml:space="preserve">gthe.rsd </t>
  </si>
  <si>
    <t xml:space="preserve">gthf.p </t>
  </si>
  <si>
    <t xml:space="preserve">gtia.rsd </t>
  </si>
  <si>
    <t xml:space="preserve">gtib.p </t>
  </si>
  <si>
    <t xml:space="preserve">ecbm </t>
  </si>
  <si>
    <t>ahaa.a</t>
  </si>
  <si>
    <t xml:space="preserve">gtic.rsd </t>
  </si>
  <si>
    <t xml:space="preserve">gtid.p </t>
  </si>
  <si>
    <t xml:space="preserve">gtie.rsd </t>
  </si>
  <si>
    <t>aiaa.rsd</t>
  </si>
  <si>
    <t xml:space="preserve">gtif.p </t>
  </si>
  <si>
    <t xml:space="preserve">gtja.rsd </t>
  </si>
  <si>
    <t xml:space="preserve">gtjb.p </t>
  </si>
  <si>
    <t xml:space="preserve">ecbn </t>
  </si>
  <si>
    <t xml:space="preserve">gtjc.rsd </t>
  </si>
  <si>
    <t xml:space="preserve">gtjd.p </t>
  </si>
  <si>
    <t xml:space="preserve">gtje.rsd </t>
  </si>
  <si>
    <t>ajaa.rsd</t>
  </si>
  <si>
    <t xml:space="preserve">gtjf.p </t>
  </si>
  <si>
    <t xml:space="preserve">guaa.rsd </t>
  </si>
  <si>
    <t xml:space="preserve">guab.p </t>
  </si>
  <si>
    <t xml:space="preserve">ecbp </t>
  </si>
  <si>
    <t>akaa.rsd</t>
  </si>
  <si>
    <t xml:space="preserve">guac.rsd </t>
  </si>
  <si>
    <t xml:space="preserve">guad.p </t>
  </si>
  <si>
    <t xml:space="preserve">guae.rsd </t>
  </si>
  <si>
    <t>alaa.rsd</t>
  </si>
  <si>
    <t xml:space="preserve">guaf.p </t>
  </si>
  <si>
    <t xml:space="preserve">guba.hrc </t>
  </si>
  <si>
    <t>cb_sk</t>
  </si>
  <si>
    <t xml:space="preserve">ecbq </t>
  </si>
  <si>
    <t xml:space="preserve">gubb.rsd </t>
  </si>
  <si>
    <t>amaa.rsd</t>
  </si>
  <si>
    <t xml:space="preserve">gubc.p </t>
  </si>
  <si>
    <t xml:space="preserve">gubd.rsd </t>
  </si>
  <si>
    <t xml:space="preserve">gube.p </t>
  </si>
  <si>
    <t xml:space="preserve">gubf.rsd </t>
  </si>
  <si>
    <t>anaa.p</t>
  </si>
  <si>
    <t xml:space="preserve">guca.p </t>
  </si>
  <si>
    <t xml:space="preserve">ecbr </t>
  </si>
  <si>
    <t xml:space="preserve">gucb.tex </t>
  </si>
  <si>
    <t xml:space="preserve">gucc.tex </t>
  </si>
  <si>
    <t>aoaa.p</t>
  </si>
  <si>
    <t xml:space="preserve">gucd.tex </t>
  </si>
  <si>
    <t xml:space="preserve">guce.rsd </t>
  </si>
  <si>
    <t xml:space="preserve">gucf.p </t>
  </si>
  <si>
    <t>apaa.p</t>
  </si>
  <si>
    <t xml:space="preserve">guda.rsd </t>
  </si>
  <si>
    <t xml:space="preserve">ecbt </t>
  </si>
  <si>
    <t xml:space="preserve">gudb.p </t>
  </si>
  <si>
    <t xml:space="preserve">gudc.rsd </t>
  </si>
  <si>
    <t>aqaa.rsd</t>
  </si>
  <si>
    <t xml:space="preserve">gudd.p </t>
  </si>
  <si>
    <t xml:space="preserve">gude.rsd </t>
  </si>
  <si>
    <t xml:space="preserve">gudf.p </t>
  </si>
  <si>
    <t xml:space="preserve">guea.rsd </t>
  </si>
  <si>
    <t xml:space="preserve">ecbu </t>
  </si>
  <si>
    <t>araa.rsd</t>
  </si>
  <si>
    <t xml:space="preserve">gueb.p </t>
  </si>
  <si>
    <t xml:space="preserve">guec.rsd </t>
  </si>
  <si>
    <t xml:space="preserve">gued.p </t>
  </si>
  <si>
    <t>asaa.p</t>
  </si>
  <si>
    <t xml:space="preserve">guee.rsd </t>
  </si>
  <si>
    <t xml:space="preserve">guef.p </t>
  </si>
  <si>
    <t xml:space="preserve">gufa.rsd </t>
  </si>
  <si>
    <t xml:space="preserve">ecbw </t>
  </si>
  <si>
    <t>ataa.rsd</t>
  </si>
  <si>
    <t xml:space="preserve">gufb.p </t>
  </si>
  <si>
    <t xml:space="preserve">gufc.rsd </t>
  </si>
  <si>
    <t xml:space="preserve">gufd.p </t>
  </si>
  <si>
    <t xml:space="preserve">gufe.rsd </t>
  </si>
  <si>
    <t>auaa.tex</t>
  </si>
  <si>
    <t xml:space="preserve">ecbx </t>
  </si>
  <si>
    <t xml:space="preserve">guff.p </t>
  </si>
  <si>
    <t xml:space="preserve">guga.rsd </t>
  </si>
  <si>
    <t xml:space="preserve">gugb.p </t>
  </si>
  <si>
    <t>baaa.bin</t>
  </si>
  <si>
    <t xml:space="preserve">gugc.rsd </t>
  </si>
  <si>
    <t>bbaa.rsd</t>
  </si>
  <si>
    <t xml:space="preserve">gugd.p </t>
  </si>
  <si>
    <t xml:space="preserve">ecby </t>
  </si>
  <si>
    <t xml:space="preserve">guge.a </t>
  </si>
  <si>
    <t>bcaa.rsd</t>
  </si>
  <si>
    <t xml:space="preserve">gugf.a </t>
  </si>
  <si>
    <t xml:space="preserve">guha.a </t>
  </si>
  <si>
    <t xml:space="preserve">guhb.a </t>
  </si>
  <si>
    <t xml:space="preserve">guhc.hrc </t>
  </si>
  <si>
    <t>cos_dor1_sk</t>
  </si>
  <si>
    <t xml:space="preserve">guhd.rsd </t>
  </si>
  <si>
    <t>bdaa.p</t>
  </si>
  <si>
    <t xml:space="preserve">guhe.p </t>
  </si>
  <si>
    <t xml:space="preserve">guhf.tex </t>
  </si>
  <si>
    <t xml:space="preserve">guia.a </t>
  </si>
  <si>
    <t xml:space="preserve">guib.hrc </t>
  </si>
  <si>
    <t xml:space="preserve">ecca </t>
  </si>
  <si>
    <t>cos_dor2_sk</t>
  </si>
  <si>
    <t>beaa.rsd</t>
  </si>
  <si>
    <t xml:space="preserve">guic.rsd </t>
  </si>
  <si>
    <t xml:space="preserve">guid.p </t>
  </si>
  <si>
    <t xml:space="preserve">guie.tex </t>
  </si>
  <si>
    <t xml:space="preserve">guif.a </t>
  </si>
  <si>
    <t>bfaa.p</t>
  </si>
  <si>
    <t xml:space="preserve">guja.a </t>
  </si>
  <si>
    <t xml:space="preserve">gujb.a </t>
  </si>
  <si>
    <t xml:space="preserve">gujc.hrc </t>
  </si>
  <si>
    <t>icemap_sk</t>
  </si>
  <si>
    <t xml:space="preserve">eccb </t>
  </si>
  <si>
    <t xml:space="preserve">gujd.rsd </t>
  </si>
  <si>
    <t xml:space="preserve">guje.p </t>
  </si>
  <si>
    <t>bgaa.rsd</t>
  </si>
  <si>
    <t xml:space="preserve">gujf.tex </t>
  </si>
  <si>
    <t xml:space="preserve">gvaa.a </t>
  </si>
  <si>
    <t xml:space="preserve">gvab.a </t>
  </si>
  <si>
    <t xml:space="preserve">gvac.a </t>
  </si>
  <si>
    <t>bhaa.a</t>
  </si>
  <si>
    <t xml:space="preserve">gvad.a </t>
  </si>
  <si>
    <t>biaa.p</t>
  </si>
  <si>
    <t xml:space="preserve">gvae.hrc </t>
  </si>
  <si>
    <t xml:space="preserve">ecda </t>
  </si>
  <si>
    <t>cos_ant_sk</t>
  </si>
  <si>
    <t xml:space="preserve">gvaf.rsd </t>
  </si>
  <si>
    <t xml:space="preserve">gvba.p </t>
  </si>
  <si>
    <t xml:space="preserve">edaa </t>
  </si>
  <si>
    <t xml:space="preserve">gvbb.a </t>
  </si>
  <si>
    <t>2-Faced: Battle Skeleton</t>
  </si>
  <si>
    <t xml:space="preserve">gvbc.hrc </t>
  </si>
  <si>
    <t>bjaa.p</t>
  </si>
  <si>
    <t>cos_tori_sk</t>
  </si>
  <si>
    <t xml:space="preserve">gvbd.rsd </t>
  </si>
  <si>
    <t xml:space="preserve">gvbe.p </t>
  </si>
  <si>
    <t xml:space="preserve">gvbf.a </t>
  </si>
  <si>
    <t xml:space="preserve">gvca.a </t>
  </si>
  <si>
    <t>bkaa.p</t>
  </si>
  <si>
    <t xml:space="preserve">gvcb.a </t>
  </si>
  <si>
    <t xml:space="preserve">edab </t>
  </si>
  <si>
    <t xml:space="preserve">gvcc.a </t>
  </si>
  <si>
    <t>2-Faced: Unidentified Part</t>
  </si>
  <si>
    <t xml:space="preserve">gvcd.a </t>
  </si>
  <si>
    <t xml:space="preserve">gvce.hrc </t>
  </si>
  <si>
    <t xml:space="preserve">edam </t>
  </si>
  <si>
    <t>4hmaty_sk</t>
  </si>
  <si>
    <t>blaa.p</t>
  </si>
  <si>
    <t xml:space="preserve">gvcf.rsd </t>
  </si>
  <si>
    <t>2-Faced: Model</t>
  </si>
  <si>
    <t xml:space="preserve">gvda.p </t>
  </si>
  <si>
    <t xml:space="preserve">gvdb.a </t>
  </si>
  <si>
    <t xml:space="preserve">gvdc.hrc </t>
  </si>
  <si>
    <t>4hmatg_sk</t>
  </si>
  <si>
    <t xml:space="preserve">gvdd.rsd </t>
  </si>
  <si>
    <t xml:space="preserve">gvde.p </t>
  </si>
  <si>
    <t>bmaa.p</t>
  </si>
  <si>
    <t xml:space="preserve">gvdf.a </t>
  </si>
  <si>
    <t xml:space="preserve">edda </t>
  </si>
  <si>
    <t xml:space="preserve">gvea.hrc </t>
  </si>
  <si>
    <t>4hmatr_sk</t>
  </si>
  <si>
    <t xml:space="preserve">gveb.rsd </t>
  </si>
  <si>
    <t xml:space="preserve">eeaa </t>
  </si>
  <si>
    <t xml:space="preserve">gvec.p </t>
  </si>
  <si>
    <t>bnaa.rsd</t>
  </si>
  <si>
    <t>Bandit:Battle Skeleton</t>
  </si>
  <si>
    <t xml:space="preserve">gved.a </t>
  </si>
  <si>
    <t xml:space="preserve">gvee.hrc </t>
  </si>
  <si>
    <t>4hmatb_sk</t>
  </si>
  <si>
    <t xml:space="preserve">gvef.rsd </t>
  </si>
  <si>
    <t xml:space="preserve">gvfa.p </t>
  </si>
  <si>
    <t>boaa.rsd</t>
  </si>
  <si>
    <t xml:space="preserve">gvfb.a </t>
  </si>
  <si>
    <t>Vice clone 2 (biaa)</t>
  </si>
  <si>
    <t xml:space="preserve">eeab </t>
  </si>
  <si>
    <t>Bandit: Unidentified Part</t>
  </si>
  <si>
    <t xml:space="preserve">gvfc.a </t>
  </si>
  <si>
    <t>bpaa.rsd</t>
  </si>
  <si>
    <t xml:space="preserve">eeam </t>
  </si>
  <si>
    <t xml:space="preserve">gvfd.a </t>
  </si>
  <si>
    <t xml:space="preserve">gvfe.a </t>
  </si>
  <si>
    <t xml:space="preserve">gvff.a </t>
  </si>
  <si>
    <t xml:space="preserve">gvga.a </t>
  </si>
  <si>
    <t>bqaa.p</t>
  </si>
  <si>
    <t xml:space="preserve">gvgb.a </t>
  </si>
  <si>
    <t xml:space="preserve">gvgc.a </t>
  </si>
  <si>
    <t xml:space="preserve">gvgd.a </t>
  </si>
  <si>
    <t xml:space="preserve">eean </t>
  </si>
  <si>
    <t xml:space="preserve">gvge.a </t>
  </si>
  <si>
    <t>braa.p</t>
  </si>
  <si>
    <t xml:space="preserve">gvgf.a </t>
  </si>
  <si>
    <t xml:space="preserve">gvha.a </t>
  </si>
  <si>
    <t xml:space="preserve">gvhb.a </t>
  </si>
  <si>
    <t xml:space="preserve">gvhc.a </t>
  </si>
  <si>
    <t xml:space="preserve">gvhd.a </t>
  </si>
  <si>
    <t>bsaa.rsd</t>
  </si>
  <si>
    <t xml:space="preserve">gvhe.a </t>
  </si>
  <si>
    <t xml:space="preserve">eeao </t>
  </si>
  <si>
    <t xml:space="preserve">gvhf.a </t>
  </si>
  <si>
    <t xml:space="preserve">gvia.a </t>
  </si>
  <si>
    <t xml:space="preserve">gvib.a </t>
  </si>
  <si>
    <t>btaa.p</t>
  </si>
  <si>
    <t xml:space="preserve">gvic.a </t>
  </si>
  <si>
    <t xml:space="preserve">gvid.a </t>
  </si>
  <si>
    <t xml:space="preserve">gvie.a </t>
  </si>
  <si>
    <t xml:space="preserve">gvif.a </t>
  </si>
  <si>
    <t xml:space="preserve">gvja.a </t>
  </si>
  <si>
    <t xml:space="preserve">eeap </t>
  </si>
  <si>
    <t xml:space="preserve">gvjb.a </t>
  </si>
  <si>
    <t xml:space="preserve">gvjc.a </t>
  </si>
  <si>
    <t>buaa.tex</t>
  </si>
  <si>
    <t xml:space="preserve">gvjd.a </t>
  </si>
  <si>
    <t xml:space="preserve">gvje.a </t>
  </si>
  <si>
    <t xml:space="preserve">gvjf.a </t>
  </si>
  <si>
    <t xml:space="preserve">gwaa.hrc </t>
  </si>
  <si>
    <t>planet_sk</t>
  </si>
  <si>
    <t xml:space="preserve">gwab.rsd </t>
  </si>
  <si>
    <t xml:space="preserve">gwac.p </t>
  </si>
  <si>
    <t xml:space="preserve">gwad.rsd </t>
  </si>
  <si>
    <t>caaa.hrc</t>
  </si>
  <si>
    <t xml:space="preserve">gwae.p </t>
  </si>
  <si>
    <t xml:space="preserve">eeaq </t>
  </si>
  <si>
    <t xml:space="preserve">gwaf.rsd </t>
  </si>
  <si>
    <t xml:space="preserve">gwba.p </t>
  </si>
  <si>
    <t xml:space="preserve">gwbb.a </t>
  </si>
  <si>
    <t xml:space="preserve">gwbc.a </t>
  </si>
  <si>
    <t>cbaa.p</t>
  </si>
  <si>
    <t xml:space="preserve">gwbd.a </t>
  </si>
  <si>
    <t xml:space="preserve">gwbe.a </t>
  </si>
  <si>
    <t xml:space="preserve">gwbf.a </t>
  </si>
  <si>
    <t xml:space="preserve">gwca.a </t>
  </si>
  <si>
    <t xml:space="preserve">gwcb.a </t>
  </si>
  <si>
    <t xml:space="preserve">gwcc.hrc </t>
  </si>
  <si>
    <t>bu2_sk</t>
  </si>
  <si>
    <t xml:space="preserve">gwcd.rsd </t>
  </si>
  <si>
    <t>ccaa.p</t>
  </si>
  <si>
    <t xml:space="preserve">eeas </t>
  </si>
  <si>
    <t xml:space="preserve">gwce.p </t>
  </si>
  <si>
    <t xml:space="preserve">gwcf.rsd </t>
  </si>
  <si>
    <t xml:space="preserve">gwda.p </t>
  </si>
  <si>
    <t xml:space="preserve">gwdb.rsd </t>
  </si>
  <si>
    <t xml:space="preserve">gwdc.p </t>
  </si>
  <si>
    <t xml:space="preserve">gwdd.rsd </t>
  </si>
  <si>
    <t xml:space="preserve">gwde.p </t>
  </si>
  <si>
    <t>cdaa.rsd</t>
  </si>
  <si>
    <t xml:space="preserve">gwdf.rsd </t>
  </si>
  <si>
    <t xml:space="preserve">gwea.p </t>
  </si>
  <si>
    <t xml:space="preserve">gweb.rsd </t>
  </si>
  <si>
    <t xml:space="preserve">gwec.p </t>
  </si>
  <si>
    <t xml:space="preserve">eeav </t>
  </si>
  <si>
    <t xml:space="preserve">gwed.rsd </t>
  </si>
  <si>
    <t xml:space="preserve">gwee.p </t>
  </si>
  <si>
    <t>ceaa.p</t>
  </si>
  <si>
    <t xml:space="preserve">gwef.rsd </t>
  </si>
  <si>
    <t xml:space="preserve">gwfa.p </t>
  </si>
  <si>
    <t xml:space="preserve">gwfb.rsd </t>
  </si>
  <si>
    <t xml:space="preserve">gwfc.p </t>
  </si>
  <si>
    <t xml:space="preserve">gwfd.rsd </t>
  </si>
  <si>
    <t xml:space="preserve">gwfe.p </t>
  </si>
  <si>
    <t xml:space="preserve">gwff.a </t>
  </si>
  <si>
    <t>cfaa.rsd</t>
  </si>
  <si>
    <t xml:space="preserve">gwga.a </t>
  </si>
  <si>
    <t xml:space="preserve">eeaw </t>
  </si>
  <si>
    <t xml:space="preserve">gwgb.a </t>
  </si>
  <si>
    <t xml:space="preserve">gwgc.a </t>
  </si>
  <si>
    <t xml:space="preserve">gwgd.a </t>
  </si>
  <si>
    <t xml:space="preserve">gwge.a </t>
  </si>
  <si>
    <t xml:space="preserve">gwgf.a </t>
  </si>
  <si>
    <t xml:space="preserve">gwha.a </t>
  </si>
  <si>
    <t>cgaa.p</t>
  </si>
  <si>
    <t xml:space="preserve">gwhb.a </t>
  </si>
  <si>
    <t xml:space="preserve">gwhc.a </t>
  </si>
  <si>
    <t xml:space="preserve">gwhd.a </t>
  </si>
  <si>
    <t xml:space="preserve">gwhe.a </t>
  </si>
  <si>
    <t xml:space="preserve">gwhf.a </t>
  </si>
  <si>
    <t xml:space="preserve">eeax </t>
  </si>
  <si>
    <t xml:space="preserve">gwia.a </t>
  </si>
  <si>
    <t xml:space="preserve">gwib.hrc </t>
  </si>
  <si>
    <t>sparkle_sk</t>
  </si>
  <si>
    <t>chaa.a</t>
  </si>
  <si>
    <t xml:space="preserve">gwic.rsd </t>
  </si>
  <si>
    <t xml:space="preserve">gwid.p </t>
  </si>
  <si>
    <t>ciaa.rsd</t>
  </si>
  <si>
    <t xml:space="preserve">gwie.a </t>
  </si>
  <si>
    <t xml:space="preserve">gwif.hrc </t>
  </si>
  <si>
    <t xml:space="preserve">gwja.rsd </t>
  </si>
  <si>
    <t xml:space="preserve">gwjb.p </t>
  </si>
  <si>
    <t xml:space="preserve">eeaz </t>
  </si>
  <si>
    <t xml:space="preserve">gwjc.rsd </t>
  </si>
  <si>
    <t>cjaa.rsd</t>
  </si>
  <si>
    <t xml:space="preserve">gwjd.p </t>
  </si>
  <si>
    <t xml:space="preserve">gwje.rsd </t>
  </si>
  <si>
    <t xml:space="preserve">gwjf.p </t>
  </si>
  <si>
    <t xml:space="preserve">gxaa.tex </t>
  </si>
  <si>
    <t xml:space="preserve">gxab.tex </t>
  </si>
  <si>
    <t>ckaa.rsd</t>
  </si>
  <si>
    <t xml:space="preserve">gxac.tex </t>
  </si>
  <si>
    <t xml:space="preserve">gxad.rsd </t>
  </si>
  <si>
    <t xml:space="preserve">eebb </t>
  </si>
  <si>
    <t xml:space="preserve">gxae.p </t>
  </si>
  <si>
    <t xml:space="preserve">gxaf.rsd </t>
  </si>
  <si>
    <t>claa.rsd</t>
  </si>
  <si>
    <t xml:space="preserve">gxba.p </t>
  </si>
  <si>
    <t xml:space="preserve">gxbb.rsd </t>
  </si>
  <si>
    <t xml:space="preserve">gxbc.p </t>
  </si>
  <si>
    <t xml:space="preserve">gxbd.rsd </t>
  </si>
  <si>
    <t xml:space="preserve">gxbe.p </t>
  </si>
  <si>
    <t xml:space="preserve">eebd </t>
  </si>
  <si>
    <t>cmaa.rsd</t>
  </si>
  <si>
    <t xml:space="preserve">gxbf.rsd </t>
  </si>
  <si>
    <t xml:space="preserve">gxca.p </t>
  </si>
  <si>
    <t xml:space="preserve">gxcb.rsd </t>
  </si>
  <si>
    <t xml:space="preserve">gxcc.p </t>
  </si>
  <si>
    <t xml:space="preserve">gxcd.rsd </t>
  </si>
  <si>
    <t xml:space="preserve">gxce.p </t>
  </si>
  <si>
    <t xml:space="preserve">gxcf.rsd </t>
  </si>
  <si>
    <t xml:space="preserve">gxda.p </t>
  </si>
  <si>
    <t>cnaa.p</t>
  </si>
  <si>
    <t xml:space="preserve">eebg </t>
  </si>
  <si>
    <t xml:space="preserve">gxdb.rsd </t>
  </si>
  <si>
    <t xml:space="preserve">gxdc.p </t>
  </si>
  <si>
    <t xml:space="preserve">gxdd.rsd </t>
  </si>
  <si>
    <t>coaa.p</t>
  </si>
  <si>
    <t xml:space="preserve">gxde.p </t>
  </si>
  <si>
    <t xml:space="preserve">gxdf.rsd </t>
  </si>
  <si>
    <t xml:space="preserve">gxea.p </t>
  </si>
  <si>
    <t xml:space="preserve">eebh </t>
  </si>
  <si>
    <t xml:space="preserve">gxeb.rsd </t>
  </si>
  <si>
    <t>cpaa.p</t>
  </si>
  <si>
    <t xml:space="preserve">gxec.p </t>
  </si>
  <si>
    <t xml:space="preserve">gxed.a </t>
  </si>
  <si>
    <t xml:space="preserve">gxee.a </t>
  </si>
  <si>
    <t xml:space="preserve">gxef.hrc </t>
  </si>
  <si>
    <t>man3_sk</t>
  </si>
  <si>
    <t xml:space="preserve">gxfa.rsd </t>
  </si>
  <si>
    <t xml:space="preserve">gxfb.p </t>
  </si>
  <si>
    <t>cqaa.rsd</t>
  </si>
  <si>
    <t xml:space="preserve">eebi </t>
  </si>
  <si>
    <t xml:space="preserve">gxfc.rsd </t>
  </si>
  <si>
    <t xml:space="preserve">gxfd.p </t>
  </si>
  <si>
    <t xml:space="preserve">gxfe.rsd </t>
  </si>
  <si>
    <t xml:space="preserve">gxff.p </t>
  </si>
  <si>
    <t xml:space="preserve">gxga.tex </t>
  </si>
  <si>
    <t xml:space="preserve">gxgb.tex </t>
  </si>
  <si>
    <t xml:space="preserve">gxgc.tex </t>
  </si>
  <si>
    <t xml:space="preserve">gxgd.rsd </t>
  </si>
  <si>
    <t>craa.rsd</t>
  </si>
  <si>
    <t xml:space="preserve">gxge.p </t>
  </si>
  <si>
    <t xml:space="preserve">gxgf.rsd </t>
  </si>
  <si>
    <t xml:space="preserve">gxha.p </t>
  </si>
  <si>
    <t xml:space="preserve">gxhb.rsd </t>
  </si>
  <si>
    <t xml:space="preserve">eebk </t>
  </si>
  <si>
    <t xml:space="preserve">gxhc.p </t>
  </si>
  <si>
    <t>csaa.p</t>
  </si>
  <si>
    <t xml:space="preserve">gxhd.rsd </t>
  </si>
  <si>
    <t xml:space="preserve">gxhe.p </t>
  </si>
  <si>
    <t xml:space="preserve">gxhf.rsd </t>
  </si>
  <si>
    <t xml:space="preserve">gxia.p </t>
  </si>
  <si>
    <t xml:space="preserve">gxib.rsd </t>
  </si>
  <si>
    <t xml:space="preserve">gxic.p </t>
  </si>
  <si>
    <t>ctaa.rsd</t>
  </si>
  <si>
    <t xml:space="preserve">gxid.rsd </t>
  </si>
  <si>
    <t xml:space="preserve">eebm </t>
  </si>
  <si>
    <t xml:space="preserve">gxie.p </t>
  </si>
  <si>
    <t xml:space="preserve">gxif.rsd </t>
  </si>
  <si>
    <t xml:space="preserve">gxja.p </t>
  </si>
  <si>
    <t xml:space="preserve">gxjb.rsd </t>
  </si>
  <si>
    <t>cuaa.tex</t>
  </si>
  <si>
    <t xml:space="preserve">gxjc.p </t>
  </si>
  <si>
    <t xml:space="preserve">gxjd.rsd </t>
  </si>
  <si>
    <t xml:space="preserve">eebo </t>
  </si>
  <si>
    <t xml:space="preserve">gxje.p </t>
  </si>
  <si>
    <t xml:space="preserve">gxjf.rsd </t>
  </si>
  <si>
    <t>daaa.rsd</t>
  </si>
  <si>
    <t xml:space="preserve">gyaa.p </t>
  </si>
  <si>
    <t xml:space="preserve">gyab.rsd </t>
  </si>
  <si>
    <t xml:space="preserve">gyac.p </t>
  </si>
  <si>
    <t xml:space="preserve">gyad.a </t>
  </si>
  <si>
    <t xml:space="preserve">gyae.a </t>
  </si>
  <si>
    <t xml:space="preserve">gyaf.a </t>
  </si>
  <si>
    <t>dbaa.rsd</t>
  </si>
  <si>
    <t xml:space="preserve">eebq </t>
  </si>
  <si>
    <t xml:space="preserve">gyba.a </t>
  </si>
  <si>
    <t xml:space="preserve">gybb.a </t>
  </si>
  <si>
    <t xml:space="preserve">gybc.a </t>
  </si>
  <si>
    <t xml:space="preserve">gybd.a </t>
  </si>
  <si>
    <t xml:space="preserve">gybe.a </t>
  </si>
  <si>
    <t xml:space="preserve">gybf.a </t>
  </si>
  <si>
    <t>dcaa.rsd</t>
  </si>
  <si>
    <t xml:space="preserve">gyca.a </t>
  </si>
  <si>
    <t xml:space="preserve">gycb.a </t>
  </si>
  <si>
    <t xml:space="preserve">gycc.a </t>
  </si>
  <si>
    <t xml:space="preserve">gycd.a </t>
  </si>
  <si>
    <t xml:space="preserve">gyce.a </t>
  </si>
  <si>
    <t xml:space="preserve">gycf.a </t>
  </si>
  <si>
    <t xml:space="preserve">eebr </t>
  </si>
  <si>
    <t xml:space="preserve">gyda.a </t>
  </si>
  <si>
    <t>ddaa.p</t>
  </si>
  <si>
    <t xml:space="preserve">gydb.a </t>
  </si>
  <si>
    <t xml:space="preserve">gydc.hrc </t>
  </si>
  <si>
    <t>rkt_w_sk</t>
  </si>
  <si>
    <t xml:space="preserve">gydd.rsd </t>
  </si>
  <si>
    <t xml:space="preserve">gyde.p </t>
  </si>
  <si>
    <t xml:space="preserve">gydf.rsd </t>
  </si>
  <si>
    <t xml:space="preserve">gyea.p </t>
  </si>
  <si>
    <t>deaa.rsd</t>
  </si>
  <si>
    <t xml:space="preserve">gyeb.rsd </t>
  </si>
  <si>
    <t xml:space="preserve">eebs </t>
  </si>
  <si>
    <t xml:space="preserve">gyec.p </t>
  </si>
  <si>
    <t xml:space="preserve">gyed.tex </t>
  </si>
  <si>
    <t xml:space="preserve">gyee.tex </t>
  </si>
  <si>
    <t xml:space="preserve">gyef.tex </t>
  </si>
  <si>
    <t>dfaa.p</t>
  </si>
  <si>
    <t xml:space="preserve">gyfa.rsd </t>
  </si>
  <si>
    <t xml:space="preserve">gyfb.p </t>
  </si>
  <si>
    <t xml:space="preserve">eebt </t>
  </si>
  <si>
    <t xml:space="preserve">gyfc.rsd </t>
  </si>
  <si>
    <t>dgaa.a</t>
  </si>
  <si>
    <t xml:space="preserve">gyfd.p </t>
  </si>
  <si>
    <t xml:space="preserve">gyfe.rsd </t>
  </si>
  <si>
    <t>dhaa.a</t>
  </si>
  <si>
    <t xml:space="preserve">gyff.p </t>
  </si>
  <si>
    <t>diaa.p</t>
  </si>
  <si>
    <t xml:space="preserve">gyga.rsd </t>
  </si>
  <si>
    <t xml:space="preserve">gygb.p </t>
  </si>
  <si>
    <t xml:space="preserve">gygc.rsd </t>
  </si>
  <si>
    <t xml:space="preserve">eebv </t>
  </si>
  <si>
    <t xml:space="preserve">gygd.p </t>
  </si>
  <si>
    <t>djaa.p</t>
  </si>
  <si>
    <t xml:space="preserve">gyge.rsd </t>
  </si>
  <si>
    <t xml:space="preserve">gygf.p </t>
  </si>
  <si>
    <t xml:space="preserve">gyha.rsd </t>
  </si>
  <si>
    <t xml:space="preserve">gyhb.p </t>
  </si>
  <si>
    <t>dkaa.p</t>
  </si>
  <si>
    <t xml:space="preserve">eebw </t>
  </si>
  <si>
    <t xml:space="preserve">gyhc.rsd </t>
  </si>
  <si>
    <t xml:space="preserve">gyhd.p </t>
  </si>
  <si>
    <t xml:space="preserve">gyhe.rsd </t>
  </si>
  <si>
    <t xml:space="preserve">gyhf.p </t>
  </si>
  <si>
    <t xml:space="preserve">gyia.rsd </t>
  </si>
  <si>
    <t xml:space="preserve">eebx </t>
  </si>
  <si>
    <t>dlaa.p</t>
  </si>
  <si>
    <t xml:space="preserve">gyib.p </t>
  </si>
  <si>
    <t xml:space="preserve">gyic.rsd </t>
  </si>
  <si>
    <t xml:space="preserve">gyid.p </t>
  </si>
  <si>
    <t xml:space="preserve">gyie.rsd </t>
  </si>
  <si>
    <t xml:space="preserve">gyif.p </t>
  </si>
  <si>
    <t xml:space="preserve">gyja.a </t>
  </si>
  <si>
    <t xml:space="preserve">eeby </t>
  </si>
  <si>
    <t xml:space="preserve">gyjb.a </t>
  </si>
  <si>
    <t>dmaa.p</t>
  </si>
  <si>
    <t xml:space="preserve">gyjc.a </t>
  </si>
  <si>
    <t xml:space="preserve">gyjd.a </t>
  </si>
  <si>
    <t xml:space="preserve">gyje.a </t>
  </si>
  <si>
    <t xml:space="preserve">gyjf.a </t>
  </si>
  <si>
    <t xml:space="preserve">gzaa.a </t>
  </si>
  <si>
    <t xml:space="preserve">gzab.a </t>
  </si>
  <si>
    <t xml:space="preserve">gzac.a </t>
  </si>
  <si>
    <t xml:space="preserve">gzad.hrc </t>
  </si>
  <si>
    <t>dnaa.rsd</t>
  </si>
  <si>
    <t>ycid_sk</t>
  </si>
  <si>
    <t xml:space="preserve">eeda </t>
  </si>
  <si>
    <t xml:space="preserve">gzae.rsd </t>
  </si>
  <si>
    <t xml:space="preserve">gzaf.p </t>
  </si>
  <si>
    <t xml:space="preserve">efaa </t>
  </si>
  <si>
    <t xml:space="preserve">gzba.rsd </t>
  </si>
  <si>
    <t>Bullmotor:Battle Skeleton</t>
  </si>
  <si>
    <t xml:space="preserve">gzbb.p </t>
  </si>
  <si>
    <t xml:space="preserve">gzbc.rsd </t>
  </si>
  <si>
    <t>doaa.rsd</t>
  </si>
  <si>
    <t xml:space="preserve">gzbd.p </t>
  </si>
  <si>
    <t xml:space="preserve">gzbe.tex </t>
  </si>
  <si>
    <t xml:space="preserve">gzbf.tex </t>
  </si>
  <si>
    <t xml:space="preserve">efab </t>
  </si>
  <si>
    <t xml:space="preserve">gzca.tex </t>
  </si>
  <si>
    <t>Bullmotor: Unidentified Part</t>
  </si>
  <si>
    <t xml:space="preserve">gzcb.rsd </t>
  </si>
  <si>
    <t xml:space="preserve">gzcc.p </t>
  </si>
  <si>
    <t xml:space="preserve">efan </t>
  </si>
  <si>
    <t xml:space="preserve">gzcd.rsd </t>
  </si>
  <si>
    <t>dpaa.tex</t>
  </si>
  <si>
    <t xml:space="preserve">gzce.p </t>
  </si>
  <si>
    <t xml:space="preserve">gzcf.rsd </t>
  </si>
  <si>
    <t xml:space="preserve">gzda.p </t>
  </si>
  <si>
    <t xml:space="preserve">gzdb.rsd </t>
  </si>
  <si>
    <t xml:space="preserve">gzdc.p </t>
  </si>
  <si>
    <t xml:space="preserve">efap </t>
  </si>
  <si>
    <t xml:space="preserve">gzdd.rsd </t>
  </si>
  <si>
    <t>dqaa.p</t>
  </si>
  <si>
    <t xml:space="preserve">gzde.p </t>
  </si>
  <si>
    <t xml:space="preserve">gzdf.rsd </t>
  </si>
  <si>
    <t xml:space="preserve">gzea.p </t>
  </si>
  <si>
    <t xml:space="preserve">gzeb.rsd </t>
  </si>
  <si>
    <t xml:space="preserve">gzec.p </t>
  </si>
  <si>
    <t xml:space="preserve">gzed.rsd </t>
  </si>
  <si>
    <t xml:space="preserve">efaq </t>
  </si>
  <si>
    <t xml:space="preserve">gzee.p </t>
  </si>
  <si>
    <t>draa.p</t>
  </si>
  <si>
    <t xml:space="preserve">gzef.rsd </t>
  </si>
  <si>
    <t xml:space="preserve">gzfa.p </t>
  </si>
  <si>
    <t xml:space="preserve">gzfb.rsd </t>
  </si>
  <si>
    <t xml:space="preserve">gzfc.p </t>
  </si>
  <si>
    <t xml:space="preserve">efas </t>
  </si>
  <si>
    <t xml:space="preserve">gzfd.rsd </t>
  </si>
  <si>
    <t xml:space="preserve">gzfe.p </t>
  </si>
  <si>
    <t>dsaa.tex</t>
  </si>
  <si>
    <t xml:space="preserve">gzff.rsd </t>
  </si>
  <si>
    <t xml:space="preserve">gzga.p </t>
  </si>
  <si>
    <t xml:space="preserve">gzgb.hrc </t>
  </si>
  <si>
    <t>rkindr_l_sk</t>
  </si>
  <si>
    <t xml:space="preserve">gzgc.rsd </t>
  </si>
  <si>
    <t xml:space="preserve">gzgd.p </t>
  </si>
  <si>
    <t xml:space="preserve">gzge.tex </t>
  </si>
  <si>
    <t xml:space="preserve">gzgf.a </t>
  </si>
  <si>
    <t xml:space="preserve">gzha.hrc </t>
  </si>
  <si>
    <t>rkindr_r_sk</t>
  </si>
  <si>
    <t xml:space="preserve">gzhb.rsd </t>
  </si>
  <si>
    <t xml:space="preserve">gzhc.p </t>
  </si>
  <si>
    <t>dtaa.p</t>
  </si>
  <si>
    <t xml:space="preserve">efau </t>
  </si>
  <si>
    <t xml:space="preserve">gzhd.tex </t>
  </si>
  <si>
    <t xml:space="preserve">gzhe.a </t>
  </si>
  <si>
    <t xml:space="preserve">gzhf.hrc </t>
  </si>
  <si>
    <t>mac_sk</t>
  </si>
  <si>
    <t xml:space="preserve">gzia.rsd </t>
  </si>
  <si>
    <t xml:space="preserve">gzib.p </t>
  </si>
  <si>
    <t xml:space="preserve">gzic.rsd </t>
  </si>
  <si>
    <t xml:space="preserve">gzid.p </t>
  </si>
  <si>
    <t xml:space="preserve">gzie.rsd </t>
  </si>
  <si>
    <t xml:space="preserve">gzif.p </t>
  </si>
  <si>
    <t>duaa.tex</t>
  </si>
  <si>
    <t xml:space="preserve">gzja.tex </t>
  </si>
  <si>
    <t xml:space="preserve">efaw </t>
  </si>
  <si>
    <t xml:space="preserve">gzjb.tex </t>
  </si>
  <si>
    <t xml:space="preserve">gzjc.tex </t>
  </si>
  <si>
    <t xml:space="preserve">gzjd.rsd </t>
  </si>
  <si>
    <t xml:space="preserve">gzje.p </t>
  </si>
  <si>
    <t xml:space="preserve">gzjf.rsd </t>
  </si>
  <si>
    <t xml:space="preserve">haaa.p </t>
  </si>
  <si>
    <t xml:space="preserve">haab.rsd </t>
  </si>
  <si>
    <t xml:space="preserve">efay </t>
  </si>
  <si>
    <t xml:space="preserve">haac.p </t>
  </si>
  <si>
    <t>eaaa.p</t>
  </si>
  <si>
    <t xml:space="preserve">haad.rsd </t>
  </si>
  <si>
    <t xml:space="preserve">haae.p </t>
  </si>
  <si>
    <t xml:space="preserve">haaf.rsd </t>
  </si>
  <si>
    <t xml:space="preserve">haba.p </t>
  </si>
  <si>
    <t xml:space="preserve">habb.rsd </t>
  </si>
  <si>
    <t xml:space="preserve">efba </t>
  </si>
  <si>
    <t xml:space="preserve">habc.p </t>
  </si>
  <si>
    <t>ebaa.p</t>
  </si>
  <si>
    <t xml:space="preserve">habd.rsd </t>
  </si>
  <si>
    <t xml:space="preserve">habe.p </t>
  </si>
  <si>
    <t xml:space="preserve">habf.rsd </t>
  </si>
  <si>
    <t xml:space="preserve">efda </t>
  </si>
  <si>
    <t xml:space="preserve">haca.p </t>
  </si>
  <si>
    <t xml:space="preserve">hacb.rsd </t>
  </si>
  <si>
    <t xml:space="preserve">hacc.p </t>
  </si>
  <si>
    <t xml:space="preserve">egaa </t>
  </si>
  <si>
    <t>ecaa.p</t>
  </si>
  <si>
    <t xml:space="preserve">hacd.rsd </t>
  </si>
  <si>
    <t>Land Worm: Battle Skeleton</t>
  </si>
  <si>
    <t xml:space="preserve">hace.p </t>
  </si>
  <si>
    <t xml:space="preserve">hacf.rsd </t>
  </si>
  <si>
    <t xml:space="preserve">hada.p </t>
  </si>
  <si>
    <t xml:space="preserve">hadb.rsd </t>
  </si>
  <si>
    <t xml:space="preserve">hadc.p </t>
  </si>
  <si>
    <t xml:space="preserve">hadd.a </t>
  </si>
  <si>
    <t xml:space="preserve">hade.a </t>
  </si>
  <si>
    <t xml:space="preserve">egab </t>
  </si>
  <si>
    <t xml:space="preserve">hadf.a </t>
  </si>
  <si>
    <t>Land Worm: Unidentified Part</t>
  </si>
  <si>
    <t>edaa.rsd</t>
  </si>
  <si>
    <t xml:space="preserve">haea.a </t>
  </si>
  <si>
    <t>Sword</t>
  </si>
  <si>
    <t xml:space="preserve">haeb.a </t>
  </si>
  <si>
    <t xml:space="preserve">egam </t>
  </si>
  <si>
    <t xml:space="preserve">haec.a </t>
  </si>
  <si>
    <t xml:space="preserve">haed.a </t>
  </si>
  <si>
    <t xml:space="preserve">haee.a </t>
  </si>
  <si>
    <t xml:space="preserve">haef.a </t>
  </si>
  <si>
    <t xml:space="preserve">hafa.a </t>
  </si>
  <si>
    <t xml:space="preserve">hafb.a </t>
  </si>
  <si>
    <t xml:space="preserve">hafc.a </t>
  </si>
  <si>
    <t xml:space="preserve">hafd.a </t>
  </si>
  <si>
    <t xml:space="preserve">hafe.a </t>
  </si>
  <si>
    <t xml:space="preserve">haff.a </t>
  </si>
  <si>
    <t xml:space="preserve">haga.a </t>
  </si>
  <si>
    <t>eeaa.p</t>
  </si>
  <si>
    <t xml:space="preserve">egan </t>
  </si>
  <si>
    <t xml:space="preserve">hagb.hrc </t>
  </si>
  <si>
    <t>hmtra2_sk</t>
  </si>
  <si>
    <t xml:space="preserve">hagc.rsd </t>
  </si>
  <si>
    <t xml:space="preserve">hagd.p </t>
  </si>
  <si>
    <t xml:space="preserve">hage.tex </t>
  </si>
  <si>
    <t xml:space="preserve">hagf.rsd </t>
  </si>
  <si>
    <t xml:space="preserve">haha.p </t>
  </si>
  <si>
    <t xml:space="preserve">hahb.tex </t>
  </si>
  <si>
    <t xml:space="preserve">hahc.rsd </t>
  </si>
  <si>
    <t xml:space="preserve">hahd.p </t>
  </si>
  <si>
    <t xml:space="preserve">hahe.tex </t>
  </si>
  <si>
    <t xml:space="preserve">egao </t>
  </si>
  <si>
    <t>efaa.hrc</t>
  </si>
  <si>
    <t xml:space="preserve">hahf.rsd </t>
  </si>
  <si>
    <t>bik_2s_sk</t>
  </si>
  <si>
    <t xml:space="preserve">haia.p </t>
  </si>
  <si>
    <t>Orange Bike</t>
  </si>
  <si>
    <t xml:space="preserve">haib.tex </t>
  </si>
  <si>
    <t xml:space="preserve">haic.rsd </t>
  </si>
  <si>
    <t xml:space="preserve">haid.p </t>
  </si>
  <si>
    <t xml:space="preserve">haie.rsd </t>
  </si>
  <si>
    <t xml:space="preserve">haif.p </t>
  </si>
  <si>
    <t xml:space="preserve">haja.rsd </t>
  </si>
  <si>
    <t xml:space="preserve">egap </t>
  </si>
  <si>
    <t xml:space="preserve">hajb.p </t>
  </si>
  <si>
    <t xml:space="preserve">hajc.tex </t>
  </si>
  <si>
    <t>egaa.a</t>
  </si>
  <si>
    <t xml:space="preserve">hajd.rsd </t>
  </si>
  <si>
    <t xml:space="preserve">haje.p </t>
  </si>
  <si>
    <t xml:space="preserve">hajf.tex </t>
  </si>
  <si>
    <t>ehaa.a</t>
  </si>
  <si>
    <t xml:space="preserve">hbaa.rsd </t>
  </si>
  <si>
    <t xml:space="preserve">hbab.p </t>
  </si>
  <si>
    <t xml:space="preserve">hbac.rsd </t>
  </si>
  <si>
    <t>eiaa.rsd</t>
  </si>
  <si>
    <t xml:space="preserve">hbad.p </t>
  </si>
  <si>
    <t xml:space="preserve">hbae.rsd </t>
  </si>
  <si>
    <t xml:space="preserve">egaq </t>
  </si>
  <si>
    <t xml:space="preserve">hbaf.p </t>
  </si>
  <si>
    <t xml:space="preserve">hbba.rsd </t>
  </si>
  <si>
    <t xml:space="preserve">hbbb.p </t>
  </si>
  <si>
    <t xml:space="preserve">hbbc.tex </t>
  </si>
  <si>
    <t xml:space="preserve">hbbd.rsd </t>
  </si>
  <si>
    <t xml:space="preserve">hbbe.p </t>
  </si>
  <si>
    <t xml:space="preserve">hbbf.rsd </t>
  </si>
  <si>
    <t xml:space="preserve">hbca.p </t>
  </si>
  <si>
    <t xml:space="preserve">hbcb.tex </t>
  </si>
  <si>
    <t xml:space="preserve">hbcc.rsd </t>
  </si>
  <si>
    <t xml:space="preserve">hbcd.p </t>
  </si>
  <si>
    <t>ejaa.rsd</t>
  </si>
  <si>
    <t xml:space="preserve">hbce.tex </t>
  </si>
  <si>
    <t xml:space="preserve">egas </t>
  </si>
  <si>
    <t xml:space="preserve">hbcf.a </t>
  </si>
  <si>
    <t xml:space="preserve">hbda.a </t>
  </si>
  <si>
    <t xml:space="preserve">hbdb.a </t>
  </si>
  <si>
    <t xml:space="preserve">hbdc.a </t>
  </si>
  <si>
    <t xml:space="preserve">hbdd.a </t>
  </si>
  <si>
    <t>ekaa.rsd</t>
  </si>
  <si>
    <t xml:space="preserve">egau </t>
  </si>
  <si>
    <t xml:space="preserve">hbde.a </t>
  </si>
  <si>
    <t xml:space="preserve">hbdf.a </t>
  </si>
  <si>
    <t xml:space="preserve">hbea.a </t>
  </si>
  <si>
    <t xml:space="preserve">hbeb.a </t>
  </si>
  <si>
    <t xml:space="preserve">hbec.a </t>
  </si>
  <si>
    <t xml:space="preserve">hbed.a </t>
  </si>
  <si>
    <t xml:space="preserve">hbee.a </t>
  </si>
  <si>
    <t xml:space="preserve">hbef.a </t>
  </si>
  <si>
    <t xml:space="preserve">hbfa.a </t>
  </si>
  <si>
    <t xml:space="preserve">hbfb.a </t>
  </si>
  <si>
    <t xml:space="preserve">hbfc.a </t>
  </si>
  <si>
    <t xml:space="preserve">egav </t>
  </si>
  <si>
    <t xml:space="preserve">hbfd.a </t>
  </si>
  <si>
    <t>elaa.rsd</t>
  </si>
  <si>
    <t xml:space="preserve">hbfe.a </t>
  </si>
  <si>
    <t xml:space="preserve">hbff.a </t>
  </si>
  <si>
    <t xml:space="preserve">hbga.a </t>
  </si>
  <si>
    <t xml:space="preserve">hbgb.a </t>
  </si>
  <si>
    <t xml:space="preserve">hbgc.a </t>
  </si>
  <si>
    <t xml:space="preserve">hbgd.a </t>
  </si>
  <si>
    <t xml:space="preserve">hbge.a </t>
  </si>
  <si>
    <t xml:space="preserve">hbgf.a </t>
  </si>
  <si>
    <t xml:space="preserve">hbha.a </t>
  </si>
  <si>
    <t xml:space="preserve">egax </t>
  </si>
  <si>
    <t xml:space="preserve">hbhb.a </t>
  </si>
  <si>
    <t>emaa.rsd</t>
  </si>
  <si>
    <t xml:space="preserve">hbhc.a </t>
  </si>
  <si>
    <t xml:space="preserve">hbhd.a </t>
  </si>
  <si>
    <t xml:space="preserve">hbhe.a </t>
  </si>
  <si>
    <t xml:space="preserve">hbhf.a </t>
  </si>
  <si>
    <t xml:space="preserve">hbia.a </t>
  </si>
  <si>
    <t xml:space="preserve">hbib.a </t>
  </si>
  <si>
    <t xml:space="preserve">hbic.a </t>
  </si>
  <si>
    <t xml:space="preserve">hbid.a </t>
  </si>
  <si>
    <t xml:space="preserve">hbie.a </t>
  </si>
  <si>
    <t xml:space="preserve">hbif.a </t>
  </si>
  <si>
    <t xml:space="preserve">egay </t>
  </si>
  <si>
    <t xml:space="preserve">hbja.a </t>
  </si>
  <si>
    <t xml:space="preserve">hbjb.a </t>
  </si>
  <si>
    <t xml:space="preserve">hbjc.a </t>
  </si>
  <si>
    <t>enaa.p</t>
  </si>
  <si>
    <t xml:space="preserve">hbjd.a </t>
  </si>
  <si>
    <t xml:space="preserve">hbje.a </t>
  </si>
  <si>
    <t xml:space="preserve">hbjf.a </t>
  </si>
  <si>
    <t xml:space="preserve">hcaa.a </t>
  </si>
  <si>
    <t xml:space="preserve">hcab.a </t>
  </si>
  <si>
    <t xml:space="preserve">hcac.a </t>
  </si>
  <si>
    <t xml:space="preserve">hcad.a </t>
  </si>
  <si>
    <t xml:space="preserve">hcae.a </t>
  </si>
  <si>
    <t xml:space="preserve">hcaf.a </t>
  </si>
  <si>
    <t xml:space="preserve">hcba.a </t>
  </si>
  <si>
    <t xml:space="preserve">hcbb.a </t>
  </si>
  <si>
    <t xml:space="preserve">egba </t>
  </si>
  <si>
    <t xml:space="preserve">hcbc.a </t>
  </si>
  <si>
    <t xml:space="preserve">hcbd.a </t>
  </si>
  <si>
    <t>eoaa.p</t>
  </si>
  <si>
    <t xml:space="preserve">hcbe.a </t>
  </si>
  <si>
    <t xml:space="preserve">hcbf.a </t>
  </si>
  <si>
    <t xml:space="preserve">hcca.a </t>
  </si>
  <si>
    <t xml:space="preserve">hccb.a </t>
  </si>
  <si>
    <t xml:space="preserve">hccc.a </t>
  </si>
  <si>
    <t xml:space="preserve">hccd.a </t>
  </si>
  <si>
    <t xml:space="preserve">egbb </t>
  </si>
  <si>
    <t xml:space="preserve">hcce.a </t>
  </si>
  <si>
    <t xml:space="preserve">hccf.a </t>
  </si>
  <si>
    <t>epaa.tex</t>
  </si>
  <si>
    <t xml:space="preserve">hcda.a </t>
  </si>
  <si>
    <t xml:space="preserve">hcdb.a </t>
  </si>
  <si>
    <t xml:space="preserve">hcdc.a </t>
  </si>
  <si>
    <t xml:space="preserve">hcdd.a </t>
  </si>
  <si>
    <t xml:space="preserve">hcde.a </t>
  </si>
  <si>
    <t xml:space="preserve">hcdf.a </t>
  </si>
  <si>
    <t xml:space="preserve">hcea.a </t>
  </si>
  <si>
    <t xml:space="preserve">hceb.a </t>
  </si>
  <si>
    <t xml:space="preserve">egbd </t>
  </si>
  <si>
    <t xml:space="preserve">hcec.a </t>
  </si>
  <si>
    <t xml:space="preserve">hced.a </t>
  </si>
  <si>
    <t xml:space="preserve">hcee.a </t>
  </si>
  <si>
    <t>eqaa.rsd</t>
  </si>
  <si>
    <t xml:space="preserve">hcef.hrc </t>
  </si>
  <si>
    <t>hahen_sk</t>
  </si>
  <si>
    <t xml:space="preserve">hcfa.rsd </t>
  </si>
  <si>
    <t xml:space="preserve">hcfb.p </t>
  </si>
  <si>
    <t xml:space="preserve">hcfc.rsd </t>
  </si>
  <si>
    <t xml:space="preserve">hcfd.p </t>
  </si>
  <si>
    <t xml:space="preserve">hcfe.rsd </t>
  </si>
  <si>
    <t xml:space="preserve">hcff.p </t>
  </si>
  <si>
    <t xml:space="preserve">egbe </t>
  </si>
  <si>
    <t xml:space="preserve">hcga.rsd </t>
  </si>
  <si>
    <t xml:space="preserve">hcgb.p </t>
  </si>
  <si>
    <t>eraa.rsd</t>
  </si>
  <si>
    <t xml:space="preserve">hcgc.rsd </t>
  </si>
  <si>
    <t xml:space="preserve">hcgd.p </t>
  </si>
  <si>
    <t xml:space="preserve">hcge.rsd </t>
  </si>
  <si>
    <t xml:space="preserve">hcgf.p </t>
  </si>
  <si>
    <t xml:space="preserve">egbg </t>
  </si>
  <si>
    <t xml:space="preserve">hcia.rsd </t>
  </si>
  <si>
    <t xml:space="preserve">hcib.p </t>
  </si>
  <si>
    <t xml:space="preserve">hcic.a </t>
  </si>
  <si>
    <t xml:space="preserve">hcid.a </t>
  </si>
  <si>
    <t>esaa.rsd</t>
  </si>
  <si>
    <t xml:space="preserve">hcie.a </t>
  </si>
  <si>
    <t xml:space="preserve">hcif.a </t>
  </si>
  <si>
    <t xml:space="preserve">hcja.a </t>
  </si>
  <si>
    <t xml:space="preserve">hcjb.a </t>
  </si>
  <si>
    <t xml:space="preserve">hcjc.a </t>
  </si>
  <si>
    <t xml:space="preserve">hcjd.a </t>
  </si>
  <si>
    <t xml:space="preserve">egbh </t>
  </si>
  <si>
    <t xml:space="preserve">hcje.a </t>
  </si>
  <si>
    <t xml:space="preserve">hcjf.a </t>
  </si>
  <si>
    <t xml:space="preserve">hcha.rsd </t>
  </si>
  <si>
    <t xml:space="preserve">hchb.p </t>
  </si>
  <si>
    <t xml:space="preserve">hchc.rsd </t>
  </si>
  <si>
    <t>etaa.rsd</t>
  </si>
  <si>
    <t xml:space="preserve">hchd.p </t>
  </si>
  <si>
    <t xml:space="preserve">hche.rsd </t>
  </si>
  <si>
    <t xml:space="preserve">hchf.p </t>
  </si>
  <si>
    <t xml:space="preserve">hdaa.a </t>
  </si>
  <si>
    <t xml:space="preserve">hdab.a </t>
  </si>
  <si>
    <t xml:space="preserve">hdac.a </t>
  </si>
  <si>
    <t xml:space="preserve">egbj </t>
  </si>
  <si>
    <t xml:space="preserve">hdad.a </t>
  </si>
  <si>
    <t xml:space="preserve">hdae.a </t>
  </si>
  <si>
    <t xml:space="preserve">hdaf.a </t>
  </si>
  <si>
    <t xml:space="preserve">hdba.a </t>
  </si>
  <si>
    <t xml:space="preserve">hdbb.hrc </t>
  </si>
  <si>
    <t>utma3_sk</t>
  </si>
  <si>
    <t xml:space="preserve">hdbc.rsd </t>
  </si>
  <si>
    <t xml:space="preserve">hdbd.p </t>
  </si>
  <si>
    <t>euaa.tex</t>
  </si>
  <si>
    <t xml:space="preserve">hdbe.rsd </t>
  </si>
  <si>
    <t xml:space="preserve">hdbf.p </t>
  </si>
  <si>
    <t xml:space="preserve">egbk </t>
  </si>
  <si>
    <t xml:space="preserve">hdca.rsd </t>
  </si>
  <si>
    <t xml:space="preserve">hdcb.p </t>
  </si>
  <si>
    <t xml:space="preserve">hdcc.tex </t>
  </si>
  <si>
    <t xml:space="preserve">hdcd.tex </t>
  </si>
  <si>
    <t xml:space="preserve">hdce.tex </t>
  </si>
  <si>
    <t xml:space="preserve">hdcf.rsd </t>
  </si>
  <si>
    <t>faaa.rsd</t>
  </si>
  <si>
    <t xml:space="preserve">hdda.p </t>
  </si>
  <si>
    <t xml:space="preserve">hddb.rsd </t>
  </si>
  <si>
    <t xml:space="preserve">hddc.p </t>
  </si>
  <si>
    <t xml:space="preserve">egbm </t>
  </si>
  <si>
    <t xml:space="preserve">hddd.rsd </t>
  </si>
  <si>
    <t xml:space="preserve">hdde.p </t>
  </si>
  <si>
    <t xml:space="preserve">hddf.rsd </t>
  </si>
  <si>
    <t xml:space="preserve">hdea.p </t>
  </si>
  <si>
    <t xml:space="preserve">hdeb.rsd </t>
  </si>
  <si>
    <t xml:space="preserve">hdec.p </t>
  </si>
  <si>
    <t>fbaa.rsd</t>
  </si>
  <si>
    <t xml:space="preserve">egbn </t>
  </si>
  <si>
    <t xml:space="preserve">hded.rsd </t>
  </si>
  <si>
    <t xml:space="preserve">hdee.p </t>
  </si>
  <si>
    <t xml:space="preserve">hdef.rsd </t>
  </si>
  <si>
    <t xml:space="preserve">hdfa.p </t>
  </si>
  <si>
    <t xml:space="preserve">hdfb.rsd </t>
  </si>
  <si>
    <t xml:space="preserve">hdfc.p </t>
  </si>
  <si>
    <t>fcaa.rsd</t>
  </si>
  <si>
    <t xml:space="preserve">egbp </t>
  </si>
  <si>
    <t xml:space="preserve">hdfd.rsd </t>
  </si>
  <si>
    <t xml:space="preserve">hdfe.p </t>
  </si>
  <si>
    <t xml:space="preserve">hdff.rsd </t>
  </si>
  <si>
    <t xml:space="preserve">hdga.p </t>
  </si>
  <si>
    <t xml:space="preserve">hdgb.rsd </t>
  </si>
  <si>
    <t xml:space="preserve">hdgc.p </t>
  </si>
  <si>
    <t xml:space="preserve">hdgd.rsd </t>
  </si>
  <si>
    <t>fdaa.p</t>
  </si>
  <si>
    <t xml:space="preserve">egbq </t>
  </si>
  <si>
    <t xml:space="preserve">hdge.p </t>
  </si>
  <si>
    <t xml:space="preserve">hdgf.hrc </t>
  </si>
  <si>
    <t>utman_sk</t>
  </si>
  <si>
    <t xml:space="preserve">hdha.rsd </t>
  </si>
  <si>
    <t xml:space="preserve">hdhb.p </t>
  </si>
  <si>
    <t xml:space="preserve">hdhc.rsd </t>
  </si>
  <si>
    <t xml:space="preserve">hdhd.p </t>
  </si>
  <si>
    <t xml:space="preserve">hdhe.rsd </t>
  </si>
  <si>
    <t xml:space="preserve">hdhf.p </t>
  </si>
  <si>
    <t xml:space="preserve">hdia.tex </t>
  </si>
  <si>
    <t>feaa.rsd</t>
  </si>
  <si>
    <t xml:space="preserve">hdib.tex </t>
  </si>
  <si>
    <t xml:space="preserve">egbs </t>
  </si>
  <si>
    <t xml:space="preserve">hdic.tex </t>
  </si>
  <si>
    <t xml:space="preserve">hdid.rsd </t>
  </si>
  <si>
    <t xml:space="preserve">hdie.p </t>
  </si>
  <si>
    <t xml:space="preserve">hdif.rsd </t>
  </si>
  <si>
    <t>ffaa.rsd</t>
  </si>
  <si>
    <t xml:space="preserve">hdja.p </t>
  </si>
  <si>
    <t>Orange Bike: Body</t>
  </si>
  <si>
    <t xml:space="preserve">egbt </t>
  </si>
  <si>
    <t xml:space="preserve">hdjb.rsd </t>
  </si>
  <si>
    <t xml:space="preserve">hdjc.p </t>
  </si>
  <si>
    <t xml:space="preserve">hdjd.rsd </t>
  </si>
  <si>
    <t xml:space="preserve">hdje.p </t>
  </si>
  <si>
    <t xml:space="preserve">hdjf.rsd </t>
  </si>
  <si>
    <t xml:space="preserve">heaa.p </t>
  </si>
  <si>
    <t xml:space="preserve">heab.rsd </t>
  </si>
  <si>
    <t xml:space="preserve">heac.p </t>
  </si>
  <si>
    <t xml:space="preserve">head.rsd </t>
  </si>
  <si>
    <t xml:space="preserve">egbu </t>
  </si>
  <si>
    <t xml:space="preserve">heae.p </t>
  </si>
  <si>
    <t xml:space="preserve">heaf.rsd </t>
  </si>
  <si>
    <t xml:space="preserve">heba.p </t>
  </si>
  <si>
    <t>fgaa.a</t>
  </si>
  <si>
    <t xml:space="preserve">hebb.rsd </t>
  </si>
  <si>
    <t xml:space="preserve">hebc.p </t>
  </si>
  <si>
    <t>fhaa.a</t>
  </si>
  <si>
    <t xml:space="preserve">hebd.rsd </t>
  </si>
  <si>
    <t xml:space="preserve">hebe.p </t>
  </si>
  <si>
    <t xml:space="preserve">egbv </t>
  </si>
  <si>
    <t>fiaa.p</t>
  </si>
  <si>
    <t xml:space="preserve">hebf.rsd </t>
  </si>
  <si>
    <t xml:space="preserve">heca.p </t>
  </si>
  <si>
    <t xml:space="preserve">hecb.rsd </t>
  </si>
  <si>
    <t xml:space="preserve">hecc.p </t>
  </si>
  <si>
    <t xml:space="preserve">hecd.hrc </t>
  </si>
  <si>
    <t>utwom_sk</t>
  </si>
  <si>
    <t xml:space="preserve">hece.rsd </t>
  </si>
  <si>
    <t xml:space="preserve">hecf.p </t>
  </si>
  <si>
    <t xml:space="preserve">egbw </t>
  </si>
  <si>
    <t xml:space="preserve">heda.rsd </t>
  </si>
  <si>
    <t>fjaa.p</t>
  </si>
  <si>
    <t xml:space="preserve">hedb.p </t>
  </si>
  <si>
    <t xml:space="preserve">hedc.rsd </t>
  </si>
  <si>
    <t xml:space="preserve">hedd.p </t>
  </si>
  <si>
    <t xml:space="preserve">hede.tex </t>
  </si>
  <si>
    <t xml:space="preserve">hedf.tex </t>
  </si>
  <si>
    <t xml:space="preserve">heea.tex </t>
  </si>
  <si>
    <t xml:space="preserve">egbx </t>
  </si>
  <si>
    <t xml:space="preserve">heeb.rsd </t>
  </si>
  <si>
    <t xml:space="preserve">heec.p </t>
  </si>
  <si>
    <t>fkaa.p</t>
  </si>
  <si>
    <t xml:space="preserve">heed.rsd </t>
  </si>
  <si>
    <t xml:space="preserve">heee.p </t>
  </si>
  <si>
    <t xml:space="preserve">heef.rsd </t>
  </si>
  <si>
    <t xml:space="preserve">hefa.p </t>
  </si>
  <si>
    <t xml:space="preserve">hefb.rsd </t>
  </si>
  <si>
    <t xml:space="preserve">hefc.p </t>
  </si>
  <si>
    <t xml:space="preserve">egby </t>
  </si>
  <si>
    <t xml:space="preserve">hefd.rsd </t>
  </si>
  <si>
    <t xml:space="preserve">hefe.p </t>
  </si>
  <si>
    <t>flaa.p</t>
  </si>
  <si>
    <t xml:space="preserve">heff.rsd </t>
  </si>
  <si>
    <t xml:space="preserve">hega.p </t>
  </si>
  <si>
    <t xml:space="preserve">hegb.rsd </t>
  </si>
  <si>
    <t xml:space="preserve">hegc.p </t>
  </si>
  <si>
    <t xml:space="preserve">hegd.rsd </t>
  </si>
  <si>
    <t xml:space="preserve">hege.p </t>
  </si>
  <si>
    <t xml:space="preserve">egbz </t>
  </si>
  <si>
    <t xml:space="preserve">hegf.rsd </t>
  </si>
  <si>
    <t xml:space="preserve">heha.p </t>
  </si>
  <si>
    <t>fmaa.p</t>
  </si>
  <si>
    <t xml:space="preserve">hehb.rsd </t>
  </si>
  <si>
    <t xml:space="preserve">hehc.p </t>
  </si>
  <si>
    <t xml:space="preserve">hehd.rsd </t>
  </si>
  <si>
    <t xml:space="preserve">hehe.p </t>
  </si>
  <si>
    <t xml:space="preserve">hehf.rsd </t>
  </si>
  <si>
    <t xml:space="preserve">heia.p </t>
  </si>
  <si>
    <t xml:space="preserve">egda </t>
  </si>
  <si>
    <t xml:space="preserve">heib.hrc </t>
  </si>
  <si>
    <t>utwo2_sk</t>
  </si>
  <si>
    <t xml:space="preserve">heic.rsd </t>
  </si>
  <si>
    <t xml:space="preserve">heid.p </t>
  </si>
  <si>
    <t xml:space="preserve">ehaa </t>
  </si>
  <si>
    <t>fnaa.rsd</t>
  </si>
  <si>
    <t xml:space="preserve">heie.rsd </t>
  </si>
  <si>
    <t>Dyne: Battle Skeleton</t>
  </si>
  <si>
    <t xml:space="preserve">heif.p </t>
  </si>
  <si>
    <t xml:space="preserve">heja.rsd </t>
  </si>
  <si>
    <t xml:space="preserve">hejb.p </t>
  </si>
  <si>
    <t xml:space="preserve">hejc.tex </t>
  </si>
  <si>
    <t xml:space="preserve">hejd.tex </t>
  </si>
  <si>
    <t xml:space="preserve">heje.tex </t>
  </si>
  <si>
    <t xml:space="preserve">hejf.rsd </t>
  </si>
  <si>
    <t>foaa.rsd</t>
  </si>
  <si>
    <t xml:space="preserve">hfaa.p </t>
  </si>
  <si>
    <t xml:space="preserve">ehab </t>
  </si>
  <si>
    <t xml:space="preserve">hfab.rsd </t>
  </si>
  <si>
    <t>Dyne: Unidentified Part</t>
  </si>
  <si>
    <t xml:space="preserve">hfac.p </t>
  </si>
  <si>
    <t xml:space="preserve">hfad.rsd </t>
  </si>
  <si>
    <t xml:space="preserve">ehac </t>
  </si>
  <si>
    <t xml:space="preserve">hfae.p </t>
  </si>
  <si>
    <t xml:space="preserve">hfaf.rsd </t>
  </si>
  <si>
    <t xml:space="preserve">hfba.p </t>
  </si>
  <si>
    <t xml:space="preserve">hfbb.rsd </t>
  </si>
  <si>
    <t>fpaa.tex</t>
  </si>
  <si>
    <t xml:space="preserve">hfbc.p </t>
  </si>
  <si>
    <t xml:space="preserve">hfbd.rsd </t>
  </si>
  <si>
    <t xml:space="preserve">hfbe.p </t>
  </si>
  <si>
    <t xml:space="preserve">hfbf.rsd </t>
  </si>
  <si>
    <t xml:space="preserve">eham </t>
  </si>
  <si>
    <t xml:space="preserve">hfca.p </t>
  </si>
  <si>
    <t xml:space="preserve">hfcb.rsd </t>
  </si>
  <si>
    <t xml:space="preserve">hfcc.p </t>
  </si>
  <si>
    <t>fqaa.p</t>
  </si>
  <si>
    <t xml:space="preserve">hfcd.rsd </t>
  </si>
  <si>
    <t xml:space="preserve">hfce.p </t>
  </si>
  <si>
    <t xml:space="preserve">hfcf.rsd </t>
  </si>
  <si>
    <t xml:space="preserve">hfda.p </t>
  </si>
  <si>
    <t xml:space="preserve">hfdb.rsd </t>
  </si>
  <si>
    <t xml:space="preserve">hfdc.p </t>
  </si>
  <si>
    <t xml:space="preserve">hfdd.rsd </t>
  </si>
  <si>
    <t xml:space="preserve">ehan </t>
  </si>
  <si>
    <t xml:space="preserve">hfde.p </t>
  </si>
  <si>
    <t xml:space="preserve">hfdf.a </t>
  </si>
  <si>
    <t>fraa.p</t>
  </si>
  <si>
    <t xml:space="preserve">hfea.a </t>
  </si>
  <si>
    <t xml:space="preserve">hfeb.a </t>
  </si>
  <si>
    <t xml:space="preserve">hfec.a </t>
  </si>
  <si>
    <t xml:space="preserve">hfed.a </t>
  </si>
  <si>
    <t xml:space="preserve">hfee.a </t>
  </si>
  <si>
    <t xml:space="preserve">hfef.a </t>
  </si>
  <si>
    <t xml:space="preserve">hffa.a </t>
  </si>
  <si>
    <t xml:space="preserve">hffb.hrc </t>
  </si>
  <si>
    <t>utma2_sk</t>
  </si>
  <si>
    <t xml:space="preserve">hffc.rsd </t>
  </si>
  <si>
    <t xml:space="preserve">ehap </t>
  </si>
  <si>
    <t xml:space="preserve">hffd.p </t>
  </si>
  <si>
    <t>fsaa.p</t>
  </si>
  <si>
    <t xml:space="preserve">hffe.rsd </t>
  </si>
  <si>
    <t xml:space="preserve">hfff.p </t>
  </si>
  <si>
    <t xml:space="preserve">hfga.rsd </t>
  </si>
  <si>
    <t xml:space="preserve">hfgb.p </t>
  </si>
  <si>
    <t xml:space="preserve">hfgc.tex </t>
  </si>
  <si>
    <t xml:space="preserve">hfgd.tex </t>
  </si>
  <si>
    <t xml:space="preserve">ehar </t>
  </si>
  <si>
    <t>ftaa.p</t>
  </si>
  <si>
    <t xml:space="preserve">hfge.tex </t>
  </si>
  <si>
    <t xml:space="preserve">hfgf.rsd </t>
  </si>
  <si>
    <t xml:space="preserve">hfha.p </t>
  </si>
  <si>
    <t xml:space="preserve">hfhb.rsd </t>
  </si>
  <si>
    <t xml:space="preserve">hfhc.p </t>
  </si>
  <si>
    <t xml:space="preserve">hfhd.rsd </t>
  </si>
  <si>
    <t xml:space="preserve">ehas </t>
  </si>
  <si>
    <t>fuaa.tex</t>
  </si>
  <si>
    <t>736 Bytes</t>
  </si>
  <si>
    <t xml:space="preserve">hfhe.p </t>
  </si>
  <si>
    <t xml:space="preserve">hfhf.rsd </t>
  </si>
  <si>
    <t xml:space="preserve">hfia.p </t>
  </si>
  <si>
    <t xml:space="preserve">hfib.rsd </t>
  </si>
  <si>
    <t xml:space="preserve">hfic.p </t>
  </si>
  <si>
    <t xml:space="preserve">hfid.rsd </t>
  </si>
  <si>
    <t xml:space="preserve">hfie.p </t>
  </si>
  <si>
    <t xml:space="preserve">hfif.rsd </t>
  </si>
  <si>
    <t>gaaa.p</t>
  </si>
  <si>
    <t xml:space="preserve">ehat </t>
  </si>
  <si>
    <t>696 Bytes</t>
  </si>
  <si>
    <t xml:space="preserve">hfja.p </t>
  </si>
  <si>
    <t xml:space="preserve">hfjb.rsd </t>
  </si>
  <si>
    <t xml:space="preserve">hfjc.p </t>
  </si>
  <si>
    <t xml:space="preserve">hfjd.rsd </t>
  </si>
  <si>
    <t xml:space="preserve">hfje.p </t>
  </si>
  <si>
    <t xml:space="preserve">hfjf.rsd </t>
  </si>
  <si>
    <t xml:space="preserve">hgaa.p </t>
  </si>
  <si>
    <t xml:space="preserve">ehau </t>
  </si>
  <si>
    <t xml:space="preserve">hgab.rsd </t>
  </si>
  <si>
    <t>gbaa.p</t>
  </si>
  <si>
    <t xml:space="preserve">hgac.p </t>
  </si>
  <si>
    <t xml:space="preserve">hgad.rsd </t>
  </si>
  <si>
    <t xml:space="preserve">hgae.p </t>
  </si>
  <si>
    <t xml:space="preserve">hgaf.hrc </t>
  </si>
  <si>
    <t xml:space="preserve">hgba.rsd </t>
  </si>
  <si>
    <t xml:space="preserve">hgbb.p </t>
  </si>
  <si>
    <t xml:space="preserve">hgbc.rsd </t>
  </si>
  <si>
    <t xml:space="preserve">hgbd.p </t>
  </si>
  <si>
    <t>gcaa.p</t>
  </si>
  <si>
    <t xml:space="preserve">hgbe.rsd </t>
  </si>
  <si>
    <t xml:space="preserve">hgbf.p </t>
  </si>
  <si>
    <t xml:space="preserve">ehax </t>
  </si>
  <si>
    <t xml:space="preserve">hgca.tex </t>
  </si>
  <si>
    <t xml:space="preserve">hgcb.tex </t>
  </si>
  <si>
    <t xml:space="preserve">hgcc.tex </t>
  </si>
  <si>
    <t xml:space="preserve">hgcd.rsd </t>
  </si>
  <si>
    <t xml:space="preserve">hgce.p </t>
  </si>
  <si>
    <t xml:space="preserve">hgcf.rsd </t>
  </si>
  <si>
    <t>gdaa.rsd</t>
  </si>
  <si>
    <t xml:space="preserve">hgda.p </t>
  </si>
  <si>
    <t xml:space="preserve">hgdb.rsd </t>
  </si>
  <si>
    <t xml:space="preserve">ehay </t>
  </si>
  <si>
    <t xml:space="preserve">hgdc.p </t>
  </si>
  <si>
    <t>9.4 K</t>
  </si>
  <si>
    <t xml:space="preserve">hgdd.rsd </t>
  </si>
  <si>
    <t xml:space="preserve">hgde.p </t>
  </si>
  <si>
    <t xml:space="preserve">hgdf.rsd </t>
  </si>
  <si>
    <t xml:space="preserve">hgea.p </t>
  </si>
  <si>
    <t xml:space="preserve">hgeb.rsd </t>
  </si>
  <si>
    <t>geaa.p</t>
  </si>
  <si>
    <t xml:space="preserve">hgec.p </t>
  </si>
  <si>
    <t xml:space="preserve">hged.rsd </t>
  </si>
  <si>
    <t xml:space="preserve">ehbc </t>
  </si>
  <si>
    <t xml:space="preserve">hgee.p </t>
  </si>
  <si>
    <t xml:space="preserve">hgef.rsd </t>
  </si>
  <si>
    <t xml:space="preserve">hgfa.p </t>
  </si>
  <si>
    <t xml:space="preserve">hgfb.rsd </t>
  </si>
  <si>
    <t xml:space="preserve">hgfc.p </t>
  </si>
  <si>
    <t xml:space="preserve">hgfd.rsd </t>
  </si>
  <si>
    <t>gfaa.p</t>
  </si>
  <si>
    <t xml:space="preserve">hgfe.p </t>
  </si>
  <si>
    <t xml:space="preserve">hgff.rsd </t>
  </si>
  <si>
    <t xml:space="preserve">ehbd </t>
  </si>
  <si>
    <t xml:space="preserve">hgga.p </t>
  </si>
  <si>
    <t xml:space="preserve">hggb.rsd </t>
  </si>
  <si>
    <t xml:space="preserve">hggc.p </t>
  </si>
  <si>
    <t xml:space="preserve">hggd.a </t>
  </si>
  <si>
    <t xml:space="preserve">hgge.a </t>
  </si>
  <si>
    <t xml:space="preserve">hggf.a </t>
  </si>
  <si>
    <t xml:space="preserve">hgha.a </t>
  </si>
  <si>
    <t>ggaa.a</t>
  </si>
  <si>
    <t xml:space="preserve">hghb.a </t>
  </si>
  <si>
    <t xml:space="preserve">hghc.a </t>
  </si>
  <si>
    <t>ghaa.a</t>
  </si>
  <si>
    <t xml:space="preserve">hghd.a </t>
  </si>
  <si>
    <t xml:space="preserve">ehbe </t>
  </si>
  <si>
    <t xml:space="preserve">hghe.a </t>
  </si>
  <si>
    <t>giaa.rsd</t>
  </si>
  <si>
    <t xml:space="preserve">hghf.a </t>
  </si>
  <si>
    <t xml:space="preserve">hgia.hrc </t>
  </si>
  <si>
    <t>ori_sk</t>
  </si>
  <si>
    <t xml:space="preserve">hgib.rsd </t>
  </si>
  <si>
    <t xml:space="preserve">hgic.p </t>
  </si>
  <si>
    <t xml:space="preserve">hgid.rsd </t>
  </si>
  <si>
    <t xml:space="preserve">hgie.p </t>
  </si>
  <si>
    <t xml:space="preserve">hgif.a </t>
  </si>
  <si>
    <t>gjaa.rsd</t>
  </si>
  <si>
    <t xml:space="preserve">ehbg </t>
  </si>
  <si>
    <t xml:space="preserve">hgja.a </t>
  </si>
  <si>
    <t xml:space="preserve">hgjb.a </t>
  </si>
  <si>
    <t xml:space="preserve">hgjc.a </t>
  </si>
  <si>
    <t xml:space="preserve">hgjd.hrc </t>
  </si>
  <si>
    <t>godoo_sk</t>
  </si>
  <si>
    <t xml:space="preserve">hgje.rsd </t>
  </si>
  <si>
    <t>gkaa.rsd</t>
  </si>
  <si>
    <t xml:space="preserve">hgjf.p </t>
  </si>
  <si>
    <t xml:space="preserve">hhaa.rsd </t>
  </si>
  <si>
    <t xml:space="preserve">hhab.p </t>
  </si>
  <si>
    <t xml:space="preserve">hhac.rsd </t>
  </si>
  <si>
    <t xml:space="preserve">hhad.p </t>
  </si>
  <si>
    <t xml:space="preserve">hhae.rsd </t>
  </si>
  <si>
    <t>glaa.rsd</t>
  </si>
  <si>
    <t xml:space="preserve">hhaf.p </t>
  </si>
  <si>
    <t xml:space="preserve">hhba.rsd </t>
  </si>
  <si>
    <t xml:space="preserve">hhbb.p </t>
  </si>
  <si>
    <t xml:space="preserve">hhbc.rsd </t>
  </si>
  <si>
    <t xml:space="preserve">ehbh </t>
  </si>
  <si>
    <t xml:space="preserve">hhbd.p </t>
  </si>
  <si>
    <t xml:space="preserve">hhbe.rsd </t>
  </si>
  <si>
    <t>gmaa.rsd</t>
  </si>
  <si>
    <t xml:space="preserve">hhbf.p </t>
  </si>
  <si>
    <t xml:space="preserve">hhca.rsd </t>
  </si>
  <si>
    <t xml:space="preserve">hhcb.p </t>
  </si>
  <si>
    <t xml:space="preserve">hhcc.rsd </t>
  </si>
  <si>
    <t xml:space="preserve">hhcd.p </t>
  </si>
  <si>
    <t>gnaa.p</t>
  </si>
  <si>
    <t xml:space="preserve">hhce.rsd </t>
  </si>
  <si>
    <t xml:space="preserve">ehbi </t>
  </si>
  <si>
    <t xml:space="preserve">hhcf.p </t>
  </si>
  <si>
    <t xml:space="preserve">hhda.rsd </t>
  </si>
  <si>
    <t xml:space="preserve">hhdb.p </t>
  </si>
  <si>
    <t xml:space="preserve">hhdc.rsd </t>
  </si>
  <si>
    <t>goaa.p</t>
  </si>
  <si>
    <t xml:space="preserve">hhdd.p </t>
  </si>
  <si>
    <t xml:space="preserve">hhde.rsd </t>
  </si>
  <si>
    <t xml:space="preserve">hhdf.p </t>
  </si>
  <si>
    <t xml:space="preserve">hhea.rsd </t>
  </si>
  <si>
    <t xml:space="preserve">hheb.p </t>
  </si>
  <si>
    <t xml:space="preserve">hhec.rsd </t>
  </si>
  <si>
    <t xml:space="preserve">ehbk </t>
  </si>
  <si>
    <t xml:space="preserve">hhed.p </t>
  </si>
  <si>
    <t>gpaa.rsd</t>
  </si>
  <si>
    <t xml:space="preserve">hhee.a </t>
  </si>
  <si>
    <t xml:space="preserve">hhef.a </t>
  </si>
  <si>
    <t xml:space="preserve">hhfa.a </t>
  </si>
  <si>
    <t xml:space="preserve">hhfb.a </t>
  </si>
  <si>
    <t xml:space="preserve">hhfc.a </t>
  </si>
  <si>
    <t xml:space="preserve">hhfd.a </t>
  </si>
  <si>
    <t xml:space="preserve">hhfe.a </t>
  </si>
  <si>
    <t>gqaa.rsd</t>
  </si>
  <si>
    <t xml:space="preserve">hhff.a </t>
  </si>
  <si>
    <t xml:space="preserve">ehbl </t>
  </si>
  <si>
    <t xml:space="preserve">hhga.a </t>
  </si>
  <si>
    <t xml:space="preserve">hhgb.a </t>
  </si>
  <si>
    <t xml:space="preserve">hhgc.a </t>
  </si>
  <si>
    <t xml:space="preserve">hhgd.a </t>
  </si>
  <si>
    <t xml:space="preserve">hhge.hrc </t>
  </si>
  <si>
    <t>husuma1l_sk</t>
  </si>
  <si>
    <t xml:space="preserve">hhgf.rsd </t>
  </si>
  <si>
    <t>graa.rsd</t>
  </si>
  <si>
    <t xml:space="preserve">hhha.p </t>
  </si>
  <si>
    <t xml:space="preserve">hhhb.tex </t>
  </si>
  <si>
    <t xml:space="preserve">hhhc.a </t>
  </si>
  <si>
    <t xml:space="preserve">hhhd.hrc </t>
  </si>
  <si>
    <t>husuma1r_sk</t>
  </si>
  <si>
    <t xml:space="preserve">hhhe.rsd </t>
  </si>
  <si>
    <t xml:space="preserve">hhhf.p </t>
  </si>
  <si>
    <t>gsaa.rsd</t>
  </si>
  <si>
    <t xml:space="preserve">hhia.tex </t>
  </si>
  <si>
    <t xml:space="preserve">hhib.a </t>
  </si>
  <si>
    <t xml:space="preserve">hhic.hrc </t>
  </si>
  <si>
    <t>rolldr_sk</t>
  </si>
  <si>
    <t xml:space="preserve">ehbm </t>
  </si>
  <si>
    <t xml:space="preserve">hhid.rsd </t>
  </si>
  <si>
    <t xml:space="preserve">hhie.p </t>
  </si>
  <si>
    <t xml:space="preserve">hhif.a </t>
  </si>
  <si>
    <t>gtaa.rsd</t>
  </si>
  <si>
    <t xml:space="preserve">hhja.a </t>
  </si>
  <si>
    <t xml:space="preserve">hhjb.a </t>
  </si>
  <si>
    <t xml:space="preserve">hhjc.a </t>
  </si>
  <si>
    <t xml:space="preserve">hhjd.a </t>
  </si>
  <si>
    <t xml:space="preserve">hhje.a </t>
  </si>
  <si>
    <t xml:space="preserve">hhjf.hrc </t>
  </si>
  <si>
    <t>shinobi_sk</t>
  </si>
  <si>
    <t xml:space="preserve">hiaa.rsd </t>
  </si>
  <si>
    <t>guaa.tex</t>
  </si>
  <si>
    <t>"READY"</t>
  </si>
  <si>
    <t xml:space="preserve">hiab.p </t>
  </si>
  <si>
    <t xml:space="preserve">ehda </t>
  </si>
  <si>
    <t xml:space="preserve">hiac.rsd </t>
  </si>
  <si>
    <t xml:space="preserve">hiad.p </t>
  </si>
  <si>
    <t xml:space="preserve">hiae.rsd </t>
  </si>
  <si>
    <t xml:space="preserve">hiaf.p </t>
  </si>
  <si>
    <t xml:space="preserve">hiba.tex </t>
  </si>
  <si>
    <t xml:space="preserve">hibb.rsd </t>
  </si>
  <si>
    <t xml:space="preserve">hibc.p </t>
  </si>
  <si>
    <t xml:space="preserve">hibd.rsd </t>
  </si>
  <si>
    <t xml:space="preserve">eiaa </t>
  </si>
  <si>
    <t xml:space="preserve">hibe.p </t>
  </si>
  <si>
    <t>Bullmotor: Battle Skeleton</t>
  </si>
  <si>
    <t xml:space="preserve">hibf.rsd </t>
  </si>
  <si>
    <t xml:space="preserve">hica.p </t>
  </si>
  <si>
    <t xml:space="preserve">hicb.rsd </t>
  </si>
  <si>
    <t xml:space="preserve">hicc.p </t>
  </si>
  <si>
    <t xml:space="preserve">hicd.rsd </t>
  </si>
  <si>
    <t xml:space="preserve">hice.p </t>
  </si>
  <si>
    <t xml:space="preserve">hicf.rsd </t>
  </si>
  <si>
    <t xml:space="preserve">hida.p </t>
  </si>
  <si>
    <t xml:space="preserve">hidb.rsd </t>
  </si>
  <si>
    <t xml:space="preserve">hidc.p </t>
  </si>
  <si>
    <t>haaa.rsd</t>
  </si>
  <si>
    <t xml:space="preserve">hidd.rsd </t>
  </si>
  <si>
    <t>Bullmotor clone 1 (efaa)</t>
  </si>
  <si>
    <t xml:space="preserve">hide.p </t>
  </si>
  <si>
    <t xml:space="preserve">hidf.rsd </t>
  </si>
  <si>
    <t xml:space="preserve">eiab </t>
  </si>
  <si>
    <t xml:space="preserve">hiea.p </t>
  </si>
  <si>
    <t xml:space="preserve">hieb.rsd </t>
  </si>
  <si>
    <t xml:space="preserve">hiec.p </t>
  </si>
  <si>
    <t xml:space="preserve">hied.rsd </t>
  </si>
  <si>
    <t xml:space="preserve">eian </t>
  </si>
  <si>
    <t xml:space="preserve">hiee.p </t>
  </si>
  <si>
    <t xml:space="preserve">hief.rsd </t>
  </si>
  <si>
    <t xml:space="preserve">hifa.p </t>
  </si>
  <si>
    <t xml:space="preserve">hifb.a </t>
  </si>
  <si>
    <t xml:space="preserve">hifc.a </t>
  </si>
  <si>
    <t>hbaa.rsd</t>
  </si>
  <si>
    <t xml:space="preserve">hifd.a </t>
  </si>
  <si>
    <t xml:space="preserve">hife.a </t>
  </si>
  <si>
    <t xml:space="preserve">hiff.a </t>
  </si>
  <si>
    <t xml:space="preserve">higa.a </t>
  </si>
  <si>
    <t xml:space="preserve">higb.a </t>
  </si>
  <si>
    <t xml:space="preserve">higc.a </t>
  </si>
  <si>
    <t xml:space="preserve">higd.a </t>
  </si>
  <si>
    <t xml:space="preserve">eiap </t>
  </si>
  <si>
    <t xml:space="preserve">hige.a </t>
  </si>
  <si>
    <t xml:space="preserve">higf.a </t>
  </si>
  <si>
    <t xml:space="preserve">hiha.a </t>
  </si>
  <si>
    <t xml:space="preserve">hihb.a </t>
  </si>
  <si>
    <t>hcaa.rsd</t>
  </si>
  <si>
    <t xml:space="preserve">hihc.a </t>
  </si>
  <si>
    <t xml:space="preserve">hihd.a </t>
  </si>
  <si>
    <t xml:space="preserve">hihe.a </t>
  </si>
  <si>
    <t xml:space="preserve">hihf.a </t>
  </si>
  <si>
    <t xml:space="preserve">hiia.a </t>
  </si>
  <si>
    <t xml:space="preserve">hiib.a </t>
  </si>
  <si>
    <t xml:space="preserve">hiic.a </t>
  </si>
  <si>
    <t xml:space="preserve">hiid.a </t>
  </si>
  <si>
    <t xml:space="preserve">hiie.a </t>
  </si>
  <si>
    <t xml:space="preserve">hiif.a </t>
  </si>
  <si>
    <t>hdaa.p</t>
  </si>
  <si>
    <t xml:space="preserve">eiaq </t>
  </si>
  <si>
    <t xml:space="preserve">hija.a </t>
  </si>
  <si>
    <t xml:space="preserve">hijb.a </t>
  </si>
  <si>
    <t xml:space="preserve">hijc.a </t>
  </si>
  <si>
    <t xml:space="preserve">hijd.a </t>
  </si>
  <si>
    <t xml:space="preserve">hije.a </t>
  </si>
  <si>
    <t xml:space="preserve">hijf.a </t>
  </si>
  <si>
    <t xml:space="preserve">hjaa.a </t>
  </si>
  <si>
    <t xml:space="preserve">hjab.a </t>
  </si>
  <si>
    <t xml:space="preserve">hjac.a </t>
  </si>
  <si>
    <t>heaa.rsd</t>
  </si>
  <si>
    <t xml:space="preserve">hjad.a </t>
  </si>
  <si>
    <t xml:space="preserve">hjae.a </t>
  </si>
  <si>
    <t xml:space="preserve">eias </t>
  </si>
  <si>
    <t xml:space="preserve">hjaf.a </t>
  </si>
  <si>
    <t xml:space="preserve">hjba.a </t>
  </si>
  <si>
    <t xml:space="preserve">hjbb.a </t>
  </si>
  <si>
    <t xml:space="preserve">hjbc.a </t>
  </si>
  <si>
    <t xml:space="preserve">hjbd.a </t>
  </si>
  <si>
    <t xml:space="preserve">hjbe.a </t>
  </si>
  <si>
    <t xml:space="preserve">hjbf.a </t>
  </si>
  <si>
    <t xml:space="preserve">hjca.a </t>
  </si>
  <si>
    <t xml:space="preserve">hjcb.a </t>
  </si>
  <si>
    <t xml:space="preserve">hjcc.a </t>
  </si>
  <si>
    <t>hfaa.rsd</t>
  </si>
  <si>
    <t xml:space="preserve">hjcd.a </t>
  </si>
  <si>
    <t xml:space="preserve">hjce.a </t>
  </si>
  <si>
    <t xml:space="preserve">hjcf.a </t>
  </si>
  <si>
    <t xml:space="preserve">eiau </t>
  </si>
  <si>
    <t xml:space="preserve">hjda.a </t>
  </si>
  <si>
    <t xml:space="preserve">hjdb.a </t>
  </si>
  <si>
    <t xml:space="preserve">hjdc.hrc </t>
  </si>
  <si>
    <t>kuromtra_sk</t>
  </si>
  <si>
    <t xml:space="preserve">hjdd.rsd </t>
  </si>
  <si>
    <t xml:space="preserve">hjde.p </t>
  </si>
  <si>
    <t xml:space="preserve">hjdf.a </t>
  </si>
  <si>
    <t xml:space="preserve">hjea.a </t>
  </si>
  <si>
    <t xml:space="preserve">hjeb.a </t>
  </si>
  <si>
    <t xml:space="preserve">hjec.a </t>
  </si>
  <si>
    <t xml:space="preserve">hjed.a </t>
  </si>
  <si>
    <t>hgaa.a</t>
  </si>
  <si>
    <t xml:space="preserve">eiaw </t>
  </si>
  <si>
    <t xml:space="preserve">hjee.a </t>
  </si>
  <si>
    <t xml:space="preserve">hjef.a </t>
  </si>
  <si>
    <t xml:space="preserve">hjfa.a </t>
  </si>
  <si>
    <t xml:space="preserve">hjfb.a </t>
  </si>
  <si>
    <t>hhaa.a</t>
  </si>
  <si>
    <t xml:space="preserve">hjfc.a </t>
  </si>
  <si>
    <t xml:space="preserve">hjfd.a </t>
  </si>
  <si>
    <t xml:space="preserve">hjfe.a </t>
  </si>
  <si>
    <t>hiaa.p</t>
  </si>
  <si>
    <t xml:space="preserve">hjff.a </t>
  </si>
  <si>
    <t xml:space="preserve">hjga.hrc </t>
  </si>
  <si>
    <t>trbox_k_sk</t>
  </si>
  <si>
    <t xml:space="preserve">hjgb.rsd </t>
  </si>
  <si>
    <t xml:space="preserve">eiay </t>
  </si>
  <si>
    <t xml:space="preserve">hjgc.p </t>
  </si>
  <si>
    <t xml:space="preserve">hjgd.tex </t>
  </si>
  <si>
    <t xml:space="preserve">hjge.rsd </t>
  </si>
  <si>
    <t xml:space="preserve">hjgf.p </t>
  </si>
  <si>
    <t xml:space="preserve">hjha.tex </t>
  </si>
  <si>
    <t xml:space="preserve">hjhb.a </t>
  </si>
  <si>
    <t xml:space="preserve">hjhc.a </t>
  </si>
  <si>
    <t>hjaa.p</t>
  </si>
  <si>
    <t xml:space="preserve">hjhd.a </t>
  </si>
  <si>
    <t xml:space="preserve">hjhe.a </t>
  </si>
  <si>
    <t xml:space="preserve">eiba </t>
  </si>
  <si>
    <t xml:space="preserve">hjhf.hrc </t>
  </si>
  <si>
    <t>rollobj_sk</t>
  </si>
  <si>
    <t xml:space="preserve">hjia.rsd </t>
  </si>
  <si>
    <t xml:space="preserve">hjib.p </t>
  </si>
  <si>
    <t xml:space="preserve">hjic.tex </t>
  </si>
  <si>
    <t xml:space="preserve">hjid.a </t>
  </si>
  <si>
    <t>hkaa.p</t>
  </si>
  <si>
    <t xml:space="preserve">hjie.hrc </t>
  </si>
  <si>
    <t>line_a_sk</t>
  </si>
  <si>
    <t xml:space="preserve">hjif.rsd </t>
  </si>
  <si>
    <t xml:space="preserve">eida </t>
  </si>
  <si>
    <t xml:space="preserve">hjja.p </t>
  </si>
  <si>
    <t xml:space="preserve">hjjb.tex </t>
  </si>
  <si>
    <t xml:space="preserve">ejaa </t>
  </si>
  <si>
    <t xml:space="preserve">hjjc.a </t>
  </si>
  <si>
    <t>Spencer: Battle Skeleton</t>
  </si>
  <si>
    <t xml:space="preserve">hjjd.hrc </t>
  </si>
  <si>
    <t>hlaa.p</t>
  </si>
  <si>
    <t>line_b_sk</t>
  </si>
  <si>
    <t xml:space="preserve">hjje.rsd </t>
  </si>
  <si>
    <t xml:space="preserve">hjjf.p </t>
  </si>
  <si>
    <t xml:space="preserve">hkaa.tex </t>
  </si>
  <si>
    <t xml:space="preserve">hkab.a </t>
  </si>
  <si>
    <t xml:space="preserve">hkac.hrc </t>
  </si>
  <si>
    <t xml:space="preserve">ejab </t>
  </si>
  <si>
    <t>line_c_sk</t>
  </si>
  <si>
    <t xml:space="preserve">hkad.rsd </t>
  </si>
  <si>
    <t>Spencer: Unidentified Part</t>
  </si>
  <si>
    <t>hmaa.p</t>
  </si>
  <si>
    <t xml:space="preserve">hkae.p </t>
  </si>
  <si>
    <t xml:space="preserve">hkaf.tex </t>
  </si>
  <si>
    <t xml:space="preserve">ejac </t>
  </si>
  <si>
    <t xml:space="preserve">hkba.a </t>
  </si>
  <si>
    <t xml:space="preserve">hkbb.hrc </t>
  </si>
  <si>
    <t>kabe_sk</t>
  </si>
  <si>
    <t xml:space="preserve">hkbc.rsd </t>
  </si>
  <si>
    <t xml:space="preserve">hkbd.p </t>
  </si>
  <si>
    <t xml:space="preserve">hkbe.tex </t>
  </si>
  <si>
    <t>hnaa.rsd</t>
  </si>
  <si>
    <t xml:space="preserve">hkbf.rsd </t>
  </si>
  <si>
    <t xml:space="preserve">hkca.p </t>
  </si>
  <si>
    <t xml:space="preserve">ejad </t>
  </si>
  <si>
    <t xml:space="preserve">hkcb.tex </t>
  </si>
  <si>
    <t xml:space="preserve">hkcc.rsd </t>
  </si>
  <si>
    <t xml:space="preserve">hkcd.p </t>
  </si>
  <si>
    <t xml:space="preserve">hkce.tex </t>
  </si>
  <si>
    <t xml:space="preserve">hkcf.rsd </t>
  </si>
  <si>
    <t>hoaa.rsd</t>
  </si>
  <si>
    <t xml:space="preserve">hkda.p </t>
  </si>
  <si>
    <t xml:space="preserve">hkdb.tex </t>
  </si>
  <si>
    <t xml:space="preserve">ejae </t>
  </si>
  <si>
    <t xml:space="preserve">hkdc.rsd </t>
  </si>
  <si>
    <t xml:space="preserve">hkdd.p </t>
  </si>
  <si>
    <t xml:space="preserve">hkde.tex </t>
  </si>
  <si>
    <t xml:space="preserve">hkdf.a </t>
  </si>
  <si>
    <t xml:space="preserve">hkea.hrc </t>
  </si>
  <si>
    <t>hpaa.p</t>
  </si>
  <si>
    <t>kao_sk</t>
  </si>
  <si>
    <t xml:space="preserve">hkeb.rsd </t>
  </si>
  <si>
    <t xml:space="preserve">hkec.p </t>
  </si>
  <si>
    <t xml:space="preserve">ejam </t>
  </si>
  <si>
    <t xml:space="preserve">hked.tex </t>
  </si>
  <si>
    <t xml:space="preserve">hkee.rsd </t>
  </si>
  <si>
    <t xml:space="preserve">hkef.p </t>
  </si>
  <si>
    <t xml:space="preserve">hkfa.tex </t>
  </si>
  <si>
    <t>hqaa.p</t>
  </si>
  <si>
    <t xml:space="preserve">hkfb.rsd </t>
  </si>
  <si>
    <t xml:space="preserve">hkfc.p </t>
  </si>
  <si>
    <t xml:space="preserve">hkfd.tex </t>
  </si>
  <si>
    <t xml:space="preserve">ejan </t>
  </si>
  <si>
    <t xml:space="preserve">hkfe.a </t>
  </si>
  <si>
    <t xml:space="preserve">hkff.a </t>
  </si>
  <si>
    <t xml:space="preserve">hkga.a </t>
  </si>
  <si>
    <t xml:space="preserve">hkgb.a </t>
  </si>
  <si>
    <t>hraa.p</t>
  </si>
  <si>
    <t xml:space="preserve">hkgc.a </t>
  </si>
  <si>
    <t xml:space="preserve">hkgd.a </t>
  </si>
  <si>
    <t xml:space="preserve">hkge.a </t>
  </si>
  <si>
    <t xml:space="preserve">ejao </t>
  </si>
  <si>
    <t xml:space="preserve">hkgf.a </t>
  </si>
  <si>
    <t xml:space="preserve">hkha.a </t>
  </si>
  <si>
    <t xml:space="preserve">hkhb.hrc </t>
  </si>
  <si>
    <t>jtmpobj_sk</t>
  </si>
  <si>
    <t xml:space="preserve">hkhc.rsd </t>
  </si>
  <si>
    <t>hsaa.p</t>
  </si>
  <si>
    <t xml:space="preserve">hkhd.p </t>
  </si>
  <si>
    <t xml:space="preserve">hkhe.a </t>
  </si>
  <si>
    <t xml:space="preserve">hkhf.a </t>
  </si>
  <si>
    <t xml:space="preserve">hkia.a </t>
  </si>
  <si>
    <t xml:space="preserve">ejap </t>
  </si>
  <si>
    <t xml:space="preserve">hkib.a </t>
  </si>
  <si>
    <t xml:space="preserve">hkic.a </t>
  </si>
  <si>
    <t xml:space="preserve">hkid.a </t>
  </si>
  <si>
    <t xml:space="preserve">hkie.a </t>
  </si>
  <si>
    <t xml:space="preserve">hkif.a </t>
  </si>
  <si>
    <t>htaa.p</t>
  </si>
  <si>
    <t xml:space="preserve">hkja.a </t>
  </si>
  <si>
    <t xml:space="preserve">ejaq </t>
  </si>
  <si>
    <t xml:space="preserve">hkjb.a </t>
  </si>
  <si>
    <t xml:space="preserve">hkjc.hrc </t>
  </si>
  <si>
    <t>demon_sk</t>
  </si>
  <si>
    <t xml:space="preserve">hkjd.rsd </t>
  </si>
  <si>
    <t xml:space="preserve">hkje.p </t>
  </si>
  <si>
    <t xml:space="preserve">hkjf.rsd </t>
  </si>
  <si>
    <t xml:space="preserve">hlaa.p </t>
  </si>
  <si>
    <t xml:space="preserve">hlab.rsd </t>
  </si>
  <si>
    <t xml:space="preserve">ejas </t>
  </si>
  <si>
    <t xml:space="preserve">hlac.p </t>
  </si>
  <si>
    <t xml:space="preserve">hlad.rsd </t>
  </si>
  <si>
    <t>huaa.tex</t>
  </si>
  <si>
    <t xml:space="preserve">hlae.p </t>
  </si>
  <si>
    <t>"Go!"</t>
  </si>
  <si>
    <t xml:space="preserve">hlaf.rsd </t>
  </si>
  <si>
    <t xml:space="preserve">ejau </t>
  </si>
  <si>
    <t xml:space="preserve">hlba.p </t>
  </si>
  <si>
    <t xml:space="preserve">hlbb.rsd </t>
  </si>
  <si>
    <t xml:space="preserve">hlbc.p </t>
  </si>
  <si>
    <t xml:space="preserve">hlbd.rsd </t>
  </si>
  <si>
    <t xml:space="preserve">ejav </t>
  </si>
  <si>
    <t xml:space="preserve">hlbe.p </t>
  </si>
  <si>
    <t xml:space="preserve">hlbf.rsd </t>
  </si>
  <si>
    <t xml:space="preserve">hlca.p </t>
  </si>
  <si>
    <t xml:space="preserve">hlcb.rsd </t>
  </si>
  <si>
    <t xml:space="preserve">.hlcc.p </t>
  </si>
  <si>
    <t xml:space="preserve">hlcd.rsd </t>
  </si>
  <si>
    <t xml:space="preserve">hlce.p </t>
  </si>
  <si>
    <t xml:space="preserve">hlcf.rsd </t>
  </si>
  <si>
    <t xml:space="preserve">hlda.p </t>
  </si>
  <si>
    <t xml:space="preserve">hldb.rsd </t>
  </si>
  <si>
    <t xml:space="preserve">ejax </t>
  </si>
  <si>
    <t xml:space="preserve">hldc.p </t>
  </si>
  <si>
    <t xml:space="preserve">hldd.rsd </t>
  </si>
  <si>
    <t xml:space="preserve">hlde.p </t>
  </si>
  <si>
    <t xml:space="preserve">hldf.rsd </t>
  </si>
  <si>
    <t xml:space="preserve">hlea.p </t>
  </si>
  <si>
    <t xml:space="preserve">hleb.rsd </t>
  </si>
  <si>
    <t xml:space="preserve">ejaz </t>
  </si>
  <si>
    <t xml:space="preserve">hlec.p </t>
  </si>
  <si>
    <t xml:space="preserve">hled.rsd </t>
  </si>
  <si>
    <t xml:space="preserve">hlee.p </t>
  </si>
  <si>
    <t>iaaa.p</t>
  </si>
  <si>
    <t xml:space="preserve">hlef.rsd </t>
  </si>
  <si>
    <t xml:space="preserve">hlfa.p </t>
  </si>
  <si>
    <t xml:space="preserve">hlfb.a </t>
  </si>
  <si>
    <t xml:space="preserve">hlfc.hrc </t>
  </si>
  <si>
    <t>man_st</t>
  </si>
  <si>
    <t xml:space="preserve">hlfd.rsd </t>
  </si>
  <si>
    <t xml:space="preserve">hlfe.p </t>
  </si>
  <si>
    <t xml:space="preserve">hlff.rsd </t>
  </si>
  <si>
    <t xml:space="preserve">hlga.p </t>
  </si>
  <si>
    <t xml:space="preserve">hlgb.rsd </t>
  </si>
  <si>
    <t>ibaa.p</t>
  </si>
  <si>
    <t xml:space="preserve">ejbb </t>
  </si>
  <si>
    <t xml:space="preserve">hlgc.p </t>
  </si>
  <si>
    <t xml:space="preserve">hlgd.tex </t>
  </si>
  <si>
    <t xml:space="preserve">hlge.tex </t>
  </si>
  <si>
    <t xml:space="preserve">hlgf.tex </t>
  </si>
  <si>
    <t xml:space="preserve">ejbc </t>
  </si>
  <si>
    <t xml:space="preserve">hlha.rsd </t>
  </si>
  <si>
    <t>icaa.p</t>
  </si>
  <si>
    <t xml:space="preserve">hlhb.p </t>
  </si>
  <si>
    <t xml:space="preserve">hlhc.rsd </t>
  </si>
  <si>
    <t xml:space="preserve">hlhd.p </t>
  </si>
  <si>
    <t xml:space="preserve">hlhe.rsd </t>
  </si>
  <si>
    <t xml:space="preserve">hlhf.p </t>
  </si>
  <si>
    <t xml:space="preserve">ejbd </t>
  </si>
  <si>
    <t xml:space="preserve">hlia.rsd </t>
  </si>
  <si>
    <t xml:space="preserve">hlib.p </t>
  </si>
  <si>
    <t xml:space="preserve">hlic.rsd </t>
  </si>
  <si>
    <t>idaa.rsd</t>
  </si>
  <si>
    <t xml:space="preserve">hlid.p </t>
  </si>
  <si>
    <t xml:space="preserve">ejbe </t>
  </si>
  <si>
    <t xml:space="preserve">hlie.rsd </t>
  </si>
  <si>
    <t xml:space="preserve">hlif.p </t>
  </si>
  <si>
    <t xml:space="preserve">hlja.rsd </t>
  </si>
  <si>
    <t xml:space="preserve">hljb.p </t>
  </si>
  <si>
    <t xml:space="preserve">hljc.rsd </t>
  </si>
  <si>
    <t xml:space="preserve">hljd.p </t>
  </si>
  <si>
    <t xml:space="preserve">hlje.rsd </t>
  </si>
  <si>
    <t xml:space="preserve">ejbf </t>
  </si>
  <si>
    <t xml:space="preserve">hljf.p </t>
  </si>
  <si>
    <t>ieaa.p</t>
  </si>
  <si>
    <t xml:space="preserve">hmaa.rsd </t>
  </si>
  <si>
    <t xml:space="preserve">hmab.p </t>
  </si>
  <si>
    <t xml:space="preserve">hmac.rsd </t>
  </si>
  <si>
    <t xml:space="preserve">hmad.p </t>
  </si>
  <si>
    <t xml:space="preserve">ejbg </t>
  </si>
  <si>
    <t xml:space="preserve">hmae.rsd </t>
  </si>
  <si>
    <t xml:space="preserve">hmaf.p </t>
  </si>
  <si>
    <t xml:space="preserve">hmba.a </t>
  </si>
  <si>
    <t xml:space="preserve">hmbb.a </t>
  </si>
  <si>
    <t>ifaa.p</t>
  </si>
  <si>
    <t xml:space="preserve">hmbc.a </t>
  </si>
  <si>
    <t xml:space="preserve">hmbd.a </t>
  </si>
  <si>
    <t xml:space="preserve">ejda </t>
  </si>
  <si>
    <t xml:space="preserve">hmbe.hrc </t>
  </si>
  <si>
    <t xml:space="preserve">hmbf.rsd </t>
  </si>
  <si>
    <t xml:space="preserve">ekaa </t>
  </si>
  <si>
    <t>Joker: Battle Skeleton</t>
  </si>
  <si>
    <t xml:space="preserve">hmca.p </t>
  </si>
  <si>
    <t xml:space="preserve">hmcb.rsd </t>
  </si>
  <si>
    <t xml:space="preserve">ekab </t>
  </si>
  <si>
    <t>Joker: Unidentified Part</t>
  </si>
  <si>
    <t xml:space="preserve">hmcc.p </t>
  </si>
  <si>
    <t xml:space="preserve">ekac </t>
  </si>
  <si>
    <t xml:space="preserve">hmcd.rsd </t>
  </si>
  <si>
    <t>Joker: Button and Bells ?</t>
  </si>
  <si>
    <t xml:space="preserve">hmce.p </t>
  </si>
  <si>
    <t>igaa.a</t>
  </si>
  <si>
    <t xml:space="preserve">hmcf.tex </t>
  </si>
  <si>
    <t xml:space="preserve">hmda.tex </t>
  </si>
  <si>
    <t>ihaa.a</t>
  </si>
  <si>
    <t xml:space="preserve">hmdb.tex </t>
  </si>
  <si>
    <t>iiaa.rsd</t>
  </si>
  <si>
    <t xml:space="preserve">hmdc.rsd </t>
  </si>
  <si>
    <t xml:space="preserve">ekad </t>
  </si>
  <si>
    <t xml:space="preserve">hmdd.p </t>
  </si>
  <si>
    <t>Joker: Rear Of Playing Card</t>
  </si>
  <si>
    <t xml:space="preserve">hmde.rsd </t>
  </si>
  <si>
    <t xml:space="preserve">hmdf.p </t>
  </si>
  <si>
    <t xml:space="preserve">hmea.rsd </t>
  </si>
  <si>
    <t xml:space="preserve">hmeb.p </t>
  </si>
  <si>
    <t>ijaa.rsd</t>
  </si>
  <si>
    <t xml:space="preserve">ekae </t>
  </si>
  <si>
    <t xml:space="preserve">hmec.rsd </t>
  </si>
  <si>
    <t>Joker: Card Faces</t>
  </si>
  <si>
    <t xml:space="preserve">hmed.p </t>
  </si>
  <si>
    <t xml:space="preserve">hmee.rsd </t>
  </si>
  <si>
    <t xml:space="preserve">hmef.p </t>
  </si>
  <si>
    <t>ikaa.rsd</t>
  </si>
  <si>
    <t xml:space="preserve">hmfa.rsd </t>
  </si>
  <si>
    <t xml:space="preserve">hmfb.p </t>
  </si>
  <si>
    <t xml:space="preserve">hmfc.rsd </t>
  </si>
  <si>
    <t xml:space="preserve">ekam </t>
  </si>
  <si>
    <t xml:space="preserve">hmfd.p </t>
  </si>
  <si>
    <t xml:space="preserve">hmfe.rsd </t>
  </si>
  <si>
    <t xml:space="preserve">hmff.p </t>
  </si>
  <si>
    <t>ilaa.rsd</t>
  </si>
  <si>
    <t xml:space="preserve">hmga.rsd </t>
  </si>
  <si>
    <t xml:space="preserve">hmgb.p </t>
  </si>
  <si>
    <t xml:space="preserve">hmgc.rsd </t>
  </si>
  <si>
    <t xml:space="preserve">hmgd.p </t>
  </si>
  <si>
    <t xml:space="preserve">hmge.rsd </t>
  </si>
  <si>
    <t xml:space="preserve">ekan </t>
  </si>
  <si>
    <t>imaa.rsd</t>
  </si>
  <si>
    <t xml:space="preserve">hmgf.p </t>
  </si>
  <si>
    <t xml:space="preserve">hmha.rsd </t>
  </si>
  <si>
    <t xml:space="preserve">hmhb.p </t>
  </si>
  <si>
    <t xml:space="preserve">hmhc.a </t>
  </si>
  <si>
    <t xml:space="preserve">hmhd.a </t>
  </si>
  <si>
    <t xml:space="preserve">hmhe.a </t>
  </si>
  <si>
    <t xml:space="preserve">hmhf.a </t>
  </si>
  <si>
    <t>inaa.p</t>
  </si>
  <si>
    <t xml:space="preserve">ekaq </t>
  </si>
  <si>
    <t xml:space="preserve">hmia.a </t>
  </si>
  <si>
    <t xml:space="preserve">hmib.a </t>
  </si>
  <si>
    <t xml:space="preserve">hmic.a </t>
  </si>
  <si>
    <t xml:space="preserve">hmid.a </t>
  </si>
  <si>
    <t xml:space="preserve">hmie.a </t>
  </si>
  <si>
    <t xml:space="preserve">hmif.hrc </t>
  </si>
  <si>
    <t>ioaa.p</t>
  </si>
  <si>
    <t>batta_sk</t>
  </si>
  <si>
    <t xml:space="preserve">hmja.rsd </t>
  </si>
  <si>
    <t xml:space="preserve">hmjb.p </t>
  </si>
  <si>
    <t xml:space="preserve">hmjc.rsd </t>
  </si>
  <si>
    <t xml:space="preserve">ekar </t>
  </si>
  <si>
    <t xml:space="preserve">hmjd.p </t>
  </si>
  <si>
    <t xml:space="preserve">hmje.rsd </t>
  </si>
  <si>
    <t xml:space="preserve">hmjf.p </t>
  </si>
  <si>
    <t xml:space="preserve">hnaa.rsd </t>
  </si>
  <si>
    <t xml:space="preserve">hnab.p </t>
  </si>
  <si>
    <t>ipaa.rsd</t>
  </si>
  <si>
    <t xml:space="preserve">hnac.rsd </t>
  </si>
  <si>
    <t xml:space="preserve">hnad.p </t>
  </si>
  <si>
    <t xml:space="preserve">hnae.a </t>
  </si>
  <si>
    <t xml:space="preserve">hnaf.hrc </t>
  </si>
  <si>
    <t>frog_sk</t>
  </si>
  <si>
    <t xml:space="preserve">hnba.rsd </t>
  </si>
  <si>
    <t xml:space="preserve">hnbb.p </t>
  </si>
  <si>
    <t xml:space="preserve">hnbc.rsd </t>
  </si>
  <si>
    <t xml:space="preserve">ekas </t>
  </si>
  <si>
    <t xml:space="preserve">hnbd.p </t>
  </si>
  <si>
    <t xml:space="preserve">hnbe.rsd </t>
  </si>
  <si>
    <t xml:space="preserve">hnbf.p </t>
  </si>
  <si>
    <t xml:space="preserve">hnca.rsd </t>
  </si>
  <si>
    <t>iqaa.rsd</t>
  </si>
  <si>
    <t xml:space="preserve">hncb.p </t>
  </si>
  <si>
    <t xml:space="preserve">hncc.rsd </t>
  </si>
  <si>
    <t xml:space="preserve">hncd.p </t>
  </si>
  <si>
    <t xml:space="preserve">hnce.rsd </t>
  </si>
  <si>
    <t xml:space="preserve">hncf.p </t>
  </si>
  <si>
    <t xml:space="preserve">hnda.rsd </t>
  </si>
  <si>
    <t xml:space="preserve">ekat </t>
  </si>
  <si>
    <t xml:space="preserve">hndb.p </t>
  </si>
  <si>
    <t xml:space="preserve">hndc.rsd </t>
  </si>
  <si>
    <t>iraa.rsd</t>
  </si>
  <si>
    <t xml:space="preserve">hndd.p </t>
  </si>
  <si>
    <t xml:space="preserve">hnde.rsd </t>
  </si>
  <si>
    <t xml:space="preserve">hndf.p </t>
  </si>
  <si>
    <t xml:space="preserve">hnea.a </t>
  </si>
  <si>
    <t xml:space="preserve">hneb.hrc </t>
  </si>
  <si>
    <t>bero_sk</t>
  </si>
  <si>
    <t xml:space="preserve">hnec.rsd </t>
  </si>
  <si>
    <t xml:space="preserve">hned.p </t>
  </si>
  <si>
    <t>isaa.rsd</t>
  </si>
  <si>
    <t xml:space="preserve">hnee.rsd </t>
  </si>
  <si>
    <t xml:space="preserve">hnef.p </t>
  </si>
  <si>
    <t xml:space="preserve">ekav </t>
  </si>
  <si>
    <t xml:space="preserve">hnfa.rsd </t>
  </si>
  <si>
    <t xml:space="preserve">hnfb.p </t>
  </si>
  <si>
    <t xml:space="preserve">hnfc.rsd </t>
  </si>
  <si>
    <t xml:space="preserve">hnfd.p </t>
  </si>
  <si>
    <t>itaa.tex</t>
  </si>
  <si>
    <t xml:space="preserve">hnfe.rsd </t>
  </si>
  <si>
    <t xml:space="preserve">hnff.p </t>
  </si>
  <si>
    <t xml:space="preserve">hnga.rsd </t>
  </si>
  <si>
    <t xml:space="preserve">hngb.p </t>
  </si>
  <si>
    <t xml:space="preserve">ekaw </t>
  </si>
  <si>
    <t xml:space="preserve">hngc.rsd </t>
  </si>
  <si>
    <t xml:space="preserve">hngd.p </t>
  </si>
  <si>
    <t xml:space="preserve">hnge.rsd </t>
  </si>
  <si>
    <t>iuaa.tex</t>
  </si>
  <si>
    <t xml:space="preserve">hngf.p </t>
  </si>
  <si>
    <t>"GOAL"</t>
  </si>
  <si>
    <t xml:space="preserve">hnha.rsd </t>
  </si>
  <si>
    <t xml:space="preserve">hnhb.p </t>
  </si>
  <si>
    <t xml:space="preserve">hnhc.rsd </t>
  </si>
  <si>
    <t xml:space="preserve">hnhd.p </t>
  </si>
  <si>
    <t xml:space="preserve">ekay </t>
  </si>
  <si>
    <t xml:space="preserve">hnhe.rsd </t>
  </si>
  <si>
    <t xml:space="preserve">hnhf.p </t>
  </si>
  <si>
    <t xml:space="preserve">hnia.rsd </t>
  </si>
  <si>
    <t xml:space="preserve">hnib.p </t>
  </si>
  <si>
    <t xml:space="preserve">hnic.rsd </t>
  </si>
  <si>
    <t xml:space="preserve">hnid.p </t>
  </si>
  <si>
    <t xml:space="preserve">hnie.a </t>
  </si>
  <si>
    <t xml:space="preserve">ekaz </t>
  </si>
  <si>
    <t xml:space="preserve">hnif.hrc </t>
  </si>
  <si>
    <t>hana_k_sk</t>
  </si>
  <si>
    <t xml:space="preserve">hnja.rsd </t>
  </si>
  <si>
    <t xml:space="preserve">hnjb.p </t>
  </si>
  <si>
    <t xml:space="preserve">hnjc.rsd </t>
  </si>
  <si>
    <t xml:space="preserve">hnjd.p </t>
  </si>
  <si>
    <t>jaaa.rsd</t>
  </si>
  <si>
    <t xml:space="preserve">hnje.rsd </t>
  </si>
  <si>
    <t xml:space="preserve">hnjf.p </t>
  </si>
  <si>
    <t xml:space="preserve">ekbc </t>
  </si>
  <si>
    <t xml:space="preserve">hoaa.a </t>
  </si>
  <si>
    <t xml:space="preserve">hoab.a </t>
  </si>
  <si>
    <t xml:space="preserve">hoac.a </t>
  </si>
  <si>
    <t xml:space="preserve">hoad.a </t>
  </si>
  <si>
    <t xml:space="preserve">hoae.a </t>
  </si>
  <si>
    <t>jbaa.rsd</t>
  </si>
  <si>
    <t xml:space="preserve">hoaf.a </t>
  </si>
  <si>
    <t xml:space="preserve">hoba.a </t>
  </si>
  <si>
    <t xml:space="preserve">hobb.a </t>
  </si>
  <si>
    <t xml:space="preserve">hobc.a </t>
  </si>
  <si>
    <t xml:space="preserve">hobd.hrc </t>
  </si>
  <si>
    <t>coralkey_sk</t>
  </si>
  <si>
    <t xml:space="preserve">hobe.rsd </t>
  </si>
  <si>
    <t xml:space="preserve">ekbf </t>
  </si>
  <si>
    <t xml:space="preserve">hobf.p </t>
  </si>
  <si>
    <t xml:space="preserve">hoca.rsd </t>
  </si>
  <si>
    <t xml:space="preserve">hocb.p </t>
  </si>
  <si>
    <t>jcaa.rsd</t>
  </si>
  <si>
    <t xml:space="preserve">hocc.a </t>
  </si>
  <si>
    <t xml:space="preserve">hocd.a </t>
  </si>
  <si>
    <t xml:space="preserve">hoce.a </t>
  </si>
  <si>
    <t xml:space="preserve">hocf.a </t>
  </si>
  <si>
    <t xml:space="preserve">hoda.a </t>
  </si>
  <si>
    <t xml:space="preserve">hodb.a </t>
  </si>
  <si>
    <t xml:space="preserve">hodc.a </t>
  </si>
  <si>
    <t xml:space="preserve">ekbg </t>
  </si>
  <si>
    <t xml:space="preserve">hodd.a </t>
  </si>
  <si>
    <t>jdaa.p</t>
  </si>
  <si>
    <t xml:space="preserve">hode.a </t>
  </si>
  <si>
    <t xml:space="preserve">hodf.a </t>
  </si>
  <si>
    <t xml:space="preserve">hoea.a </t>
  </si>
  <si>
    <t xml:space="preserve">hoeb.a </t>
  </si>
  <si>
    <t xml:space="preserve">hoec.a </t>
  </si>
  <si>
    <t xml:space="preserve">hoed.a </t>
  </si>
  <si>
    <t xml:space="preserve">hoee.a </t>
  </si>
  <si>
    <t xml:space="preserve">hoef.a </t>
  </si>
  <si>
    <t>jeaa.rsd</t>
  </si>
  <si>
    <t xml:space="preserve">ekbh </t>
  </si>
  <si>
    <t xml:space="preserve">hofa.a </t>
  </si>
  <si>
    <t xml:space="preserve">hofb.a </t>
  </si>
  <si>
    <t xml:space="preserve">hofc.a </t>
  </si>
  <si>
    <t xml:space="preserve">hofd.a </t>
  </si>
  <si>
    <t xml:space="preserve">hofe.a </t>
  </si>
  <si>
    <t xml:space="preserve">hoff.a </t>
  </si>
  <si>
    <t xml:space="preserve">hoga.a </t>
  </si>
  <si>
    <t xml:space="preserve">hogb.a </t>
  </si>
  <si>
    <t>jfaa.rsd</t>
  </si>
  <si>
    <t xml:space="preserve">ekbi </t>
  </si>
  <si>
    <t xml:space="preserve">hogc.a </t>
  </si>
  <si>
    <t xml:space="preserve">hogd.a </t>
  </si>
  <si>
    <t xml:space="preserve">hoge.a </t>
  </si>
  <si>
    <t xml:space="preserve">hogf.a </t>
  </si>
  <si>
    <t xml:space="preserve">hoha.a </t>
  </si>
  <si>
    <t xml:space="preserve">hohb.a </t>
  </si>
  <si>
    <t xml:space="preserve">hohc.a </t>
  </si>
  <si>
    <t xml:space="preserve">hohd.a </t>
  </si>
  <si>
    <t xml:space="preserve">ekbk </t>
  </si>
  <si>
    <t>jgaa.a</t>
  </si>
  <si>
    <t xml:space="preserve">hohe.a </t>
  </si>
  <si>
    <t xml:space="preserve">hohf.a </t>
  </si>
  <si>
    <t xml:space="preserve">hoia.a </t>
  </si>
  <si>
    <t>jhaa.a</t>
  </si>
  <si>
    <t xml:space="preserve">hoib.a </t>
  </si>
  <si>
    <t xml:space="preserve">hoic.a </t>
  </si>
  <si>
    <t>jiaa.p</t>
  </si>
  <si>
    <t xml:space="preserve">hoid.a </t>
  </si>
  <si>
    <t xml:space="preserve">hoie.a </t>
  </si>
  <si>
    <t xml:space="preserve">ekbl </t>
  </si>
  <si>
    <t xml:space="preserve">hoif.a </t>
  </si>
  <si>
    <t xml:space="preserve">hoja.a </t>
  </si>
  <si>
    <t xml:space="preserve">hojb.a </t>
  </si>
  <si>
    <t xml:space="preserve">hojc.a </t>
  </si>
  <si>
    <t xml:space="preserve">hojd.a </t>
  </si>
  <si>
    <t xml:space="preserve">hoje.a </t>
  </si>
  <si>
    <t xml:space="preserve">hojf.a </t>
  </si>
  <si>
    <t>jjaa.p</t>
  </si>
  <si>
    <t xml:space="preserve">hpaa.a </t>
  </si>
  <si>
    <t xml:space="preserve">hpab.a </t>
  </si>
  <si>
    <t xml:space="preserve">hpac.a </t>
  </si>
  <si>
    <t xml:space="preserve">ekbn </t>
  </si>
  <si>
    <t xml:space="preserve">hpad.a </t>
  </si>
  <si>
    <t xml:space="preserve">hpae.a </t>
  </si>
  <si>
    <t xml:space="preserve">hpaf.a </t>
  </si>
  <si>
    <t xml:space="preserve">hpba.a </t>
  </si>
  <si>
    <t xml:space="preserve">hpbb.a </t>
  </si>
  <si>
    <t>jkaa.p</t>
  </si>
  <si>
    <t xml:space="preserve">hpbc.a </t>
  </si>
  <si>
    <t xml:space="preserve">hpbd.a </t>
  </si>
  <si>
    <t xml:space="preserve">hpbe.a </t>
  </si>
  <si>
    <t xml:space="preserve">ekbo </t>
  </si>
  <si>
    <t xml:space="preserve">hpbf.a </t>
  </si>
  <si>
    <t xml:space="preserve">hpca.a </t>
  </si>
  <si>
    <t xml:space="preserve">hpcb.a </t>
  </si>
  <si>
    <t xml:space="preserve">hpcc.a </t>
  </si>
  <si>
    <t xml:space="preserve">hpcd.a </t>
  </si>
  <si>
    <t>jlaa.p</t>
  </si>
  <si>
    <t xml:space="preserve">hpce.hrc </t>
  </si>
  <si>
    <t>snchi_sk</t>
  </si>
  <si>
    <t xml:space="preserve">hpcf.rsd </t>
  </si>
  <si>
    <t xml:space="preserve">ekda </t>
  </si>
  <si>
    <t xml:space="preserve">hpda.p </t>
  </si>
  <si>
    <t xml:space="preserve">hpdb.rsd </t>
  </si>
  <si>
    <t xml:space="preserve">hpdc.p </t>
  </si>
  <si>
    <t xml:space="preserve">elaa </t>
  </si>
  <si>
    <t xml:space="preserve">hpdd.tex </t>
  </si>
  <si>
    <t>Flapbeat: Battle Skeleton</t>
  </si>
  <si>
    <t xml:space="preserve">hpde.tex </t>
  </si>
  <si>
    <t xml:space="preserve">hpdf.tex </t>
  </si>
  <si>
    <t xml:space="preserve">hpea.rsd </t>
  </si>
  <si>
    <t xml:space="preserve">hpeb.p </t>
  </si>
  <si>
    <t xml:space="preserve">hpec.rsd </t>
  </si>
  <si>
    <t xml:space="preserve">hped.p </t>
  </si>
  <si>
    <t>Deenglow clone 1 (braa)</t>
  </si>
  <si>
    <t xml:space="preserve">hpee.rsd </t>
  </si>
  <si>
    <t xml:space="preserve">elab </t>
  </si>
  <si>
    <t xml:space="preserve">hpef.p </t>
  </si>
  <si>
    <t>Flapbeat: Unidentified Part</t>
  </si>
  <si>
    <t xml:space="preserve">hpfa.rsd </t>
  </si>
  <si>
    <t xml:space="preserve">elam </t>
  </si>
  <si>
    <t xml:space="preserve">hpfb.p </t>
  </si>
  <si>
    <t>jmaa.p</t>
  </si>
  <si>
    <t xml:space="preserve">hpfc.rsd </t>
  </si>
  <si>
    <t xml:space="preserve">hpfd.p </t>
  </si>
  <si>
    <t xml:space="preserve">hpfe.rsd </t>
  </si>
  <si>
    <t xml:space="preserve">hpff.p </t>
  </si>
  <si>
    <t xml:space="preserve">hpga.rsd </t>
  </si>
  <si>
    <t xml:space="preserve">hpgb.p </t>
  </si>
  <si>
    <t xml:space="preserve">hpgc.rsd </t>
  </si>
  <si>
    <t xml:space="preserve">hpgd.p </t>
  </si>
  <si>
    <t>jnaa.rsd</t>
  </si>
  <si>
    <t xml:space="preserve">hpge.rsd </t>
  </si>
  <si>
    <t xml:space="preserve">hpgf.p </t>
  </si>
  <si>
    <t xml:space="preserve">hpha.rsd </t>
  </si>
  <si>
    <t xml:space="preserve">hphb.p </t>
  </si>
  <si>
    <t xml:space="preserve">elan </t>
  </si>
  <si>
    <t xml:space="preserve">hphc.rsd </t>
  </si>
  <si>
    <t xml:space="preserve">hphd.p </t>
  </si>
  <si>
    <t xml:space="preserve">hphe.rsd </t>
  </si>
  <si>
    <t>joaa.rsd</t>
  </si>
  <si>
    <t xml:space="preserve">hphf.p </t>
  </si>
  <si>
    <t xml:space="preserve">hpia.a </t>
  </si>
  <si>
    <t xml:space="preserve">hpib.hrc </t>
  </si>
  <si>
    <t>snman_sk</t>
  </si>
  <si>
    <t xml:space="preserve">hpic.rsd </t>
  </si>
  <si>
    <t xml:space="preserve">elao </t>
  </si>
  <si>
    <t xml:space="preserve">hpid.p </t>
  </si>
  <si>
    <t xml:space="preserve">hpie.rsd </t>
  </si>
  <si>
    <t>jpaa.p</t>
  </si>
  <si>
    <t xml:space="preserve">hpif.p </t>
  </si>
  <si>
    <t xml:space="preserve">hpja.rsd </t>
  </si>
  <si>
    <t xml:space="preserve">hpjb.p </t>
  </si>
  <si>
    <t xml:space="preserve">hpjc.tex </t>
  </si>
  <si>
    <t xml:space="preserve">elap </t>
  </si>
  <si>
    <t xml:space="preserve">hpjd.tex </t>
  </si>
  <si>
    <t>jqaa.p</t>
  </si>
  <si>
    <t xml:space="preserve">hpje.tex </t>
  </si>
  <si>
    <t xml:space="preserve">hpjf.rsd </t>
  </si>
  <si>
    <t xml:space="preserve">hqaa.p </t>
  </si>
  <si>
    <t xml:space="preserve">hqab.rsd </t>
  </si>
  <si>
    <t xml:space="preserve">elaq </t>
  </si>
  <si>
    <t xml:space="preserve">hqac.p </t>
  </si>
  <si>
    <t>jraa.p</t>
  </si>
  <si>
    <t xml:space="preserve">hqad.rsd </t>
  </si>
  <si>
    <t xml:space="preserve">hqae.p </t>
  </si>
  <si>
    <t xml:space="preserve">hqaf.rsd </t>
  </si>
  <si>
    <t xml:space="preserve">hqba.p </t>
  </si>
  <si>
    <t xml:space="preserve">hqbb.rsd </t>
  </si>
  <si>
    <t xml:space="preserve">elar </t>
  </si>
  <si>
    <t>jsaa.p</t>
  </si>
  <si>
    <t xml:space="preserve">hqbc.p </t>
  </si>
  <si>
    <t xml:space="preserve">hqbd.rsd </t>
  </si>
  <si>
    <t xml:space="preserve">hqbe.p </t>
  </si>
  <si>
    <t xml:space="preserve">hqbf.rsd </t>
  </si>
  <si>
    <t xml:space="preserve">hqca.p </t>
  </si>
  <si>
    <t xml:space="preserve">hqcb.rsd </t>
  </si>
  <si>
    <t xml:space="preserve">elat </t>
  </si>
  <si>
    <t>jtaa.rsd</t>
  </si>
  <si>
    <t xml:space="preserve">hqcc.p </t>
  </si>
  <si>
    <t xml:space="preserve">hqcd.rsd </t>
  </si>
  <si>
    <t xml:space="preserve">hqce.p </t>
  </si>
  <si>
    <t xml:space="preserve">hqcf.rsd </t>
  </si>
  <si>
    <t xml:space="preserve">hqda.p </t>
  </si>
  <si>
    <t>juaa.tex</t>
  </si>
  <si>
    <t xml:space="preserve">hqdb.rsd </t>
  </si>
  <si>
    <t xml:space="preserve">elau </t>
  </si>
  <si>
    <t>"SCORE" "HI-SCORE"</t>
  </si>
  <si>
    <t xml:space="preserve">hqdc.p </t>
  </si>
  <si>
    <t xml:space="preserve">hqdd.rsd </t>
  </si>
  <si>
    <t xml:space="preserve">hqde.p </t>
  </si>
  <si>
    <t xml:space="preserve">hqdf.a </t>
  </si>
  <si>
    <t xml:space="preserve">hqea.a </t>
  </si>
  <si>
    <t xml:space="preserve">hqeb.a </t>
  </si>
  <si>
    <t xml:space="preserve">elaw </t>
  </si>
  <si>
    <t xml:space="preserve">hqec.a </t>
  </si>
  <si>
    <t xml:space="preserve">hqed.a </t>
  </si>
  <si>
    <t xml:space="preserve">hqee.a </t>
  </si>
  <si>
    <t xml:space="preserve">hqef.a </t>
  </si>
  <si>
    <t xml:space="preserve">hqfa.a </t>
  </si>
  <si>
    <t xml:space="preserve">hqfb.a </t>
  </si>
  <si>
    <t xml:space="preserve">elax </t>
  </si>
  <si>
    <t xml:space="preserve">hqfc.a </t>
  </si>
  <si>
    <t xml:space="preserve">hqfd.a </t>
  </si>
  <si>
    <t>kaaa.p</t>
  </si>
  <si>
    <t xml:space="preserve">hqfe.a </t>
  </si>
  <si>
    <t xml:space="preserve">hqff.a </t>
  </si>
  <si>
    <t xml:space="preserve">hqga.a </t>
  </si>
  <si>
    <t xml:space="preserve">hqgb.a </t>
  </si>
  <si>
    <t xml:space="preserve">hqgc.hrc </t>
  </si>
  <si>
    <t>sori_sk</t>
  </si>
  <si>
    <t xml:space="preserve">elaz </t>
  </si>
  <si>
    <t xml:space="preserve">hqgd.rsd </t>
  </si>
  <si>
    <t xml:space="preserve">hqge.p </t>
  </si>
  <si>
    <t>kbaa.p</t>
  </si>
  <si>
    <t xml:space="preserve">hqgf.a </t>
  </si>
  <si>
    <t xml:space="preserve">hqha.a </t>
  </si>
  <si>
    <t xml:space="preserve">hqhb.a </t>
  </si>
  <si>
    <t xml:space="preserve">hqhc.hrc </t>
  </si>
  <si>
    <t>board_sk</t>
  </si>
  <si>
    <t xml:space="preserve">hqhd.rsd </t>
  </si>
  <si>
    <t xml:space="preserve">hqhe.p </t>
  </si>
  <si>
    <t xml:space="preserve">hqhf.a </t>
  </si>
  <si>
    <t xml:space="preserve">hqia.a </t>
  </si>
  <si>
    <t>kcaa.p</t>
  </si>
  <si>
    <t xml:space="preserve">hqib.a </t>
  </si>
  <si>
    <t xml:space="preserve">hqic.a </t>
  </si>
  <si>
    <t xml:space="preserve">hqid.a </t>
  </si>
  <si>
    <t xml:space="preserve">hqie.a </t>
  </si>
  <si>
    <t xml:space="preserve">hqif.a </t>
  </si>
  <si>
    <t xml:space="preserve">elba </t>
  </si>
  <si>
    <t xml:space="preserve">hqja.a </t>
  </si>
  <si>
    <t xml:space="preserve">hqjb.a </t>
  </si>
  <si>
    <t>kdaa.rsd</t>
  </si>
  <si>
    <t xml:space="preserve">hqjc.a </t>
  </si>
  <si>
    <t xml:space="preserve">hqjd.a </t>
  </si>
  <si>
    <t xml:space="preserve">hqje.a </t>
  </si>
  <si>
    <t xml:space="preserve">hqjf.a </t>
  </si>
  <si>
    <t xml:space="preserve">hraa.a </t>
  </si>
  <si>
    <t xml:space="preserve">hrab.a </t>
  </si>
  <si>
    <t xml:space="preserve">elbd </t>
  </si>
  <si>
    <t xml:space="preserve">hrac.a </t>
  </si>
  <si>
    <t>keaa.p</t>
  </si>
  <si>
    <t xml:space="preserve">hrad.a </t>
  </si>
  <si>
    <t xml:space="preserve">hrae.hrc </t>
  </si>
  <si>
    <t xml:space="preserve">hraf.rsd </t>
  </si>
  <si>
    <t xml:space="preserve">hrba.p </t>
  </si>
  <si>
    <t xml:space="preserve">hrbb.rsd </t>
  </si>
  <si>
    <t xml:space="preserve">hrbc.p </t>
  </si>
  <si>
    <t xml:space="preserve">elbe </t>
  </si>
  <si>
    <t xml:space="preserve">hrbd.rsd </t>
  </si>
  <si>
    <t>kfaa.p</t>
  </si>
  <si>
    <t xml:space="preserve">hrbe.p </t>
  </si>
  <si>
    <t xml:space="preserve">hrbf.rsd </t>
  </si>
  <si>
    <t xml:space="preserve">hrca.p </t>
  </si>
  <si>
    <t xml:space="preserve">hrcb.rsd </t>
  </si>
  <si>
    <t xml:space="preserve">hrcc.p </t>
  </si>
  <si>
    <t xml:space="preserve">hrcd.a </t>
  </si>
  <si>
    <t xml:space="preserve">hrce.hrc </t>
  </si>
  <si>
    <t>kgaa.a</t>
  </si>
  <si>
    <t>trb_metb_sk</t>
  </si>
  <si>
    <t xml:space="preserve">elbg </t>
  </si>
  <si>
    <t xml:space="preserve">hrcf.rsd </t>
  </si>
  <si>
    <t xml:space="preserve">hrda.p </t>
  </si>
  <si>
    <t>khaa.a</t>
  </si>
  <si>
    <t xml:space="preserve">hrdb.tex </t>
  </si>
  <si>
    <t>kiaa.tex</t>
  </si>
  <si>
    <t xml:space="preserve">hrdc.rsd </t>
  </si>
  <si>
    <t>"01234 56789"</t>
  </si>
  <si>
    <t xml:space="preserve">hrdd.p </t>
  </si>
  <si>
    <t xml:space="preserve">hrde.rsd </t>
  </si>
  <si>
    <t xml:space="preserve">hrdf.p </t>
  </si>
  <si>
    <t xml:space="preserve">elbh </t>
  </si>
  <si>
    <t xml:space="preserve">hrea.tex </t>
  </si>
  <si>
    <t xml:space="preserve">hreb.rsd </t>
  </si>
  <si>
    <t xml:space="preserve">hrec.p </t>
  </si>
  <si>
    <t xml:space="preserve">hred.a </t>
  </si>
  <si>
    <t>kjaa.rsd</t>
  </si>
  <si>
    <t xml:space="preserve">hree.hrc </t>
  </si>
  <si>
    <t>rock_sk</t>
  </si>
  <si>
    <t xml:space="preserve">elbl </t>
  </si>
  <si>
    <t xml:space="preserve">href.rsd </t>
  </si>
  <si>
    <t xml:space="preserve">hrfa.p </t>
  </si>
  <si>
    <t xml:space="preserve">hrfb.tex </t>
  </si>
  <si>
    <t xml:space="preserve">hrfc.a </t>
  </si>
  <si>
    <t xml:space="preserve">hrfd.a </t>
  </si>
  <si>
    <t xml:space="preserve">hrfe.a </t>
  </si>
  <si>
    <t xml:space="preserve">hrff.hrc </t>
  </si>
  <si>
    <t>kkaa.rsd</t>
  </si>
  <si>
    <t xml:space="preserve">hrga.rsd </t>
  </si>
  <si>
    <t xml:space="preserve">elbm </t>
  </si>
  <si>
    <t xml:space="preserve">hrgb.p </t>
  </si>
  <si>
    <t xml:space="preserve">hrgc.tex </t>
  </si>
  <si>
    <t xml:space="preserve">hrgd.a </t>
  </si>
  <si>
    <t xml:space="preserve">hrge.a </t>
  </si>
  <si>
    <t xml:space="preserve">hrgf.a </t>
  </si>
  <si>
    <t xml:space="preserve">hrha.hrc </t>
  </si>
  <si>
    <t>toge2_sk</t>
  </si>
  <si>
    <t xml:space="preserve">hrhb.rsd </t>
  </si>
  <si>
    <t>klaa.rsd</t>
  </si>
  <si>
    <t xml:space="preserve">hrhc.p </t>
  </si>
  <si>
    <t xml:space="preserve">elbn </t>
  </si>
  <si>
    <t xml:space="preserve">hrhd.tex </t>
  </si>
  <si>
    <t xml:space="preserve">hrhe.hrc </t>
  </si>
  <si>
    <t>toge3_sk</t>
  </si>
  <si>
    <t xml:space="preserve">hrhf.rsd </t>
  </si>
  <si>
    <t xml:space="preserve">hria.p </t>
  </si>
  <si>
    <t xml:space="preserve">hrib.tex </t>
  </si>
  <si>
    <t xml:space="preserve">hric.a </t>
  </si>
  <si>
    <t xml:space="preserve">hrid.a </t>
  </si>
  <si>
    <t xml:space="preserve">elbp </t>
  </si>
  <si>
    <t>kmaa.rsd</t>
  </si>
  <si>
    <t xml:space="preserve">hrie.a </t>
  </si>
  <si>
    <t xml:space="preserve">hrif.a </t>
  </si>
  <si>
    <t xml:space="preserve">hrja.a </t>
  </si>
  <si>
    <t xml:space="preserve">hrjb.a </t>
  </si>
  <si>
    <t xml:space="preserve">hrjc.a </t>
  </si>
  <si>
    <t xml:space="preserve">hrjd.a </t>
  </si>
  <si>
    <t xml:space="preserve">hrje.a </t>
  </si>
  <si>
    <t>knaa.p</t>
  </si>
  <si>
    <t xml:space="preserve">hrjf.a </t>
  </si>
  <si>
    <t xml:space="preserve">elbq </t>
  </si>
  <si>
    <t xml:space="preserve">hsaa.a </t>
  </si>
  <si>
    <t xml:space="preserve">hsab.a </t>
  </si>
  <si>
    <t xml:space="preserve">hsac.a </t>
  </si>
  <si>
    <t xml:space="preserve">hsad.a </t>
  </si>
  <si>
    <t xml:space="preserve">hsae.a </t>
  </si>
  <si>
    <t xml:space="preserve">hsaf.a </t>
  </si>
  <si>
    <t>koaa.p</t>
  </si>
  <si>
    <t xml:space="preserve">hsba.a </t>
  </si>
  <si>
    <t xml:space="preserve">elbr </t>
  </si>
  <si>
    <t xml:space="preserve">hsbb.a </t>
  </si>
  <si>
    <t xml:space="preserve">hsbc.a </t>
  </si>
  <si>
    <t xml:space="preserve">hsbd.a </t>
  </si>
  <si>
    <t xml:space="preserve">hsbe.a </t>
  </si>
  <si>
    <t xml:space="preserve">hsbf.a </t>
  </si>
  <si>
    <t xml:space="preserve">hsca.a </t>
  </si>
  <si>
    <t xml:space="preserve">hscb.a </t>
  </si>
  <si>
    <t>kpaa.rsd</t>
  </si>
  <si>
    <t xml:space="preserve">elbs </t>
  </si>
  <si>
    <t xml:space="preserve">hscc.a </t>
  </si>
  <si>
    <t xml:space="preserve">hscd.a </t>
  </si>
  <si>
    <t xml:space="preserve">hsce.a </t>
  </si>
  <si>
    <t xml:space="preserve">hscf.a </t>
  </si>
  <si>
    <t xml:space="preserve">hsda.a </t>
  </si>
  <si>
    <t xml:space="preserve">hsdb.a </t>
  </si>
  <si>
    <t xml:space="preserve">hsdc.a </t>
  </si>
  <si>
    <t xml:space="preserve">elbt </t>
  </si>
  <si>
    <t>kqaa.rsd</t>
  </si>
  <si>
    <t xml:space="preserve">hsdd.a </t>
  </si>
  <si>
    <t xml:space="preserve">hsde.a </t>
  </si>
  <si>
    <t xml:space="preserve">hsdf.a </t>
  </si>
  <si>
    <t xml:space="preserve">hsea.a </t>
  </si>
  <si>
    <t xml:space="preserve">hseb.hrc </t>
  </si>
  <si>
    <t xml:space="preserve">elbu </t>
  </si>
  <si>
    <t>icecle_sk</t>
  </si>
  <si>
    <t xml:space="preserve">hsec.rsd </t>
  </si>
  <si>
    <t>kraa.rsd</t>
  </si>
  <si>
    <t xml:space="preserve">hsed.p </t>
  </si>
  <si>
    <t xml:space="preserve">hsee.tex </t>
  </si>
  <si>
    <t xml:space="preserve">hsef.a </t>
  </si>
  <si>
    <t xml:space="preserve">hsfa.a </t>
  </si>
  <si>
    <t xml:space="preserve">hsfb.a </t>
  </si>
  <si>
    <t xml:space="preserve">elbx </t>
  </si>
  <si>
    <t xml:space="preserve">hsfc.a </t>
  </si>
  <si>
    <t xml:space="preserve">hsfd.a </t>
  </si>
  <si>
    <t xml:space="preserve">hsfe.a </t>
  </si>
  <si>
    <t xml:space="preserve">hsff.a </t>
  </si>
  <si>
    <t>ksaa.rsd</t>
  </si>
  <si>
    <t xml:space="preserve">hsga.a </t>
  </si>
  <si>
    <t xml:space="preserve">hsgb.a </t>
  </si>
  <si>
    <t xml:space="preserve">hsgc.a </t>
  </si>
  <si>
    <t xml:space="preserve">elby </t>
  </si>
  <si>
    <t xml:space="preserve">hsgd.a </t>
  </si>
  <si>
    <t xml:space="preserve">elbz </t>
  </si>
  <si>
    <t>ktaa.p</t>
  </si>
  <si>
    <t xml:space="preserve">hsge.a </t>
  </si>
  <si>
    <t xml:space="preserve">hsgf.a </t>
  </si>
  <si>
    <t xml:space="preserve">hsha.a </t>
  </si>
  <si>
    <t xml:space="preserve">hshb.a </t>
  </si>
  <si>
    <t xml:space="preserve">hshc.a </t>
  </si>
  <si>
    <t xml:space="preserve">hshd.a </t>
  </si>
  <si>
    <t xml:space="preserve">elda </t>
  </si>
  <si>
    <t xml:space="preserve">hshe.a </t>
  </si>
  <si>
    <t xml:space="preserve">hshf.a </t>
  </si>
  <si>
    <t xml:space="preserve">emaa </t>
  </si>
  <si>
    <t>kuaa.tex</t>
  </si>
  <si>
    <t>Harpy: Battle Skeleton</t>
  </si>
  <si>
    <t xml:space="preserve">hsia.a </t>
  </si>
  <si>
    <t xml:space="preserve">hsib.a </t>
  </si>
  <si>
    <t xml:space="preserve">hsic.a </t>
  </si>
  <si>
    <t xml:space="preserve">hsid.a </t>
  </si>
  <si>
    <t xml:space="preserve">hsie.a </t>
  </si>
  <si>
    <t xml:space="preserve">hsif.a </t>
  </si>
  <si>
    <t xml:space="preserve">emab </t>
  </si>
  <si>
    <t>Harpy: Unidentified Part</t>
  </si>
  <si>
    <t xml:space="preserve">hsja.a </t>
  </si>
  <si>
    <t xml:space="preserve">emam </t>
  </si>
  <si>
    <t xml:space="preserve">hsjb.a </t>
  </si>
  <si>
    <t xml:space="preserve">hsjc.a </t>
  </si>
  <si>
    <t xml:space="preserve">hsjd.hrc </t>
  </si>
  <si>
    <t>ultima_sk</t>
  </si>
  <si>
    <t xml:space="preserve">hsje.rsd </t>
  </si>
  <si>
    <t xml:space="preserve">hsjf.p </t>
  </si>
  <si>
    <t xml:space="preserve">htaa.rsd </t>
  </si>
  <si>
    <t xml:space="preserve">emao </t>
  </si>
  <si>
    <t>laaa.rsd</t>
  </si>
  <si>
    <t xml:space="preserve">htab.p </t>
  </si>
  <si>
    <t xml:space="preserve">htac.rsd </t>
  </si>
  <si>
    <t xml:space="preserve">htad.p </t>
  </si>
  <si>
    <t xml:space="preserve">htae.rsd </t>
  </si>
  <si>
    <t xml:space="preserve">htaf.p </t>
  </si>
  <si>
    <t xml:space="preserve">htba.rsd </t>
  </si>
  <si>
    <t xml:space="preserve">htbb.p </t>
  </si>
  <si>
    <t>lbaa.rsd</t>
  </si>
  <si>
    <t xml:space="preserve">emap </t>
  </si>
  <si>
    <t xml:space="preserve">htbc.rsd </t>
  </si>
  <si>
    <t xml:space="preserve">htbd.p </t>
  </si>
  <si>
    <t xml:space="preserve">htbe.rsd </t>
  </si>
  <si>
    <t xml:space="preserve">htbf.p </t>
  </si>
  <si>
    <t xml:space="preserve">emaq </t>
  </si>
  <si>
    <t xml:space="preserve">htca.rsd </t>
  </si>
  <si>
    <t xml:space="preserve">htcb.p </t>
  </si>
  <si>
    <t xml:space="preserve">htcc.rsd </t>
  </si>
  <si>
    <t xml:space="preserve">htcd.p </t>
  </si>
  <si>
    <t xml:space="preserve">htce.rsd </t>
  </si>
  <si>
    <t xml:space="preserve">emas </t>
  </si>
  <si>
    <t>lcaa.rsd</t>
  </si>
  <si>
    <t xml:space="preserve">htcf.p </t>
  </si>
  <si>
    <t xml:space="preserve">htda.rsd </t>
  </si>
  <si>
    <t xml:space="preserve">htdb.p </t>
  </si>
  <si>
    <t xml:space="preserve">htdc.rsd </t>
  </si>
  <si>
    <t xml:space="preserve">htdd.p </t>
  </si>
  <si>
    <t xml:space="preserve">htde.rsd </t>
  </si>
  <si>
    <t xml:space="preserve">emat </t>
  </si>
  <si>
    <t xml:space="preserve">htdf.p </t>
  </si>
  <si>
    <t xml:space="preserve">htea.rsd </t>
  </si>
  <si>
    <t xml:space="preserve">hteb.p </t>
  </si>
  <si>
    <t>ldaa.p</t>
  </si>
  <si>
    <t xml:space="preserve">htec.rsd </t>
  </si>
  <si>
    <t xml:space="preserve">hted.p </t>
  </si>
  <si>
    <t xml:space="preserve">htee.rsd </t>
  </si>
  <si>
    <t xml:space="preserve">emau </t>
  </si>
  <si>
    <t xml:space="preserve">htef.p </t>
  </si>
  <si>
    <t xml:space="preserve">htfa.rsd </t>
  </si>
  <si>
    <t xml:space="preserve">htfb.p </t>
  </si>
  <si>
    <t xml:space="preserve">htfc.rsd </t>
  </si>
  <si>
    <t xml:space="preserve">htfd.p </t>
  </si>
  <si>
    <t xml:space="preserve">htfe.rsd </t>
  </si>
  <si>
    <t xml:space="preserve">htff.p </t>
  </si>
  <si>
    <t xml:space="preserve">htga.rsd </t>
  </si>
  <si>
    <t xml:space="preserve">emav </t>
  </si>
  <si>
    <t>leaa.rsd</t>
  </si>
  <si>
    <t xml:space="preserve">htgb.p </t>
  </si>
  <si>
    <t xml:space="preserve">htgc.rsd </t>
  </si>
  <si>
    <t xml:space="preserve">htgd.p </t>
  </si>
  <si>
    <t xml:space="preserve">htge.rsd </t>
  </si>
  <si>
    <t xml:space="preserve">emax </t>
  </si>
  <si>
    <t xml:space="preserve">htgf.p </t>
  </si>
  <si>
    <t xml:space="preserve">htha.rsd </t>
  </si>
  <si>
    <t>lfaa.rsd</t>
  </si>
  <si>
    <t xml:space="preserve">hthb.p </t>
  </si>
  <si>
    <t xml:space="preserve">hthc.a </t>
  </si>
  <si>
    <t xml:space="preserve">hthd.a </t>
  </si>
  <si>
    <t xml:space="preserve">hthe.a </t>
  </si>
  <si>
    <t xml:space="preserve">emay </t>
  </si>
  <si>
    <t xml:space="preserve">hthf.a </t>
  </si>
  <si>
    <t xml:space="preserve">htia.a </t>
  </si>
  <si>
    <t>lgaa.a</t>
  </si>
  <si>
    <t xml:space="preserve">htib.a </t>
  </si>
  <si>
    <t xml:space="preserve">htic.a </t>
  </si>
  <si>
    <t>lhaa.a</t>
  </si>
  <si>
    <t xml:space="preserve">htid.a </t>
  </si>
  <si>
    <t xml:space="preserve">liaa.tex </t>
  </si>
  <si>
    <t xml:space="preserve">emaz </t>
  </si>
  <si>
    <t xml:space="preserve">htie.a </t>
  </si>
  <si>
    <t>912 Bytes</t>
  </si>
  <si>
    <t xml:space="preserve">htif.a </t>
  </si>
  <si>
    <t xml:space="preserve">htja.a </t>
  </si>
  <si>
    <t xml:space="preserve">htjb.a </t>
  </si>
  <si>
    <t xml:space="preserve">htjc.a </t>
  </si>
  <si>
    <t>ljaa.p</t>
  </si>
  <si>
    <t xml:space="preserve">htjd.a </t>
  </si>
  <si>
    <t xml:space="preserve">embb </t>
  </si>
  <si>
    <t xml:space="preserve">htje.hrc </t>
  </si>
  <si>
    <t>chair_sk</t>
  </si>
  <si>
    <t xml:space="preserve">htjf.rsd </t>
  </si>
  <si>
    <t xml:space="preserve">huaa.p </t>
  </si>
  <si>
    <t xml:space="preserve">huab.rsd </t>
  </si>
  <si>
    <t xml:space="preserve">huac.p </t>
  </si>
  <si>
    <t xml:space="preserve">huad.rsd </t>
  </si>
  <si>
    <t>lkaa.p</t>
  </si>
  <si>
    <t xml:space="preserve">huae.p </t>
  </si>
  <si>
    <t xml:space="preserve">embc </t>
  </si>
  <si>
    <t xml:space="preserve">huaf.tex </t>
  </si>
  <si>
    <t xml:space="preserve">huba.tex </t>
  </si>
  <si>
    <t xml:space="preserve">hubb.tex </t>
  </si>
  <si>
    <t>llaa.p</t>
  </si>
  <si>
    <t xml:space="preserve">hubc.rsd </t>
  </si>
  <si>
    <t xml:space="preserve">hubd.p </t>
  </si>
  <si>
    <t xml:space="preserve">hube.rsd </t>
  </si>
  <si>
    <t xml:space="preserve">hubf.p </t>
  </si>
  <si>
    <t xml:space="preserve">embe </t>
  </si>
  <si>
    <t xml:space="preserve">huca.rsd </t>
  </si>
  <si>
    <t xml:space="preserve">hucb.p </t>
  </si>
  <si>
    <t xml:space="preserve">hucc.rsd </t>
  </si>
  <si>
    <t>lmaa.p</t>
  </si>
  <si>
    <t xml:space="preserve">hucd.p </t>
  </si>
  <si>
    <t xml:space="preserve">huce.rsd </t>
  </si>
  <si>
    <t xml:space="preserve">hucf.p </t>
  </si>
  <si>
    <t xml:space="preserve">huda.rsd </t>
  </si>
  <si>
    <t xml:space="preserve">embf </t>
  </si>
  <si>
    <t xml:space="preserve">hudb.p </t>
  </si>
  <si>
    <t xml:space="preserve">hudc.rsd </t>
  </si>
  <si>
    <t>lnaa.rsd</t>
  </si>
  <si>
    <t xml:space="preserve">hudd.p </t>
  </si>
  <si>
    <t xml:space="preserve">hude.rsd </t>
  </si>
  <si>
    <t xml:space="preserve">hudf.p </t>
  </si>
  <si>
    <t xml:space="preserve">huea.rsd </t>
  </si>
  <si>
    <t xml:space="preserve">hueb.p </t>
  </si>
  <si>
    <t xml:space="preserve">huec.rsd </t>
  </si>
  <si>
    <t xml:space="preserve">hued.p </t>
  </si>
  <si>
    <t>loaa.rsd</t>
  </si>
  <si>
    <t xml:space="preserve">embg </t>
  </si>
  <si>
    <t xml:space="preserve">huee.rsd </t>
  </si>
  <si>
    <t xml:space="preserve">huef.p </t>
  </si>
  <si>
    <t xml:space="preserve">hufa.rsd </t>
  </si>
  <si>
    <t xml:space="preserve">hufb.p </t>
  </si>
  <si>
    <t xml:space="preserve">hufc.rsd </t>
  </si>
  <si>
    <t xml:space="preserve">hufd.p </t>
  </si>
  <si>
    <t xml:space="preserve">hufe.rsd </t>
  </si>
  <si>
    <t xml:space="preserve">huff.p </t>
  </si>
  <si>
    <t xml:space="preserve">huga.rsd </t>
  </si>
  <si>
    <t>lpaa.p</t>
  </si>
  <si>
    <t xml:space="preserve">hugb.p </t>
  </si>
  <si>
    <t xml:space="preserve">hugc.rsd </t>
  </si>
  <si>
    <t xml:space="preserve">embi </t>
  </si>
  <si>
    <t xml:space="preserve">hugd.p </t>
  </si>
  <si>
    <t xml:space="preserve">huge.rsd </t>
  </si>
  <si>
    <t xml:space="preserve">hugf.p </t>
  </si>
  <si>
    <t xml:space="preserve">huha.rsd </t>
  </si>
  <si>
    <t xml:space="preserve">huhb.p </t>
  </si>
  <si>
    <t xml:space="preserve">huhc.rsd </t>
  </si>
  <si>
    <t xml:space="preserve">huhd.p </t>
  </si>
  <si>
    <t xml:space="preserve">embj </t>
  </si>
  <si>
    <t>lqaa.p</t>
  </si>
  <si>
    <t xml:space="preserve">huhe.a </t>
  </si>
  <si>
    <t xml:space="preserve">huhf.a </t>
  </si>
  <si>
    <t xml:space="preserve">huia.a </t>
  </si>
  <si>
    <t xml:space="preserve">huib.a </t>
  </si>
  <si>
    <t xml:space="preserve">huic.a </t>
  </si>
  <si>
    <t xml:space="preserve">huid.a </t>
  </si>
  <si>
    <t xml:space="preserve">huie.a </t>
  </si>
  <si>
    <t xml:space="preserve">embk </t>
  </si>
  <si>
    <t>lraa.p</t>
  </si>
  <si>
    <t xml:space="preserve">huif.a </t>
  </si>
  <si>
    <t xml:space="preserve">huja.a </t>
  </si>
  <si>
    <t xml:space="preserve">hujb.a </t>
  </si>
  <si>
    <t xml:space="preserve">hujc.a </t>
  </si>
  <si>
    <t xml:space="preserve">hujd.a </t>
  </si>
  <si>
    <t xml:space="preserve">huje.a </t>
  </si>
  <si>
    <t xml:space="preserve">embl </t>
  </si>
  <si>
    <t xml:space="preserve">hujf.a </t>
  </si>
  <si>
    <t>lsaa.p</t>
  </si>
  <si>
    <t xml:space="preserve">hvaa.a </t>
  </si>
  <si>
    <t xml:space="preserve">hvab.a </t>
  </si>
  <si>
    <t xml:space="preserve">hvac.a </t>
  </si>
  <si>
    <t xml:space="preserve">hvad.a </t>
  </si>
  <si>
    <t xml:space="preserve">hvae.a </t>
  </si>
  <si>
    <t xml:space="preserve">hvaf.a </t>
  </si>
  <si>
    <t xml:space="preserve">hvba.a </t>
  </si>
  <si>
    <t>ltaa.tex</t>
  </si>
  <si>
    <t xml:space="preserve">hvbb.a </t>
  </si>
  <si>
    <t xml:space="preserve">embn </t>
  </si>
  <si>
    <t xml:space="preserve">hvbc.a </t>
  </si>
  <si>
    <t xml:space="preserve">hvbd.a </t>
  </si>
  <si>
    <t xml:space="preserve">hvbe.a </t>
  </si>
  <si>
    <t xml:space="preserve">hvbf.a </t>
  </si>
  <si>
    <t xml:space="preserve">hvca.a </t>
  </si>
  <si>
    <t xml:space="preserve">hvcb.a </t>
  </si>
  <si>
    <t>luaa.tex</t>
  </si>
  <si>
    <t>"0123456789"</t>
  </si>
  <si>
    <t xml:space="preserve">hvcc.a </t>
  </si>
  <si>
    <t xml:space="preserve">hvcd.a </t>
  </si>
  <si>
    <t xml:space="preserve">hvce.a </t>
  </si>
  <si>
    <t xml:space="preserve">embo </t>
  </si>
  <si>
    <t xml:space="preserve">hvcf.hrc </t>
  </si>
  <si>
    <t>kisya_m_sk</t>
  </si>
  <si>
    <t xml:space="preserve">hvda.rsd </t>
  </si>
  <si>
    <t xml:space="preserve">hvdb.p </t>
  </si>
  <si>
    <t>maaa.p</t>
  </si>
  <si>
    <t xml:space="preserve">hvdc.tex </t>
  </si>
  <si>
    <t xml:space="preserve">hvdd.a </t>
  </si>
  <si>
    <t xml:space="preserve">hvde.a </t>
  </si>
  <si>
    <t xml:space="preserve">embp </t>
  </si>
  <si>
    <t xml:space="preserve">hvdf.a </t>
  </si>
  <si>
    <t xml:space="preserve">hvea.a </t>
  </si>
  <si>
    <t xml:space="preserve">hveb.a </t>
  </si>
  <si>
    <t>mbaa.p</t>
  </si>
  <si>
    <t xml:space="preserve">hvec.a </t>
  </si>
  <si>
    <t xml:space="preserve">hved.a </t>
  </si>
  <si>
    <t xml:space="preserve">hvee.a </t>
  </si>
  <si>
    <t xml:space="preserve">hvef.a </t>
  </si>
  <si>
    <t xml:space="preserve">embr </t>
  </si>
  <si>
    <t xml:space="preserve">hvfa.a </t>
  </si>
  <si>
    <t>mcaa.p</t>
  </si>
  <si>
    <t xml:space="preserve">hvfb.a </t>
  </si>
  <si>
    <t xml:space="preserve">hvfc.a </t>
  </si>
  <si>
    <t xml:space="preserve">hvfd.a </t>
  </si>
  <si>
    <t xml:space="preserve">embs </t>
  </si>
  <si>
    <t xml:space="preserve">hvfe.a </t>
  </si>
  <si>
    <t>mdaa.rsd</t>
  </si>
  <si>
    <t xml:space="preserve">hvff.a </t>
  </si>
  <si>
    <t xml:space="preserve">hvga.a </t>
  </si>
  <si>
    <t xml:space="preserve">hvgb.a </t>
  </si>
  <si>
    <t xml:space="preserve">embt </t>
  </si>
  <si>
    <t xml:space="preserve">hvgc.a </t>
  </si>
  <si>
    <t xml:space="preserve">hvgd.a </t>
  </si>
  <si>
    <t>meaa.p</t>
  </si>
  <si>
    <t xml:space="preserve">hvge.a </t>
  </si>
  <si>
    <t xml:space="preserve">hvgf.a </t>
  </si>
  <si>
    <t xml:space="preserve">hvha.a </t>
  </si>
  <si>
    <t xml:space="preserve">embu </t>
  </si>
  <si>
    <t xml:space="preserve">hvhb.a </t>
  </si>
  <si>
    <t xml:space="preserve">hvhc.a </t>
  </si>
  <si>
    <t>mfaa.p</t>
  </si>
  <si>
    <t xml:space="preserve">hvhd.a </t>
  </si>
  <si>
    <t xml:space="preserve">hvhe.a </t>
  </si>
  <si>
    <t xml:space="preserve">embv </t>
  </si>
  <si>
    <t xml:space="preserve">hvhf.a </t>
  </si>
  <si>
    <t xml:space="preserve">hvia.a </t>
  </si>
  <si>
    <t>mgaa.a</t>
  </si>
  <si>
    <t xml:space="preserve">hvib.a </t>
  </si>
  <si>
    <t xml:space="preserve">hvic.a </t>
  </si>
  <si>
    <t>mhaa.a</t>
  </si>
  <si>
    <t xml:space="preserve">hvid.a </t>
  </si>
  <si>
    <t xml:space="preserve">hvie.a </t>
  </si>
  <si>
    <t>miaa.rsd</t>
  </si>
  <si>
    <t xml:space="preserve">embw </t>
  </si>
  <si>
    <t xml:space="preserve">hvif.a </t>
  </si>
  <si>
    <t xml:space="preserve">hvja.a </t>
  </si>
  <si>
    <t xml:space="preserve">hvjb.a </t>
  </si>
  <si>
    <t xml:space="preserve">hvjc.a </t>
  </si>
  <si>
    <t xml:space="preserve">hvjd.a </t>
  </si>
  <si>
    <t xml:space="preserve">hvje.a </t>
  </si>
  <si>
    <t xml:space="preserve">hvjf.hrc </t>
  </si>
  <si>
    <t>mjaa.rsd</t>
  </si>
  <si>
    <t>P_red_sk</t>
  </si>
  <si>
    <t xml:space="preserve">hwaa.rsd </t>
  </si>
  <si>
    <t xml:space="preserve">embx </t>
  </si>
  <si>
    <t xml:space="preserve">hwab.p </t>
  </si>
  <si>
    <t xml:space="preserve">hwac.rsd </t>
  </si>
  <si>
    <t xml:space="preserve">hwad.p </t>
  </si>
  <si>
    <t xml:space="preserve">hwae.rsd </t>
  </si>
  <si>
    <t xml:space="preserve">hwaf.p </t>
  </si>
  <si>
    <t xml:space="preserve">hwba.rsd </t>
  </si>
  <si>
    <t>mkaa.rsd</t>
  </si>
  <si>
    <t xml:space="preserve">hwbb.p </t>
  </si>
  <si>
    <t xml:space="preserve">emby </t>
  </si>
  <si>
    <t xml:space="preserve">hwbc.tex </t>
  </si>
  <si>
    <t xml:space="preserve">hwbd.rsd </t>
  </si>
  <si>
    <t xml:space="preserve">hwbe.p </t>
  </si>
  <si>
    <t xml:space="preserve">hwbf.rsd </t>
  </si>
  <si>
    <t xml:space="preserve">hwca.p </t>
  </si>
  <si>
    <t>mlaa.rsd</t>
  </si>
  <si>
    <t xml:space="preserve">hwcb.rsd </t>
  </si>
  <si>
    <t xml:space="preserve">hwcc.p </t>
  </si>
  <si>
    <t xml:space="preserve">emcb </t>
  </si>
  <si>
    <t xml:space="preserve">hwcd.rsd </t>
  </si>
  <si>
    <t xml:space="preserve">hwce.p </t>
  </si>
  <si>
    <t xml:space="preserve">hwcf.rsd </t>
  </si>
  <si>
    <t xml:space="preserve">hwda.p </t>
  </si>
  <si>
    <t xml:space="preserve">hwdb.rsd </t>
  </si>
  <si>
    <t>mmaa.rsd</t>
  </si>
  <si>
    <t xml:space="preserve">hwdc.p </t>
  </si>
  <si>
    <t xml:space="preserve">hwdd.rsd </t>
  </si>
  <si>
    <t xml:space="preserve">hwde.p </t>
  </si>
  <si>
    <t xml:space="preserve">emcc </t>
  </si>
  <si>
    <t xml:space="preserve">hwdf.rsd </t>
  </si>
  <si>
    <t xml:space="preserve">hwea.p </t>
  </si>
  <si>
    <t xml:space="preserve">hweb.rsd </t>
  </si>
  <si>
    <t xml:space="preserve">hwec.p </t>
  </si>
  <si>
    <t xml:space="preserve">hwed.rsd </t>
  </si>
  <si>
    <t>mnaa.p</t>
  </si>
  <si>
    <t xml:space="preserve">hwee.p </t>
  </si>
  <si>
    <t xml:space="preserve">hwef.rsd </t>
  </si>
  <si>
    <t xml:space="preserve">hwfa.p </t>
  </si>
  <si>
    <t xml:space="preserve">emcd </t>
  </si>
  <si>
    <t xml:space="preserve">hwfb.rsd </t>
  </si>
  <si>
    <t xml:space="preserve">hwfc.p </t>
  </si>
  <si>
    <t xml:space="preserve">hwfd.rsd </t>
  </si>
  <si>
    <t xml:space="preserve">hwfe.p </t>
  </si>
  <si>
    <t>moaa.p</t>
  </si>
  <si>
    <t xml:space="preserve">hwff.rsd </t>
  </si>
  <si>
    <t xml:space="preserve">hwga.p </t>
  </si>
  <si>
    <t xml:space="preserve">hwgb.rsd </t>
  </si>
  <si>
    <t xml:space="preserve">hwgc.p </t>
  </si>
  <si>
    <t xml:space="preserve">emcf </t>
  </si>
  <si>
    <t xml:space="preserve">hwgd.rsd </t>
  </si>
  <si>
    <t xml:space="preserve">hwge.p </t>
  </si>
  <si>
    <t xml:space="preserve">hwgf.rsd </t>
  </si>
  <si>
    <t>mpaa.rsd</t>
  </si>
  <si>
    <t xml:space="preserve">hwha.p </t>
  </si>
  <si>
    <t xml:space="preserve">hwhb.rsd </t>
  </si>
  <si>
    <t xml:space="preserve">hwhc.p </t>
  </si>
  <si>
    <t xml:space="preserve">hwhd.rsd </t>
  </si>
  <si>
    <t xml:space="preserve">hwhe.p </t>
  </si>
  <si>
    <t xml:space="preserve">hwhf.a </t>
  </si>
  <si>
    <t xml:space="preserve">hwia.a </t>
  </si>
  <si>
    <t>mqaa.rsd</t>
  </si>
  <si>
    <t xml:space="preserve">hwib.hrc </t>
  </si>
  <si>
    <t xml:space="preserve">emcg </t>
  </si>
  <si>
    <t>para_sk</t>
  </si>
  <si>
    <t xml:space="preserve">hwic.rsd </t>
  </si>
  <si>
    <t xml:space="preserve">hwid.p </t>
  </si>
  <si>
    <t xml:space="preserve">hwie.tex </t>
  </si>
  <si>
    <t xml:space="preserve">hwif.rsd </t>
  </si>
  <si>
    <t xml:space="preserve">hwja.p </t>
  </si>
  <si>
    <t xml:space="preserve">hwjb.tex </t>
  </si>
  <si>
    <t>mraa.rsd</t>
  </si>
  <si>
    <t xml:space="preserve">hwjc.rsd </t>
  </si>
  <si>
    <t xml:space="preserve">emch </t>
  </si>
  <si>
    <t xml:space="preserve">hwjd.p </t>
  </si>
  <si>
    <t xml:space="preserve">hwje.tex </t>
  </si>
  <si>
    <t xml:space="preserve">hwjf.rsd </t>
  </si>
  <si>
    <t xml:space="preserve">hxaa.p </t>
  </si>
  <si>
    <t xml:space="preserve">hxab.tex </t>
  </si>
  <si>
    <t>msaa.rsd</t>
  </si>
  <si>
    <t xml:space="preserve">hxac.a </t>
  </si>
  <si>
    <t xml:space="preserve">emda </t>
  </si>
  <si>
    <t xml:space="preserve">hxad.a </t>
  </si>
  <si>
    <t xml:space="preserve">hxae.a </t>
  </si>
  <si>
    <t xml:space="preserve">enaa </t>
  </si>
  <si>
    <t xml:space="preserve">hxaf.a </t>
  </si>
  <si>
    <t>Grand Horn:Battle Skeleton</t>
  </si>
  <si>
    <t xml:space="preserve">hxba.a </t>
  </si>
  <si>
    <t>mtaa.tex</t>
  </si>
  <si>
    <t xml:space="preserve">hxbb.a </t>
  </si>
  <si>
    <t xml:space="preserve">hxbc.hrc </t>
  </si>
  <si>
    <t>robo_sk</t>
  </si>
  <si>
    <t xml:space="preserve">hxbd.rsd </t>
  </si>
  <si>
    <t xml:space="preserve">enab </t>
  </si>
  <si>
    <t xml:space="preserve">hxbe.p </t>
  </si>
  <si>
    <t>Grand Horn: Unidentified Part</t>
  </si>
  <si>
    <t>muaa.tex</t>
  </si>
  <si>
    <t xml:space="preserve">hxbf.rsd </t>
  </si>
  <si>
    <t xml:space="preserve">enam </t>
  </si>
  <si>
    <t xml:space="preserve">hxca.p </t>
  </si>
  <si>
    <t xml:space="preserve">hxcb.rsd </t>
  </si>
  <si>
    <t xml:space="preserve">hxcc.p </t>
  </si>
  <si>
    <t xml:space="preserve">hxcd.rsd </t>
  </si>
  <si>
    <t>naaa.rsd</t>
  </si>
  <si>
    <t xml:space="preserve">hxce.p </t>
  </si>
  <si>
    <t xml:space="preserve">hxcf.rsd </t>
  </si>
  <si>
    <t xml:space="preserve">enan </t>
  </si>
  <si>
    <t xml:space="preserve">hxda.p </t>
  </si>
  <si>
    <t xml:space="preserve">hxdb.rsd </t>
  </si>
  <si>
    <t>nbaa.rsd</t>
  </si>
  <si>
    <t xml:space="preserve">hxdc.p </t>
  </si>
  <si>
    <t xml:space="preserve">hxdd.rsd </t>
  </si>
  <si>
    <t xml:space="preserve">hxde.p </t>
  </si>
  <si>
    <t xml:space="preserve">enaq </t>
  </si>
  <si>
    <t xml:space="preserve">hxdf.rsd </t>
  </si>
  <si>
    <t>ncaa.rsd</t>
  </si>
  <si>
    <t xml:space="preserve">hxea.p </t>
  </si>
  <si>
    <t xml:space="preserve">hxeb.rsd </t>
  </si>
  <si>
    <t xml:space="preserve">hxec.p </t>
  </si>
  <si>
    <t xml:space="preserve">hxed.rsd </t>
  </si>
  <si>
    <t xml:space="preserve">enar </t>
  </si>
  <si>
    <t xml:space="preserve">hxee.p </t>
  </si>
  <si>
    <t>ndaa.p</t>
  </si>
  <si>
    <t xml:space="preserve">hxef.rsd </t>
  </si>
  <si>
    <t xml:space="preserve">hxfa.p </t>
  </si>
  <si>
    <t xml:space="preserve">hxfb.rsd </t>
  </si>
  <si>
    <t xml:space="preserve">enat </t>
  </si>
  <si>
    <t>neaa.rsd</t>
  </si>
  <si>
    <t xml:space="preserve">hxfc.p </t>
  </si>
  <si>
    <t xml:space="preserve">hxfd.rsd </t>
  </si>
  <si>
    <t xml:space="preserve">hxfe.p </t>
  </si>
  <si>
    <t xml:space="preserve">hxff.rsd </t>
  </si>
  <si>
    <t xml:space="preserve">enav </t>
  </si>
  <si>
    <t xml:space="preserve">hxga.p </t>
  </si>
  <si>
    <t>nfaa.hrc</t>
  </si>
  <si>
    <t xml:space="preserve">hxgb.rsd </t>
  </si>
  <si>
    <t xml:space="preserve">hxgc.p </t>
  </si>
  <si>
    <t xml:space="preserve">hxgd.rsd </t>
  </si>
  <si>
    <t xml:space="preserve">hxge.p </t>
  </si>
  <si>
    <t xml:space="preserve">enax </t>
  </si>
  <si>
    <t xml:space="preserve">hxgf.rsd </t>
  </si>
  <si>
    <t>ngaa.a</t>
  </si>
  <si>
    <t xml:space="preserve">hxha.p </t>
  </si>
  <si>
    <t>nhaa.a</t>
  </si>
  <si>
    <t xml:space="preserve">hxhb.rsd </t>
  </si>
  <si>
    <t xml:space="preserve">hxhc.p </t>
  </si>
  <si>
    <t>niaa.p</t>
  </si>
  <si>
    <t xml:space="preserve">hxhd.rsd </t>
  </si>
  <si>
    <t xml:space="preserve">enaz </t>
  </si>
  <si>
    <t xml:space="preserve">hxhe.p </t>
  </si>
  <si>
    <t xml:space="preserve">hxhf.rsd </t>
  </si>
  <si>
    <t xml:space="preserve">hxia.p </t>
  </si>
  <si>
    <t xml:space="preserve">hxib.a </t>
  </si>
  <si>
    <t xml:space="preserve">hxic.a </t>
  </si>
  <si>
    <t xml:space="preserve">enba </t>
  </si>
  <si>
    <t>njaa.p</t>
  </si>
  <si>
    <t xml:space="preserve">hxid.a </t>
  </si>
  <si>
    <t xml:space="preserve">hxie.a </t>
  </si>
  <si>
    <t xml:space="preserve">hxif.a </t>
  </si>
  <si>
    <t xml:space="preserve">hxja.a </t>
  </si>
  <si>
    <t xml:space="preserve">enbb </t>
  </si>
  <si>
    <t xml:space="preserve">hxjb.a </t>
  </si>
  <si>
    <t xml:space="preserve">hxjc.a </t>
  </si>
  <si>
    <t xml:space="preserve">hxjd.a </t>
  </si>
  <si>
    <t>nkaa.p</t>
  </si>
  <si>
    <t xml:space="preserve">hxje.a </t>
  </si>
  <si>
    <t xml:space="preserve">hxjf.a </t>
  </si>
  <si>
    <t xml:space="preserve">enbe </t>
  </si>
  <si>
    <t xml:space="preserve">hyaa.a </t>
  </si>
  <si>
    <t xml:space="preserve">hyab.a </t>
  </si>
  <si>
    <t>nlaa.p</t>
  </si>
  <si>
    <t xml:space="preserve">hyac.a </t>
  </si>
  <si>
    <t xml:space="preserve">hyad.a </t>
  </si>
  <si>
    <t xml:space="preserve">hyae.a </t>
  </si>
  <si>
    <t xml:space="preserve">hyaf.a </t>
  </si>
  <si>
    <t xml:space="preserve">hyba.a </t>
  </si>
  <si>
    <t xml:space="preserve">enbf </t>
  </si>
  <si>
    <t>nmaa.p</t>
  </si>
  <si>
    <t xml:space="preserve">hybb.a </t>
  </si>
  <si>
    <t xml:space="preserve">hybc.a </t>
  </si>
  <si>
    <t xml:space="preserve">hybd.a </t>
  </si>
  <si>
    <t xml:space="preserve">hybe.a </t>
  </si>
  <si>
    <t>nnaa.rsd</t>
  </si>
  <si>
    <t xml:space="preserve">hybf.a </t>
  </si>
  <si>
    <t xml:space="preserve">hyca.a </t>
  </si>
  <si>
    <t xml:space="preserve">hycb.a </t>
  </si>
  <si>
    <t xml:space="preserve">enbh </t>
  </si>
  <si>
    <t xml:space="preserve">hycc.a </t>
  </si>
  <si>
    <t xml:space="preserve">hycd.a </t>
  </si>
  <si>
    <t>noaa.rsd</t>
  </si>
  <si>
    <t xml:space="preserve">hyce.a </t>
  </si>
  <si>
    <t xml:space="preserve">hycf.a </t>
  </si>
  <si>
    <t xml:space="preserve">hyda.a </t>
  </si>
  <si>
    <t xml:space="preserve">enbj </t>
  </si>
  <si>
    <t xml:space="preserve">hydb.a </t>
  </si>
  <si>
    <t>npaa.p</t>
  </si>
  <si>
    <t xml:space="preserve">hydc.a </t>
  </si>
  <si>
    <t xml:space="preserve">hydd.a </t>
  </si>
  <si>
    <t xml:space="preserve">hyde.a </t>
  </si>
  <si>
    <t xml:space="preserve">hydf.a </t>
  </si>
  <si>
    <t xml:space="preserve">hyea.a </t>
  </si>
  <si>
    <t>nqaa.p</t>
  </si>
  <si>
    <t xml:space="preserve">enbl </t>
  </si>
  <si>
    <t xml:space="preserve">hyeb.a </t>
  </si>
  <si>
    <t xml:space="preserve">hyec.a </t>
  </si>
  <si>
    <t xml:space="preserve">hyed.a </t>
  </si>
  <si>
    <t xml:space="preserve">hyee.a </t>
  </si>
  <si>
    <t>nraa.p</t>
  </si>
  <si>
    <t xml:space="preserve">enbn </t>
  </si>
  <si>
    <t xml:space="preserve">hyef.a </t>
  </si>
  <si>
    <t xml:space="preserve">hyfa.a </t>
  </si>
  <si>
    <t xml:space="preserve">hyfb.a </t>
  </si>
  <si>
    <t xml:space="preserve">hyfc.a </t>
  </si>
  <si>
    <t xml:space="preserve">hyfd.hrc </t>
  </si>
  <si>
    <t>nsaa.p</t>
  </si>
  <si>
    <t>jenova_sk</t>
  </si>
  <si>
    <t xml:space="preserve">hyfe.rsd </t>
  </si>
  <si>
    <t xml:space="preserve">enbo </t>
  </si>
  <si>
    <t xml:space="preserve">hyff.p </t>
  </si>
  <si>
    <t xml:space="preserve">hyga.rsd </t>
  </si>
  <si>
    <t xml:space="preserve">hygb.p </t>
  </si>
  <si>
    <t>ntaa.rsd</t>
  </si>
  <si>
    <t xml:space="preserve">hygc.rsd </t>
  </si>
  <si>
    <t xml:space="preserve">hygd.p </t>
  </si>
  <si>
    <t xml:space="preserve">enbp </t>
  </si>
  <si>
    <t xml:space="preserve">hyge.rsd </t>
  </si>
  <si>
    <t xml:space="preserve">hygf.p </t>
  </si>
  <si>
    <t xml:space="preserve">hyha.rsd </t>
  </si>
  <si>
    <t>nuaa.tex</t>
  </si>
  <si>
    <t>Portraits</t>
  </si>
  <si>
    <t xml:space="preserve">hyhb.p </t>
  </si>
  <si>
    <t xml:space="preserve">enda </t>
  </si>
  <si>
    <t xml:space="preserve">hyhc.rsd </t>
  </si>
  <si>
    <t xml:space="preserve">hyhd.p </t>
  </si>
  <si>
    <t xml:space="preserve">eoaa </t>
  </si>
  <si>
    <t xml:space="preserve">hyhe.rsd </t>
  </si>
  <si>
    <t>oaaa.p</t>
  </si>
  <si>
    <t>Gagighandi: Battle Skeleton</t>
  </si>
  <si>
    <t xml:space="preserve">hyhf.p </t>
  </si>
  <si>
    <t xml:space="preserve">hyia.rsd </t>
  </si>
  <si>
    <t xml:space="preserve">hyib.p </t>
  </si>
  <si>
    <t xml:space="preserve">hyic.rsd </t>
  </si>
  <si>
    <t>obaa.p</t>
  </si>
  <si>
    <t xml:space="preserve">hyid.p </t>
  </si>
  <si>
    <t xml:space="preserve">eoab </t>
  </si>
  <si>
    <t>Gagighandi: Unidentified Part</t>
  </si>
  <si>
    <t xml:space="preserve">hyie.rsd </t>
  </si>
  <si>
    <t xml:space="preserve">eoam </t>
  </si>
  <si>
    <t xml:space="preserve">hyif.p </t>
  </si>
  <si>
    <t xml:space="preserve">hyja.rsd </t>
  </si>
  <si>
    <t xml:space="preserve">hyjb.p </t>
  </si>
  <si>
    <t>ocaa.p</t>
  </si>
  <si>
    <t xml:space="preserve">hyjc.rsd </t>
  </si>
  <si>
    <t xml:space="preserve">hyjd.p </t>
  </si>
  <si>
    <t xml:space="preserve">eoan </t>
  </si>
  <si>
    <t xml:space="preserve">hyje.rsd </t>
  </si>
  <si>
    <t xml:space="preserve">hyjf.p </t>
  </si>
  <si>
    <t>odaa.rsd</t>
  </si>
  <si>
    <t xml:space="preserve">hzaa.rsd </t>
  </si>
  <si>
    <t xml:space="preserve">hzab.p </t>
  </si>
  <si>
    <t xml:space="preserve">eoao </t>
  </si>
  <si>
    <t xml:space="preserve">hzac.rsd </t>
  </si>
  <si>
    <t>oeaa.p</t>
  </si>
  <si>
    <t xml:space="preserve">hzad.p </t>
  </si>
  <si>
    <t xml:space="preserve">hzae.rsd </t>
  </si>
  <si>
    <t xml:space="preserve">eoap </t>
  </si>
  <si>
    <t xml:space="preserve">hzaf.p </t>
  </si>
  <si>
    <t xml:space="preserve">hzba.rsd </t>
  </si>
  <si>
    <t>ofaa.rsd</t>
  </si>
  <si>
    <t xml:space="preserve">hzbb.p </t>
  </si>
  <si>
    <t>Blue Bike: Body</t>
  </si>
  <si>
    <t>Blue Bike</t>
  </si>
  <si>
    <t xml:space="preserve">hzbc.rsd </t>
  </si>
  <si>
    <t xml:space="preserve">hzbd.p </t>
  </si>
  <si>
    <t xml:space="preserve">eoaq </t>
  </si>
  <si>
    <t xml:space="preserve">hzbe.rsd </t>
  </si>
  <si>
    <t xml:space="preserve">hzbf.p </t>
  </si>
  <si>
    <t>ogaa.a</t>
  </si>
  <si>
    <t xml:space="preserve">hzca.rsd </t>
  </si>
  <si>
    <t xml:space="preserve">hzcb.p </t>
  </si>
  <si>
    <t>ohaa.a</t>
  </si>
  <si>
    <t xml:space="preserve">eoas </t>
  </si>
  <si>
    <t xml:space="preserve">hzcc.rsd </t>
  </si>
  <si>
    <t>oiaa.rsd</t>
  </si>
  <si>
    <t xml:space="preserve">hzcd.p </t>
  </si>
  <si>
    <t xml:space="preserve">hzce.rsd </t>
  </si>
  <si>
    <t xml:space="preserve">hzcf.p </t>
  </si>
  <si>
    <t xml:space="preserve">hzda.rsd </t>
  </si>
  <si>
    <t>ojaa.rsd</t>
  </si>
  <si>
    <t xml:space="preserve">eoav </t>
  </si>
  <si>
    <t xml:space="preserve">hzdb.p </t>
  </si>
  <si>
    <t xml:space="preserve">hzdc.rsd </t>
  </si>
  <si>
    <t xml:space="preserve">hzdd.p </t>
  </si>
  <si>
    <t xml:space="preserve">hzde.rsd </t>
  </si>
  <si>
    <t>okaa.rsd</t>
  </si>
  <si>
    <t xml:space="preserve">eobb </t>
  </si>
  <si>
    <t xml:space="preserve">hzdf.p </t>
  </si>
  <si>
    <t xml:space="preserve">hzea.rsd </t>
  </si>
  <si>
    <t xml:space="preserve">hzeb.p </t>
  </si>
  <si>
    <t xml:space="preserve">hzec.a </t>
  </si>
  <si>
    <t>olaa.rsd</t>
  </si>
  <si>
    <t xml:space="preserve">hzed.a </t>
  </si>
  <si>
    <t xml:space="preserve">eobc </t>
  </si>
  <si>
    <t xml:space="preserve">hzee.a </t>
  </si>
  <si>
    <t xml:space="preserve">hzef.a </t>
  </si>
  <si>
    <t xml:space="preserve">hzfa.a </t>
  </si>
  <si>
    <t>omaa.rsd</t>
  </si>
  <si>
    <t xml:space="preserve">hzfb.a </t>
  </si>
  <si>
    <t xml:space="preserve">eobd </t>
  </si>
  <si>
    <t xml:space="preserve">hzfc.a </t>
  </si>
  <si>
    <t xml:space="preserve">hzfd.a </t>
  </si>
  <si>
    <t xml:space="preserve">hzfe.a </t>
  </si>
  <si>
    <t xml:space="preserve">hzff.a </t>
  </si>
  <si>
    <t>onaa.p</t>
  </si>
  <si>
    <t xml:space="preserve">eobg </t>
  </si>
  <si>
    <t xml:space="preserve">hzga.a </t>
  </si>
  <si>
    <t xml:space="preserve">hzgb.a </t>
  </si>
  <si>
    <t xml:space="preserve">hzgc.a </t>
  </si>
  <si>
    <t xml:space="preserve">hzgd.a </t>
  </si>
  <si>
    <t>ooaa.p</t>
  </si>
  <si>
    <t xml:space="preserve">eobh </t>
  </si>
  <si>
    <t xml:space="preserve">hzge.a </t>
  </si>
  <si>
    <t xml:space="preserve">hzgf.a </t>
  </si>
  <si>
    <t xml:space="preserve">hzha.a </t>
  </si>
  <si>
    <t xml:space="preserve">hzhb.a </t>
  </si>
  <si>
    <t>opaa.rsd</t>
  </si>
  <si>
    <t xml:space="preserve">eobi </t>
  </si>
  <si>
    <t xml:space="preserve">hzhc.a </t>
  </si>
  <si>
    <t xml:space="preserve">hzhd.a </t>
  </si>
  <si>
    <t xml:space="preserve">hzhe.a </t>
  </si>
  <si>
    <t xml:space="preserve">hzhf.a </t>
  </si>
  <si>
    <t>oqaa.rsd</t>
  </si>
  <si>
    <t xml:space="preserve">hzia.a </t>
  </si>
  <si>
    <t xml:space="preserve">hzib.a </t>
  </si>
  <si>
    <t xml:space="preserve">eobj </t>
  </si>
  <si>
    <t xml:space="preserve">hzic.a </t>
  </si>
  <si>
    <t xml:space="preserve">hzid.a </t>
  </si>
  <si>
    <t xml:space="preserve">hzie.a </t>
  </si>
  <si>
    <t>oraa.rsd</t>
  </si>
  <si>
    <t xml:space="preserve">hzif.a </t>
  </si>
  <si>
    <t xml:space="preserve">hzja.a </t>
  </si>
  <si>
    <t xml:space="preserve">hzjb.a </t>
  </si>
  <si>
    <t xml:space="preserve">hzjc.a </t>
  </si>
  <si>
    <t xml:space="preserve">eobm </t>
  </si>
  <si>
    <t xml:space="preserve">hzjd.a </t>
  </si>
  <si>
    <t>osaa.tex</t>
  </si>
  <si>
    <t xml:space="preserve">hzje.a </t>
  </si>
  <si>
    <t xml:space="preserve">hzjf.a </t>
  </si>
  <si>
    <t xml:space="preserve">iaaa.a </t>
  </si>
  <si>
    <t xml:space="preserve">iaab.a </t>
  </si>
  <si>
    <t>otaa.p</t>
  </si>
  <si>
    <t xml:space="preserve">iaac.a </t>
  </si>
  <si>
    <t xml:space="preserve">iaad.a </t>
  </si>
  <si>
    <t xml:space="preserve">iaae.a </t>
  </si>
  <si>
    <t xml:space="preserve">eobn </t>
  </si>
  <si>
    <t xml:space="preserve">iaaf.a </t>
  </si>
  <si>
    <t>paaa.rsd</t>
  </si>
  <si>
    <t xml:space="preserve">iaba.a </t>
  </si>
  <si>
    <t xml:space="preserve">iabb.a </t>
  </si>
  <si>
    <t xml:space="preserve">iabc.a </t>
  </si>
  <si>
    <t xml:space="preserve">iabd.a </t>
  </si>
  <si>
    <t xml:space="preserve">iabe.a </t>
  </si>
  <si>
    <t>pbaa.hrc</t>
  </si>
  <si>
    <t xml:space="preserve">iabf.a </t>
  </si>
  <si>
    <t xml:space="preserve">eobo </t>
  </si>
  <si>
    <t>Black Bike</t>
  </si>
  <si>
    <t xml:space="preserve">iaca.a </t>
  </si>
  <si>
    <t xml:space="preserve">iacb.a </t>
  </si>
  <si>
    <t xml:space="preserve">iacc.a </t>
  </si>
  <si>
    <t xml:space="preserve">iacd.a </t>
  </si>
  <si>
    <t xml:space="preserve">iace.a </t>
  </si>
  <si>
    <t>pcaa.tex</t>
  </si>
  <si>
    <t>Barret part of face</t>
  </si>
  <si>
    <t xml:space="preserve">iacf.a </t>
  </si>
  <si>
    <t xml:space="preserve">iada.a </t>
  </si>
  <si>
    <t xml:space="preserve">iadb.a </t>
  </si>
  <si>
    <t xml:space="preserve">eobp </t>
  </si>
  <si>
    <t xml:space="preserve">iadc.a </t>
  </si>
  <si>
    <t>pdaa.p</t>
  </si>
  <si>
    <t xml:space="preserve">iadd.a </t>
  </si>
  <si>
    <t xml:space="preserve">iade.a </t>
  </si>
  <si>
    <t xml:space="preserve">iadf.a </t>
  </si>
  <si>
    <t xml:space="preserve">iaea.a </t>
  </si>
  <si>
    <t xml:space="preserve">iaeb.a </t>
  </si>
  <si>
    <t>peaa.rsd</t>
  </si>
  <si>
    <t xml:space="preserve">iaec.a </t>
  </si>
  <si>
    <t xml:space="preserve">eobs </t>
  </si>
  <si>
    <t xml:space="preserve">iaed.a </t>
  </si>
  <si>
    <t xml:space="preserve">iaee.a </t>
  </si>
  <si>
    <t xml:space="preserve">iaef.a </t>
  </si>
  <si>
    <t>pfaa.p</t>
  </si>
  <si>
    <t xml:space="preserve">iafa.a </t>
  </si>
  <si>
    <t xml:space="preserve">iafb.a </t>
  </si>
  <si>
    <t xml:space="preserve">iafc.a </t>
  </si>
  <si>
    <t xml:space="preserve">iafd.a </t>
  </si>
  <si>
    <t xml:space="preserve">eobt </t>
  </si>
  <si>
    <t xml:space="preserve">iafe.a </t>
  </si>
  <si>
    <t xml:space="preserve">iaff.a </t>
  </si>
  <si>
    <t>pgaa.a</t>
  </si>
  <si>
    <t xml:space="preserve">iaga.a </t>
  </si>
  <si>
    <t>phaa.a</t>
  </si>
  <si>
    <t xml:space="preserve">iagb.a </t>
  </si>
  <si>
    <t>piaa.p</t>
  </si>
  <si>
    <t xml:space="preserve">iagc.a </t>
  </si>
  <si>
    <t xml:space="preserve">iagd.a </t>
  </si>
  <si>
    <t xml:space="preserve">iage.a </t>
  </si>
  <si>
    <t xml:space="preserve">eobu </t>
  </si>
  <si>
    <t xml:space="preserve">iagf.a </t>
  </si>
  <si>
    <t xml:space="preserve">iaha.a </t>
  </si>
  <si>
    <t>pjaa.p</t>
  </si>
  <si>
    <t xml:space="preserve">iahb.a </t>
  </si>
  <si>
    <t xml:space="preserve">iahc.a </t>
  </si>
  <si>
    <t xml:space="preserve">iahd.a </t>
  </si>
  <si>
    <t xml:space="preserve">iahe.a </t>
  </si>
  <si>
    <t xml:space="preserve">iahf.a </t>
  </si>
  <si>
    <t xml:space="preserve">eobv </t>
  </si>
  <si>
    <t>pkaa.p</t>
  </si>
  <si>
    <t xml:space="preserve">iaia.a </t>
  </si>
  <si>
    <t xml:space="preserve">iaib.a </t>
  </si>
  <si>
    <t xml:space="preserve">iaic.a </t>
  </si>
  <si>
    <t xml:space="preserve">iaid.a </t>
  </si>
  <si>
    <t xml:space="preserve">iaie.a </t>
  </si>
  <si>
    <t xml:space="preserve">iaif.a </t>
  </si>
  <si>
    <t>plaa.p</t>
  </si>
  <si>
    <t xml:space="preserve">eobw </t>
  </si>
  <si>
    <t xml:space="preserve">iaja.a </t>
  </si>
  <si>
    <t xml:space="preserve">iajb.a </t>
  </si>
  <si>
    <t xml:space="preserve">iajc.a </t>
  </si>
  <si>
    <t xml:space="preserve">iajd.hrc </t>
  </si>
  <si>
    <t>beam_sk</t>
  </si>
  <si>
    <t xml:space="preserve">iaje.rsd </t>
  </si>
  <si>
    <t xml:space="preserve">iajf.p </t>
  </si>
  <si>
    <t>pmaa.p</t>
  </si>
  <si>
    <t xml:space="preserve">ibaa.tex </t>
  </si>
  <si>
    <t xml:space="preserve">ibab.a </t>
  </si>
  <si>
    <t xml:space="preserve">eobx </t>
  </si>
  <si>
    <t xml:space="preserve">ibac.a </t>
  </si>
  <si>
    <t xml:space="preserve">ibad.hrc </t>
  </si>
  <si>
    <t>lzacks_sk</t>
  </si>
  <si>
    <t xml:space="preserve">ibae.rsd </t>
  </si>
  <si>
    <t xml:space="preserve">ibaf.p </t>
  </si>
  <si>
    <t>pnaa.rsd</t>
  </si>
  <si>
    <t xml:space="preserve">ibba.rsd </t>
  </si>
  <si>
    <t xml:space="preserve">eoby </t>
  </si>
  <si>
    <t xml:space="preserve">ibbb.p </t>
  </si>
  <si>
    <t xml:space="preserve">ibbc.rsd </t>
  </si>
  <si>
    <t xml:space="preserve">ibbd.p </t>
  </si>
  <si>
    <t>poaa.rsd</t>
  </si>
  <si>
    <t xml:space="preserve">ibbe.tex </t>
  </si>
  <si>
    <t xml:space="preserve">ibbf.tex </t>
  </si>
  <si>
    <t xml:space="preserve">eobz </t>
  </si>
  <si>
    <t xml:space="preserve">ibca.tex </t>
  </si>
  <si>
    <t xml:space="preserve">ibcb.rsd </t>
  </si>
  <si>
    <t xml:space="preserve">ibcc.p </t>
  </si>
  <si>
    <t>ppaa.p</t>
  </si>
  <si>
    <t xml:space="preserve">ibcd.rsd </t>
  </si>
  <si>
    <t xml:space="preserve">ibce.p </t>
  </si>
  <si>
    <t xml:space="preserve">ibcf.rsd </t>
  </si>
  <si>
    <t xml:space="preserve">eoda </t>
  </si>
  <si>
    <t xml:space="preserve">ibda.p </t>
  </si>
  <si>
    <t>pqaa.p</t>
  </si>
  <si>
    <t xml:space="preserve">ibdb.rsd </t>
  </si>
  <si>
    <t xml:space="preserve">epaa </t>
  </si>
  <si>
    <t xml:space="preserve">ibdc.p </t>
  </si>
  <si>
    <t>Touch Me: Battle Skeleton</t>
  </si>
  <si>
    <t xml:space="preserve">ibdd.rsd </t>
  </si>
  <si>
    <t xml:space="preserve">ibde.p </t>
  </si>
  <si>
    <t>praa.p</t>
  </si>
  <si>
    <t xml:space="preserve">ibdf.rsd </t>
  </si>
  <si>
    <t xml:space="preserve">ibea.p </t>
  </si>
  <si>
    <t xml:space="preserve">epab </t>
  </si>
  <si>
    <t>Touch Me: Unidentified Part</t>
  </si>
  <si>
    <t xml:space="preserve">epan </t>
  </si>
  <si>
    <t>psaa.rsd</t>
  </si>
  <si>
    <t xml:space="preserve">ibeb.rsd </t>
  </si>
  <si>
    <t xml:space="preserve">ibec.p </t>
  </si>
  <si>
    <t xml:space="preserve">ibed.rsd </t>
  </si>
  <si>
    <t xml:space="preserve">epao </t>
  </si>
  <si>
    <t>ptaa.tex</t>
  </si>
  <si>
    <t xml:space="preserve">ibee.p </t>
  </si>
  <si>
    <t xml:space="preserve">ibef.rsd </t>
  </si>
  <si>
    <t xml:space="preserve">ibfa.p </t>
  </si>
  <si>
    <t xml:space="preserve">ibfb.rsd </t>
  </si>
  <si>
    <t xml:space="preserve">epar </t>
  </si>
  <si>
    <t xml:space="preserve">ibfc.p </t>
  </si>
  <si>
    <t>qaaa.p</t>
  </si>
  <si>
    <t xml:space="preserve">ibfd.rsd </t>
  </si>
  <si>
    <t xml:space="preserve">ibfe.p </t>
  </si>
  <si>
    <t xml:space="preserve">ibff.rsd </t>
  </si>
  <si>
    <t xml:space="preserve">epas </t>
  </si>
  <si>
    <t xml:space="preserve">ibga.p </t>
  </si>
  <si>
    <t xml:space="preserve">ibgb.a </t>
  </si>
  <si>
    <t xml:space="preserve">ibgc.a </t>
  </si>
  <si>
    <t xml:space="preserve">ibgd.hrc </t>
  </si>
  <si>
    <t>qbaa.rsd</t>
  </si>
  <si>
    <t>szacks_sk</t>
  </si>
  <si>
    <t xml:space="preserve">ibge.rsd </t>
  </si>
  <si>
    <t xml:space="preserve">ibgf.p </t>
  </si>
  <si>
    <t xml:space="preserve">epat </t>
  </si>
  <si>
    <t xml:space="preserve">ibha.rsd </t>
  </si>
  <si>
    <t xml:space="preserve">ibhb.p </t>
  </si>
  <si>
    <t xml:space="preserve">ibhc.rsd </t>
  </si>
  <si>
    <t xml:space="preserve">ibhd.p </t>
  </si>
  <si>
    <t>qcaa.rsd</t>
  </si>
  <si>
    <t xml:space="preserve">ibhe.tex </t>
  </si>
  <si>
    <t xml:space="preserve">ibhf.tex </t>
  </si>
  <si>
    <t xml:space="preserve">epaw </t>
  </si>
  <si>
    <t xml:space="preserve">ibia.tex </t>
  </si>
  <si>
    <t xml:space="preserve">ibib.rsd </t>
  </si>
  <si>
    <t xml:space="preserve">ibic.p </t>
  </si>
  <si>
    <t xml:space="preserve">ibid.rsd </t>
  </si>
  <si>
    <t xml:space="preserve">ibie.p </t>
  </si>
  <si>
    <t>qdaa.rsd</t>
  </si>
  <si>
    <t xml:space="preserve">ibif.rsd </t>
  </si>
  <si>
    <t xml:space="preserve">ibja.p </t>
  </si>
  <si>
    <t xml:space="preserve">ibjb.rsd </t>
  </si>
  <si>
    <t xml:space="preserve">epax </t>
  </si>
  <si>
    <t xml:space="preserve">ibjc.p </t>
  </si>
  <si>
    <t xml:space="preserve">ibjd.rsd </t>
  </si>
  <si>
    <t xml:space="preserve">ibje.p </t>
  </si>
  <si>
    <t xml:space="preserve">ibjf.rsd </t>
  </si>
  <si>
    <t xml:space="preserve">icaa.p </t>
  </si>
  <si>
    <t>qeaa.p</t>
  </si>
  <si>
    <t xml:space="preserve">icab.rsd </t>
  </si>
  <si>
    <t xml:space="preserve">icac.p </t>
  </si>
  <si>
    <t xml:space="preserve">epay </t>
  </si>
  <si>
    <t xml:space="preserve">icad.rsd </t>
  </si>
  <si>
    <t xml:space="preserve">icae.p </t>
  </si>
  <si>
    <t xml:space="preserve">icaf.rsd </t>
  </si>
  <si>
    <t xml:space="preserve">icba.p </t>
  </si>
  <si>
    <t>qfaa.rsd</t>
  </si>
  <si>
    <t xml:space="preserve">icbb.rsd </t>
  </si>
  <si>
    <t xml:space="preserve">icbc.p </t>
  </si>
  <si>
    <t xml:space="preserve">icbd.rsd </t>
  </si>
  <si>
    <t xml:space="preserve">icbe.p </t>
  </si>
  <si>
    <t xml:space="preserve">icbf.rsd </t>
  </si>
  <si>
    <t xml:space="preserve">epba </t>
  </si>
  <si>
    <t xml:space="preserve">icca.p </t>
  </si>
  <si>
    <t xml:space="preserve">iccb.rsd </t>
  </si>
  <si>
    <t>qgaa.a</t>
  </si>
  <si>
    <t xml:space="preserve">iccc.p </t>
  </si>
  <si>
    <t xml:space="preserve">iccd.a </t>
  </si>
  <si>
    <t>qhaa.a</t>
  </si>
  <si>
    <t xml:space="preserve">icce.a </t>
  </si>
  <si>
    <t>qiaa.rsd</t>
  </si>
  <si>
    <t xml:space="preserve">epbb </t>
  </si>
  <si>
    <t>qjaa.rsd</t>
  </si>
  <si>
    <t>qkaa.rsd</t>
  </si>
  <si>
    <t xml:space="preserve">epbc </t>
  </si>
  <si>
    <t xml:space="preserve">iccf.a </t>
  </si>
  <si>
    <t xml:space="preserve">icda.a </t>
  </si>
  <si>
    <t xml:space="preserve">icdb.a </t>
  </si>
  <si>
    <t>qlaa.rsd</t>
  </si>
  <si>
    <t xml:space="preserve">icdc.a </t>
  </si>
  <si>
    <t xml:space="preserve">icdd.a </t>
  </si>
  <si>
    <t xml:space="preserve">icde.a </t>
  </si>
  <si>
    <t xml:space="preserve">epbe </t>
  </si>
  <si>
    <t xml:space="preserve">icdf.a </t>
  </si>
  <si>
    <t xml:space="preserve">icea.a </t>
  </si>
  <si>
    <t xml:space="preserve">iceb.a </t>
  </si>
  <si>
    <t xml:space="preserve">icec.a </t>
  </si>
  <si>
    <t xml:space="preserve">iced.a </t>
  </si>
  <si>
    <t>qmaa.tex</t>
  </si>
  <si>
    <t xml:space="preserve">icee.a </t>
  </si>
  <si>
    <t xml:space="preserve">icef.a </t>
  </si>
  <si>
    <t xml:space="preserve">epbf </t>
  </si>
  <si>
    <t xml:space="preserve">icfa.a </t>
  </si>
  <si>
    <t xml:space="preserve">icfb.a </t>
  </si>
  <si>
    <t xml:space="preserve">icfc.a </t>
  </si>
  <si>
    <t xml:space="preserve">icfd.a </t>
  </si>
  <si>
    <t>qnaa.p</t>
  </si>
  <si>
    <t xml:space="preserve">icfe.a </t>
  </si>
  <si>
    <t xml:space="preserve">icff.a </t>
  </si>
  <si>
    <t xml:space="preserve">epbg </t>
  </si>
  <si>
    <t xml:space="preserve">icga.a </t>
  </si>
  <si>
    <t xml:space="preserve">icgb.a </t>
  </si>
  <si>
    <t xml:space="preserve">icgc.a </t>
  </si>
  <si>
    <t xml:space="preserve">icgd.a </t>
  </si>
  <si>
    <t xml:space="preserve">icge.a </t>
  </si>
  <si>
    <t xml:space="preserve">epda </t>
  </si>
  <si>
    <t xml:space="preserve">icgf.a </t>
  </si>
  <si>
    <t>qoaa.p</t>
  </si>
  <si>
    <t xml:space="preserve">icha.a </t>
  </si>
  <si>
    <t xml:space="preserve">eqaa </t>
  </si>
  <si>
    <t>Crown Lance: Battle Skeleton</t>
  </si>
  <si>
    <t xml:space="preserve">ichb.a </t>
  </si>
  <si>
    <t xml:space="preserve">ichc.a </t>
  </si>
  <si>
    <t xml:space="preserve">ichd.a </t>
  </si>
  <si>
    <t xml:space="preserve">mmmm.p </t>
  </si>
  <si>
    <t xml:space="preserve">mmmn.rsd </t>
  </si>
  <si>
    <t xml:space="preserve">mmmo.hrc </t>
  </si>
  <si>
    <t>qpaa.rsd</t>
  </si>
  <si>
    <t xml:space="preserve">eqab </t>
  </si>
  <si>
    <t>Crown Lance: Unidentified Part</t>
  </si>
  <si>
    <t xml:space="preserve">eqam </t>
  </si>
  <si>
    <t>qqaa.rsd</t>
  </si>
  <si>
    <t xml:space="preserve">eqao </t>
  </si>
  <si>
    <t xml:space="preserve">eqaq </t>
  </si>
  <si>
    <t>qraa.rsd</t>
  </si>
  <si>
    <t xml:space="preserve">eqat </t>
  </si>
  <si>
    <t>qsaa.p</t>
  </si>
  <si>
    <t xml:space="preserve">eqav </t>
  </si>
  <si>
    <t>qtaa.tex</t>
  </si>
  <si>
    <t xml:space="preserve">eqax </t>
  </si>
  <si>
    <t>raaa.rsd</t>
  </si>
  <si>
    <t xml:space="preserve">eqaz </t>
  </si>
  <si>
    <t>rbaa.p</t>
  </si>
  <si>
    <t>956 Bytes</t>
  </si>
  <si>
    <t xml:space="preserve">eqba </t>
  </si>
  <si>
    <t>rcaa.p</t>
  </si>
  <si>
    <t xml:space="preserve">eqbb </t>
  </si>
  <si>
    <t>932 Bytes</t>
  </si>
  <si>
    <t>rdaa.p</t>
  </si>
  <si>
    <t xml:space="preserve">eqbc </t>
  </si>
  <si>
    <t>reaa.rsd</t>
  </si>
  <si>
    <t xml:space="preserve">eqbe </t>
  </si>
  <si>
    <t>rfaa.p</t>
  </si>
  <si>
    <t xml:space="preserve">eqbf </t>
  </si>
  <si>
    <t>rgaa.a</t>
  </si>
  <si>
    <t>rhaa.a</t>
  </si>
  <si>
    <t>riaa.p</t>
  </si>
  <si>
    <t xml:space="preserve">eqbg </t>
  </si>
  <si>
    <t>rjaa.p</t>
  </si>
  <si>
    <t xml:space="preserve">eqbh </t>
  </si>
  <si>
    <t>rkaa.p</t>
  </si>
  <si>
    <t xml:space="preserve">eqbj </t>
  </si>
  <si>
    <t>rlaa.p</t>
  </si>
  <si>
    <t xml:space="preserve">eqbk </t>
  </si>
  <si>
    <t>rmaa.rsd</t>
  </si>
  <si>
    <t xml:space="preserve">eqbl </t>
  </si>
  <si>
    <t>rnaa.rsd</t>
  </si>
  <si>
    <t xml:space="preserve">eqbm </t>
  </si>
  <si>
    <t>roaa.rsd</t>
  </si>
  <si>
    <t xml:space="preserve">eqbo </t>
  </si>
  <si>
    <t>rpaa.p</t>
  </si>
  <si>
    <t xml:space="preserve">eqbp </t>
  </si>
  <si>
    <t>rqaa.p</t>
  </si>
  <si>
    <t xml:space="preserve">eqbq </t>
  </si>
  <si>
    <t xml:space="preserve">eqbr </t>
  </si>
  <si>
    <t>rraa.p</t>
  </si>
  <si>
    <t xml:space="preserve">eqbt </t>
  </si>
  <si>
    <t>rsaa.tex</t>
  </si>
  <si>
    <t xml:space="preserve">eqbu </t>
  </si>
  <si>
    <t>rtaa.tex</t>
  </si>
  <si>
    <t xml:space="preserve">eqbv </t>
  </si>
  <si>
    <t>section needs an index.</t>
  </si>
  <si>
    <t>saaa.p</t>
  </si>
  <si>
    <t xml:space="preserve">IMPORTANT: Magic.lgp needs to be extracted with aali's lgp/unlgp to correctly view the folders. These folders are divided by categories like magic, summons or limits for example. Inside these categorized folders you find more folders of the corresponding group, for example magic folder has folders for ice, ice2, bio etc. Inside these folders you can view the files that build the specific effect, for example inside the quake folder you can find that magic texture and model. Those last subfolders are not divided in the sheet to keep it clean It is still unkown why there are files outside all these folders. </t>
  </si>
  <si>
    <t xml:space="preserve">eqbw </t>
  </si>
  <si>
    <t>sbaa.rsd</t>
  </si>
  <si>
    <t xml:space="preserve">eqda </t>
  </si>
  <si>
    <t xml:space="preserve">eraa </t>
  </si>
  <si>
    <t>Flower Prong (small): Battle Skeleton</t>
  </si>
  <si>
    <t>scaa.rsd</t>
  </si>
  <si>
    <t>/FF7</t>
  </si>
  <si>
    <t xml:space="preserve">erab </t>
  </si>
  <si>
    <t>Flower Prong (small): Unidentified Part</t>
  </si>
  <si>
    <t xml:space="preserve">erac </t>
  </si>
  <si>
    <t>Flower Prong (small): Grass</t>
  </si>
  <si>
    <t>Folder</t>
  </si>
  <si>
    <t>00.p</t>
  </si>
  <si>
    <t>34 K</t>
  </si>
  <si>
    <t>sdaa.rsd</t>
  </si>
  <si>
    <t xml:space="preserve">erad </t>
  </si>
  <si>
    <t>Flower Prong (small): Eye</t>
  </si>
  <si>
    <t>00.rsd</t>
  </si>
  <si>
    <t>157 Bytes</t>
  </si>
  <si>
    <t>00.s</t>
  </si>
  <si>
    <t>248 Bytes</t>
  </si>
  <si>
    <t>005.tex</t>
  </si>
  <si>
    <t>66 K</t>
  </si>
  <si>
    <t>101.p</t>
  </si>
  <si>
    <t>71 K</t>
  </si>
  <si>
    <t>101.rsd</t>
  </si>
  <si>
    <t xml:space="preserve">eram </t>
  </si>
  <si>
    <t>170 Bytes</t>
  </si>
  <si>
    <t>seaa.p</t>
  </si>
  <si>
    <t>108.rsd</t>
  </si>
  <si>
    <t>153 Bytes</t>
  </si>
  <si>
    <t>12.tex</t>
  </si>
  <si>
    <t>5dethdat.a00</t>
  </si>
  <si>
    <t>Enemy Skill: L5 Death</t>
  </si>
  <si>
    <t>5dethdat.b</t>
  </si>
  <si>
    <t>5dethdat.d</t>
  </si>
  <si>
    <t xml:space="preserve">eran </t>
  </si>
  <si>
    <t>5dethdat.p00</t>
  </si>
  <si>
    <t>24 K</t>
  </si>
  <si>
    <t>sfaa.rsd</t>
  </si>
  <si>
    <t>5dethdat.p02</t>
  </si>
  <si>
    <t>5dethdat.t00</t>
  </si>
  <si>
    <t xml:space="preserve">erao </t>
  </si>
  <si>
    <t>a.s</t>
  </si>
  <si>
    <t>200 Bytes</t>
  </si>
  <si>
    <t>a1.tex</t>
  </si>
  <si>
    <t>a2.tex</t>
  </si>
  <si>
    <t>a3.tex</t>
  </si>
  <si>
    <t>a4.tex</t>
  </si>
  <si>
    <t xml:space="preserve">erap </t>
  </si>
  <si>
    <t>a5.tex</t>
  </si>
  <si>
    <t>a6.tex</t>
  </si>
  <si>
    <t>sgaa.a</t>
  </si>
  <si>
    <t>shaa.rsd</t>
  </si>
  <si>
    <t>a7.tex</t>
  </si>
  <si>
    <t xml:space="preserve">eraq </t>
  </si>
  <si>
    <t>10 K</t>
  </si>
  <si>
    <t>a8.tex</t>
  </si>
  <si>
    <t>air_1.lmd</t>
  </si>
  <si>
    <t>air_2.p</t>
  </si>
  <si>
    <t>air_2.rsd</t>
  </si>
  <si>
    <t>166 Bytes</t>
  </si>
  <si>
    <t>alex1.tex</t>
  </si>
  <si>
    <t>Summon: Alexander smoke</t>
  </si>
  <si>
    <t>siaa.rsd</t>
  </si>
  <si>
    <t>alex2_00.tex</t>
  </si>
  <si>
    <t xml:space="preserve">erat </t>
  </si>
  <si>
    <t>852 Bytes</t>
  </si>
  <si>
    <t>Summon: Alexander explosion 1</t>
  </si>
  <si>
    <t>Similar behaviour as a gif</t>
  </si>
  <si>
    <t>alex2_01.tex</t>
  </si>
  <si>
    <t>Summon: Alexander explosion 2</t>
  </si>
  <si>
    <t>alex2_02.tex</t>
  </si>
  <si>
    <t>Summon: Alexander explosion 3</t>
  </si>
  <si>
    <t>alexdat.a00</t>
  </si>
  <si>
    <t xml:space="preserve">erav </t>
  </si>
  <si>
    <t xml:space="preserve">Summon: Alexander </t>
  </si>
  <si>
    <t>alexdat.b</t>
  </si>
  <si>
    <t>80 Bytes</t>
  </si>
  <si>
    <t>Summon: Alexander</t>
  </si>
  <si>
    <t>alexdat.d</t>
  </si>
  <si>
    <t>sjaa.rsd</t>
  </si>
  <si>
    <t>alexdat.p00</t>
  </si>
  <si>
    <t>Summon: Alexander base</t>
  </si>
  <si>
    <t>alexdat.p01</t>
  </si>
  <si>
    <t>Summon: Alexander lower body</t>
  </si>
  <si>
    <t>alexdat.p02</t>
  </si>
  <si>
    <t>Summon: Alexander middle body</t>
  </si>
  <si>
    <t>alexdat.p03</t>
  </si>
  <si>
    <t>Summon: Alexander upper body</t>
  </si>
  <si>
    <t>alexdat.p04</t>
  </si>
  <si>
    <t xml:space="preserve">erda </t>
  </si>
  <si>
    <t>Summon: Alexander outter shell lower pads</t>
  </si>
  <si>
    <t>alexdat.p05</t>
  </si>
  <si>
    <t>Summon: Alexander outter shell middle pads</t>
  </si>
  <si>
    <t>alexdat.p06</t>
  </si>
  <si>
    <t xml:space="preserve">esaa </t>
  </si>
  <si>
    <t>31 K</t>
  </si>
  <si>
    <t>Summon: Alexander outter shell shoulder pads</t>
  </si>
  <si>
    <t>Flower Prong (medium): Battle Skeleton</t>
  </si>
  <si>
    <t>alexdat.p07</t>
  </si>
  <si>
    <t>Summon: Alexander head</t>
  </si>
  <si>
    <t>alexdat.p08</t>
  </si>
  <si>
    <t>skaa.rsd</t>
  </si>
  <si>
    <t>Summon: Alexander head stick</t>
  </si>
  <si>
    <t>alexdat.p10</t>
  </si>
  <si>
    <t>Summon: Alexander top stick</t>
  </si>
  <si>
    <t>alexdat.p12</t>
  </si>
  <si>
    <t>alexdat.p14</t>
  </si>
  <si>
    <t>Summon: Alexander face mask</t>
  </si>
  <si>
    <t>alexdat.p16</t>
  </si>
  <si>
    <t>3 K</t>
  </si>
  <si>
    <t>Summon: Alexander outter shell chest pad</t>
  </si>
  <si>
    <t xml:space="preserve">esab </t>
  </si>
  <si>
    <t>alexdat.p18</t>
  </si>
  <si>
    <t>Flower Prong (medium): Unidentified Part</t>
  </si>
  <si>
    <t>alexdat.p20</t>
  </si>
  <si>
    <t xml:space="preserve">esac </t>
  </si>
  <si>
    <t>Flower Prong (medium): Grass</t>
  </si>
  <si>
    <t>alexdat.p22</t>
  </si>
  <si>
    <t>alexdat.p24</t>
  </si>
  <si>
    <t>alexdat.p26</t>
  </si>
  <si>
    <t>slaa.rsd</t>
  </si>
  <si>
    <t>alexdat.p28</t>
  </si>
  <si>
    <t>alexdat.p30</t>
  </si>
  <si>
    <t>alexdat.p32</t>
  </si>
  <si>
    <t>Summon: Alexander back pad</t>
  </si>
  <si>
    <t xml:space="preserve">esam </t>
  </si>
  <si>
    <t>alexdat.p34</t>
  </si>
  <si>
    <t>Summon: Alexander arm</t>
  </si>
  <si>
    <t>alexdat.p35</t>
  </si>
  <si>
    <t>Summon: Alexander arm base</t>
  </si>
  <si>
    <t>alexdat.p37</t>
  </si>
  <si>
    <t>alexdat.p38</t>
  </si>
  <si>
    <t>smaa.p</t>
  </si>
  <si>
    <t>alexdat.p39</t>
  </si>
  <si>
    <t>Summon: Alexander inner chest</t>
  </si>
  <si>
    <t>altema_1.p</t>
  </si>
  <si>
    <t>altema_1.rsd</t>
  </si>
  <si>
    <t>175 Bytes</t>
  </si>
  <si>
    <t>angeldat.a00</t>
  </si>
  <si>
    <t>276 Bytes</t>
  </si>
  <si>
    <t>Enemy Skill: Angel Whisper</t>
  </si>
  <si>
    <t>angeldat.b</t>
  </si>
  <si>
    <t>angeldat.d</t>
  </si>
  <si>
    <t>angeldat.p00</t>
  </si>
  <si>
    <t>Enemy Skill: Angel Whisper angel body</t>
  </si>
  <si>
    <t>angeldat.p02</t>
  </si>
  <si>
    <t>snaa.p</t>
  </si>
  <si>
    <t>Enemy Skill: Angel Whisper angel wing</t>
  </si>
  <si>
    <t>angeldat.p03</t>
  </si>
  <si>
    <t>Enemy Skill: Angel Whisper angel head</t>
  </si>
  <si>
    <t>angeldat.p05</t>
  </si>
  <si>
    <t xml:space="preserve">esan </t>
  </si>
  <si>
    <t>angeldat.t00</t>
  </si>
  <si>
    <t>Enemy Skill: Angel Whisper angel eye and disc</t>
  </si>
  <si>
    <t>ang_m1.tex</t>
  </si>
  <si>
    <t>ang_m2.s</t>
  </si>
  <si>
    <t>ant1.tex</t>
  </si>
  <si>
    <t>aqua.s</t>
  </si>
  <si>
    <t>332 Bytes</t>
  </si>
  <si>
    <t>soaa.p</t>
  </si>
  <si>
    <t>aqua.tex</t>
  </si>
  <si>
    <t>Enemy skill: Aqualung bubble</t>
  </si>
  <si>
    <t>atomic00.tex</t>
  </si>
  <si>
    <t>atomic01.tex</t>
  </si>
  <si>
    <t xml:space="preserve">esao </t>
  </si>
  <si>
    <t>atomic02.tex</t>
  </si>
  <si>
    <t>atomic03.tex</t>
  </si>
  <si>
    <t>aura.p</t>
  </si>
  <si>
    <t>aura.rsd</t>
  </si>
  <si>
    <t>137 Bytes</t>
  </si>
  <si>
    <t>awa.tex</t>
  </si>
  <si>
    <t>ayasii.s</t>
  </si>
  <si>
    <t xml:space="preserve">956 Bytes </t>
  </si>
  <si>
    <t>spaa.rsd</t>
  </si>
  <si>
    <t>ayasii_1.tex</t>
  </si>
  <si>
    <t>a_max.p</t>
  </si>
  <si>
    <t xml:space="preserve">esap </t>
  </si>
  <si>
    <t>a_max.rsd</t>
  </si>
  <si>
    <t>171 Bytes</t>
  </si>
  <si>
    <t>a_max.s</t>
  </si>
  <si>
    <t>a_max.tex</t>
  </si>
  <si>
    <t>bahamdat.a00</t>
  </si>
  <si>
    <t>Summon: Bahamut</t>
  </si>
  <si>
    <t>bahamdat.b</t>
  </si>
  <si>
    <t>60 Bytes</t>
  </si>
  <si>
    <t>sqaa.rsd</t>
  </si>
  <si>
    <t>bahamdat.d</t>
  </si>
  <si>
    <t>bahamdat.p00</t>
  </si>
  <si>
    <t>Summon: Bahamut body</t>
  </si>
  <si>
    <t xml:space="preserve">esaq </t>
  </si>
  <si>
    <t>bahamdat.p03</t>
  </si>
  <si>
    <t>Summon: Bahamut arm</t>
  </si>
  <si>
    <t>bahamdat.p04</t>
  </si>
  <si>
    <t>Summon: Bahamut forearm</t>
  </si>
  <si>
    <t>sraa.rsd</t>
  </si>
  <si>
    <t>bahamdat.p05</t>
  </si>
  <si>
    <t>Summon: Bahamut hand</t>
  </si>
  <si>
    <t>bahamdat.p07</t>
  </si>
  <si>
    <t>Summon: Bahamut wing part</t>
  </si>
  <si>
    <t>bahamdat.p08</t>
  </si>
  <si>
    <t xml:space="preserve">esar </t>
  </si>
  <si>
    <t>bahamdat.p09</t>
  </si>
  <si>
    <t>bahamdat.p10</t>
  </si>
  <si>
    <t>ssaa.rsd</t>
  </si>
  <si>
    <t>bahamdat.p12</t>
  </si>
  <si>
    <t>Summon: Bahamut wing claw</t>
  </si>
  <si>
    <t>bahamdat.p13</t>
  </si>
  <si>
    <t>Summon: Bahamut neck part</t>
  </si>
  <si>
    <t>bahamdat.p14</t>
  </si>
  <si>
    <t>bahamdat.p15</t>
  </si>
  <si>
    <t>bahamdat.p16</t>
  </si>
  <si>
    <t>staa.tex</t>
  </si>
  <si>
    <t>Summon: Bahamut head</t>
  </si>
  <si>
    <t xml:space="preserve">esat </t>
  </si>
  <si>
    <t>bahamdat.p17</t>
  </si>
  <si>
    <t>Summon: Bahamut jaw</t>
  </si>
  <si>
    <t>bahamdat.p20</t>
  </si>
  <si>
    <t>bahamdat.p21</t>
  </si>
  <si>
    <t>bahamdat.p22</t>
  </si>
  <si>
    <t>taaa.rsd</t>
  </si>
  <si>
    <t>bahamdat.p24</t>
  </si>
  <si>
    <t xml:space="preserve">esau </t>
  </si>
  <si>
    <t>bahamdat.p25</t>
  </si>
  <si>
    <t>bahamdat.p26</t>
  </si>
  <si>
    <t>bahamdat.p27</t>
  </si>
  <si>
    <t>bahamdat.p29</t>
  </si>
  <si>
    <t>tbaa.p</t>
  </si>
  <si>
    <t>bahamdat.p31</t>
  </si>
  <si>
    <t xml:space="preserve">esaw </t>
  </si>
  <si>
    <t>Summon: Bahamut tigh</t>
  </si>
  <si>
    <t>bahamdat.p32</t>
  </si>
  <si>
    <t>Summon: Bahamut leg</t>
  </si>
  <si>
    <t>bahamdat.p33</t>
  </si>
  <si>
    <t>Summon: Bahamut foot</t>
  </si>
  <si>
    <t>bahamdat.p34</t>
  </si>
  <si>
    <t>Summon: Bahamut foot claws</t>
  </si>
  <si>
    <t>bahamdat.p36</t>
  </si>
  <si>
    <t>tcaa.p</t>
  </si>
  <si>
    <t xml:space="preserve">esay </t>
  </si>
  <si>
    <t>bahamdat.p37</t>
  </si>
  <si>
    <t>bahamdat.p38</t>
  </si>
  <si>
    <t>tdaa.p</t>
  </si>
  <si>
    <t>bahamdat.p39</t>
  </si>
  <si>
    <t xml:space="preserve">esba </t>
  </si>
  <si>
    <t>bahamdat.p40</t>
  </si>
  <si>
    <t>teaa.rsd</t>
  </si>
  <si>
    <t>Summon: Bahamut tail part</t>
  </si>
  <si>
    <t xml:space="preserve">esbc </t>
  </si>
  <si>
    <t>bahamdat.p41</t>
  </si>
  <si>
    <t>tfaa.p</t>
  </si>
  <si>
    <t>bahamdat.p42</t>
  </si>
  <si>
    <t xml:space="preserve">esbe </t>
  </si>
  <si>
    <t>876 Bytes</t>
  </si>
  <si>
    <t>bahamdat.p43</t>
  </si>
  <si>
    <t>tgaa.a</t>
  </si>
  <si>
    <t>thaa.p</t>
  </si>
  <si>
    <t xml:space="preserve">esbf </t>
  </si>
  <si>
    <t>bahamdat.p44</t>
  </si>
  <si>
    <t>tiaa.p</t>
  </si>
  <si>
    <t xml:space="preserve">esbg </t>
  </si>
  <si>
    <t>bahamdat.p45</t>
  </si>
  <si>
    <t>tjaa.p</t>
  </si>
  <si>
    <t>bahamdat.p46</t>
  </si>
  <si>
    <t>Summon: Bahamut tail tip</t>
  </si>
  <si>
    <t xml:space="preserve">esbh </t>
  </si>
  <si>
    <t>bahamrda.a00</t>
  </si>
  <si>
    <t>Summon: Neo Bahamut</t>
  </si>
  <si>
    <t>bahamrda.b</t>
  </si>
  <si>
    <t>bahamrda.d</t>
  </si>
  <si>
    <t>tkaa.p</t>
  </si>
  <si>
    <t>bahamrda.p00</t>
  </si>
  <si>
    <t>Summon: Neo Bahamut body</t>
  </si>
  <si>
    <t xml:space="preserve">esbi </t>
  </si>
  <si>
    <t>bahamrda.p02</t>
  </si>
  <si>
    <t>Summon: Neo Bahamut lower wing</t>
  </si>
  <si>
    <t>bahamrda.p04</t>
  </si>
  <si>
    <t>Summon: Neo Bahamut arm</t>
  </si>
  <si>
    <t>tlaa.p</t>
  </si>
  <si>
    <t>bahamrda.p05</t>
  </si>
  <si>
    <t>Summon: Neo Bahamut hand</t>
  </si>
  <si>
    <t>bahamrda.p07</t>
  </si>
  <si>
    <t xml:space="preserve">esbk </t>
  </si>
  <si>
    <t>bahamrda.p08</t>
  </si>
  <si>
    <t>bahamrda.p10</t>
  </si>
  <si>
    <t>tmaa.rsd</t>
  </si>
  <si>
    <t>Summon: Neo Bahamut upper wing</t>
  </si>
  <si>
    <t>bahamrda.p12</t>
  </si>
  <si>
    <t>bahamrda.p14</t>
  </si>
  <si>
    <t xml:space="preserve">esbl </t>
  </si>
  <si>
    <t>bahamrda.p16</t>
  </si>
  <si>
    <t>Summon: Neo Bahamut shoulder spike</t>
  </si>
  <si>
    <t>bahamrda.p18</t>
  </si>
  <si>
    <t>tnaa.rsd</t>
  </si>
  <si>
    <t>bahamrda.p20</t>
  </si>
  <si>
    <t>Summon: Neo Bahamut neck part</t>
  </si>
  <si>
    <t>bahamrda.p21</t>
  </si>
  <si>
    <t xml:space="preserve">esbm </t>
  </si>
  <si>
    <t>980 Bytes</t>
  </si>
  <si>
    <t>bahamrda.p22</t>
  </si>
  <si>
    <t xml:space="preserve">2.1 K </t>
  </si>
  <si>
    <t>bahamrda.p23</t>
  </si>
  <si>
    <t xml:space="preserve">2.2 K </t>
  </si>
  <si>
    <t>bahamrda.p24</t>
  </si>
  <si>
    <t>toaa.rsd</t>
  </si>
  <si>
    <t>bahamrda.p25</t>
  </si>
  <si>
    <t xml:space="preserve">esbn </t>
  </si>
  <si>
    <t>bahamrda.p26</t>
  </si>
  <si>
    <t>bahamrda.p27</t>
  </si>
  <si>
    <t>Summon: Neo Bahamut head</t>
  </si>
  <si>
    <t>bahamrda.p28</t>
  </si>
  <si>
    <t>Summon: Neo Bahamut jaw</t>
  </si>
  <si>
    <t>tpaa.p</t>
  </si>
  <si>
    <t>bahamrda.p31</t>
  </si>
  <si>
    <t>Summon: Neo Bahamut antenna part</t>
  </si>
  <si>
    <t>bahamrda.p32</t>
  </si>
  <si>
    <t xml:space="preserve">esbo </t>
  </si>
  <si>
    <t>764 Bytes</t>
  </si>
  <si>
    <t>bahamrda.p33</t>
  </si>
  <si>
    <t>Summon: Neo Bahamut antenna end</t>
  </si>
  <si>
    <t>bahamrda.p34</t>
  </si>
  <si>
    <t>Summon: Neo Bahamut horn</t>
  </si>
  <si>
    <t>bahamrda.p36</t>
  </si>
  <si>
    <t>tqaa.p</t>
  </si>
  <si>
    <t>Summon: Neo Bahamut tail part</t>
  </si>
  <si>
    <t>bahamrda.p37</t>
  </si>
  <si>
    <t>bahamrda.p38</t>
  </si>
  <si>
    <t xml:space="preserve">esbq </t>
  </si>
  <si>
    <t>bahamrda.p39</t>
  </si>
  <si>
    <t>Summon: Neo Bahamut tail tip</t>
  </si>
  <si>
    <t>bahamrda.p41</t>
  </si>
  <si>
    <t>Summon: Neo Bahamut tigh</t>
  </si>
  <si>
    <t>traa.p</t>
  </si>
  <si>
    <t>bahamrda.p42</t>
  </si>
  <si>
    <t>Summon: Neo Bahamut leg</t>
  </si>
  <si>
    <t>bahamrda.p43</t>
  </si>
  <si>
    <t>Summon: Neo Bahamut foot</t>
  </si>
  <si>
    <t>bahamrda.p45</t>
  </si>
  <si>
    <t>bahamrda.p46</t>
  </si>
  <si>
    <t xml:space="preserve">esbr </t>
  </si>
  <si>
    <t>bahamrda.p47</t>
  </si>
  <si>
    <t>tsaa.p</t>
  </si>
  <si>
    <t>bahamzda.a00</t>
  </si>
  <si>
    <t>Summon: Bahamut ZERO</t>
  </si>
  <si>
    <t>bahamzda.b</t>
  </si>
  <si>
    <t>bahamzda.d</t>
  </si>
  <si>
    <t>bahamzda.p00</t>
  </si>
  <si>
    <t>27K</t>
  </si>
  <si>
    <t xml:space="preserve">esda </t>
  </si>
  <si>
    <t>Summon: Bahamut ZERO body</t>
  </si>
  <si>
    <t>9.6 K</t>
  </si>
  <si>
    <t>bahamzda.p01</t>
  </si>
  <si>
    <t>2.0K</t>
  </si>
  <si>
    <t>ttaa.tex</t>
  </si>
  <si>
    <t>Summon: Bahamut ZERO neck part</t>
  </si>
  <si>
    <t xml:space="preserve">etaa </t>
  </si>
  <si>
    <t>bahamzda.p02</t>
  </si>
  <si>
    <t>Flower Prong (large): Battle Skeleton</t>
  </si>
  <si>
    <t>bahamzda.p03</t>
  </si>
  <si>
    <t>bahamzda.p04</t>
  </si>
  <si>
    <t>1.9K</t>
  </si>
  <si>
    <t>bahamzda.p05</t>
  </si>
  <si>
    <t>25K</t>
  </si>
  <si>
    <t>Summon: Bahamut ZERO head</t>
  </si>
  <si>
    <t>uaaa.p</t>
  </si>
  <si>
    <t>bahamzda.p06</t>
  </si>
  <si>
    <t>3.3K</t>
  </si>
  <si>
    <t>Summon: Bahamut ZERO jaw</t>
  </si>
  <si>
    <t xml:space="preserve">etab </t>
  </si>
  <si>
    <t>Flower Prong (large): Unidentified Part</t>
  </si>
  <si>
    <t>bahamzda.p08</t>
  </si>
  <si>
    <t>1.3K</t>
  </si>
  <si>
    <t>Summon: Bahamut ZERO antenna part</t>
  </si>
  <si>
    <t>bahamzda.p09</t>
  </si>
  <si>
    <t xml:space="preserve">etac </t>
  </si>
  <si>
    <t>Flower Prong (large): Grass</t>
  </si>
  <si>
    <t>bahamzda.p10</t>
  </si>
  <si>
    <t>1.4K</t>
  </si>
  <si>
    <t>Summon: Bahamut ZERO antenna end</t>
  </si>
  <si>
    <t>ubaa.rsd</t>
  </si>
  <si>
    <t>bahamzda.p12</t>
  </si>
  <si>
    <t>bahamzda.p13</t>
  </si>
  <si>
    <t>bahamzda.p14</t>
  </si>
  <si>
    <t xml:space="preserve">etad </t>
  </si>
  <si>
    <t>bahamzda.p15</t>
  </si>
  <si>
    <t>Flower Prong (large): Eye</t>
  </si>
  <si>
    <t>9.2K</t>
  </si>
  <si>
    <t>Summon: Bahamut ZERO arm</t>
  </si>
  <si>
    <t>bahamzda.p17</t>
  </si>
  <si>
    <t>ucaa.rsd</t>
  </si>
  <si>
    <t>Summon: Bahamut ZERO wing part</t>
  </si>
  <si>
    <t>bahamzda.p18</t>
  </si>
  <si>
    <t>3.8K</t>
  </si>
  <si>
    <t>bahamzda.p19</t>
  </si>
  <si>
    <t>2.8K</t>
  </si>
  <si>
    <t>bahamzda.p21</t>
  </si>
  <si>
    <t xml:space="preserve">etam </t>
  </si>
  <si>
    <t>bahamzda.p22</t>
  </si>
  <si>
    <t>udaa.rsd</t>
  </si>
  <si>
    <t>3.4K</t>
  </si>
  <si>
    <t>bahamzda.p23</t>
  </si>
  <si>
    <t>3.0K</t>
  </si>
  <si>
    <t xml:space="preserve">etan </t>
  </si>
  <si>
    <t>bahamzda.p25</t>
  </si>
  <si>
    <t>ueaa.p</t>
  </si>
  <si>
    <t>bahamzda.p26</t>
  </si>
  <si>
    <t>bahamzda.p27</t>
  </si>
  <si>
    <t>bahamzda.p28</t>
  </si>
  <si>
    <t>9.1K</t>
  </si>
  <si>
    <t>bahamzda.p30</t>
  </si>
  <si>
    <t>bahamzda.p31</t>
  </si>
  <si>
    <t>ufaa.rsd</t>
  </si>
  <si>
    <t>bahamzda.p32</t>
  </si>
  <si>
    <t xml:space="preserve">etao </t>
  </si>
  <si>
    <t>bahamzda.p34</t>
  </si>
  <si>
    <t>bahamzda.p35</t>
  </si>
  <si>
    <t>bahamzda.p36</t>
  </si>
  <si>
    <t>bahamzda.p38</t>
  </si>
  <si>
    <t>ugaa.a</t>
  </si>
  <si>
    <t>bahamzda.p39</t>
  </si>
  <si>
    <t>uhaa.rsd</t>
  </si>
  <si>
    <t>bahamzda.p40</t>
  </si>
  <si>
    <t xml:space="preserve">etap </t>
  </si>
  <si>
    <t>bahamzda.p42</t>
  </si>
  <si>
    <t>4.5K</t>
  </si>
  <si>
    <t>Summon: Bahamut ZERO tail part</t>
  </si>
  <si>
    <t>bahamzda.p43</t>
  </si>
  <si>
    <t>4.6K</t>
  </si>
  <si>
    <t>bahamzda.p44</t>
  </si>
  <si>
    <t>bahamzda.p45</t>
  </si>
  <si>
    <t>3.7K</t>
  </si>
  <si>
    <t>uiaa.rsd</t>
  </si>
  <si>
    <t>Summon: Bahamut ZERO tail tip</t>
  </si>
  <si>
    <t>bahamzda.p46</t>
  </si>
  <si>
    <t>16K</t>
  </si>
  <si>
    <t>Summon: Bahamut ZERO leg</t>
  </si>
  <si>
    <t>bahamzda.p47</t>
  </si>
  <si>
    <t xml:space="preserve">etaq </t>
  </si>
  <si>
    <t>baku2.p</t>
  </si>
  <si>
    <t>baku2.rsd</t>
  </si>
  <si>
    <t>114 Bytes</t>
  </si>
  <si>
    <t>ujaa.rsd</t>
  </si>
  <si>
    <t>baku3.p</t>
  </si>
  <si>
    <t>baku3.rsd</t>
  </si>
  <si>
    <t>baku4.p</t>
  </si>
  <si>
    <t>baku4.rsd</t>
  </si>
  <si>
    <t>baku4.s</t>
  </si>
  <si>
    <t>392 Bytes</t>
  </si>
  <si>
    <t xml:space="preserve">etar </t>
  </si>
  <si>
    <t>ukaa.rsd</t>
  </si>
  <si>
    <t>baku5.p</t>
  </si>
  <si>
    <t>baku5.rsd</t>
  </si>
  <si>
    <t>baku5.s</t>
  </si>
  <si>
    <t>baku6.p</t>
  </si>
  <si>
    <t>baku6.rsd</t>
  </si>
  <si>
    <t>baku6.s</t>
  </si>
  <si>
    <t>ulaa.rsd</t>
  </si>
  <si>
    <t xml:space="preserve">etas </t>
  </si>
  <si>
    <t>baku7.p</t>
  </si>
  <si>
    <t>baku7.rsd</t>
  </si>
  <si>
    <t>baku7.s</t>
  </si>
  <si>
    <t>baku8.p</t>
  </si>
  <si>
    <t>baku8.rsd</t>
  </si>
  <si>
    <t>bakuha.p</t>
  </si>
  <si>
    <t>umaa.p</t>
  </si>
  <si>
    <t>bakuha.rsd</t>
  </si>
  <si>
    <t>101 Bytes</t>
  </si>
  <si>
    <t>baku_1.s</t>
  </si>
  <si>
    <t>bakyu1.tex</t>
  </si>
  <si>
    <t>bakyuu1.p</t>
  </si>
  <si>
    <t xml:space="preserve">etat </t>
  </si>
  <si>
    <t>bakyuu1.rsd</t>
  </si>
  <si>
    <t>123 Bytes</t>
  </si>
  <si>
    <t>unaa.p</t>
  </si>
  <si>
    <t>bari_a1.p</t>
  </si>
  <si>
    <t>Barrier edges</t>
  </si>
  <si>
    <t>bari_a1.rsd</t>
  </si>
  <si>
    <t>154 Bytes</t>
  </si>
  <si>
    <t>bari_a2.p</t>
  </si>
  <si>
    <t>Barrier</t>
  </si>
  <si>
    <t>bari_a2.rsd</t>
  </si>
  <si>
    <t>uoaa.p</t>
  </si>
  <si>
    <t>bari_m.p</t>
  </si>
  <si>
    <t>Magic barrier</t>
  </si>
  <si>
    <t>bari_m.rsd</t>
  </si>
  <si>
    <t xml:space="preserve">etau </t>
  </si>
  <si>
    <t>barsac_1.p</t>
  </si>
  <si>
    <t>barsac_1.rsd</t>
  </si>
  <si>
    <t>barsac_3.tex</t>
  </si>
  <si>
    <t>upaa.rsd</t>
  </si>
  <si>
    <t>beam1.p</t>
  </si>
  <si>
    <t>beam1.rsd</t>
  </si>
  <si>
    <t>beam2.p</t>
  </si>
  <si>
    <t>beam2.rsd</t>
  </si>
  <si>
    <t>beam_2.p</t>
  </si>
  <si>
    <t>beam_2.rsd</t>
  </si>
  <si>
    <t>uqaa.rsd</t>
  </si>
  <si>
    <t xml:space="preserve">etav </t>
  </si>
  <si>
    <t>beam_3.tex</t>
  </si>
  <si>
    <t>beam_3a.p</t>
  </si>
  <si>
    <t>beam_3a.rsd</t>
  </si>
  <si>
    <t>beata_1.p</t>
  </si>
  <si>
    <t>Enemy skill: Beta lower explosion</t>
  </si>
  <si>
    <t>beata_1.rsd</t>
  </si>
  <si>
    <t>uraa.rsd</t>
  </si>
  <si>
    <t>beata_2.p</t>
  </si>
  <si>
    <t>Enemy skill: Beta upper explosion</t>
  </si>
  <si>
    <t>beata_2.rsd</t>
  </si>
  <si>
    <t xml:space="preserve">etax </t>
  </si>
  <si>
    <t>bg_1.rsd</t>
  </si>
  <si>
    <t>Summon: Knights of the Round star background</t>
  </si>
  <si>
    <t>bg_1.tex</t>
  </si>
  <si>
    <t>usaa.tex</t>
  </si>
  <si>
    <t>bg_2.rsd</t>
  </si>
  <si>
    <t>Summon: Knights of the Round cloudy background</t>
  </si>
  <si>
    <t>bg_2.tex</t>
  </si>
  <si>
    <t>bimu1.tex</t>
  </si>
  <si>
    <t>bimu11.s</t>
  </si>
  <si>
    <t xml:space="preserve">etay </t>
  </si>
  <si>
    <t>utaa.tex</t>
  </si>
  <si>
    <t>bimu2.tex</t>
  </si>
  <si>
    <t>bimu22.s</t>
  </si>
  <si>
    <t>bio.tex</t>
  </si>
  <si>
    <t>Bio1 bubbles</t>
  </si>
  <si>
    <t>bioga100.tex</t>
  </si>
  <si>
    <t>Bio3 bubbles</t>
  </si>
  <si>
    <t>bioga101.tex</t>
  </si>
  <si>
    <t>vaaa.rsd</t>
  </si>
  <si>
    <t>bioga102.tex</t>
  </si>
  <si>
    <t xml:space="preserve">etba </t>
  </si>
  <si>
    <t>bioga2.tex</t>
  </si>
  <si>
    <t>Bio3 bubbles all</t>
  </si>
  <si>
    <t>biora00.tex</t>
  </si>
  <si>
    <t>Bio2 bubbles</t>
  </si>
  <si>
    <t>biora01.tex</t>
  </si>
  <si>
    <t>biora02.tex</t>
  </si>
  <si>
    <t>vbaa.p</t>
  </si>
  <si>
    <t>bio_x.tex</t>
  </si>
  <si>
    <t>Bio3 cloud</t>
  </si>
  <si>
    <t>bio_z.tex</t>
  </si>
  <si>
    <t>Bio3 cloud all</t>
  </si>
  <si>
    <t>biribiri.s</t>
  </si>
  <si>
    <t xml:space="preserve">etbb </t>
  </si>
  <si>
    <t>biribiri.tex</t>
  </si>
  <si>
    <t>blaste02.tex</t>
  </si>
  <si>
    <t>vcaa.p</t>
  </si>
  <si>
    <t>blaste03.tex</t>
  </si>
  <si>
    <t>blaver.a00</t>
  </si>
  <si>
    <t>Limit: Braver</t>
  </si>
  <si>
    <t>blaver.s</t>
  </si>
  <si>
    <t>blaver00.tex</t>
  </si>
  <si>
    <t>Limit: Braver hit</t>
  </si>
  <si>
    <t>blaver01.tex</t>
  </si>
  <si>
    <t>vdaa.p</t>
  </si>
  <si>
    <t>Limit: Braver shine</t>
  </si>
  <si>
    <t xml:space="preserve">etbc </t>
  </si>
  <si>
    <t>blow.p</t>
  </si>
  <si>
    <t>blow.rsd</t>
  </si>
  <si>
    <t>bomb.tex</t>
  </si>
  <si>
    <t>bomber.tex</t>
  </si>
  <si>
    <t>bomb_1.s</t>
  </si>
  <si>
    <t>bomb_10.s</t>
  </si>
  <si>
    <t>veaa.hrc</t>
  </si>
  <si>
    <t>Summon: Bahamut Flare explosion</t>
  </si>
  <si>
    <t>bik_1_n_sk</t>
  </si>
  <si>
    <t>bomb_10.tex</t>
  </si>
  <si>
    <t>Red Bike</t>
  </si>
  <si>
    <t>bomb_11.s</t>
  </si>
  <si>
    <t>bomb_11.tex</t>
  </si>
  <si>
    <t>bomb_12.s</t>
  </si>
  <si>
    <t xml:space="preserve">etbd </t>
  </si>
  <si>
    <t>bomb_12.tex</t>
  </si>
  <si>
    <t>bomb_13.s</t>
  </si>
  <si>
    <t>vfaa.p</t>
  </si>
  <si>
    <t>bomb_13.tex</t>
  </si>
  <si>
    <t>bomb_14.s</t>
  </si>
  <si>
    <t>bomb_14.tex</t>
  </si>
  <si>
    <t>bomb_15.s</t>
  </si>
  <si>
    <t>bomb_15.tex</t>
  </si>
  <si>
    <t xml:space="preserve">etbe </t>
  </si>
  <si>
    <t>vgaa.a</t>
  </si>
  <si>
    <t>bomb_16.s</t>
  </si>
  <si>
    <t>bomb_16.tex</t>
  </si>
  <si>
    <t>vhaa.p</t>
  </si>
  <si>
    <t>bomb_2.s</t>
  </si>
  <si>
    <t>bomb_2.tex</t>
  </si>
  <si>
    <t xml:space="preserve">etbg </t>
  </si>
  <si>
    <t>bomb_3.s</t>
  </si>
  <si>
    <t>bomb_3.tex</t>
  </si>
  <si>
    <t>viaa.p</t>
  </si>
  <si>
    <t>bomb_4.s</t>
  </si>
  <si>
    <t>bomb_4.tex</t>
  </si>
  <si>
    <t>bomb_5.s</t>
  </si>
  <si>
    <t>bomb_5.tex</t>
  </si>
  <si>
    <t xml:space="preserve">etbh </t>
  </si>
  <si>
    <t>bomb_6.s</t>
  </si>
  <si>
    <t>vjaa.p</t>
  </si>
  <si>
    <t>bomb_6.tex</t>
  </si>
  <si>
    <t>bomb_7.s</t>
  </si>
  <si>
    <t>bomb_7.tex</t>
  </si>
  <si>
    <t>bomb_8.s</t>
  </si>
  <si>
    <t>bomb_8.tex</t>
  </si>
  <si>
    <t>vkaa.p</t>
  </si>
  <si>
    <t>bomb_9.s</t>
  </si>
  <si>
    <t>bomb_9.tex</t>
  </si>
  <si>
    <t xml:space="preserve">etbi </t>
  </si>
  <si>
    <t>bomb_a.shp</t>
  </si>
  <si>
    <t>boom_a.tex</t>
  </si>
  <si>
    <t>Summon: Choco mog 'Boom!'</t>
  </si>
  <si>
    <t>vlaa.p</t>
  </si>
  <si>
    <t>boost00.tex</t>
  </si>
  <si>
    <t>boost01.tex</t>
  </si>
  <si>
    <t>break_1.p</t>
  </si>
  <si>
    <t>Break ice shard</t>
  </si>
  <si>
    <t>break_1.rsd</t>
  </si>
  <si>
    <t>break_a.tex</t>
  </si>
  <si>
    <t xml:space="preserve">etbj </t>
  </si>
  <si>
    <t>Break ice</t>
  </si>
  <si>
    <t>vmaa.rsd</t>
  </si>
  <si>
    <t>breeze_1.p</t>
  </si>
  <si>
    <t>breeze_1.rsd</t>
  </si>
  <si>
    <t>bress_1.tex</t>
  </si>
  <si>
    <t>Summon: Bahamut flare halo</t>
  </si>
  <si>
    <t>bress_3.p</t>
  </si>
  <si>
    <t>bress_3.rsd</t>
  </si>
  <si>
    <t>bress_4.p</t>
  </si>
  <si>
    <t>vnaa.rsd</t>
  </si>
  <si>
    <t>bress_4.rsd</t>
  </si>
  <si>
    <t>bress_5.p</t>
  </si>
  <si>
    <t xml:space="preserve">etbk </t>
  </si>
  <si>
    <t>bress_5.rsd</t>
  </si>
  <si>
    <t>bress_6.p</t>
  </si>
  <si>
    <t>bress_6.rsd</t>
  </si>
  <si>
    <t>bress_7.p</t>
  </si>
  <si>
    <t>voaa.rsd</t>
  </si>
  <si>
    <t>bress_7.rsd</t>
  </si>
  <si>
    <t>bress_8.p</t>
  </si>
  <si>
    <t>bress_8.rsd</t>
  </si>
  <si>
    <t>brhand01.p</t>
  </si>
  <si>
    <t>Barret weapon: Cannon Ball</t>
  </si>
  <si>
    <t xml:space="preserve">etbl </t>
  </si>
  <si>
    <t>vpaa.p</t>
  </si>
  <si>
    <t>brhand01.rsd</t>
  </si>
  <si>
    <t>brhand02.p</t>
  </si>
  <si>
    <t>Barret weapon: Assault Gun</t>
  </si>
  <si>
    <t>brhand02.rsd</t>
  </si>
  <si>
    <t>brhand03.p</t>
  </si>
  <si>
    <t>vqaa.p</t>
  </si>
  <si>
    <t>brhand03.rsd</t>
  </si>
  <si>
    <t xml:space="preserve">etbn </t>
  </si>
  <si>
    <t>Barret weapon: Atomic Scissors</t>
  </si>
  <si>
    <t>brhand04.p</t>
  </si>
  <si>
    <t>Barret weapon: Heavy Vulcan</t>
  </si>
  <si>
    <t>vraa.p</t>
  </si>
  <si>
    <t>brhand04.rsd</t>
  </si>
  <si>
    <t>brhand05.p</t>
  </si>
  <si>
    <t>Barret weapon: Chainsaw</t>
  </si>
  <si>
    <t>brhand05.rsd</t>
  </si>
  <si>
    <t xml:space="preserve">etbo </t>
  </si>
  <si>
    <t>brhand06.p</t>
  </si>
  <si>
    <t>vsaa.rsd</t>
  </si>
  <si>
    <t>Barret weapon: Microlaser</t>
  </si>
  <si>
    <t>brhand06.rsd</t>
  </si>
  <si>
    <t>brhand07.p</t>
  </si>
  <si>
    <t>Barret weapon: AM Cannon</t>
  </si>
  <si>
    <t>brhand07.rsd</t>
  </si>
  <si>
    <t>vtaa.tex</t>
  </si>
  <si>
    <t>brhand08.p</t>
  </si>
  <si>
    <t xml:space="preserve">etbp </t>
  </si>
  <si>
    <t>brhand08.rsd</t>
  </si>
  <si>
    <t>Barret weapon: W Machine Gun</t>
  </si>
  <si>
    <t>brhand09.p</t>
  </si>
  <si>
    <t>waaa.p</t>
  </si>
  <si>
    <t>Barret weapon: Drill Arm</t>
  </si>
  <si>
    <t>brhand09.rsd</t>
  </si>
  <si>
    <t>brhand10.p</t>
  </si>
  <si>
    <t>Barret weapon: Solid Bazooka</t>
  </si>
  <si>
    <t>brhand10.rsd</t>
  </si>
  <si>
    <t xml:space="preserve">etbq </t>
  </si>
  <si>
    <t>brhand11.p</t>
  </si>
  <si>
    <t>964 Bytes</t>
  </si>
  <si>
    <t>wbaa.rsd</t>
  </si>
  <si>
    <t>Barret weapon: Rocketpunch</t>
  </si>
  <si>
    <t>brhand11.rsd</t>
  </si>
  <si>
    <t>brhand12.p</t>
  </si>
  <si>
    <t>Barret weapon: Enemy Launcher</t>
  </si>
  <si>
    <t>brhand12.rsd</t>
  </si>
  <si>
    <t>wcaa.rsd</t>
  </si>
  <si>
    <t>brhand13.p</t>
  </si>
  <si>
    <t xml:space="preserve">etbr </t>
  </si>
  <si>
    <t>Barret weapon: Pile banger</t>
  </si>
  <si>
    <t>brhand13.rsd</t>
  </si>
  <si>
    <t>brhand14.p</t>
  </si>
  <si>
    <t>wdaa.rsd</t>
  </si>
  <si>
    <t>brhand14.rsd</t>
  </si>
  <si>
    <t>Barret weapon: Max Ray</t>
  </si>
  <si>
    <t>brhand15.p</t>
  </si>
  <si>
    <t>brhand15.rsd</t>
  </si>
  <si>
    <t xml:space="preserve">etbs </t>
  </si>
  <si>
    <t>weaa.rsd</t>
  </si>
  <si>
    <t>Barret weapon: Missing Score</t>
  </si>
  <si>
    <t>brizad.p</t>
  </si>
  <si>
    <t>Ice1 whole model</t>
  </si>
  <si>
    <t>brizad.rsd</t>
  </si>
  <si>
    <t>wfaa.hrc</t>
  </si>
  <si>
    <t>red_sk</t>
  </si>
  <si>
    <t xml:space="preserve">etda </t>
  </si>
  <si>
    <t>brizag1.tex</t>
  </si>
  <si>
    <t>Ice3 shine</t>
  </si>
  <si>
    <t>brizag2.tex</t>
  </si>
  <si>
    <t xml:space="preserve">euaa </t>
  </si>
  <si>
    <t>Slaps: Battle Skeleton</t>
  </si>
  <si>
    <t>wgaa.a</t>
  </si>
  <si>
    <t>brizag22.rsd</t>
  </si>
  <si>
    <t>whaa.rsd</t>
  </si>
  <si>
    <t>Ice3</t>
  </si>
  <si>
    <t>brizag_2.p</t>
  </si>
  <si>
    <t>brizar.p</t>
  </si>
  <si>
    <t>Ice2 whole model</t>
  </si>
  <si>
    <t>wiaa.rsd</t>
  </si>
  <si>
    <t>brizar.rsd</t>
  </si>
  <si>
    <t>brizara1.tex</t>
  </si>
  <si>
    <t>brizara2.tex</t>
  </si>
  <si>
    <t xml:space="preserve">euab </t>
  </si>
  <si>
    <t>wjaa.tex</t>
  </si>
  <si>
    <t>Slaps: Unidentified Part</t>
  </si>
  <si>
    <t>brizara3.tex</t>
  </si>
  <si>
    <t xml:space="preserve">euam </t>
  </si>
  <si>
    <t>brizara4.tex</t>
  </si>
  <si>
    <t>brizar_1.tex</t>
  </si>
  <si>
    <t>Ice2</t>
  </si>
  <si>
    <t>wkaa.rsd</t>
  </si>
  <si>
    <t>brizar_2.tex</t>
  </si>
  <si>
    <t>brizar_3.tex</t>
  </si>
  <si>
    <t>brizar_4.tex</t>
  </si>
  <si>
    <t>wlaa.rsd</t>
  </si>
  <si>
    <t xml:space="preserve">euao </t>
  </si>
  <si>
    <t>bubble_a.s</t>
  </si>
  <si>
    <t>bubble_b.s</t>
  </si>
  <si>
    <t>bubble_c.s</t>
  </si>
  <si>
    <t>wmaa.p</t>
  </si>
  <si>
    <t>bushin00.tex</t>
  </si>
  <si>
    <t>bushin01.tex</t>
  </si>
  <si>
    <t xml:space="preserve">euap </t>
  </si>
  <si>
    <t>b_expld.s</t>
  </si>
  <si>
    <t>b_flip.s</t>
  </si>
  <si>
    <t>b_piece.s</t>
  </si>
  <si>
    <t>wnaa.p</t>
  </si>
  <si>
    <t>b_piece.tex</t>
  </si>
  <si>
    <t>b_sky3.tex</t>
  </si>
  <si>
    <t>Summon: Bahamut sky layer</t>
  </si>
  <si>
    <t>b_sky5.tex</t>
  </si>
  <si>
    <t xml:space="preserve">euaq </t>
  </si>
  <si>
    <t>woaa.p</t>
  </si>
  <si>
    <t>cbomber.p</t>
  </si>
  <si>
    <t>cbomber.rsd</t>
  </si>
  <si>
    <t>chest_1.p</t>
  </si>
  <si>
    <t>chest_1.rsd</t>
  </si>
  <si>
    <t>wpaa.rsd</t>
  </si>
  <si>
    <t xml:space="preserve">euas </t>
  </si>
  <si>
    <t>chest_2.p</t>
  </si>
  <si>
    <t>chest_2.rsd</t>
  </si>
  <si>
    <t>chest_3.p</t>
  </si>
  <si>
    <t>wqaa.rsd</t>
  </si>
  <si>
    <t>chest_3.rsd</t>
  </si>
  <si>
    <t>chest_4.p</t>
  </si>
  <si>
    <t>chest_4.rsd</t>
  </si>
  <si>
    <t>chi.tex</t>
  </si>
  <si>
    <t>chi_2.s</t>
  </si>
  <si>
    <t xml:space="preserve">euat </t>
  </si>
  <si>
    <t>wraa.rsd</t>
  </si>
  <si>
    <t>chi_2.tex</t>
  </si>
  <si>
    <t>chi_3.s</t>
  </si>
  <si>
    <t>chi_3.tex</t>
  </si>
  <si>
    <t>chi_4.s</t>
  </si>
  <si>
    <t>chi_4.tex</t>
  </si>
  <si>
    <t>chocob00.tex</t>
  </si>
  <si>
    <t>Summon: Choco mog smoke</t>
  </si>
  <si>
    <t>wsaa.p</t>
  </si>
  <si>
    <t>chocob01.tex</t>
  </si>
  <si>
    <t>Summon: Choco mog Boom!</t>
  </si>
  <si>
    <t>Seems messed</t>
  </si>
  <si>
    <t>chocob03.tex</t>
  </si>
  <si>
    <t>Summon: Choco mog eye swirl</t>
  </si>
  <si>
    <t xml:space="preserve">euau </t>
  </si>
  <si>
    <t>circle.p</t>
  </si>
  <si>
    <t>circle.rsd</t>
  </si>
  <si>
    <t>circle1.p</t>
  </si>
  <si>
    <t>wtaa.tex</t>
  </si>
  <si>
    <t>circle1.rsd</t>
  </si>
  <si>
    <t>climb.tex</t>
  </si>
  <si>
    <t>cloud_1.tex</t>
  </si>
  <si>
    <t>cloud_2.tex</t>
  </si>
  <si>
    <t>coin.s</t>
  </si>
  <si>
    <t>coin.tex</t>
  </si>
  <si>
    <t>xaaa.rsd</t>
  </si>
  <si>
    <t>coin1.tex</t>
  </si>
  <si>
    <t>Cloud: Buster Swords</t>
  </si>
  <si>
    <t xml:space="preserve">euaw </t>
  </si>
  <si>
    <t>coin2.tex</t>
  </si>
  <si>
    <t>coin3.tex</t>
  </si>
  <si>
    <t>confdat.a00</t>
  </si>
  <si>
    <t>Enemy skill: Chocobuckle</t>
  </si>
  <si>
    <t>confdat.b</t>
  </si>
  <si>
    <t>confdat.d</t>
  </si>
  <si>
    <t>xbaa.p</t>
  </si>
  <si>
    <t>confdat.p00</t>
  </si>
  <si>
    <t>Enemy skill: Chocobuckle chocobo body</t>
  </si>
  <si>
    <t>confdat.p02</t>
  </si>
  <si>
    <t>Enemy skill: Chocobuckle chocobo wing</t>
  </si>
  <si>
    <t>confdat.p04</t>
  </si>
  <si>
    <t xml:space="preserve">euax </t>
  </si>
  <si>
    <t>xcaa.p</t>
  </si>
  <si>
    <t>confdat.t00</t>
  </si>
  <si>
    <t>Enemy skill: Chocobuckle chocobo eye</t>
  </si>
  <si>
    <t>confu_1.s</t>
  </si>
  <si>
    <t>confu_1.tex</t>
  </si>
  <si>
    <t>cool.tex</t>
  </si>
  <si>
    <t>xdaa.p</t>
  </si>
  <si>
    <t>corona_1.p</t>
  </si>
  <si>
    <t>corona_1.rsd</t>
  </si>
  <si>
    <t xml:space="preserve">euay </t>
  </si>
  <si>
    <t>corona_2.p</t>
  </si>
  <si>
    <t>corona_2.rsd</t>
  </si>
  <si>
    <t>xeaa.p</t>
  </si>
  <si>
    <t>corona_2.tex</t>
  </si>
  <si>
    <t>corona_3.p</t>
  </si>
  <si>
    <t>corona_3.rsd</t>
  </si>
  <si>
    <t>cosmo02.tex</t>
  </si>
  <si>
    <t xml:space="preserve">euba </t>
  </si>
  <si>
    <t>cosmo_1.p</t>
  </si>
  <si>
    <t>xfaa.rsd</t>
  </si>
  <si>
    <t>cosmo_1.rsd</t>
  </si>
  <si>
    <t>cosmo_2.tex</t>
  </si>
  <si>
    <t>Summon: Bahamut Zero star background</t>
  </si>
  <si>
    <t>cry1.s</t>
  </si>
  <si>
    <t>cry2.s</t>
  </si>
  <si>
    <t>xgaa.a</t>
  </si>
  <si>
    <t>csbomber.p</t>
  </si>
  <si>
    <t>xhaa.p</t>
  </si>
  <si>
    <t>csbomber.rsd</t>
  </si>
  <si>
    <t xml:space="preserve">eubb </t>
  </si>
  <si>
    <t>cutter.p</t>
  </si>
  <si>
    <t>cutter.rsd</t>
  </si>
  <si>
    <t>cylinder.p</t>
  </si>
  <si>
    <t>cylinder.rsd</t>
  </si>
  <si>
    <t>xiaa.p</t>
  </si>
  <si>
    <t>cyltest.p</t>
  </si>
  <si>
    <t>cyltest.rsd</t>
  </si>
  <si>
    <t>cyvadat.a00</t>
  </si>
  <si>
    <t>Summon: Shiva</t>
  </si>
  <si>
    <t>cyvadat.b</t>
  </si>
  <si>
    <t xml:space="preserve">eubc </t>
  </si>
  <si>
    <t>xjaa.tex</t>
  </si>
  <si>
    <t>cyvadat.d</t>
  </si>
  <si>
    <t>cyvadat.p00</t>
  </si>
  <si>
    <t>Summon: Shiva chest</t>
  </si>
  <si>
    <t>cyvadat.p01</t>
  </si>
  <si>
    <t>Summon: Shiva head</t>
  </si>
  <si>
    <t>xkaa.p</t>
  </si>
  <si>
    <t>cyvadat.p03</t>
  </si>
  <si>
    <t>Summon: Shiva ponytail part</t>
  </si>
  <si>
    <t>cyvadat.p04</t>
  </si>
  <si>
    <t>Summon: Shiva Ponytail part</t>
  </si>
  <si>
    <t xml:space="preserve">eube </t>
  </si>
  <si>
    <t>cyvadat.p05</t>
  </si>
  <si>
    <t>cyvadat.p06</t>
  </si>
  <si>
    <t>xlaa.p</t>
  </si>
  <si>
    <t>cyvadat.p07</t>
  </si>
  <si>
    <t>cyvadat.p08</t>
  </si>
  <si>
    <t>cyvadat.p09</t>
  </si>
  <si>
    <t>cyvadat.p10</t>
  </si>
  <si>
    <t>xmaa.rsd</t>
  </si>
  <si>
    <t>cyvadat.p11</t>
  </si>
  <si>
    <t xml:space="preserve">eubf </t>
  </si>
  <si>
    <t>cyvadat.p12</t>
  </si>
  <si>
    <t>cyvadat.p13</t>
  </si>
  <si>
    <t>xnaa.rsd</t>
  </si>
  <si>
    <t>cyvadat.p14</t>
  </si>
  <si>
    <t>cyvadat.p15</t>
  </si>
  <si>
    <t>cyvadat.p16</t>
  </si>
  <si>
    <t xml:space="preserve">eubg </t>
  </si>
  <si>
    <t>xoaa.rsd</t>
  </si>
  <si>
    <t>cyvadat.p17</t>
  </si>
  <si>
    <t>cyvadat.p18</t>
  </si>
  <si>
    <t>cyvadat.p19</t>
  </si>
  <si>
    <t>xpaa.p</t>
  </si>
  <si>
    <t>cyvadat.p20</t>
  </si>
  <si>
    <t xml:space="preserve">eubi </t>
  </si>
  <si>
    <t>cyvadat.p21</t>
  </si>
  <si>
    <t>cyvadat.p22</t>
  </si>
  <si>
    <t>Summon: Shiva hip</t>
  </si>
  <si>
    <t>cyvadat.p24</t>
  </si>
  <si>
    <t>xqaa.p</t>
  </si>
  <si>
    <t>Summon: Shiva tigh</t>
  </si>
  <si>
    <t>cyvadat.p25</t>
  </si>
  <si>
    <t>Summon: Shiva leg</t>
  </si>
  <si>
    <t>cyvadat.p26</t>
  </si>
  <si>
    <t>Summon: Shiva foot</t>
  </si>
  <si>
    <t>cyvadat.p28</t>
  </si>
  <si>
    <t>cyvadat.p29</t>
  </si>
  <si>
    <t xml:space="preserve">eubj </t>
  </si>
  <si>
    <t>xraa.p</t>
  </si>
  <si>
    <t>cyvadat.p30</t>
  </si>
  <si>
    <t>cyvadat.p33</t>
  </si>
  <si>
    <t>Summon: Shiva arm</t>
  </si>
  <si>
    <t>cyvadat.p34</t>
  </si>
  <si>
    <t>Summon: Shiva forearm</t>
  </si>
  <si>
    <t>cyvadat.p35</t>
  </si>
  <si>
    <t>Summon: Shiva hand</t>
  </si>
  <si>
    <t>cyvadat.p37</t>
  </si>
  <si>
    <t>Summon: Shiva wing</t>
  </si>
  <si>
    <t>cyvadat.p38</t>
  </si>
  <si>
    <t xml:space="preserve">eubk </t>
  </si>
  <si>
    <t>cyvadat.p40</t>
  </si>
  <si>
    <t>xsaa.rsd</t>
  </si>
  <si>
    <t>Summon: Shiva cloth strip</t>
  </si>
  <si>
    <t>cyvadat.p42</t>
  </si>
  <si>
    <t>cyvadat.p45</t>
  </si>
  <si>
    <t>cyvadat.p46</t>
  </si>
  <si>
    <t>cyvadat.p47</t>
  </si>
  <si>
    <t>cyvadat.t00</t>
  </si>
  <si>
    <t>Summon: Shiva eyes</t>
  </si>
  <si>
    <t>daichi.s</t>
  </si>
  <si>
    <t>daichi.tex</t>
  </si>
  <si>
    <t>xtaa.tex</t>
  </si>
  <si>
    <t xml:space="preserve">eubl </t>
  </si>
  <si>
    <t>daisenp.s</t>
  </si>
  <si>
    <t>daisenp.tex</t>
  </si>
  <si>
    <t>deathdat.a00</t>
  </si>
  <si>
    <t>yaaa.p</t>
  </si>
  <si>
    <t xml:space="preserve">eubm </t>
  </si>
  <si>
    <t xml:space="preserve">euda </t>
  </si>
  <si>
    <t xml:space="preserve">evaa </t>
  </si>
  <si>
    <t>ybaa.hrc</t>
  </si>
  <si>
    <t>Kimara Bug: Battle Skeleton</t>
  </si>
  <si>
    <t>mezet_sk</t>
  </si>
  <si>
    <t>Motormobile sA-37</t>
  </si>
  <si>
    <t>Limit: Cait sith slot 'Game over'</t>
  </si>
  <si>
    <t>deathdat.b</t>
  </si>
  <si>
    <t xml:space="preserve">evab </t>
  </si>
  <si>
    <t>Kimara Bug: Unidentified Part</t>
  </si>
  <si>
    <t>deathdat.d</t>
  </si>
  <si>
    <t xml:space="preserve">evac </t>
  </si>
  <si>
    <t>deathdat.p00</t>
  </si>
  <si>
    <t>Limit: Cait sith slot 'Game over' tail</t>
  </si>
  <si>
    <t>ycaa.hrc</t>
  </si>
  <si>
    <t>deathdat.p01</t>
  </si>
  <si>
    <t>Limit: Cait sith slot 'Game over' chest</t>
  </si>
  <si>
    <t>deathdat.p03</t>
  </si>
  <si>
    <t>Limit: Cait sith slot 'Game over' arm</t>
  </si>
  <si>
    <t>deathdat.p04</t>
  </si>
  <si>
    <t>Limit: Cait sith slot 'Game over' scythe hilt</t>
  </si>
  <si>
    <t>deathdat.p05</t>
  </si>
  <si>
    <t>Limit: Cait sith slot 'Game over' scythe blade</t>
  </si>
  <si>
    <t>deathdat.p06</t>
  </si>
  <si>
    <t xml:space="preserve">evad </t>
  </si>
  <si>
    <t>Limit: Cait sith slot 'Game over' head</t>
  </si>
  <si>
    <t>deathdat.p08</t>
  </si>
  <si>
    <t>deathdat.p09</t>
  </si>
  <si>
    <t>Limit: Cait sith slot 'Game over' forearm</t>
  </si>
  <si>
    <t>deathdat.p10</t>
  </si>
  <si>
    <t>ydaa.hrc</t>
  </si>
  <si>
    <t>Limit: Cait sith slot 'Game over' fist</t>
  </si>
  <si>
    <t>rid_1_sk</t>
  </si>
  <si>
    <t>deathdat.p11</t>
  </si>
  <si>
    <t>Limit: Cait sith slot 'Game over' cape</t>
  </si>
  <si>
    <t>deathdat.p13</t>
  </si>
  <si>
    <t>Limit: Cait sith slot 'Game over' cape spike</t>
  </si>
  <si>
    <t>deathdat.p15</t>
  </si>
  <si>
    <t xml:space="preserve">evam </t>
  </si>
  <si>
    <t>deathdat.p17</t>
  </si>
  <si>
    <t>deathdat.p19</t>
  </si>
  <si>
    <t>deathdat.t00</t>
  </si>
  <si>
    <t>Limit: Cait sith slot 'Game over' fist symbol</t>
  </si>
  <si>
    <t>deathlv5.geo</t>
  </si>
  <si>
    <t>deathlv5.hrc</t>
  </si>
  <si>
    <t>deathlv5_sk.geo</t>
  </si>
  <si>
    <t>yeaa.rsd</t>
  </si>
  <si>
    <t>debari_1.rsd</t>
  </si>
  <si>
    <t>debcyoda.a00</t>
  </si>
  <si>
    <t>Summon: Fat chocobo</t>
  </si>
  <si>
    <t>debcyoda.b</t>
  </si>
  <si>
    <t>debcyoda.d</t>
  </si>
  <si>
    <t>debcyoda.p00</t>
  </si>
  <si>
    <t>Summon: Fat chocobo body</t>
  </si>
  <si>
    <t>debcyoda.p01</t>
  </si>
  <si>
    <t xml:space="preserve">evan </t>
  </si>
  <si>
    <t>Summon: Fat chocobo head</t>
  </si>
  <si>
    <t>debcyoda.p02</t>
  </si>
  <si>
    <t>Summon: Fat chocobo head feathers</t>
  </si>
  <si>
    <t>debcyoda.p04</t>
  </si>
  <si>
    <t>yfaa.p</t>
  </si>
  <si>
    <t>Summon: Fat chocobo lower beck</t>
  </si>
  <si>
    <t>debcyoda.p06</t>
  </si>
  <si>
    <t>Summon: Fat chocobo wing</t>
  </si>
  <si>
    <t>debcyoda.p08</t>
  </si>
  <si>
    <t xml:space="preserve">evao </t>
  </si>
  <si>
    <t>debcyoda.p10</t>
  </si>
  <si>
    <t>Summon: Fat chocobo tail</t>
  </si>
  <si>
    <t>debcyoda.p12</t>
  </si>
  <si>
    <t>Summon: Fat chocobo leg</t>
  </si>
  <si>
    <t>debcyoda.p13</t>
  </si>
  <si>
    <t>Summon: Fat chocobo foot</t>
  </si>
  <si>
    <t>debcyoda.p15</t>
  </si>
  <si>
    <t>Summon: Fat chocobo claw</t>
  </si>
  <si>
    <t>debcyoda.p17</t>
  </si>
  <si>
    <t xml:space="preserve">evap </t>
  </si>
  <si>
    <t>debcyoda.p19</t>
  </si>
  <si>
    <t>debcyoda.p21</t>
  </si>
  <si>
    <t>ygaa.a</t>
  </si>
  <si>
    <t>debcyoda.p22</t>
  </si>
  <si>
    <t>debcyoda.p24</t>
  </si>
  <si>
    <t>yhaa.rsd</t>
  </si>
  <si>
    <t>debcyoda.p26</t>
  </si>
  <si>
    <t>debcyoda.p28</t>
  </si>
  <si>
    <t>debuc.p</t>
  </si>
  <si>
    <t>Limit: Cait sith toy box fat chocobo</t>
  </si>
  <si>
    <t>debuc.rsd</t>
  </si>
  <si>
    <t xml:space="preserve">evaq </t>
  </si>
  <si>
    <t>debucho.tex</t>
  </si>
  <si>
    <t>dejon00.tex</t>
  </si>
  <si>
    <t>Spell: Remove</t>
  </si>
  <si>
    <t>dejon01.tex</t>
  </si>
  <si>
    <t>dejon_1.tex</t>
  </si>
  <si>
    <t>dejon_2.tex</t>
  </si>
  <si>
    <t>yiaa.rsd</t>
  </si>
  <si>
    <t>den1.tex</t>
  </si>
  <si>
    <t>den2.tex</t>
  </si>
  <si>
    <t xml:space="preserve">evat </t>
  </si>
  <si>
    <t>dengeki1.s</t>
  </si>
  <si>
    <t>dengeki2.s</t>
  </si>
  <si>
    <t>dethfo_1.tex</t>
  </si>
  <si>
    <t>Enemy Skill: Death force skull</t>
  </si>
  <si>
    <t>dethpe_1.tex</t>
  </si>
  <si>
    <t>yjaa.rsd</t>
  </si>
  <si>
    <t>Despell crystal surface</t>
  </si>
  <si>
    <t>dethp_1.p</t>
  </si>
  <si>
    <t>Despell crystal</t>
  </si>
  <si>
    <t xml:space="preserve">evav </t>
  </si>
  <si>
    <t>dethp_1.rsd</t>
  </si>
  <si>
    <t>dethp_2.p</t>
  </si>
  <si>
    <t>dethp_2.rsd</t>
  </si>
  <si>
    <t>ykaa.rsd</t>
  </si>
  <si>
    <t>dice.a00</t>
  </si>
  <si>
    <t>Limit: Cait sith dice</t>
  </si>
  <si>
    <t>dise.p</t>
  </si>
  <si>
    <t>dise.rsd</t>
  </si>
  <si>
    <t xml:space="preserve">evaw </t>
  </si>
  <si>
    <t>dise_1.tex</t>
  </si>
  <si>
    <t>Limit: Cait sith dice '1'</t>
  </si>
  <si>
    <t>dise_2.tex</t>
  </si>
  <si>
    <t>ylaa.rsd</t>
  </si>
  <si>
    <t>Limit: Cait sith dice '2'</t>
  </si>
  <si>
    <t>dise_3.tex</t>
  </si>
  <si>
    <t>Limit: Cait sith dice '3'</t>
  </si>
  <si>
    <t xml:space="preserve">evax </t>
  </si>
  <si>
    <t>dise_4.tex</t>
  </si>
  <si>
    <t>Limit: Cait sith dice '4'</t>
  </si>
  <si>
    <t>dise_5.tex</t>
  </si>
  <si>
    <t>Limit: Cait sith dice '5'</t>
  </si>
  <si>
    <t>dise_6.tex</t>
  </si>
  <si>
    <t>Limit: Cait sith dice '6'</t>
  </si>
  <si>
    <t>doku03.tex</t>
  </si>
  <si>
    <t>ymaa.p</t>
  </si>
  <si>
    <t xml:space="preserve">evaz </t>
  </si>
  <si>
    <t>doku1.tex</t>
  </si>
  <si>
    <t>doku2.s</t>
  </si>
  <si>
    <t>domu2.p</t>
  </si>
  <si>
    <t>domu2.rsd</t>
  </si>
  <si>
    <t xml:space="preserve">evba </t>
  </si>
  <si>
    <t>domu4.p</t>
  </si>
  <si>
    <t>domu4.rsd</t>
  </si>
  <si>
    <t>ynaa.p</t>
  </si>
  <si>
    <t>domu5.p</t>
  </si>
  <si>
    <t>domu5.rsd</t>
  </si>
  <si>
    <t xml:space="preserve">evbb </t>
  </si>
  <si>
    <t>dragon.s</t>
  </si>
  <si>
    <t>Enemy skill: Dragon force</t>
  </si>
  <si>
    <t>dragon.tex</t>
  </si>
  <si>
    <t>Enemy skill: Dragon force shine</t>
  </si>
  <si>
    <t>dragon_1.p</t>
  </si>
  <si>
    <t>Enemy skill: Dragon force shield</t>
  </si>
  <si>
    <t>yoaa.p</t>
  </si>
  <si>
    <t xml:space="preserve">evbd </t>
  </si>
  <si>
    <t>dragon_1.rsd</t>
  </si>
  <si>
    <t>dragon_2.p</t>
  </si>
  <si>
    <t>dragon_2.rsd</t>
  </si>
  <si>
    <t>dragon_3.p</t>
  </si>
  <si>
    <t xml:space="preserve">evbf </t>
  </si>
  <si>
    <t>dragon_3.rsd</t>
  </si>
  <si>
    <t>ypaa.rsd</t>
  </si>
  <si>
    <t>dragon_4.p</t>
  </si>
  <si>
    <t>dragon_4.rsd</t>
  </si>
  <si>
    <t xml:space="preserve">evbg </t>
  </si>
  <si>
    <t>dynamite.p</t>
  </si>
  <si>
    <t>Limit: Cid Dynamite explosion</t>
  </si>
  <si>
    <t>dynamite.rsd</t>
  </si>
  <si>
    <t>yqaa.rsd</t>
  </si>
  <si>
    <t>e1.p</t>
  </si>
  <si>
    <t xml:space="preserve">evbh </t>
  </si>
  <si>
    <t>e1.rsd</t>
  </si>
  <si>
    <t>e10.p</t>
  </si>
  <si>
    <t>e10.rsd</t>
  </si>
  <si>
    <t>e10.tex</t>
  </si>
  <si>
    <t>e11.p</t>
  </si>
  <si>
    <t>yraa.tex</t>
  </si>
  <si>
    <t>e11.rsd</t>
  </si>
  <si>
    <t xml:space="preserve">evbj </t>
  </si>
  <si>
    <t>e11.tex</t>
  </si>
  <si>
    <t>e12.p</t>
  </si>
  <si>
    <t>e12.rsd</t>
  </si>
  <si>
    <t>e12.tex</t>
  </si>
  <si>
    <t>e13.tex</t>
  </si>
  <si>
    <t>e14.tex</t>
  </si>
  <si>
    <t>ysaa.p</t>
  </si>
  <si>
    <t>e15.tex</t>
  </si>
  <si>
    <t xml:space="preserve">evbk </t>
  </si>
  <si>
    <t>e16.tex</t>
  </si>
  <si>
    <t>e2.p</t>
  </si>
  <si>
    <t>e2.rsd</t>
  </si>
  <si>
    <t>e3.p</t>
  </si>
  <si>
    <t>ytaa.tex</t>
  </si>
  <si>
    <t>e3.rsd</t>
  </si>
  <si>
    <t xml:space="preserve">evbl </t>
  </si>
  <si>
    <t>e4.p</t>
  </si>
  <si>
    <t>e4.rsd</t>
  </si>
  <si>
    <t>e5.p</t>
  </si>
  <si>
    <t>e5.rsd</t>
  </si>
  <si>
    <t>e6.p</t>
  </si>
  <si>
    <t>zaaa.rsd</t>
  </si>
  <si>
    <t>e6.rsd</t>
  </si>
  <si>
    <t>e7.p</t>
  </si>
  <si>
    <t xml:space="preserve">evbn </t>
  </si>
  <si>
    <t>e7.rsd</t>
  </si>
  <si>
    <t>e7.tex</t>
  </si>
  <si>
    <t>e8.p</t>
  </si>
  <si>
    <t>e8.rsd</t>
  </si>
  <si>
    <t>zbaa.rsd</t>
  </si>
  <si>
    <t>Motormobile sA-37: Body</t>
  </si>
  <si>
    <t>e8.tex</t>
  </si>
  <si>
    <t>e9.p</t>
  </si>
  <si>
    <t>e9.rsd</t>
  </si>
  <si>
    <t>e9.tex</t>
  </si>
  <si>
    <t xml:space="preserve">evbp </t>
  </si>
  <si>
    <t>echoes.tex</t>
  </si>
  <si>
    <t>elec2.p</t>
  </si>
  <si>
    <t>elec2.rsd</t>
  </si>
  <si>
    <t>zcaa.hrc</t>
  </si>
  <si>
    <t>bos_sk</t>
  </si>
  <si>
    <t>elec2.tex</t>
  </si>
  <si>
    <t>Boss</t>
  </si>
  <si>
    <t>elec3.p</t>
  </si>
  <si>
    <t>elec3.rsd</t>
  </si>
  <si>
    <t>elec3.s</t>
  </si>
  <si>
    <t>elec3.tex</t>
  </si>
  <si>
    <t>elec4.p</t>
  </si>
  <si>
    <t>elec4.rsd</t>
  </si>
  <si>
    <t>zdaa.rsd</t>
  </si>
  <si>
    <t xml:space="preserve">evbr </t>
  </si>
  <si>
    <t>elec4.s</t>
  </si>
  <si>
    <t>elec4.tex</t>
  </si>
  <si>
    <t>elecbi.s</t>
  </si>
  <si>
    <t>elec_2.s</t>
  </si>
  <si>
    <t>elec_2.tex</t>
  </si>
  <si>
    <t>elec_3.tex</t>
  </si>
  <si>
    <t>elec_y1.s</t>
  </si>
  <si>
    <t>elec_y2.s</t>
  </si>
  <si>
    <t>zeaa.p</t>
  </si>
  <si>
    <t>elehit.tex</t>
  </si>
  <si>
    <t>eletri1.rsd</t>
  </si>
  <si>
    <t xml:space="preserve">evbs </t>
  </si>
  <si>
    <t>eletri2.rsd</t>
  </si>
  <si>
    <t>eletri3.rsd</t>
  </si>
  <si>
    <t>eletri4.rsd</t>
  </si>
  <si>
    <t>eletri5.rsd</t>
  </si>
  <si>
    <t>eletri6.rsd</t>
  </si>
  <si>
    <t>zfaa.rsd</t>
  </si>
  <si>
    <t>eletry1.p</t>
  </si>
  <si>
    <t>eletry1.rsd</t>
  </si>
  <si>
    <t xml:space="preserve">evbt </t>
  </si>
  <si>
    <t>eletry2.p</t>
  </si>
  <si>
    <t>eletry2.rsd</t>
  </si>
  <si>
    <t>eletry3.p</t>
  </si>
  <si>
    <t>eletry3.rsd</t>
  </si>
  <si>
    <t>zgaa.a</t>
  </si>
  <si>
    <t>eletry4.p</t>
  </si>
  <si>
    <t>eletry4.rsd</t>
  </si>
  <si>
    <t>zhaa.p</t>
  </si>
  <si>
    <t>eletry5.p</t>
  </si>
  <si>
    <t xml:space="preserve">evbv </t>
  </si>
  <si>
    <t>eletry5.rsd</t>
  </si>
  <si>
    <t>eletry6.p</t>
  </si>
  <si>
    <t>eletry6.rsd</t>
  </si>
  <si>
    <t>ene.p</t>
  </si>
  <si>
    <t>ene.rsd</t>
  </si>
  <si>
    <t>ziaa.p</t>
  </si>
  <si>
    <t>enemy331.tex</t>
  </si>
  <si>
    <t>energy1.p</t>
  </si>
  <si>
    <t xml:space="preserve">evbw </t>
  </si>
  <si>
    <t>energy1.rsd</t>
  </si>
  <si>
    <t>energy2.p</t>
  </si>
  <si>
    <t>energy2.rsd</t>
  </si>
  <si>
    <t>enesoto.p</t>
  </si>
  <si>
    <t>zjaa.p</t>
  </si>
  <si>
    <t>enesoto.rsd</t>
  </si>
  <si>
    <t>erec1.tex</t>
  </si>
  <si>
    <t>erec2.tex</t>
  </si>
  <si>
    <t xml:space="preserve">evbx </t>
  </si>
  <si>
    <t>erec3.tex</t>
  </si>
  <si>
    <t>erec4.tex</t>
  </si>
  <si>
    <t>erupt_1.rsd</t>
  </si>
  <si>
    <t>Summon: Hades cauldron wave</t>
  </si>
  <si>
    <t>erupt_1.tex</t>
  </si>
  <si>
    <t>zkaa.p</t>
  </si>
  <si>
    <t>This tex seems to be linked to erupt_2 instead</t>
  </si>
  <si>
    <t>erupt_2.lmd</t>
  </si>
  <si>
    <t>erupt_2.p</t>
  </si>
  <si>
    <t xml:space="preserve">evda </t>
  </si>
  <si>
    <t>erupt_2.rsd</t>
  </si>
  <si>
    <t xml:space="preserve">ewaa </t>
  </si>
  <si>
    <t>esna.tex</t>
  </si>
  <si>
    <t>Heavy Tank: Battle Skeleton</t>
  </si>
  <si>
    <t>zlaa.p</t>
  </si>
  <si>
    <t>exp1.s</t>
  </si>
  <si>
    <t>exp10.s</t>
  </si>
  <si>
    <t>exp11.s</t>
  </si>
  <si>
    <t>exp12.s</t>
  </si>
  <si>
    <t xml:space="preserve">ewab </t>
  </si>
  <si>
    <t>zmaa.rsd</t>
  </si>
  <si>
    <t>Heavy Tank: Unidentified Part</t>
  </si>
  <si>
    <t>exp13.s</t>
  </si>
  <si>
    <t>exp14.s</t>
  </si>
  <si>
    <t xml:space="preserve">ewam </t>
  </si>
  <si>
    <t>exp15.s</t>
  </si>
  <si>
    <t>exp16.s</t>
  </si>
  <si>
    <t>exp2.s</t>
  </si>
  <si>
    <t>Summon: Bahamut Zero explosion</t>
  </si>
  <si>
    <t>exp2.tex</t>
  </si>
  <si>
    <t>znaa.rsd</t>
  </si>
  <si>
    <t>exp3.s</t>
  </si>
  <si>
    <t>exp4.s</t>
  </si>
  <si>
    <t>exp5.s</t>
  </si>
  <si>
    <t xml:space="preserve">ewao </t>
  </si>
  <si>
    <t>exp6.s</t>
  </si>
  <si>
    <t>exp7.s</t>
  </si>
  <si>
    <t>exp8.s</t>
  </si>
  <si>
    <t>zoaa.rsd</t>
  </si>
  <si>
    <t>exp9.s</t>
  </si>
  <si>
    <t>expld.s</t>
  </si>
  <si>
    <t>explo.s</t>
  </si>
  <si>
    <t>explo1.tex</t>
  </si>
  <si>
    <t xml:space="preserve">ewaq </t>
  </si>
  <si>
    <t>explo2.tex</t>
  </si>
  <si>
    <t>explo_1.s</t>
  </si>
  <si>
    <t>Fire 3 (All enemies)</t>
  </si>
  <si>
    <t>zpaa.p</t>
  </si>
  <si>
    <t>expl_1.tex</t>
  </si>
  <si>
    <t>exp_10.s</t>
  </si>
  <si>
    <t>exp_11.s</t>
  </si>
  <si>
    <t>exp_12.s</t>
  </si>
  <si>
    <t xml:space="preserve">ewas </t>
  </si>
  <si>
    <t>exp_1a.s</t>
  </si>
  <si>
    <t>zqaa.p</t>
  </si>
  <si>
    <t>exp_4.p</t>
  </si>
  <si>
    <t>exp_4.rsd</t>
  </si>
  <si>
    <t>exp_4.s</t>
  </si>
  <si>
    <t>exp_5.s</t>
  </si>
  <si>
    <t>exp_6.s</t>
  </si>
  <si>
    <t>zraa.rsd</t>
  </si>
  <si>
    <t xml:space="preserve">ewau </t>
  </si>
  <si>
    <t>exp_7.s</t>
  </si>
  <si>
    <t>exp_8.s</t>
  </si>
  <si>
    <t>exp_9.s</t>
  </si>
  <si>
    <t>exp_x1.tex</t>
  </si>
  <si>
    <t>zsaa.tex</t>
  </si>
  <si>
    <t>eye_1.p</t>
  </si>
  <si>
    <t>eye_1.rsd</t>
  </si>
  <si>
    <t>eye_1.s</t>
  </si>
  <si>
    <t xml:space="preserve">ewav </t>
  </si>
  <si>
    <t>faiga2_1.rsd</t>
  </si>
  <si>
    <t>Fire3</t>
  </si>
  <si>
    <t>faiga_1.p</t>
  </si>
  <si>
    <t>Fire3 sphere</t>
  </si>
  <si>
    <t>ztaa.tex</t>
  </si>
  <si>
    <t>faiga_1.s</t>
  </si>
  <si>
    <t>faiga_1.tex</t>
  </si>
  <si>
    <t>Fire3 sphere flames</t>
  </si>
  <si>
    <t>faiga_2.p</t>
  </si>
  <si>
    <t xml:space="preserve">ewaw </t>
  </si>
  <si>
    <t>faiga_2.rsd</t>
  </si>
  <si>
    <t>faiga_2.tex</t>
  </si>
  <si>
    <t>Fire3 sphere smoke</t>
  </si>
  <si>
    <t>faiga_3.s</t>
  </si>
  <si>
    <t>faiga_3.tex</t>
  </si>
  <si>
    <t>Fire3 shine</t>
  </si>
  <si>
    <t>faiga_4.tex</t>
  </si>
  <si>
    <t>Fire3 shining circles</t>
  </si>
  <si>
    <t xml:space="preserve">ewax </t>
  </si>
  <si>
    <t>faira00.tex</t>
  </si>
  <si>
    <t>Fire2 flames</t>
  </si>
  <si>
    <t>faira01.tex</t>
  </si>
  <si>
    <t>fire00.tex</t>
  </si>
  <si>
    <t>Fire1 flames</t>
  </si>
  <si>
    <t>fire01.tex</t>
  </si>
  <si>
    <t xml:space="preserve">eway </t>
  </si>
  <si>
    <t>Fire1 flames dying</t>
  </si>
  <si>
    <t>fire_1.s</t>
  </si>
  <si>
    <t>fire_2.s</t>
  </si>
  <si>
    <t>fire_b1.tex</t>
  </si>
  <si>
    <t>Summon: Phoenix flames</t>
  </si>
  <si>
    <t>fir_1.s</t>
  </si>
  <si>
    <t>fir_1.tex</t>
  </si>
  <si>
    <t>Ultima green cloud</t>
  </si>
  <si>
    <t>fir_2.s</t>
  </si>
  <si>
    <t>fi_a01.s</t>
  </si>
  <si>
    <t>flame00.tex</t>
  </si>
  <si>
    <t>Enemy skill: Flamethrower flames</t>
  </si>
  <si>
    <t>flame01.tex</t>
  </si>
  <si>
    <t>Enemy skill: Flamethrower flames dying</t>
  </si>
  <si>
    <t xml:space="preserve">ewaz </t>
  </si>
  <si>
    <t>flame1.p</t>
  </si>
  <si>
    <t>flame1.rsd</t>
  </si>
  <si>
    <t>flame2.p</t>
  </si>
  <si>
    <t>flame2.rsd</t>
  </si>
  <si>
    <t>flame_1.p</t>
  </si>
  <si>
    <t>Summon: Ifrit fire halo</t>
  </si>
  <si>
    <t>flame_1.rsd</t>
  </si>
  <si>
    <t>flame_2.p</t>
  </si>
  <si>
    <t>Summon: Ifrit fireball</t>
  </si>
  <si>
    <t>flame_2.rsd</t>
  </si>
  <si>
    <t>All psx portraits are (48x48)</t>
  </si>
  <si>
    <t>flame_2.tex</t>
  </si>
  <si>
    <t xml:space="preserve">ewbc </t>
  </si>
  <si>
    <t>barre.tex</t>
  </si>
  <si>
    <t>flame_3.rsd</t>
  </si>
  <si>
    <t>flame_a.s</t>
  </si>
  <si>
    <t>Barret Portrait (128x128)</t>
  </si>
  <si>
    <t>flame_b.s</t>
  </si>
  <si>
    <t>flame_c.s</t>
  </si>
  <si>
    <t>flame_d.s</t>
  </si>
  <si>
    <t>flame_e.s</t>
  </si>
  <si>
    <t>flame_f.s</t>
  </si>
  <si>
    <t>flame_g.s</t>
  </si>
  <si>
    <t>flame_h.s</t>
  </si>
  <si>
    <t>flame_i.s</t>
  </si>
  <si>
    <t>flash_1.lmd</t>
  </si>
  <si>
    <t>Summon: Bahamut flashing clouds</t>
  </si>
  <si>
    <t xml:space="preserve">ewbd </t>
  </si>
  <si>
    <t>flash_1.s</t>
  </si>
  <si>
    <t>flash_1.tex</t>
  </si>
  <si>
    <t>flash_2.s</t>
  </si>
  <si>
    <t>flash_2.tex</t>
  </si>
  <si>
    <t>force.p</t>
  </si>
  <si>
    <t>barre_l.tex</t>
  </si>
  <si>
    <t>Barret Portrait (64x64)</t>
  </si>
  <si>
    <t>formula1.s</t>
  </si>
  <si>
    <t>formula1.tex</t>
  </si>
  <si>
    <t xml:space="preserve">ewbe </t>
  </si>
  <si>
    <t>formula2.s</t>
  </si>
  <si>
    <t>formula3.s</t>
  </si>
  <si>
    <t>formula4.s</t>
  </si>
  <si>
    <t>freeze02.tex</t>
  </si>
  <si>
    <t>full_1.p</t>
  </si>
  <si>
    <t>full_1.rsd</t>
  </si>
  <si>
    <t>full_1.tex</t>
  </si>
  <si>
    <t>bins.tex</t>
  </si>
  <si>
    <t>Vincent Portrait (128x128)</t>
  </si>
  <si>
    <t>gaisei00.tex</t>
  </si>
  <si>
    <t>galaxy_1.p</t>
  </si>
  <si>
    <t xml:space="preserve">ewbh </t>
  </si>
  <si>
    <t>galaxy_1.rsd</t>
  </si>
  <si>
    <t>galaxy_1.tex</t>
  </si>
  <si>
    <t>gan2.p</t>
  </si>
  <si>
    <t>gan2.rsd</t>
  </si>
  <si>
    <t>gan3.p</t>
  </si>
  <si>
    <t>bins_l.tex</t>
  </si>
  <si>
    <t>gan3.rsd</t>
  </si>
  <si>
    <t>Vincent Portrait (64x64)</t>
  </si>
  <si>
    <t>gan4.p</t>
  </si>
  <si>
    <t>gan4.rsd</t>
  </si>
  <si>
    <t>gan5.p</t>
  </si>
  <si>
    <t xml:space="preserve">ewbi </t>
  </si>
  <si>
    <t>gan5.rsd</t>
  </si>
  <si>
    <t>btl_win_a_h.tex</t>
  </si>
  <si>
    <t>gan6.p</t>
  </si>
  <si>
    <t>Menu Textures: Button Icons, +</t>
  </si>
  <si>
    <t>gan6.rsd</t>
  </si>
  <si>
    <t>misc parts of the menu and battle system</t>
  </si>
  <si>
    <t>gardl.p</t>
  </si>
  <si>
    <t>gardl.rsd</t>
  </si>
  <si>
    <t>gardr.p</t>
  </si>
  <si>
    <t>gardr.rsd</t>
  </si>
  <si>
    <t>gas02.tex</t>
  </si>
  <si>
    <t>gas03.tex</t>
  </si>
  <si>
    <t>geki1.tex</t>
  </si>
  <si>
    <t>geki2.tex</t>
  </si>
  <si>
    <t xml:space="preserve">ewbj </t>
  </si>
  <si>
    <t>geki3.p</t>
  </si>
  <si>
    <t>geki3.rsd</t>
  </si>
  <si>
    <t>btl_win_a_l.tex</t>
  </si>
  <si>
    <t>geki4.p</t>
  </si>
  <si>
    <t>geki4.rsd</t>
  </si>
  <si>
    <t xml:space="preserve">borders for windows in both the menu and </t>
  </si>
  <si>
    <t>glenade.p</t>
  </si>
  <si>
    <t>glenade.rsd</t>
  </si>
  <si>
    <t>gl_light.p</t>
  </si>
  <si>
    <t>gl_light.rsd</t>
  </si>
  <si>
    <t>goblinp1.s</t>
  </si>
  <si>
    <t xml:space="preserve">ewbl </t>
  </si>
  <si>
    <t>goblinp2.s</t>
  </si>
  <si>
    <t>goblin_1.tex</t>
  </si>
  <si>
    <t>goblin_2.tex</t>
  </si>
  <si>
    <t>gospel01.tex</t>
  </si>
  <si>
    <t>graund.tex</t>
  </si>
  <si>
    <t>gravid00.tex</t>
  </si>
  <si>
    <t>gravid01.tex</t>
  </si>
  <si>
    <t xml:space="preserve">ewbn </t>
  </si>
  <si>
    <t>btl_win_b_h.tex</t>
  </si>
  <si>
    <t>Menu Textures:Cursors, Count down numbers,+</t>
  </si>
  <si>
    <t>gravid02.tex</t>
  </si>
  <si>
    <t>battles, status emblems, count down clock, tifa</t>
  </si>
  <si>
    <t>gravid03.tex</t>
  </si>
  <si>
    <t>gravig03.tex</t>
  </si>
  <si>
    <t>grav_1.p</t>
  </si>
  <si>
    <t xml:space="preserve">ewbo </t>
  </si>
  <si>
    <t>grav_1.rsd</t>
  </si>
  <si>
    <t>grav_1.s</t>
  </si>
  <si>
    <t>grav_2.p</t>
  </si>
  <si>
    <t>grav_2.rsd</t>
  </si>
  <si>
    <t>grav_2.tex</t>
  </si>
  <si>
    <t>btl_win_b_l.tex</t>
  </si>
  <si>
    <t>grav_a.s</t>
  </si>
  <si>
    <t>limit roulette parts, as well as all the icons for</t>
  </si>
  <si>
    <t>grenad00.tex</t>
  </si>
  <si>
    <t xml:space="preserve">ewbp </t>
  </si>
  <si>
    <t>grenad01.tex</t>
  </si>
  <si>
    <t>ground_1.rsd</t>
  </si>
  <si>
    <t>ground_1.tex</t>
  </si>
  <si>
    <t>Summon: Neo Bahamut ground</t>
  </si>
  <si>
    <t>ground_3.p</t>
  </si>
  <si>
    <t>ground_3.rsd</t>
  </si>
  <si>
    <t>gung.p</t>
  </si>
  <si>
    <t>gung.rsd</t>
  </si>
  <si>
    <t>gun_01.tex</t>
  </si>
  <si>
    <t xml:space="preserve">ewda </t>
  </si>
  <si>
    <t>ha7.tex</t>
  </si>
  <si>
    <t>ha8.tex</t>
  </si>
  <si>
    <t>btl_win_c_h.tex</t>
  </si>
  <si>
    <t xml:space="preserve">exaa </t>
  </si>
  <si>
    <t>habsonic.p</t>
  </si>
  <si>
    <t>Menu Textures:Weapon Icons +</t>
  </si>
  <si>
    <t>habsonic.rsd</t>
  </si>
  <si>
    <t>hadesdat.a00</t>
  </si>
  <si>
    <t>weapons and items used in the menu/battle</t>
  </si>
  <si>
    <t>Summon: Hades</t>
  </si>
  <si>
    <t>hadesdat.b</t>
  </si>
  <si>
    <t>hadesdat.d</t>
  </si>
  <si>
    <t>hadesdat.p02</t>
  </si>
  <si>
    <t>Summon: Hades lower robe</t>
  </si>
  <si>
    <t>hadesdat.p03</t>
  </si>
  <si>
    <t>Gongaga Model Reno copy 1 (bwaa)</t>
  </si>
  <si>
    <t>Summon: Hades chest</t>
  </si>
  <si>
    <t xml:space="preserve">exab </t>
  </si>
  <si>
    <t>hadesdat.p04</t>
  </si>
  <si>
    <t>Summon: Hades neck belt</t>
  </si>
  <si>
    <t>hadesdat.p06</t>
  </si>
  <si>
    <t>Summon: Hades head</t>
  </si>
  <si>
    <t xml:space="preserve">exac </t>
  </si>
  <si>
    <t>hadesdat.p07</t>
  </si>
  <si>
    <t>Summon: Hades jaw</t>
  </si>
  <si>
    <t>hadesdat.p08</t>
  </si>
  <si>
    <t>btl_win_c_l.tex</t>
  </si>
  <si>
    <t>Summon: Hades hood</t>
  </si>
  <si>
    <t>Menu Texture:Weapon Icons +</t>
  </si>
  <si>
    <t>hadesdat.p10</t>
  </si>
  <si>
    <t>Summon: Hades shoulder</t>
  </si>
  <si>
    <t>there is also textures that contain the fonts</t>
  </si>
  <si>
    <t>hadesdat.p11</t>
  </si>
  <si>
    <t>Summon: Hades arm</t>
  </si>
  <si>
    <t>hadesdat.p12</t>
  </si>
  <si>
    <t>Summon: Hades forearm</t>
  </si>
  <si>
    <t>hadesdat.p13</t>
  </si>
  <si>
    <t>Summon: Hades hand</t>
  </si>
  <si>
    <t xml:space="preserve">exam </t>
  </si>
  <si>
    <t>hadesdat.p15</t>
  </si>
  <si>
    <t>Summon: Hades finger</t>
  </si>
  <si>
    <t>hadesdat.p17</t>
  </si>
  <si>
    <t>hadesdat.p19</t>
  </si>
  <si>
    <t>hadesdat.p21</t>
  </si>
  <si>
    <t>hadesdat.p23</t>
  </si>
  <si>
    <t>btl_win_d_h.tex</t>
  </si>
  <si>
    <t>Menu Texture: Fonts, Numbers</t>
  </si>
  <si>
    <t xml:space="preserve">exan </t>
  </si>
  <si>
    <t>hadesdat.p25</t>
  </si>
  <si>
    <t>needed to form the text used in the menus</t>
  </si>
  <si>
    <t>Summon: Hades forearm robe part</t>
  </si>
  <si>
    <t>hadesdat.p26</t>
  </si>
  <si>
    <t>hadesdat.p28</t>
  </si>
  <si>
    <t>hadesdat.p29</t>
  </si>
  <si>
    <t>hadesdat.p30</t>
  </si>
  <si>
    <t>hadesdat.p32</t>
  </si>
  <si>
    <t xml:space="preserve">exap </t>
  </si>
  <si>
    <t>hadesdat.p33</t>
  </si>
  <si>
    <t>hadesdat.p34</t>
  </si>
  <si>
    <t>hadesdat.p36</t>
  </si>
  <si>
    <t>btl_win_d_l.tex</t>
  </si>
  <si>
    <t>hadesdat.p38</t>
  </si>
  <si>
    <t xml:space="preserve">there are two copies of each texture as well </t>
  </si>
  <si>
    <t>hadesdat.p40</t>
  </si>
  <si>
    <t xml:space="preserve">exaq </t>
  </si>
  <si>
    <t>hadesdat.p42</t>
  </si>
  <si>
    <t>hadesdat.p44</t>
  </si>
  <si>
    <t>hadesdat.p45</t>
  </si>
  <si>
    <t>Summon: Hades cauldron</t>
  </si>
  <si>
    <t>hadesdat.t00</t>
  </si>
  <si>
    <t>Summon: Hades cauldron interior?</t>
  </si>
  <si>
    <t>hado2.p</t>
  </si>
  <si>
    <t>hado2.rsd</t>
  </si>
  <si>
    <t xml:space="preserve">exar </t>
  </si>
  <si>
    <t>hado3.p</t>
  </si>
  <si>
    <t>btl_win_h.tex</t>
  </si>
  <si>
    <t>hado3.rsd</t>
  </si>
  <si>
    <t>combo of all the btl_win_x_h files</t>
  </si>
  <si>
    <t>hado4.p</t>
  </si>
  <si>
    <t>well as a composite texture for each copy</t>
  </si>
  <si>
    <t>hado4.rsd</t>
  </si>
  <si>
    <t>hado5.p</t>
  </si>
  <si>
    <t>hado5.rsd</t>
  </si>
  <si>
    <t>hado6.p</t>
  </si>
  <si>
    <t>hado6.rsd</t>
  </si>
  <si>
    <t xml:space="preserve">exas </t>
  </si>
  <si>
    <t>hado7.p</t>
  </si>
  <si>
    <t>hado7.rsd</t>
  </si>
  <si>
    <t>hado8.p</t>
  </si>
  <si>
    <t>hado8.rsd</t>
  </si>
  <si>
    <t>hahen.tex</t>
  </si>
  <si>
    <t>hakou.tex</t>
  </si>
  <si>
    <t>btl_win_l.tex</t>
  </si>
  <si>
    <t>combo of all the btl_win_x_l files</t>
  </si>
  <si>
    <t>han.s</t>
  </si>
  <si>
    <t xml:space="preserve">the two copies look the same. </t>
  </si>
  <si>
    <t>hansya.s</t>
  </si>
  <si>
    <t xml:space="preserve">exau </t>
  </si>
  <si>
    <t>happa_1.tex</t>
  </si>
  <si>
    <t>Gyshal greens leaf</t>
  </si>
  <si>
    <t>hari.s</t>
  </si>
  <si>
    <t>hari1.p</t>
  </si>
  <si>
    <t>hari1.rsd</t>
  </si>
  <si>
    <t>hari1.tex</t>
  </si>
  <si>
    <t>harir1.p</t>
  </si>
  <si>
    <t>harir1.rsd</t>
  </si>
  <si>
    <t xml:space="preserve">exav </t>
  </si>
  <si>
    <t>harir2.p</t>
  </si>
  <si>
    <t>harir2.rsd</t>
  </si>
  <si>
    <t>buster.tex</t>
  </si>
  <si>
    <t>harrie00.tex</t>
  </si>
  <si>
    <t>Main Menu Buster Sword</t>
  </si>
  <si>
    <t>harrie01.tex</t>
  </si>
  <si>
    <t>harrie02.tex</t>
  </si>
  <si>
    <t>harto.p</t>
  </si>
  <si>
    <t>Confuse heart shining position 1</t>
  </si>
  <si>
    <t>harto.rsd</t>
  </si>
  <si>
    <t xml:space="preserve">exaw </t>
  </si>
  <si>
    <t>choco.tex</t>
  </si>
  <si>
    <t>harto.tex</t>
  </si>
  <si>
    <t>Chocobo Portrait (128x128)</t>
  </si>
  <si>
    <t>harto1.p</t>
  </si>
  <si>
    <t>Confuse heart shining position 2</t>
  </si>
  <si>
    <t>harto1.rsd</t>
  </si>
  <si>
    <t>harto1.tex</t>
  </si>
  <si>
    <t>choco_l.tex</t>
  </si>
  <si>
    <t>harto2.p</t>
  </si>
  <si>
    <t>Chocobo Portrait (64x64)</t>
  </si>
  <si>
    <t>Confuse heart shining position 3</t>
  </si>
  <si>
    <t>harto2.rsd</t>
  </si>
  <si>
    <t xml:space="preserve">exay </t>
  </si>
  <si>
    <t>harto2.tex</t>
  </si>
  <si>
    <t>harto3.p</t>
  </si>
  <si>
    <t>cido.tex</t>
  </si>
  <si>
    <t>Confuse heart shining position 4</t>
  </si>
  <si>
    <t>Cid Portrait (128x128)</t>
  </si>
  <si>
    <t>harto3.rsd</t>
  </si>
  <si>
    <t>harto3.tex</t>
  </si>
  <si>
    <t>harto4.p</t>
  </si>
  <si>
    <t>Confuse heart shining position 5</t>
  </si>
  <si>
    <t>harto4.rsd</t>
  </si>
  <si>
    <t>cido_l.tex</t>
  </si>
  <si>
    <t xml:space="preserve">exba </t>
  </si>
  <si>
    <t>Cid Portrait (64x64)</t>
  </si>
  <si>
    <t>harto4.tex</t>
  </si>
  <si>
    <t>harto5.p</t>
  </si>
  <si>
    <t>Confuse heart shining position 6</t>
  </si>
  <si>
    <t>harto5.rsd</t>
  </si>
  <si>
    <t>harto5.tex</t>
  </si>
  <si>
    <t>cloud.tex</t>
  </si>
  <si>
    <t>Cloud Portrait (128x128)</t>
  </si>
  <si>
    <t>harto6.p</t>
  </si>
  <si>
    <t>Confuse heart shining position 7</t>
  </si>
  <si>
    <t>harto6.rsd</t>
  </si>
  <si>
    <t xml:space="preserve">exbb </t>
  </si>
  <si>
    <t>harto6.tex</t>
  </si>
  <si>
    <t>hassya1.tex</t>
  </si>
  <si>
    <t>cloud_l.tex</t>
  </si>
  <si>
    <t>Cloud Portrait (64x64)</t>
  </si>
  <si>
    <t>hatena.p</t>
  </si>
  <si>
    <t>Enemy Skill: Pandoras box question mark</t>
  </si>
  <si>
    <t>hatena.rsd</t>
  </si>
  <si>
    <t>hatena_2.p</t>
  </si>
  <si>
    <t>Limit: Cait sith toy box weight</t>
  </si>
  <si>
    <t>colo.tex</t>
  </si>
  <si>
    <t xml:space="preserve">exbc </t>
  </si>
  <si>
    <t>or enemy skill, not confirmed</t>
  </si>
  <si>
    <t>Battle Square Handicap Icons (Small)</t>
  </si>
  <si>
    <t>hazard.s</t>
  </si>
  <si>
    <t>head.p</t>
  </si>
  <si>
    <t>heart01.tex</t>
  </si>
  <si>
    <t xml:space="preserve">exbe </t>
  </si>
  <si>
    <t>heart22.tex</t>
  </si>
  <si>
    <t>coloa.tex</t>
  </si>
  <si>
    <t>heat.tex</t>
  </si>
  <si>
    <t>Battle Square Handicap Icons (Large)</t>
  </si>
  <si>
    <t>heist.tex</t>
  </si>
  <si>
    <t>Haste clock</t>
  </si>
  <si>
    <t>heist_1.p</t>
  </si>
  <si>
    <t>Haste triangle</t>
  </si>
  <si>
    <t>heist_1.rsd</t>
  </si>
  <si>
    <t>heist_2.tex</t>
  </si>
  <si>
    <t>Haste golden surface</t>
  </si>
  <si>
    <t>heist_3.tex</t>
  </si>
  <si>
    <t>hellh.p</t>
  </si>
  <si>
    <t xml:space="preserve">exbh </t>
  </si>
  <si>
    <t>Limit: Cait sith toy box hell house</t>
  </si>
  <si>
    <t>hellh.rsd</t>
  </si>
  <si>
    <t>hige.s</t>
  </si>
  <si>
    <t>hikari.tex</t>
  </si>
  <si>
    <t>colob.tex</t>
  </si>
  <si>
    <t>hikari11.s</t>
  </si>
  <si>
    <t>Battle Square Handicap Icons (Column)</t>
  </si>
  <si>
    <t>hikari12.s</t>
  </si>
  <si>
    <t>hikari2.p</t>
  </si>
  <si>
    <t>hikari2.rsd</t>
  </si>
  <si>
    <t>hilight.tex</t>
  </si>
  <si>
    <t>hip_1.p</t>
  </si>
  <si>
    <t>hip_1.rsd</t>
  </si>
  <si>
    <t xml:space="preserve">exbi </t>
  </si>
  <si>
    <t>hip_2.p</t>
  </si>
  <si>
    <t>hip_2.rsd</t>
  </si>
  <si>
    <t>hip_3.p</t>
  </si>
  <si>
    <t>hip_3.rsd</t>
  </si>
  <si>
    <t>hit.p</t>
  </si>
  <si>
    <t>hit.s</t>
  </si>
  <si>
    <t>hit1.p</t>
  </si>
  <si>
    <t>hit1.rsd</t>
  </si>
  <si>
    <t>hit2.p</t>
  </si>
  <si>
    <t>coloc.tex</t>
  </si>
  <si>
    <t>Battle Square Handicap Icons (Row)</t>
  </si>
  <si>
    <t>hit2.rsd</t>
  </si>
  <si>
    <t xml:space="preserve">exbj </t>
  </si>
  <si>
    <t>hit23.s</t>
  </si>
  <si>
    <t>hit24.s</t>
  </si>
  <si>
    <t>hit3.p</t>
  </si>
  <si>
    <t>hit3.rsd</t>
  </si>
  <si>
    <t>hit32.s</t>
  </si>
  <si>
    <t>hitmark.s</t>
  </si>
  <si>
    <t>hit_2.s</t>
  </si>
  <si>
    <t>hit_2.tex</t>
  </si>
  <si>
    <t>hit_3.p</t>
  </si>
  <si>
    <t>hit_3.rsd</t>
  </si>
  <si>
    <t xml:space="preserve">exbm </t>
  </si>
  <si>
    <t>hl_light.s</t>
  </si>
  <si>
    <t>hl_light.tex</t>
  </si>
  <si>
    <t>hl_wind.tex</t>
  </si>
  <si>
    <t>honou.anm</t>
  </si>
  <si>
    <t>honou1.p</t>
  </si>
  <si>
    <t>honou1.rsd</t>
  </si>
  <si>
    <t>hosi.tex</t>
  </si>
  <si>
    <t>hosi1.tex</t>
  </si>
  <si>
    <t>earith.tex</t>
  </si>
  <si>
    <t>houden1.p</t>
  </si>
  <si>
    <t>Aerith Portrait (128x128)</t>
  </si>
  <si>
    <t>houden1.rsd</t>
  </si>
  <si>
    <t xml:space="preserve">exbn </t>
  </si>
  <si>
    <t>houden2.p</t>
  </si>
  <si>
    <t>houden2.rsd</t>
  </si>
  <si>
    <t>houden3.p</t>
  </si>
  <si>
    <t>houden3.rsd</t>
  </si>
  <si>
    <t>houden4.p</t>
  </si>
  <si>
    <t>houden4.rsd</t>
  </si>
  <si>
    <t>houden_1.s</t>
  </si>
  <si>
    <t>houden_1.tex</t>
  </si>
  <si>
    <t>earith_l.tex</t>
  </si>
  <si>
    <t>houden_2.s</t>
  </si>
  <si>
    <t>Aerith Portrait (64x64)</t>
  </si>
  <si>
    <t xml:space="preserve">exbo </t>
  </si>
  <si>
    <t>ho_den02.tex</t>
  </si>
  <si>
    <t>ho_den03.tex</t>
  </si>
  <si>
    <t>hvshot.a00</t>
  </si>
  <si>
    <t>hvshot.tex</t>
  </si>
  <si>
    <t>hvst.tex</t>
  </si>
  <si>
    <t>hyper00.tex</t>
  </si>
  <si>
    <t>hyper01.tex</t>
  </si>
  <si>
    <t>ketc.tex</t>
  </si>
  <si>
    <t>Cait Sith Portrait (128x128)</t>
  </si>
  <si>
    <t>h_blow01.tex</t>
  </si>
  <si>
    <t>h_sword01.p</t>
  </si>
  <si>
    <t>Cloud sword: Mythril saber</t>
  </si>
  <si>
    <t xml:space="preserve">exbq </t>
  </si>
  <si>
    <t>h_sword01.rsd</t>
  </si>
  <si>
    <t>h_sword02.p</t>
  </si>
  <si>
    <t>Cloud sword: Hardedge</t>
  </si>
  <si>
    <t>h_sword02.rsd</t>
  </si>
  <si>
    <t>h_sword03.p</t>
  </si>
  <si>
    <t>Cloud sword: Butterfly edge</t>
  </si>
  <si>
    <t>h_sword03.rsd</t>
  </si>
  <si>
    <t>ketc_l.tex</t>
  </si>
  <si>
    <t>h_sword04.p</t>
  </si>
  <si>
    <t>Cait Sith Portrait (64x64)</t>
  </si>
  <si>
    <t>Cloud sword: Enhance sword</t>
  </si>
  <si>
    <t>h_sword04.rsd</t>
  </si>
  <si>
    <t>h_sword05.p</t>
  </si>
  <si>
    <t xml:space="preserve">exda </t>
  </si>
  <si>
    <t>Cloud sword: Organics</t>
  </si>
  <si>
    <t>h_sword05.rsd</t>
  </si>
  <si>
    <t>h_sword06.p</t>
  </si>
  <si>
    <t xml:space="preserve">eyaa </t>
  </si>
  <si>
    <t>Cloud sword: Crystal sword</t>
  </si>
  <si>
    <t>TURKS: Rude: Battle Skeleton</t>
  </si>
  <si>
    <t>h_sword06.rsd</t>
  </si>
  <si>
    <t>ketcy2.tex</t>
  </si>
  <si>
    <t>h_sword07.p</t>
  </si>
  <si>
    <t>Slot's  Limit Combined 1+2 w/ hair and eye</t>
  </si>
  <si>
    <t>Cloud sword: Force stealer</t>
  </si>
  <si>
    <t>h_sword07.rsd</t>
  </si>
  <si>
    <t>h_sword08.p</t>
  </si>
  <si>
    <t>Cloud sword: Rune blade</t>
  </si>
  <si>
    <t>h_sword08.rsd</t>
  </si>
  <si>
    <t>Gongaga (Model)</t>
  </si>
  <si>
    <t xml:space="preserve">eyab </t>
  </si>
  <si>
    <t>h_sword09.p</t>
  </si>
  <si>
    <t>TURKS: Rude: Unidentified Part</t>
  </si>
  <si>
    <t>Cloud sword: Murasame</t>
  </si>
  <si>
    <t>h_sword09.rsd</t>
  </si>
  <si>
    <t xml:space="preserve">eyac </t>
  </si>
  <si>
    <t>ketcy2a.tex</t>
  </si>
  <si>
    <t>h_sword10.p</t>
  </si>
  <si>
    <t>Cloud sword: Nail bat</t>
  </si>
  <si>
    <t>Slot's Limit Part 1</t>
  </si>
  <si>
    <t>TURKS: Rude: Mouth</t>
  </si>
  <si>
    <t>h_sword10.rsd</t>
  </si>
  <si>
    <t>h_sword11.p</t>
  </si>
  <si>
    <t>Cloud sword: Yoshiyuki</t>
  </si>
  <si>
    <t>h_sword11.rsd</t>
  </si>
  <si>
    <t>h_sword12.p</t>
  </si>
  <si>
    <t>Cloud sword: Apocalypse</t>
  </si>
  <si>
    <t>h_sword12.rsd</t>
  </si>
  <si>
    <t>h_sword13.p</t>
  </si>
  <si>
    <t>ketcy2b.tex</t>
  </si>
  <si>
    <t xml:space="preserve">eyam </t>
  </si>
  <si>
    <t>Cloud sword: Heavens cloud</t>
  </si>
  <si>
    <t>Slot's Limit Part 2</t>
  </si>
  <si>
    <t>TURKS: Rude: Upper Chest</t>
  </si>
  <si>
    <t>h_sword13.rsd</t>
  </si>
  <si>
    <t>h_sword14.p</t>
  </si>
  <si>
    <t>Cloud sword: Ragnarok</t>
  </si>
  <si>
    <t>h_sword14.rsd</t>
  </si>
  <si>
    <t>h_sword15.p</t>
  </si>
  <si>
    <t>Cloud sword: Ultima weapon</t>
  </si>
  <si>
    <t>h_sword15.rsd</t>
  </si>
  <si>
    <t>ice.tex</t>
  </si>
  <si>
    <t>ice2.rsd</t>
  </si>
  <si>
    <t>ice22.rsd</t>
  </si>
  <si>
    <t>icebase.p</t>
  </si>
  <si>
    <t>Break ice base</t>
  </si>
  <si>
    <t>icebase.rsd</t>
  </si>
  <si>
    <t>ice_2.tex</t>
  </si>
  <si>
    <t>pcefi.tex</t>
  </si>
  <si>
    <t>ice_a.tex</t>
  </si>
  <si>
    <t>Sephiroth Portrait (128x128)</t>
  </si>
  <si>
    <t>Summon: Knights of the Round ice surface</t>
  </si>
  <si>
    <t>ifleet00.tex</t>
  </si>
  <si>
    <t>Summon: Ifrit flame waves</t>
  </si>
  <si>
    <t xml:space="preserve">eyan </t>
  </si>
  <si>
    <t>Textures</t>
  </si>
  <si>
    <t>ifleet01.tex</t>
  </si>
  <si>
    <t>TURKS: Rude: Head</t>
  </si>
  <si>
    <t>ifleet03.tex</t>
  </si>
  <si>
    <t>Summon: Ifrit flame explosions</t>
  </si>
  <si>
    <t>ifreetda.a00</t>
  </si>
  <si>
    <t>Summon: Ifrit</t>
  </si>
  <si>
    <t>ifreetda.b</t>
  </si>
  <si>
    <t>pcefi_l.tex</t>
  </si>
  <si>
    <t>Sephiroth Portrait (64x64)</t>
  </si>
  <si>
    <t>ifreetda.d</t>
  </si>
  <si>
    <t>ifreetda.p00</t>
  </si>
  <si>
    <t>Summon: Ifrit hip</t>
  </si>
  <si>
    <t>ifreetda.p01</t>
  </si>
  <si>
    <t>Summon: Ifrit chest</t>
  </si>
  <si>
    <t>ifreetda.p03</t>
  </si>
  <si>
    <t>Summon: Ifrit neck</t>
  </si>
  <si>
    <t>ifreetda.p04</t>
  </si>
  <si>
    <t>pcloud.tex</t>
  </si>
  <si>
    <t>Summon: Ifrit head</t>
  </si>
  <si>
    <t>Young Cloud Portrait (128x128)</t>
  </si>
  <si>
    <t xml:space="preserve">eyao </t>
  </si>
  <si>
    <t>ifreetda.p08</t>
  </si>
  <si>
    <t>TURKS: Rude: Lower Chest</t>
  </si>
  <si>
    <t>Summon: Ifrit arm</t>
  </si>
  <si>
    <t>ifreetda.p09</t>
  </si>
  <si>
    <t>Summon: Ifrit forearm</t>
  </si>
  <si>
    <t>ifreetda.p10</t>
  </si>
  <si>
    <t>Summon: Ifrit hand</t>
  </si>
  <si>
    <t>pcloud_l.tex</t>
  </si>
  <si>
    <t>ifreetda.p11</t>
  </si>
  <si>
    <t>Young Cloud Portrait (64x64)</t>
  </si>
  <si>
    <t>Summon: Ifrit claws</t>
  </si>
  <si>
    <t>ifreetda.p13</t>
  </si>
  <si>
    <t>Summon: Ifrit thumb claw</t>
  </si>
  <si>
    <t>ifreetda.p16</t>
  </si>
  <si>
    <t>ifreetda.p17</t>
  </si>
  <si>
    <t xml:space="preserve">eyaq </t>
  </si>
  <si>
    <t>ifreetda.p18</t>
  </si>
  <si>
    <t>TURKS: Rude: Upper Leg</t>
  </si>
  <si>
    <t>red.tex</t>
  </si>
  <si>
    <t>Red Xll Portrait (128x128)</t>
  </si>
  <si>
    <t>ifreetda.p19</t>
  </si>
  <si>
    <t>ifreetda.p21</t>
  </si>
  <si>
    <t>ifreetda.p23</t>
  </si>
  <si>
    <t>Summon: Ifrit skirt side</t>
  </si>
  <si>
    <t>ifreetda.p25</t>
  </si>
  <si>
    <t>Summon: Ifrit skirt back</t>
  </si>
  <si>
    <t>ifreetda.p27</t>
  </si>
  <si>
    <t>red_l.tex</t>
  </si>
  <si>
    <t>ifreetda.p29</t>
  </si>
  <si>
    <t>Red Xll Portrait (64x64)</t>
  </si>
  <si>
    <t>Summon: Ifrit skirt front</t>
  </si>
  <si>
    <t>ifreetda.p31</t>
  </si>
  <si>
    <t>Summon: Ifrit tigh</t>
  </si>
  <si>
    <t xml:space="preserve">eyar </t>
  </si>
  <si>
    <t>ifreetda.p32</t>
  </si>
  <si>
    <t>TURKS: Rude: Lower Leg</t>
  </si>
  <si>
    <t>Summon: Ifrit leg</t>
  </si>
  <si>
    <t>ifreetda.p33</t>
  </si>
  <si>
    <t>Summon: Ifrit foot</t>
  </si>
  <si>
    <t>ifreetda.p35</t>
  </si>
  <si>
    <t>tifa.tex</t>
  </si>
  <si>
    <t>Summon: Ifrit straps</t>
  </si>
  <si>
    <t>Tifa Portrait (128x128)</t>
  </si>
  <si>
    <t>ifreetda.p36</t>
  </si>
  <si>
    <t>Summon: Ifrit ankle straps</t>
  </si>
  <si>
    <t>ifreetda.p38</t>
  </si>
  <si>
    <t>Summon: Ifrit leg straps</t>
  </si>
  <si>
    <t>ifreetda.p40</t>
  </si>
  <si>
    <t>ifreetda.p41</t>
  </si>
  <si>
    <t>tifa_l.tex</t>
  </si>
  <si>
    <t>ifreetda.p43</t>
  </si>
  <si>
    <t>Tifa Portrait (64x64)</t>
  </si>
  <si>
    <t xml:space="preserve">eyas </t>
  </si>
  <si>
    <t>TURKS: Rude: Back Shoe (ankle)</t>
  </si>
  <si>
    <t>ifreetda.p44</t>
  </si>
  <si>
    <t>Summon: Ifrit snkle straps</t>
  </si>
  <si>
    <t>ifreetda.p46</t>
  </si>
  <si>
    <t>ifreetda.p47</t>
  </si>
  <si>
    <t>ikari1.p</t>
  </si>
  <si>
    <t>usfont_a_h.tex</t>
  </si>
  <si>
    <t>Dialog Fonts 1</t>
  </si>
  <si>
    <t>ikari1.rsd</t>
  </si>
  <si>
    <t>ikari2.p</t>
  </si>
  <si>
    <t>ikari2.rsd</t>
  </si>
  <si>
    <t>ikari2.tex</t>
  </si>
  <si>
    <t>impulse.p</t>
  </si>
  <si>
    <t xml:space="preserve">eyau </t>
  </si>
  <si>
    <t>impulse.tex</t>
  </si>
  <si>
    <t>TURKS: Rude: Front Shoe (foot)</t>
  </si>
  <si>
    <t>impulse1.p</t>
  </si>
  <si>
    <t>impulse1.rsd</t>
  </si>
  <si>
    <t>impulse2.p</t>
  </si>
  <si>
    <t>impulse2.rsd</t>
  </si>
  <si>
    <t>inseki_1.tex</t>
  </si>
  <si>
    <t>usfont_a_l.tex</t>
  </si>
  <si>
    <t>inseki_2.p</t>
  </si>
  <si>
    <t>Dialog Fonts 1 (wider)</t>
  </si>
  <si>
    <t>inseki_2.rsd</t>
  </si>
  <si>
    <t>inseki_3.p</t>
  </si>
  <si>
    <t>inseki_3.rsd</t>
  </si>
  <si>
    <t>iro.s</t>
  </si>
  <si>
    <t>iro.tex</t>
  </si>
  <si>
    <t>ise_4.p</t>
  </si>
  <si>
    <t xml:space="preserve">eyaw </t>
  </si>
  <si>
    <t>ise_4.rsd</t>
  </si>
  <si>
    <t>isia.p</t>
  </si>
  <si>
    <t>isia.rsd</t>
  </si>
  <si>
    <t>isib.p</t>
  </si>
  <si>
    <t>isib.rsd</t>
  </si>
  <si>
    <t>isic.p</t>
  </si>
  <si>
    <t>usfont_b_h.tex</t>
  </si>
  <si>
    <t>isic.rsd</t>
  </si>
  <si>
    <t xml:space="preserve">Dialog Fonts 2 </t>
  </si>
  <si>
    <t>isid.p</t>
  </si>
  <si>
    <t>isid.rsd</t>
  </si>
  <si>
    <t xml:space="preserve">eyax </t>
  </si>
  <si>
    <t>isie.p</t>
  </si>
  <si>
    <t>isie.rsd</t>
  </si>
  <si>
    <t>isif.p</t>
  </si>
  <si>
    <t>isif.rsd</t>
  </si>
  <si>
    <t>isig.p</t>
  </si>
  <si>
    <t>isig.rsd</t>
  </si>
  <si>
    <t>isshoku.p</t>
  </si>
  <si>
    <t>isshoku.rsd</t>
  </si>
  <si>
    <t>isshoku.tex</t>
  </si>
  <si>
    <t>usfont_b_l.tex</t>
  </si>
  <si>
    <t>Dialog Fonts 2 (wider)</t>
  </si>
  <si>
    <t>isshoku2.p</t>
  </si>
  <si>
    <t>isshoku2.rsd</t>
  </si>
  <si>
    <t xml:space="preserve">eyay </t>
  </si>
  <si>
    <t>ito1.s</t>
  </si>
  <si>
    <t>ito1.tex</t>
  </si>
  <si>
    <t>iwa.p</t>
  </si>
  <si>
    <t>iwa.s</t>
  </si>
  <si>
    <t>iyash.a00</t>
  </si>
  <si>
    <t>iyashi.s</t>
  </si>
  <si>
    <t>iyashi00.tex</t>
  </si>
  <si>
    <t xml:space="preserve">eyba </t>
  </si>
  <si>
    <t>Limit: Aeris healing wind sparks</t>
  </si>
  <si>
    <t>iyashi01.tex</t>
  </si>
  <si>
    <t>iyashi2.s</t>
  </si>
  <si>
    <t>jaki.tex</t>
  </si>
  <si>
    <t>usfont_h.tex</t>
  </si>
  <si>
    <t>jam00.tex</t>
  </si>
  <si>
    <t xml:space="preserve">Combined Font Texture </t>
  </si>
  <si>
    <t>jam01.tex</t>
  </si>
  <si>
    <t xml:space="preserve">eybd </t>
  </si>
  <si>
    <t>TURKS: Rude: Upper Arm</t>
  </si>
  <si>
    <t>jamma03.tex</t>
  </si>
  <si>
    <t>jaw.rsd</t>
  </si>
  <si>
    <t>ji00.tex</t>
  </si>
  <si>
    <t>ji01.tex</t>
  </si>
  <si>
    <t>jibaku00.tex</t>
  </si>
  <si>
    <t>jibaku01.tex</t>
  </si>
  <si>
    <t xml:space="preserve">eybe </t>
  </si>
  <si>
    <t>jibaku02.tex</t>
  </si>
  <si>
    <t>TURKS: Rude: Lower Arm</t>
  </si>
  <si>
    <t>jibaku03.tex</t>
  </si>
  <si>
    <t>jimen.p</t>
  </si>
  <si>
    <t>jimen.rsd</t>
  </si>
  <si>
    <t>usfont_l.tex</t>
  </si>
  <si>
    <t>jinrai.s</t>
  </si>
  <si>
    <t>Combined Font Texture (wider)</t>
  </si>
  <si>
    <t>jinrai.tex</t>
  </si>
  <si>
    <t>jodeth1.s</t>
  </si>
  <si>
    <t>jodeth1.tex</t>
  </si>
  <si>
    <t xml:space="preserve">eybf </t>
  </si>
  <si>
    <t>TURKS: Rude: Right Hand</t>
  </si>
  <si>
    <t>jo_2.s</t>
  </si>
  <si>
    <t>jo_b02.tex</t>
  </si>
  <si>
    <t>jo_b03.tex</t>
  </si>
  <si>
    <t>jo_b04.tex</t>
  </si>
  <si>
    <t>jo_ba.p</t>
  </si>
  <si>
    <t>jo_ba.rsd</t>
  </si>
  <si>
    <t>jo_c06.s</t>
  </si>
  <si>
    <t>jo_c07.s</t>
  </si>
  <si>
    <t xml:space="preserve">eybi </t>
  </si>
  <si>
    <t>yufi.tex</t>
  </si>
  <si>
    <t>jo_c08.s</t>
  </si>
  <si>
    <t>Yuffie Portrait (128x128)</t>
  </si>
  <si>
    <t>jo_mba.p</t>
  </si>
  <si>
    <t>jo_p01.p</t>
  </si>
  <si>
    <t>jo_p02.p</t>
  </si>
  <si>
    <t>jo_p03.p</t>
  </si>
  <si>
    <t>jo_p03.rsd</t>
  </si>
  <si>
    <t>jo_p04.rsd</t>
  </si>
  <si>
    <t>jo_rif.p</t>
  </si>
  <si>
    <t xml:space="preserve">eybj </t>
  </si>
  <si>
    <t>jo_rif.rsd</t>
  </si>
  <si>
    <t>yufi_l.tex</t>
  </si>
  <si>
    <t>Yuffie Portrait (64x64)</t>
  </si>
  <si>
    <t>jo_tam.p</t>
  </si>
  <si>
    <t>jupiter1.p</t>
  </si>
  <si>
    <t>jupiter1.rsd</t>
  </si>
  <si>
    <t>jupiter1.tex</t>
  </si>
  <si>
    <t>k01.p</t>
  </si>
  <si>
    <t xml:space="preserve">eybk </t>
  </si>
  <si>
    <t>k01.rsd</t>
  </si>
  <si>
    <t>TURKS: Rude: Left Hand</t>
  </si>
  <si>
    <t>kaen203.tex</t>
  </si>
  <si>
    <t>zeni.tex</t>
  </si>
  <si>
    <t>kaenn.s</t>
  </si>
  <si>
    <t>kaeru.s</t>
  </si>
  <si>
    <t>kaeru_1.tex</t>
  </si>
  <si>
    <t>kafun01.tex</t>
  </si>
  <si>
    <t>kafun03.tex</t>
  </si>
  <si>
    <t>kaku.p</t>
  </si>
  <si>
    <t>kaku.rsd</t>
  </si>
  <si>
    <t>kaku00.tex</t>
  </si>
  <si>
    <t xml:space="preserve">eyda </t>
  </si>
  <si>
    <t>kaku01.tex</t>
  </si>
  <si>
    <t>kaku02.tex</t>
  </si>
  <si>
    <t>kaku03.tex</t>
  </si>
  <si>
    <t>zeni_h.tex</t>
  </si>
  <si>
    <t xml:space="preserve">ezaa </t>
  </si>
  <si>
    <t>kama1.p</t>
  </si>
  <si>
    <t>Skeeskee: Battle Skeleton</t>
  </si>
  <si>
    <t>kama1.rsd</t>
  </si>
  <si>
    <t>kama1.tex</t>
  </si>
  <si>
    <t>kama2.p</t>
  </si>
  <si>
    <t>kama2.rsd</t>
  </si>
  <si>
    <t>kama2.tex</t>
  </si>
  <si>
    <t>kama3.tex</t>
  </si>
  <si>
    <t>kama4.tex</t>
  </si>
  <si>
    <t xml:space="preserve">ezab </t>
  </si>
  <si>
    <t>kami_1.s</t>
  </si>
  <si>
    <t>Skeeskee: Unidentified Part</t>
  </si>
  <si>
    <t>kami_2.s</t>
  </si>
  <si>
    <t>kayaku.p</t>
  </si>
  <si>
    <t>Limit: Cid Dynamite</t>
  </si>
  <si>
    <t xml:space="preserve">ezac </t>
  </si>
  <si>
    <t>kayaku.rsd</t>
  </si>
  <si>
    <t>Skeeskee: Japanese Char.</t>
  </si>
  <si>
    <t>rsd mdoel</t>
  </si>
  <si>
    <t>kemu.tex</t>
  </si>
  <si>
    <t>kemu2.tex</t>
  </si>
  <si>
    <t>kemuri.tex</t>
  </si>
  <si>
    <t>kien.p</t>
  </si>
  <si>
    <t>Silver wheel</t>
  </si>
  <si>
    <t>kien.rsd</t>
  </si>
  <si>
    <t>kien00.tex</t>
  </si>
  <si>
    <t>Silver wheel slash effect</t>
  </si>
  <si>
    <t xml:space="preserve">ezam </t>
  </si>
  <si>
    <t>kien01.tex</t>
  </si>
  <si>
    <t>kira3.s</t>
  </si>
  <si>
    <t>kira4.s</t>
  </si>
  <si>
    <t>kira5.s</t>
  </si>
  <si>
    <t>kira_1.tex</t>
  </si>
  <si>
    <t>Summon: Phoenix drop shine</t>
  </si>
  <si>
    <t>kiri_2.s</t>
  </si>
  <si>
    <t>kiri_2.tex</t>
  </si>
  <si>
    <t xml:space="preserve">ezan </t>
  </si>
  <si>
    <t>knight01.a00</t>
  </si>
  <si>
    <t>Summon: Knights of the Round</t>
  </si>
  <si>
    <t>knight01.d</t>
  </si>
  <si>
    <t>knight01.p00</t>
  </si>
  <si>
    <t>Summon: Knights of the Round hip</t>
  </si>
  <si>
    <t>knight01.p01</t>
  </si>
  <si>
    <t>Summon: Knights of the Round chest</t>
  </si>
  <si>
    <t>knight01.p02</t>
  </si>
  <si>
    <t>Summon: Knights of the Round head</t>
  </si>
  <si>
    <t>knight01.p03</t>
  </si>
  <si>
    <t>Summon: Knights of the Round helm 'tail' part</t>
  </si>
  <si>
    <t>knight01.p04</t>
  </si>
  <si>
    <t xml:space="preserve">ezaq </t>
  </si>
  <si>
    <t>knight01.p05</t>
  </si>
  <si>
    <t>knight01.p06</t>
  </si>
  <si>
    <t>knight01.p07</t>
  </si>
  <si>
    <t>knight01.p08</t>
  </si>
  <si>
    <t>knight01.p09</t>
  </si>
  <si>
    <t>knight01.p11</t>
  </si>
  <si>
    <t xml:space="preserve">ezas </t>
  </si>
  <si>
    <t>Summon: Knights of the Round cape part</t>
  </si>
  <si>
    <t>knight01.p12</t>
  </si>
  <si>
    <t>knight01.p13</t>
  </si>
  <si>
    <t>knight01.p15</t>
  </si>
  <si>
    <t xml:space="preserve">ezau </t>
  </si>
  <si>
    <t>knight01.p16</t>
  </si>
  <si>
    <t>knight01.p17</t>
  </si>
  <si>
    <t>knight01.p19</t>
  </si>
  <si>
    <t>knight01.p20</t>
  </si>
  <si>
    <t>knight01.p21</t>
  </si>
  <si>
    <t>knight01.p24</t>
  </si>
  <si>
    <t>Summon: Knights of the Round arm</t>
  </si>
  <si>
    <t>knight01.p25</t>
  </si>
  <si>
    <t>Summon: Knights of the Round forearm</t>
  </si>
  <si>
    <t xml:space="preserve">ezav </t>
  </si>
  <si>
    <t>knight01.p26</t>
  </si>
  <si>
    <t>828 Bytes</t>
  </si>
  <si>
    <t>Summon: Knights of the Round hand</t>
  </si>
  <si>
    <t>knight01.p29</t>
  </si>
  <si>
    <t>knight01.p30</t>
  </si>
  <si>
    <t>knight01.p31</t>
  </si>
  <si>
    <t>knight01.p32</t>
  </si>
  <si>
    <t>Summon: Knights of the Round sword</t>
  </si>
  <si>
    <t>knight01.p34</t>
  </si>
  <si>
    <t>Summon: Knights of the Round tigh</t>
  </si>
  <si>
    <t>knight01.p35</t>
  </si>
  <si>
    <t>Summon: Knights of the Round leg</t>
  </si>
  <si>
    <t>knight01.p36</t>
  </si>
  <si>
    <t>Summon: Knights of the Round foot</t>
  </si>
  <si>
    <t xml:space="preserve">ezax </t>
  </si>
  <si>
    <t>knight01.p38</t>
  </si>
  <si>
    <t>Summon: Knights of the Round leg tunic part</t>
  </si>
  <si>
    <t>knight01.p39</t>
  </si>
  <si>
    <t>knight01.p41</t>
  </si>
  <si>
    <t>knight01.p42</t>
  </si>
  <si>
    <t>knight01.p44</t>
  </si>
  <si>
    <t>Summon: Knights of the Round inside tunic</t>
  </si>
  <si>
    <t>knight01.p45</t>
  </si>
  <si>
    <t>knight01.p46</t>
  </si>
  <si>
    <t>knight02.a00</t>
  </si>
  <si>
    <t xml:space="preserve">ezay </t>
  </si>
  <si>
    <t>knight02.d</t>
  </si>
  <si>
    <t>knight02.p00</t>
  </si>
  <si>
    <t>knight02.p01</t>
  </si>
  <si>
    <t>Summon: Knights of the Round neck</t>
  </si>
  <si>
    <t>knight02.p02</t>
  </si>
  <si>
    <t>knight02.p04</t>
  </si>
  <si>
    <t>Summon: Knights of the Round helm feather part</t>
  </si>
  <si>
    <t>knight02.p06</t>
  </si>
  <si>
    <t xml:space="preserve">ezba </t>
  </si>
  <si>
    <t>knight02.p07</t>
  </si>
  <si>
    <t>knight02.p08</t>
  </si>
  <si>
    <t>knight02.p09</t>
  </si>
  <si>
    <t>knight02.p11</t>
  </si>
  <si>
    <t>knight02.p12</t>
  </si>
  <si>
    <t xml:space="preserve">ezbb </t>
  </si>
  <si>
    <t>knight02.p13</t>
  </si>
  <si>
    <t>knight02.p15</t>
  </si>
  <si>
    <t>knight02.p16</t>
  </si>
  <si>
    <t>knight02.p17</t>
  </si>
  <si>
    <t xml:space="preserve">ezbd </t>
  </si>
  <si>
    <t>knight02.p18</t>
  </si>
  <si>
    <t>knight02.p19</t>
  </si>
  <si>
    <t>knight02.p21</t>
  </si>
  <si>
    <t>Summon: Knights of the Round tunic part</t>
  </si>
  <si>
    <t>knight02.p22</t>
  </si>
  <si>
    <t>knight02.p24</t>
  </si>
  <si>
    <t>knight02.p25</t>
  </si>
  <si>
    <t>knight02.p26</t>
  </si>
  <si>
    <t xml:space="preserve">ezbf </t>
  </si>
  <si>
    <t>knight02.p27</t>
  </si>
  <si>
    <t>Summon: Knights of the Round foot tip</t>
  </si>
  <si>
    <t>knight02.p29</t>
  </si>
  <si>
    <t>Summon: Knights of the Round back tunic part</t>
  </si>
  <si>
    <t>knight02.p30</t>
  </si>
  <si>
    <t xml:space="preserve">ezbh </t>
  </si>
  <si>
    <t>knight02.p32</t>
  </si>
  <si>
    <t>Summon: Knights of the Round inside back tunic</t>
  </si>
  <si>
    <t>knight02.p33</t>
  </si>
  <si>
    <t>knight02.p34</t>
  </si>
  <si>
    <t>knight02.p35</t>
  </si>
  <si>
    <t xml:space="preserve">ezbi </t>
  </si>
  <si>
    <t>knight02.p37</t>
  </si>
  <si>
    <t>Summon: Knights of the Round shoulder pad</t>
  </si>
  <si>
    <t>knight02.p38</t>
  </si>
  <si>
    <t>knight02.p39</t>
  </si>
  <si>
    <t>knight02.p40</t>
  </si>
  <si>
    <t>knight02.p42</t>
  </si>
  <si>
    <t>knight02.p43</t>
  </si>
  <si>
    <t>knight02.p44</t>
  </si>
  <si>
    <t xml:space="preserve">ezbk </t>
  </si>
  <si>
    <t>knight02.p45</t>
  </si>
  <si>
    <t>knight02.p46</t>
  </si>
  <si>
    <t>Summon: Knights of the Round spear</t>
  </si>
  <si>
    <t>knight03.a00</t>
  </si>
  <si>
    <t>knight03.d</t>
  </si>
  <si>
    <t>knight03.p00</t>
  </si>
  <si>
    <t>knight03.p01</t>
  </si>
  <si>
    <t>knight03.p02</t>
  </si>
  <si>
    <t xml:space="preserve">ezbl </t>
  </si>
  <si>
    <t>knight03.p04</t>
  </si>
  <si>
    <t>knight03.p05</t>
  </si>
  <si>
    <t>knight03.p06</t>
  </si>
  <si>
    <t>knight03.p08</t>
  </si>
  <si>
    <t>knight03.p09</t>
  </si>
  <si>
    <t>knight03.p10</t>
  </si>
  <si>
    <t xml:space="preserve">ezbn </t>
  </si>
  <si>
    <t>knight03.p12</t>
  </si>
  <si>
    <t>knight03.p13</t>
  </si>
  <si>
    <t>knight03.p14</t>
  </si>
  <si>
    <t>knight03.p16</t>
  </si>
  <si>
    <t>knight03.p17</t>
  </si>
  <si>
    <t>knight03.p18</t>
  </si>
  <si>
    <t xml:space="preserve">ezbp </t>
  </si>
  <si>
    <t>knight03.p21</t>
  </si>
  <si>
    <t>knight03.p22</t>
  </si>
  <si>
    <t>knight03.p23</t>
  </si>
  <si>
    <t>knight03.p26</t>
  </si>
  <si>
    <t>knight03.p27</t>
  </si>
  <si>
    <t>knight03.p28</t>
  </si>
  <si>
    <t>knight03.p29</t>
  </si>
  <si>
    <t>Summon: Knights of the Round rod</t>
  </si>
  <si>
    <t xml:space="preserve">ezbq </t>
  </si>
  <si>
    <t>knight03.p31</t>
  </si>
  <si>
    <t>Summon: Knights of the Round upper leg tunic</t>
  </si>
  <si>
    <t>knight03.p32</t>
  </si>
  <si>
    <t>Summon: Knights of the Round lower leg tunic</t>
  </si>
  <si>
    <t>knight03.p33</t>
  </si>
  <si>
    <t>knight03.p35</t>
  </si>
  <si>
    <t>knight03.p36</t>
  </si>
  <si>
    <t>knight03.p37</t>
  </si>
  <si>
    <t>knight03.p39</t>
  </si>
  <si>
    <t>Summon: Knights of the Round center leg tunic</t>
  </si>
  <si>
    <t xml:space="preserve">ezbs </t>
  </si>
  <si>
    <t>knight03.p40</t>
  </si>
  <si>
    <t>knight04.a00</t>
  </si>
  <si>
    <t>knight04.d</t>
  </si>
  <si>
    <t>knight04.p00</t>
  </si>
  <si>
    <t>knight04.p02</t>
  </si>
  <si>
    <t>knight04.p04</t>
  </si>
  <si>
    <t xml:space="preserve">ezbt </t>
  </si>
  <si>
    <t>knight04.p05</t>
  </si>
  <si>
    <t>knight04.p06</t>
  </si>
  <si>
    <t>knight04.p07</t>
  </si>
  <si>
    <t>knight04.p08</t>
  </si>
  <si>
    <t>knight04.p10</t>
  </si>
  <si>
    <t>knight04.p11</t>
  </si>
  <si>
    <t xml:space="preserve">ezbv </t>
  </si>
  <si>
    <t>knight04.p12</t>
  </si>
  <si>
    <t>knight04.p14</t>
  </si>
  <si>
    <t>knight04.p16</t>
  </si>
  <si>
    <t>knight04.p17</t>
  </si>
  <si>
    <t>knight04.p19</t>
  </si>
  <si>
    <t xml:space="preserve">ezbw </t>
  </si>
  <si>
    <t>knight04.p21</t>
  </si>
  <si>
    <t>knight04.p23</t>
  </si>
  <si>
    <t>knight04.p24</t>
  </si>
  <si>
    <t>knight04.p26</t>
  </si>
  <si>
    <t>knight04.p28</t>
  </si>
  <si>
    <t xml:space="preserve">ezbx </t>
  </si>
  <si>
    <t>knight04.p29</t>
  </si>
  <si>
    <t>knight04.p31</t>
  </si>
  <si>
    <t>knight04.p33</t>
  </si>
  <si>
    <t>knight04.p34</t>
  </si>
  <si>
    <t>knight04.p35</t>
  </si>
  <si>
    <t>knight04.p37</t>
  </si>
  <si>
    <t>knight04.p39</t>
  </si>
  <si>
    <t>knight04.p40</t>
  </si>
  <si>
    <t xml:space="preserve">ezby </t>
  </si>
  <si>
    <t>knight04.p41</t>
  </si>
  <si>
    <t>knight04.p42</t>
  </si>
  <si>
    <t>Summon: Knights of the Round scepter</t>
  </si>
  <si>
    <t>knight05.a00</t>
  </si>
  <si>
    <t>knight05.d</t>
  </si>
  <si>
    <t>Basically its a recolor of knight 1</t>
  </si>
  <si>
    <t>knight05.p00</t>
  </si>
  <si>
    <t>knight05.p01</t>
  </si>
  <si>
    <t>knight05.p02</t>
  </si>
  <si>
    <t>knight05.p03</t>
  </si>
  <si>
    <t xml:space="preserve">ezbz </t>
  </si>
  <si>
    <t>knight05.p04</t>
  </si>
  <si>
    <t>knight05.p05</t>
  </si>
  <si>
    <t>knight05.p06</t>
  </si>
  <si>
    <t>knight05.p07</t>
  </si>
  <si>
    <t>knight05.p08</t>
  </si>
  <si>
    <t>knight05.p09</t>
  </si>
  <si>
    <t>knight05.p11</t>
  </si>
  <si>
    <t>knight05.p12</t>
  </si>
  <si>
    <t xml:space="preserve">ezda </t>
  </si>
  <si>
    <t>knight05.p13</t>
  </si>
  <si>
    <t>knight05.p15</t>
  </si>
  <si>
    <t xml:space="preserve">faaa </t>
  </si>
  <si>
    <t>Griffin: Battle Skeleton</t>
  </si>
  <si>
    <t>knight05.p16</t>
  </si>
  <si>
    <t>knight05.p17</t>
  </si>
  <si>
    <t>knight05.p19</t>
  </si>
  <si>
    <t>knight05.p20</t>
  </si>
  <si>
    <t>knight05.p21</t>
  </si>
  <si>
    <t>knight05.p24</t>
  </si>
  <si>
    <t>knight05.p25</t>
  </si>
  <si>
    <t xml:space="preserve">faab </t>
  </si>
  <si>
    <t>Griffin: Unidentified Part</t>
  </si>
  <si>
    <t>knight05.p26</t>
  </si>
  <si>
    <t>knight05.p29</t>
  </si>
  <si>
    <t xml:space="preserve">faac </t>
  </si>
  <si>
    <t>Griffin: Texture</t>
  </si>
  <si>
    <t>knight05.p30</t>
  </si>
  <si>
    <t>knight05.p31</t>
  </si>
  <si>
    <t>biglight.cam</t>
  </si>
  <si>
    <t>Camera File</t>
  </si>
  <si>
    <t>knight05.p32</t>
  </si>
  <si>
    <t>bike.cam</t>
  </si>
  <si>
    <t>knight05.p34</t>
  </si>
  <si>
    <t>knight05.p35</t>
  </si>
  <si>
    <t>bikeget.cam</t>
  </si>
  <si>
    <t>knight05.p36</t>
  </si>
  <si>
    <t>biskdead.cam</t>
  </si>
  <si>
    <t xml:space="preserve">faad </t>
  </si>
  <si>
    <t>knight05.p38</t>
  </si>
  <si>
    <t>boogdemo.cam</t>
  </si>
  <si>
    <t>knight05.p39</t>
  </si>
  <si>
    <t>knight05.p41</t>
  </si>
  <si>
    <t>boogdown.cam</t>
  </si>
  <si>
    <t>knight05.p42</t>
  </si>
  <si>
    <t>boogstar.cam</t>
  </si>
  <si>
    <t>knight05.p44</t>
  </si>
  <si>
    <t>boogup.cam</t>
  </si>
  <si>
    <t>knight05.p45</t>
  </si>
  <si>
    <t xml:space="preserve">faae </t>
  </si>
  <si>
    <t>knight05.p46</t>
  </si>
  <si>
    <t>brgnvl.cam</t>
  </si>
  <si>
    <t>knight06.a00</t>
  </si>
  <si>
    <t>canon.cam</t>
  </si>
  <si>
    <t>knight06.d</t>
  </si>
  <si>
    <t>canonh1p.cam</t>
  </si>
  <si>
    <t>Basically its a recolor of knight 4</t>
  </si>
  <si>
    <t>knight06.p00</t>
  </si>
  <si>
    <t>knight06.p02</t>
  </si>
  <si>
    <t xml:space="preserve">faaf </t>
  </si>
  <si>
    <t>knight06.p04</t>
  </si>
  <si>
    <t>knight06.p05</t>
  </si>
  <si>
    <t>knight06.p06</t>
  </si>
  <si>
    <t>canonh3f.cam</t>
  </si>
  <si>
    <t>knight06.p07</t>
  </si>
  <si>
    <t>canonht0.cam</t>
  </si>
  <si>
    <t>knight06.p08</t>
  </si>
  <si>
    <t xml:space="preserve">faao </t>
  </si>
  <si>
    <t>knight06.p10</t>
  </si>
  <si>
    <t>canonht1.cam</t>
  </si>
  <si>
    <t>knight06.p11</t>
  </si>
  <si>
    <t>canonht2.cam</t>
  </si>
  <si>
    <t>knight06.p12</t>
  </si>
  <si>
    <t>canonht3.cam</t>
  </si>
  <si>
    <t>knight06.p14</t>
  </si>
  <si>
    <t>knight06.p16</t>
  </si>
  <si>
    <t>canonon.cam</t>
  </si>
  <si>
    <t>missing **am on this?</t>
  </si>
  <si>
    <t>knight06.p17</t>
  </si>
  <si>
    <t xml:space="preserve">faap </t>
  </si>
  <si>
    <t>car_1209.cam</t>
  </si>
  <si>
    <t>knight06.p19</t>
  </si>
  <si>
    <t>knight06.p21</t>
  </si>
  <si>
    <t>car1209.cam</t>
  </si>
  <si>
    <t>knight06.p23</t>
  </si>
  <si>
    <t>corel_c1.cam</t>
  </si>
  <si>
    <t>knight06.p24</t>
  </si>
  <si>
    <t>knight06.p26</t>
  </si>
  <si>
    <t>corel_c2.cam</t>
  </si>
  <si>
    <t>knight06.p28</t>
  </si>
  <si>
    <t xml:space="preserve">faaq </t>
  </si>
  <si>
    <t>corelmt.cam</t>
  </si>
  <si>
    <t>knight06.p29</t>
  </si>
  <si>
    <t>cscene1.cam</t>
  </si>
  <si>
    <t>knight06.p31</t>
  </si>
  <si>
    <t>knight06.p33</t>
  </si>
  <si>
    <t>cscene2.cam</t>
  </si>
  <si>
    <t>knight06.p34</t>
  </si>
  <si>
    <t>cscene3.cam</t>
  </si>
  <si>
    <t xml:space="preserve">faar </t>
  </si>
  <si>
    <t>knight06.p35</t>
  </si>
  <si>
    <t>knight06.p37</t>
  </si>
  <si>
    <t>dropego.cam</t>
  </si>
  <si>
    <t>knight06.p39</t>
  </si>
  <si>
    <t>dropein.cam</t>
  </si>
  <si>
    <t>knight06.p40</t>
  </si>
  <si>
    <t>dumcrush.cam</t>
  </si>
  <si>
    <t>earithdd.cam</t>
  </si>
  <si>
    <t xml:space="preserve">faas </t>
  </si>
  <si>
    <t>knight06.p41</t>
  </si>
  <si>
    <t>ending1.cam</t>
  </si>
  <si>
    <t>knight06.p42</t>
  </si>
  <si>
    <t>Summon: Knights of the Round hammer</t>
  </si>
  <si>
    <t>ending2.cam</t>
  </si>
  <si>
    <t>knight07.a00</t>
  </si>
  <si>
    <t>knight07.d</t>
  </si>
  <si>
    <t>ending3.cam</t>
  </si>
  <si>
    <t>Basically its a recolor of knight 3</t>
  </si>
  <si>
    <t>knight07.p00</t>
  </si>
  <si>
    <t>fallpl.cam</t>
  </si>
  <si>
    <t xml:space="preserve">faat </t>
  </si>
  <si>
    <t>knight07.p01</t>
  </si>
  <si>
    <t>fcar.cam</t>
  </si>
  <si>
    <t>knight07.p02</t>
  </si>
  <si>
    <t>knight07.p04</t>
  </si>
  <si>
    <t>feelwin0.cam</t>
  </si>
  <si>
    <t>feelwin1.cam</t>
  </si>
  <si>
    <t>fship2.cam</t>
  </si>
  <si>
    <t>knight07.p05</t>
  </si>
  <si>
    <t xml:space="preserve">faau </t>
  </si>
  <si>
    <t>funeral.cam</t>
  </si>
  <si>
    <t>knight07.p06</t>
  </si>
  <si>
    <t>knight07.p08</t>
  </si>
  <si>
    <t>gelnica.cam</t>
  </si>
  <si>
    <t>knight07.p09</t>
  </si>
  <si>
    <t>gold1.cam</t>
  </si>
  <si>
    <t>knight07.p10</t>
  </si>
  <si>
    <t>gold2.cam</t>
  </si>
  <si>
    <t>knight07.p12</t>
  </si>
  <si>
    <t>knight07.p13</t>
  </si>
  <si>
    <t xml:space="preserve">faav </t>
  </si>
  <si>
    <t>812 Bytes</t>
  </si>
  <si>
    <t>gold3.cam</t>
  </si>
  <si>
    <t>knight07.p14</t>
  </si>
  <si>
    <t>knight07.p16</t>
  </si>
  <si>
    <t>gold4.cam</t>
  </si>
  <si>
    <t>knight07.p17</t>
  </si>
  <si>
    <t>knight07.p18</t>
  </si>
  <si>
    <t>gold5.cam</t>
  </si>
  <si>
    <t>knight07.p21</t>
  </si>
  <si>
    <t>knight07.p22</t>
  </si>
  <si>
    <t>gold6.cam</t>
  </si>
  <si>
    <t>knight07.p23</t>
  </si>
  <si>
    <t xml:space="preserve">faaw </t>
  </si>
  <si>
    <t>knight07.p26</t>
  </si>
  <si>
    <t>gold7.cam</t>
  </si>
  <si>
    <t>knight07.p27</t>
  </si>
  <si>
    <t>knight07.p28</t>
  </si>
  <si>
    <t>gold7_2.cam</t>
  </si>
  <si>
    <t>knight07.p29</t>
  </si>
  <si>
    <t>Summon: Knights of the Round wand</t>
  </si>
  <si>
    <t>knight07.p31</t>
  </si>
  <si>
    <t>greatpit.cam</t>
  </si>
  <si>
    <t>knight07.p32</t>
  </si>
  <si>
    <t>knight07.p33</t>
  </si>
  <si>
    <t>hiwind0.cam</t>
  </si>
  <si>
    <t xml:space="preserve">faax </t>
  </si>
  <si>
    <t>knight07.p35</t>
  </si>
  <si>
    <t>knight07.p36</t>
  </si>
  <si>
    <t>hwindfly.cam</t>
  </si>
  <si>
    <t>knight07.p37</t>
  </si>
  <si>
    <t>knight07.p39</t>
  </si>
  <si>
    <t>hwindjet.cam</t>
  </si>
  <si>
    <t>knight07.p40</t>
  </si>
  <si>
    <t>knight08.a00</t>
  </si>
  <si>
    <t>jairofal.cam</t>
  </si>
  <si>
    <t>knight08.d</t>
  </si>
  <si>
    <t>Basically its a recolor of knight 2</t>
  </si>
  <si>
    <t>knight08.p00</t>
  </si>
  <si>
    <t xml:space="preserve">faay </t>
  </si>
  <si>
    <t>jairofly.cam</t>
  </si>
  <si>
    <t>knight08.p01</t>
  </si>
  <si>
    <t>junair.cam</t>
  </si>
  <si>
    <t>knight08.p02</t>
  </si>
  <si>
    <t>knight08.p04</t>
  </si>
  <si>
    <t>junaird.cam</t>
  </si>
  <si>
    <t>knight08.p06</t>
  </si>
  <si>
    <t>knight08.p07</t>
  </si>
  <si>
    <t>junairu.cam</t>
  </si>
  <si>
    <t>knight08.p08</t>
  </si>
  <si>
    <t>knight08.p09</t>
  </si>
  <si>
    <t xml:space="preserve">faba </t>
  </si>
  <si>
    <t>junelego.cam</t>
  </si>
  <si>
    <t>knight08.p11</t>
  </si>
  <si>
    <t>knight08.p12</t>
  </si>
  <si>
    <t>junelein.cam</t>
  </si>
  <si>
    <t>knight08.p13</t>
  </si>
  <si>
    <t>knight08.p15</t>
  </si>
  <si>
    <t>junin_go.cam</t>
  </si>
  <si>
    <t>knight08.p16</t>
  </si>
  <si>
    <t>knight08.p17</t>
  </si>
  <si>
    <t>junin_in.cam</t>
  </si>
  <si>
    <t>knight08.p18</t>
  </si>
  <si>
    <t xml:space="preserve">fabb </t>
  </si>
  <si>
    <t>knight08.p19</t>
  </si>
  <si>
    <t>junon.cam</t>
  </si>
  <si>
    <t>knight08.p21</t>
  </si>
  <si>
    <t>knight08.p22</t>
  </si>
  <si>
    <t>junon_e1.cam</t>
  </si>
  <si>
    <t>knight08.p24</t>
  </si>
  <si>
    <t>knight08.p25</t>
  </si>
  <si>
    <t>junsea.cam</t>
  </si>
  <si>
    <t>knight08.p26</t>
  </si>
  <si>
    <t>knight08.p27</t>
  </si>
  <si>
    <t>last4_4.cam</t>
  </si>
  <si>
    <t>knight08.p29</t>
  </si>
  <si>
    <t xml:space="preserve">fabc </t>
  </si>
  <si>
    <t>knight08.p30</t>
  </si>
  <si>
    <t>lastflor.cam</t>
  </si>
  <si>
    <t>knight08.p32</t>
  </si>
  <si>
    <t>knight08.p33</t>
  </si>
  <si>
    <t>list.txt</t>
  </si>
  <si>
    <t>knight08.p34</t>
  </si>
  <si>
    <t>loslake1.cam</t>
  </si>
  <si>
    <t>knight08.p35</t>
  </si>
  <si>
    <t>knight08.p37</t>
  </si>
  <si>
    <t xml:space="preserve">fabe </t>
  </si>
  <si>
    <t>loslake2.cam</t>
  </si>
  <si>
    <t>knight08.p38</t>
  </si>
  <si>
    <t>knight08.p39</t>
  </si>
  <si>
    <t>lskey.cam</t>
  </si>
  <si>
    <t>knight08.p40</t>
  </si>
  <si>
    <t>knight08.p42</t>
  </si>
  <si>
    <t>lslmv.cam</t>
  </si>
  <si>
    <t>knight08.p43</t>
  </si>
  <si>
    <t>knight08.p44</t>
  </si>
  <si>
    <t>mainplr.cam</t>
  </si>
  <si>
    <t xml:space="preserve">fabg </t>
  </si>
  <si>
    <t>knight08.p45</t>
  </si>
  <si>
    <t>knight08.p46</t>
  </si>
  <si>
    <t>Summon: Knights of the Round trident</t>
  </si>
  <si>
    <t>knight09.a00</t>
  </si>
  <si>
    <t>knight09.d</t>
  </si>
  <si>
    <t>meteofix.cam</t>
  </si>
  <si>
    <t>knight09.p00</t>
  </si>
  <si>
    <t>knight09.p01</t>
  </si>
  <si>
    <t>meteosky.cam</t>
  </si>
  <si>
    <t>knight09.p02</t>
  </si>
  <si>
    <t>knight09.p04</t>
  </si>
  <si>
    <t xml:space="preserve">fabh </t>
  </si>
  <si>
    <t>mk8.cam</t>
  </si>
  <si>
    <t>knight09.p05</t>
  </si>
  <si>
    <t>knight09.p06</t>
  </si>
  <si>
    <t>mkup.cam</t>
  </si>
  <si>
    <t>knight09.p08</t>
  </si>
  <si>
    <t>knight09.p09</t>
  </si>
  <si>
    <t>knight09.p10</t>
  </si>
  <si>
    <t>monitor.cam</t>
  </si>
  <si>
    <t>knight09.p12</t>
  </si>
  <si>
    <t>knight09.p13</t>
  </si>
  <si>
    <t>mtcrl.cam</t>
  </si>
  <si>
    <t>knight09.p14</t>
  </si>
  <si>
    <t>knight09.p16</t>
  </si>
  <si>
    <t>mtnvl.cam</t>
  </si>
  <si>
    <t>knight09.p17</t>
  </si>
  <si>
    <t xml:space="preserve">fabi </t>
  </si>
  <si>
    <t>knight09.p18</t>
  </si>
  <si>
    <t>mtnvl2.cam</t>
  </si>
  <si>
    <t>knight09.p21</t>
  </si>
  <si>
    <t>knight09.p22</t>
  </si>
  <si>
    <t>name.cam</t>
  </si>
  <si>
    <t>knight09.p23</t>
  </si>
  <si>
    <t>knight09.p26</t>
  </si>
  <si>
    <t>nivljnv.cam</t>
  </si>
  <si>
    <t>knight09.p27</t>
  </si>
  <si>
    <t>knight09.p28</t>
  </si>
  <si>
    <t>knight09.p29</t>
  </si>
  <si>
    <t>nivlsfs.cam</t>
  </si>
  <si>
    <t>Summon: Knights of the Round staff</t>
  </si>
  <si>
    <t>knight09.p31</t>
  </si>
  <si>
    <t xml:space="preserve">fabk </t>
  </si>
  <si>
    <t>knight09.p32</t>
  </si>
  <si>
    <t>northmk.cam</t>
  </si>
  <si>
    <t>knight09.p33</t>
  </si>
  <si>
    <t>knight09.p35</t>
  </si>
  <si>
    <t>nrcrl.cam</t>
  </si>
  <si>
    <t>knight09.p36</t>
  </si>
  <si>
    <t>knight09.p37</t>
  </si>
  <si>
    <t>nrcrlb.cam</t>
  </si>
  <si>
    <t>knight09.p39</t>
  </si>
  <si>
    <t>knight09.p40</t>
  </si>
  <si>
    <t>knight10.a00</t>
  </si>
  <si>
    <t>nvlmk.cam</t>
  </si>
  <si>
    <t xml:space="preserve">fabl </t>
  </si>
  <si>
    <t>knight10.d</t>
  </si>
  <si>
    <t>knight10.p00</t>
  </si>
  <si>
    <t>ontrain.cam</t>
  </si>
  <si>
    <t>knight10.p01</t>
  </si>
  <si>
    <t>knight10.p02</t>
  </si>
  <si>
    <t>opening.cam</t>
  </si>
  <si>
    <t>knight10.p04</t>
  </si>
  <si>
    <t>parashot.cam</t>
  </si>
  <si>
    <t>knight10.p06</t>
  </si>
  <si>
    <t>knight10.p07</t>
  </si>
  <si>
    <t xml:space="preserve">fabm </t>
  </si>
  <si>
    <t>phoenix.cam</t>
  </si>
  <si>
    <t>knight10.p08</t>
  </si>
  <si>
    <t>knight10.p09</t>
  </si>
  <si>
    <t>plrexp.cam</t>
  </si>
  <si>
    <t>knight10.p11</t>
  </si>
  <si>
    <t>knight10.p12</t>
  </si>
  <si>
    <t>plrexp2.cam</t>
  </si>
  <si>
    <t>knight10.p13</t>
  </si>
  <si>
    <t>knight10.p15</t>
  </si>
  <si>
    <t>knight10.p16</t>
  </si>
  <si>
    <t>rcktfail.cam</t>
  </si>
  <si>
    <t>knight10.p17</t>
  </si>
  <si>
    <t>rckthit.cam</t>
  </si>
  <si>
    <t>knight10.p18</t>
  </si>
  <si>
    <t>knight10.p19</t>
  </si>
  <si>
    <t>rckthit2.cam</t>
  </si>
  <si>
    <t>knight10.p21</t>
  </si>
  <si>
    <t>knight10.p22</t>
  </si>
  <si>
    <t xml:space="preserve">fabo </t>
  </si>
  <si>
    <t>knight10.p24</t>
  </si>
  <si>
    <t>rcktoff.cam</t>
  </si>
  <si>
    <t>knight10.p25</t>
  </si>
  <si>
    <t>knight10.p26</t>
  </si>
  <si>
    <t>seto.cam</t>
  </si>
  <si>
    <t>knight10.p27</t>
  </si>
  <si>
    <t>knight10.p29</t>
  </si>
  <si>
    <t>setogake.cam</t>
  </si>
  <si>
    <t>knight10.p30</t>
  </si>
  <si>
    <t>knight10.p32</t>
  </si>
  <si>
    <t>smk.cam</t>
  </si>
  <si>
    <t xml:space="preserve">fabp </t>
  </si>
  <si>
    <t>knight10.p33</t>
  </si>
  <si>
    <t>southmk.cam</t>
  </si>
  <si>
    <t>knight10.p34</t>
  </si>
  <si>
    <t>knight10.p35</t>
  </si>
  <si>
    <t>ss1c1_c6.cam</t>
  </si>
  <si>
    <t>knight10.p37</t>
  </si>
  <si>
    <t>knight10.p38</t>
  </si>
  <si>
    <t>ss2c1_c7.cam</t>
  </si>
  <si>
    <t>knight10.p39</t>
  </si>
  <si>
    <t>knight10.p40</t>
  </si>
  <si>
    <t>ss2c1_c7b.cam</t>
  </si>
  <si>
    <t>knight10.p42</t>
  </si>
  <si>
    <t>knight10.p43</t>
  </si>
  <si>
    <t xml:space="preserve">fabq </t>
  </si>
  <si>
    <t>knight10.p44</t>
  </si>
  <si>
    <t>ss3c1_19.cam</t>
  </si>
  <si>
    <t>knight10.p45</t>
  </si>
  <si>
    <t>knight10.p46</t>
  </si>
  <si>
    <t>ss4c1_c6.cam</t>
  </si>
  <si>
    <t>knight11.a00</t>
  </si>
  <si>
    <t>knight11.d</t>
  </si>
  <si>
    <t>ss5c1_c9.cam</t>
  </si>
  <si>
    <t>knight11.p00</t>
  </si>
  <si>
    <t>knight11.p02</t>
  </si>
  <si>
    <t>ss6c1_17.cam</t>
  </si>
  <si>
    <t>knight11.p04</t>
  </si>
  <si>
    <t>knight11.p05</t>
  </si>
  <si>
    <t>ss7c1_c7.cam</t>
  </si>
  <si>
    <t xml:space="preserve">fabr </t>
  </si>
  <si>
    <t>knight11.p06</t>
  </si>
  <si>
    <t>ss8c1_c23.cam</t>
  </si>
  <si>
    <t>knight11.p07</t>
  </si>
  <si>
    <t>ss9c1_c1.cam</t>
  </si>
  <si>
    <t>knight11.p08</t>
  </si>
  <si>
    <t>knight11.p10</t>
  </si>
  <si>
    <t>ss10c1_c4.cam</t>
  </si>
  <si>
    <t>knight11.p11</t>
  </si>
  <si>
    <t xml:space="preserve">fabt </t>
  </si>
  <si>
    <t>knight11.p12</t>
  </si>
  <si>
    <t>uropego.cam</t>
  </si>
  <si>
    <t>knight11.p14</t>
  </si>
  <si>
    <t>knight11.p16</t>
  </si>
  <si>
    <t>uropein.cam</t>
  </si>
  <si>
    <t>knight11.p17</t>
  </si>
  <si>
    <t>knight11.p19</t>
  </si>
  <si>
    <t>weapon0.cam</t>
  </si>
  <si>
    <t>knight11.p21</t>
  </si>
  <si>
    <t>knight11.p23</t>
  </si>
  <si>
    <t>weapon1.cam</t>
  </si>
  <si>
    <t>knight11.p24</t>
  </si>
  <si>
    <t>knight11.p26</t>
  </si>
  <si>
    <t xml:space="preserve">fabu </t>
  </si>
  <si>
    <t>weapon2.cam</t>
  </si>
  <si>
    <t>knight11.p28</t>
  </si>
  <si>
    <t>knight11.p29</t>
  </si>
  <si>
    <t>weapon3.cam</t>
  </si>
  <si>
    <t>knight11.p31</t>
  </si>
  <si>
    <t>knight11.p33</t>
  </si>
  <si>
    <t>weapon4.cam</t>
  </si>
  <si>
    <t>weapon5.cam</t>
  </si>
  <si>
    <t xml:space="preserve">fabv </t>
  </si>
  <si>
    <t>knight11.p34</t>
  </si>
  <si>
    <t>wh2e2.cam</t>
  </si>
  <si>
    <t>knight11.p35</t>
  </si>
  <si>
    <t>knight11.p37</t>
  </si>
  <si>
    <t>zmind11.cam</t>
  </si>
  <si>
    <t>knight11.p39</t>
  </si>
  <si>
    <t>knight11.p40</t>
  </si>
  <si>
    <t>zmind21.cam</t>
  </si>
  <si>
    <t>knight11.p41</t>
  </si>
  <si>
    <t>knight11.p42</t>
  </si>
  <si>
    <t>zmind31.cam</t>
  </si>
  <si>
    <t>Summon: Knights of the Round axe</t>
  </si>
  <si>
    <t>knight12.a00</t>
  </si>
  <si>
    <t xml:space="preserve">fabx </t>
  </si>
  <si>
    <t>knight12.d</t>
  </si>
  <si>
    <t>zzz.cam</t>
  </si>
  <si>
    <t>knight12.p00</t>
  </si>
  <si>
    <t>knight12.p01</t>
  </si>
  <si>
    <t>knight12.p02</t>
  </si>
  <si>
    <t>knight12.p03</t>
  </si>
  <si>
    <t>knight12.p04</t>
  </si>
  <si>
    <t>knight12.p05</t>
  </si>
  <si>
    <t xml:space="preserve">fabz </t>
  </si>
  <si>
    <t>knight12.p06</t>
  </si>
  <si>
    <t>knight12.p07</t>
  </si>
  <si>
    <t>knight12.p08</t>
  </si>
  <si>
    <t>knight12.p09</t>
  </si>
  <si>
    <t>knight12.p11</t>
  </si>
  <si>
    <t>knight12.p12</t>
  </si>
  <si>
    <t>knight12.p13</t>
  </si>
  <si>
    <t xml:space="preserve">faca </t>
  </si>
  <si>
    <t>knight12.p15</t>
  </si>
  <si>
    <t>knight12.p16</t>
  </si>
  <si>
    <t>knight12.p17</t>
  </si>
  <si>
    <t>knight12.p19</t>
  </si>
  <si>
    <t>knight12.p20</t>
  </si>
  <si>
    <t>knight12.p21</t>
  </si>
  <si>
    <t>knight12.p24</t>
  </si>
  <si>
    <t xml:space="preserve">facb </t>
  </si>
  <si>
    <t>knight12.p25</t>
  </si>
  <si>
    <t>knight12.p26</t>
  </si>
  <si>
    <t>knight12.p29</t>
  </si>
  <si>
    <t>knight12.p30</t>
  </si>
  <si>
    <t>knight12.p31</t>
  </si>
  <si>
    <t xml:space="preserve">facc </t>
  </si>
  <si>
    <t>knight12.p32</t>
  </si>
  <si>
    <t>knight12.p34</t>
  </si>
  <si>
    <t>knight12.p35</t>
  </si>
  <si>
    <t>knight12.p36</t>
  </si>
  <si>
    <t>bg0a.tex</t>
  </si>
  <si>
    <t>knight12.p38</t>
  </si>
  <si>
    <t>Snow Mountain BG A</t>
  </si>
  <si>
    <t>knight12.p39</t>
  </si>
  <si>
    <t>knight12.p41</t>
  </si>
  <si>
    <t xml:space="preserve">facd </t>
  </si>
  <si>
    <t>knight12.p42</t>
  </si>
  <si>
    <t>knight12.p44</t>
  </si>
  <si>
    <t>knight12.p45</t>
  </si>
  <si>
    <t>knight12.p46</t>
  </si>
  <si>
    <t>knight13.a00</t>
  </si>
  <si>
    <t>knight13.d</t>
  </si>
  <si>
    <t xml:space="preserve">face </t>
  </si>
  <si>
    <t>knight13.p01</t>
  </si>
  <si>
    <t>knight13.p03</t>
  </si>
  <si>
    <t>knight13.p04</t>
  </si>
  <si>
    <t>knight13.p05</t>
  </si>
  <si>
    <t>knight13.p06</t>
  </si>
  <si>
    <t xml:space="preserve">facf </t>
  </si>
  <si>
    <t>bg0b.tex</t>
  </si>
  <si>
    <t>knight13.p08</t>
  </si>
  <si>
    <t>Snow Mountain BG B</t>
  </si>
  <si>
    <t>knight13.p09</t>
  </si>
  <si>
    <t>knight13.p10</t>
  </si>
  <si>
    <t xml:space="preserve">facg </t>
  </si>
  <si>
    <t>knight13.p12</t>
  </si>
  <si>
    <t>Summon: Knights of the Round front plate</t>
  </si>
  <si>
    <t>knight13.p14</t>
  </si>
  <si>
    <t>Summon: Knights of the Round back tunic</t>
  </si>
  <si>
    <t>knight13.p16</t>
  </si>
  <si>
    <t>Summon: Knights of the Round side tunic</t>
  </si>
  <si>
    <t xml:space="preserve">fach </t>
  </si>
  <si>
    <t>knight13.p18</t>
  </si>
  <si>
    <t>knight13.p20</t>
  </si>
  <si>
    <t>knight13.p21</t>
  </si>
  <si>
    <t>knight13.p22</t>
  </si>
  <si>
    <t>knight13.p24</t>
  </si>
  <si>
    <t>bg0c.tex</t>
  </si>
  <si>
    <t>knight13.p25</t>
  </si>
  <si>
    <t>Snow Mountain BG C</t>
  </si>
  <si>
    <t xml:space="preserve">fada </t>
  </si>
  <si>
    <t>knight13.p26</t>
  </si>
  <si>
    <t>knight13.p27</t>
  </si>
  <si>
    <t>knight13.p28</t>
  </si>
  <si>
    <t xml:space="preserve">fbaa </t>
  </si>
  <si>
    <t>knight13.p29</t>
  </si>
  <si>
    <t>Golem:Battle Skeleton</t>
  </si>
  <si>
    <t>knight13.p32</t>
  </si>
  <si>
    <t>knight13.p34</t>
  </si>
  <si>
    <t>knight13.p35</t>
  </si>
  <si>
    <t>knight13.p38</t>
  </si>
  <si>
    <t>knight13.p40</t>
  </si>
  <si>
    <t>bg0d.tex</t>
  </si>
  <si>
    <t>knight13.p41</t>
  </si>
  <si>
    <t>Snow Mountain BG D</t>
  </si>
  <si>
    <t xml:space="preserve">fbab </t>
  </si>
  <si>
    <t>Golem: Unidentified Part</t>
  </si>
  <si>
    <t>knight13.p43</t>
  </si>
  <si>
    <t>knight13.p44</t>
  </si>
  <si>
    <t xml:space="preserve">fbac </t>
  </si>
  <si>
    <t>Golem: Texture</t>
  </si>
  <si>
    <t>knight13.p45</t>
  </si>
  <si>
    <t>knight13.p46</t>
  </si>
  <si>
    <t>knight13.p47</t>
  </si>
  <si>
    <t>bg0e.tex</t>
  </si>
  <si>
    <t>kodo.a00</t>
  </si>
  <si>
    <t>Snow Mountain BG E</t>
  </si>
  <si>
    <t>kodou.s</t>
  </si>
  <si>
    <t>kodou.tex</t>
  </si>
  <si>
    <t>koin.p</t>
  </si>
  <si>
    <t xml:space="preserve">fbad </t>
  </si>
  <si>
    <t>koin.rsd</t>
  </si>
  <si>
    <t>konoha1.p</t>
  </si>
  <si>
    <t>bg0f.tex</t>
  </si>
  <si>
    <t>Snow Mountain BG F</t>
  </si>
  <si>
    <t xml:space="preserve">fbae </t>
  </si>
  <si>
    <t>konoha1.rsd</t>
  </si>
  <si>
    <t>konoha2.p</t>
  </si>
  <si>
    <t>konoha2.rsd</t>
  </si>
  <si>
    <t>bg0g.tex</t>
  </si>
  <si>
    <t>Snow Mountain BG G</t>
  </si>
  <si>
    <t>konoha3.p</t>
  </si>
  <si>
    <t>konoha3.rsd</t>
  </si>
  <si>
    <t xml:space="preserve">fbam </t>
  </si>
  <si>
    <t>kou.p</t>
  </si>
  <si>
    <t>kou.rsd</t>
  </si>
  <si>
    <t>kou.tex</t>
  </si>
  <si>
    <t>koukasen.s</t>
  </si>
  <si>
    <t>kouri.p</t>
  </si>
  <si>
    <t>bg0h.tex</t>
  </si>
  <si>
    <t>kouri1.p</t>
  </si>
  <si>
    <t>Snow Mountain BG H</t>
  </si>
  <si>
    <t>kouri1.rsd</t>
  </si>
  <si>
    <t>kouri4.p</t>
  </si>
  <si>
    <t>kouri4.rsd</t>
  </si>
  <si>
    <t>kujata00.tex</t>
  </si>
  <si>
    <t xml:space="preserve">fban </t>
  </si>
  <si>
    <t>Summon: Kjata lightnings</t>
  </si>
  <si>
    <t>kujata01.tex</t>
  </si>
  <si>
    <t>Summon: Kjata lightning hits</t>
  </si>
  <si>
    <t>kujatada.a00</t>
  </si>
  <si>
    <t>Summon: Kjata</t>
  </si>
  <si>
    <t>cfont.tex</t>
  </si>
  <si>
    <t>kujatada.b</t>
  </si>
  <si>
    <t>FONTS</t>
  </si>
  <si>
    <t>kujatada.d</t>
  </si>
  <si>
    <t>kujatada.p00</t>
  </si>
  <si>
    <t>Summon: Kjata abdomen</t>
  </si>
  <si>
    <t xml:space="preserve">fbao </t>
  </si>
  <si>
    <t>kujatada.p02</t>
  </si>
  <si>
    <t>Summon: Kjata body</t>
  </si>
  <si>
    <t>kujatada.p03</t>
  </si>
  <si>
    <t>Summon: Kjata head</t>
  </si>
  <si>
    <t>kujatada.p04</t>
  </si>
  <si>
    <t>Summon: Kjata nose ring</t>
  </si>
  <si>
    <t>kujatada.p06</t>
  </si>
  <si>
    <t>Summon: Kjata nose ring small</t>
  </si>
  <si>
    <t>kujatada.p08</t>
  </si>
  <si>
    <t>kujatada.p09</t>
  </si>
  <si>
    <t>kujatada.p11</t>
  </si>
  <si>
    <t>Summon: Kjata front tigh</t>
  </si>
  <si>
    <t>kujatada.p12</t>
  </si>
  <si>
    <t>ea_k.tex</t>
  </si>
  <si>
    <t>Summon: Kjata front leg</t>
  </si>
  <si>
    <t xml:space="preserve">fbar </t>
  </si>
  <si>
    <t>Beginner Course A</t>
  </si>
  <si>
    <t>kujatada.p13</t>
  </si>
  <si>
    <t>Different letter depending on the language</t>
  </si>
  <si>
    <t>Summon: Kjata hoof</t>
  </si>
  <si>
    <t>kujatada.p15</t>
  </si>
  <si>
    <t>kujatada.p16</t>
  </si>
  <si>
    <t>kujatada.p17</t>
  </si>
  <si>
    <t>kujatada.p19</t>
  </si>
  <si>
    <t>Summon: Kjata back tigh</t>
  </si>
  <si>
    <t>kujatada.p20</t>
  </si>
  <si>
    <t>Summon: Kjata back leg</t>
  </si>
  <si>
    <t xml:space="preserve">fbas </t>
  </si>
  <si>
    <t>kujatada.p21</t>
  </si>
  <si>
    <t>kujatada.p23</t>
  </si>
  <si>
    <t>Summon: Kjata tail part</t>
  </si>
  <si>
    <t>kujatada.p24</t>
  </si>
  <si>
    <t>eb_k.tex</t>
  </si>
  <si>
    <t>kujatada.p25</t>
  </si>
  <si>
    <t>Expert Course B</t>
  </si>
  <si>
    <t>kujatada.p26</t>
  </si>
  <si>
    <t xml:space="preserve">fbat </t>
  </si>
  <si>
    <t>kujatada.p27</t>
  </si>
  <si>
    <t>kujatada.p28</t>
  </si>
  <si>
    <t>Summon: Kjata tail tip</t>
  </si>
  <si>
    <t>kujatada.p30</t>
  </si>
  <si>
    <t>kujatada.p31</t>
  </si>
  <si>
    <t>kujatada.p32</t>
  </si>
  <si>
    <t xml:space="preserve">fbav </t>
  </si>
  <si>
    <t>kumo_1.tex</t>
  </si>
  <si>
    <t>Summon: Neo Bahamut sky</t>
  </si>
  <si>
    <t>ec_k.tex</t>
  </si>
  <si>
    <t>kusai.s</t>
  </si>
  <si>
    <t>Crazy Course C</t>
  </si>
  <si>
    <t>kusai_1.tex</t>
  </si>
  <si>
    <t>kyogiri.tex</t>
  </si>
  <si>
    <t>Limit: Cross Slash</t>
  </si>
  <si>
    <t>kyou.a00</t>
  </si>
  <si>
    <t xml:space="preserve">fbay </t>
  </si>
  <si>
    <t>kyu.s</t>
  </si>
  <si>
    <t>kyuu1.tex</t>
  </si>
  <si>
    <t>kyuu2.tex</t>
  </si>
  <si>
    <t>lamdat.a00</t>
  </si>
  <si>
    <t>Summon: Ramuh</t>
  </si>
  <si>
    <t>lamdat.b</t>
  </si>
  <si>
    <t>lamdat.d</t>
  </si>
  <si>
    <t>lamdat.p00</t>
  </si>
  <si>
    <t xml:space="preserve">fbaz </t>
  </si>
  <si>
    <t>eg_k.tex</t>
  </si>
  <si>
    <t>Summon: Ramuh body</t>
  </si>
  <si>
    <t>Goal Congratulations</t>
  </si>
  <si>
    <t>lamdat.p01</t>
  </si>
  <si>
    <t>Summon: Ramuh chest</t>
  </si>
  <si>
    <t>lamdat.p05</t>
  </si>
  <si>
    <t>Summon: Ramuh sleeve part</t>
  </si>
  <si>
    <t>lamdat.p07</t>
  </si>
  <si>
    <t>lamdat.p08</t>
  </si>
  <si>
    <t>Summon: Ramuh wrist</t>
  </si>
  <si>
    <t>lamdat.p09</t>
  </si>
  <si>
    <t>Summon: Ramuh bracelet</t>
  </si>
  <si>
    <t xml:space="preserve">fbba </t>
  </si>
  <si>
    <t>lamdat.p11</t>
  </si>
  <si>
    <t>Summon: Ramuh hand</t>
  </si>
  <si>
    <t>lamdat.p12</t>
  </si>
  <si>
    <t>lamdat.p14</t>
  </si>
  <si>
    <t>Summon: Ramuh head</t>
  </si>
  <si>
    <t>eita_k.tex</t>
  </si>
  <si>
    <t>lamdat.p16</t>
  </si>
  <si>
    <t>Summon: Ramuh earring</t>
  </si>
  <si>
    <t>Keep out!</t>
  </si>
  <si>
    <t>lamdat.p18</t>
  </si>
  <si>
    <t xml:space="preserve">fbbc </t>
  </si>
  <si>
    <t>lamdat.p20</t>
  </si>
  <si>
    <t>Summon: Ramuh mustache part</t>
  </si>
  <si>
    <t>lamdat.p21</t>
  </si>
  <si>
    <t>lamdat.p22</t>
  </si>
  <si>
    <t>lamdat.p23</t>
  </si>
  <si>
    <t>lamdat.p24</t>
  </si>
  <si>
    <t>lamdat.p26</t>
  </si>
  <si>
    <t xml:space="preserve">fbbe </t>
  </si>
  <si>
    <t>lamdat.p27</t>
  </si>
  <si>
    <t>lamdat.p28</t>
  </si>
  <si>
    <t>estamp0.tex</t>
  </si>
  <si>
    <t>lamdat.p29</t>
  </si>
  <si>
    <t>Performance messages 1</t>
  </si>
  <si>
    <t>lamdat.p30</t>
  </si>
  <si>
    <t>lamdat.p32</t>
  </si>
  <si>
    <t>Summon: Ramuh beard part</t>
  </si>
  <si>
    <t xml:space="preserve">fbbf </t>
  </si>
  <si>
    <t>lamdat.p33</t>
  </si>
  <si>
    <t>lamdat.p37</t>
  </si>
  <si>
    <t>lamdat.p39</t>
  </si>
  <si>
    <t>lamdat.p40</t>
  </si>
  <si>
    <t>lamdat.p42</t>
  </si>
  <si>
    <t xml:space="preserve">fbbh </t>
  </si>
  <si>
    <t>estamp1.tex</t>
  </si>
  <si>
    <t>lamdat.p44</t>
  </si>
  <si>
    <t>Performance messages 2</t>
  </si>
  <si>
    <t>Summon: Ramuh staff</t>
  </si>
  <si>
    <t>lamdat.p45</t>
  </si>
  <si>
    <t>lamdat.p46</t>
  </si>
  <si>
    <t>lamu00.tex</t>
  </si>
  <si>
    <t>Summon: Ramuh lightnings</t>
  </si>
  <si>
    <t>lamu01.tex</t>
  </si>
  <si>
    <t xml:space="preserve">fbbi </t>
  </si>
  <si>
    <t>lamu02.tex</t>
  </si>
  <si>
    <t>lamu03.tex</t>
  </si>
  <si>
    <t>laser00.tex</t>
  </si>
  <si>
    <t>laser01.tex</t>
  </si>
  <si>
    <t>eyes.tex</t>
  </si>
  <si>
    <t>Eye</t>
  </si>
  <si>
    <t xml:space="preserve">fbbj </t>
  </si>
  <si>
    <t>laser02.tex</t>
  </si>
  <si>
    <t>leazer.p</t>
  </si>
  <si>
    <t>leazer.rsd</t>
  </si>
  <si>
    <t>lens01.tex</t>
  </si>
  <si>
    <t>Summon: Bahamut Zero Sun reflection</t>
  </si>
  <si>
    <t>for_ev.tmd</t>
  </si>
  <si>
    <t>lens02.tex</t>
  </si>
  <si>
    <t>lens_1.tex</t>
  </si>
  <si>
    <t>for_gs.tmd</t>
  </si>
  <si>
    <t>lens_2.s</t>
  </si>
  <si>
    <t>fuusen1a.tex</t>
  </si>
  <si>
    <t xml:space="preserve">fbbl </t>
  </si>
  <si>
    <t>Balloon A</t>
  </si>
  <si>
    <t>lens_3.s</t>
  </si>
  <si>
    <t>lens_4.s</t>
  </si>
  <si>
    <t>lezer_1.p</t>
  </si>
  <si>
    <t>lezer_1.rsd</t>
  </si>
  <si>
    <t>lezer_2.p</t>
  </si>
  <si>
    <t>lezer_2.rsd</t>
  </si>
  <si>
    <t>fuusen1b.tex</t>
  </si>
  <si>
    <t xml:space="preserve">fbbm </t>
  </si>
  <si>
    <t>Balloon B</t>
  </si>
  <si>
    <t>light.tex</t>
  </si>
  <si>
    <t>light0.tex</t>
  </si>
  <si>
    <t>light1.p</t>
  </si>
  <si>
    <t>light1.rsd</t>
  </si>
  <si>
    <t>light1.tex</t>
  </si>
  <si>
    <t>light2.tex</t>
  </si>
  <si>
    <t>light3.tex</t>
  </si>
  <si>
    <t xml:space="preserve">fbda </t>
  </si>
  <si>
    <t>fuusen1c.tex</t>
  </si>
  <si>
    <t>light34.tex</t>
  </si>
  <si>
    <t>Balloon C</t>
  </si>
  <si>
    <t>Quake 2 rays</t>
  </si>
  <si>
    <t>light4.tex</t>
  </si>
  <si>
    <t>light_1.s</t>
  </si>
  <si>
    <t>Quake3</t>
  </si>
  <si>
    <t xml:space="preserve">fcaa </t>
  </si>
  <si>
    <t>light_3.p</t>
  </si>
  <si>
    <t>light_3.rsd</t>
  </si>
  <si>
    <t>light_4.p</t>
  </si>
  <si>
    <t>Bagrisk: Battle Skeleton</t>
  </si>
  <si>
    <t>light_4.rsd</t>
  </si>
  <si>
    <t>fuusen1d.tex</t>
  </si>
  <si>
    <t>light_5.tex</t>
  </si>
  <si>
    <t>Balloon D</t>
  </si>
  <si>
    <t>Quake3 (all) and quake 2 shine</t>
  </si>
  <si>
    <t>ligh_1.tex</t>
  </si>
  <si>
    <t>limbr2.a00</t>
  </si>
  <si>
    <t>limbr3.a00</t>
  </si>
  <si>
    <t>limbr4.a00</t>
  </si>
  <si>
    <t xml:space="preserve">fcab </t>
  </si>
  <si>
    <t>limbr5.a00</t>
  </si>
  <si>
    <t>Bagrisk: Unidentified Part</t>
  </si>
  <si>
    <t>limbr6.a00</t>
  </si>
  <si>
    <t>ita_h1.tex</t>
  </si>
  <si>
    <t>Start and goal sign sticks 1</t>
  </si>
  <si>
    <t>limbr7.a00</t>
  </si>
  <si>
    <t xml:space="preserve">fcac </t>
  </si>
  <si>
    <t>limcd1.a00</t>
  </si>
  <si>
    <t>Bagrisk: Texture</t>
  </si>
  <si>
    <t>limcd2.a00</t>
  </si>
  <si>
    <t>limcd3.a00</t>
  </si>
  <si>
    <t>limcd4.a00</t>
  </si>
  <si>
    <t>limcd5.a00</t>
  </si>
  <si>
    <t>limcd6.a00</t>
  </si>
  <si>
    <t>ita_h2.tex</t>
  </si>
  <si>
    <t>limcd7.a00</t>
  </si>
  <si>
    <t xml:space="preserve">fcam </t>
  </si>
  <si>
    <t>Start and goal sign sticks 2</t>
  </si>
  <si>
    <t>limcl2.a00</t>
  </si>
  <si>
    <t>limcl3.a00</t>
  </si>
  <si>
    <t>limcl4.a00</t>
  </si>
  <si>
    <t>limcl6.a00</t>
  </si>
  <si>
    <t>limcl7.a00</t>
  </si>
  <si>
    <t>limea2.a00</t>
  </si>
  <si>
    <t>limea3.a00</t>
  </si>
  <si>
    <t>jump.tex</t>
  </si>
  <si>
    <t xml:space="preserve">fcan </t>
  </si>
  <si>
    <t>Track signs</t>
  </si>
  <si>
    <t>limea4.a00</t>
  </si>
  <si>
    <t>limea5.a00</t>
  </si>
  <si>
    <t>limea6.a00</t>
  </si>
  <si>
    <t>limfast.a00</t>
  </si>
  <si>
    <t>limrd3.a00</t>
  </si>
  <si>
    <t>limrd4.a00</t>
  </si>
  <si>
    <t>limrd5.a00</t>
  </si>
  <si>
    <t>limrd6.a00</t>
  </si>
  <si>
    <t xml:space="preserve">fcao </t>
  </si>
  <si>
    <t>ki0.tex</t>
  </si>
  <si>
    <t>limrd7.a00</t>
  </si>
  <si>
    <t>Pine</t>
  </si>
  <si>
    <t>limsled.a00</t>
  </si>
  <si>
    <t>limyf1.a00</t>
  </si>
  <si>
    <t>limyf2.a00</t>
  </si>
  <si>
    <t>limyf3.a00</t>
  </si>
  <si>
    <t>limyf4.a00</t>
  </si>
  <si>
    <t>smoke.tex</t>
  </si>
  <si>
    <t>Smoke</t>
  </si>
  <si>
    <t>limyf5.a00</t>
  </si>
  <si>
    <t xml:space="preserve">fcar </t>
  </si>
  <si>
    <t>limyf6.a00</t>
  </si>
  <si>
    <t>limyf7.a00</t>
  </si>
  <si>
    <t>line_1.s</t>
  </si>
  <si>
    <t>tifaeye.tex</t>
  </si>
  <si>
    <t>line_1.tex</t>
  </si>
  <si>
    <t>Tifa and clouds eye</t>
  </si>
  <si>
    <t>line_3.p</t>
  </si>
  <si>
    <t>line_3.rsd</t>
  </si>
  <si>
    <t>line_4.p</t>
  </si>
  <si>
    <t xml:space="preserve">fcas </t>
  </si>
  <si>
    <t>line_4.rsd</t>
  </si>
  <si>
    <t>lock_on.s</t>
  </si>
  <si>
    <t>lucky.s</t>
  </si>
  <si>
    <t>time1.tex</t>
  </si>
  <si>
    <t>"Time attack"</t>
  </si>
  <si>
    <t>Limit: Cait sith slot lucky girl</t>
  </si>
  <si>
    <t>lucky00.tex</t>
  </si>
  <si>
    <t>lv4jiba.s</t>
  </si>
  <si>
    <t xml:space="preserve">Enemy skill: Lv4 suicide </t>
  </si>
  <si>
    <t xml:space="preserve">fcau </t>
  </si>
  <si>
    <t>lv4ji_1.tex</t>
  </si>
  <si>
    <t>Enemy skill: Lv4 suicide smoke</t>
  </si>
  <si>
    <t>lv5deth.s</t>
  </si>
  <si>
    <t>Enemy skill: Lv5 death</t>
  </si>
  <si>
    <t>lv5deth.tex</t>
  </si>
  <si>
    <t>Enemy skill: Lv5 death skull</t>
  </si>
  <si>
    <t>l_fin.p</t>
  </si>
  <si>
    <t>l_fin.rsd</t>
  </si>
  <si>
    <t>magic1.lmd</t>
  </si>
  <si>
    <t xml:space="preserve">fcaw </t>
  </si>
  <si>
    <t>magic_1.rsd</t>
  </si>
  <si>
    <t>time2.tex</t>
  </si>
  <si>
    <t>magic_a.tex</t>
  </si>
  <si>
    <t>Speed up!</t>
  </si>
  <si>
    <t>Summon: Hades floor</t>
  </si>
  <si>
    <t>magikal.tex</t>
  </si>
  <si>
    <t>Enemy skill: Magic breath bubble</t>
  </si>
  <si>
    <t>magma.tex</t>
  </si>
  <si>
    <t>maguma.s</t>
  </si>
  <si>
    <t>mag_a.p</t>
  </si>
  <si>
    <t>mag_a.rsd</t>
  </si>
  <si>
    <t>mag_b.p</t>
  </si>
  <si>
    <t xml:space="preserve">fcaz </t>
  </si>
  <si>
    <t>mag_b.rsd</t>
  </si>
  <si>
    <t>mars_1.p</t>
  </si>
  <si>
    <t>mars_1.rsd</t>
  </si>
  <si>
    <t>mars_1.tex</t>
  </si>
  <si>
    <t>mask.p</t>
  </si>
  <si>
    <t>waku.tex</t>
  </si>
  <si>
    <t>mask.rsd</t>
  </si>
  <si>
    <t>Empty box</t>
  </si>
  <si>
    <t>mask2.rsd</t>
  </si>
  <si>
    <t xml:space="preserve">fcba </t>
  </si>
  <si>
    <t>mask3.rsd</t>
  </si>
  <si>
    <t>matra.p</t>
  </si>
  <si>
    <t>Enemy skill: Matra magic missile</t>
  </si>
  <si>
    <t>matra.rsd</t>
  </si>
  <si>
    <t>matra.s</t>
  </si>
  <si>
    <t>Enemy skill: Matra magic</t>
  </si>
  <si>
    <t>matra_1.tex</t>
  </si>
  <si>
    <t xml:space="preserve">fcbb </t>
  </si>
  <si>
    <t>Enemy skill: Matra smoke</t>
  </si>
  <si>
    <t>mega01.p</t>
  </si>
  <si>
    <t>Cait sith megaphone: Yellow M-phone</t>
  </si>
  <si>
    <t>mega01.rsd</t>
  </si>
  <si>
    <t>mega02.p</t>
  </si>
  <si>
    <t>Cait sith megaphone: Green M-phone</t>
  </si>
  <si>
    <t xml:space="preserve">fcbd </t>
  </si>
  <si>
    <t>mega02.rsd</t>
  </si>
  <si>
    <t>mega03.p</t>
  </si>
  <si>
    <t>Cait sith megaphone: Blue M-phone</t>
  </si>
  <si>
    <t>mega03.rsd</t>
  </si>
  <si>
    <t>hud.tex</t>
  </si>
  <si>
    <t>mega04.p</t>
  </si>
  <si>
    <t xml:space="preserve">fcbe </t>
  </si>
  <si>
    <t>Cait sith megaphone: Red M-phone</t>
  </si>
  <si>
    <t>Diferent filename depending on the language</t>
  </si>
  <si>
    <t>mega04.rsd</t>
  </si>
  <si>
    <t>mega05.p</t>
  </si>
  <si>
    <t>Cait sith megaphone: Crystal M-phone</t>
  </si>
  <si>
    <t>mega05.rsd</t>
  </si>
  <si>
    <t xml:space="preserve">fcbf </t>
  </si>
  <si>
    <t>mega06.p</t>
  </si>
  <si>
    <t>Cait sith megaphone: White M-phone</t>
  </si>
  <si>
    <t>mega06.rsd</t>
  </si>
  <si>
    <t>mega07.p</t>
  </si>
  <si>
    <t>Cait sith megaphone: Black M-phone</t>
  </si>
  <si>
    <t>mega07.rsd</t>
  </si>
  <si>
    <t>huda.tex</t>
  </si>
  <si>
    <t xml:space="preserve">fcbh </t>
  </si>
  <si>
    <t>Submarine Interface and controls part 1</t>
  </si>
  <si>
    <t>mega08.p</t>
  </si>
  <si>
    <t>Cait sith megaphone: Silver M-phone</t>
  </si>
  <si>
    <t>mega08.rsd</t>
  </si>
  <si>
    <t>mega09.p</t>
  </si>
  <si>
    <t>Cait sith megaphone: Trumpet shell</t>
  </si>
  <si>
    <t xml:space="preserve">fcbi </t>
  </si>
  <si>
    <t>mega09.rsd</t>
  </si>
  <si>
    <t>mega10.p</t>
  </si>
  <si>
    <t>hudb.tex</t>
  </si>
  <si>
    <t>Cait sith megaphone: Gold M-phone</t>
  </si>
  <si>
    <t>Submarine Interface and controls part 2</t>
  </si>
  <si>
    <t>mega10.rsd</t>
  </si>
  <si>
    <t xml:space="preserve">fcbj </t>
  </si>
  <si>
    <t>mega11.p</t>
  </si>
  <si>
    <t>Cait sith megaphone: Battle trumpet</t>
  </si>
  <si>
    <t>mega11.rsd</t>
  </si>
  <si>
    <t>mega12.p</t>
  </si>
  <si>
    <t>Cait sith megaphone: Starlight M-phone</t>
  </si>
  <si>
    <t>mega12.rsd</t>
  </si>
  <si>
    <t xml:space="preserve">fcbl </t>
  </si>
  <si>
    <t>mega13.p</t>
  </si>
  <si>
    <t>Cait sith megaphone: HP shout</t>
  </si>
  <si>
    <t>mega13.rsd</t>
  </si>
  <si>
    <t>hudc.tex</t>
  </si>
  <si>
    <t>mercury1.s</t>
  </si>
  <si>
    <t>Submarine Interface and controls part 3</t>
  </si>
  <si>
    <t>mercury1.tex</t>
  </si>
  <si>
    <t xml:space="preserve">fcbm </t>
  </si>
  <si>
    <t>mercury2.p</t>
  </si>
  <si>
    <t>mercury2.rsd</t>
  </si>
  <si>
    <t>mercury2.tex</t>
  </si>
  <si>
    <t>meteo_1.tex</t>
  </si>
  <si>
    <t xml:space="preserve">fcbn </t>
  </si>
  <si>
    <t>Comet</t>
  </si>
  <si>
    <t>meteo_2.p</t>
  </si>
  <si>
    <t>Comet halo</t>
  </si>
  <si>
    <t xml:space="preserve">fcbp </t>
  </si>
  <si>
    <t>hudd.tex</t>
  </si>
  <si>
    <t>meteo_2.rsd</t>
  </si>
  <si>
    <t>Submarine Interface and controls part 4</t>
  </si>
  <si>
    <t>meteo_a.p</t>
  </si>
  <si>
    <t xml:space="preserve">fcbq </t>
  </si>
  <si>
    <t>meteo_a.rsd</t>
  </si>
  <si>
    <t>mind.p</t>
  </si>
  <si>
    <t>mind.rsd</t>
  </si>
  <si>
    <t>mind.tex</t>
  </si>
  <si>
    <t>mini_1.s</t>
  </si>
  <si>
    <t>mini_1.tex</t>
  </si>
  <si>
    <t xml:space="preserve">fcbr </t>
  </si>
  <si>
    <t>misa1.p</t>
  </si>
  <si>
    <t>misa1.rsd</t>
  </si>
  <si>
    <t>text.tex</t>
  </si>
  <si>
    <t xml:space="preserve">fcbt </t>
  </si>
  <si>
    <t>misa10.p</t>
  </si>
  <si>
    <t>misa10.rsd</t>
  </si>
  <si>
    <t xml:space="preserve">fcbu </t>
  </si>
  <si>
    <t>misa2.p</t>
  </si>
  <si>
    <t>misa2.rsd</t>
  </si>
  <si>
    <t>texta.tex</t>
  </si>
  <si>
    <t>Submarine Minigame fonts and help boxes part 1</t>
  </si>
  <si>
    <t>misa3.p</t>
  </si>
  <si>
    <t>misa3.rsd</t>
  </si>
  <si>
    <t>misa4.p</t>
  </si>
  <si>
    <t>misa4.rsd</t>
  </si>
  <si>
    <t>textb.tex</t>
  </si>
  <si>
    <t>Submarine Minigame fonts and help boxes part 2</t>
  </si>
  <si>
    <t>misa5.p</t>
  </si>
  <si>
    <t>misa5.rsd</t>
  </si>
  <si>
    <t>misa6.p</t>
  </si>
  <si>
    <t>misa6.rsd</t>
  </si>
  <si>
    <t>misa7.p</t>
  </si>
  <si>
    <t>misa7.rsd</t>
  </si>
  <si>
    <t>misa8.p</t>
  </si>
  <si>
    <t>textc.tex</t>
  </si>
  <si>
    <t>misa8.rsd</t>
  </si>
  <si>
    <t>Submarine Minigame fonts and help boxes part 3</t>
  </si>
  <si>
    <t>misa9.p</t>
  </si>
  <si>
    <t xml:space="preserve">fcbv </t>
  </si>
  <si>
    <t>misa9.rsd</t>
  </si>
  <si>
    <t>missil00.tex</t>
  </si>
  <si>
    <t>missil02.tex</t>
  </si>
  <si>
    <t>misso.p</t>
  </si>
  <si>
    <t>misso.rsd</t>
  </si>
  <si>
    <t>mizu01.tex</t>
  </si>
  <si>
    <t>mizu_1.tex</t>
  </si>
  <si>
    <t>mod.tex</t>
  </si>
  <si>
    <t xml:space="preserve">fcbw </t>
  </si>
  <si>
    <t>mogdat.a00</t>
  </si>
  <si>
    <t>textd.tex</t>
  </si>
  <si>
    <t>Limit: Cait sith slot mog dance</t>
  </si>
  <si>
    <t>mogdat.b</t>
  </si>
  <si>
    <t>mogdat.d</t>
  </si>
  <si>
    <t>mogdat.p00</t>
  </si>
  <si>
    <t>Limit: Cait sith slot mog dance body</t>
  </si>
  <si>
    <t>mogdat.p01</t>
  </si>
  <si>
    <t>Limit: Cait sith slot mog dance head</t>
  </si>
  <si>
    <t xml:space="preserve">fcbx </t>
  </si>
  <si>
    <t>mogdat.p03</t>
  </si>
  <si>
    <t>Limit: Cait sith slot mog dance ear</t>
  </si>
  <si>
    <t>mogdat.p05</t>
  </si>
  <si>
    <t>mogdat.p07</t>
  </si>
  <si>
    <t>Limit: Cait sith slot mog dance bandana strap</t>
  </si>
  <si>
    <t>mogdat.p09</t>
  </si>
  <si>
    <t>mogdat.p11</t>
  </si>
  <si>
    <t>Limit: Cait sith slot mog dance wing</t>
  </si>
  <si>
    <t xml:space="preserve">fcby </t>
  </si>
  <si>
    <t>784 Bytes</t>
  </si>
  <si>
    <t>mogdat.p13</t>
  </si>
  <si>
    <t>mogdat.p15</t>
  </si>
  <si>
    <t>Limit: Cait sith slot mog dance foot</t>
  </si>
  <si>
    <t xml:space="preserve">WORLD_US.LGP </t>
  </si>
  <si>
    <t>mogdat.p17</t>
  </si>
  <si>
    <t>Limit: Cait sith slot mog dance arm</t>
  </si>
  <si>
    <t>mogdat.p18</t>
  </si>
  <si>
    <t>Limit: Cait sith slot mog dance forearm</t>
  </si>
  <si>
    <t xml:space="preserve">aaa.hrc </t>
  </si>
  <si>
    <t>mogdat.p20</t>
  </si>
  <si>
    <t xml:space="preserve">fcda </t>
  </si>
  <si>
    <t>North crater barrier</t>
  </si>
  <si>
    <t>mogdat.p21</t>
  </si>
  <si>
    <t>Field skeleton</t>
  </si>
  <si>
    <t>mogdat.p23</t>
  </si>
  <si>
    <t xml:space="preserve">fdaa </t>
  </si>
  <si>
    <t>Desert Sahagin: Battle Skeleton</t>
  </si>
  <si>
    <t>mogdat.t00</t>
  </si>
  <si>
    <t>Limit: Cait sith slot mog dance 'dancing'</t>
  </si>
  <si>
    <t>mogdat.t01</t>
  </si>
  <si>
    <t>Limit: Cait sith slot mog dance eye</t>
  </si>
  <si>
    <t>mogurida.a00</t>
  </si>
  <si>
    <t>Summon: Choco / Mog</t>
  </si>
  <si>
    <t>mogurida.b</t>
  </si>
  <si>
    <t>mogurida.d</t>
  </si>
  <si>
    <t xml:space="preserve">aab.rsd </t>
  </si>
  <si>
    <t>Sahagin clone 1 (bmaa)</t>
  </si>
  <si>
    <t>North crater barrier: Whole model</t>
  </si>
  <si>
    <t>mogurida.p00</t>
  </si>
  <si>
    <t xml:space="preserve">fdab </t>
  </si>
  <si>
    <t>Summon: Choco / Mog chocobo body</t>
  </si>
  <si>
    <t>Desert Sahagin: Unidentified Part</t>
  </si>
  <si>
    <t>mogurida.p01</t>
  </si>
  <si>
    <t>Summon: Choco / Mog chocobo chest</t>
  </si>
  <si>
    <t>mogurida.p02</t>
  </si>
  <si>
    <t xml:space="preserve">fdac </t>
  </si>
  <si>
    <t>Summon: Choco / Mog chocobo neck</t>
  </si>
  <si>
    <t>Desert Sahagin: Texture</t>
  </si>
  <si>
    <t>mogurida.p03</t>
  </si>
  <si>
    <t>Summon: Choco / Mog chocobo head</t>
  </si>
  <si>
    <t>mogurida.p04</t>
  </si>
  <si>
    <t>Summon: Choco / Mog chocobo lower beck</t>
  </si>
  <si>
    <t>mogurida.p06</t>
  </si>
  <si>
    <t>Summon: Choco / Mog chocobo wing</t>
  </si>
  <si>
    <t>mogurida.p08</t>
  </si>
  <si>
    <t xml:space="preserve">fdad </t>
  </si>
  <si>
    <t>mogurida.p11</t>
  </si>
  <si>
    <t>Summon: Choco / Mog mog body</t>
  </si>
  <si>
    <t>mogurida.p12</t>
  </si>
  <si>
    <t>Summon: Choco / Mog mog head</t>
  </si>
  <si>
    <t>mogurida.p14</t>
  </si>
  <si>
    <t>Summon: Choco / Mog mogs bandana strip</t>
  </si>
  <si>
    <t>mogurida.p16</t>
  </si>
  <si>
    <t>mogurida.p18</t>
  </si>
  <si>
    <t>Summon: Choco / Mog mog ear</t>
  </si>
  <si>
    <t>mogurida.p20</t>
  </si>
  <si>
    <t>mogurida.p22</t>
  </si>
  <si>
    <t xml:space="preserve">aac.p </t>
  </si>
  <si>
    <t>Summon: Choco / Mog mog arm</t>
  </si>
  <si>
    <t xml:space="preserve">fdam </t>
  </si>
  <si>
    <t>mogurida.p23</t>
  </si>
  <si>
    <t>Summon: Choco / Mog mog forearm</t>
  </si>
  <si>
    <t>mogurida.p25</t>
  </si>
  <si>
    <t>Summon: Choco / Mog mog foot</t>
  </si>
  <si>
    <t>mogurida.p27</t>
  </si>
  <si>
    <t>mogurida.p29</t>
  </si>
  <si>
    <t>mogurida.p30</t>
  </si>
  <si>
    <t xml:space="preserve">aad.tex </t>
  </si>
  <si>
    <t>North crater barrier whole texture</t>
  </si>
  <si>
    <t xml:space="preserve">fdao </t>
  </si>
  <si>
    <t>mogurida.p32</t>
  </si>
  <si>
    <t>Summon: Choco / Mog mog wing</t>
  </si>
  <si>
    <t>mogurida.p34</t>
  </si>
  <si>
    <t>mogurida.p36</t>
  </si>
  <si>
    <t>Summon: Choco / Mog chocobo tigh</t>
  </si>
  <si>
    <t>mogurida.p37</t>
  </si>
  <si>
    <t>Summon: Choco / Mog chocobo leg part</t>
  </si>
  <si>
    <t>mogurida.p38</t>
  </si>
  <si>
    <t xml:space="preserve">aae.a </t>
  </si>
  <si>
    <t>North crater barrier static animation</t>
  </si>
  <si>
    <t>mogurida.p39</t>
  </si>
  <si>
    <t xml:space="preserve">fdap </t>
  </si>
  <si>
    <t>Summon: Choco / Mog chocobo back finger</t>
  </si>
  <si>
    <t xml:space="preserve">aba.hrc </t>
  </si>
  <si>
    <t>mogurida.p40</t>
  </si>
  <si>
    <t>Buggy</t>
  </si>
  <si>
    <t>Summon: Choco / Mog chocobo front fingers</t>
  </si>
  <si>
    <t>mogurida.p42</t>
  </si>
  <si>
    <t>mogurida.p43</t>
  </si>
  <si>
    <t>mogurida.p44</t>
  </si>
  <si>
    <t>mogurida.p45</t>
  </si>
  <si>
    <t xml:space="preserve">fdaq </t>
  </si>
  <si>
    <t xml:space="preserve">abb.rsd </t>
  </si>
  <si>
    <t>mogurida.p46</t>
  </si>
  <si>
    <t>Buggy: Back engine casing</t>
  </si>
  <si>
    <t>mogurida.t00</t>
  </si>
  <si>
    <t>Summon: Choco / Mog chocobo eye</t>
  </si>
  <si>
    <t>mogurida.t01</t>
  </si>
  <si>
    <t>Summon: Choco / Mog mogs bandana characters</t>
  </si>
  <si>
    <t>mogurida.t02</t>
  </si>
  <si>
    <t>Summon: Choco / Mog mog eye</t>
  </si>
  <si>
    <t>mogurida.t03</t>
  </si>
  <si>
    <t xml:space="preserve">abc.p </t>
  </si>
  <si>
    <t>moon.s</t>
  </si>
  <si>
    <t xml:space="preserve">fdas </t>
  </si>
  <si>
    <t>Limit: Red XIII howling moon moon</t>
  </si>
  <si>
    <t>moon.tex</t>
  </si>
  <si>
    <t>moon_1.s</t>
  </si>
  <si>
    <t>Summon: Odin moon</t>
  </si>
  <si>
    <t xml:space="preserve">abd.rsd </t>
  </si>
  <si>
    <t>moon_1.tex</t>
  </si>
  <si>
    <t>Buggy: Main body</t>
  </si>
  <si>
    <t xml:space="preserve">fdat </t>
  </si>
  <si>
    <t>mozi1.p</t>
  </si>
  <si>
    <t>Bad mouth character</t>
  </si>
  <si>
    <t>mozi1.rsd</t>
  </si>
  <si>
    <t>mozi2.p</t>
  </si>
  <si>
    <t>mozi2.rsd</t>
  </si>
  <si>
    <t xml:space="preserve">abe.p </t>
  </si>
  <si>
    <t>mozi3.p</t>
  </si>
  <si>
    <t xml:space="preserve">fdav </t>
  </si>
  <si>
    <t>mozi3.rsd</t>
  </si>
  <si>
    <t>mozi4.p</t>
  </si>
  <si>
    <t>mozi4.rsd</t>
  </si>
  <si>
    <t xml:space="preserve">aca.rsd </t>
  </si>
  <si>
    <t>mozi5.p</t>
  </si>
  <si>
    <t>Buggy: Back engine propeller</t>
  </si>
  <si>
    <t>mozi5.rsd</t>
  </si>
  <si>
    <t>myg.tex</t>
  </si>
  <si>
    <t>mytyg_1.p</t>
  </si>
  <si>
    <t xml:space="preserve">fdaw </t>
  </si>
  <si>
    <t>mytyg_1.rsd</t>
  </si>
  <si>
    <t>m_brake.s</t>
  </si>
  <si>
    <t xml:space="preserve">acb.p </t>
  </si>
  <si>
    <t>m_break.tex</t>
  </si>
  <si>
    <t>nadare1.p</t>
  </si>
  <si>
    <t>Avalanche</t>
  </si>
  <si>
    <t>nadare1.rsd</t>
  </si>
  <si>
    <t>name_1.s</t>
  </si>
  <si>
    <t xml:space="preserve">fdax </t>
  </si>
  <si>
    <t>name_1.tex</t>
  </si>
  <si>
    <t>napalm01.tex</t>
  </si>
  <si>
    <t xml:space="preserve">acc.rsd </t>
  </si>
  <si>
    <t>Buggy: Wheel 1</t>
  </si>
  <si>
    <t>napalm02.tex</t>
  </si>
  <si>
    <t>napalm03.tex</t>
  </si>
  <si>
    <t>nebula_1.tex</t>
  </si>
  <si>
    <t>Summon: Bahamut Zero space nebula</t>
  </si>
  <si>
    <t>nebula_2.tex</t>
  </si>
  <si>
    <t>nebula_3.tex</t>
  </si>
  <si>
    <t xml:space="preserve">fday </t>
  </si>
  <si>
    <t xml:space="preserve">acd.p </t>
  </si>
  <si>
    <t>nekkou.p</t>
  </si>
  <si>
    <t>nekkou.rsd</t>
  </si>
  <si>
    <t>nekkou.tex</t>
  </si>
  <si>
    <t>nemoto.p</t>
  </si>
  <si>
    <t>nemoto.rsd</t>
  </si>
  <si>
    <t xml:space="preserve">ace.rsd </t>
  </si>
  <si>
    <t>nemoto1.tex</t>
  </si>
  <si>
    <t xml:space="preserve">fdba </t>
  </si>
  <si>
    <t>Buggy: Wheel 2</t>
  </si>
  <si>
    <t>netsu.p</t>
  </si>
  <si>
    <t>netsu.rsd</t>
  </si>
  <si>
    <t>northe00.tex</t>
  </si>
  <si>
    <t>northe01.tex</t>
  </si>
  <si>
    <t>northe03.tex</t>
  </si>
  <si>
    <t xml:space="preserve">ada.p </t>
  </si>
  <si>
    <t xml:space="preserve">fdbb </t>
  </si>
  <si>
    <t>nova_1.s</t>
  </si>
  <si>
    <t>nova_1.tex</t>
  </si>
  <si>
    <t>nova_2.s</t>
  </si>
  <si>
    <t>nova_2.tex</t>
  </si>
  <si>
    <t>nova_3.p</t>
  </si>
  <si>
    <t>nova_3.rsd</t>
  </si>
  <si>
    <t xml:space="preserve">adb.rsd </t>
  </si>
  <si>
    <t>Buggy: Wheel 3</t>
  </si>
  <si>
    <t>nova_3.tex</t>
  </si>
  <si>
    <t xml:space="preserve">fdbc </t>
  </si>
  <si>
    <t>nozan.p</t>
  </si>
  <si>
    <t>Northern cross star</t>
  </si>
  <si>
    <t>nozan.rsd</t>
  </si>
  <si>
    <t>odin_gda.a00</t>
  </si>
  <si>
    <t>Summon: Odin</t>
  </si>
  <si>
    <t>Gungir variant</t>
  </si>
  <si>
    <t>odin_gda.b</t>
  </si>
  <si>
    <t xml:space="preserve">adc.p </t>
  </si>
  <si>
    <t>odin_gda.d</t>
  </si>
  <si>
    <t xml:space="preserve">fdbe </t>
  </si>
  <si>
    <t>odin_gda.p00</t>
  </si>
  <si>
    <t>Summon: Odin legs</t>
  </si>
  <si>
    <t>odin_gda.p01</t>
  </si>
  <si>
    <t>Summon: Odin chest</t>
  </si>
  <si>
    <t>odin_gda.p02</t>
  </si>
  <si>
    <t xml:space="preserve">add.rsd </t>
  </si>
  <si>
    <t>Summon: Odin head</t>
  </si>
  <si>
    <t>Buggy: Wheel 4</t>
  </si>
  <si>
    <t>odin_gda.p03</t>
  </si>
  <si>
    <t>Summon: Odin arm</t>
  </si>
  <si>
    <t xml:space="preserve">fdbf </t>
  </si>
  <si>
    <t>odin_gda.p05</t>
  </si>
  <si>
    <t>Summon: Odin forearm</t>
  </si>
  <si>
    <t>odin_gda.p06</t>
  </si>
  <si>
    <t>Summon: Odin hand</t>
  </si>
  <si>
    <t>odin_gda.p07</t>
  </si>
  <si>
    <t xml:space="preserve">ade.p </t>
  </si>
  <si>
    <t>Summon: Odin cape part</t>
  </si>
  <si>
    <t>odin_gda.p09</t>
  </si>
  <si>
    <t>odin_gda.p10</t>
  </si>
  <si>
    <t>odin_gda.p11</t>
  </si>
  <si>
    <t xml:space="preserve">fdbg </t>
  </si>
  <si>
    <t>odin_gda.p13</t>
  </si>
  <si>
    <t xml:space="preserve">aea.rsd </t>
  </si>
  <si>
    <t>Buggy: Water engines</t>
  </si>
  <si>
    <t>odin_gda.p14</t>
  </si>
  <si>
    <t>odin_gda.p15</t>
  </si>
  <si>
    <t>odin_gda.p17</t>
  </si>
  <si>
    <t>Summon: Odin full arm</t>
  </si>
  <si>
    <t>odin_gda.p19</t>
  </si>
  <si>
    <t xml:space="preserve">aeb.p </t>
  </si>
  <si>
    <t>Summon: Odin horse leg</t>
  </si>
  <si>
    <t xml:space="preserve">fdbi </t>
  </si>
  <si>
    <t>odin_gda.p20</t>
  </si>
  <si>
    <t>odin_gda.p21</t>
  </si>
  <si>
    <t>Summon: Odin horse hoof</t>
  </si>
  <si>
    <t>odin_gda.p23</t>
  </si>
  <si>
    <t>odin_gda.p24</t>
  </si>
  <si>
    <t xml:space="preserve">aec.rsd </t>
  </si>
  <si>
    <t>Buggy: Water engines propeller 1</t>
  </si>
  <si>
    <t>odin_gda.p25</t>
  </si>
  <si>
    <t xml:space="preserve">fdbj </t>
  </si>
  <si>
    <t>odin_gda.p27</t>
  </si>
  <si>
    <t>odin_gda.p28</t>
  </si>
  <si>
    <t>odin_gda.p29</t>
  </si>
  <si>
    <t xml:space="preserve">aed.p </t>
  </si>
  <si>
    <t>odin_gda.p31</t>
  </si>
  <si>
    <t>odin_gda.p32</t>
  </si>
  <si>
    <t xml:space="preserve">fdbk </t>
  </si>
  <si>
    <t>odin_gda.p33</t>
  </si>
  <si>
    <t>odin_gda.p34</t>
  </si>
  <si>
    <t>Summon: Odin horse neck</t>
  </si>
  <si>
    <t>odin_gda.p35</t>
  </si>
  <si>
    <t xml:space="preserve">aee.rsd </t>
  </si>
  <si>
    <t>Summon: Odin horse head</t>
  </si>
  <si>
    <t>odin_gda.p36</t>
  </si>
  <si>
    <t>Summon: Odin horse rear</t>
  </si>
  <si>
    <t>odin_gda.p38</t>
  </si>
  <si>
    <t>Summon: Odin horse back tigh</t>
  </si>
  <si>
    <t>odin_gda.p39</t>
  </si>
  <si>
    <t>Summon: Odin horse back leg</t>
  </si>
  <si>
    <t>odin_gda.p40</t>
  </si>
  <si>
    <t xml:space="preserve">afa.p </t>
  </si>
  <si>
    <t>odin_gda.p41</t>
  </si>
  <si>
    <t>odin_gda.p43</t>
  </si>
  <si>
    <t>odin_gda.p44</t>
  </si>
  <si>
    <t xml:space="preserve">fdda </t>
  </si>
  <si>
    <t>odin_gda.p45</t>
  </si>
  <si>
    <t xml:space="preserve">afb.rsd </t>
  </si>
  <si>
    <t>Buggy: Wheel 5</t>
  </si>
  <si>
    <t>odin_gda.p46</t>
  </si>
  <si>
    <t xml:space="preserve">feaa </t>
  </si>
  <si>
    <t>odin_gda.p47</t>
  </si>
  <si>
    <t>Summon: Odin horse tail</t>
  </si>
  <si>
    <t>Gi Spector: Battle Skeleton</t>
  </si>
  <si>
    <t>odin_zda.a00</t>
  </si>
  <si>
    <t>Sword variant</t>
  </si>
  <si>
    <t>odin_zda.b</t>
  </si>
  <si>
    <t xml:space="preserve">afc.p </t>
  </si>
  <si>
    <t>odin_zda.d</t>
  </si>
  <si>
    <t>odin_zda.p00</t>
  </si>
  <si>
    <t>odin_zda.p01</t>
  </si>
  <si>
    <t xml:space="preserve">feab </t>
  </si>
  <si>
    <t>Gi Spector: Unidentified Part</t>
  </si>
  <si>
    <t>odin_zda.p02</t>
  </si>
  <si>
    <t>odin_zda.p03</t>
  </si>
  <si>
    <t xml:space="preserve">afd.rsd </t>
  </si>
  <si>
    <t>Buggy: Wheel 6</t>
  </si>
  <si>
    <t>odin_zda.p05</t>
  </si>
  <si>
    <t xml:space="preserve">feac </t>
  </si>
  <si>
    <t>Gi Spector: Texture</t>
  </si>
  <si>
    <t>odin_zda.p07</t>
  </si>
  <si>
    <t>odin_zda.p08</t>
  </si>
  <si>
    <t>odin_zda.p09</t>
  </si>
  <si>
    <t xml:space="preserve">afe.p </t>
  </si>
  <si>
    <t>odin_zda.p11</t>
  </si>
  <si>
    <t>odin_zda.p12</t>
  </si>
  <si>
    <t xml:space="preserve">feam </t>
  </si>
  <si>
    <t>odin_zda.p13</t>
  </si>
  <si>
    <t>odin_zda.p15</t>
  </si>
  <si>
    <t>odin_zda.p16</t>
  </si>
  <si>
    <t xml:space="preserve">aga.rsd </t>
  </si>
  <si>
    <t>Buggy: Wheel 7</t>
  </si>
  <si>
    <t>odin_zda.p17</t>
  </si>
  <si>
    <t>Summon: Odin hand and sword</t>
  </si>
  <si>
    <t>odin_zda.p19</t>
  </si>
  <si>
    <t xml:space="preserve">feap </t>
  </si>
  <si>
    <t>odin_zda.p20</t>
  </si>
  <si>
    <t>odin_zda.p21</t>
  </si>
  <si>
    <t xml:space="preserve">agb.p </t>
  </si>
  <si>
    <t>odin_zda.p23</t>
  </si>
  <si>
    <t>odin_zda.p24</t>
  </si>
  <si>
    <t xml:space="preserve">feaq </t>
  </si>
  <si>
    <t>odin_zda.p25</t>
  </si>
  <si>
    <t>odin_zda.p27</t>
  </si>
  <si>
    <t xml:space="preserve">agc.rsd </t>
  </si>
  <si>
    <t>odin_zda.p28</t>
  </si>
  <si>
    <t>Buggy: Wheel 8</t>
  </si>
  <si>
    <t>odin_zda.p29</t>
  </si>
  <si>
    <t>odin_zda.p31</t>
  </si>
  <si>
    <t xml:space="preserve">fear </t>
  </si>
  <si>
    <t>odin_zda.p32</t>
  </si>
  <si>
    <t xml:space="preserve">agd.p </t>
  </si>
  <si>
    <t>odin_zda.p33</t>
  </si>
  <si>
    <t>odin_zda.p34</t>
  </si>
  <si>
    <t>odin_zda.p35</t>
  </si>
  <si>
    <t xml:space="preserve">feas </t>
  </si>
  <si>
    <t>odin_zda.p36</t>
  </si>
  <si>
    <t xml:space="preserve">age.a </t>
  </si>
  <si>
    <t>odin_zda.p38</t>
  </si>
  <si>
    <t>Buggy: Standby</t>
  </si>
  <si>
    <t>odin_zda.p39</t>
  </si>
  <si>
    <t xml:space="preserve">aha.a </t>
  </si>
  <si>
    <t>Buggy: Moving</t>
  </si>
  <si>
    <t>odin_zda.p40</t>
  </si>
  <si>
    <t xml:space="preserve">ahb.a </t>
  </si>
  <si>
    <t>Buggy: Lowering water engines</t>
  </si>
  <si>
    <t>odin_zda.p41</t>
  </si>
  <si>
    <t xml:space="preserve">ahc.a </t>
  </si>
  <si>
    <t>Buggy: Moving on water</t>
  </si>
  <si>
    <t xml:space="preserve">feav </t>
  </si>
  <si>
    <t>odin_zda.p43</t>
  </si>
  <si>
    <t xml:space="preserve">ahd.a </t>
  </si>
  <si>
    <t>Buggy: Raising water engines</t>
  </si>
  <si>
    <t>odin_zda.p44</t>
  </si>
  <si>
    <t xml:space="preserve">ahe.a </t>
  </si>
  <si>
    <t>Buggy: Moving in place</t>
  </si>
  <si>
    <t>odin_zda.p45</t>
  </si>
  <si>
    <t xml:space="preserve">aia.hrc </t>
  </si>
  <si>
    <t>Junon Canon</t>
  </si>
  <si>
    <t>odin_zda.p46</t>
  </si>
  <si>
    <t>odin_zda.p47</t>
  </si>
  <si>
    <t xml:space="preserve">feaw </t>
  </si>
  <si>
    <t>oil02.tex</t>
  </si>
  <si>
    <t>oil03.tex</t>
  </si>
  <si>
    <t>oil1.s</t>
  </si>
  <si>
    <t>oita.p</t>
  </si>
  <si>
    <t xml:space="preserve">aib.rsd </t>
  </si>
  <si>
    <t>Junon Cannon: whole model</t>
  </si>
  <si>
    <t>oita.rsd</t>
  </si>
  <si>
    <t>okuri1.tex</t>
  </si>
  <si>
    <t>okuri3.p</t>
  </si>
  <si>
    <t>okuri3.rsd</t>
  </si>
  <si>
    <t xml:space="preserve">feax </t>
  </si>
  <si>
    <t>okuri4.tex</t>
  </si>
  <si>
    <t>okuri5.p</t>
  </si>
  <si>
    <t xml:space="preserve">aic.p </t>
  </si>
  <si>
    <t>okuri5.rsd</t>
  </si>
  <si>
    <t>okuri5.tex</t>
  </si>
  <si>
    <t>okuri6.p</t>
  </si>
  <si>
    <t>okuri6.rsd</t>
  </si>
  <si>
    <t>okuri6.tex</t>
  </si>
  <si>
    <t>one.s</t>
  </si>
  <si>
    <t xml:space="preserve">feay </t>
  </si>
  <si>
    <t>onpu.s</t>
  </si>
  <si>
    <t xml:space="preserve">aid.tex </t>
  </si>
  <si>
    <t>onpu1.s</t>
  </si>
  <si>
    <t>Junon Cannon whole texture</t>
  </si>
  <si>
    <t>onsen.s</t>
  </si>
  <si>
    <t>onsen.tex</t>
  </si>
  <si>
    <t>osen.s</t>
  </si>
  <si>
    <t>osen_a01.tex</t>
  </si>
  <si>
    <t>osen_a02.tex</t>
  </si>
  <si>
    <t xml:space="preserve">feaz </t>
  </si>
  <si>
    <t>osen_a03.tex</t>
  </si>
  <si>
    <t xml:space="preserve">aie.a </t>
  </si>
  <si>
    <t>Junon Cannon: Static animation</t>
  </si>
  <si>
    <t>partic_1.p</t>
  </si>
  <si>
    <t>Summon: Shiva ice shard</t>
  </si>
  <si>
    <t xml:space="preserve">aja.hrc </t>
  </si>
  <si>
    <t>partic_1.rsd</t>
  </si>
  <si>
    <t>Uncolored Chocobo</t>
  </si>
  <si>
    <t>partic_2.p</t>
  </si>
  <si>
    <t>partic_2.rsd</t>
  </si>
  <si>
    <t xml:space="preserve">feba </t>
  </si>
  <si>
    <t>pheonixd.a00</t>
  </si>
  <si>
    <t>Summon: Phoenix</t>
  </si>
  <si>
    <t>pheonixd.b</t>
  </si>
  <si>
    <t xml:space="preserve">ajb.rsd </t>
  </si>
  <si>
    <t>pheonixd.d</t>
  </si>
  <si>
    <t>pheonixd.p00</t>
  </si>
  <si>
    <t>Summon: Phoenix body</t>
  </si>
  <si>
    <t>pheonixd.p02</t>
  </si>
  <si>
    <t>Summon: Phoenix wing stripes part</t>
  </si>
  <si>
    <t>pheonixd.p03</t>
  </si>
  <si>
    <t xml:space="preserve">ajc.p </t>
  </si>
  <si>
    <t>pheonixd.p04</t>
  </si>
  <si>
    <t>pheonixd.p05</t>
  </si>
  <si>
    <t>Summon: Phoenix wing part</t>
  </si>
  <si>
    <t>pheonixd.p06</t>
  </si>
  <si>
    <t xml:space="preserve">febb </t>
  </si>
  <si>
    <t>pheonixd.p07</t>
  </si>
  <si>
    <t>pheonixd.p08</t>
  </si>
  <si>
    <t xml:space="preserve">ajd.rsd </t>
  </si>
  <si>
    <t>Summon: Phoenix neck</t>
  </si>
  <si>
    <t>Chocobo: Right Wing</t>
  </si>
  <si>
    <t>pheonixd.p09</t>
  </si>
  <si>
    <t>Summon: Phoenix head</t>
  </si>
  <si>
    <t>pheonixd.p11</t>
  </si>
  <si>
    <t>pheonixd.p12</t>
  </si>
  <si>
    <t xml:space="preserve">febd </t>
  </si>
  <si>
    <t>pheonixd.p13</t>
  </si>
  <si>
    <t xml:space="preserve">aje.p </t>
  </si>
  <si>
    <t>pheonixd.p14</t>
  </si>
  <si>
    <t>pheonixd.p15</t>
  </si>
  <si>
    <t>pheonixd.p16</t>
  </si>
  <si>
    <t>pheonixd.p18</t>
  </si>
  <si>
    <t>Summon: Phoenix tigh</t>
  </si>
  <si>
    <t xml:space="preserve">febe </t>
  </si>
  <si>
    <t xml:space="preserve">aka.rsd </t>
  </si>
  <si>
    <t>pheonixd.p19</t>
  </si>
  <si>
    <t>Summon: Phoenix leg</t>
  </si>
  <si>
    <t>pheonixd.p20</t>
  </si>
  <si>
    <t>Summon: Phoenix foot</t>
  </si>
  <si>
    <t>pheonixd.p22</t>
  </si>
  <si>
    <t>Summon: Phoenix small side tail part</t>
  </si>
  <si>
    <t>pheonixd.p23</t>
  </si>
  <si>
    <t>pheonixd.p24</t>
  </si>
  <si>
    <t xml:space="preserve">febf </t>
  </si>
  <si>
    <t xml:space="preserve">akb.p </t>
  </si>
  <si>
    <t>pheonixd.p25</t>
  </si>
  <si>
    <t>pheonixd.p26</t>
  </si>
  <si>
    <t>pheonixd.p27</t>
  </si>
  <si>
    <t xml:space="preserve">febh </t>
  </si>
  <si>
    <t>pheonixd.p28</t>
  </si>
  <si>
    <t>Summon: Phoenix main tail part</t>
  </si>
  <si>
    <t>pheonixd.p29</t>
  </si>
  <si>
    <t>Summon: Phoenix main tail small sub tail 1 part</t>
  </si>
  <si>
    <t>pheonixd.p30</t>
  </si>
  <si>
    <t>pheonixd.p31</t>
  </si>
  <si>
    <t xml:space="preserve">akc.rsd </t>
  </si>
  <si>
    <t>Summon: Phoenix main tail small sub tail 2 part</t>
  </si>
  <si>
    <t xml:space="preserve">febi </t>
  </si>
  <si>
    <t>Chocobo: Face</t>
  </si>
  <si>
    <t>pheonixd.p32</t>
  </si>
  <si>
    <t>pheonixd.p33</t>
  </si>
  <si>
    <t>Summon: Phoenix main tail small sub tail 3 part</t>
  </si>
  <si>
    <t>pheonixd.p34</t>
  </si>
  <si>
    <t>pheonixd.p35</t>
  </si>
  <si>
    <t>Summon: Phoenix main tail small sub tail 4 part</t>
  </si>
  <si>
    <t xml:space="preserve">akd.p </t>
  </si>
  <si>
    <t>pheonixd.p36</t>
  </si>
  <si>
    <t>pheonixd.p37</t>
  </si>
  <si>
    <t xml:space="preserve">febj </t>
  </si>
  <si>
    <t>pheonixd.p38</t>
  </si>
  <si>
    <t>pheonixd.p39</t>
  </si>
  <si>
    <t>pheonixd.p40</t>
  </si>
  <si>
    <t xml:space="preserve">ake.rsd </t>
  </si>
  <si>
    <t>pheonixd.p41</t>
  </si>
  <si>
    <t>pheonixd.p42</t>
  </si>
  <si>
    <t>pheonixd.p44</t>
  </si>
  <si>
    <t xml:space="preserve">febk </t>
  </si>
  <si>
    <t>pheonixd.p45</t>
  </si>
  <si>
    <t>pheonixd.p46</t>
  </si>
  <si>
    <t xml:space="preserve">ala.p </t>
  </si>
  <si>
    <t>pillar1.lmd</t>
  </si>
  <si>
    <t>pillar_1.rsd</t>
  </si>
  <si>
    <t>pink.s</t>
  </si>
  <si>
    <t xml:space="preserve">febl </t>
  </si>
  <si>
    <t>pink00.tex</t>
  </si>
  <si>
    <t>plazma.tex</t>
  </si>
  <si>
    <t>plazma_1.s</t>
  </si>
  <si>
    <t xml:space="preserve">alb.rsd </t>
  </si>
  <si>
    <t>plazma_1.tex</t>
  </si>
  <si>
    <t>plazma_2.s</t>
  </si>
  <si>
    <t>plazma_2.tex</t>
  </si>
  <si>
    <t>pluto_1.p</t>
  </si>
  <si>
    <t xml:space="preserve">febn </t>
  </si>
  <si>
    <t>pluto_1.rsd</t>
  </si>
  <si>
    <t>872 Bytes</t>
  </si>
  <si>
    <t>pluto_1.tex</t>
  </si>
  <si>
    <t>power_2.p</t>
  </si>
  <si>
    <t xml:space="preserve">alc.p </t>
  </si>
  <si>
    <t>power_2.rsd</t>
  </si>
  <si>
    <t>puddle_1.p</t>
  </si>
  <si>
    <t>puddle_1.rsd</t>
  </si>
  <si>
    <t>pulse1.tex</t>
  </si>
  <si>
    <t xml:space="preserve">febo </t>
  </si>
  <si>
    <t>pulse2.tex</t>
  </si>
  <si>
    <t>700 Bytes</t>
  </si>
  <si>
    <t>p_n1.p</t>
  </si>
  <si>
    <t>p_n1.rsd</t>
  </si>
  <si>
    <t xml:space="preserve">ald.rsd </t>
  </si>
  <si>
    <t>p_n2.p</t>
  </si>
  <si>
    <t>p_n2.rsd</t>
  </si>
  <si>
    <t>quasar03.tex</t>
  </si>
  <si>
    <t>queig00.tex</t>
  </si>
  <si>
    <t>queig01.tex</t>
  </si>
  <si>
    <t>queig_1.rsd</t>
  </si>
  <si>
    <t xml:space="preserve">febp </t>
  </si>
  <si>
    <t xml:space="preserve">ale.p </t>
  </si>
  <si>
    <t>queir.p</t>
  </si>
  <si>
    <t>queir.rsd</t>
  </si>
  <si>
    <t>queir_1.tex</t>
  </si>
  <si>
    <t>Quake1</t>
  </si>
  <si>
    <t>q_kets01.tex</t>
  </si>
  <si>
    <t>q_kets02.tex</t>
  </si>
  <si>
    <t>q_kets03.tex</t>
  </si>
  <si>
    <t>q_shu01.tex</t>
  </si>
  <si>
    <t xml:space="preserve">ama.rsd </t>
  </si>
  <si>
    <t xml:space="preserve">febq </t>
  </si>
  <si>
    <t>q_shu02.tex</t>
  </si>
  <si>
    <t>856 Bytes</t>
  </si>
  <si>
    <t>Chocobo: Right Leg (still with 'feathers')</t>
  </si>
  <si>
    <t>q_shu03.tex</t>
  </si>
  <si>
    <t>rainbow.p</t>
  </si>
  <si>
    <t>Summon: Phoenix rainbow</t>
  </si>
  <si>
    <t>rainbow.rsd</t>
  </si>
  <si>
    <t>rakuse00.tex</t>
  </si>
  <si>
    <t>rakuse01.tex</t>
  </si>
  <si>
    <t xml:space="preserve">amb.p </t>
  </si>
  <si>
    <t xml:space="preserve">febs </t>
  </si>
  <si>
    <t>reazer.s</t>
  </si>
  <si>
    <t>reazer.tex</t>
  </si>
  <si>
    <t>renzok00.tex</t>
  </si>
  <si>
    <t>resist.tex</t>
  </si>
  <si>
    <t>reza.p</t>
  </si>
  <si>
    <t>reza.rsd</t>
  </si>
  <si>
    <t xml:space="preserve">amc.rsd </t>
  </si>
  <si>
    <t>rifrek.p</t>
  </si>
  <si>
    <t>Chocobo: Right Upper Leg</t>
  </si>
  <si>
    <t xml:space="preserve">febt </t>
  </si>
  <si>
    <t>Reflect</t>
  </si>
  <si>
    <t>rifrek.rsd</t>
  </si>
  <si>
    <t>ring.p</t>
  </si>
  <si>
    <t>ring.rsd</t>
  </si>
  <si>
    <t>ring1.p</t>
  </si>
  <si>
    <t xml:space="preserve">amd.p </t>
  </si>
  <si>
    <t>ring1.rsd</t>
  </si>
  <si>
    <t>ring_3.p</t>
  </si>
  <si>
    <t>ring_3.rsd</t>
  </si>
  <si>
    <t xml:space="preserve">febv </t>
  </si>
  <si>
    <t>ring_a.tex</t>
  </si>
  <si>
    <t>ripple_1.tex</t>
  </si>
  <si>
    <t>rivadat.a00</t>
  </si>
  <si>
    <t>Summon: Leviathan</t>
  </si>
  <si>
    <t xml:space="preserve">ame.rsd </t>
  </si>
  <si>
    <t>rivadat.b</t>
  </si>
  <si>
    <t>Chocobo: Right Lower leg</t>
  </si>
  <si>
    <t>rivadat.d</t>
  </si>
  <si>
    <t xml:space="preserve">febw </t>
  </si>
  <si>
    <t>rivadat.p00</t>
  </si>
  <si>
    <t>Summon: Leviathan body part</t>
  </si>
  <si>
    <t>rivadat.p01</t>
  </si>
  <si>
    <t>rivadat.p02</t>
  </si>
  <si>
    <t>rivadat.p03</t>
  </si>
  <si>
    <t xml:space="preserve">ana.p </t>
  </si>
  <si>
    <t>rivadat.p04</t>
  </si>
  <si>
    <t xml:space="preserve">feby </t>
  </si>
  <si>
    <t>rivadat.p05</t>
  </si>
  <si>
    <t>rivadat.p06</t>
  </si>
  <si>
    <t>Summon: Leviathan neck</t>
  </si>
  <si>
    <t>rivadat.p07</t>
  </si>
  <si>
    <t>Summon: Leviathan head</t>
  </si>
  <si>
    <t xml:space="preserve">anb.rsd </t>
  </si>
  <si>
    <t>rivadat.p08</t>
  </si>
  <si>
    <t>Chocobo: Right foot Back claw</t>
  </si>
  <si>
    <t>Summon: Leviathan jaw</t>
  </si>
  <si>
    <t>rivadat.p10</t>
  </si>
  <si>
    <t xml:space="preserve">febz </t>
  </si>
  <si>
    <t>Summon: Leviathan whisker part</t>
  </si>
  <si>
    <t>rivadat.p11</t>
  </si>
  <si>
    <t>rivadat.p12</t>
  </si>
  <si>
    <t>rivadat.p13</t>
  </si>
  <si>
    <t xml:space="preserve">anc.p </t>
  </si>
  <si>
    <t>rivadat.p14</t>
  </si>
  <si>
    <t>rivadat.p15</t>
  </si>
  <si>
    <t xml:space="preserve">feda </t>
  </si>
  <si>
    <t>rivadat.p17</t>
  </si>
  <si>
    <t>rivadat.p18</t>
  </si>
  <si>
    <t xml:space="preserve">ffaa </t>
  </si>
  <si>
    <t>Sneaky Step:Battle Skeleton</t>
  </si>
  <si>
    <t xml:space="preserve">and.rsd </t>
  </si>
  <si>
    <t>rivadat.p19</t>
  </si>
  <si>
    <t>Chocobo: Right foot front finger 1</t>
  </si>
  <si>
    <t>rivadat.p20</t>
  </si>
  <si>
    <t>rivadat.p21</t>
  </si>
  <si>
    <t>rivadat.p22</t>
  </si>
  <si>
    <t>rivadat.p24</t>
  </si>
  <si>
    <t>Zenene clone 1 (claa)</t>
  </si>
  <si>
    <t>Summon: Leviathan neck fin</t>
  </si>
  <si>
    <t xml:space="preserve">ffab </t>
  </si>
  <si>
    <t>rivadat.p26</t>
  </si>
  <si>
    <t xml:space="preserve">ane.p </t>
  </si>
  <si>
    <t>Sneaky Step: Unidentified Part</t>
  </si>
  <si>
    <t>rivadat.p28</t>
  </si>
  <si>
    <t>Summon: Leviathan body fin</t>
  </si>
  <si>
    <t xml:space="preserve">ffac </t>
  </si>
  <si>
    <t>301 Bytes</t>
  </si>
  <si>
    <t>rivadat.p30</t>
  </si>
  <si>
    <t>Sneaky Step: Texture</t>
  </si>
  <si>
    <t>rivadat.p31</t>
  </si>
  <si>
    <t>rivadat.p32</t>
  </si>
  <si>
    <t xml:space="preserve">aoa.rsd </t>
  </si>
  <si>
    <t>rivadat.p33</t>
  </si>
  <si>
    <t>Chocobo: Right foot front finger 1 claw</t>
  </si>
  <si>
    <t>rivadat.p34</t>
  </si>
  <si>
    <t xml:space="preserve">ffam </t>
  </si>
  <si>
    <t>rivadat.p35</t>
  </si>
  <si>
    <t>rivadat.p36</t>
  </si>
  <si>
    <t xml:space="preserve">aob.p </t>
  </si>
  <si>
    <t>rivadat.p37</t>
  </si>
  <si>
    <t>rivadat.p38</t>
  </si>
  <si>
    <t>rivadat.p39</t>
  </si>
  <si>
    <t xml:space="preserve">ffao </t>
  </si>
  <si>
    <t>rivadat.p40</t>
  </si>
  <si>
    <t>rivadat.p41</t>
  </si>
  <si>
    <t>Summon: Leviathan tail part</t>
  </si>
  <si>
    <t xml:space="preserve">aoc.rsd </t>
  </si>
  <si>
    <t>rivadat.p42</t>
  </si>
  <si>
    <t>Chocobo: Right foot front finger 2</t>
  </si>
  <si>
    <t>rivadat.p43</t>
  </si>
  <si>
    <t>rivadat.p44</t>
  </si>
  <si>
    <t xml:space="preserve">ffap </t>
  </si>
  <si>
    <t>rivadat.p45</t>
  </si>
  <si>
    <t>rivadat.t00</t>
  </si>
  <si>
    <t xml:space="preserve">aod.p </t>
  </si>
  <si>
    <t>Summon: Leviathan skin tattoos</t>
  </si>
  <si>
    <t>rivadat.t01</t>
  </si>
  <si>
    <t>rivadat.t02</t>
  </si>
  <si>
    <t>rivadat.t03</t>
  </si>
  <si>
    <t xml:space="preserve">ffaq </t>
  </si>
  <si>
    <t>rivadat.t04</t>
  </si>
  <si>
    <t>rivadat.t05</t>
  </si>
  <si>
    <t xml:space="preserve">aoe.rsd </t>
  </si>
  <si>
    <t>Chocobo: Right foot front finger 2 claw</t>
  </si>
  <si>
    <t>rivadat.t06</t>
  </si>
  <si>
    <t>rivadat.t07</t>
  </si>
  <si>
    <t>rivadat.t08</t>
  </si>
  <si>
    <t>rivadat.t09</t>
  </si>
  <si>
    <t xml:space="preserve">ffar </t>
  </si>
  <si>
    <t>rivadat.t10</t>
  </si>
  <si>
    <t xml:space="preserve">apa.p </t>
  </si>
  <si>
    <t>rivadat.t11</t>
  </si>
  <si>
    <t>rock.rsd</t>
  </si>
  <si>
    <t>Summon: Ramuh hill</t>
  </si>
  <si>
    <t>rock.tex</t>
  </si>
  <si>
    <t>rocket01.tex</t>
  </si>
  <si>
    <t xml:space="preserve">apb.rsd </t>
  </si>
  <si>
    <t>rocket02.tex</t>
  </si>
  <si>
    <t>Chocobo: Left Leg (still with 'feathers')</t>
  </si>
  <si>
    <t xml:space="preserve">ffat </t>
  </si>
  <si>
    <t>rocket03.tex</t>
  </si>
  <si>
    <t>rocks.s</t>
  </si>
  <si>
    <t>rock_c.tex</t>
  </si>
  <si>
    <t>rod01.p</t>
  </si>
  <si>
    <t>Aeris staff: Guard stick</t>
  </si>
  <si>
    <t>rod01.rsd</t>
  </si>
  <si>
    <t xml:space="preserve">apc.p </t>
  </si>
  <si>
    <t>rod02.p</t>
  </si>
  <si>
    <t xml:space="preserve">ffau </t>
  </si>
  <si>
    <t>Aeris staff: Mythril rod</t>
  </si>
  <si>
    <t>rod02.rsd</t>
  </si>
  <si>
    <t>rod03.p</t>
  </si>
  <si>
    <t>Aeris staff: Full metal staff</t>
  </si>
  <si>
    <t>rod03.rsd</t>
  </si>
  <si>
    <t>rod04.p</t>
  </si>
  <si>
    <t xml:space="preserve">apd.rsd </t>
  </si>
  <si>
    <t>Aeris staff: Striking staff</t>
  </si>
  <si>
    <t>Chocobo: Left Upper Leg</t>
  </si>
  <si>
    <t>rod04.rsd</t>
  </si>
  <si>
    <t xml:space="preserve">ffav </t>
  </si>
  <si>
    <t>rod05.p</t>
  </si>
  <si>
    <t>Aeris staff: Prism staff</t>
  </si>
  <si>
    <t xml:space="preserve">ape.p </t>
  </si>
  <si>
    <t xml:space="preserve">ffaw </t>
  </si>
  <si>
    <t>rod05.rsd</t>
  </si>
  <si>
    <t xml:space="preserve">aqa.rsd </t>
  </si>
  <si>
    <t>rod06.p</t>
  </si>
  <si>
    <t>Chocobo: Left Lower leg</t>
  </si>
  <si>
    <t>Aeris staff: Aurora rod</t>
  </si>
  <si>
    <t>rod06.rsd</t>
  </si>
  <si>
    <t xml:space="preserve">ffax </t>
  </si>
  <si>
    <t>rod07.p</t>
  </si>
  <si>
    <t>Aeris staff: Wizard staff</t>
  </si>
  <si>
    <t>rod07.rsd</t>
  </si>
  <si>
    <t>rod08.p</t>
  </si>
  <si>
    <t>Aeris staff: Wizer staff</t>
  </si>
  <si>
    <t xml:space="preserve">aqb.p </t>
  </si>
  <si>
    <t>rod08.rsd</t>
  </si>
  <si>
    <t>rod09.p</t>
  </si>
  <si>
    <t>Aeris staff: Fairy tale</t>
  </si>
  <si>
    <t>rod09.rsd</t>
  </si>
  <si>
    <t xml:space="preserve">ffay </t>
  </si>
  <si>
    <t>rod10.p</t>
  </si>
  <si>
    <t>Aeris staff: Umbrella</t>
  </si>
  <si>
    <t>rod10.rsd</t>
  </si>
  <si>
    <t xml:space="preserve">aqc.rsd </t>
  </si>
  <si>
    <t>Chocobo: Left foot Back claw</t>
  </si>
  <si>
    <t>rod11.p</t>
  </si>
  <si>
    <t>Aeris staff: Princess guard</t>
  </si>
  <si>
    <t>rod11.rsd</t>
  </si>
  <si>
    <t>rope_1.p</t>
  </si>
  <si>
    <t xml:space="preserve">ffaz </t>
  </si>
  <si>
    <t>rope_1.rsd</t>
  </si>
  <si>
    <t>ryuushi.s</t>
  </si>
  <si>
    <t xml:space="preserve">aqd.p </t>
  </si>
  <si>
    <t>r_fin.p</t>
  </si>
  <si>
    <t>r_fin.rsd</t>
  </si>
  <si>
    <t>sarchi33.p</t>
  </si>
  <si>
    <t>sarchi33.rsd</t>
  </si>
  <si>
    <t>satan_a.lmd</t>
  </si>
  <si>
    <t>satan_a.rsd</t>
  </si>
  <si>
    <t xml:space="preserve">aqe.rsd </t>
  </si>
  <si>
    <t>satan_b.lmd</t>
  </si>
  <si>
    <t>Chocobo: Left foot front finger 1</t>
  </si>
  <si>
    <t>satan_b.rsd</t>
  </si>
  <si>
    <t>saturn_1.p</t>
  </si>
  <si>
    <t xml:space="preserve">ffbb </t>
  </si>
  <si>
    <t>saturn_1.rsd</t>
  </si>
  <si>
    <t>saturn_1.tex</t>
  </si>
  <si>
    <t>saturn_2.p</t>
  </si>
  <si>
    <t xml:space="preserve">ara.p </t>
  </si>
  <si>
    <t>saturn_2.rsd</t>
  </si>
  <si>
    <t>saturn_2.tex</t>
  </si>
  <si>
    <t>sazan.p</t>
  </si>
  <si>
    <t>Southern cross star</t>
  </si>
  <si>
    <t>sazan.rsd</t>
  </si>
  <si>
    <t xml:space="preserve">ffbd </t>
  </si>
  <si>
    <t>sbeam.p</t>
  </si>
  <si>
    <t>sbeam.rsd</t>
  </si>
  <si>
    <t>script-1.script</t>
  </si>
  <si>
    <t xml:space="preserve">arb.rsd </t>
  </si>
  <si>
    <t>seald.p</t>
  </si>
  <si>
    <t>Chocobo: Left foot front finger 1 claw</t>
  </si>
  <si>
    <t>Shield</t>
  </si>
  <si>
    <t>seald.rsd</t>
  </si>
  <si>
    <t>seald.tex</t>
  </si>
  <si>
    <t xml:space="preserve">ffbe </t>
  </si>
  <si>
    <t>seald2.p</t>
  </si>
  <si>
    <t>seald2.rsd</t>
  </si>
  <si>
    <t xml:space="preserve">arc.p </t>
  </si>
  <si>
    <t>seald_1.tex</t>
  </si>
  <si>
    <t>seald_2.tex</t>
  </si>
  <si>
    <t>Shield light</t>
  </si>
  <si>
    <t>senkou2.p</t>
  </si>
  <si>
    <t>senkou2.rsd</t>
  </si>
  <si>
    <t xml:space="preserve">ffbf </t>
  </si>
  <si>
    <t>shaku00.tex</t>
  </si>
  <si>
    <t xml:space="preserve">ard.rsd </t>
  </si>
  <si>
    <t>Chocobo: Left foot front finger 2</t>
  </si>
  <si>
    <t>shaku03.tex</t>
  </si>
  <si>
    <t>shine_1.p</t>
  </si>
  <si>
    <t>shine_1.rsd</t>
  </si>
  <si>
    <t>shining.s</t>
  </si>
  <si>
    <t>shisui.s</t>
  </si>
  <si>
    <t>shisui.tex</t>
  </si>
  <si>
    <t xml:space="preserve">ffbh </t>
  </si>
  <si>
    <t xml:space="preserve">are.p </t>
  </si>
  <si>
    <t>shougeki.p</t>
  </si>
  <si>
    <t>shougeki.rsd</t>
  </si>
  <si>
    <t>shpere_2.p</t>
  </si>
  <si>
    <t>shpere_2.rsd</t>
  </si>
  <si>
    <t>shuriken01.p</t>
  </si>
  <si>
    <t>Yuffie shuriken: 4-point shuriken</t>
  </si>
  <si>
    <t>shuriken01.rsd</t>
  </si>
  <si>
    <t xml:space="preserve">asa.rsd </t>
  </si>
  <si>
    <t>shuriken02.p</t>
  </si>
  <si>
    <t>Chocobo: Left foot front finger 2 claw</t>
  </si>
  <si>
    <t>Yuffie shuriken: Boomerang</t>
  </si>
  <si>
    <t xml:space="preserve">ffbj </t>
  </si>
  <si>
    <t>shuriken02.rsd</t>
  </si>
  <si>
    <t>shuriken03.p</t>
  </si>
  <si>
    <t>Yuffie shuriken: Pinwheel</t>
  </si>
  <si>
    <t>shuriken03.rsd</t>
  </si>
  <si>
    <t>shuriken04.p</t>
  </si>
  <si>
    <t>Yuffie shuriken: Razor ring</t>
  </si>
  <si>
    <t>shuriken04.rsd</t>
  </si>
  <si>
    <t xml:space="preserve">asb.p </t>
  </si>
  <si>
    <t xml:space="preserve">ffbk </t>
  </si>
  <si>
    <t>shuriken05.p</t>
  </si>
  <si>
    <t>Yuffie shuriken: Hawkeye</t>
  </si>
  <si>
    <t>shuriken05.rsd</t>
  </si>
  <si>
    <t>shuriken06.p</t>
  </si>
  <si>
    <t>Yuffie shuriken: Crystal cross</t>
  </si>
  <si>
    <t>shuriken06.rsd</t>
  </si>
  <si>
    <t>shuriken07.p</t>
  </si>
  <si>
    <t xml:space="preserve">asc.a </t>
  </si>
  <si>
    <t xml:space="preserve">ffbl </t>
  </si>
  <si>
    <t>Yuffie shuriken: Wind slash</t>
  </si>
  <si>
    <t>shuriken07.rsd</t>
  </si>
  <si>
    <t xml:space="preserve">asd.a </t>
  </si>
  <si>
    <t>Chocobo: Running</t>
  </si>
  <si>
    <t xml:space="preserve">ase.a </t>
  </si>
  <si>
    <t>Chocobo: Moving head upwards</t>
  </si>
  <si>
    <t>shuriken08.p</t>
  </si>
  <si>
    <t>Yuffie shuriken: Twin viper</t>
  </si>
  <si>
    <t xml:space="preserve">ata.hrc </t>
  </si>
  <si>
    <t>shuriken08.rsd</t>
  </si>
  <si>
    <t>shuriken09.p</t>
  </si>
  <si>
    <t>Yuffie shuriken: Spiral shuriken</t>
  </si>
  <si>
    <t>shuriken09.rsd</t>
  </si>
  <si>
    <t>shuriken10.p</t>
  </si>
  <si>
    <t>Yuffie shuriken: Superball</t>
  </si>
  <si>
    <t xml:space="preserve">ffbn </t>
  </si>
  <si>
    <t>shuriken10.rsd</t>
  </si>
  <si>
    <t>shuriken11.p</t>
  </si>
  <si>
    <t>Yuffie shuriken: Magic shuriken</t>
  </si>
  <si>
    <t>shuriken11.rsd</t>
  </si>
  <si>
    <t>shuriken12.p</t>
  </si>
  <si>
    <t>Yuffie shuriken: Rising sun</t>
  </si>
  <si>
    <t xml:space="preserve">ffbo </t>
  </si>
  <si>
    <t>shuriken12.rsd</t>
  </si>
  <si>
    <t>shuriken13.p</t>
  </si>
  <si>
    <t>Yuffie shuriken: Oritsuru</t>
  </si>
  <si>
    <t xml:space="preserve">atb.rsd </t>
  </si>
  <si>
    <t>shuriken13.rsd</t>
  </si>
  <si>
    <t>shuriken14.p</t>
  </si>
  <si>
    <t>Yuffie shuriken: Conformer</t>
  </si>
  <si>
    <t>shuriken14.rsd</t>
  </si>
  <si>
    <t>site.p</t>
  </si>
  <si>
    <t xml:space="preserve">ffbp </t>
  </si>
  <si>
    <t>site.rsd</t>
  </si>
  <si>
    <t>siva02.tex</t>
  </si>
  <si>
    <t>Summon: Shiva snow and sparks</t>
  </si>
  <si>
    <t xml:space="preserve">atc.p </t>
  </si>
  <si>
    <t>siva03.tex</t>
  </si>
  <si>
    <t>Summon: Shiva smoke</t>
  </si>
  <si>
    <t>sky2.tex</t>
  </si>
  <si>
    <t>sky_1.p</t>
  </si>
  <si>
    <t>sky_1.rsd</t>
  </si>
  <si>
    <t>sky_1.tex</t>
  </si>
  <si>
    <t xml:space="preserve">ffbq </t>
  </si>
  <si>
    <t>sky_2.s</t>
  </si>
  <si>
    <t>Summon: Typhoon sky</t>
  </si>
  <si>
    <t xml:space="preserve">atd.rsd </t>
  </si>
  <si>
    <t>sky_2.tex</t>
  </si>
  <si>
    <t>sky_a.lmd</t>
  </si>
  <si>
    <t>sky_b.p</t>
  </si>
  <si>
    <t>sky_b.tex</t>
  </si>
  <si>
    <t>sky_c.lmd</t>
  </si>
  <si>
    <t>sld_fang.s</t>
  </si>
  <si>
    <t xml:space="preserve">ffbr </t>
  </si>
  <si>
    <t xml:space="preserve">ate.p </t>
  </si>
  <si>
    <t>sld_fang.tex</t>
  </si>
  <si>
    <t>slipl.p</t>
  </si>
  <si>
    <t>Sleep star</t>
  </si>
  <si>
    <t>slipl.rsd</t>
  </si>
  <si>
    <t>slipll_4.tex</t>
  </si>
  <si>
    <t>slipl_1.tex</t>
  </si>
  <si>
    <t>slipl_2.tex</t>
  </si>
  <si>
    <t xml:space="preserve">atn.tbl </t>
  </si>
  <si>
    <t xml:space="preserve">ffbs </t>
  </si>
  <si>
    <t>slipl_3.tex</t>
  </si>
  <si>
    <t xml:space="preserve">aua.rsd </t>
  </si>
  <si>
    <t>slmoke_1.tex</t>
  </si>
  <si>
    <t>slou.tex</t>
  </si>
  <si>
    <t>Slow clock</t>
  </si>
  <si>
    <t>slou1.p</t>
  </si>
  <si>
    <t>slou1.rsd</t>
  </si>
  <si>
    <t>smkball.tex</t>
  </si>
  <si>
    <t xml:space="preserve">ffda </t>
  </si>
  <si>
    <t>Smoke ball smoke</t>
  </si>
  <si>
    <t>smog.s</t>
  </si>
  <si>
    <t xml:space="preserve">fgaa </t>
  </si>
  <si>
    <t>smog03.tex</t>
  </si>
  <si>
    <t>Heg: Battle Skeleton</t>
  </si>
  <si>
    <t>smoke.p</t>
  </si>
  <si>
    <t xml:space="preserve">aub.p </t>
  </si>
  <si>
    <t>smoke.rsd</t>
  </si>
  <si>
    <t>smoke1.tex</t>
  </si>
  <si>
    <t>smoke1b.s</t>
  </si>
  <si>
    <t>smoke2.tex</t>
  </si>
  <si>
    <t>Crawler clone 1 (dfaa)</t>
  </si>
  <si>
    <t>smoke3.tex</t>
  </si>
  <si>
    <t xml:space="preserve">fgab </t>
  </si>
  <si>
    <t>smoke_10.tex</t>
  </si>
  <si>
    <t>Heg: Unidentified Part</t>
  </si>
  <si>
    <t>Summon: Typhoon air smoke</t>
  </si>
  <si>
    <t xml:space="preserve">auc.tex </t>
  </si>
  <si>
    <t>smoke_11.tex</t>
  </si>
  <si>
    <t xml:space="preserve">fgam </t>
  </si>
  <si>
    <t>smoke_12.tex</t>
  </si>
  <si>
    <t>smoke_13.tex</t>
  </si>
  <si>
    <t>smoke_14.tex</t>
  </si>
  <si>
    <t>smoke_15.tex</t>
  </si>
  <si>
    <t xml:space="preserve">aud.tex </t>
  </si>
  <si>
    <t>smoke_16.tex</t>
  </si>
  <si>
    <t xml:space="preserve">fgan </t>
  </si>
  <si>
    <t>smoke_3.s</t>
  </si>
  <si>
    <t>smoke_4.s</t>
  </si>
  <si>
    <t>smoke_5.s</t>
  </si>
  <si>
    <t>smoke_5.tex</t>
  </si>
  <si>
    <t xml:space="preserve">aue.tex </t>
  </si>
  <si>
    <t xml:space="preserve">fgao </t>
  </si>
  <si>
    <t>smoke_6.s</t>
  </si>
  <si>
    <t>smoke_6.tex</t>
  </si>
  <si>
    <t>smoke_7.s</t>
  </si>
  <si>
    <t>smoke_7.tex</t>
  </si>
  <si>
    <t>smoke_8.s</t>
  </si>
  <si>
    <t>smoke_8.tex</t>
  </si>
  <si>
    <t xml:space="preserve">ava.rsd </t>
  </si>
  <si>
    <t>smoke_9.s</t>
  </si>
  <si>
    <t xml:space="preserve">fgap </t>
  </si>
  <si>
    <t>smoke_9.tex</t>
  </si>
  <si>
    <t>smoke_a.lmd</t>
  </si>
  <si>
    <t>smoke_a.s</t>
  </si>
  <si>
    <t xml:space="preserve">avb.p </t>
  </si>
  <si>
    <t>smoke_a.tex</t>
  </si>
  <si>
    <t>snow.s</t>
  </si>
  <si>
    <t>soko1.p</t>
  </si>
  <si>
    <t xml:space="preserve">fgaq </t>
  </si>
  <si>
    <t>soko1.rsd</t>
  </si>
  <si>
    <t>sonic_2.p</t>
  </si>
  <si>
    <t>Bolt 2 wave</t>
  </si>
  <si>
    <t xml:space="preserve">avc.rsd </t>
  </si>
  <si>
    <t>sonic_2.rsd</t>
  </si>
  <si>
    <t>sonic_2.tex</t>
  </si>
  <si>
    <t>Tewxture</t>
  </si>
  <si>
    <t>southe00.tex</t>
  </si>
  <si>
    <t xml:space="preserve">fgas </t>
  </si>
  <si>
    <t>southe01.tex</t>
  </si>
  <si>
    <t>southe03.tex</t>
  </si>
  <si>
    <t>spark_1.p</t>
  </si>
  <si>
    <t xml:space="preserve">avd.p </t>
  </si>
  <si>
    <t>spark_1.rsd</t>
  </si>
  <si>
    <t>spark_1.tex</t>
  </si>
  <si>
    <t>spark_2.s</t>
  </si>
  <si>
    <t>spark_3.s</t>
  </si>
  <si>
    <t>sphere_1.p</t>
  </si>
  <si>
    <t>sphere_1.rsd</t>
  </si>
  <si>
    <t xml:space="preserve">ave.rsd </t>
  </si>
  <si>
    <t>sphere_3.p</t>
  </si>
  <si>
    <t>sphere_3.rsd</t>
  </si>
  <si>
    <t xml:space="preserve">fgat </t>
  </si>
  <si>
    <t>spot_1.p</t>
  </si>
  <si>
    <t>spot_1.rsd</t>
  </si>
  <si>
    <t>sstar_1.rsd</t>
  </si>
  <si>
    <t>stage572.tex</t>
  </si>
  <si>
    <t>stardst2.s</t>
  </si>
  <si>
    <t xml:space="preserve">awa.p </t>
  </si>
  <si>
    <t>stardst2.tex</t>
  </si>
  <si>
    <t>stardust.s</t>
  </si>
  <si>
    <t>stardust.tex</t>
  </si>
  <si>
    <t>star_1.s</t>
  </si>
  <si>
    <t>sta_neb.tex</t>
  </si>
  <si>
    <t>ster1.tex</t>
  </si>
  <si>
    <t>FullCure</t>
  </si>
  <si>
    <t xml:space="preserve">awb.rsd </t>
  </si>
  <si>
    <t xml:space="preserve">fgau </t>
  </si>
  <si>
    <t>stome_1.p</t>
  </si>
  <si>
    <t>stome_1.rsd</t>
  </si>
  <si>
    <t>stome_2.p</t>
  </si>
  <si>
    <t>stome_2.rsd</t>
  </si>
  <si>
    <t>suikyu.p</t>
  </si>
  <si>
    <t>suikyu.rsd</t>
  </si>
  <si>
    <t xml:space="preserve">awc.p </t>
  </si>
  <si>
    <t>sumi.s</t>
  </si>
  <si>
    <t>sumi_a00.tex</t>
  </si>
  <si>
    <t>sumi_a01.tex</t>
  </si>
  <si>
    <t xml:space="preserve">fgav </t>
  </si>
  <si>
    <t>summon.s</t>
  </si>
  <si>
    <t>sunshine.p</t>
  </si>
  <si>
    <t>sunshine.rsd</t>
  </si>
  <si>
    <t>sun_1.s</t>
  </si>
  <si>
    <t xml:space="preserve">awd.rsd </t>
  </si>
  <si>
    <t>sun_2.p</t>
  </si>
  <si>
    <t>sun_2.rsd</t>
  </si>
  <si>
    <t>sun_2.tex</t>
  </si>
  <si>
    <t>sun_x.p</t>
  </si>
  <si>
    <t>sun_x.rsd</t>
  </si>
  <si>
    <t>sun_x.tex</t>
  </si>
  <si>
    <t xml:space="preserve">awe.p </t>
  </si>
  <si>
    <t>s_beam.p</t>
  </si>
  <si>
    <t>s_beam.rsd</t>
  </si>
  <si>
    <t>s_beam00.tex</t>
  </si>
  <si>
    <t>s_bomber.tex</t>
  </si>
  <si>
    <t>s_guard.tex</t>
  </si>
  <si>
    <t>s_ring1.p</t>
  </si>
  <si>
    <t xml:space="preserve">axa.rsd </t>
  </si>
  <si>
    <t>s_ring1.rsd</t>
  </si>
  <si>
    <t>s_ring1.tex</t>
  </si>
  <si>
    <t>tail02.tex</t>
  </si>
  <si>
    <t xml:space="preserve">fgax </t>
  </si>
  <si>
    <t>tail03.tex</t>
  </si>
  <si>
    <t>tail_1.p</t>
  </si>
  <si>
    <t>tail_1.rsd</t>
  </si>
  <si>
    <t>tail_2.p</t>
  </si>
  <si>
    <t xml:space="preserve">axb.p </t>
  </si>
  <si>
    <t>tail_2.rsd</t>
  </si>
  <si>
    <t>tail_3.p</t>
  </si>
  <si>
    <t>tail_3.rsd</t>
  </si>
  <si>
    <t>tail_4.p</t>
  </si>
  <si>
    <t xml:space="preserve">fgay </t>
  </si>
  <si>
    <t>tail_4.rsd</t>
  </si>
  <si>
    <t>tail_5.p</t>
  </si>
  <si>
    <t xml:space="preserve">axc.rsd </t>
  </si>
  <si>
    <t>tail_5.rsd</t>
  </si>
  <si>
    <t>tama.p</t>
  </si>
  <si>
    <t>tama.rsd</t>
  </si>
  <si>
    <t>tama2.s</t>
  </si>
  <si>
    <t>tama_2.s</t>
  </si>
  <si>
    <t>Summon: Phoenix shine balls</t>
  </si>
  <si>
    <t>tama_2.tex</t>
  </si>
  <si>
    <t xml:space="preserve">fgaz </t>
  </si>
  <si>
    <t xml:space="preserve">axd.p </t>
  </si>
  <si>
    <t>May be linked to tama poly</t>
  </si>
  <si>
    <t>tan00.tex</t>
  </si>
  <si>
    <t>tan2.s</t>
  </si>
  <si>
    <t>tane1.p</t>
  </si>
  <si>
    <t>tane1.rsd</t>
  </si>
  <si>
    <t>tane1.tex</t>
  </si>
  <si>
    <t>tane2.p</t>
  </si>
  <si>
    <t>tane2.rsd</t>
  </si>
  <si>
    <t xml:space="preserve">axe.rsd </t>
  </si>
  <si>
    <t xml:space="preserve">fgba </t>
  </si>
  <si>
    <t>tane2.tex</t>
  </si>
  <si>
    <t>tendou_1.s</t>
  </si>
  <si>
    <t>tendou_1.tex</t>
  </si>
  <si>
    <t>tera_1.p</t>
  </si>
  <si>
    <t>tera_1.rsd</t>
  </si>
  <si>
    <t>tera_2.p</t>
  </si>
  <si>
    <t xml:space="preserve">aya.p </t>
  </si>
  <si>
    <t>tera_2.rsd</t>
  </si>
  <si>
    <t>test.p</t>
  </si>
  <si>
    <t xml:space="preserve">fgbc </t>
  </si>
  <si>
    <t>test.rsd</t>
  </si>
  <si>
    <t>threat.tex</t>
  </si>
  <si>
    <t>three.s</t>
  </si>
  <si>
    <t>thunde03.tex</t>
  </si>
  <si>
    <t>thunder.s</t>
  </si>
  <si>
    <t xml:space="preserve">ayb.rsd </t>
  </si>
  <si>
    <t>thundg_2.p</t>
  </si>
  <si>
    <t>thundg_2.rsd</t>
  </si>
  <si>
    <t>thund_4.p</t>
  </si>
  <si>
    <t>thund_4.rsd</t>
  </si>
  <si>
    <t>tim.tex</t>
  </si>
  <si>
    <t>timedmg.tex</t>
  </si>
  <si>
    <t>titan.tex</t>
  </si>
  <si>
    <t>Summon: Titan smoke</t>
  </si>
  <si>
    <t xml:space="preserve">ayc.p </t>
  </si>
  <si>
    <t>titandat.a00</t>
  </si>
  <si>
    <t>Summon: Titan</t>
  </si>
  <si>
    <t>titandat.b</t>
  </si>
  <si>
    <t>titandat.d</t>
  </si>
  <si>
    <t>titandat.p00</t>
  </si>
  <si>
    <t>Summon: Titan hip</t>
  </si>
  <si>
    <t>titandat.p01</t>
  </si>
  <si>
    <t xml:space="preserve">fgbd </t>
  </si>
  <si>
    <t xml:space="preserve">ayd.rsd </t>
  </si>
  <si>
    <t>Summon: Titan chest</t>
  </si>
  <si>
    <t>titandat.p02</t>
  </si>
  <si>
    <t>Summon: Titan neck</t>
  </si>
  <si>
    <t>titandat.p03</t>
  </si>
  <si>
    <t>Summon: Titan head</t>
  </si>
  <si>
    <t>titandat.p05</t>
  </si>
  <si>
    <t>Summon: Titan hair</t>
  </si>
  <si>
    <t>titandat.p06</t>
  </si>
  <si>
    <t>Summon: Titan ponytail part</t>
  </si>
  <si>
    <t xml:space="preserve">aye.p </t>
  </si>
  <si>
    <t>titandat.p07</t>
  </si>
  <si>
    <t>titandat.p10</t>
  </si>
  <si>
    <t>Summon: Titan arm</t>
  </si>
  <si>
    <t>titandat.p11</t>
  </si>
  <si>
    <t>Summon: Titan forearm</t>
  </si>
  <si>
    <t>titandat.p12</t>
  </si>
  <si>
    <t xml:space="preserve">fgbe </t>
  </si>
  <si>
    <t>Summon: Titan hand</t>
  </si>
  <si>
    <t>titandat.p13</t>
  </si>
  <si>
    <t>Summon: Titan fingers</t>
  </si>
  <si>
    <t>titandat.p15</t>
  </si>
  <si>
    <t>Summon: Titan thumb</t>
  </si>
  <si>
    <t xml:space="preserve">aza.rsd </t>
  </si>
  <si>
    <t>titandat.p17</t>
  </si>
  <si>
    <t>Summon: Titan back shoulder muscle</t>
  </si>
  <si>
    <t>titandat.p19</t>
  </si>
  <si>
    <t>Summon: Titan thong</t>
  </si>
  <si>
    <t>titandat.p20</t>
  </si>
  <si>
    <t xml:space="preserve">fgbf </t>
  </si>
  <si>
    <t>titandat.p23</t>
  </si>
  <si>
    <t>titandat.p24</t>
  </si>
  <si>
    <t xml:space="preserve">azb.p </t>
  </si>
  <si>
    <t>titandat.p25</t>
  </si>
  <si>
    <t>titandat.p27</t>
  </si>
  <si>
    <t>titandat.p28</t>
  </si>
  <si>
    <t>titandat.p30</t>
  </si>
  <si>
    <t xml:space="preserve">fgda </t>
  </si>
  <si>
    <t xml:space="preserve">azc.rsd </t>
  </si>
  <si>
    <t>titandat.p32</t>
  </si>
  <si>
    <t>Summon: Titan tigh</t>
  </si>
  <si>
    <t xml:space="preserve">fhaa </t>
  </si>
  <si>
    <t>titandat.p33</t>
  </si>
  <si>
    <t>Summon: Titan leg</t>
  </si>
  <si>
    <t>Stinger: Battle Skeleton</t>
  </si>
  <si>
    <t>titandat.p34</t>
  </si>
  <si>
    <t>Summon: Titan foot</t>
  </si>
  <si>
    <t>titandat.p36</t>
  </si>
  <si>
    <t xml:space="preserve">azd.p </t>
  </si>
  <si>
    <t>titandat.p37</t>
  </si>
  <si>
    <t>titandat.p38</t>
  </si>
  <si>
    <t>toboe00.tex</t>
  </si>
  <si>
    <t xml:space="preserve">fhab </t>
  </si>
  <si>
    <t>todo_1.s</t>
  </si>
  <si>
    <t>Stinger: Unidentified Part</t>
  </si>
  <si>
    <t>todo_3.s</t>
  </si>
  <si>
    <t>tongue1.p</t>
  </si>
  <si>
    <t xml:space="preserve">aze.a </t>
  </si>
  <si>
    <t xml:space="preserve">fham </t>
  </si>
  <si>
    <t>Cid: Standing</t>
  </si>
  <si>
    <t>tongue1.rsd</t>
  </si>
  <si>
    <t>tongue2.p</t>
  </si>
  <si>
    <t>tongue2.rsd</t>
  </si>
  <si>
    <t>tongue3.p</t>
  </si>
  <si>
    <t>tongue3.rsd</t>
  </si>
  <si>
    <t xml:space="preserve">baa.a </t>
  </si>
  <si>
    <t>Cid: Running</t>
  </si>
  <si>
    <t>top.p</t>
  </si>
  <si>
    <t>top.rsd</t>
  </si>
  <si>
    <t xml:space="preserve">bab.a </t>
  </si>
  <si>
    <t>Cid: On Chocobo</t>
  </si>
  <si>
    <t xml:space="preserve">fhao </t>
  </si>
  <si>
    <t>toydat.a00</t>
  </si>
  <si>
    <t>716 Bytes</t>
  </si>
  <si>
    <t xml:space="preserve">Limit: Cait sith slot toy soldiers </t>
  </si>
  <si>
    <t xml:space="preserve">bac.a </t>
  </si>
  <si>
    <t>toydat.b</t>
  </si>
  <si>
    <t>Cid: Running on chocobo</t>
  </si>
  <si>
    <t>Limit: Cait sith slot toy soldiers</t>
  </si>
  <si>
    <t>toydat.d</t>
  </si>
  <si>
    <t xml:space="preserve">bad.a </t>
  </si>
  <si>
    <t>Cid: Mount chocobo</t>
  </si>
  <si>
    <t>toydat.p00</t>
  </si>
  <si>
    <t>Limit: Cait sith slot toy soldiers body</t>
  </si>
  <si>
    <t xml:space="preserve">bae.a </t>
  </si>
  <si>
    <t>toydat.p02</t>
  </si>
  <si>
    <t>Cid: Dismount chocobo</t>
  </si>
  <si>
    <t>Limit: Cait sith slot toy soldiers arm</t>
  </si>
  <si>
    <t xml:space="preserve">bba.a </t>
  </si>
  <si>
    <t>toydat.p04</t>
  </si>
  <si>
    <t>Cid: Scared</t>
  </si>
  <si>
    <t>Limit: Cait sith slot toy soldiers rifle</t>
  </si>
  <si>
    <t xml:space="preserve">fhaq </t>
  </si>
  <si>
    <t>toydat.p06</t>
  </si>
  <si>
    <t xml:space="preserve">bbb.a </t>
  </si>
  <si>
    <t>Cid: Thinking</t>
  </si>
  <si>
    <t>toydat.p08</t>
  </si>
  <si>
    <t xml:space="preserve">bbc.a </t>
  </si>
  <si>
    <t>toydat.p10</t>
  </si>
  <si>
    <t>Cid: Checking something on the floor</t>
  </si>
  <si>
    <t>toydat.p12</t>
  </si>
  <si>
    <t xml:space="preserve">bbd.a </t>
  </si>
  <si>
    <t>Cid: Pushing a button</t>
  </si>
  <si>
    <t>toydat.p14</t>
  </si>
  <si>
    <t xml:space="preserve">bbe.hrc </t>
  </si>
  <si>
    <t>toydat.p16</t>
  </si>
  <si>
    <t xml:space="preserve">fhas </t>
  </si>
  <si>
    <t>toydat.p17</t>
  </si>
  <si>
    <t>Limit: Cait sith slot toy soldiers foot</t>
  </si>
  <si>
    <t>toydat.p18</t>
  </si>
  <si>
    <t>toydat.p19</t>
  </si>
  <si>
    <t xml:space="preserve">bca.rsd </t>
  </si>
  <si>
    <t xml:space="preserve">fhav </t>
  </si>
  <si>
    <t>toydat.p20</t>
  </si>
  <si>
    <t>toydat.p22</t>
  </si>
  <si>
    <t>toydat.p24</t>
  </si>
  <si>
    <t>toydat.p26</t>
  </si>
  <si>
    <t xml:space="preserve">bcb.p </t>
  </si>
  <si>
    <t>toydat.p28</t>
  </si>
  <si>
    <t>toydat.p30</t>
  </si>
  <si>
    <t xml:space="preserve">fhaw </t>
  </si>
  <si>
    <t>toydat.p32</t>
  </si>
  <si>
    <t>toydat.p34</t>
  </si>
  <si>
    <t>toydat.p36</t>
  </si>
  <si>
    <t xml:space="preserve">bcc.rsd </t>
  </si>
  <si>
    <t>toydat.p38</t>
  </si>
  <si>
    <t>toydat.p39</t>
  </si>
  <si>
    <t xml:space="preserve">fhax </t>
  </si>
  <si>
    <t>toydat.p40</t>
  </si>
  <si>
    <t>toydat.p41</t>
  </si>
  <si>
    <t xml:space="preserve">bcd.p </t>
  </si>
  <si>
    <t>toydat.p42</t>
  </si>
  <si>
    <t>toydat.p43</t>
  </si>
  <si>
    <t>toydat.p44</t>
  </si>
  <si>
    <t>toydat.p45</t>
  </si>
  <si>
    <t>toydat.p46</t>
  </si>
  <si>
    <t xml:space="preserve">fhba </t>
  </si>
  <si>
    <t xml:space="preserve">bce.rsd </t>
  </si>
  <si>
    <t>trainn_1.p</t>
  </si>
  <si>
    <t>trainn_1.rsd</t>
  </si>
  <si>
    <t>tri.rsd</t>
  </si>
  <si>
    <t>tri01.tex</t>
  </si>
  <si>
    <t>tri02.tex</t>
  </si>
  <si>
    <t>try.p</t>
  </si>
  <si>
    <t>try.rsd</t>
  </si>
  <si>
    <t xml:space="preserve">bda.p </t>
  </si>
  <si>
    <t>tsurar01.tex</t>
  </si>
  <si>
    <t xml:space="preserve">fhbb </t>
  </si>
  <si>
    <t>tsurar03.tex</t>
  </si>
  <si>
    <t>tube_1.p</t>
  </si>
  <si>
    <t>Summon: Knights of the Round start summon halo</t>
  </si>
  <si>
    <t>tube_1.rsd</t>
  </si>
  <si>
    <t>tube_1.tex</t>
  </si>
  <si>
    <t xml:space="preserve">bdb.tex </t>
  </si>
  <si>
    <t>tupon1r.tex</t>
  </si>
  <si>
    <t>Summon: Typoon whirlwind effect</t>
  </si>
  <si>
    <t xml:space="preserve">bdc.tex </t>
  </si>
  <si>
    <t>tupon2r.tex</t>
  </si>
  <si>
    <t xml:space="preserve">fhbd </t>
  </si>
  <si>
    <t>tupondat.a00</t>
  </si>
  <si>
    <t>Summon: Typoon</t>
  </si>
  <si>
    <t>tupondat.b</t>
  </si>
  <si>
    <t>tupondat.d</t>
  </si>
  <si>
    <t>tupondat.p00</t>
  </si>
  <si>
    <t>Summon: Typoon front body</t>
  </si>
  <si>
    <t xml:space="preserve">bdd.tex </t>
  </si>
  <si>
    <t>tupondat.p01</t>
  </si>
  <si>
    <t>Summon: Typoon front head</t>
  </si>
  <si>
    <t>tupondat.p03</t>
  </si>
  <si>
    <t>Summon: Typoon ear</t>
  </si>
  <si>
    <t>tupondat.p05</t>
  </si>
  <si>
    <t xml:space="preserve">fhbe </t>
  </si>
  <si>
    <t>tupondat.p10</t>
  </si>
  <si>
    <t>Summon: Typoon front head jaw</t>
  </si>
  <si>
    <t>tupondat.p11</t>
  </si>
  <si>
    <t>Summon: Typoon back body</t>
  </si>
  <si>
    <t>tupondat.p12</t>
  </si>
  <si>
    <t xml:space="preserve">bde.rsd </t>
  </si>
  <si>
    <t>Summon: Typoon back head</t>
  </si>
  <si>
    <t>tupondat.p14</t>
  </si>
  <si>
    <t>Summon: Typoon back head jaw</t>
  </si>
  <si>
    <t>tupondat.p15</t>
  </si>
  <si>
    <t>Summon: Typoon back head tongue part</t>
  </si>
  <si>
    <t xml:space="preserve">fhbg </t>
  </si>
  <si>
    <t>tupondat.p16</t>
  </si>
  <si>
    <t>tupondat.p17</t>
  </si>
  <si>
    <t>tupondat.p18</t>
  </si>
  <si>
    <t>Summon: Typoon back head tongue tip</t>
  </si>
  <si>
    <t xml:space="preserve">bea.p </t>
  </si>
  <si>
    <t>tupondat.p20</t>
  </si>
  <si>
    <t>Summon: Typoon arm</t>
  </si>
  <si>
    <t>tupondat.p21</t>
  </si>
  <si>
    <t>Summon: Typoon forearm</t>
  </si>
  <si>
    <t>tupondat.p22</t>
  </si>
  <si>
    <t>Summon: Typoon hand</t>
  </si>
  <si>
    <t>tupondat.p24</t>
  </si>
  <si>
    <t>Summon: Typoon finger</t>
  </si>
  <si>
    <t>tupondat.p26</t>
  </si>
  <si>
    <t xml:space="preserve">beb.rsd </t>
  </si>
  <si>
    <t xml:space="preserve">fhbh </t>
  </si>
  <si>
    <t>tupondat.p28</t>
  </si>
  <si>
    <t>tupondat.p30</t>
  </si>
  <si>
    <t>tupondat.p32</t>
  </si>
  <si>
    <t>tupondat.p34</t>
  </si>
  <si>
    <t>tupondat.p35</t>
  </si>
  <si>
    <t xml:space="preserve">bec.p </t>
  </si>
  <si>
    <t>tupondat.p36</t>
  </si>
  <si>
    <t>tupondat.p38</t>
  </si>
  <si>
    <t>tupondat.p40</t>
  </si>
  <si>
    <t>tupondat.p42</t>
  </si>
  <si>
    <t xml:space="preserve">bed.rsd </t>
  </si>
  <si>
    <t>tupondat.p44</t>
  </si>
  <si>
    <t xml:space="preserve">fhbi </t>
  </si>
  <si>
    <t>tupondat.p46</t>
  </si>
  <si>
    <t>turara1.p</t>
  </si>
  <si>
    <t>Limit: Cait sith toy box icicle</t>
  </si>
  <si>
    <t>turara1.rsd</t>
  </si>
  <si>
    <t>turara2.p</t>
  </si>
  <si>
    <t xml:space="preserve">bee.p </t>
  </si>
  <si>
    <t>turara2.rsd</t>
  </si>
  <si>
    <t>turara3.p</t>
  </si>
  <si>
    <t xml:space="preserve">fhbk </t>
  </si>
  <si>
    <t>turara3.rsd</t>
  </si>
  <si>
    <t>two.s</t>
  </si>
  <si>
    <t>typhoon1.tex</t>
  </si>
  <si>
    <t xml:space="preserve">bfa.rsd </t>
  </si>
  <si>
    <t>t_1.s</t>
  </si>
  <si>
    <t>t_2.s</t>
  </si>
  <si>
    <t>uchia.p</t>
  </si>
  <si>
    <t xml:space="preserve">fhbm </t>
  </si>
  <si>
    <t>uchia.rsd</t>
  </si>
  <si>
    <t>uchib.p</t>
  </si>
  <si>
    <t>uchib.rsd</t>
  </si>
  <si>
    <t xml:space="preserve">bfb.p </t>
  </si>
  <si>
    <t>upper.p</t>
  </si>
  <si>
    <t>upper.rsd</t>
  </si>
  <si>
    <t>vaha2_00.tex</t>
  </si>
  <si>
    <t>Summon: Neo Bahamut charging balls</t>
  </si>
  <si>
    <t>vaha2_1.tex</t>
  </si>
  <si>
    <t>Summon: Neo Bahamut lightnings</t>
  </si>
  <si>
    <t>vaha2_n.tex</t>
  </si>
  <si>
    <t xml:space="preserve">fhbo </t>
  </si>
  <si>
    <t xml:space="preserve">bfc.rsd </t>
  </si>
  <si>
    <t>venus_1.p</t>
  </si>
  <si>
    <t>venus_1.rsd</t>
  </si>
  <si>
    <t>venus_1.tex</t>
  </si>
  <si>
    <t>vin_gun01.p</t>
  </si>
  <si>
    <t>Vincent gun: Quicksilver</t>
  </si>
  <si>
    <t>vin_gun01.rsd</t>
  </si>
  <si>
    <t xml:space="preserve">bfd.p </t>
  </si>
  <si>
    <t>vin_gun02.p</t>
  </si>
  <si>
    <t>Vincent gun: Shotgun</t>
  </si>
  <si>
    <t xml:space="preserve">fhda </t>
  </si>
  <si>
    <t>vin_gun02.rsd</t>
  </si>
  <si>
    <t>vin_gun03.p</t>
  </si>
  <si>
    <t>Vincent gun: Shortbarrel</t>
  </si>
  <si>
    <t xml:space="preserve">fiaa </t>
  </si>
  <si>
    <t>vin_gun03.rsd</t>
  </si>
  <si>
    <t>Soul Fire: Battle Skeleton</t>
  </si>
  <si>
    <t xml:space="preserve">bfe.rsd </t>
  </si>
  <si>
    <t>vin_gun04.p</t>
  </si>
  <si>
    <t>Vincent gun: Lariat</t>
  </si>
  <si>
    <t>vin_gun04.rsd</t>
  </si>
  <si>
    <t>vin_gun05.rsd</t>
  </si>
  <si>
    <t>Vincent gun: Winchester</t>
  </si>
  <si>
    <t>No p model, looks like peacemaker</t>
  </si>
  <si>
    <t>vin_gun06.p</t>
  </si>
  <si>
    <t>Vincent gun:Peacemaker</t>
  </si>
  <si>
    <t xml:space="preserve">fiab </t>
  </si>
  <si>
    <t xml:space="preserve">bga.p </t>
  </si>
  <si>
    <t>vin_gun06.rsd</t>
  </si>
  <si>
    <t>Soul Fire: Unidentified Part</t>
  </si>
  <si>
    <t>vin_gun07.p</t>
  </si>
  <si>
    <t>Vincent gun: Buntline</t>
  </si>
  <si>
    <t xml:space="preserve">fiac </t>
  </si>
  <si>
    <t>vin_gun07.rsd</t>
  </si>
  <si>
    <t>Soul Fire: Texture</t>
  </si>
  <si>
    <t>vin_gun08.p</t>
  </si>
  <si>
    <t>Vincent gun: Long barrel R</t>
  </si>
  <si>
    <t>vin_gun08.rsd</t>
  </si>
  <si>
    <t xml:space="preserve">bgb.rsd </t>
  </si>
  <si>
    <t>vin_gun09.p</t>
  </si>
  <si>
    <t>Vincent gun: Silver rifle</t>
  </si>
  <si>
    <t>vin_gun09.rsd</t>
  </si>
  <si>
    <t>vin_gun10.p</t>
  </si>
  <si>
    <t>Vincent gun: Sniper CR</t>
  </si>
  <si>
    <t xml:space="preserve">fiam </t>
  </si>
  <si>
    <t>vin_gun10.rsd</t>
  </si>
  <si>
    <t>Soul Fire: Model</t>
  </si>
  <si>
    <t>vin_gun11.p</t>
  </si>
  <si>
    <t>Vincent gun: Supershot ST</t>
  </si>
  <si>
    <t xml:space="preserve">bgc.p </t>
  </si>
  <si>
    <t>vin_gun11.rsd</t>
  </si>
  <si>
    <t>vin_gun12.p</t>
  </si>
  <si>
    <t>Vincent gun:Outsider</t>
  </si>
  <si>
    <t>vin_gun12.rsd</t>
  </si>
  <si>
    <t xml:space="preserve">fida </t>
  </si>
  <si>
    <t>vin_gun13.p</t>
  </si>
  <si>
    <t>Vincent gun: Death penalty</t>
  </si>
  <si>
    <t>vin_gun13.rsd</t>
  </si>
  <si>
    <t xml:space="preserve">fjaa </t>
  </si>
  <si>
    <t xml:space="preserve">bgd.rsd </t>
  </si>
  <si>
    <t>wa.s</t>
  </si>
  <si>
    <t>Gi Nattak: Battle Skeleton</t>
  </si>
  <si>
    <t>wa.tex</t>
  </si>
  <si>
    <t>wa1.p</t>
  </si>
  <si>
    <t>wa1.rsd</t>
  </si>
  <si>
    <t>water.tex</t>
  </si>
  <si>
    <t>Summon: Leviathan wave hits</t>
  </si>
  <si>
    <t>water1.tex</t>
  </si>
  <si>
    <t>Summon: Shiva ice surface</t>
  </si>
  <si>
    <t xml:space="preserve">bge.p </t>
  </si>
  <si>
    <t>water_2.p</t>
  </si>
  <si>
    <t>water_2.rsd</t>
  </si>
  <si>
    <t xml:space="preserve">fjab </t>
  </si>
  <si>
    <t>456 Bytes</t>
  </si>
  <si>
    <t>water_2.s</t>
  </si>
  <si>
    <t>Gi Nattak: Unidentified Part</t>
  </si>
  <si>
    <t>water_2.tex</t>
  </si>
  <si>
    <t>wavehit.s</t>
  </si>
  <si>
    <t xml:space="preserve">fjam </t>
  </si>
  <si>
    <t>wavehit.tex</t>
  </si>
  <si>
    <t xml:space="preserve">bha.rsd </t>
  </si>
  <si>
    <t>wave_1.p</t>
  </si>
  <si>
    <t>Summon: Leviathan water</t>
  </si>
  <si>
    <t>wave_1.rsd</t>
  </si>
  <si>
    <t>wave_1.tex</t>
  </si>
  <si>
    <t>wave_2.tex</t>
  </si>
  <si>
    <t>Summon: Leviathan wave</t>
  </si>
  <si>
    <t>wave_22.p</t>
  </si>
  <si>
    <t xml:space="preserve">bhb.p </t>
  </si>
  <si>
    <t xml:space="preserve">fjan </t>
  </si>
  <si>
    <t>wave_22.rsd</t>
  </si>
  <si>
    <t>weapon01.p</t>
  </si>
  <si>
    <t>Cid spear: Spear</t>
  </si>
  <si>
    <t>weapon01.rsd</t>
  </si>
  <si>
    <t>weapon02.p</t>
  </si>
  <si>
    <t>Cid spear: Slash lance</t>
  </si>
  <si>
    <t xml:space="preserve">bhc.rsd </t>
  </si>
  <si>
    <t>weapon02.rsd</t>
  </si>
  <si>
    <t>weapon03.p</t>
  </si>
  <si>
    <t>Cid spear: Trident</t>
  </si>
  <si>
    <t xml:space="preserve">fjap </t>
  </si>
  <si>
    <t>weapon03.rsd</t>
  </si>
  <si>
    <t>weapon04.p</t>
  </si>
  <si>
    <t>Cid spear: Mast ax</t>
  </si>
  <si>
    <t>weapon04.rsd</t>
  </si>
  <si>
    <t xml:space="preserve">bhd.p </t>
  </si>
  <si>
    <t>weapon05.p</t>
  </si>
  <si>
    <t>Cid spear: Partisan</t>
  </si>
  <si>
    <t>weapon05.rsd</t>
  </si>
  <si>
    <t xml:space="preserve">fjaq </t>
  </si>
  <si>
    <t>weapon06.p</t>
  </si>
  <si>
    <t>Cid spear: Viper halberd</t>
  </si>
  <si>
    <t>weapon06.rsd</t>
  </si>
  <si>
    <t xml:space="preserve">bhe.rsd </t>
  </si>
  <si>
    <t>weapon07.p</t>
  </si>
  <si>
    <t>Cid spear: Javelin</t>
  </si>
  <si>
    <t>weapon07.rsd</t>
  </si>
  <si>
    <t>weapon08.p</t>
  </si>
  <si>
    <t>Cid spear: Grow lance</t>
  </si>
  <si>
    <t xml:space="preserve">fjas </t>
  </si>
  <si>
    <t>weapon08.rsd</t>
  </si>
  <si>
    <t>weapon09.p</t>
  </si>
  <si>
    <t>Cid spear: Mop</t>
  </si>
  <si>
    <t>weapon09.rsd</t>
  </si>
  <si>
    <t>weapon10.p</t>
  </si>
  <si>
    <t xml:space="preserve">bia.p </t>
  </si>
  <si>
    <t>Cid spear: Dragoon lance</t>
  </si>
  <si>
    <t>weapon10.rsd</t>
  </si>
  <si>
    <t>weapon11.p</t>
  </si>
  <si>
    <t>Cid spear: Scimitar</t>
  </si>
  <si>
    <t xml:space="preserve">fjau </t>
  </si>
  <si>
    <t>weapon11.rsd</t>
  </si>
  <si>
    <t>weapon12.p</t>
  </si>
  <si>
    <t>Cid spear: Flayer</t>
  </si>
  <si>
    <t xml:space="preserve">bib.rsd </t>
  </si>
  <si>
    <t>weapon12.rsd</t>
  </si>
  <si>
    <t>weapon13.p</t>
  </si>
  <si>
    <t>Cid spear: Spirit lance</t>
  </si>
  <si>
    <t>weapon13.rsd</t>
  </si>
  <si>
    <t xml:space="preserve">fjaw </t>
  </si>
  <si>
    <t xml:space="preserve">bic.p </t>
  </si>
  <si>
    <t>weapon14.p</t>
  </si>
  <si>
    <t>Cid spear: Venus gospel</t>
  </si>
  <si>
    <t>weapon14.rsd</t>
  </si>
  <si>
    <t>wind00.tex</t>
  </si>
  <si>
    <t>wind02.tex</t>
  </si>
  <si>
    <t xml:space="preserve">fjax </t>
  </si>
  <si>
    <t>wind1.tex</t>
  </si>
  <si>
    <t xml:space="preserve">bid.a </t>
  </si>
  <si>
    <t>Summon: Typoon wind</t>
  </si>
  <si>
    <t>Cloud: Standing</t>
  </si>
  <si>
    <t>Animtaion</t>
  </si>
  <si>
    <t>wind_b.tex</t>
  </si>
  <si>
    <t>Break</t>
  </si>
  <si>
    <t xml:space="preserve">bie.a </t>
  </si>
  <si>
    <t>wlaser00.tex</t>
  </si>
  <si>
    <t>Cloud: Running</t>
  </si>
  <si>
    <t>wlaser01.tex</t>
  </si>
  <si>
    <t xml:space="preserve">bja.a </t>
  </si>
  <si>
    <t>wlaser02.tex</t>
  </si>
  <si>
    <t>Cloud: On chocobo</t>
  </si>
  <si>
    <t>woll.p</t>
  </si>
  <si>
    <t>Wall</t>
  </si>
  <si>
    <t xml:space="preserve">bjb.a </t>
  </si>
  <si>
    <t>Cloud: Running on chocobo</t>
  </si>
  <si>
    <t>woll.rsd</t>
  </si>
  <si>
    <t xml:space="preserve">fjaz </t>
  </si>
  <si>
    <t xml:space="preserve">bjc.a </t>
  </si>
  <si>
    <t>wood_1.tex</t>
  </si>
  <si>
    <t>Cloud: Mount chocobo</t>
  </si>
  <si>
    <t>Summon: Hades lamp surface</t>
  </si>
  <si>
    <t>w_ball.p</t>
  </si>
  <si>
    <t xml:space="preserve">bjd.a </t>
  </si>
  <si>
    <t>Cloud: Dismount chocobo</t>
  </si>
  <si>
    <t>w_ball.rsd</t>
  </si>
  <si>
    <t>w_wind.tex</t>
  </si>
  <si>
    <t xml:space="preserve">bje.a </t>
  </si>
  <si>
    <t>Cloud: Scared</t>
  </si>
  <si>
    <t>yami00.tex</t>
  </si>
  <si>
    <t>yami03.tex</t>
  </si>
  <si>
    <t xml:space="preserve">bka.a </t>
  </si>
  <si>
    <t>Cloud: Thinking</t>
  </si>
  <si>
    <t>yari_1.p</t>
  </si>
  <si>
    <t xml:space="preserve">bkb.a </t>
  </si>
  <si>
    <t>yari_1.rsd</t>
  </si>
  <si>
    <t>Cloud: Checking something on the floor</t>
  </si>
  <si>
    <t xml:space="preserve">fjba </t>
  </si>
  <si>
    <t>yasai_1.p</t>
  </si>
  <si>
    <t>Silkys greens</t>
  </si>
  <si>
    <t xml:space="preserve">bkc.a </t>
  </si>
  <si>
    <t>yasai_1.rsd</t>
  </si>
  <si>
    <t>Cloud: Pushing a button</t>
  </si>
  <si>
    <t>yasai_1.tex</t>
  </si>
  <si>
    <t xml:space="preserve">bkd.hrc </t>
  </si>
  <si>
    <t>Silkys greens skin</t>
  </si>
  <si>
    <t>Condor</t>
  </si>
  <si>
    <t>yasai_2.p</t>
  </si>
  <si>
    <t xml:space="preserve">fjbc </t>
  </si>
  <si>
    <t>Reagan greens</t>
  </si>
  <si>
    <t>yasai_2.rsd</t>
  </si>
  <si>
    <t>yasai_3.p</t>
  </si>
  <si>
    <t>Mimeet greens</t>
  </si>
  <si>
    <t>yasai_3.rsd</t>
  </si>
  <si>
    <t>yasai_4.p</t>
  </si>
  <si>
    <t>Curiel greens</t>
  </si>
  <si>
    <t>yasai_4.rsd</t>
  </si>
  <si>
    <t xml:space="preserve">bke.rsd </t>
  </si>
  <si>
    <t xml:space="preserve">fjbd </t>
  </si>
  <si>
    <t>yasai_5.p</t>
  </si>
  <si>
    <t>Condor: whole model</t>
  </si>
  <si>
    <t>Pahsana greens</t>
  </si>
  <si>
    <t>yasai_5.rsd</t>
  </si>
  <si>
    <t>yasai_6.p</t>
  </si>
  <si>
    <t>Tantal greens</t>
  </si>
  <si>
    <t>yasai_6.rsd</t>
  </si>
  <si>
    <t>yasai_7.p</t>
  </si>
  <si>
    <t>Krakka greens</t>
  </si>
  <si>
    <t>yasai_7.rsd</t>
  </si>
  <si>
    <t xml:space="preserve">bla.p </t>
  </si>
  <si>
    <t xml:space="preserve">fjbe </t>
  </si>
  <si>
    <t>yasai_8.p</t>
  </si>
  <si>
    <t>Gysahl greens</t>
  </si>
  <si>
    <t>yasai_8.rsd</t>
  </si>
  <si>
    <t>yogan1.tex</t>
  </si>
  <si>
    <t>yougan.rsd</t>
  </si>
  <si>
    <t>yougan1.p</t>
  </si>
  <si>
    <t xml:space="preserve">blb.tex </t>
  </si>
  <si>
    <t>yougan1.rsd</t>
  </si>
  <si>
    <t>Condor body</t>
  </si>
  <si>
    <t>yubi.tex</t>
  </si>
  <si>
    <t>Interface hand</t>
  </si>
  <si>
    <t>yuka_1.tex</t>
  </si>
  <si>
    <t xml:space="preserve">fjbf </t>
  </si>
  <si>
    <t>yuki.tex</t>
  </si>
  <si>
    <t>yuwaku02.tex</t>
  </si>
  <si>
    <t>yuwaku03.tex</t>
  </si>
  <si>
    <t xml:space="preserve">blc.tex </t>
  </si>
  <si>
    <t>Fort condor rock</t>
  </si>
  <si>
    <t>zeni.p</t>
  </si>
  <si>
    <t>Throw coins coin</t>
  </si>
  <si>
    <t>zeni.rsd</t>
  </si>
  <si>
    <t>zibaku1.s</t>
  </si>
  <si>
    <t>zibaku1.tex</t>
  </si>
  <si>
    <t>zimen.p</t>
  </si>
  <si>
    <t xml:space="preserve">bld.a </t>
  </si>
  <si>
    <t>zimen.rsd</t>
  </si>
  <si>
    <t>Fort Condor: Static animation</t>
  </si>
  <si>
    <t xml:space="preserve">ble.hrc </t>
  </si>
  <si>
    <t>Coral Key</t>
  </si>
  <si>
    <t>.\FF7</t>
  </si>
  <si>
    <t xml:space="preserve">fjbh </t>
  </si>
  <si>
    <t xml:space="preserve">bma.rsd </t>
  </si>
  <si>
    <t>Coral Key: Whole model</t>
  </si>
  <si>
    <t xml:space="preserve">fjbi </t>
  </si>
  <si>
    <t xml:space="preserve">bmb.p </t>
  </si>
  <si>
    <t xml:space="preserve">fjbk </t>
  </si>
  <si>
    <t>.\FF7\DATA</t>
  </si>
  <si>
    <t xml:space="preserve">bmc.rsd </t>
  </si>
  <si>
    <t>.\FF7\DATA\BATTLE</t>
  </si>
  <si>
    <t>Coral Key: Base</t>
  </si>
  <si>
    <t>\BLUE</t>
  </si>
  <si>
    <t>Enemy skills</t>
  </si>
  <si>
    <t>\EFFECT</t>
  </si>
  <si>
    <t xml:space="preserve">fjbl </t>
  </si>
  <si>
    <t>612 Bytes</t>
  </si>
  <si>
    <t>\ITEM</t>
  </si>
  <si>
    <t>Item effects</t>
  </si>
  <si>
    <t>\LIMIT</t>
  </si>
  <si>
    <t>Limit breaks</t>
  </si>
  <si>
    <t>\LIMIT2</t>
  </si>
  <si>
    <t xml:space="preserve">bmd.p </t>
  </si>
  <si>
    <t>\LIMIT3</t>
  </si>
  <si>
    <t>\MAGIC</t>
  </si>
  <si>
    <t>Magic</t>
  </si>
  <si>
    <t>\SPECIAL</t>
  </si>
  <si>
    <t>\SUMMON</t>
  </si>
  <si>
    <t>Summons</t>
  </si>
  <si>
    <t>\WEAPON</t>
  </si>
  <si>
    <t>.\FF7\DATA\BATTLE\BLUE</t>
  </si>
  <si>
    <t xml:space="preserve">bme.a </t>
  </si>
  <si>
    <t>Coral Key: Static animation</t>
  </si>
  <si>
    <t>beata\exp_1.tex</t>
  </si>
  <si>
    <t>Beta: explosion</t>
  </si>
  <si>
    <t>texture</t>
  </si>
  <si>
    <t xml:space="preserve">fjbm </t>
  </si>
  <si>
    <t xml:space="preserve">bna.hrc </t>
  </si>
  <si>
    <t>Diamond Weapon</t>
  </si>
  <si>
    <t>chyobo\smoke.tex</t>
  </si>
  <si>
    <t>Chocobuckle: smoke</t>
  </si>
  <si>
    <t>chyobo\smoke_1.s</t>
  </si>
  <si>
    <t>Chocobuckle: unkown</t>
  </si>
  <si>
    <t>dragonn\light.p</t>
  </si>
  <si>
    <t>Dragon force: Reflection light</t>
  </si>
  <si>
    <t>dragonn\light.rsd</t>
  </si>
  <si>
    <t>hanmmer\a.rsd</t>
  </si>
  <si>
    <t xml:space="preserve">bnb.rsd </t>
  </si>
  <si>
    <t>hanmmer\hanmer.p</t>
  </si>
  <si>
    <t>Diamond Weapon: 'Cape'</t>
  </si>
  <si>
    <t>Magic hammer: whole model</t>
  </si>
  <si>
    <t xml:space="preserve">fjbn </t>
  </si>
  <si>
    <t>hanmmer\hanmer.rsd</t>
  </si>
  <si>
    <t>hatena\hatena1.s</t>
  </si>
  <si>
    <t>hatena\hatena_1.tex</t>
  </si>
  <si>
    <t>hatena\hatena_2.rsd</t>
  </si>
  <si>
    <t>hatena\hatena_2.tex</t>
  </si>
  <si>
    <t xml:space="preserve">bnc.p </t>
  </si>
  <si>
    <t>howin\line.s</t>
  </si>
  <si>
    <t>kaeru\onpu1.tex</t>
  </si>
  <si>
    <t>Frog song: note</t>
  </si>
  <si>
    <t xml:space="preserve">fjbo </t>
  </si>
  <si>
    <t>lv5deth\light_1.p</t>
  </si>
  <si>
    <t>Lv5 Death</t>
  </si>
  <si>
    <t>lv5deth\light_1.rsd</t>
  </si>
  <si>
    <t>magikal\magikal.s</t>
  </si>
  <si>
    <t xml:space="preserve">bnd.rsd </t>
  </si>
  <si>
    <t>mytyg\light_1.p</t>
  </si>
  <si>
    <t>Diamond Weapon: Upper Chest</t>
  </si>
  <si>
    <t>Big guard?: Light</t>
  </si>
  <si>
    <t>mytyg\light_1.rsd</t>
  </si>
  <si>
    <t>nanntoka\comet_1.tex</t>
  </si>
  <si>
    <t>NOT A E.SKILL: Comet 2?</t>
  </si>
  <si>
    <t xml:space="preserve">fjbq </t>
  </si>
  <si>
    <t>nanntoka\inseki_1.p</t>
  </si>
  <si>
    <t>nanntoka\inseki_1.rsd</t>
  </si>
  <si>
    <t>nanntoka\light.p</t>
  </si>
  <si>
    <t>nanntoka\light.rsd</t>
  </si>
  <si>
    <t xml:space="preserve">bne.p </t>
  </si>
  <si>
    <t>nanntoka\ster.p</t>
  </si>
  <si>
    <t>nanntoka\ster.rsd</t>
  </si>
  <si>
    <t>nanntoka\ster.tex</t>
  </si>
  <si>
    <t xml:space="preserve">fjbs </t>
  </si>
  <si>
    <t>sflea\exp_1.s</t>
  </si>
  <si>
    <t xml:space="preserve">boa.rsd </t>
  </si>
  <si>
    <t>Shadowflare</t>
  </si>
  <si>
    <t>Diamond Weapon: Head and shoulders</t>
  </si>
  <si>
    <t>sflea\exp_2.s</t>
  </si>
  <si>
    <t>sflea\exp_3.s</t>
  </si>
  <si>
    <t>sflea\flea_1.p</t>
  </si>
  <si>
    <t>Shadowflare: Effect sphere</t>
  </si>
  <si>
    <t>sflea\flea_1.rsd</t>
  </si>
  <si>
    <t>sflea\flea_1.tex</t>
  </si>
  <si>
    <t xml:space="preserve">bob.p </t>
  </si>
  <si>
    <t>sflea\flea_2.p</t>
  </si>
  <si>
    <t xml:space="preserve">fjbu </t>
  </si>
  <si>
    <t>Shadowflare: Effect circle</t>
  </si>
  <si>
    <t>sflea\flea_2.rsd</t>
  </si>
  <si>
    <t>sflea\flea_2.tex</t>
  </si>
  <si>
    <t>sflea\flea_3.tex</t>
  </si>
  <si>
    <t>Shadowflare: Smoke</t>
  </si>
  <si>
    <t xml:space="preserve">boc.rsd </t>
  </si>
  <si>
    <t>sflea\flea_4.tex</t>
  </si>
  <si>
    <t>Diamond Weapon: Upper Arm</t>
  </si>
  <si>
    <t>Shadowflare: Bubbles</t>
  </si>
  <si>
    <t>sflea\flea_5.tex</t>
  </si>
  <si>
    <t>Shadowflare: One bubble</t>
  </si>
  <si>
    <t xml:space="preserve">fjbw </t>
  </si>
  <si>
    <t>.\FF7\DATA\BATTLE\EFFECT</t>
  </si>
  <si>
    <t>hitmark\jo_c01.s</t>
  </si>
  <si>
    <t>hitmark\jo_c02.s</t>
  </si>
  <si>
    <t xml:space="preserve">bod.p </t>
  </si>
  <si>
    <t>hitmark\jo_c03.s</t>
  </si>
  <si>
    <t>hitmark\jo_c04.s</t>
  </si>
  <si>
    <t>hitmark\jo_c05.s</t>
  </si>
  <si>
    <t>s_baria\jo_mba.rsd</t>
  </si>
  <si>
    <t>.\FF7\DATA\BATTLE\ITEM</t>
  </si>
  <si>
    <t xml:space="preserve">fjby </t>
  </si>
  <si>
    <t xml:space="preserve">boe.rsd </t>
  </si>
  <si>
    <t>Diamond Weapon: Lower Arm</t>
  </si>
  <si>
    <t xml:space="preserve">fjca </t>
  </si>
  <si>
    <t xml:space="preserve">bone.tex </t>
  </si>
  <si>
    <t>Bone village 1</t>
  </si>
  <si>
    <t>kemuri\kemuri.s</t>
  </si>
  <si>
    <t xml:space="preserve">fjcb </t>
  </si>
  <si>
    <t xml:space="preserve">bone2.tex </t>
  </si>
  <si>
    <t>Bone village 2</t>
  </si>
  <si>
    <t>yamabiko\kemuri.s</t>
  </si>
  <si>
    <t xml:space="preserve">fjcd </t>
  </si>
  <si>
    <t xml:space="preserve">bornwd.tex </t>
  </si>
  <si>
    <t>.\FF7\DATA\BATTLE\LIMIT</t>
  </si>
  <si>
    <t>Bone village 3</t>
  </si>
  <si>
    <t>a_max\jo_fir.p</t>
  </si>
  <si>
    <t>a_max\jo_fir.rsd</t>
  </si>
  <si>
    <t>busin\air_1.p</t>
  </si>
  <si>
    <t>Omnislash: Aura cilinder</t>
  </si>
  <si>
    <t>Begginning limit</t>
  </si>
  <si>
    <t>busin\air_1.rsd</t>
  </si>
  <si>
    <t>busin\air_1.tex</t>
  </si>
  <si>
    <t xml:space="preserve">bpa.p </t>
  </si>
  <si>
    <t>Omnislash: Air aura</t>
  </si>
  <si>
    <t>busin\flash_1.p</t>
  </si>
  <si>
    <t xml:space="preserve">fjda </t>
  </si>
  <si>
    <t>Omnislash: Flashing hits</t>
  </si>
  <si>
    <t>busin\flash_1.rsd</t>
  </si>
  <si>
    <t>busin\flash_2.p</t>
  </si>
  <si>
    <t xml:space="preserve">fkaa </t>
  </si>
  <si>
    <t>Nibel Wolf: Battle Skeleton</t>
  </si>
  <si>
    <t>busin\flash_2.rsd</t>
  </si>
  <si>
    <t xml:space="preserve">bpb.rsd </t>
  </si>
  <si>
    <t>Diamond Weapon: Hand</t>
  </si>
  <si>
    <t>busin\hit_1.s</t>
  </si>
  <si>
    <t>Omnislash</t>
  </si>
  <si>
    <t>busin\light_1.tex</t>
  </si>
  <si>
    <t>Omnislash: Last hit background</t>
  </si>
  <si>
    <t>busin\line_1.p</t>
  </si>
  <si>
    <t>Omnislash: Ray of light</t>
  </si>
  <si>
    <t>busin\line_1.rsd</t>
  </si>
  <si>
    <t>Kalm fang clone 1 (cwaa)</t>
  </si>
  <si>
    <t xml:space="preserve">bpc.p </t>
  </si>
  <si>
    <t xml:space="preserve">fkab </t>
  </si>
  <si>
    <t>busin\line_2.p</t>
  </si>
  <si>
    <t>Nibel Wolf: Unidentified Part</t>
  </si>
  <si>
    <t>busin\line_2.rsd</t>
  </si>
  <si>
    <t xml:space="preserve">fkam </t>
  </si>
  <si>
    <t>busin\ring_1.p</t>
  </si>
  <si>
    <t>busin\ring_1.rsd</t>
  </si>
  <si>
    <t>busin\ring_2.p</t>
  </si>
  <si>
    <t xml:space="preserve">bpd.rsd </t>
  </si>
  <si>
    <t>busin\ring_2.rsd</t>
  </si>
  <si>
    <t>busin\smoke_1.s</t>
  </si>
  <si>
    <t>busin\sonic_1.p</t>
  </si>
  <si>
    <t>Omnislash: Hit waves on target</t>
  </si>
  <si>
    <t xml:space="preserve">fkan </t>
  </si>
  <si>
    <t>busin\sonic_1.rsd</t>
  </si>
  <si>
    <t xml:space="preserve">bpe.p </t>
  </si>
  <si>
    <t>busin\sonic_1.tex</t>
  </si>
  <si>
    <t>catastro\beam_1.p</t>
  </si>
  <si>
    <t>Catastrophe: Big beam</t>
  </si>
  <si>
    <t>catastro\beam_1.rsd</t>
  </si>
  <si>
    <t>catastro\hit_1.s</t>
  </si>
  <si>
    <t>Catastrophe</t>
  </si>
  <si>
    <t>catastro\hit_1.tex</t>
  </si>
  <si>
    <t xml:space="preserve">fkao </t>
  </si>
  <si>
    <t>Catastrophe: Hit effect</t>
  </si>
  <si>
    <t xml:space="preserve">bqa.rsd </t>
  </si>
  <si>
    <t>catastro\smoke_1.s</t>
  </si>
  <si>
    <t>catastro\smoke_1.tex</t>
  </si>
  <si>
    <t>Catastrophe: Smoke</t>
  </si>
  <si>
    <t>catastro\smoke_2.s</t>
  </si>
  <si>
    <t>eva\01.p</t>
  </si>
  <si>
    <t>Great gospel: Angel</t>
  </si>
  <si>
    <t xml:space="preserve">fkap </t>
  </si>
  <si>
    <t xml:space="preserve">bqb.p </t>
  </si>
  <si>
    <t>eva\01.rsd</t>
  </si>
  <si>
    <t>eva\kira_1.s</t>
  </si>
  <si>
    <t>Great gospel</t>
  </si>
  <si>
    <t>eva\line_1.p</t>
  </si>
  <si>
    <t>Great gospel: ray of light</t>
  </si>
  <si>
    <t>eva\line_1.rsd</t>
  </si>
  <si>
    <t>eva\ripple_1.s</t>
  </si>
  <si>
    <t xml:space="preserve">bqc.rsd </t>
  </si>
  <si>
    <t>eva\sky_a.p</t>
  </si>
  <si>
    <t xml:space="preserve">fkar </t>
  </si>
  <si>
    <t>Great gospel: Sky</t>
  </si>
  <si>
    <t>eva\sky_a.rsd</t>
  </si>
  <si>
    <t>glenade\hahen.s</t>
  </si>
  <si>
    <t>glenade\impulse.rsd</t>
  </si>
  <si>
    <t>hakou\line.s</t>
  </si>
  <si>
    <t>hvshot\line.s</t>
  </si>
  <si>
    <t>lgirl\heart.s</t>
  </si>
  <si>
    <t xml:space="preserve">bqd.p </t>
  </si>
  <si>
    <t>s_guard\stars.s</t>
  </si>
  <si>
    <t xml:space="preserve">fkat </t>
  </si>
  <si>
    <t>.\FF7\DATA\BATTLE\LIMIT2</t>
  </si>
  <si>
    <t>beast\exp_1.rsd</t>
  </si>
  <si>
    <t>beast\exp_1.tex</t>
  </si>
  <si>
    <t>beast\exp_2.p</t>
  </si>
  <si>
    <t>beast\exp_2.rsd</t>
  </si>
  <si>
    <t xml:space="preserve">bqe.rsd </t>
  </si>
  <si>
    <t>gaisei\smoke_1.s</t>
  </si>
  <si>
    <t>Diamond Weapon: Pelvis</t>
  </si>
  <si>
    <t>garyoten\flash_1.p</t>
  </si>
  <si>
    <t>garyoten\flash_1.rsd</t>
  </si>
  <si>
    <t>garyoten\kira_1.p</t>
  </si>
  <si>
    <t xml:space="preserve">fkau </t>
  </si>
  <si>
    <t>garyoten\kira_1.rsd</t>
  </si>
  <si>
    <t>garyoten\rock_1.p</t>
  </si>
  <si>
    <t>garyoten\rock_1.rsd</t>
  </si>
  <si>
    <t xml:space="preserve">bra.p </t>
  </si>
  <si>
    <t>garyoten\rock_1.tex</t>
  </si>
  <si>
    <t>garyoten\rock_2.p</t>
  </si>
  <si>
    <t>garyoten\rock_2.rsd</t>
  </si>
  <si>
    <t>garyoten\rock_3.p</t>
  </si>
  <si>
    <t>garyoten\rock_3.rsd</t>
  </si>
  <si>
    <t>garyoten\smoke_1.s</t>
  </si>
  <si>
    <t xml:space="preserve">fkav </t>
  </si>
  <si>
    <t xml:space="preserve">brb.rsd </t>
  </si>
  <si>
    <t>garyoten\smoke_2.tex</t>
  </si>
  <si>
    <t>Diamond Weapon: Upper Leg</t>
  </si>
  <si>
    <t>garyoten\typhoon2.tex</t>
  </si>
  <si>
    <t>hitumetu\chi_1.s</t>
  </si>
  <si>
    <t>hitumetu\chi_1.tex</t>
  </si>
  <si>
    <t>hitumetu\hikari.p</t>
  </si>
  <si>
    <t>hitumetu\hikari.rsd</t>
  </si>
  <si>
    <t>hitumetu\hit.rsd</t>
  </si>
  <si>
    <t xml:space="preserve">brc.p </t>
  </si>
  <si>
    <t>hitumetu\snow.tex</t>
  </si>
  <si>
    <t xml:space="preserve">fkaw </t>
  </si>
  <si>
    <t>hitumetu\snow1.s</t>
  </si>
  <si>
    <t>hitumetu\snow2.s</t>
  </si>
  <si>
    <t>hitumetu\tama.tex</t>
  </si>
  <si>
    <t>hitumetu\tama1.s</t>
  </si>
  <si>
    <t>lunatic\barsac_1.tex</t>
  </si>
  <si>
    <t>lunatic\power_1.p</t>
  </si>
  <si>
    <t xml:space="preserve">brd.rsd </t>
  </si>
  <si>
    <t>lunatic\power_1.rsd</t>
  </si>
  <si>
    <t>Diamond Weapon: Lower Leg</t>
  </si>
  <si>
    <t>lunatic\smoke_1.s</t>
  </si>
  <si>
    <t xml:space="preserve">fkay </t>
  </si>
  <si>
    <t>lunatic\smoke_1.tex</t>
  </si>
  <si>
    <t>matsuri\chi_1.s</t>
  </si>
  <si>
    <t>meikyo\mizu.tex</t>
  </si>
  <si>
    <t>meteo_r\air_1.rsd</t>
  </si>
  <si>
    <t>meteo_r\air_1.tex</t>
  </si>
  <si>
    <t xml:space="preserve">bre.p </t>
  </si>
  <si>
    <t>meteo_r\bomb_a.s</t>
  </si>
  <si>
    <t>meteo_r\bomb_a.tex</t>
  </si>
  <si>
    <t>meteo_r\comet_1.tex</t>
  </si>
  <si>
    <t xml:space="preserve">fkaz </t>
  </si>
  <si>
    <t>meteo_r\exp_1.p</t>
  </si>
  <si>
    <t>meteo_r\exp_1.rsd</t>
  </si>
  <si>
    <t>meteo_r\exp_2.p</t>
  </si>
  <si>
    <t xml:space="preserve">bridge.tex </t>
  </si>
  <si>
    <t>meteo_r\exp_2.rsd</t>
  </si>
  <si>
    <t>Wutai bridges 1</t>
  </si>
  <si>
    <t>meteo_r\exp_2.tex</t>
  </si>
  <si>
    <t>meteo_r\exp_3.p</t>
  </si>
  <si>
    <t>meteo_r\exp_3.rsd</t>
  </si>
  <si>
    <t>meteo_r\flame_a.tex</t>
  </si>
  <si>
    <t xml:space="preserve">fkba </t>
  </si>
  <si>
    <t>meteo_r\flash_1.p</t>
  </si>
  <si>
    <t xml:space="preserve">bridge2.tex </t>
  </si>
  <si>
    <t>meteo_r\flash_1.rsd</t>
  </si>
  <si>
    <t>Wutai bridges 2</t>
  </si>
  <si>
    <t>meteo_r\meteo_1.p</t>
  </si>
  <si>
    <t>meteo_r\meteo_1.rsd</t>
  </si>
  <si>
    <t>meteo_r\sonic_1.tex</t>
  </si>
  <si>
    <t>night\air_1.p</t>
  </si>
  <si>
    <t>night\air_1.rsd</t>
  </si>
  <si>
    <t>night\air_1.tex</t>
  </si>
  <si>
    <t xml:space="preserve">bsa.rsd </t>
  </si>
  <si>
    <t xml:space="preserve">fkbb </t>
  </si>
  <si>
    <t>Diamond Weapon: Foot</t>
  </si>
  <si>
    <t>night\satan_2.lmd</t>
  </si>
  <si>
    <t>night\satan_2.p</t>
  </si>
  <si>
    <t>night\satan_2.rsd</t>
  </si>
  <si>
    <t>night\smokea.lmd</t>
  </si>
  <si>
    <t>night\smoke_a.rsd</t>
  </si>
  <si>
    <t>night\smoke_x.s</t>
  </si>
  <si>
    <t xml:space="preserve">bsb.p </t>
  </si>
  <si>
    <t>night\smoke_x.tex</t>
  </si>
  <si>
    <t>night\spark_1.s</t>
  </si>
  <si>
    <t xml:space="preserve">fkbd </t>
  </si>
  <si>
    <t>satan\flash_1.p</t>
  </si>
  <si>
    <t>satan\flash_1.rsd</t>
  </si>
  <si>
    <t>satan\satan_2.lmd</t>
  </si>
  <si>
    <t>satan\satan_2.p</t>
  </si>
  <si>
    <t>satan\satan_2.rsd</t>
  </si>
  <si>
    <t xml:space="preserve">bsc.rsd </t>
  </si>
  <si>
    <t>satan\smoke_x.s</t>
  </si>
  <si>
    <t>satan\smoke_x.tex</t>
  </si>
  <si>
    <t>spark\elec_1.s</t>
  </si>
  <si>
    <t xml:space="preserve">fkbe </t>
  </si>
  <si>
    <t>spark\elec_1.tex</t>
  </si>
  <si>
    <t>spark\elec_3.s</t>
  </si>
  <si>
    <t>spark\hit_1.s</t>
  </si>
  <si>
    <t xml:space="preserve">bsd.p </t>
  </si>
  <si>
    <t>spark\hit_1.tex</t>
  </si>
  <si>
    <t>spark\power_1.p</t>
  </si>
  <si>
    <t>spark\power_1.rsd</t>
  </si>
  <si>
    <t>tifa1\01.p</t>
  </si>
  <si>
    <t>tifa1\01.rsd</t>
  </si>
  <si>
    <t xml:space="preserve">fkbf </t>
  </si>
  <si>
    <t>tifa1\exp_1.p</t>
  </si>
  <si>
    <t>tifa1\exp_1.rsd</t>
  </si>
  <si>
    <t>tifa1\exp_1.tex</t>
  </si>
  <si>
    <t xml:space="preserve">bse.rsd </t>
  </si>
  <si>
    <t>tifa1\exp_2.p</t>
  </si>
  <si>
    <t>tifa1\exp_2.rsd</t>
  </si>
  <si>
    <t>tifa1\exp_2.tex</t>
  </si>
  <si>
    <t>tifa1\exp_3.p</t>
  </si>
  <si>
    <t>tifa1\exp_3.rsd</t>
  </si>
  <si>
    <t xml:space="preserve">fkbg </t>
  </si>
  <si>
    <t>tifa1\flash_1.rsd</t>
  </si>
  <si>
    <t xml:space="preserve">bta.p </t>
  </si>
  <si>
    <t>tifa1\hit_1.s</t>
  </si>
  <si>
    <t>tifa1\hit_1.tex</t>
  </si>
  <si>
    <t>tifa1\meteo_1.p</t>
  </si>
  <si>
    <t>tifa1\meteo_1.rsd</t>
  </si>
  <si>
    <t>tifa1\ring_2.p</t>
  </si>
  <si>
    <t>tifa1\ring_2.rsd</t>
  </si>
  <si>
    <t>tifa1\rock_1.p</t>
  </si>
  <si>
    <t xml:space="preserve">btb.rsd </t>
  </si>
  <si>
    <t xml:space="preserve">fkbi </t>
  </si>
  <si>
    <t>tifa1\rock_1.rsd</t>
  </si>
  <si>
    <t>tifa1\rock_1.tex</t>
  </si>
  <si>
    <t>tifa1\rock_2.p</t>
  </si>
  <si>
    <t>tifa1\rock_2.rsd</t>
  </si>
  <si>
    <t>tifa1\rock_3.p</t>
  </si>
  <si>
    <t>tifa1\rock_3.rsd</t>
  </si>
  <si>
    <t xml:space="preserve">btc.p </t>
  </si>
  <si>
    <t>tifa1\sonic_1.p</t>
  </si>
  <si>
    <t>tifa1\sonic_1.rsd</t>
  </si>
  <si>
    <t xml:space="preserve">fkbj </t>
  </si>
  <si>
    <t>tifa1\sonic_1.tex</t>
  </si>
  <si>
    <t>tifa1\water_1.p</t>
  </si>
  <si>
    <t>tifa1\water_1.rsd</t>
  </si>
  <si>
    <t>tifa1\water_1.tex</t>
  </si>
  <si>
    <t>toybox\hanmer.p</t>
  </si>
  <si>
    <t xml:space="preserve">btd.a </t>
  </si>
  <si>
    <t>Diamond Weapon: Standing</t>
  </si>
  <si>
    <t>toybox\hanmer.rsd</t>
  </si>
  <si>
    <t>toybox\hatena1.s</t>
  </si>
  <si>
    <t xml:space="preserve">bte.a </t>
  </si>
  <si>
    <t>Diamond Weapon: Walking</t>
  </si>
  <si>
    <t>toybox\hatena_1.tex</t>
  </si>
  <si>
    <t xml:space="preserve">fkbk </t>
  </si>
  <si>
    <t xml:space="preserve">bua.a </t>
  </si>
  <si>
    <t>toybox\hatena_2.rsd</t>
  </si>
  <si>
    <t>Diamond Weapon: Looking left</t>
  </si>
  <si>
    <t>toybox\hatena_2.tex</t>
  </si>
  <si>
    <t xml:space="preserve">bub.a </t>
  </si>
  <si>
    <t>.\FF7\DATA\BATTLE\LIMIT3</t>
  </si>
  <si>
    <t>Diamond Weapon: Looking right</t>
  </si>
  <si>
    <t>b_jump\hj_hit.s</t>
  </si>
  <si>
    <t xml:space="preserve">buc.a </t>
  </si>
  <si>
    <t>b_jump\h_jump.s</t>
  </si>
  <si>
    <t>Diamond Weapon: Starting fight</t>
  </si>
  <si>
    <t>c_m\baku1.p</t>
  </si>
  <si>
    <t xml:space="preserve">bud.hrc </t>
  </si>
  <si>
    <t>c_m\baku1.rsd</t>
  </si>
  <si>
    <t>Emerald Weapon</t>
  </si>
  <si>
    <t>c_m\domu1.tex</t>
  </si>
  <si>
    <t xml:space="preserve">fkbl </t>
  </si>
  <si>
    <t>c_m\ex.tex</t>
  </si>
  <si>
    <t>c_m\ha1.tex</t>
  </si>
  <si>
    <t>c_m\ha2.tex</t>
  </si>
  <si>
    <t>c_m\ha3.tex</t>
  </si>
  <si>
    <t xml:space="preserve">bue.rsd </t>
  </si>
  <si>
    <t>c_m\ha4.tex</t>
  </si>
  <si>
    <t>c_m\ha5.tex</t>
  </si>
  <si>
    <t>c_m\ha6.tex</t>
  </si>
  <si>
    <t xml:space="preserve">fkbm </t>
  </si>
  <si>
    <t>c_m\hado.p</t>
  </si>
  <si>
    <t>c_m\hado.rsd</t>
  </si>
  <si>
    <t>c_m\hado1.p</t>
  </si>
  <si>
    <t>c_m\hado1.rsd</t>
  </si>
  <si>
    <t>c_m\hikari.p</t>
  </si>
  <si>
    <t xml:space="preserve">bva.p </t>
  </si>
  <si>
    <t>c_m\hikari.rsd</t>
  </si>
  <si>
    <t>c_m\isi.tex</t>
  </si>
  <si>
    <t>c_m\isi1.p</t>
  </si>
  <si>
    <t xml:space="preserve">fkbn </t>
  </si>
  <si>
    <t>c_m\isi1.rsd</t>
  </si>
  <si>
    <t>c_m\isi4.p</t>
  </si>
  <si>
    <t>c_m\isi4.rsd</t>
  </si>
  <si>
    <t>c_m\iwa1.p</t>
  </si>
  <si>
    <t xml:space="preserve">bvb.rsd </t>
  </si>
  <si>
    <t>c_m\iwa1.rsd</t>
  </si>
  <si>
    <t>c_m\iwa2.p</t>
  </si>
  <si>
    <t>c_m\iwa2.rsd</t>
  </si>
  <si>
    <t xml:space="preserve">fkbo </t>
  </si>
  <si>
    <t>c_m\jo_a.s</t>
  </si>
  <si>
    <t>c_m\kemu.s</t>
  </si>
  <si>
    <t>c_m\kou.s</t>
  </si>
  <si>
    <t xml:space="preserve">bvc.p </t>
  </si>
  <si>
    <t>c_m\kou1.p</t>
  </si>
  <si>
    <t>c_m\kou1.rsd</t>
  </si>
  <si>
    <t>c_m\senkou1.p</t>
  </si>
  <si>
    <t>c_m\senkou1.rsd</t>
  </si>
  <si>
    <t>c_m\ster.p</t>
  </si>
  <si>
    <t xml:space="preserve">fkda </t>
  </si>
  <si>
    <t>c_m\ster.rsd</t>
  </si>
  <si>
    <t xml:space="preserve">bvd.rsd </t>
  </si>
  <si>
    <t>c_m\ster.tex</t>
  </si>
  <si>
    <t>c_m\tama.s</t>
  </si>
  <si>
    <t xml:space="preserve">flaa </t>
  </si>
  <si>
    <t>c_m\wa.p</t>
  </si>
  <si>
    <t>Velcher Task: Battle Skeleton</t>
  </si>
  <si>
    <t>c_m\wa.rsd</t>
  </si>
  <si>
    <t>d_dive\ex.tex</t>
  </si>
  <si>
    <t>d_dive\explo_1.p</t>
  </si>
  <si>
    <t>d_dive\explo_1.rsd</t>
  </si>
  <si>
    <t xml:space="preserve">bve.p </t>
  </si>
  <si>
    <t>d_dive\jo_a.s</t>
  </si>
  <si>
    <t>d_m\head.rsd</t>
  </si>
  <si>
    <t>d_m\hikari.p</t>
  </si>
  <si>
    <t xml:space="preserve">flab </t>
  </si>
  <si>
    <t>d_m\hikari.rsd</t>
  </si>
  <si>
    <t>Velcher Task: Unidentified Part</t>
  </si>
  <si>
    <t>d_m\jo_1.s</t>
  </si>
  <si>
    <t xml:space="preserve">flam </t>
  </si>
  <si>
    <t>d_m\jo_a.s</t>
  </si>
  <si>
    <t xml:space="preserve">bwa.rsd </t>
  </si>
  <si>
    <t>e_r\isi.tex</t>
  </si>
  <si>
    <t>e_r\isi1.p</t>
  </si>
  <si>
    <t>e_r\isi1.rsd</t>
  </si>
  <si>
    <t>e_r\isi2.p</t>
  </si>
  <si>
    <t>e_r\isi2.rsd</t>
  </si>
  <si>
    <t>e_r\isi3.p</t>
  </si>
  <si>
    <t xml:space="preserve">bwb.p </t>
  </si>
  <si>
    <t>e_r\isi3.rsd</t>
  </si>
  <si>
    <t xml:space="preserve">flan </t>
  </si>
  <si>
    <t>e_r\isi4.p</t>
  </si>
  <si>
    <t>e_r\isi4.rsd</t>
  </si>
  <si>
    <t>e_r\iwa.rsd</t>
  </si>
  <si>
    <t>e_r\kemu1.s</t>
  </si>
  <si>
    <t>e_r\kemu1.tex</t>
  </si>
  <si>
    <t>hiwind\ex.tex</t>
  </si>
  <si>
    <t xml:space="preserve">bwc.rsd </t>
  </si>
  <si>
    <t xml:space="preserve">flao </t>
  </si>
  <si>
    <t>h_jump\domu1.p</t>
  </si>
  <si>
    <t>h_jump\domu1.rsd</t>
  </si>
  <si>
    <t>h_jump\domu1.tex</t>
  </si>
  <si>
    <t>h_jump\domu3.p</t>
  </si>
  <si>
    <t>h_jump\domu3.rsd</t>
  </si>
  <si>
    <t>h_jump\force.rsd</t>
  </si>
  <si>
    <t xml:space="preserve">bwd.p </t>
  </si>
  <si>
    <t>h_jump\hikari.p</t>
  </si>
  <si>
    <t>h_jump\hikari.rsd</t>
  </si>
  <si>
    <t>h_jump\hj_hit.s</t>
  </si>
  <si>
    <t>h_jump\h_jump.s</t>
  </si>
  <si>
    <t xml:space="preserve">flap </t>
  </si>
  <si>
    <t>h_jump\wa.p</t>
  </si>
  <si>
    <t>h_jump\wa.rsd</t>
  </si>
  <si>
    <t xml:space="preserve">bwe.rsd </t>
  </si>
  <si>
    <t>h_moon\smoke_1.s</t>
  </si>
  <si>
    <t>h_moon\smoke_1.tex</t>
  </si>
  <si>
    <t>ranntou\kemuri.s</t>
  </si>
  <si>
    <t>r_pain\hit.rsd</t>
  </si>
  <si>
    <t>r_pain\impulse.rsd</t>
  </si>
  <si>
    <t>sinra\ex.tex</t>
  </si>
  <si>
    <t>sinra\explo_1.p</t>
  </si>
  <si>
    <t xml:space="preserve">flar </t>
  </si>
  <si>
    <t xml:space="preserve">bxa.p </t>
  </si>
  <si>
    <t>sinra\explo_1.rsd</t>
  </si>
  <si>
    <t>sinra\sonic.p</t>
  </si>
  <si>
    <t>sinra\sonic.rsd</t>
  </si>
  <si>
    <t>sld_fang\force.rsd</t>
  </si>
  <si>
    <t>sld_fang\smoke_1.s</t>
  </si>
  <si>
    <t>s_d\hosi.s</t>
  </si>
  <si>
    <t xml:space="preserve">bxb.rsd </t>
  </si>
  <si>
    <t>s_d\hosi1.s</t>
  </si>
  <si>
    <t>s_d\jo_c04.s</t>
  </si>
  <si>
    <t>s_d\kou1.p</t>
  </si>
  <si>
    <t xml:space="preserve">bxc.p </t>
  </si>
  <si>
    <t xml:space="preserve">flat </t>
  </si>
  <si>
    <t>s_d\kou1.rsd</t>
  </si>
  <si>
    <t>s_d\snow.tex</t>
  </si>
  <si>
    <t>s_d\wa.p</t>
  </si>
  <si>
    <t xml:space="preserve">bxd.rsd </t>
  </si>
  <si>
    <t>s_d\wa.rsd</t>
  </si>
  <si>
    <t xml:space="preserve">flau </t>
  </si>
  <si>
    <t>.\FF7\DATA\BATTLE\MAGIC</t>
  </si>
  <si>
    <t>aleiz\hikari.s</t>
  </si>
  <si>
    <t>aleiz\light_1.p</t>
  </si>
  <si>
    <t>aleiz\light_1.rsd</t>
  </si>
  <si>
    <t>altema\light_1.p</t>
  </si>
  <si>
    <t xml:space="preserve">bxe.p </t>
  </si>
  <si>
    <t>altema\light_1.rsd</t>
  </si>
  <si>
    <t>barsac\barsac_1.tex</t>
  </si>
  <si>
    <t>barsac\elec_1.s</t>
  </si>
  <si>
    <t xml:space="preserve">flav </t>
  </si>
  <si>
    <t>barsac\elec_1.tex</t>
  </si>
  <si>
    <t>barsac\smoke_1.s</t>
  </si>
  <si>
    <t>barsac\smoke_1.tex</t>
  </si>
  <si>
    <t xml:space="preserve">bya.rsd </t>
  </si>
  <si>
    <t>bio\bio_a.s</t>
  </si>
  <si>
    <t>bio2\bio_a.s</t>
  </si>
  <si>
    <t>bio3\bio_a.s</t>
  </si>
  <si>
    <t>bio4\01.p</t>
  </si>
  <si>
    <t>bio4\01.rsd</t>
  </si>
  <si>
    <t xml:space="preserve">flax </t>
  </si>
  <si>
    <t>bio4\bio_a.s</t>
  </si>
  <si>
    <t>break\wind_1.p</t>
  </si>
  <si>
    <t>break\wind_1.rsd</t>
  </si>
  <si>
    <t xml:space="preserve">byb.p </t>
  </si>
  <si>
    <t>break\wind_2.p</t>
  </si>
  <si>
    <t>break\wind_2.rsd</t>
  </si>
  <si>
    <t>brizag\brizag_1.p</t>
  </si>
  <si>
    <t>brizag\brizag_1.rsd</t>
  </si>
  <si>
    <t xml:space="preserve">flay </t>
  </si>
  <si>
    <t>brizag\brizag_1.tex</t>
  </si>
  <si>
    <t>brizag\brizag_2.rsd</t>
  </si>
  <si>
    <t xml:space="preserve">byc.rsd </t>
  </si>
  <si>
    <t>brizag\brizag_2.tex</t>
  </si>
  <si>
    <t>brizag\brizag_3.tex</t>
  </si>
  <si>
    <t>brizag\brizag_4.tex</t>
  </si>
  <si>
    <t>brizag2\brizag_1.p</t>
  </si>
  <si>
    <t>brizag2\brizag_1.rsd</t>
  </si>
  <si>
    <t>brizag2\brizag_1.tex</t>
  </si>
  <si>
    <t xml:space="preserve">flaz </t>
  </si>
  <si>
    <t>brizag2\brizag_2.rsd</t>
  </si>
  <si>
    <t xml:space="preserve">byd.p </t>
  </si>
  <si>
    <t>brizag2\brizag_2.tex</t>
  </si>
  <si>
    <t>brizag2\brizag_3.tex</t>
  </si>
  <si>
    <t>brizag2\brizag_4.tex</t>
  </si>
  <si>
    <t xml:space="preserve">bye.rsd </t>
  </si>
  <si>
    <t xml:space="preserve">flbb </t>
  </si>
  <si>
    <t>brizag2\smoke1.s</t>
  </si>
  <si>
    <t>brizag2\smoke2.s</t>
  </si>
  <si>
    <t>brizag2\smoke_1.tex</t>
  </si>
  <si>
    <t>brizag2\smoke_2.tex</t>
  </si>
  <si>
    <t>brizag2\sonic.p</t>
  </si>
  <si>
    <t>brizag2\sonic.rsd</t>
  </si>
  <si>
    <t xml:space="preserve">bza.p </t>
  </si>
  <si>
    <t>comet\bomb_a.s</t>
  </si>
  <si>
    <t>comet\bomb_a.tex</t>
  </si>
  <si>
    <t xml:space="preserve">flbc </t>
  </si>
  <si>
    <t>comet\comet_1.p</t>
  </si>
  <si>
    <t>comet\comet_1.rsd</t>
  </si>
  <si>
    <t>comet\comet_1.tex</t>
  </si>
  <si>
    <t>comet\comet_2.p</t>
  </si>
  <si>
    <t xml:space="preserve">bzb.rsd </t>
  </si>
  <si>
    <t>comet\comet_2.rsd</t>
  </si>
  <si>
    <t>comet\exp_1.p</t>
  </si>
  <si>
    <t>comet\exp_1.rsd</t>
  </si>
  <si>
    <t>comet\exp_2.tex</t>
  </si>
  <si>
    <t xml:space="preserve">flbf </t>
  </si>
  <si>
    <t>comet\flame_a.tex</t>
  </si>
  <si>
    <t>comet\sonic_1.p</t>
  </si>
  <si>
    <t>comet\sonic_1.rsd</t>
  </si>
  <si>
    <t>comet\sonic_1.tex</t>
  </si>
  <si>
    <t>comet\stone_1.p</t>
  </si>
  <si>
    <t>comet\stone_1.rsd</t>
  </si>
  <si>
    <t>comet\stone_2.p</t>
  </si>
  <si>
    <t>comet\stone_2.rsd</t>
  </si>
  <si>
    <t>cometeo\bomb_a.s</t>
  </si>
  <si>
    <t xml:space="preserve">flbh </t>
  </si>
  <si>
    <t>cometeo\bomb_a.tex</t>
  </si>
  <si>
    <t>cometeo\comet_1.p</t>
  </si>
  <si>
    <t>cometeo\comet_1.rsd</t>
  </si>
  <si>
    <t>cometeo\comet_1.tex</t>
  </si>
  <si>
    <t>cometeo\comet_2.p</t>
  </si>
  <si>
    <t>cometeo\comet_2.rsd</t>
  </si>
  <si>
    <t>cometeo\exp_1.p</t>
  </si>
  <si>
    <t xml:space="preserve">flbi </t>
  </si>
  <si>
    <t>cometeo\exp_1.rsd</t>
  </si>
  <si>
    <t>cometeo\exp_2.tex</t>
  </si>
  <si>
    <t>cometeo\flame_a.tex</t>
  </si>
  <si>
    <t>cometeo\sonic_1.p</t>
  </si>
  <si>
    <t>cometeo\sonic_1.rsd</t>
  </si>
  <si>
    <t>cometeo\sonic_1.tex</t>
  </si>
  <si>
    <t>cometeo\stone_1.p</t>
  </si>
  <si>
    <t>cometeo\stone_1.rsd</t>
  </si>
  <si>
    <t xml:space="preserve">flbl </t>
  </si>
  <si>
    <t>cometeo\stone_2.p</t>
  </si>
  <si>
    <t>cometeo\stone_2.rsd</t>
  </si>
  <si>
    <t>debaria\light_1.p</t>
  </si>
  <si>
    <t>debaria\light_1.rsd</t>
  </si>
  <si>
    <t xml:space="preserve">bzc.p </t>
  </si>
  <si>
    <t>dejon\dejon_1.s</t>
  </si>
  <si>
    <t>dejon\dejon_2.p</t>
  </si>
  <si>
    <t>dejon\dejon_2.rsd</t>
  </si>
  <si>
    <t xml:space="preserve">flbn </t>
  </si>
  <si>
    <t>dejon\dejon_2.s</t>
  </si>
  <si>
    <t>dejon\dejon_a.tex</t>
  </si>
  <si>
    <t>deth\smoke.tex</t>
  </si>
  <si>
    <t>deth\smoke_1.s</t>
  </si>
  <si>
    <t xml:space="preserve">bzd.rsd </t>
  </si>
  <si>
    <t>dethper\light_1.p</t>
  </si>
  <si>
    <t>dethper\light_1.rsd</t>
  </si>
  <si>
    <t>esna\line.s</t>
  </si>
  <si>
    <t>faiga\1.tex</t>
  </si>
  <si>
    <t xml:space="preserve">flbo </t>
  </si>
  <si>
    <t>faiga\faiga_1.rsd</t>
  </si>
  <si>
    <t>faiga\light_1.rsd</t>
  </si>
  <si>
    <t xml:space="preserve">bzdun.tex </t>
  </si>
  <si>
    <t>Sleeping man cave</t>
  </si>
  <si>
    <t>faiga3\faiga_1.rsd</t>
  </si>
  <si>
    <t>faiga3\light_1.p</t>
  </si>
  <si>
    <t>faiga3\light_1.rsd</t>
  </si>
  <si>
    <t>faiga3\light_2.p</t>
  </si>
  <si>
    <t>faiga3\light_2.rsd</t>
  </si>
  <si>
    <t>faira\1.p</t>
  </si>
  <si>
    <t>faira\1.rsd</t>
  </si>
  <si>
    <t xml:space="preserve">bze.p </t>
  </si>
  <si>
    <t>faira\2.p</t>
  </si>
  <si>
    <t>faira\2.rsd</t>
  </si>
  <si>
    <t>faira\3.p</t>
  </si>
  <si>
    <t>faira\3.rsd</t>
  </si>
  <si>
    <t>faira\4.p</t>
  </si>
  <si>
    <t xml:space="preserve">flbp </t>
  </si>
  <si>
    <t>faira\4.rsd</t>
  </si>
  <si>
    <t xml:space="preserve">caa.rsd </t>
  </si>
  <si>
    <t>faira\5.p</t>
  </si>
  <si>
    <t>faira\5.rsd</t>
  </si>
  <si>
    <t>faira\6.p</t>
  </si>
  <si>
    <t>faira\6.rsd</t>
  </si>
  <si>
    <t>faira\7.p</t>
  </si>
  <si>
    <t>faira\7.rsd</t>
  </si>
  <si>
    <t>faira\8.p</t>
  </si>
  <si>
    <t xml:space="preserve">cab.p </t>
  </si>
  <si>
    <t xml:space="preserve">flbr </t>
  </si>
  <si>
    <t>faira\8.rsd</t>
  </si>
  <si>
    <t>flea\exp_1.s</t>
  </si>
  <si>
    <t>flea\exp_2.s</t>
  </si>
  <si>
    <t>flea\exp_3.s</t>
  </si>
  <si>
    <t>flea\flea_1.p</t>
  </si>
  <si>
    <t>flea\flea_1.rsd</t>
  </si>
  <si>
    <t xml:space="preserve">cac.rsd </t>
  </si>
  <si>
    <t>flea\flea_1.tex</t>
  </si>
  <si>
    <t>flea\flea_2.p</t>
  </si>
  <si>
    <t xml:space="preserve">flbs </t>
  </si>
  <si>
    <t>flea\flea_2.rsd</t>
  </si>
  <si>
    <t>flea\flea_2.tex</t>
  </si>
  <si>
    <t>flea\flea_3.tex</t>
  </si>
  <si>
    <t>flea\flea_4.tex</t>
  </si>
  <si>
    <t xml:space="preserve">cad.p </t>
  </si>
  <si>
    <t>flea\flea_5.tex</t>
  </si>
  <si>
    <t>freeze\ice_1.p</t>
  </si>
  <si>
    <t>freeze\ice_1.rsd</t>
  </si>
  <si>
    <t>freeze\ice_1.tex</t>
  </si>
  <si>
    <t xml:space="preserve">flbt </t>
  </si>
  <si>
    <t>freeze\light_1.p</t>
  </si>
  <si>
    <t>freeze\light_1.rsd</t>
  </si>
  <si>
    <t>freeze\ring_2.p</t>
  </si>
  <si>
    <t xml:space="preserve">cae.rsd </t>
  </si>
  <si>
    <t>freeze\ring_2.rsd</t>
  </si>
  <si>
    <t>freeze\smoke_1.s</t>
  </si>
  <si>
    <t>freeze\snow_1.s</t>
  </si>
  <si>
    <t>full\sonic.p</t>
  </si>
  <si>
    <t>full\sonic.rsd</t>
  </si>
  <si>
    <t xml:space="preserve">flbu </t>
  </si>
  <si>
    <t>full\ster.tex</t>
  </si>
  <si>
    <t xml:space="preserve">cave.tex </t>
  </si>
  <si>
    <t>Materia cave1</t>
  </si>
  <si>
    <t>grav1\elec_3.s</t>
  </si>
  <si>
    <t>grav2\elec_4.s</t>
  </si>
  <si>
    <t>grav2\gravir00.tex</t>
  </si>
  <si>
    <t>grav2\gravir01.tex</t>
  </si>
  <si>
    <t>grav2\gravir02.tex</t>
  </si>
  <si>
    <t>grav2\gravir03.tex</t>
  </si>
  <si>
    <t>grav2\grav_2.s</t>
  </si>
  <si>
    <t xml:space="preserve">cave_s.tex </t>
  </si>
  <si>
    <t xml:space="preserve">flbv </t>
  </si>
  <si>
    <t>Materia cave2</t>
  </si>
  <si>
    <t>grav3_1\elec_4.s</t>
  </si>
  <si>
    <t>grav3_1\gravig00.tex</t>
  </si>
  <si>
    <t>grav3_1\gravig01.tex</t>
  </si>
  <si>
    <t>grav3_1\gravig02.tex</t>
  </si>
  <si>
    <t>grav3_1\grav_2.s</t>
  </si>
  <si>
    <t>grav5\elec_4.s</t>
  </si>
  <si>
    <t xml:space="preserve">cave2.tex </t>
  </si>
  <si>
    <t>grav5\gravig00.tex</t>
  </si>
  <si>
    <t>Materia cave3</t>
  </si>
  <si>
    <t xml:space="preserve">flbw </t>
  </si>
  <si>
    <t>grav5\gravig01.tex</t>
  </si>
  <si>
    <t>grav5\gravig02.tex</t>
  </si>
  <si>
    <t>grav5\ring_1.p</t>
  </si>
  <si>
    <t>grav5\ring_1.rsd</t>
  </si>
  <si>
    <t>grav5\tama_1.tex</t>
  </si>
  <si>
    <t xml:space="preserve">cba.p </t>
  </si>
  <si>
    <t>heist\hari.p</t>
  </si>
  <si>
    <t>heist\hari.rsd</t>
  </si>
  <si>
    <t xml:space="preserve">flbx </t>
  </si>
  <si>
    <t>limit\jo_fir.rsd</t>
  </si>
  <si>
    <t>limit\jo_p01.rsd</t>
  </si>
  <si>
    <t>limit\jo_p02.rsd</t>
  </si>
  <si>
    <t xml:space="preserve">cbb.rsd </t>
  </si>
  <si>
    <t>limit\jo_tam.rsd</t>
  </si>
  <si>
    <t>mbaria\jo_mba.rsd</t>
  </si>
  <si>
    <t>mgun\jo_fir.p</t>
  </si>
  <si>
    <t>mgun\jo_fir.rsd</t>
  </si>
  <si>
    <t xml:space="preserve">flda </t>
  </si>
  <si>
    <t>mgun\jo_p01.rsd</t>
  </si>
  <si>
    <t>mgun\jo_p02.rsd</t>
  </si>
  <si>
    <t xml:space="preserve">cbc.p </t>
  </si>
  <si>
    <t>mgun\jo_tam.rsd</t>
  </si>
  <si>
    <t xml:space="preserve">fmaa </t>
  </si>
  <si>
    <t>queig\light_1.p</t>
  </si>
  <si>
    <t>Bahba Velamyu: Battle Skeleton</t>
  </si>
  <si>
    <t>queig\light_1.rsd</t>
  </si>
  <si>
    <t>queig\light_1.tex</t>
  </si>
  <si>
    <t>queig\light_2.p</t>
  </si>
  <si>
    <t>queig\light_2.rsd</t>
  </si>
  <si>
    <t xml:space="preserve">cbd.rsd </t>
  </si>
  <si>
    <t>queig\light_2.tex</t>
  </si>
  <si>
    <t>queig\light_3.tex</t>
  </si>
  <si>
    <t>queig\light_4.tex</t>
  </si>
  <si>
    <t>queig\smoke_1.tex</t>
  </si>
  <si>
    <t>queig\smoke_2.tex</t>
  </si>
  <si>
    <t>queig\smoke_3.tex</t>
  </si>
  <si>
    <t xml:space="preserve">fmab </t>
  </si>
  <si>
    <t>queig\smoke_4.tex</t>
  </si>
  <si>
    <t>Bahba Velamyu: Unidentified Part</t>
  </si>
  <si>
    <t>queik\queik.p</t>
  </si>
  <si>
    <t>queik\queik.rsd</t>
  </si>
  <si>
    <t xml:space="preserve">fmac </t>
  </si>
  <si>
    <t>queik\queik_1.tex</t>
  </si>
  <si>
    <t>Bahba Velamyu: Eye</t>
  </si>
  <si>
    <t>queir\light_1.p</t>
  </si>
  <si>
    <t>queir\light_1.rsd</t>
  </si>
  <si>
    <t xml:space="preserve">cbe.p </t>
  </si>
  <si>
    <t>queir\light_1.tex</t>
  </si>
  <si>
    <t>queir\light_2.p</t>
  </si>
  <si>
    <t>queir\light_2.rsd</t>
  </si>
  <si>
    <t>queir\light_2.tex</t>
  </si>
  <si>
    <t>queir\light_3.tex</t>
  </si>
  <si>
    <t xml:space="preserve">fmam </t>
  </si>
  <si>
    <t>queir\light_4.tex</t>
  </si>
  <si>
    <t xml:space="preserve">cca.rsd </t>
  </si>
  <si>
    <t>queir\stone.tex</t>
  </si>
  <si>
    <t>rezist\line.s</t>
  </si>
  <si>
    <t>sailess\sailess.p</t>
  </si>
  <si>
    <t>sailess\sailess.rsd</t>
  </si>
  <si>
    <t>sailess\sailess.tex</t>
  </si>
  <si>
    <t>slou\hari.p</t>
  </si>
  <si>
    <t>slou\hari.rsd</t>
  </si>
  <si>
    <t xml:space="preserve">ccb.p </t>
  </si>
  <si>
    <t>stop\hari_1.p</t>
  </si>
  <si>
    <t xml:space="preserve">fman </t>
  </si>
  <si>
    <t>stop\hari_1.rsd</t>
  </si>
  <si>
    <t>stop\stop.tex</t>
  </si>
  <si>
    <t>stop\stop_1.p</t>
  </si>
  <si>
    <t>stop\stop_1.rsd</t>
  </si>
  <si>
    <t>stop\stop_2.p</t>
  </si>
  <si>
    <t xml:space="preserve">ccc.rsd </t>
  </si>
  <si>
    <t>stop\stop_2.rsd</t>
  </si>
  <si>
    <t>thunder\sonic_1.tex</t>
  </si>
  <si>
    <t>thunder\spark_1.s</t>
  </si>
  <si>
    <t xml:space="preserve">fmao </t>
  </si>
  <si>
    <t>thunder\thunde00.tex</t>
  </si>
  <si>
    <t>thunder\thunde01.tex</t>
  </si>
  <si>
    <t>thunder\thund_3.p</t>
  </si>
  <si>
    <t xml:space="preserve">ccd.p </t>
  </si>
  <si>
    <t>thunder\thund_3.rsd</t>
  </si>
  <si>
    <t>thunder3\kami_7.s</t>
  </si>
  <si>
    <t>thunder3\sonic_1.tex</t>
  </si>
  <si>
    <t>thunder3\spark_4.s</t>
  </si>
  <si>
    <t>thunder3\stone.p</t>
  </si>
  <si>
    <t xml:space="preserve">fmap </t>
  </si>
  <si>
    <t>thunder3\stone.rsd</t>
  </si>
  <si>
    <t xml:space="preserve">cce.rsd </t>
  </si>
  <si>
    <t>thunder3\stone.tex</t>
  </si>
  <si>
    <t>thunder3\thundg00.tex</t>
  </si>
  <si>
    <t>thunder3\thundg01.tex</t>
  </si>
  <si>
    <t>thunder3\thundg02.tex</t>
  </si>
  <si>
    <t>thunder3\thundg03.tex</t>
  </si>
  <si>
    <t>thunder3\thund_3.p</t>
  </si>
  <si>
    <t xml:space="preserve">fmar </t>
  </si>
  <si>
    <t>thunder3\thund_3.rsd</t>
  </si>
  <si>
    <t xml:space="preserve">cda.p </t>
  </si>
  <si>
    <t>thunder4\kami_7.s</t>
  </si>
  <si>
    <t>thunder4\sonic_1.tex</t>
  </si>
  <si>
    <t>thunder4\spark_4.s</t>
  </si>
  <si>
    <t>thunder4\stone.p</t>
  </si>
  <si>
    <t>thunder4\stone.rsd</t>
  </si>
  <si>
    <t>thunder4\stone.tex</t>
  </si>
  <si>
    <t xml:space="preserve">cdb.rsd </t>
  </si>
  <si>
    <t>thunder4\thundg00.tex</t>
  </si>
  <si>
    <t xml:space="preserve">fmas </t>
  </si>
  <si>
    <t>thunder4\thundg01.tex</t>
  </si>
  <si>
    <t>thunder4\thundg02.tex</t>
  </si>
  <si>
    <t>thunder4\thundg03.tex</t>
  </si>
  <si>
    <t>thunder4\thund_3.p</t>
  </si>
  <si>
    <t>thunder4\thund_3.rsd</t>
  </si>
  <si>
    <t xml:space="preserve">cdc.p </t>
  </si>
  <si>
    <t>thundera\elec_1.s</t>
  </si>
  <si>
    <t>thundera\thunde00.tex</t>
  </si>
  <si>
    <t>thundera\thunde01.tex</t>
  </si>
  <si>
    <t xml:space="preserve">fmat </t>
  </si>
  <si>
    <t>thundera\thunde02.tex</t>
  </si>
  <si>
    <t>todo\todo_1.tex</t>
  </si>
  <si>
    <t>tornado\line.s</t>
  </si>
  <si>
    <t xml:space="preserve">cdd.rsd </t>
  </si>
  <si>
    <t>tornado\tornad00.tex</t>
  </si>
  <si>
    <t>tornado\tornado1.p</t>
  </si>
  <si>
    <t>tornado\tornado1.rsd</t>
  </si>
  <si>
    <t>tornado\tornado2.p</t>
  </si>
  <si>
    <t xml:space="preserve">fmav </t>
  </si>
  <si>
    <t>tornado\tornado2.rsd</t>
  </si>
  <si>
    <t>tornado\torna_2.tex</t>
  </si>
  <si>
    <t xml:space="preserve">cde.p </t>
  </si>
  <si>
    <t>.\FF7\DATA\BATTLE\SPECIAL</t>
  </si>
  <si>
    <t>atmic\baku1.s</t>
  </si>
  <si>
    <t>atmic\bakusoto.tex</t>
  </si>
  <si>
    <t>atmic\domu.p</t>
  </si>
  <si>
    <t>atmic\domu.rsd</t>
  </si>
  <si>
    <t xml:space="preserve">fmaw </t>
  </si>
  <si>
    <t>atmic\domu.tex</t>
  </si>
  <si>
    <t>atmic\dosoto.p</t>
  </si>
  <si>
    <t>atmic\dosoto.rsd</t>
  </si>
  <si>
    <t xml:space="preserve">cdl_cl2.tex </t>
  </si>
  <si>
    <t>Fort Condor reactor</t>
  </si>
  <si>
    <t>atmic\elec1.s</t>
  </si>
  <si>
    <t>atmic\elec2.s</t>
  </si>
  <si>
    <t>atmic\hikari2.s</t>
  </si>
  <si>
    <t>atmic\hit1.s</t>
  </si>
  <si>
    <t>atmic\hit2.s</t>
  </si>
  <si>
    <t>atmic\hit3.s</t>
  </si>
  <si>
    <t xml:space="preserve">fmay </t>
  </si>
  <si>
    <t>atmic\hit4.s</t>
  </si>
  <si>
    <t>atmic\kemu.p</t>
  </si>
  <si>
    <t>atmic\kemu.rsd</t>
  </si>
  <si>
    <t xml:space="preserve">cea.a </t>
  </si>
  <si>
    <t>Emerald Weapon: Standing</t>
  </si>
  <si>
    <t>atmic\kueisa.p</t>
  </si>
  <si>
    <t>atmic\kueisa.rsd</t>
  </si>
  <si>
    <t xml:space="preserve">ceb.a </t>
  </si>
  <si>
    <t>atmic\maru.s</t>
  </si>
  <si>
    <t>Emerald Weapon: Swimming</t>
  </si>
  <si>
    <t>atmic\soko.p</t>
  </si>
  <si>
    <t xml:space="preserve">cec.hrc </t>
  </si>
  <si>
    <t>atmic\soko.rsd</t>
  </si>
  <si>
    <t xml:space="preserve">fmaz </t>
  </si>
  <si>
    <t>atmic\soto1.p</t>
  </si>
  <si>
    <t>atmic\soto1.rsd</t>
  </si>
  <si>
    <t>atmic\soto2.p</t>
  </si>
  <si>
    <t>atmic\soto2.rsd</t>
  </si>
  <si>
    <t>atmic\soto3.p</t>
  </si>
  <si>
    <t>atmic\soto3.rsd</t>
  </si>
  <si>
    <t xml:space="preserve">ced.rsd </t>
  </si>
  <si>
    <t>atmic\soto4.p</t>
  </si>
  <si>
    <t>atmic\soto4.rsd</t>
  </si>
  <si>
    <t>Gelnika: Whole model</t>
  </si>
  <si>
    <t>atmic\soto5.p</t>
  </si>
  <si>
    <t xml:space="preserve">fmbb </t>
  </si>
  <si>
    <t>atmic\soto5.rsd</t>
  </si>
  <si>
    <t>awa2\baku1.s</t>
  </si>
  <si>
    <t>awa2\enmaku.tex</t>
  </si>
  <si>
    <t>awa2\maru.s</t>
  </si>
  <si>
    <t>awa2\suna2.p</t>
  </si>
  <si>
    <t xml:space="preserve">cee.p </t>
  </si>
  <si>
    <t>awa2\suna2.rsd</t>
  </si>
  <si>
    <t>bakyu\tama.s</t>
  </si>
  <si>
    <t>bakyu\tama.tex</t>
  </si>
  <si>
    <t xml:space="preserve">fmbc </t>
  </si>
  <si>
    <t>b_2\baku1.s</t>
  </si>
  <si>
    <t>b_2\baku2.s</t>
  </si>
  <si>
    <t>b_2\hikari1.p</t>
  </si>
  <si>
    <t>b_2\hikari1.rsd</t>
  </si>
  <si>
    <t xml:space="preserve">cf01.tex </t>
  </si>
  <si>
    <t>b_2\honou1.tex</t>
  </si>
  <si>
    <t xml:space="preserve">a castle of some kind.. </t>
  </si>
  <si>
    <t>b_2\honou2.tex</t>
  </si>
  <si>
    <t>b_2\honou3.tex</t>
  </si>
  <si>
    <t>b_2\honou4.tex</t>
  </si>
  <si>
    <t xml:space="preserve">fmbe </t>
  </si>
  <si>
    <t>b_2\honou5.tex</t>
  </si>
  <si>
    <t>b_2\honou6.tex</t>
  </si>
  <si>
    <t xml:space="preserve">cfa.tex </t>
  </si>
  <si>
    <t>b_2\honou7.tex</t>
  </si>
  <si>
    <t>b_2\honou8.tex</t>
  </si>
  <si>
    <t>b_2\kou.s</t>
  </si>
  <si>
    <t>b_2\moto.p</t>
  </si>
  <si>
    <t>b_2\moto.rsd</t>
  </si>
  <si>
    <t xml:space="preserve">fmbf </t>
  </si>
  <si>
    <t xml:space="preserve">cfb.a </t>
  </si>
  <si>
    <t>Gelnika: Static animation</t>
  </si>
  <si>
    <t xml:space="preserve">cfc.hrc </t>
  </si>
  <si>
    <t>b_2\moto1.tex</t>
  </si>
  <si>
    <t>b_2\netu1.p</t>
  </si>
  <si>
    <t>b_2\netu1.rsd</t>
  </si>
  <si>
    <t>b_2\senkou1.p</t>
  </si>
  <si>
    <t>b_2\senkou1.rsd</t>
  </si>
  <si>
    <t xml:space="preserve">fmbg </t>
  </si>
  <si>
    <t>b_2\soto.p</t>
  </si>
  <si>
    <t>b_2\soto.rsd</t>
  </si>
  <si>
    <t>b_2\tama1.p</t>
  </si>
  <si>
    <t xml:space="preserve">cfd.rsd </t>
  </si>
  <si>
    <t>Gold Saucer: Whole model</t>
  </si>
  <si>
    <t>b_2\tama1.rsd</t>
  </si>
  <si>
    <t>b_2\tama2.p</t>
  </si>
  <si>
    <t>b_2\tama2.rsd</t>
  </si>
  <si>
    <t>b_2\uchi1.p</t>
  </si>
  <si>
    <t>b_2\uchi1.rsd</t>
  </si>
  <si>
    <t xml:space="preserve">fmbi </t>
  </si>
  <si>
    <t>b_2\uchi2.p</t>
  </si>
  <si>
    <t xml:space="preserve">cfe.p </t>
  </si>
  <si>
    <t>b_2\uchi2.rsd</t>
  </si>
  <si>
    <t>b_2\uchi3.p</t>
  </si>
  <si>
    <t>b_2\uchi3.rsd</t>
  </si>
  <si>
    <t>b_2\uchi4.p</t>
  </si>
  <si>
    <t>b_2\uchi4.rsd</t>
  </si>
  <si>
    <t>b_2\uchi5.p</t>
  </si>
  <si>
    <t>b_2\uchi5.rsd</t>
  </si>
  <si>
    <t xml:space="preserve">fmbj </t>
  </si>
  <si>
    <t xml:space="preserve">cga.tex </t>
  </si>
  <si>
    <t>b_2\uchi6.p</t>
  </si>
  <si>
    <t>Gold saucer 1</t>
  </si>
  <si>
    <t>b_2\uchi6.rsd</t>
  </si>
  <si>
    <t>b_2\uchi7.p</t>
  </si>
  <si>
    <t>b_2\uchi7.rsd</t>
  </si>
  <si>
    <t>b_2\uchi8.p</t>
  </si>
  <si>
    <t>b_2\uchi8.rsd</t>
  </si>
  <si>
    <t>b_2\wa.p</t>
  </si>
  <si>
    <t xml:space="preserve">cgb.tex </t>
  </si>
  <si>
    <t xml:space="preserve">fmbl </t>
  </si>
  <si>
    <t>Gold saucer 2</t>
  </si>
  <si>
    <t>b_2\wa.rsd</t>
  </si>
  <si>
    <t>b_2\wa1.tex</t>
  </si>
  <si>
    <t>chikasui\mizu.s</t>
  </si>
  <si>
    <t>chikasui\mizu.tex</t>
  </si>
  <si>
    <t>club1\card.tex</t>
  </si>
  <si>
    <t xml:space="preserve">cgc.a </t>
  </si>
  <si>
    <t>club1\card1.p</t>
  </si>
  <si>
    <t>Gold saucer: Static animation</t>
  </si>
  <si>
    <t>club1\card1.rsd</t>
  </si>
  <si>
    <t xml:space="preserve">cgd.hrc </t>
  </si>
  <si>
    <t>club1\club.tex</t>
  </si>
  <si>
    <t xml:space="preserve">fmbm </t>
  </si>
  <si>
    <t>club1\queik.p</t>
  </si>
  <si>
    <t>club1\queik.rsd</t>
  </si>
  <si>
    <t>club1\queik_1.tex</t>
  </si>
  <si>
    <t>club2\baku1.p</t>
  </si>
  <si>
    <t>club2\baku1.rsd</t>
  </si>
  <si>
    <t>club2\baku1.tex</t>
  </si>
  <si>
    <t xml:space="preserve">cge.rsd </t>
  </si>
  <si>
    <t>Highwind: Rear</t>
  </si>
  <si>
    <t xml:space="preserve">fmbo </t>
  </si>
  <si>
    <t>club2\bimu1.s</t>
  </si>
  <si>
    <t>club2\bimu2.s</t>
  </si>
  <si>
    <t>club2\card1.p</t>
  </si>
  <si>
    <t>club2\card1.rsd</t>
  </si>
  <si>
    <t>club2\club.tex</t>
  </si>
  <si>
    <t>club2\elec1.p</t>
  </si>
  <si>
    <t>cha.p</t>
  </si>
  <si>
    <t>club2\elec1.rsd</t>
  </si>
  <si>
    <t xml:space="preserve">fmbp </t>
  </si>
  <si>
    <t>club2\elec1.tex</t>
  </si>
  <si>
    <t>club2\honou1.tex</t>
  </si>
  <si>
    <t>club2\honou10.tex</t>
  </si>
  <si>
    <t>club2\honou2.tex</t>
  </si>
  <si>
    <t>club2\honou3.tex</t>
  </si>
  <si>
    <t>club2\honou4.tex</t>
  </si>
  <si>
    <t>club2\honou5.tex</t>
  </si>
  <si>
    <t>chb.rsd</t>
  </si>
  <si>
    <t xml:space="preserve">fmda </t>
  </si>
  <si>
    <t>club2\honou6.tex</t>
  </si>
  <si>
    <t>Highwind: Front</t>
  </si>
  <si>
    <t>club2\honou7.tex</t>
  </si>
  <si>
    <t>club2\honou8.tex</t>
  </si>
  <si>
    <t xml:space="preserve">fnaa </t>
  </si>
  <si>
    <t>club2\honou9.tex</t>
  </si>
  <si>
    <t>Valron:Battle Skeleton</t>
  </si>
  <si>
    <t>club2\isi.tex</t>
  </si>
  <si>
    <t>club2\isi1.p</t>
  </si>
  <si>
    <t>chc.p</t>
  </si>
  <si>
    <t>club2\isi1.rsd</t>
  </si>
  <si>
    <t>club2\isi2.p</t>
  </si>
  <si>
    <t>club2\isi2.rsd</t>
  </si>
  <si>
    <t>club2\isi3.p</t>
  </si>
  <si>
    <t>club2\isi3.rsd</t>
  </si>
  <si>
    <t>club2\isi4.p</t>
  </si>
  <si>
    <t>club2\isi4.rsd</t>
  </si>
  <si>
    <t xml:space="preserve">fnab </t>
  </si>
  <si>
    <t>chd.rsd</t>
  </si>
  <si>
    <t>club2\isi5.p</t>
  </si>
  <si>
    <t>Highwind: Propeller 1</t>
  </si>
  <si>
    <t>Valron: Unidentified Part</t>
  </si>
  <si>
    <t>club2\isi5.rsd</t>
  </si>
  <si>
    <t>club2\isi6.p</t>
  </si>
  <si>
    <t xml:space="preserve">fnam </t>
  </si>
  <si>
    <t>club2\isi6.rsd</t>
  </si>
  <si>
    <t>club2\jo_c04.s</t>
  </si>
  <si>
    <t>club2\kueisa.p</t>
  </si>
  <si>
    <t>club2\kueisa.rsd</t>
  </si>
  <si>
    <t>che.p</t>
  </si>
  <si>
    <t>club2\soto1.p</t>
  </si>
  <si>
    <t>club2\soto1.rsd</t>
  </si>
  <si>
    <t>club2\soto10.p</t>
  </si>
  <si>
    <t>club2\soto10.rsd</t>
  </si>
  <si>
    <t xml:space="preserve">fnan </t>
  </si>
  <si>
    <t>club2\soto2.p</t>
  </si>
  <si>
    <t>club2\soto2.rsd</t>
  </si>
  <si>
    <t xml:space="preserve">cia.rsd </t>
  </si>
  <si>
    <t>club2\soto3.p</t>
  </si>
  <si>
    <t>Highwind: Propeller 2</t>
  </si>
  <si>
    <t>club2\soto3.rsd</t>
  </si>
  <si>
    <t>club2\soto4.p</t>
  </si>
  <si>
    <t>club2\soto4.rsd</t>
  </si>
  <si>
    <t>club2\soto5.p</t>
  </si>
  <si>
    <t>club2\soto5.rsd</t>
  </si>
  <si>
    <t xml:space="preserve">fnao </t>
  </si>
  <si>
    <t>club2\soto6.p</t>
  </si>
  <si>
    <t xml:space="preserve">cib.p </t>
  </si>
  <si>
    <t>club2\soto6.rsd</t>
  </si>
  <si>
    <t>club2\soto7.p</t>
  </si>
  <si>
    <t>club2\soto7.rsd</t>
  </si>
  <si>
    <t>club2\soto8.p</t>
  </si>
  <si>
    <t>club2\soto8.rsd</t>
  </si>
  <si>
    <t>club2\soto9.p</t>
  </si>
  <si>
    <t xml:space="preserve">cic.a </t>
  </si>
  <si>
    <t>Highwind: Flying</t>
  </si>
  <si>
    <t>club2\soto9.rsd</t>
  </si>
  <si>
    <t xml:space="preserve">fnap </t>
  </si>
  <si>
    <t>club2\tarot.tex</t>
  </si>
  <si>
    <t xml:space="preserve">cid.hrc </t>
  </si>
  <si>
    <t>Highwind Final</t>
  </si>
  <si>
    <t>cold1\baku1.s</t>
  </si>
  <si>
    <t>cold1\baku1.tex</t>
  </si>
  <si>
    <t>cold1\hubuki.tex</t>
  </si>
  <si>
    <t>cold1\hubuki1.p</t>
  </si>
  <si>
    <t>cold1\hubuki1.rsd</t>
  </si>
  <si>
    <t>cold1\kouri.rsd</t>
  </si>
  <si>
    <t xml:space="preserve">fnaq </t>
  </si>
  <si>
    <t xml:space="preserve">cie.rsd </t>
  </si>
  <si>
    <t>daionpa\baku1.s</t>
  </si>
  <si>
    <t>Highwind Final: Rear</t>
  </si>
  <si>
    <t>daionpa\baku2.s</t>
  </si>
  <si>
    <t>daionpa\baku3.s</t>
  </si>
  <si>
    <t>daionpa\hikari.p</t>
  </si>
  <si>
    <t>daionpa\hikari.rsd</t>
  </si>
  <si>
    <t>daionpa\hikari1.s</t>
  </si>
  <si>
    <t>daionpa\hikari2.s</t>
  </si>
  <si>
    <t xml:space="preserve">cja.p </t>
  </si>
  <si>
    <t>daionpa\hikari3.s</t>
  </si>
  <si>
    <t>daionpa\nizi.p</t>
  </si>
  <si>
    <t xml:space="preserve">fnas </t>
  </si>
  <si>
    <t>daionpa\nizi.rsd</t>
  </si>
  <si>
    <t>daionpa\onpa1.s</t>
  </si>
  <si>
    <t>daionpa\onpa2.s</t>
  </si>
  <si>
    <t>daionpa\onpa3.s</t>
  </si>
  <si>
    <t xml:space="preserve">cjb.rsd </t>
  </si>
  <si>
    <t>Highwind Final: Right exhaust 1</t>
  </si>
  <si>
    <t>daionpa\onpa4.s</t>
  </si>
  <si>
    <t>daionpa\onpa5.s</t>
  </si>
  <si>
    <t>daionpa\onpa6.s</t>
  </si>
  <si>
    <t>daionpa\onpa7.s</t>
  </si>
  <si>
    <t xml:space="preserve">fnat </t>
  </si>
  <si>
    <t>daisenp\hikari.rsd</t>
  </si>
  <si>
    <t>daisenp\nizi.rsd</t>
  </si>
  <si>
    <t xml:space="preserve">cjc.p </t>
  </si>
  <si>
    <t>dengeki\elec_4.s</t>
  </si>
  <si>
    <t>dengeki\gravir00.tex</t>
  </si>
  <si>
    <t>dengeki\gravir01.tex</t>
  </si>
  <si>
    <t>dengeki\gravir02.tex</t>
  </si>
  <si>
    <t>dengeki\gravir03.tex</t>
  </si>
  <si>
    <t>dengeki\grav_2.s</t>
  </si>
  <si>
    <t xml:space="preserve">fnau </t>
  </si>
  <si>
    <t xml:space="preserve">cjd.rsd </t>
  </si>
  <si>
    <t>dia1\card.tex</t>
  </si>
  <si>
    <t>Highwind Final: Right exhaust 2</t>
  </si>
  <si>
    <t>dia1\card1.p</t>
  </si>
  <si>
    <t>dia1\card1.rsd</t>
  </si>
  <si>
    <t>dia1\dia.tex</t>
  </si>
  <si>
    <t>dia1\hikari1.s</t>
  </si>
  <si>
    <t>dia1\hikari1.tex</t>
  </si>
  <si>
    <t>dia1\hit1.s</t>
  </si>
  <si>
    <t xml:space="preserve">cje.p </t>
  </si>
  <si>
    <t>dia1\hit1.tex</t>
  </si>
  <si>
    <t xml:space="preserve">fnav </t>
  </si>
  <si>
    <t>dia2\card1.p</t>
  </si>
  <si>
    <t>dia2\card1.rsd</t>
  </si>
  <si>
    <t>dia2\dia.tex</t>
  </si>
  <si>
    <t>dia2\sailess.p</t>
  </si>
  <si>
    <t>dia2\sailess.rsd</t>
  </si>
  <si>
    <t>dia2\sailess.tex</t>
  </si>
  <si>
    <t>dia2\tarot.tex</t>
  </si>
  <si>
    <t>dokueki\baku1.s</t>
  </si>
  <si>
    <t xml:space="preserve">cka.rsd </t>
  </si>
  <si>
    <t xml:space="preserve">fnax </t>
  </si>
  <si>
    <t>Highwind Final: Left exhaust 1</t>
  </si>
  <si>
    <t>dokueki\baku1.tex</t>
  </si>
  <si>
    <t>dokueki\doku1.s</t>
  </si>
  <si>
    <t>dokueki\jo_c03.s</t>
  </si>
  <si>
    <t>dokufuki\baku1.s</t>
  </si>
  <si>
    <t>dokufuki\doku00.tex</t>
  </si>
  <si>
    <t>dokufuki\doku01.tex</t>
  </si>
  <si>
    <t>dokufuki\doku02.tex</t>
  </si>
  <si>
    <t xml:space="preserve">ckb.p </t>
  </si>
  <si>
    <t>dokufuki\doku1.s</t>
  </si>
  <si>
    <t xml:space="preserve">fnay </t>
  </si>
  <si>
    <t>dokufuki\hit1.s</t>
  </si>
  <si>
    <t>energy\baku1.s</t>
  </si>
  <si>
    <t>energy\domu1.tex</t>
  </si>
  <si>
    <t>energy\elec1.p</t>
  </si>
  <si>
    <t xml:space="preserve">ckc.rsd </t>
  </si>
  <si>
    <t>Highwind Final: Left exhaust 2</t>
  </si>
  <si>
    <t>energy\elec1.rsd</t>
  </si>
  <si>
    <t xml:space="preserve">fnaz </t>
  </si>
  <si>
    <t>energy\elec1.tex</t>
  </si>
  <si>
    <t>energy\energy00.tex</t>
  </si>
  <si>
    <t>energy\energy03.tex</t>
  </si>
  <si>
    <t>energy\hado.p</t>
  </si>
  <si>
    <t>energy\hado.rsd</t>
  </si>
  <si>
    <t xml:space="preserve">ckd.p </t>
  </si>
  <si>
    <t>energy\hado1.p</t>
  </si>
  <si>
    <t>energy\hado1.rsd</t>
  </si>
  <si>
    <t>energy\hahen1.s</t>
  </si>
  <si>
    <t xml:space="preserve">fnba </t>
  </si>
  <si>
    <t>energy\hikari.p</t>
  </si>
  <si>
    <t>energy\hikari.rsd</t>
  </si>
  <si>
    <t>energy\jo_a.s</t>
  </si>
  <si>
    <t xml:space="preserve">cke.rsd </t>
  </si>
  <si>
    <t>Highwind Final: Front</t>
  </si>
  <si>
    <t>energy\kou.s</t>
  </si>
  <si>
    <t>energy\moto.p</t>
  </si>
  <si>
    <t>energy\moto.rsd</t>
  </si>
  <si>
    <t>energy\moto1.tex</t>
  </si>
  <si>
    <t xml:space="preserve">fnbb </t>
  </si>
  <si>
    <t>energy\sindom1.p</t>
  </si>
  <si>
    <t>energy\sindom1.rsd</t>
  </si>
  <si>
    <t xml:space="preserve">cla.p </t>
  </si>
  <si>
    <t>energy\tama1.p</t>
  </si>
  <si>
    <t>energy\tama1.rsd</t>
  </si>
  <si>
    <t>energy\tama2.p</t>
  </si>
  <si>
    <t>energy\tama2.rsd</t>
  </si>
  <si>
    <t xml:space="preserve">fnbc </t>
  </si>
  <si>
    <t>energy\wa.p</t>
  </si>
  <si>
    <t>energy\wa.rsd</t>
  </si>
  <si>
    <t>frog\baku1.tex</t>
  </si>
  <si>
    <t xml:space="preserve">clb.rsd </t>
  </si>
  <si>
    <t>Highwind Final: Rocket 1</t>
  </si>
  <si>
    <t>frog\baku11.s</t>
  </si>
  <si>
    <t>frog\hikari.p</t>
  </si>
  <si>
    <t xml:space="preserve">fnbd </t>
  </si>
  <si>
    <t>frog\hikari.rsd</t>
  </si>
  <si>
    <t>frog\hit1.tex</t>
  </si>
  <si>
    <t>frog\hit11.s</t>
  </si>
  <si>
    <t>frog\sarchi.p</t>
  </si>
  <si>
    <t xml:space="preserve">clc.p </t>
  </si>
  <si>
    <t>frog\sarchi.rsd</t>
  </si>
  <si>
    <t xml:space="preserve">fnbe </t>
  </si>
  <si>
    <t>frog\sarchi1.p</t>
  </si>
  <si>
    <t>frog\sarchi1.rsd</t>
  </si>
  <si>
    <t>frog\todo_1.tex</t>
  </si>
  <si>
    <t>gas\111.tex</t>
  </si>
  <si>
    <t>gas\112.tex</t>
  </si>
  <si>
    <t>gas\113.tex</t>
  </si>
  <si>
    <t xml:space="preserve">fnbh </t>
  </si>
  <si>
    <t>gas\114.tex</t>
  </si>
  <si>
    <t xml:space="preserve">cld.rsd </t>
  </si>
  <si>
    <t>Highwind Final: Rocket 2</t>
  </si>
  <si>
    <t>gas\221.tex</t>
  </si>
  <si>
    <t>gas\222.tex</t>
  </si>
  <si>
    <t>gas\223.tex</t>
  </si>
  <si>
    <t xml:space="preserve">fnbi </t>
  </si>
  <si>
    <t>gas\224.tex</t>
  </si>
  <si>
    <t>gas\331.tex</t>
  </si>
  <si>
    <t>gas\332.tex</t>
  </si>
  <si>
    <t xml:space="preserve">cle.p </t>
  </si>
  <si>
    <t>gas\333.tex</t>
  </si>
  <si>
    <t>gas\334.tex</t>
  </si>
  <si>
    <t xml:space="preserve">fnbj </t>
  </si>
  <si>
    <t>gas\451.tex</t>
  </si>
  <si>
    <t>gas\452.tex</t>
  </si>
  <si>
    <t>gas\453.tex</t>
  </si>
  <si>
    <t>gas\455.tex</t>
  </si>
  <si>
    <t xml:space="preserve">fnbk </t>
  </si>
  <si>
    <t xml:space="preserve">clf_bgs.tex </t>
  </si>
  <si>
    <t>Cliff over sea 1</t>
  </si>
  <si>
    <t xml:space="preserve">fnbl </t>
  </si>
  <si>
    <t>gas\551.tex</t>
  </si>
  <si>
    <t>gas\552.tex</t>
  </si>
  <si>
    <t>gas\553.tex</t>
  </si>
  <si>
    <t xml:space="preserve">clf_ggl.tex </t>
  </si>
  <si>
    <t>Cliff over sea 2</t>
  </si>
  <si>
    <t>gas\554.tex</t>
  </si>
  <si>
    <t>gas\661.tex</t>
  </si>
  <si>
    <t>gas\662.tex</t>
  </si>
  <si>
    <t>gas\663.tex</t>
  </si>
  <si>
    <t xml:space="preserve">fnbm </t>
  </si>
  <si>
    <t>gas\664.tex</t>
  </si>
  <si>
    <t>gas\771.tex</t>
  </si>
  <si>
    <t xml:space="preserve">clf_ggs.tex </t>
  </si>
  <si>
    <t>gas\772.tex</t>
  </si>
  <si>
    <t>Cliff over sea 3</t>
  </si>
  <si>
    <t>gas\773.tex</t>
  </si>
  <si>
    <t>gas\774.tex</t>
  </si>
  <si>
    <t>gas\881.tex</t>
  </si>
  <si>
    <t>gas\882.tex</t>
  </si>
  <si>
    <t xml:space="preserve">fnbp </t>
  </si>
  <si>
    <t>gas\883.tex</t>
  </si>
  <si>
    <t>gas\884.tex</t>
  </si>
  <si>
    <t xml:space="preserve">clf_l.tex </t>
  </si>
  <si>
    <t>Cliff over sea 4</t>
  </si>
  <si>
    <t>gas\baku1.s</t>
  </si>
  <si>
    <t>gas\hahen.s</t>
  </si>
  <si>
    <t>gas\hassya1.s</t>
  </si>
  <si>
    <t>gas\hikari1.s</t>
  </si>
  <si>
    <t>gas\jo_c05.s</t>
  </si>
  <si>
    <t xml:space="preserve">fnbq </t>
  </si>
  <si>
    <t>gas\soto1.p</t>
  </si>
  <si>
    <t>gas\soto1.rsd</t>
  </si>
  <si>
    <t xml:space="preserve">clf_ld.tex </t>
  </si>
  <si>
    <t>Cliff over sea 5</t>
  </si>
  <si>
    <t>gas\soto2.p</t>
  </si>
  <si>
    <t>gas\soto2.rsd</t>
  </si>
  <si>
    <t>gas\soto3.p</t>
  </si>
  <si>
    <t>gas\soto3.rsd</t>
  </si>
  <si>
    <t xml:space="preserve">fnbr </t>
  </si>
  <si>
    <t>gas\soto4.p</t>
  </si>
  <si>
    <t xml:space="preserve">clf_lf.tex </t>
  </si>
  <si>
    <t>gas\soto4.rsd</t>
  </si>
  <si>
    <t>Cliff over earth 1</t>
  </si>
  <si>
    <t>gas\soto5.p</t>
  </si>
  <si>
    <t>gas\soto5.rsd</t>
  </si>
  <si>
    <t>gas\soto6.p</t>
  </si>
  <si>
    <t>gas\soto6.rsd</t>
  </si>
  <si>
    <t>gas\soto7.p</t>
  </si>
  <si>
    <t xml:space="preserve">fnbs </t>
  </si>
  <si>
    <t>gas\soto7.rsd</t>
  </si>
  <si>
    <t xml:space="preserve">clf_lg.tex </t>
  </si>
  <si>
    <t>gas\soto8.p</t>
  </si>
  <si>
    <t>Cliff over sea 6</t>
  </si>
  <si>
    <t>gas\soto8.rsd</t>
  </si>
  <si>
    <t>geki1\1.tex</t>
  </si>
  <si>
    <t>geki1\baku1.s</t>
  </si>
  <si>
    <t>geki1\geki00.tex</t>
  </si>
  <si>
    <t xml:space="preserve">fnbt </t>
  </si>
  <si>
    <t>geki1\geki01.tex</t>
  </si>
  <si>
    <t>geki1\geki1.p</t>
  </si>
  <si>
    <t xml:space="preserve">clf_lr.tex </t>
  </si>
  <si>
    <t>Cliff over sea 7</t>
  </si>
  <si>
    <t>geki1\geki1.rsd</t>
  </si>
  <si>
    <t>geki1\hahen1.s</t>
  </si>
  <si>
    <t>geki1\jo_c01.s</t>
  </si>
  <si>
    <t>geki1\kemu1.s</t>
  </si>
  <si>
    <t>geki2\baku1.p</t>
  </si>
  <si>
    <t>geki2\baku1.rsd</t>
  </si>
  <si>
    <t xml:space="preserve">fnbu </t>
  </si>
  <si>
    <t xml:space="preserve">clf_lsg.tex </t>
  </si>
  <si>
    <t>geki2\baku11.tex</t>
  </si>
  <si>
    <t>Cliff over earth 2</t>
  </si>
  <si>
    <t>geki2\domu1.p</t>
  </si>
  <si>
    <t>geki2\domu1.rsd</t>
  </si>
  <si>
    <t>geki2\domu3.p</t>
  </si>
  <si>
    <t>geki2\domu3.rsd</t>
  </si>
  <si>
    <t>geki2\geki00.tex</t>
  </si>
  <si>
    <t>geki2\geki2.p</t>
  </si>
  <si>
    <t xml:space="preserve">clf_r.tex </t>
  </si>
  <si>
    <t>Cliff over earth 3</t>
  </si>
  <si>
    <t>geki2\geki2.rsd</t>
  </si>
  <si>
    <t>geki2\hahen1.s</t>
  </si>
  <si>
    <t>geki2\hibana.s</t>
  </si>
  <si>
    <t xml:space="preserve">fnda </t>
  </si>
  <si>
    <t>geki2\hikari1.s</t>
  </si>
  <si>
    <t>geki2\isi.tex</t>
  </si>
  <si>
    <t xml:space="preserve">foaa </t>
  </si>
  <si>
    <t>geki2\isi1.p</t>
  </si>
  <si>
    <t>Battery Cap: Battle Skeleton</t>
  </si>
  <si>
    <t xml:space="preserve">clf_s.tex </t>
  </si>
  <si>
    <t>geki2\isi1.rsd</t>
  </si>
  <si>
    <t>Cliff over sea 8</t>
  </si>
  <si>
    <t>geki2\isi2.p</t>
  </si>
  <si>
    <t>geki2\isi2.rsd</t>
  </si>
  <si>
    <t>geki2\isi3.p</t>
  </si>
  <si>
    <t>geki2\isi3.rsd</t>
  </si>
  <si>
    <t>geki2\isi4.p</t>
  </si>
  <si>
    <t>geki2\isi4.rsd</t>
  </si>
  <si>
    <t xml:space="preserve">clf_sd.tex </t>
  </si>
  <si>
    <t>Search Crown clone 1 (dwaa)</t>
  </si>
  <si>
    <t>Cliff over earth 4</t>
  </si>
  <si>
    <t>geki2\jo_c01.s</t>
  </si>
  <si>
    <t xml:space="preserve">foab </t>
  </si>
  <si>
    <t>geki2\kemu1.s</t>
  </si>
  <si>
    <t>Battery Cap: Unidentified Part</t>
  </si>
  <si>
    <t>geki2\okuri2.p</t>
  </si>
  <si>
    <t xml:space="preserve">foam </t>
  </si>
  <si>
    <t>geki2\okuri2.rsd</t>
  </si>
  <si>
    <t>geki2\okuri2.tex</t>
  </si>
  <si>
    <t>geki2\okuri3.tex</t>
  </si>
  <si>
    <t xml:space="preserve">clf_sf.tex </t>
  </si>
  <si>
    <t>geki2\wa.p</t>
  </si>
  <si>
    <t>Cliff over earth 5</t>
  </si>
  <si>
    <t>geki2\wa.rsd</t>
  </si>
  <si>
    <t>gesui1\1.tex</t>
  </si>
  <si>
    <t>gesui1\baku1.s</t>
  </si>
  <si>
    <t>gesui1\baku1.tex</t>
  </si>
  <si>
    <t xml:space="preserve">foan </t>
  </si>
  <si>
    <t>gesui1\jo_c03.s</t>
  </si>
  <si>
    <t>hado\baku1.s</t>
  </si>
  <si>
    <t xml:space="preserve">clf_sg.tex </t>
  </si>
  <si>
    <t>Cliff over earth 6</t>
  </si>
  <si>
    <t>hado\domu1.tex</t>
  </si>
  <si>
    <t>hado\elec1.p</t>
  </si>
  <si>
    <t>hado\elec1.rsd</t>
  </si>
  <si>
    <t>hado\elec1.tex</t>
  </si>
  <si>
    <t>hado\energy00.tex</t>
  </si>
  <si>
    <t xml:space="preserve">foao </t>
  </si>
  <si>
    <t>hado\energy02.tex</t>
  </si>
  <si>
    <t xml:space="preserve">clf_sg2.tex </t>
  </si>
  <si>
    <t>hado\hado.p</t>
  </si>
  <si>
    <t>hado\hado.rsd</t>
  </si>
  <si>
    <t>hado\hado1.p</t>
  </si>
  <si>
    <t>hado\hado1.rsd</t>
  </si>
  <si>
    <t>hado\hahen1.s</t>
  </si>
  <si>
    <t xml:space="preserve">foap </t>
  </si>
  <si>
    <t>hado\hikari.p</t>
  </si>
  <si>
    <t xml:space="preserve">clf_sr.tex </t>
  </si>
  <si>
    <t>hado\hikari.rsd</t>
  </si>
  <si>
    <t>Cliff over sea 9</t>
  </si>
  <si>
    <t>hado\jo_a.s</t>
  </si>
  <si>
    <t>hado\kou.s</t>
  </si>
  <si>
    <t>hado\moto.p</t>
  </si>
  <si>
    <t>hado\moto.rsd</t>
  </si>
  <si>
    <t>hado\moto1.tex</t>
  </si>
  <si>
    <t xml:space="preserve">foaq </t>
  </si>
  <si>
    <t>hado\sindom1.p</t>
  </si>
  <si>
    <t xml:space="preserve">clf_ss.tex </t>
  </si>
  <si>
    <t>hado\sindom1.rsd</t>
  </si>
  <si>
    <t>Cliff over sea 10</t>
  </si>
  <si>
    <t>hado\tama1.p</t>
  </si>
  <si>
    <t>hado\tama1.rsd</t>
  </si>
  <si>
    <t>hado\tama2.p</t>
  </si>
  <si>
    <t xml:space="preserve">foda </t>
  </si>
  <si>
    <t>hado\tama2.rsd</t>
  </si>
  <si>
    <t>hado\wa.p</t>
  </si>
  <si>
    <t xml:space="preserve">clf_ssd.tex </t>
  </si>
  <si>
    <t>hado\wa.rsd</t>
  </si>
  <si>
    <t xml:space="preserve">fpaa </t>
  </si>
  <si>
    <t>Cliff over sea 11</t>
  </si>
  <si>
    <t>Mirage:Battle Skeleton</t>
  </si>
  <si>
    <t>hadoho\baku1.s</t>
  </si>
  <si>
    <t>hadoho\energy00.tex</t>
  </si>
  <si>
    <t>hadoho\energy02.tex</t>
  </si>
  <si>
    <t>hadoho\energy03.tex</t>
  </si>
  <si>
    <t>hadoho\hado.p</t>
  </si>
  <si>
    <t>hadoho\hado.rsd</t>
  </si>
  <si>
    <t xml:space="preserve">fpab </t>
  </si>
  <si>
    <t>hadoho\hado1.p</t>
  </si>
  <si>
    <t>Mirage: Unidentified Part</t>
  </si>
  <si>
    <t xml:space="preserve">clf_ssw.tex </t>
  </si>
  <si>
    <t>hadoho\hado1.rsd</t>
  </si>
  <si>
    <t>Cliff over sea 12</t>
  </si>
  <si>
    <t>hadoho\hahen1.s</t>
  </si>
  <si>
    <t xml:space="preserve">fpam </t>
  </si>
  <si>
    <t>hadoho\isi.tex</t>
  </si>
  <si>
    <t>hadoho\isi1.p</t>
  </si>
  <si>
    <t>hadoho\isi1.rsd</t>
  </si>
  <si>
    <t>hadoho\isi2.p</t>
  </si>
  <si>
    <t xml:space="preserve">fpaq </t>
  </si>
  <si>
    <t xml:space="preserve">clf_sw.tex </t>
  </si>
  <si>
    <t>hadoho\isi2.rsd</t>
  </si>
  <si>
    <t>Cliff over sea 13</t>
  </si>
  <si>
    <t>hadoho\isi3.p</t>
  </si>
  <si>
    <t>hadoho\isi3.rsd</t>
  </si>
  <si>
    <t>hadoho\isi4.p</t>
  </si>
  <si>
    <t>hadoho\isi4.rsd</t>
  </si>
  <si>
    <t>hadoho\kemu11.s</t>
  </si>
  <si>
    <t xml:space="preserve">fpas </t>
  </si>
  <si>
    <t>hadoho\kou.s</t>
  </si>
  <si>
    <t>hadoho\moto.p</t>
  </si>
  <si>
    <t>hadoho\moto.rsd</t>
  </si>
  <si>
    <t>hadoho\moto1.tex</t>
  </si>
  <si>
    <t>hadoho\senkou1.p</t>
  </si>
  <si>
    <t xml:space="preserve">clf_w02.tex </t>
  </si>
  <si>
    <t xml:space="preserve">fpda </t>
  </si>
  <si>
    <t>816 Bytes</t>
  </si>
  <si>
    <t>Two rock walls light</t>
  </si>
  <si>
    <t>hadoho\senkou1.rsd</t>
  </si>
  <si>
    <t>hadoho\soto.p</t>
  </si>
  <si>
    <t>hadoho\soto.rsd</t>
  </si>
  <si>
    <t>hadoho\tama1.p</t>
  </si>
  <si>
    <t>hadoho\tama1.rsd</t>
  </si>
  <si>
    <t>hadoho\tama2.p</t>
  </si>
  <si>
    <t xml:space="preserve">clf_w03.tex </t>
  </si>
  <si>
    <t xml:space="preserve">fqaa </t>
  </si>
  <si>
    <t>hadoho\tama2.rsd</t>
  </si>
  <si>
    <t>Two rock walls dark</t>
  </si>
  <si>
    <t>Dorkey Face: Battle Skeleton</t>
  </si>
  <si>
    <t>hakugek1\ball.s</t>
  </si>
  <si>
    <t>hakugek1\bom.p</t>
  </si>
  <si>
    <t>hakugek1\bom.rsd</t>
  </si>
  <si>
    <t>hakugek1\bombtex.tex</t>
  </si>
  <si>
    <t>hakugek1\cover.p</t>
  </si>
  <si>
    <t>hakugek1\cover.rsd</t>
  </si>
  <si>
    <t xml:space="preserve">clf_was.tex </t>
  </si>
  <si>
    <t xml:space="preserve">fqab </t>
  </si>
  <si>
    <t>Cliff over earth 10</t>
  </si>
  <si>
    <t>hakugek1\dokkan.s</t>
  </si>
  <si>
    <t>Dorkey Face: Unidentified Part</t>
  </si>
  <si>
    <t>hakugek1\geki00.tex</t>
  </si>
  <si>
    <t xml:space="preserve">fqac </t>
  </si>
  <si>
    <t>Dorkey Face: Texture</t>
  </si>
  <si>
    <t>hakugek1\geki01.tex</t>
  </si>
  <si>
    <t>hakugek1\imp.p</t>
  </si>
  <si>
    <t>hakugek1\imp.rsd</t>
  </si>
  <si>
    <t>hakugek1\imp1.tex</t>
  </si>
  <si>
    <t>hakugek1\impact.p</t>
  </si>
  <si>
    <t xml:space="preserve">clfeg.tex </t>
  </si>
  <si>
    <t>Cliff over sea 14</t>
  </si>
  <si>
    <t>hakugek1\impact.rsd</t>
  </si>
  <si>
    <t>hakugek1\kakera.s</t>
  </si>
  <si>
    <t xml:space="preserve">fqad </t>
  </si>
  <si>
    <t>hakugek1\wakka.p</t>
  </si>
  <si>
    <t>hakugek1\wakka.rsd</t>
  </si>
  <si>
    <t>hakugek2\ball.s</t>
  </si>
  <si>
    <t>hakugek2\bom.p</t>
  </si>
  <si>
    <t xml:space="preserve">clfegd.tex </t>
  </si>
  <si>
    <t>Cliff edge</t>
  </si>
  <si>
    <t>hakugek2\bom.rsd</t>
  </si>
  <si>
    <t xml:space="preserve">fqae </t>
  </si>
  <si>
    <t>hakugek2\bombtex.tex</t>
  </si>
  <si>
    <t>hakugek2\cover.p</t>
  </si>
  <si>
    <t>hakugek2\cover.rsd</t>
  </si>
  <si>
    <t>hakugek2\dokkan.s</t>
  </si>
  <si>
    <t xml:space="preserve">fqam </t>
  </si>
  <si>
    <t xml:space="preserve">clftop.tex </t>
  </si>
  <si>
    <t>hakugek2\geki00.tex</t>
  </si>
  <si>
    <t>Cliff top 1</t>
  </si>
  <si>
    <t>Plateau clifftops in Cosmos Canyon</t>
  </si>
  <si>
    <t>hakugek2\geki01.tex</t>
  </si>
  <si>
    <t>hakugek2\imp.p</t>
  </si>
  <si>
    <t>hakugek2\imp.rsd</t>
  </si>
  <si>
    <t xml:space="preserve">fqan </t>
  </si>
  <si>
    <t>hakugek2\imp1.tex</t>
  </si>
  <si>
    <t>hakugek2\impact.p</t>
  </si>
  <si>
    <t>hakugek2\impact.rsd</t>
  </si>
  <si>
    <t xml:space="preserve">clftop2.tex </t>
  </si>
  <si>
    <t>Cliff top 2</t>
  </si>
  <si>
    <t>hakugek2\kakera.s</t>
  </si>
  <si>
    <t xml:space="preserve">fqao </t>
  </si>
  <si>
    <t>hakugek2\wakka.p</t>
  </si>
  <si>
    <t>hakugek2\wakka.rsd</t>
  </si>
  <si>
    <t>hari\hahen.s</t>
  </si>
  <si>
    <t>harrier\baku1.s</t>
  </si>
  <si>
    <t xml:space="preserve">fqap </t>
  </si>
  <si>
    <t>harrier\elec1.s</t>
  </si>
  <si>
    <t xml:space="preserve">cltr.tex </t>
  </si>
  <si>
    <t>harrier\hassya.s</t>
  </si>
  <si>
    <t>Mountain</t>
  </si>
  <si>
    <t>harrier\jo_c01.s</t>
  </si>
  <si>
    <t>heart1\card.tex</t>
  </si>
  <si>
    <t>heart1\card1.p</t>
  </si>
  <si>
    <t>heart1\card1.rsd</t>
  </si>
  <si>
    <t>heart1\heart.tex</t>
  </si>
  <si>
    <t xml:space="preserve">cma.a </t>
  </si>
  <si>
    <t>heart2\card1.p</t>
  </si>
  <si>
    <t>Highwind Final: Flying</t>
  </si>
  <si>
    <t>heart2\card1.rsd</t>
  </si>
  <si>
    <t xml:space="preserve">fqaq </t>
  </si>
  <si>
    <t xml:space="preserve">cmb.hrc </t>
  </si>
  <si>
    <t>heart2\dejon_1.s</t>
  </si>
  <si>
    <t>Midgar Cannon</t>
  </si>
  <si>
    <t>heart2\dejon_2.p</t>
  </si>
  <si>
    <t>heart2\dejon_2.rsd</t>
  </si>
  <si>
    <t>heart2\dejon_2.s</t>
  </si>
  <si>
    <t>heart2\dejon_a.tex</t>
  </si>
  <si>
    <t>heart2\heart.tex</t>
  </si>
  <si>
    <t>heart2\tarot.tex</t>
  </si>
  <si>
    <t xml:space="preserve">cmc.rsd </t>
  </si>
  <si>
    <t xml:space="preserve">fqas </t>
  </si>
  <si>
    <t>heatbu\magikal.s</t>
  </si>
  <si>
    <t>Midgar Cannon: Whole model</t>
  </si>
  <si>
    <t>hikari\hikari1.s</t>
  </si>
  <si>
    <t>hikari\hikari1.tex</t>
  </si>
  <si>
    <t>hikari\hit1.s</t>
  </si>
  <si>
    <t>hikari\hit1.tex</t>
  </si>
  <si>
    <t>hikari2\hikari1.s</t>
  </si>
  <si>
    <t xml:space="preserve">cmd.p </t>
  </si>
  <si>
    <t>hikari2\hikari1.tex</t>
  </si>
  <si>
    <t>hikari2\hit1.s</t>
  </si>
  <si>
    <t>hikari2\hit1.tex</t>
  </si>
  <si>
    <t>hikari3\hikari1.s</t>
  </si>
  <si>
    <t xml:space="preserve">fqat </t>
  </si>
  <si>
    <t>hikari3\hikari1.tex</t>
  </si>
  <si>
    <t>hikari3\hit1.s</t>
  </si>
  <si>
    <t xml:space="preserve">cme.tex </t>
  </si>
  <si>
    <t>hikari3\hit1.tex</t>
  </si>
  <si>
    <t>Midgar Cannon whole texture</t>
  </si>
  <si>
    <t>ho_den\baku1.s</t>
  </si>
  <si>
    <t>ho_den\e1.tex</t>
  </si>
  <si>
    <t xml:space="preserve">fqav </t>
  </si>
  <si>
    <t>ho_den\e2.tex</t>
  </si>
  <si>
    <t>ho_den\e3.tex</t>
  </si>
  <si>
    <t>ho_den\e4.tex</t>
  </si>
  <si>
    <t xml:space="preserve">cna.a </t>
  </si>
  <si>
    <t>ho_den\e5.tex</t>
  </si>
  <si>
    <t>Midgar Cannon: Static animation</t>
  </si>
  <si>
    <t>ho_den\e6.tex</t>
  </si>
  <si>
    <t xml:space="preserve">fqax </t>
  </si>
  <si>
    <t xml:space="preserve">cnb.hrc </t>
  </si>
  <si>
    <t>ho_den\elec1.p</t>
  </si>
  <si>
    <t>Ancient forest rock</t>
  </si>
  <si>
    <t>ho_den\elec1.rsd</t>
  </si>
  <si>
    <t>ho_den\elec1.tex</t>
  </si>
  <si>
    <t>ho_den\hikari.rsd</t>
  </si>
  <si>
    <t xml:space="preserve">fqaz </t>
  </si>
  <si>
    <t>ho_den\hikari1.s</t>
  </si>
  <si>
    <t>ho_den\moto.p</t>
  </si>
  <si>
    <t xml:space="preserve">cnc.rsd </t>
  </si>
  <si>
    <t>ho_den\moto.rsd</t>
  </si>
  <si>
    <t>Ancient forest rock: Whole model</t>
  </si>
  <si>
    <t>ho_den\moto1.tex</t>
  </si>
  <si>
    <t>ho_den\tama1.p</t>
  </si>
  <si>
    <t xml:space="preserve">fqbb </t>
  </si>
  <si>
    <t>ho_den\tama1.rsd</t>
  </si>
  <si>
    <t>ho_den\tama2.p</t>
  </si>
  <si>
    <t xml:space="preserve">cnd.p </t>
  </si>
  <si>
    <t>ho_den\tama2.rsd</t>
  </si>
  <si>
    <t>hubuki\baku1.s</t>
  </si>
  <si>
    <t>hubuki\baku1.tex</t>
  </si>
  <si>
    <t xml:space="preserve">fqbd </t>
  </si>
  <si>
    <t>hubuki\hubuki.tex</t>
  </si>
  <si>
    <t>hubuki\hubuki1.p</t>
  </si>
  <si>
    <t xml:space="preserve">cndl_cl.tex </t>
  </si>
  <si>
    <t>hubuki\hubuki1.rsd</t>
  </si>
  <si>
    <t>Fort condor reactor 1</t>
  </si>
  <si>
    <t>hubuki\kemu1.s</t>
  </si>
  <si>
    <t>hubuki\kemu1.tex</t>
  </si>
  <si>
    <t xml:space="preserve">fqbf </t>
  </si>
  <si>
    <t>ito\hit1.s</t>
  </si>
  <si>
    <t>ito\hit1.tex</t>
  </si>
  <si>
    <t>ito\hit2.s</t>
  </si>
  <si>
    <t>ito\jo_c03.s</t>
  </si>
  <si>
    <t xml:space="preserve">cndlf.tex </t>
  </si>
  <si>
    <t xml:space="preserve">fqbh </t>
  </si>
  <si>
    <t>Fort condor reactor 2</t>
  </si>
  <si>
    <t>jammer\hikari.p</t>
  </si>
  <si>
    <t>jammer\hikari.rsd</t>
  </si>
  <si>
    <t>jammer\hikari1.s</t>
  </si>
  <si>
    <t>jammer\hikari2.s</t>
  </si>
  <si>
    <t xml:space="preserve">fqbj </t>
  </si>
  <si>
    <t>jammer\hikari3.s</t>
  </si>
  <si>
    <t>jammer\jamma00.tex</t>
  </si>
  <si>
    <t xml:space="preserve">cndlf02.tex </t>
  </si>
  <si>
    <t>jammer\jamma01.tex</t>
  </si>
  <si>
    <t>Fort condor reactor 3</t>
  </si>
  <si>
    <t>jammer\onpa1.s</t>
  </si>
  <si>
    <t>jammer\onpa2.s</t>
  </si>
  <si>
    <t>jammer\onpa3.s</t>
  </si>
  <si>
    <t>jammer\onpa4.s</t>
  </si>
  <si>
    <t>jammer\onpa5.s</t>
  </si>
  <si>
    <t>jammer\onpa6.s</t>
  </si>
  <si>
    <t xml:space="preserve">cne.tex </t>
  </si>
  <si>
    <t>jammer\onpa7.s</t>
  </si>
  <si>
    <t>Ancient forest cliffs</t>
  </si>
  <si>
    <t xml:space="preserve">fqbl </t>
  </si>
  <si>
    <t>jammer2\baku1.s</t>
  </si>
  <si>
    <t>jammer2\baku2.s</t>
  </si>
  <si>
    <t>jammer2\baku3.s</t>
  </si>
  <si>
    <t>jammer2\hikari.p</t>
  </si>
  <si>
    <t>jammer2\hikari.rsd</t>
  </si>
  <si>
    <t>jammer2\hikari1.s</t>
  </si>
  <si>
    <t xml:space="preserve">coa.tex </t>
  </si>
  <si>
    <t xml:space="preserve">fqbn </t>
  </si>
  <si>
    <t>Ancient forest top</t>
  </si>
  <si>
    <t>jammer2\hikari2.s</t>
  </si>
  <si>
    <t>jammer2\hikari3.s</t>
  </si>
  <si>
    <t>jammer2\jamma00.tex</t>
  </si>
  <si>
    <t>jammer2\jamma01.tex</t>
  </si>
  <si>
    <t>jammer2\nizi.p</t>
  </si>
  <si>
    <t>jammer2\nizi.rsd</t>
  </si>
  <si>
    <t xml:space="preserve">cob.a </t>
  </si>
  <si>
    <t xml:space="preserve">fqbp </t>
  </si>
  <si>
    <t>jammer2\onpa1.s</t>
  </si>
  <si>
    <t>Ancient forest: Static animation</t>
  </si>
  <si>
    <t>jammer2\onpa2.s</t>
  </si>
  <si>
    <t xml:space="preserve">coc.hrc </t>
  </si>
  <si>
    <t>jammer2\onpa3.s</t>
  </si>
  <si>
    <t>jammer2\onpa4.s</t>
  </si>
  <si>
    <t>jammer2\onpa5.s</t>
  </si>
  <si>
    <t>jammer2\onpa6.s</t>
  </si>
  <si>
    <t>jammer2\onpa7.s</t>
  </si>
  <si>
    <t>Rocket town rocket</t>
  </si>
  <si>
    <t xml:space="preserve">fqbr </t>
  </si>
  <si>
    <t>jibaku2\baku1.s</t>
  </si>
  <si>
    <t>jibaku2\baku11.p</t>
  </si>
  <si>
    <t>jibaku2\baku11.rsd</t>
  </si>
  <si>
    <t>jibaku2\baku11.tex</t>
  </si>
  <si>
    <t xml:space="preserve">fqda </t>
  </si>
  <si>
    <t>jibaku2\elec1.s</t>
  </si>
  <si>
    <t>jibaku2\elehit1.s</t>
  </si>
  <si>
    <t xml:space="preserve">cod.rsd </t>
  </si>
  <si>
    <t xml:space="preserve">fraa </t>
  </si>
  <si>
    <t>jibaku2\elehit2.s</t>
  </si>
  <si>
    <t>Rocket town rocket: Whole model</t>
  </si>
  <si>
    <t>Jersey: Battle Skeleton</t>
  </si>
  <si>
    <t>jibaku2\elehit3.s</t>
  </si>
  <si>
    <t>jibaku2\elehit4.s</t>
  </si>
  <si>
    <t>jibaku2\hahen1.s</t>
  </si>
  <si>
    <t>jibaku2\hibana.s</t>
  </si>
  <si>
    <t>jibaku2\jo_c01.s</t>
  </si>
  <si>
    <t>jibaku2\kemu11.s</t>
  </si>
  <si>
    <t xml:space="preserve">coe.p </t>
  </si>
  <si>
    <t xml:space="preserve">frab </t>
  </si>
  <si>
    <t>jibasiri\1.tex</t>
  </si>
  <si>
    <t>Jersey: Unidentified Part</t>
  </si>
  <si>
    <t>jibasiri\baku1.s</t>
  </si>
  <si>
    <t>jibasiri\baku11.p</t>
  </si>
  <si>
    <t>jibasiri\baku11.rsd</t>
  </si>
  <si>
    <t>jibasiri\baku11.tex</t>
  </si>
  <si>
    <t xml:space="preserve">fram </t>
  </si>
  <si>
    <t>jibasiri\geki1.p</t>
  </si>
  <si>
    <t xml:space="preserve">comtr.tex </t>
  </si>
  <si>
    <t>jibasiri\geki1.rsd</t>
  </si>
  <si>
    <t>jibasiri\hahen1.s</t>
  </si>
  <si>
    <t>jibasiri\kemu1.s</t>
  </si>
  <si>
    <t>joker1\card.tex</t>
  </si>
  <si>
    <t>joker1\card1.p</t>
  </si>
  <si>
    <t>joker1\card1.rsd</t>
  </si>
  <si>
    <t xml:space="preserve">cosinn.tex </t>
  </si>
  <si>
    <t>joker1\head.rsd</t>
  </si>
  <si>
    <t xml:space="preserve">fran </t>
  </si>
  <si>
    <t>joker1\joker.tex</t>
  </si>
  <si>
    <t>joker2\card1.p</t>
  </si>
  <si>
    <t>joker2\card1.rsd</t>
  </si>
  <si>
    <t>joker2\hari_1.p</t>
  </si>
  <si>
    <t>joker2\hari_1.rsd</t>
  </si>
  <si>
    <t xml:space="preserve">frao </t>
  </si>
  <si>
    <t xml:space="preserve">cosinn2.tex </t>
  </si>
  <si>
    <t>joker2\joker.tex</t>
  </si>
  <si>
    <t>joker2\stop.tex</t>
  </si>
  <si>
    <t>joker2\stop_1.p</t>
  </si>
  <si>
    <t>joker2\stop_1.rsd</t>
  </si>
  <si>
    <t>joker2\stop_2.p</t>
  </si>
  <si>
    <t>joker2\stop_2.rsd</t>
  </si>
  <si>
    <t xml:space="preserve">cpa.tex </t>
  </si>
  <si>
    <t>joker2\tarot.tex</t>
  </si>
  <si>
    <t xml:space="preserve">frap </t>
  </si>
  <si>
    <t>Rocket base 1</t>
  </si>
  <si>
    <t>kaen\111.tex</t>
  </si>
  <si>
    <t>kaen\112.tex</t>
  </si>
  <si>
    <t>kaen\113.tex</t>
  </si>
  <si>
    <t>kaen\114.tex</t>
  </si>
  <si>
    <t>kaen\221.tex</t>
  </si>
  <si>
    <t>kaen\222.tex</t>
  </si>
  <si>
    <t xml:space="preserve">cpb.a </t>
  </si>
  <si>
    <t xml:space="preserve">frar </t>
  </si>
  <si>
    <t>Rocket town rocket: Static animation</t>
  </si>
  <si>
    <t>kaen\223.tex</t>
  </si>
  <si>
    <t>kaen\224.tex</t>
  </si>
  <si>
    <t>kaen\331.tex</t>
  </si>
  <si>
    <t>kaen\332.tex</t>
  </si>
  <si>
    <t>kaen\333.tex</t>
  </si>
  <si>
    <t xml:space="preserve">fras </t>
  </si>
  <si>
    <t>kaen\334.tex</t>
  </si>
  <si>
    <t xml:space="preserve">cpc.hrc </t>
  </si>
  <si>
    <t>kaen\451.tex</t>
  </si>
  <si>
    <t>Rocket base</t>
  </si>
  <si>
    <t>kaen\452.tex</t>
  </si>
  <si>
    <t>kaen\453.tex</t>
  </si>
  <si>
    <t>kaen\455.tex</t>
  </si>
  <si>
    <t>kaen\551.tex</t>
  </si>
  <si>
    <t xml:space="preserve">frat </t>
  </si>
  <si>
    <t>kaen\552.tex</t>
  </si>
  <si>
    <t>kaen\553.tex</t>
  </si>
  <si>
    <t>kaen\554.tex</t>
  </si>
  <si>
    <t xml:space="preserve">cpd.rsd </t>
  </si>
  <si>
    <t>kaen\661.tex</t>
  </si>
  <si>
    <t>Rocket base: Whole model</t>
  </si>
  <si>
    <t>kaen\662.tex</t>
  </si>
  <si>
    <t>kaen\663.tex</t>
  </si>
  <si>
    <t xml:space="preserve">frda </t>
  </si>
  <si>
    <t>kaen\664.tex</t>
  </si>
  <si>
    <t>kaen\771.tex</t>
  </si>
  <si>
    <t>kaen\772.tex</t>
  </si>
  <si>
    <t xml:space="preserve">fsaa </t>
  </si>
  <si>
    <t xml:space="preserve">cpe.p </t>
  </si>
  <si>
    <t>kaen\773.tex</t>
  </si>
  <si>
    <t>Black Bat: Battle Skeleton</t>
  </si>
  <si>
    <t>kaen\774.tex</t>
  </si>
  <si>
    <t>kaen\881.tex</t>
  </si>
  <si>
    <t>kaen\882.tex</t>
  </si>
  <si>
    <t>kaen\883.tex</t>
  </si>
  <si>
    <t>kaen\884.tex</t>
  </si>
  <si>
    <t xml:space="preserve">cqa.tex </t>
  </si>
  <si>
    <t>kaen\hahen.s</t>
  </si>
  <si>
    <t>Rocket base 2</t>
  </si>
  <si>
    <t>kaen\hassya1.s</t>
  </si>
  <si>
    <t xml:space="preserve">fsab </t>
  </si>
  <si>
    <t>408 Bytes</t>
  </si>
  <si>
    <t>kaen\hikari1.s</t>
  </si>
  <si>
    <t>Black Bat: Unidentified Part</t>
  </si>
  <si>
    <t>kaen\hit1.s</t>
  </si>
  <si>
    <t xml:space="preserve">fsam </t>
  </si>
  <si>
    <t>kaen\jo_c02.s</t>
  </si>
  <si>
    <t>kaen\kaen202.tex</t>
  </si>
  <si>
    <t xml:space="preserve">cqb.a </t>
  </si>
  <si>
    <t>kaen\soto1.p</t>
  </si>
  <si>
    <t>Rocket base: Static animation</t>
  </si>
  <si>
    <t>kaen\soto1.rsd</t>
  </si>
  <si>
    <t xml:space="preserve">cqc.hrc </t>
  </si>
  <si>
    <t>kaen\soto2.p</t>
  </si>
  <si>
    <t>Ruby Weapon</t>
  </si>
  <si>
    <t>kaen\soto2.rsd</t>
  </si>
  <si>
    <t xml:space="preserve">fsao </t>
  </si>
  <si>
    <t>kaen\soto3.p</t>
  </si>
  <si>
    <t>kaen\soto3.rsd</t>
  </si>
  <si>
    <t>kaen\soto4.p</t>
  </si>
  <si>
    <t>kaen\soto4.rsd</t>
  </si>
  <si>
    <t>kaen\soto5.p</t>
  </si>
  <si>
    <t xml:space="preserve">cqd.rsd </t>
  </si>
  <si>
    <t>Ruby Weapon: Chest</t>
  </si>
  <si>
    <t>kaen\soto5.rsd</t>
  </si>
  <si>
    <t xml:space="preserve">fsap </t>
  </si>
  <si>
    <t>kaen\soto6.p</t>
  </si>
  <si>
    <t>kaen\soto6.rsd</t>
  </si>
  <si>
    <t>kaen\soto7.p</t>
  </si>
  <si>
    <t>kaen\soto7.rsd</t>
  </si>
  <si>
    <t>kaen\soto8.p</t>
  </si>
  <si>
    <t xml:space="preserve">cqe.p </t>
  </si>
  <si>
    <t>kaen\soto8.rsd</t>
  </si>
  <si>
    <t>kaen2\111.tex</t>
  </si>
  <si>
    <t xml:space="preserve">fsar </t>
  </si>
  <si>
    <t>kaen2\112.tex</t>
  </si>
  <si>
    <t>kaen2\113.tex</t>
  </si>
  <si>
    <t>kaen2\114.tex</t>
  </si>
  <si>
    <t>kaen2\221.tex</t>
  </si>
  <si>
    <t>kaen2\222.tex</t>
  </si>
  <si>
    <t xml:space="preserve">cra.rsd </t>
  </si>
  <si>
    <t>Ruby Weapon: 'Wing'</t>
  </si>
  <si>
    <t>kaen2\223.tex</t>
  </si>
  <si>
    <t>kaen2\224.tex</t>
  </si>
  <si>
    <t xml:space="preserve">fsas </t>
  </si>
  <si>
    <t>kaen2\331.tex</t>
  </si>
  <si>
    <t>kaen2\332.tex</t>
  </si>
  <si>
    <t>kaen2\333.tex</t>
  </si>
  <si>
    <t xml:space="preserve">crb.p </t>
  </si>
  <si>
    <t>kaen2\334.tex</t>
  </si>
  <si>
    <t>kaen2\451.tex</t>
  </si>
  <si>
    <t xml:space="preserve">fsat </t>
  </si>
  <si>
    <t>kaen2\452.tex</t>
  </si>
  <si>
    <t>kaen2\453.tex</t>
  </si>
  <si>
    <t>kaen2\455.tex</t>
  </si>
  <si>
    <t>kaen2\551.tex</t>
  </si>
  <si>
    <t>kaen2\552.tex</t>
  </si>
  <si>
    <t xml:space="preserve">crc.rsd </t>
  </si>
  <si>
    <t>Ruby Weapon: Shoulder</t>
  </si>
  <si>
    <t>kaen2\553.tex</t>
  </si>
  <si>
    <t xml:space="preserve">fsau </t>
  </si>
  <si>
    <t>kaen2\554.tex</t>
  </si>
  <si>
    <t>kaen2\661.tex</t>
  </si>
  <si>
    <t>kaen2\662.tex</t>
  </si>
  <si>
    <t>kaen2\663.tex</t>
  </si>
  <si>
    <t>kaen2\664.tex</t>
  </si>
  <si>
    <t xml:space="preserve">crd.p </t>
  </si>
  <si>
    <t>kaen2\771.tex</t>
  </si>
  <si>
    <t xml:space="preserve">fsav </t>
  </si>
  <si>
    <t>kaen2\772.tex</t>
  </si>
  <si>
    <t>kaen2\773.tex</t>
  </si>
  <si>
    <t>kaen2\774.tex</t>
  </si>
  <si>
    <t>kaen2\881.tex</t>
  </si>
  <si>
    <t xml:space="preserve">fsax </t>
  </si>
  <si>
    <t>kaen2\882.tex</t>
  </si>
  <si>
    <t>kaen2\883.tex</t>
  </si>
  <si>
    <t xml:space="preserve">cre.rsd </t>
  </si>
  <si>
    <t>Ruby Weapon: Arm part 1</t>
  </si>
  <si>
    <t>kaen2\884.tex</t>
  </si>
  <si>
    <t>kaen2\baku1.s</t>
  </si>
  <si>
    <t>kaen2\hahen.s</t>
  </si>
  <si>
    <t>kaen2\hassya1.s</t>
  </si>
  <si>
    <t xml:space="preserve">fsaz </t>
  </si>
  <si>
    <t>kaen2\hikari1.s</t>
  </si>
  <si>
    <t>kaen2\hit1.s</t>
  </si>
  <si>
    <t xml:space="preserve">csa.p </t>
  </si>
  <si>
    <t>kaen2\kaen202.tex</t>
  </si>
  <si>
    <t>kaen2\soto1.p</t>
  </si>
  <si>
    <t>kaen2\soto1.rsd</t>
  </si>
  <si>
    <t xml:space="preserve">fsbb </t>
  </si>
  <si>
    <t>kaen2\soto2.p</t>
  </si>
  <si>
    <t>kaen2\soto2.rsd</t>
  </si>
  <si>
    <t>kaen2\soto3.p</t>
  </si>
  <si>
    <t>kaen2\soto3.rsd</t>
  </si>
  <si>
    <t xml:space="preserve">csb.rsd </t>
  </si>
  <si>
    <t>Ruby Weapon: Arm part 2</t>
  </si>
  <si>
    <t>kaen2\soto4.p</t>
  </si>
  <si>
    <t>kaen2\soto4.rsd</t>
  </si>
  <si>
    <t xml:space="preserve">fsbd </t>
  </si>
  <si>
    <t>kaen2\soto5.p</t>
  </si>
  <si>
    <t>kaen2\soto5.rsd</t>
  </si>
  <si>
    <t>kaen2\soto6.p</t>
  </si>
  <si>
    <t>kaen2\soto6.rsd</t>
  </si>
  <si>
    <t>kaen2\soto7.p</t>
  </si>
  <si>
    <t xml:space="preserve">csc.p </t>
  </si>
  <si>
    <t>kaen2\soto7.rsd</t>
  </si>
  <si>
    <t xml:space="preserve">fsbg </t>
  </si>
  <si>
    <t>kaen2\soto8.p</t>
  </si>
  <si>
    <t>kaen2\soto8.rsd</t>
  </si>
  <si>
    <t>kahun\baku1.s</t>
  </si>
  <si>
    <t>kahun\enmaku.tex</t>
  </si>
  <si>
    <t>kahun\kemu.s</t>
  </si>
  <si>
    <t xml:space="preserve">fsbh </t>
  </si>
  <si>
    <t>kahun\suna2.p</t>
  </si>
  <si>
    <t xml:space="preserve">csd.rsd </t>
  </si>
  <si>
    <t>kahun\suna2.rsd</t>
  </si>
  <si>
    <t>Ruby Weapon: Arm part 3</t>
  </si>
  <si>
    <t>kakusan\bimu1.s</t>
  </si>
  <si>
    <t>kakusan\bimu2.s</t>
  </si>
  <si>
    <t xml:space="preserve">fsbi </t>
  </si>
  <si>
    <t>kakusan\geki1.p</t>
  </si>
  <si>
    <t>kakusan\geki1.rsd</t>
  </si>
  <si>
    <t>kakusan\geki2.p</t>
  </si>
  <si>
    <t>kakusan\geki2.rsd</t>
  </si>
  <si>
    <t xml:space="preserve">cse.p </t>
  </si>
  <si>
    <t>kakusan\hikari1.s</t>
  </si>
  <si>
    <t>kakusan\hit1.s</t>
  </si>
  <si>
    <t>kakusan\reza1.s</t>
  </si>
  <si>
    <t>kama\hassya.s</t>
  </si>
  <si>
    <t>kama\hit11.s</t>
  </si>
  <si>
    <t>kama\hit12.s</t>
  </si>
  <si>
    <t>kama\hit21.s</t>
  </si>
  <si>
    <t>kama\hit22.s</t>
  </si>
  <si>
    <t xml:space="preserve">fsda </t>
  </si>
  <si>
    <t>kama\hit31.s</t>
  </si>
  <si>
    <t>kama\kama00.tex</t>
  </si>
  <si>
    <t xml:space="preserve">ftaa </t>
  </si>
  <si>
    <t xml:space="preserve">csmk.tex </t>
  </si>
  <si>
    <t>kama\kama01.tex</t>
  </si>
  <si>
    <t>kama\kama03.tex</t>
  </si>
  <si>
    <t>Ghirofelgo (w/o chain): Battle Skeleton</t>
  </si>
  <si>
    <t>kama2\hassya1.s</t>
  </si>
  <si>
    <t>kama2\hit11.s</t>
  </si>
  <si>
    <t>kama2\hit12.s</t>
  </si>
  <si>
    <t>kama2\hit21.s</t>
  </si>
  <si>
    <t>kama2\hit22.s</t>
  </si>
  <si>
    <t xml:space="preserve">csmk2.tex </t>
  </si>
  <si>
    <t>kama2\hit31.s</t>
  </si>
  <si>
    <t xml:space="preserve">ftab </t>
  </si>
  <si>
    <t>kama2\kama00.tex</t>
  </si>
  <si>
    <t>Ghirofelgo (w/o chain): Unidentified Part</t>
  </si>
  <si>
    <t>kama2\kama01.tex</t>
  </si>
  <si>
    <t>kama2\kama03.tex</t>
  </si>
  <si>
    <t xml:space="preserve">ftam </t>
  </si>
  <si>
    <t>kemu1\kemu1.s</t>
  </si>
  <si>
    <t>kiengiri\hassya.s</t>
  </si>
  <si>
    <t xml:space="preserve">cstds01.tex </t>
  </si>
  <si>
    <t>kiengiri\hit11.s</t>
  </si>
  <si>
    <t>Costa del Sol 1</t>
  </si>
  <si>
    <t>kiengiri\hit12.s</t>
  </si>
  <si>
    <t>kiengiri\hit21.s</t>
  </si>
  <si>
    <t>kiengiri\hit22.s</t>
  </si>
  <si>
    <t xml:space="preserve">ftan </t>
  </si>
  <si>
    <t>kiengiri\hit31.s</t>
  </si>
  <si>
    <t>kona\baku1.s</t>
  </si>
  <si>
    <t xml:space="preserve">cstds02.tex </t>
  </si>
  <si>
    <t>kona\doku00.tex</t>
  </si>
  <si>
    <t>Costa del Sol 2</t>
  </si>
  <si>
    <t>kona\doku01.tex</t>
  </si>
  <si>
    <t xml:space="preserve">ftao </t>
  </si>
  <si>
    <t>kona\doku02.tex</t>
  </si>
  <si>
    <t xml:space="preserve">cta.rsd </t>
  </si>
  <si>
    <t>Ruby Weapon: Arm part 4</t>
  </si>
  <si>
    <t>kona\doku1.s</t>
  </si>
  <si>
    <t>kona\hikari.p</t>
  </si>
  <si>
    <t>kona\hikari.rsd</t>
  </si>
  <si>
    <t>kona\jo_a.s</t>
  </si>
  <si>
    <t>konoha\ha1.tex</t>
  </si>
  <si>
    <t xml:space="preserve">ftap </t>
  </si>
  <si>
    <t>konoha\ha2.tex</t>
  </si>
  <si>
    <t xml:space="preserve">ctb.p </t>
  </si>
  <si>
    <t>konoha\ha3.tex</t>
  </si>
  <si>
    <t>konoha\ha4.tex</t>
  </si>
  <si>
    <t>konoha\ha5.tex</t>
  </si>
  <si>
    <t>konoha\ha6.tex</t>
  </si>
  <si>
    <t>korosi\hit_1.tex</t>
  </si>
  <si>
    <t>koudan1\bokasi.s</t>
  </si>
  <si>
    <t xml:space="preserve">ftar </t>
  </si>
  <si>
    <t>koudan1\hikari.p</t>
  </si>
  <si>
    <t xml:space="preserve">ctc.rsd </t>
  </si>
  <si>
    <t>Ruby Weapon: Arm part 5</t>
  </si>
  <si>
    <t>koudan1\hikari.rsd</t>
  </si>
  <si>
    <t>koudan1\hikari1.s</t>
  </si>
  <si>
    <t>koudan1\hikari2.s</t>
  </si>
  <si>
    <t>koudan1\hikari3.s</t>
  </si>
  <si>
    <t>koudan1\hosi1.s</t>
  </si>
  <si>
    <t>koudan1\koudan00.tex</t>
  </si>
  <si>
    <t xml:space="preserve">ftas </t>
  </si>
  <si>
    <t xml:space="preserve">ctd.p </t>
  </si>
  <si>
    <t>koudan1\koudan01.tex</t>
  </si>
  <si>
    <t>koudan1\koudan02.tex</t>
  </si>
  <si>
    <t>koudan1\koudan03.tex</t>
  </si>
  <si>
    <t>koudan1\maru1.s</t>
  </si>
  <si>
    <t>koudan1\maru10.s</t>
  </si>
  <si>
    <t>koudan1\maru2.s</t>
  </si>
  <si>
    <t xml:space="preserve">cte.rsd </t>
  </si>
  <si>
    <t>koudan1\maru3.s</t>
  </si>
  <si>
    <t>Ruby Weapon: Hand</t>
  </si>
  <si>
    <t>koudan1\maru4.s</t>
  </si>
  <si>
    <t xml:space="preserve">ftav </t>
  </si>
  <si>
    <t>koudan1\maru5.s</t>
  </si>
  <si>
    <t>koudan1\maru6.s</t>
  </si>
  <si>
    <t>koudan1\maru7.s</t>
  </si>
  <si>
    <t>koudan1\maru8.s</t>
  </si>
  <si>
    <t xml:space="preserve">cua.p </t>
  </si>
  <si>
    <t>koudan1\maru9.s</t>
  </si>
  <si>
    <t xml:space="preserve">ftaw </t>
  </si>
  <si>
    <t>koudan1\wa1.s</t>
  </si>
  <si>
    <t>koudan1\wa2.s</t>
  </si>
  <si>
    <t>koudan2\bokasi.s</t>
  </si>
  <si>
    <t>koudan2\hikari.p</t>
  </si>
  <si>
    <t>koudan2\hikari.rsd</t>
  </si>
  <si>
    <t xml:space="preserve">cub.rsd </t>
  </si>
  <si>
    <t>Ruby Weapon: Claw 1</t>
  </si>
  <si>
    <t>koudan2\hikari1.s</t>
  </si>
  <si>
    <t>koudan2\hikari2.s</t>
  </si>
  <si>
    <t xml:space="preserve">ftax </t>
  </si>
  <si>
    <t>koudan2\hikari3.s</t>
  </si>
  <si>
    <t>koudan2\hosi1.s</t>
  </si>
  <si>
    <t>koudan2\kou1.s</t>
  </si>
  <si>
    <t>koudan2\koudan00.tex</t>
  </si>
  <si>
    <t xml:space="preserve">cuc.p </t>
  </si>
  <si>
    <t>koudan2\koudan01.tex</t>
  </si>
  <si>
    <t>koudan2\koudan02.tex</t>
  </si>
  <si>
    <t xml:space="preserve">ftba </t>
  </si>
  <si>
    <t>koudan2\koudan03.tex</t>
  </si>
  <si>
    <t>koudan2\maru1.s</t>
  </si>
  <si>
    <t>koudan2\maru10.s</t>
  </si>
  <si>
    <t>koudan2\maru2.s</t>
  </si>
  <si>
    <t>koudan2\maru3.s</t>
  </si>
  <si>
    <t xml:space="preserve">ftbb </t>
  </si>
  <si>
    <t>koudan2\maru4.s</t>
  </si>
  <si>
    <t>koudan2\maru5.s</t>
  </si>
  <si>
    <t xml:space="preserve">cud.rsd </t>
  </si>
  <si>
    <t>Ruby Weapon: Claw 2</t>
  </si>
  <si>
    <t>koudan2\maru6.s</t>
  </si>
  <si>
    <t>koudan2\maru7.s</t>
  </si>
  <si>
    <t>koudan2\maru8.s</t>
  </si>
  <si>
    <t>koudan2\maru9.s</t>
  </si>
  <si>
    <t xml:space="preserve">ftbc </t>
  </si>
  <si>
    <t>koudan2\wa1.s</t>
  </si>
  <si>
    <t>koudan2\wa2.s</t>
  </si>
  <si>
    <t xml:space="preserve">cue.p </t>
  </si>
  <si>
    <t>kueisa\baku1.p</t>
  </si>
  <si>
    <t>kueisa\baku1.rsd</t>
  </si>
  <si>
    <t>kueisa\baku1.tex</t>
  </si>
  <si>
    <t>kueisa\bimu1.s</t>
  </si>
  <si>
    <t xml:space="preserve">ftbe </t>
  </si>
  <si>
    <t>kueisa\bimu2.s</t>
  </si>
  <si>
    <t>kueisa\elec1.p</t>
  </si>
  <si>
    <t>kueisa\elec1.rsd</t>
  </si>
  <si>
    <t xml:space="preserve">cva.rsd </t>
  </si>
  <si>
    <t>Ruby Weapon: Claw 3</t>
  </si>
  <si>
    <t>kueisa\elec1.tex</t>
  </si>
  <si>
    <t>kueisa\hikari1.s</t>
  </si>
  <si>
    <t xml:space="preserve">ftda </t>
  </si>
  <si>
    <t>kueisa\honou1.tex</t>
  </si>
  <si>
    <t xml:space="preserve">fuaa </t>
  </si>
  <si>
    <t>kueisa\honou10.tex</t>
  </si>
  <si>
    <t>160 Bytes</t>
  </si>
  <si>
    <t>Ghirofelgo's Chain:Battle Skeleton</t>
  </si>
  <si>
    <t>kueisa\honou2.tex</t>
  </si>
  <si>
    <t>kueisa\honou3.tex</t>
  </si>
  <si>
    <t xml:space="preserve">cvb.p </t>
  </si>
  <si>
    <t>kueisa\honou4.tex</t>
  </si>
  <si>
    <t>kueisa\honou5.tex</t>
  </si>
  <si>
    <t>kueisa\honou6.tex</t>
  </si>
  <si>
    <t>kueisa\honou7.tex</t>
  </si>
  <si>
    <t xml:space="preserve">fuab </t>
  </si>
  <si>
    <t>kueisa\honou8.tex</t>
  </si>
  <si>
    <t>404 Bytes</t>
  </si>
  <si>
    <t>Ghirofelgo's Chain:Unidentified Part</t>
  </si>
  <si>
    <t>kueisa\honou9.tex</t>
  </si>
  <si>
    <t xml:space="preserve">cvc.rsd </t>
  </si>
  <si>
    <t>kueisa\isi.tex</t>
  </si>
  <si>
    <t xml:space="preserve">fuao </t>
  </si>
  <si>
    <t>Ruby Weapon: Neck part 1</t>
  </si>
  <si>
    <t>kueisa\isi1.p</t>
  </si>
  <si>
    <t>kueisa\isi1.rsd</t>
  </si>
  <si>
    <t>kueisa\isi2.p</t>
  </si>
  <si>
    <t>kueisa\isi2.rsd</t>
  </si>
  <si>
    <t>kueisa\isi3.p</t>
  </si>
  <si>
    <t xml:space="preserve">fuap </t>
  </si>
  <si>
    <t>kueisa\isi3.rsd</t>
  </si>
  <si>
    <t xml:space="preserve">cvd.p </t>
  </si>
  <si>
    <t>kueisa\isi4.p</t>
  </si>
  <si>
    <t>kueisa\isi4.rsd</t>
  </si>
  <si>
    <t>kueisa\isi5.p</t>
  </si>
  <si>
    <t>kueisa\isi5.rsd</t>
  </si>
  <si>
    <t xml:space="preserve">fuaq </t>
  </si>
  <si>
    <t>kueisa\isi6.p</t>
  </si>
  <si>
    <t>kueisa\isi6.rsd</t>
  </si>
  <si>
    <t>kueisa\jo_c01.s</t>
  </si>
  <si>
    <t xml:space="preserve">cve.rsd </t>
  </si>
  <si>
    <t>Ruby Weapon: Neck part 2</t>
  </si>
  <si>
    <t>kueisa\kueisa.p</t>
  </si>
  <si>
    <t xml:space="preserve">fuar </t>
  </si>
  <si>
    <t>kueisa\kueisa.rsd</t>
  </si>
  <si>
    <t>kueisa\maru1.s</t>
  </si>
  <si>
    <t>kueisa\soto1.p</t>
  </si>
  <si>
    <t>kueisa\soto1.rsd</t>
  </si>
  <si>
    <t>kueisa\soto10.p</t>
  </si>
  <si>
    <t xml:space="preserve">cwa.p </t>
  </si>
  <si>
    <t xml:space="preserve">fuas </t>
  </si>
  <si>
    <t>kueisa\soto10.rsd</t>
  </si>
  <si>
    <t>kueisa\soto2.p</t>
  </si>
  <si>
    <t>kueisa\soto2.rsd</t>
  </si>
  <si>
    <t>kueisa\soto3.p</t>
  </si>
  <si>
    <t xml:space="preserve">fuat </t>
  </si>
  <si>
    <t>kueisa\soto3.rsd</t>
  </si>
  <si>
    <t>kueisa\soto4.p</t>
  </si>
  <si>
    <t xml:space="preserve">cwb.rsd </t>
  </si>
  <si>
    <t>Ruby Weapon: Neck part 3</t>
  </si>
  <si>
    <t>kueisa\soto4.rsd</t>
  </si>
  <si>
    <t>kueisa\soto5.p</t>
  </si>
  <si>
    <t xml:space="preserve">fuau </t>
  </si>
  <si>
    <t>kueisa\soto5.rsd</t>
  </si>
  <si>
    <t>kueisa\soto6.p</t>
  </si>
  <si>
    <t>kueisa\soto6.rsd</t>
  </si>
  <si>
    <t>kueisa\soto7.p</t>
  </si>
  <si>
    <t xml:space="preserve">cwc.p </t>
  </si>
  <si>
    <t>kueisa\soto7.rsd</t>
  </si>
  <si>
    <t xml:space="preserve">fuda </t>
  </si>
  <si>
    <t>kueisa\soto8.p</t>
  </si>
  <si>
    <t>kueisa\soto8.rsd</t>
  </si>
  <si>
    <t xml:space="preserve">fvaa </t>
  </si>
  <si>
    <t>kueisa\soto9.p</t>
  </si>
  <si>
    <t>Ying: Battle Skeleton</t>
  </si>
  <si>
    <t>kueisa\soto9.rsd</t>
  </si>
  <si>
    <t>kyuu\hit1.s</t>
  </si>
  <si>
    <t>kyuu\kira1.s</t>
  </si>
  <si>
    <t xml:space="preserve">cwd.rsd </t>
  </si>
  <si>
    <t>Ruby Weapon: Neck part 4</t>
  </si>
  <si>
    <t>kyuu\kira2.s</t>
  </si>
  <si>
    <t>kyuu\kyuu.p</t>
  </si>
  <si>
    <t xml:space="preserve">fvab </t>
  </si>
  <si>
    <t>Ying: Unidentified Part</t>
  </si>
  <si>
    <t>kyuu\kyuu.rsd</t>
  </si>
  <si>
    <t xml:space="preserve">fvap </t>
  </si>
  <si>
    <t>kyuu\titama.s</t>
  </si>
  <si>
    <t>kyuu2\hit1.s</t>
  </si>
  <si>
    <t>kyuu2\kira1.s</t>
  </si>
  <si>
    <t>kyuu2\kira2.s</t>
  </si>
  <si>
    <t>kyuu2\kyuu.p</t>
  </si>
  <si>
    <t xml:space="preserve">fvar </t>
  </si>
  <si>
    <t>kyuu2\kyuu.rsd</t>
  </si>
  <si>
    <t>kyuu2\titama.s</t>
  </si>
  <si>
    <t xml:space="preserve">cwe.p </t>
  </si>
  <si>
    <t>lasboss1\ex.tex</t>
  </si>
  <si>
    <t>lasboss1\hikari1.s</t>
  </si>
  <si>
    <t xml:space="preserve">fvas </t>
  </si>
  <si>
    <t>lasboss1\light_1.p</t>
  </si>
  <si>
    <t xml:space="preserve">cxa.rsd </t>
  </si>
  <si>
    <t>lasboss1\light_1.rsd</t>
  </si>
  <si>
    <t>Ruby Weapon: Head</t>
  </si>
  <si>
    <t>lasboss1\senkou.p</t>
  </si>
  <si>
    <t xml:space="preserve">fvat </t>
  </si>
  <si>
    <t>lasboss1\senkou.rsd</t>
  </si>
  <si>
    <t>lasboss1\smoke1.s</t>
  </si>
  <si>
    <t>lasboss1\smoke2.s</t>
  </si>
  <si>
    <t>magend\chi_1.s</t>
  </si>
  <si>
    <t>magend\chi_1.tex</t>
  </si>
  <si>
    <t xml:space="preserve">cxb.p </t>
  </si>
  <si>
    <t>magma\chika00.tex</t>
  </si>
  <si>
    <t xml:space="preserve">fvav </t>
  </si>
  <si>
    <t>magma\magma.s</t>
  </si>
  <si>
    <t>magma2\chika00.tex</t>
  </si>
  <si>
    <t>magma2\magma.s</t>
  </si>
  <si>
    <t>mgbeam\gan1.p</t>
  </si>
  <si>
    <t xml:space="preserve">cxc.rsd </t>
  </si>
  <si>
    <t>mgbeam\gan1.rsd</t>
  </si>
  <si>
    <t xml:space="preserve">fvax </t>
  </si>
  <si>
    <t>Ruby Weapon: Chin Sting</t>
  </si>
  <si>
    <t>mgbeam\hassya.s</t>
  </si>
  <si>
    <t>mgbeam\hassya.tex</t>
  </si>
  <si>
    <t>mgbeam\hit1.s</t>
  </si>
  <si>
    <t>mgbeam\hit1.tex</t>
  </si>
  <si>
    <t>misairu\baku1.s</t>
  </si>
  <si>
    <t xml:space="preserve">fvaz </t>
  </si>
  <si>
    <t>misairu\hunsya.s</t>
  </si>
  <si>
    <t xml:space="preserve">cxd.p </t>
  </si>
  <si>
    <t>misairu\kemu1.s</t>
  </si>
  <si>
    <t>misairu\misairu.p</t>
  </si>
  <si>
    <t>misairu\misairu.rsd</t>
  </si>
  <si>
    <t>mizu\baku1.s</t>
  </si>
  <si>
    <t>mizu\jo_c04.s</t>
  </si>
  <si>
    <t>mizu\mizu.p</t>
  </si>
  <si>
    <t xml:space="preserve">fvbb </t>
  </si>
  <si>
    <t xml:space="preserve">cxe.rsd </t>
  </si>
  <si>
    <t>mizu\mizu.rsd</t>
  </si>
  <si>
    <t>mizufuki\baku1.s</t>
  </si>
  <si>
    <t>mizufuki\doku00.tex</t>
  </si>
  <si>
    <t>mizufuki\doku01.tex</t>
  </si>
  <si>
    <t>mizufuki\doku02.tex</t>
  </si>
  <si>
    <t>mizufuki\doku1.s</t>
  </si>
  <si>
    <t xml:space="preserve">fvbd </t>
  </si>
  <si>
    <t>mizufuki\hassya.s</t>
  </si>
  <si>
    <t xml:space="preserve">cya.p </t>
  </si>
  <si>
    <t>mizufuki\jo_c05.s</t>
  </si>
  <si>
    <t>mizufuki\mizu.s</t>
  </si>
  <si>
    <t>mizufuki\snow1.s</t>
  </si>
  <si>
    <t>mizufuki\snow2.s</t>
  </si>
  <si>
    <t>mizufuki\tama.s</t>
  </si>
  <si>
    <t>nadare\baku1.s</t>
  </si>
  <si>
    <t xml:space="preserve">cyb.rsd </t>
  </si>
  <si>
    <t xml:space="preserve">fvbe </t>
  </si>
  <si>
    <t>nadare\baku1.tex</t>
  </si>
  <si>
    <t>nadare\hit1.s</t>
  </si>
  <si>
    <t>nadare\hit1.tex</t>
  </si>
  <si>
    <t>nadare\jo_a.s</t>
  </si>
  <si>
    <t>nadare\ko-2.tex</t>
  </si>
  <si>
    <t>nadare\kouri.rsd</t>
  </si>
  <si>
    <t xml:space="preserve">cyc.p </t>
  </si>
  <si>
    <t xml:space="preserve">fvbf </t>
  </si>
  <si>
    <t>naparm\baku11.p</t>
  </si>
  <si>
    <t>naparm\baku11.rsd</t>
  </si>
  <si>
    <t>naparm\baku11.tex</t>
  </si>
  <si>
    <t>naparm\domu1.tex</t>
  </si>
  <si>
    <t>naparm\enmaku.s</t>
  </si>
  <si>
    <t xml:space="preserve">cyd.rsd </t>
  </si>
  <si>
    <t>naparm\hahen1.s</t>
  </si>
  <si>
    <t>naparm\hikari.p</t>
  </si>
  <si>
    <t xml:space="preserve">fvda </t>
  </si>
  <si>
    <t>naparm\hikari.rsd</t>
  </si>
  <si>
    <t>naparm\hunsya.s</t>
  </si>
  <si>
    <t xml:space="preserve">fwaa </t>
  </si>
  <si>
    <t>naparm\kemu11.s</t>
  </si>
  <si>
    <t>Yang: Battle Skeleton</t>
  </si>
  <si>
    <t>naparm\kemu2.s</t>
  </si>
  <si>
    <t>naparm\kemu3.s</t>
  </si>
  <si>
    <t xml:space="preserve">cye.p </t>
  </si>
  <si>
    <t>naparm\misa.p</t>
  </si>
  <si>
    <t>naparm\misa.rsd</t>
  </si>
  <si>
    <t xml:space="preserve">fwab </t>
  </si>
  <si>
    <t>naparm\senkou1.p</t>
  </si>
  <si>
    <t>Yang: Unidentified Part</t>
  </si>
  <si>
    <t>naparm\senkou1.rsd</t>
  </si>
  <si>
    <t xml:space="preserve">fwap </t>
  </si>
  <si>
    <t>naparm\sindom1.p</t>
  </si>
  <si>
    <t>naparm\sindom1.rsd</t>
  </si>
  <si>
    <t xml:space="preserve">cza.rsd </t>
  </si>
  <si>
    <t>naparm\sindom2.p</t>
  </si>
  <si>
    <t>naparm\sindom2.rsd</t>
  </si>
  <si>
    <t xml:space="preserve">fwar </t>
  </si>
  <si>
    <t>naparm\wa.p</t>
  </si>
  <si>
    <t>naparm\wa.rsd</t>
  </si>
  <si>
    <t>netu\hahen1.s</t>
  </si>
  <si>
    <t>netu\hikari.s</t>
  </si>
  <si>
    <t xml:space="preserve">fwat </t>
  </si>
  <si>
    <t>netu\honou1.tex</t>
  </si>
  <si>
    <t>netu\honou10.tex</t>
  </si>
  <si>
    <t xml:space="preserve">czb.p </t>
  </si>
  <si>
    <t>netu\honou2.tex</t>
  </si>
  <si>
    <t>netu\honou3.tex</t>
  </si>
  <si>
    <t>netu\honou4.tex</t>
  </si>
  <si>
    <t xml:space="preserve">fwau </t>
  </si>
  <si>
    <t>netu\honou5.tex</t>
  </si>
  <si>
    <t>netu\honou6.tex</t>
  </si>
  <si>
    <t>netu\honou7.tex</t>
  </si>
  <si>
    <t>netu\honou8.tex</t>
  </si>
  <si>
    <t>netu\honou9.tex</t>
  </si>
  <si>
    <t xml:space="preserve">czc.rsd </t>
  </si>
  <si>
    <t>netu\isi.tex</t>
  </si>
  <si>
    <t xml:space="preserve">fwav </t>
  </si>
  <si>
    <t>netu\isi1.p</t>
  </si>
  <si>
    <t>netu\isi1.rsd</t>
  </si>
  <si>
    <t>netu\isi2.p</t>
  </si>
  <si>
    <t>netu\isi2.rsd</t>
  </si>
  <si>
    <t>netu\isi3.p</t>
  </si>
  <si>
    <t xml:space="preserve">czd.p </t>
  </si>
  <si>
    <t>netu\isi3.rsd</t>
  </si>
  <si>
    <t xml:space="preserve">fwax </t>
  </si>
  <si>
    <t>netu\isi4.p</t>
  </si>
  <si>
    <t>netu\isi4.rsd</t>
  </si>
  <si>
    <t>netu\kage.s</t>
  </si>
  <si>
    <t>netu\kemu1.s</t>
  </si>
  <si>
    <t>netu\netsu03.tex</t>
  </si>
  <si>
    <t xml:space="preserve">fwaz </t>
  </si>
  <si>
    <t>netu\netu1.p</t>
  </si>
  <si>
    <t xml:space="preserve">cze.rsd </t>
  </si>
  <si>
    <t>netu\netu1.rsd</t>
  </si>
  <si>
    <t>netu\uchi1.p</t>
  </si>
  <si>
    <t>netu\uchi1.rsd</t>
  </si>
  <si>
    <t>netu\uchi10.p</t>
  </si>
  <si>
    <t>netu\uchi10.rsd</t>
  </si>
  <si>
    <t xml:space="preserve">fwbb </t>
  </si>
  <si>
    <t>netu\uchi2.p</t>
  </si>
  <si>
    <t>netu\uchi2.rsd</t>
  </si>
  <si>
    <t xml:space="preserve">daa.p </t>
  </si>
  <si>
    <t>netu\uchi3.p</t>
  </si>
  <si>
    <t>netu\uchi3.rsd</t>
  </si>
  <si>
    <t>netu\uchi4.p</t>
  </si>
  <si>
    <t>netu\uchi4.rsd</t>
  </si>
  <si>
    <t>netu\uchi5.p</t>
  </si>
  <si>
    <t xml:space="preserve">fwbd </t>
  </si>
  <si>
    <t>netu\uchi5.rsd</t>
  </si>
  <si>
    <t xml:space="preserve">dab.rsd </t>
  </si>
  <si>
    <t>netu\uchi6.p</t>
  </si>
  <si>
    <t>netu\uchi6.rsd</t>
  </si>
  <si>
    <t>netu\uchi7.p</t>
  </si>
  <si>
    <t>netu\uchi7.rsd</t>
  </si>
  <si>
    <t xml:space="preserve">fwbe </t>
  </si>
  <si>
    <t>netu\uchi8.p</t>
  </si>
  <si>
    <t>netu\uchi8.rsd</t>
  </si>
  <si>
    <t xml:space="preserve">dac.p </t>
  </si>
  <si>
    <t>netu\uchi9.p</t>
  </si>
  <si>
    <t>netu\uchi9.rsd</t>
  </si>
  <si>
    <t>netu\wa.p</t>
  </si>
  <si>
    <t xml:space="preserve">fwbf </t>
  </si>
  <si>
    <t>netu\wa.rsd</t>
  </si>
  <si>
    <t>netu\wa1.tex</t>
  </si>
  <si>
    <t>nonosi\hassya1.s</t>
  </si>
  <si>
    <t>nonosi\jo_c04.s</t>
  </si>
  <si>
    <t>nonosi\wa.p</t>
  </si>
  <si>
    <t xml:space="preserve">dad.rsd </t>
  </si>
  <si>
    <t xml:space="preserve">fwda </t>
  </si>
  <si>
    <t>nonosi\wa.rsd</t>
  </si>
  <si>
    <t>nozan\baku1.s</t>
  </si>
  <si>
    <t xml:space="preserve">fxaa </t>
  </si>
  <si>
    <t>Ying/Yang (body): Battle Skeleton</t>
  </si>
  <si>
    <t>nozan\domu1.p</t>
  </si>
  <si>
    <t>nozan\domu1.rsd</t>
  </si>
  <si>
    <t>nozan\domu1.tex</t>
  </si>
  <si>
    <t>nozan\elehit1.s</t>
  </si>
  <si>
    <t xml:space="preserve">dae.p </t>
  </si>
  <si>
    <t xml:space="preserve">fxab </t>
  </si>
  <si>
    <t>nozan\elehit2.s</t>
  </si>
  <si>
    <t>Ying/Yang (body): Unidentified Part</t>
  </si>
  <si>
    <t>nozan\elehit3.s</t>
  </si>
  <si>
    <t xml:space="preserve">fxam </t>
  </si>
  <si>
    <t>nozan\elehit4.s</t>
  </si>
  <si>
    <t>nozan\hosi.s</t>
  </si>
  <si>
    <t>nozan\jo_c03.s</t>
  </si>
  <si>
    <t>nozan\soko.p</t>
  </si>
  <si>
    <t>nozan\soko.rsd</t>
  </si>
  <si>
    <t xml:space="preserve">fxan </t>
  </si>
  <si>
    <t>nozan\soto1.p</t>
  </si>
  <si>
    <t>nozan\soto1.rsd</t>
  </si>
  <si>
    <t>nozan\soto2.tex</t>
  </si>
  <si>
    <t>oil\1.p</t>
  </si>
  <si>
    <t xml:space="preserve">dba.rsd </t>
  </si>
  <si>
    <t>oil\1.rsd</t>
  </si>
  <si>
    <t>oil\111.tex</t>
  </si>
  <si>
    <t>oil\112.tex</t>
  </si>
  <si>
    <t>oil\113.tex</t>
  </si>
  <si>
    <t>oil\114.tex</t>
  </si>
  <si>
    <t>oil\2.p</t>
  </si>
  <si>
    <t>oil\2.rsd</t>
  </si>
  <si>
    <t>oil\221.tex</t>
  </si>
  <si>
    <t xml:space="preserve">fxao </t>
  </si>
  <si>
    <t>oil\222.tex</t>
  </si>
  <si>
    <t>oil\223.tex</t>
  </si>
  <si>
    <t>oil\224.tex</t>
  </si>
  <si>
    <t xml:space="preserve">dbb.p </t>
  </si>
  <si>
    <t>oil\3.p</t>
  </si>
  <si>
    <t>oil\3.rsd</t>
  </si>
  <si>
    <t>oil\331.tex</t>
  </si>
  <si>
    <t xml:space="preserve">fxaq </t>
  </si>
  <si>
    <t>oil\332.tex</t>
  </si>
  <si>
    <t>oil\333.tex</t>
  </si>
  <si>
    <t>oil\334.tex</t>
  </si>
  <si>
    <t>oil\4.p</t>
  </si>
  <si>
    <t>oil\4.rsd</t>
  </si>
  <si>
    <t xml:space="preserve">fxar </t>
  </si>
  <si>
    <t xml:space="preserve">dbc.rsd </t>
  </si>
  <si>
    <t>oil\451.tex</t>
  </si>
  <si>
    <t>oil\452.tex</t>
  </si>
  <si>
    <t xml:space="preserve">fxas </t>
  </si>
  <si>
    <t>oil\453.tex</t>
  </si>
  <si>
    <t xml:space="preserve">dbd.p </t>
  </si>
  <si>
    <t>oil\455.tex</t>
  </si>
  <si>
    <t>oil\5.p</t>
  </si>
  <si>
    <t>oil\5.rsd</t>
  </si>
  <si>
    <t>oil\551.tex</t>
  </si>
  <si>
    <t>oil\552.tex</t>
  </si>
  <si>
    <t xml:space="preserve">fxau </t>
  </si>
  <si>
    <t>oil\553.tex</t>
  </si>
  <si>
    <t>oil\554.tex</t>
  </si>
  <si>
    <t xml:space="preserve">dbe.rsd </t>
  </si>
  <si>
    <t>oil\6.p</t>
  </si>
  <si>
    <t>oil\6.rsd</t>
  </si>
  <si>
    <t>oil\661.tex</t>
  </si>
  <si>
    <t xml:space="preserve">fxaw </t>
  </si>
  <si>
    <t>oil\662.tex</t>
  </si>
  <si>
    <t>oil\663.tex</t>
  </si>
  <si>
    <t>oil\664.tex</t>
  </si>
  <si>
    <t>oil\7.p</t>
  </si>
  <si>
    <t xml:space="preserve">dca.p </t>
  </si>
  <si>
    <t>oil\7.rsd</t>
  </si>
  <si>
    <t>oil\771.tex</t>
  </si>
  <si>
    <t>oil\772.tex</t>
  </si>
  <si>
    <t xml:space="preserve">fxax </t>
  </si>
  <si>
    <t>oil\773.tex</t>
  </si>
  <si>
    <t>oil\774.tex</t>
  </si>
  <si>
    <t>oil\8.p</t>
  </si>
  <si>
    <t xml:space="preserve">dcb.rsd </t>
  </si>
  <si>
    <t>oil\8.rsd</t>
  </si>
  <si>
    <t>Ruby Weapon: 'skirt'</t>
  </si>
  <si>
    <t>oil\881.tex</t>
  </si>
  <si>
    <t>oil\882.tex</t>
  </si>
  <si>
    <t xml:space="preserve">fxay </t>
  </si>
  <si>
    <t>oil\883.tex</t>
  </si>
  <si>
    <t>oil\884.tex</t>
  </si>
  <si>
    <t>oil\baku1.s</t>
  </si>
  <si>
    <t xml:space="preserve">dcc.p </t>
  </si>
  <si>
    <t>oil\hit1.s</t>
  </si>
  <si>
    <t>oil\mizu.p</t>
  </si>
  <si>
    <t>oil\mizu.rsd</t>
  </si>
  <si>
    <t xml:space="preserve">fxba </t>
  </si>
  <si>
    <t>onpa\jo_c04.s</t>
  </si>
  <si>
    <t>onpa\onpa_11.p</t>
  </si>
  <si>
    <t>onpa\onpa_11.rsd</t>
  </si>
  <si>
    <t>osen\baku1.s</t>
  </si>
  <si>
    <t xml:space="preserve">fxda </t>
  </si>
  <si>
    <t>osen\jo_c01.s</t>
  </si>
  <si>
    <t xml:space="preserve">fyaa </t>
  </si>
  <si>
    <t>osen\kemu2.s</t>
  </si>
  <si>
    <t>Lost Number: Battle Skeleton</t>
  </si>
  <si>
    <t>osen\okuri2.p</t>
  </si>
  <si>
    <t xml:space="preserve">dcd.rsd </t>
  </si>
  <si>
    <t>Ruby Weapon: Legs and feet</t>
  </si>
  <si>
    <t>osen\okuri2.rsd</t>
  </si>
  <si>
    <t>osen\okuri2.tex</t>
  </si>
  <si>
    <t>osen\okuri3.tex</t>
  </si>
  <si>
    <t xml:space="preserve">fyab </t>
  </si>
  <si>
    <t>pink\baku1.s</t>
  </si>
  <si>
    <t>Lost Number: Unidentifed Part</t>
  </si>
  <si>
    <t>pink\baku1.tex</t>
  </si>
  <si>
    <t xml:space="preserve">fyam </t>
  </si>
  <si>
    <t>pink\enmaku.tex</t>
  </si>
  <si>
    <t>23 K</t>
  </si>
  <si>
    <t>pink\heart.s</t>
  </si>
  <si>
    <t>pink\hikari.p</t>
  </si>
  <si>
    <t xml:space="preserve">dce.p </t>
  </si>
  <si>
    <t>pink\hikari.rsd</t>
  </si>
  <si>
    <t>pink\maru.s</t>
  </si>
  <si>
    <t>pink\suna2.p</t>
  </si>
  <si>
    <t>pink\suna2.rsd</t>
  </si>
  <si>
    <t>pink\tama.s</t>
  </si>
  <si>
    <t>pink\tama.tex</t>
  </si>
  <si>
    <t xml:space="preserve">dda.a </t>
  </si>
  <si>
    <t>raku\hahen.s</t>
  </si>
  <si>
    <t>Ruby Weapon: Standing</t>
  </si>
  <si>
    <t>raku\hit1.s</t>
  </si>
  <si>
    <t xml:space="preserve">ddb.a </t>
  </si>
  <si>
    <t>Ruby Weapon: Defeated</t>
  </si>
  <si>
    <t xml:space="preserve">fyan </t>
  </si>
  <si>
    <t>raku\isi.tex</t>
  </si>
  <si>
    <t xml:space="preserve">ddc.a </t>
  </si>
  <si>
    <t>raku\kage.s</t>
  </si>
  <si>
    <t>Ruby Weapon: Start battle</t>
  </si>
  <si>
    <t>reiki\hahen1.s</t>
  </si>
  <si>
    <t xml:space="preserve">ddd.hrc </t>
  </si>
  <si>
    <t>reiki\hikari.s</t>
  </si>
  <si>
    <t>Grey Submarine</t>
  </si>
  <si>
    <t>reiki\honou1.tex</t>
  </si>
  <si>
    <t>reiki\honou10.tex</t>
  </si>
  <si>
    <t>reiki\honou2.tex</t>
  </si>
  <si>
    <t xml:space="preserve">fyap </t>
  </si>
  <si>
    <t>reiki\honou3.tex</t>
  </si>
  <si>
    <t>reiki\honou4.tex</t>
  </si>
  <si>
    <t>reiki\honou5.tex</t>
  </si>
  <si>
    <t xml:space="preserve">dde.rsd </t>
  </si>
  <si>
    <t>Grey Submarine: Rear</t>
  </si>
  <si>
    <t>reiki\honou6.tex</t>
  </si>
  <si>
    <t>reiki\honou7.tex</t>
  </si>
  <si>
    <t>reiki\honou8.tex</t>
  </si>
  <si>
    <t xml:space="preserve">fyaq </t>
  </si>
  <si>
    <t>reiki\honou9.tex</t>
  </si>
  <si>
    <t>reiki\isi.tex</t>
  </si>
  <si>
    <t>reiki\isi1.p</t>
  </si>
  <si>
    <t xml:space="preserve">dea.p </t>
  </si>
  <si>
    <t>reiki\isi1.rsd</t>
  </si>
  <si>
    <t>reiki\isi2.p</t>
  </si>
  <si>
    <t>reiki\isi2.rsd</t>
  </si>
  <si>
    <t xml:space="preserve">fyar </t>
  </si>
  <si>
    <t>reiki\isi3.p</t>
  </si>
  <si>
    <t>reiki\isi3.rsd</t>
  </si>
  <si>
    <t>reiki\isi4.p</t>
  </si>
  <si>
    <t xml:space="preserve">deb.rsd </t>
  </si>
  <si>
    <t>reiki\isi4.rsd</t>
  </si>
  <si>
    <t>Grey Submarine: Propeller</t>
  </si>
  <si>
    <t>reiki\kage.s</t>
  </si>
  <si>
    <t>reiki\kemu1.s</t>
  </si>
  <si>
    <t>reiki\netsu03.tex</t>
  </si>
  <si>
    <t>reiki\netu1.p</t>
  </si>
  <si>
    <t xml:space="preserve">fyas </t>
  </si>
  <si>
    <t>reiki\netu1.rsd</t>
  </si>
  <si>
    <t>reiki\uchi1.p</t>
  </si>
  <si>
    <t>reiki\uchi1.rsd</t>
  </si>
  <si>
    <t>reiki\uchi10.p</t>
  </si>
  <si>
    <t xml:space="preserve">dec.p </t>
  </si>
  <si>
    <t>reiki\uchi10.rsd</t>
  </si>
  <si>
    <t>reiki\uchi2.p</t>
  </si>
  <si>
    <t>reiki\uchi2.rsd</t>
  </si>
  <si>
    <t>reiki\uchi3.p</t>
  </si>
  <si>
    <t xml:space="preserve">fyau </t>
  </si>
  <si>
    <t>reiki\uchi3.rsd</t>
  </si>
  <si>
    <t>reiki\uchi4.p</t>
  </si>
  <si>
    <t xml:space="preserve">ded.rsd </t>
  </si>
  <si>
    <t>reiki\uchi4.rsd</t>
  </si>
  <si>
    <t>Grey Submarine: Front</t>
  </si>
  <si>
    <t>reiki\uchi5.p</t>
  </si>
  <si>
    <t>reiki\uchi5.rsd</t>
  </si>
  <si>
    <t xml:space="preserve">fyav </t>
  </si>
  <si>
    <t>reiki\uchi6.p</t>
  </si>
  <si>
    <t>reiki\uchi6.rsd</t>
  </si>
  <si>
    <t>reiki\uchi7.p</t>
  </si>
  <si>
    <t>reiki\uchi7.rsd</t>
  </si>
  <si>
    <t xml:space="preserve">dee.p </t>
  </si>
  <si>
    <t>reiki\uchi8.p</t>
  </si>
  <si>
    <t xml:space="preserve">fyaw </t>
  </si>
  <si>
    <t>reiki\uchi8.rsd</t>
  </si>
  <si>
    <t>reiki\uchi9.p</t>
  </si>
  <si>
    <t>reiki\uchi9.rsd</t>
  </si>
  <si>
    <t>reiki\wa.p</t>
  </si>
  <si>
    <t xml:space="preserve">fyax </t>
  </si>
  <si>
    <t>reiki\wa.rsd</t>
  </si>
  <si>
    <t xml:space="preserve">des01.tex </t>
  </si>
  <si>
    <t>reiki\wa1.tex</t>
  </si>
  <si>
    <t>Desert falling sands 1</t>
  </si>
  <si>
    <t>reito\baku1.s</t>
  </si>
  <si>
    <t>des01-4 are animated, counts as one texture</t>
  </si>
  <si>
    <t>reito\baku1.tex</t>
  </si>
  <si>
    <t>reito\gan1.p</t>
  </si>
  <si>
    <t>reito\gan1.rsd</t>
  </si>
  <si>
    <t>reito\hassya.s</t>
  </si>
  <si>
    <t xml:space="preserve">fyaz </t>
  </si>
  <si>
    <t>reito\hassya.tex</t>
  </si>
  <si>
    <t>reito\jo_1.s</t>
  </si>
  <si>
    <t xml:space="preserve">des02.tex </t>
  </si>
  <si>
    <t>Desert falling sands 2</t>
  </si>
  <si>
    <t>reito\kemu.p</t>
  </si>
  <si>
    <t>reito\kemu.rsd</t>
  </si>
  <si>
    <t>reito\ko-2.tex</t>
  </si>
  <si>
    <t>reito\ko1.p</t>
  </si>
  <si>
    <t xml:space="preserve">fyba </t>
  </si>
  <si>
    <t>reito\ko1.rsd</t>
  </si>
  <si>
    <t>reito\ko2.p</t>
  </si>
  <si>
    <t xml:space="preserve">des03.tex </t>
  </si>
  <si>
    <t>reito\ko2.rsd</t>
  </si>
  <si>
    <t>Desert falling sands 3</t>
  </si>
  <si>
    <t>reito\ko3.p</t>
  </si>
  <si>
    <t>reito\ko3.rsd</t>
  </si>
  <si>
    <t xml:space="preserve">fybb </t>
  </si>
  <si>
    <t>reito\ko4.p</t>
  </si>
  <si>
    <t>reito\ko4.rsd</t>
  </si>
  <si>
    <t>reito\ko5.p</t>
  </si>
  <si>
    <t>reito\ko5.rsd</t>
  </si>
  <si>
    <t xml:space="preserve">des04.tex </t>
  </si>
  <si>
    <t>Desert falling sands 4</t>
  </si>
  <si>
    <t>reito\ko6.p</t>
  </si>
  <si>
    <t xml:space="preserve">fybc </t>
  </si>
  <si>
    <t>reito\ko6.rsd</t>
  </si>
  <si>
    <t>reito\ko7.p</t>
  </si>
  <si>
    <t>reito\ko7.rsd</t>
  </si>
  <si>
    <t>reito\ko8.p</t>
  </si>
  <si>
    <t>reito\ko8.rsd</t>
  </si>
  <si>
    <t xml:space="preserve">desert.tex </t>
  </si>
  <si>
    <t>renmisa\domu1.tex</t>
  </si>
  <si>
    <t xml:space="preserve">fybd </t>
  </si>
  <si>
    <t>Desert</t>
  </si>
  <si>
    <t>renmisa\hahen1.s</t>
  </si>
  <si>
    <t>Main sand texture, accounts for 90%</t>
  </si>
  <si>
    <t>renmisa\hikari.p</t>
  </si>
  <si>
    <t>renmisa\hikari.rsd</t>
  </si>
  <si>
    <t>renmisa\hunsya.s</t>
  </si>
  <si>
    <t>renmisa\jo_a.s</t>
  </si>
  <si>
    <t>renmisa\kemu1.s</t>
  </si>
  <si>
    <t xml:space="preserve">desor.tex </t>
  </si>
  <si>
    <t xml:space="preserve">fybf </t>
  </si>
  <si>
    <t>Desert cliff</t>
  </si>
  <si>
    <t>renmisa\misairu.p</t>
  </si>
  <si>
    <t>renmisa\misairu.rsd</t>
  </si>
  <si>
    <t>renmisa\sindom1.p</t>
  </si>
  <si>
    <t>renmisa\sindom1.rsd</t>
  </si>
  <si>
    <t>renmisa\wa.p</t>
  </si>
  <si>
    <t>renmisa\wa.rsd</t>
  </si>
  <si>
    <t>reza1\hit1.s</t>
  </si>
  <si>
    <t xml:space="preserve">dfa.rsd </t>
  </si>
  <si>
    <t>Grey Submarine: Right Fin</t>
  </si>
  <si>
    <t>reza1\maru.s</t>
  </si>
  <si>
    <t xml:space="preserve">fybg </t>
  </si>
  <si>
    <t>reza2\hassya.s</t>
  </si>
  <si>
    <t>reza2\hassya.tex</t>
  </si>
  <si>
    <t>reza2\jo_c05.s</t>
  </si>
  <si>
    <t>re_do\baku1.s</t>
  </si>
  <si>
    <t>re_do\energy00.tex</t>
  </si>
  <si>
    <t xml:space="preserve">dfb.p </t>
  </si>
  <si>
    <t>re_do\energy02.tex</t>
  </si>
  <si>
    <t xml:space="preserve">fybh </t>
  </si>
  <si>
    <t>re_do\energy03.tex</t>
  </si>
  <si>
    <t>re_do\hado.p</t>
  </si>
  <si>
    <t>re_do\hado.rsd</t>
  </si>
  <si>
    <t>re_do\hado1.p</t>
  </si>
  <si>
    <t>re_do\hado1.rsd</t>
  </si>
  <si>
    <t>re_do\hahen1.s</t>
  </si>
  <si>
    <t xml:space="preserve">fybi </t>
  </si>
  <si>
    <t>re_do\isi.tex</t>
  </si>
  <si>
    <t>re_do\isi1.p</t>
  </si>
  <si>
    <t>re_do\isi1.rsd</t>
  </si>
  <si>
    <t>re_do\isi2.p</t>
  </si>
  <si>
    <t>re_do\isi2.rsd</t>
  </si>
  <si>
    <t xml:space="preserve">dfc.rsd </t>
  </si>
  <si>
    <t>re_do\isi3.p</t>
  </si>
  <si>
    <t>Grey Submarine: Left Fin</t>
  </si>
  <si>
    <t>re_do\isi3.rsd</t>
  </si>
  <si>
    <t xml:space="preserve">fyda </t>
  </si>
  <si>
    <t>re_do\isi4.p</t>
  </si>
  <si>
    <t>re_do\isi4.rsd</t>
  </si>
  <si>
    <t xml:space="preserve">fzaa </t>
  </si>
  <si>
    <t>re_do\kemu11.s</t>
  </si>
  <si>
    <t>Lost Number: Psychic: Battle Skeleton</t>
  </si>
  <si>
    <t>re_do\kou.s</t>
  </si>
  <si>
    <t>re_do\moto.p</t>
  </si>
  <si>
    <t xml:space="preserve">dfd.p </t>
  </si>
  <si>
    <t>re_do\moto.rsd</t>
  </si>
  <si>
    <t>re_do\moto1.tex</t>
  </si>
  <si>
    <t>re_do\senkou1.p</t>
  </si>
  <si>
    <t xml:space="preserve">fzab </t>
  </si>
  <si>
    <t>Lost Number: Psychic:Unidentified Part</t>
  </si>
  <si>
    <t>re_do\senkou1.rsd</t>
  </si>
  <si>
    <t>re_do\soto.p</t>
  </si>
  <si>
    <t xml:space="preserve">fzam </t>
  </si>
  <si>
    <t>re_do\soto.rsd</t>
  </si>
  <si>
    <t xml:space="preserve">dfe.a </t>
  </si>
  <si>
    <t>Grey Submarine: Moving</t>
  </si>
  <si>
    <t>re_do\tama1.p</t>
  </si>
  <si>
    <t>re_do\tama1.rsd</t>
  </si>
  <si>
    <t xml:space="preserve">dfx.tex </t>
  </si>
  <si>
    <t>Effects like running on sand, over water etc</t>
  </si>
  <si>
    <t>re_do\tama2.p</t>
  </si>
  <si>
    <t>re_do\tama2.rsd</t>
  </si>
  <si>
    <t>roket\baku11.p</t>
  </si>
  <si>
    <t>roket\baku11.rsd</t>
  </si>
  <si>
    <t>roket\baku11.tex</t>
  </si>
  <si>
    <t xml:space="preserve">fzan </t>
  </si>
  <si>
    <t>roket\domu1.tex</t>
  </si>
  <si>
    <t xml:space="preserve">dga.hrc </t>
  </si>
  <si>
    <t>roket\enmaku.s</t>
  </si>
  <si>
    <t>Red Submarine</t>
  </si>
  <si>
    <t>roket\hahen1.s</t>
  </si>
  <si>
    <t>roket\hikari.p</t>
  </si>
  <si>
    <t>roket\hikari.rsd</t>
  </si>
  <si>
    <t>roket\hunsya.s</t>
  </si>
  <si>
    <t>roket\kemu11.s</t>
  </si>
  <si>
    <t xml:space="preserve">fzap </t>
  </si>
  <si>
    <t xml:space="preserve">dgb.rsd </t>
  </si>
  <si>
    <t>roket\kemu2.s</t>
  </si>
  <si>
    <t>Red Submarine: Rear</t>
  </si>
  <si>
    <t>roket\kemu3.s</t>
  </si>
  <si>
    <t>roket\misa.p</t>
  </si>
  <si>
    <t>roket\misa.rsd</t>
  </si>
  <si>
    <t>roket\sindom1.p</t>
  </si>
  <si>
    <t>roket\sindom1.rsd</t>
  </si>
  <si>
    <t>roket\sindom2.p</t>
  </si>
  <si>
    <t xml:space="preserve">dgc.p </t>
  </si>
  <si>
    <t xml:space="preserve">fzaq </t>
  </si>
  <si>
    <t>roket\sindom2.rsd</t>
  </si>
  <si>
    <t>roket\wa.p</t>
  </si>
  <si>
    <t>roket\wa.rsd</t>
  </si>
  <si>
    <t>saikyo\breath02.tex</t>
  </si>
  <si>
    <t>saikyo\breath03.tex</t>
  </si>
  <si>
    <t>saikyo\hahen1.s</t>
  </si>
  <si>
    <t>saikyo\hikari1.s</t>
  </si>
  <si>
    <t xml:space="preserve">dgd.rsd </t>
  </si>
  <si>
    <t>saikyo\honou1.tex</t>
  </si>
  <si>
    <t>Red Submarine: Propeller</t>
  </si>
  <si>
    <t>saikyo\honou2.tex</t>
  </si>
  <si>
    <t xml:space="preserve">fzar </t>
  </si>
  <si>
    <t>saikyo\honou3.tex</t>
  </si>
  <si>
    <t>saikyo\honou4.tex</t>
  </si>
  <si>
    <t>saikyo\honou5.tex</t>
  </si>
  <si>
    <t>saikyo\honou6.tex</t>
  </si>
  <si>
    <t>saikyo\honou7.tex</t>
  </si>
  <si>
    <t xml:space="preserve">dge.p </t>
  </si>
  <si>
    <t xml:space="preserve">fzas </t>
  </si>
  <si>
    <t>saikyo\honou8.tex</t>
  </si>
  <si>
    <t>saikyo\isi1.tex</t>
  </si>
  <si>
    <t>saikyo\isi2.tex</t>
  </si>
  <si>
    <t>saikyo\iwa1.p</t>
  </si>
  <si>
    <t>saikyo\iwa1.rsd</t>
  </si>
  <si>
    <t>saikyo\iwa2.p</t>
  </si>
  <si>
    <t xml:space="preserve">dha.rsd </t>
  </si>
  <si>
    <t>saikyo\iwa2.rsd</t>
  </si>
  <si>
    <t>Red Submarine: Front</t>
  </si>
  <si>
    <t>saikyo\iwa3.p</t>
  </si>
  <si>
    <t xml:space="preserve">fzat </t>
  </si>
  <si>
    <t>saikyo\iwa3.rsd</t>
  </si>
  <si>
    <t>saikyo\iwa4.p</t>
  </si>
  <si>
    <t>saikyo\iwa4.rsd</t>
  </si>
  <si>
    <t>saikyo\kage.p</t>
  </si>
  <si>
    <t>saikyo\kage.rsd</t>
  </si>
  <si>
    <t xml:space="preserve">dhb.p </t>
  </si>
  <si>
    <t xml:space="preserve">fzav </t>
  </si>
  <si>
    <t>saikyo\kemu1.s</t>
  </si>
  <si>
    <t>saikyo\netu1.p</t>
  </si>
  <si>
    <t>saikyo\netu1.rsd</t>
  </si>
  <si>
    <t>saikyo\onpa1.s</t>
  </si>
  <si>
    <t>saikyo\onpa2.s</t>
  </si>
  <si>
    <t xml:space="preserve">fzaw </t>
  </si>
  <si>
    <t>saikyo\onpa3.s</t>
  </si>
  <si>
    <t xml:space="preserve">dhc.rsd </t>
  </si>
  <si>
    <t>saikyo\onpa4.s</t>
  </si>
  <si>
    <t>Red Submarine: Right Fin</t>
  </si>
  <si>
    <t>saikyo\onpa5.s</t>
  </si>
  <si>
    <t>saikyo\onpa6.s</t>
  </si>
  <si>
    <t>saikyo\onpa7.s</t>
  </si>
  <si>
    <t>saikyo\uchi1.p</t>
  </si>
  <si>
    <t xml:space="preserve">fzax </t>
  </si>
  <si>
    <t xml:space="preserve">dhd.p </t>
  </si>
  <si>
    <t>saikyo\uchi1.rsd</t>
  </si>
  <si>
    <t>saikyo\uchi2.p</t>
  </si>
  <si>
    <t>saikyo\uchi2.rsd</t>
  </si>
  <si>
    <t>saikyo\uchi3.p</t>
  </si>
  <si>
    <t>saikyo\uchi3.rsd</t>
  </si>
  <si>
    <t>saikyo\uchi4.p</t>
  </si>
  <si>
    <t>saikyo\uchi4.rsd</t>
  </si>
  <si>
    <t xml:space="preserve">dhe.rsd </t>
  </si>
  <si>
    <t xml:space="preserve">fzay </t>
  </si>
  <si>
    <t>Red Submarine: Left Fin</t>
  </si>
  <si>
    <t>saikyo\uchi5.p</t>
  </si>
  <si>
    <t>saikyo\uchi5.rsd</t>
  </si>
  <si>
    <t>saikyo\uchi6.p</t>
  </si>
  <si>
    <t>saikyo\uchi6.rsd</t>
  </si>
  <si>
    <t>saikyo\uchi7.p</t>
  </si>
  <si>
    <t>saikyo\uchi7.rsd</t>
  </si>
  <si>
    <t xml:space="preserve">dia.p </t>
  </si>
  <si>
    <t>saikyo\uchi8.p</t>
  </si>
  <si>
    <t xml:space="preserve">fzba </t>
  </si>
  <si>
    <t>saikyo\uchi8.rsd</t>
  </si>
  <si>
    <t>saikyo\wa.p</t>
  </si>
  <si>
    <t>saikyo\wa.rsd</t>
  </si>
  <si>
    <t>sander\baku11.p</t>
  </si>
  <si>
    <t xml:space="preserve">dib.a </t>
  </si>
  <si>
    <t>sander\baku11.rsd</t>
  </si>
  <si>
    <t>Red Submarine: Moving</t>
  </si>
  <si>
    <t xml:space="preserve">fzbb </t>
  </si>
  <si>
    <t>sander\baku11.tex</t>
  </si>
  <si>
    <t xml:space="preserve">dic.hrc </t>
  </si>
  <si>
    <t>sander\elec1.s</t>
  </si>
  <si>
    <t>Unknown</t>
  </si>
  <si>
    <t>sander\elec2.s</t>
  </si>
  <si>
    <t>sander\geki1.p</t>
  </si>
  <si>
    <t>sander\geki1.rsd</t>
  </si>
  <si>
    <t xml:space="preserve">fzbc </t>
  </si>
  <si>
    <t>sander\hahen.s</t>
  </si>
  <si>
    <t xml:space="preserve">did.rsd </t>
  </si>
  <si>
    <t>sander\hibana.s</t>
  </si>
  <si>
    <t>sander\hit11.s</t>
  </si>
  <si>
    <t>sander\hit12.s</t>
  </si>
  <si>
    <t>sander\jo_c01.s</t>
  </si>
  <si>
    <t xml:space="preserve">fzbd </t>
  </si>
  <si>
    <t>sander\kemu11.s</t>
  </si>
  <si>
    <t>sander\thunde00.tex</t>
  </si>
  <si>
    <t xml:space="preserve">die.p </t>
  </si>
  <si>
    <t>sander\thunde01.tex</t>
  </si>
  <si>
    <t>sander\thunde02.tex</t>
  </si>
  <si>
    <t xml:space="preserve">fzbe </t>
  </si>
  <si>
    <t>sarchi\hit1.tex</t>
  </si>
  <si>
    <t>sarchi\hit11.s</t>
  </si>
  <si>
    <t>sarchi\hit12.s</t>
  </si>
  <si>
    <t>sarchi\sarchi.p</t>
  </si>
  <si>
    <t xml:space="preserve">dja.tex </t>
  </si>
  <si>
    <t xml:space="preserve">fzbg </t>
  </si>
  <si>
    <t>sarchi\sarchi.rsd</t>
  </si>
  <si>
    <t>sarchi\sarchi2.p</t>
  </si>
  <si>
    <t>sarchi\sarchi2.rsd</t>
  </si>
  <si>
    <t>sazan\baku1.s</t>
  </si>
  <si>
    <t>sazan\domu1.p</t>
  </si>
  <si>
    <t>sazan\domu1.rsd</t>
  </si>
  <si>
    <t xml:space="preserve">djb.a </t>
  </si>
  <si>
    <t>sazan\domu1.tex</t>
  </si>
  <si>
    <t>sazan\elehit1.s</t>
  </si>
  <si>
    <t xml:space="preserve">fzbh </t>
  </si>
  <si>
    <t xml:space="preserve">djc.hrc </t>
  </si>
  <si>
    <t>sazan\elehit2.s</t>
  </si>
  <si>
    <t>Pole from glacier</t>
  </si>
  <si>
    <t>sazan\elehit3.s</t>
  </si>
  <si>
    <t>sazan\elehit4.s</t>
  </si>
  <si>
    <t>sazan\hosi.s</t>
  </si>
  <si>
    <t>sazan\jo_c01.s</t>
  </si>
  <si>
    <t>sazan\soko.p</t>
  </si>
  <si>
    <t xml:space="preserve">djd.rsd </t>
  </si>
  <si>
    <t>sazan\soko.rsd</t>
  </si>
  <si>
    <t xml:space="preserve">fzbi </t>
  </si>
  <si>
    <t>Pole from glacier: Whole model</t>
  </si>
  <si>
    <t>sazan\soto1.p</t>
  </si>
  <si>
    <t>sazan\soto1.rsd</t>
  </si>
  <si>
    <t>sazan\soto2.tex</t>
  </si>
  <si>
    <t>scorp\baku1.tex</t>
  </si>
  <si>
    <t>scorp\baku11.s</t>
  </si>
  <si>
    <t>scorp\hit1.tex</t>
  </si>
  <si>
    <t xml:space="preserve">fzbj </t>
  </si>
  <si>
    <t xml:space="preserve">dje.p </t>
  </si>
  <si>
    <t>scorp\hit11.s</t>
  </si>
  <si>
    <t>scorp\sarchi2.p</t>
  </si>
  <si>
    <t>scorp\sarchi2.rsd</t>
  </si>
  <si>
    <t>sekika\baku1.tex</t>
  </si>
  <si>
    <t>sekika\baku11.s</t>
  </si>
  <si>
    <t xml:space="preserve">fzda </t>
  </si>
  <si>
    <t>sekika\hikari.p</t>
  </si>
  <si>
    <t>sekika\hikari.rsd</t>
  </si>
  <si>
    <t xml:space="preserve">gaaa </t>
  </si>
  <si>
    <t xml:space="preserve">dka.tex </t>
  </si>
  <si>
    <t>Lost Number: Psysic :Battle Skeleton</t>
  </si>
  <si>
    <t>sekika\hikari1.s</t>
  </si>
  <si>
    <t>Pole from glacier whole texture</t>
  </si>
  <si>
    <t>sekika\hikari1.tex</t>
  </si>
  <si>
    <t>sekika\hikari2.s</t>
  </si>
  <si>
    <t>sekika\hikari3.s</t>
  </si>
  <si>
    <t xml:space="preserve">gaab </t>
  </si>
  <si>
    <t>sekika\hit1.tex</t>
  </si>
  <si>
    <t>Lost Number: Psysic : Unidentified Part</t>
  </si>
  <si>
    <t>sekika\hit11.s</t>
  </si>
  <si>
    <t xml:space="preserve">gaam </t>
  </si>
  <si>
    <t xml:space="preserve">dkb.a </t>
  </si>
  <si>
    <t>sekika\isi1.tex</t>
  </si>
  <si>
    <t>Pole from glacier: Static animation</t>
  </si>
  <si>
    <t>sekika\jo_a.s</t>
  </si>
  <si>
    <t xml:space="preserve">dkc.hrc </t>
  </si>
  <si>
    <t>sekika\ko1.p</t>
  </si>
  <si>
    <t>Tail</t>
  </si>
  <si>
    <t>sekika\ko1.rsd</t>
  </si>
  <si>
    <t xml:space="preserve">gaan </t>
  </si>
  <si>
    <t>sekika\ko2.p</t>
  </si>
  <si>
    <t>sekika\ko2.rsd</t>
  </si>
  <si>
    <t>sekika\ko3.p</t>
  </si>
  <si>
    <t>sekika\ko3.rsd</t>
  </si>
  <si>
    <t>sekika\ko4.p</t>
  </si>
  <si>
    <t xml:space="preserve">gaap </t>
  </si>
  <si>
    <t xml:space="preserve">dkd.rsd </t>
  </si>
  <si>
    <t>sekika\ko4.rsd</t>
  </si>
  <si>
    <t>Tail: whole model</t>
  </si>
  <si>
    <t>sekika\ko5.p</t>
  </si>
  <si>
    <t>sekika\ko5.rsd</t>
  </si>
  <si>
    <t>sekika\ko6.p</t>
  </si>
  <si>
    <t>sekika\ko6.rsd</t>
  </si>
  <si>
    <t>sekika\ko7.p</t>
  </si>
  <si>
    <t xml:space="preserve">gaaq </t>
  </si>
  <si>
    <t>sekika\ko7.rsd</t>
  </si>
  <si>
    <t xml:space="preserve">dke.p </t>
  </si>
  <si>
    <t>sekika\ko8.p</t>
  </si>
  <si>
    <t>sekika\ko8.rsd</t>
  </si>
  <si>
    <t>sekika\sarchi.p</t>
  </si>
  <si>
    <t>sekika\sarchi.rsd</t>
  </si>
  <si>
    <t>sekika\sarchi1.p</t>
  </si>
  <si>
    <t>sekika\sarchi1.rsd</t>
  </si>
  <si>
    <t xml:space="preserve">gaar </t>
  </si>
  <si>
    <t xml:space="preserve">dla.a </t>
  </si>
  <si>
    <t>shower\baku1.s</t>
  </si>
  <si>
    <t>Tail: Static animation</t>
  </si>
  <si>
    <t>shower\doku00.tex</t>
  </si>
  <si>
    <t>shower\doku01.tex</t>
  </si>
  <si>
    <t xml:space="preserve">dlb.hrc </t>
  </si>
  <si>
    <t>Tifa: Field Skeleton</t>
  </si>
  <si>
    <t>shower\doku02.tex</t>
  </si>
  <si>
    <t>shower\doku1.s</t>
  </si>
  <si>
    <t xml:space="preserve">gaas </t>
  </si>
  <si>
    <t>shower\hikari.p</t>
  </si>
  <si>
    <t>shower\hikari.rsd</t>
  </si>
  <si>
    <t>shower\jo_c01.s</t>
  </si>
  <si>
    <t>shower\mizu.s</t>
  </si>
  <si>
    <t>shower\tama.s</t>
  </si>
  <si>
    <t xml:space="preserve">gaau </t>
  </si>
  <si>
    <t xml:space="preserve">dlc.rsd </t>
  </si>
  <si>
    <t>smog\baku1.s</t>
  </si>
  <si>
    <t>smog\baku1.tex</t>
  </si>
  <si>
    <t>smog\elehit1.s</t>
  </si>
  <si>
    <t>smog\elehit2.s</t>
  </si>
  <si>
    <t xml:space="preserve">gaav </t>
  </si>
  <si>
    <t>smog\elehit3.s</t>
  </si>
  <si>
    <t>smog\elehit4.s</t>
  </si>
  <si>
    <t xml:space="preserve">dld.p </t>
  </si>
  <si>
    <t>smog\hit1.s</t>
  </si>
  <si>
    <t>smog\jo_c01.s</t>
  </si>
  <si>
    <t>smog\kemu1.s</t>
  </si>
  <si>
    <t xml:space="preserve">gaaw </t>
  </si>
  <si>
    <t>smog\kemu1.tex</t>
  </si>
  <si>
    <t>smog\smoke.s</t>
  </si>
  <si>
    <t>smog\smoke.tex</t>
  </si>
  <si>
    <t>spade1\card.tex</t>
  </si>
  <si>
    <t xml:space="preserve">gaax </t>
  </si>
  <si>
    <t>spade1\card1.p</t>
  </si>
  <si>
    <t xml:space="preserve">dle.rsd </t>
  </si>
  <si>
    <t>spade1\card1.rsd</t>
  </si>
  <si>
    <t>spade1\spade.tex</t>
  </si>
  <si>
    <t>spade2\card1.p</t>
  </si>
  <si>
    <t xml:space="preserve">gaaz </t>
  </si>
  <si>
    <t>spade2\card1.rsd</t>
  </si>
  <si>
    <t>spade2\spade.tex</t>
  </si>
  <si>
    <t>spade2\tarot.tex</t>
  </si>
  <si>
    <t>sumi\hit1.s</t>
  </si>
  <si>
    <t>sumi\hit21.s</t>
  </si>
  <si>
    <t xml:space="preserve">dma.p </t>
  </si>
  <si>
    <t xml:space="preserve">gaba </t>
  </si>
  <si>
    <t>sumi\hit22.s</t>
  </si>
  <si>
    <t>suna\enmaku.tex</t>
  </si>
  <si>
    <t>suna\hit1.s</t>
  </si>
  <si>
    <t>suna\hit1.tex</t>
  </si>
  <si>
    <t xml:space="preserve">gabb </t>
  </si>
  <si>
    <t>suna\hit2.s</t>
  </si>
  <si>
    <t>suna\hit3.s</t>
  </si>
  <si>
    <t xml:space="preserve">dmb.rsd </t>
  </si>
  <si>
    <t>suna\hit4.s</t>
  </si>
  <si>
    <t>suna\suna2.p</t>
  </si>
  <si>
    <t>suna\suna2.rsd</t>
  </si>
  <si>
    <t xml:space="preserve">gabc </t>
  </si>
  <si>
    <t>syaku\baku1.s</t>
  </si>
  <si>
    <t>syaku\baku1.tex</t>
  </si>
  <si>
    <t>syaku\hado.p</t>
  </si>
  <si>
    <t>syaku\hado.rsd</t>
  </si>
  <si>
    <t xml:space="preserve">dmc.p </t>
  </si>
  <si>
    <t>syaku\hado1.p</t>
  </si>
  <si>
    <t>syaku\hado1.rsd</t>
  </si>
  <si>
    <t xml:space="preserve">gabe </t>
  </si>
  <si>
    <t>syaku\hahen1.s</t>
  </si>
  <si>
    <t>syaku\isi.tex</t>
  </si>
  <si>
    <t>syaku\isi1.p</t>
  </si>
  <si>
    <t>syaku\isi1.rsd</t>
  </si>
  <si>
    <t xml:space="preserve">dmd.tex </t>
  </si>
  <si>
    <t>syaku\isi2.p</t>
  </si>
  <si>
    <t>syaku\isi2.rsd</t>
  </si>
  <si>
    <t>syaku\isi3.p</t>
  </si>
  <si>
    <t xml:space="preserve">gabf </t>
  </si>
  <si>
    <t>syaku\isi3.rsd</t>
  </si>
  <si>
    <t>syaku\isi4.p</t>
  </si>
  <si>
    <t>syaku\isi4.rsd</t>
  </si>
  <si>
    <t>syaku\kemu11.s</t>
  </si>
  <si>
    <t xml:space="preserve">dme.tex </t>
  </si>
  <si>
    <t>syaku\kou.s</t>
  </si>
  <si>
    <t>syaku\moto.p</t>
  </si>
  <si>
    <t>syaku\moto.rsd</t>
  </si>
  <si>
    <t>syaku\moto1.tex</t>
  </si>
  <si>
    <t xml:space="preserve">gabg </t>
  </si>
  <si>
    <t>syaku\senkou1.p</t>
  </si>
  <si>
    <t>syaku\senkou1.rsd</t>
  </si>
  <si>
    <t>syaku\soto.p</t>
  </si>
  <si>
    <t xml:space="preserve">dna.tex </t>
  </si>
  <si>
    <t>syaku\soto.rsd</t>
  </si>
  <si>
    <t>syaku\tama1.p</t>
  </si>
  <si>
    <t xml:space="preserve">gabh </t>
  </si>
  <si>
    <t>syaku\tama1.rsd</t>
  </si>
  <si>
    <t>syaku\tama2.p</t>
  </si>
  <si>
    <t>syaku\tama2.rsd</t>
  </si>
  <si>
    <t>s_bless\bakusoto.tex</t>
  </si>
  <si>
    <t xml:space="preserve">dnb.rsd </t>
  </si>
  <si>
    <t>s_bless\breath02.tex</t>
  </si>
  <si>
    <t xml:space="preserve">gada </t>
  </si>
  <si>
    <t>s_bless\breath03.tex</t>
  </si>
  <si>
    <t>s_bless\domu.p</t>
  </si>
  <si>
    <t xml:space="preserve">gbaa </t>
  </si>
  <si>
    <t>s_bless\domu.rsd</t>
  </si>
  <si>
    <t>Dragon: Battle Skeleton</t>
  </si>
  <si>
    <t>s_bless\domu.tex</t>
  </si>
  <si>
    <t>s_bless\dosoto.p</t>
  </si>
  <si>
    <t xml:space="preserve">dnc.p </t>
  </si>
  <si>
    <t>s_bless\dosoto.rsd</t>
  </si>
  <si>
    <t>s_bless\elec1.s</t>
  </si>
  <si>
    <t>s_bless\elec2.s</t>
  </si>
  <si>
    <t>s_bless\hahen1.s</t>
  </si>
  <si>
    <t xml:space="preserve">gbab </t>
  </si>
  <si>
    <t>s_bless\hikari1.s</t>
  </si>
  <si>
    <t>Dragon: Unidentified Part</t>
  </si>
  <si>
    <t xml:space="preserve">gbam </t>
  </si>
  <si>
    <t xml:space="preserve">dnd.rsd </t>
  </si>
  <si>
    <t>s_bless\hikari2.s</t>
  </si>
  <si>
    <t>s_bless\honou1.tex</t>
  </si>
  <si>
    <t>s_bless\honou2.tex</t>
  </si>
  <si>
    <t>s_bless\honou3.tex</t>
  </si>
  <si>
    <t xml:space="preserve">gban </t>
  </si>
  <si>
    <t>s_bless\honou4.tex</t>
  </si>
  <si>
    <t>s_bless\honou5.tex</t>
  </si>
  <si>
    <t>s_bless\honou6.tex</t>
  </si>
  <si>
    <t xml:space="preserve">dne.p </t>
  </si>
  <si>
    <t>s_bless\honou7.tex</t>
  </si>
  <si>
    <t xml:space="preserve">gbao </t>
  </si>
  <si>
    <t>s_bless\honou8.tex</t>
  </si>
  <si>
    <t>s_bless\isi1.tex</t>
  </si>
  <si>
    <t>s_bless\isi2.tex</t>
  </si>
  <si>
    <t>s_bless\iwa1.p</t>
  </si>
  <si>
    <t>s_bless\iwa1.rsd</t>
  </si>
  <si>
    <t xml:space="preserve">gbap </t>
  </si>
  <si>
    <t xml:space="preserve">doa.rsd </t>
  </si>
  <si>
    <t>s_bless\iwa2.p</t>
  </si>
  <si>
    <t>s_bless\iwa2.rsd</t>
  </si>
  <si>
    <t>s_bless\iwa3.p</t>
  </si>
  <si>
    <t>s_bless\iwa3.rsd</t>
  </si>
  <si>
    <t>s_bless\iwa4.p</t>
  </si>
  <si>
    <t>s_bless\iwa4.rsd</t>
  </si>
  <si>
    <t>s_bless\kage.p</t>
  </si>
  <si>
    <t xml:space="preserve">dob.p </t>
  </si>
  <si>
    <t>s_bless\kage.rsd</t>
  </si>
  <si>
    <t xml:space="preserve">gbaq </t>
  </si>
  <si>
    <t>s_bless\kemu1.s</t>
  </si>
  <si>
    <t>s_bless\netu1.p</t>
  </si>
  <si>
    <t>s_bless\netu1.rsd</t>
  </si>
  <si>
    <t>s_bless\uchi1.p</t>
  </si>
  <si>
    <t>s_bless\uchi1.rsd</t>
  </si>
  <si>
    <t xml:space="preserve">doc.rsd </t>
  </si>
  <si>
    <t>s_bless\uchi2.p</t>
  </si>
  <si>
    <t>s_bless\uchi2.rsd</t>
  </si>
  <si>
    <t xml:space="preserve">gbar </t>
  </si>
  <si>
    <t>s_bless\uchi3.p</t>
  </si>
  <si>
    <t>s_bless\uchi3.rsd</t>
  </si>
  <si>
    <t>s_bless\uchi4.p</t>
  </si>
  <si>
    <t>s_bless\uchi4.rsd</t>
  </si>
  <si>
    <t xml:space="preserve">dod.p </t>
  </si>
  <si>
    <t>s_bless\uchi5.p</t>
  </si>
  <si>
    <t>s_bless\uchi5.rsd</t>
  </si>
  <si>
    <t>s_bless\uchi6.p</t>
  </si>
  <si>
    <t xml:space="preserve">gbat </t>
  </si>
  <si>
    <t>s_bless\uchi6.rsd</t>
  </si>
  <si>
    <t>s_bless\uchi7.p</t>
  </si>
  <si>
    <t>s_bless\uchi7.rsd</t>
  </si>
  <si>
    <t xml:space="preserve">doe.rsd </t>
  </si>
  <si>
    <t>s_bless\uchi8.p</t>
  </si>
  <si>
    <t>s_bless\uchi8.rsd</t>
  </si>
  <si>
    <t>s_bless\wa.p</t>
  </si>
  <si>
    <t xml:space="preserve">gbau </t>
  </si>
  <si>
    <t>s_bless\wa.rsd</t>
  </si>
  <si>
    <t>tan\hit1.s</t>
  </si>
  <si>
    <t>tane\hit1.s</t>
  </si>
  <si>
    <t xml:space="preserve">dpa.p </t>
  </si>
  <si>
    <t>tane\hit1.tex</t>
  </si>
  <si>
    <t>tele\baku1.s</t>
  </si>
  <si>
    <t>tele\baku11.p</t>
  </si>
  <si>
    <t>tele\baku11.rsd</t>
  </si>
  <si>
    <t>tele\baku11.tex</t>
  </si>
  <si>
    <t xml:space="preserve">gbav </t>
  </si>
  <si>
    <t>tele\elec1.s</t>
  </si>
  <si>
    <t xml:space="preserve">dpb.rsd </t>
  </si>
  <si>
    <t>tele\elec2.s</t>
  </si>
  <si>
    <t>tele\geki1.rsd</t>
  </si>
  <si>
    <t>tele\hahen.s</t>
  </si>
  <si>
    <t>tele\hibana.s</t>
  </si>
  <si>
    <t xml:space="preserve">gbaw </t>
  </si>
  <si>
    <t>tele\hit11.s</t>
  </si>
  <si>
    <t>tele\hit12.s</t>
  </si>
  <si>
    <t>tele\kemu1.s</t>
  </si>
  <si>
    <t xml:space="preserve">dpc.p </t>
  </si>
  <si>
    <t>tele\kemu11.s</t>
  </si>
  <si>
    <t>tele\kou1.s</t>
  </si>
  <si>
    <t xml:space="preserve">gbay </t>
  </si>
  <si>
    <t>timedmg\tama.s</t>
  </si>
  <si>
    <t>toboe2\hikari.p</t>
  </si>
  <si>
    <t>toboe2\hikari.rsd</t>
  </si>
  <si>
    <t>toboe2\onpa1.s</t>
  </si>
  <si>
    <t xml:space="preserve">gbaz </t>
  </si>
  <si>
    <t xml:space="preserve">dpd.rsd </t>
  </si>
  <si>
    <t>toboe2\onpa_11.p</t>
  </si>
  <si>
    <t>toboe2\onpa_11.rsd</t>
  </si>
  <si>
    <t>toseki\hit1.s</t>
  </si>
  <si>
    <t>toseki\hit1.tex</t>
  </si>
  <si>
    <t>toseki\isi.tex</t>
  </si>
  <si>
    <t>triangle\e1.tex</t>
  </si>
  <si>
    <t xml:space="preserve">gbba </t>
  </si>
  <si>
    <t>triangle\e2.tex</t>
  </si>
  <si>
    <t xml:space="preserve">dpe.p </t>
  </si>
  <si>
    <t>triangle\e3.tex</t>
  </si>
  <si>
    <t>triangle\e4.tex</t>
  </si>
  <si>
    <t>triangle\e5.tex</t>
  </si>
  <si>
    <t xml:space="preserve">gbbc </t>
  </si>
  <si>
    <t>triangle\e6.tex</t>
  </si>
  <si>
    <t>triangle\elec1.p</t>
  </si>
  <si>
    <t>triangle\elec1.rsd</t>
  </si>
  <si>
    <t xml:space="preserve">dqa.rsd </t>
  </si>
  <si>
    <t>triangle\elec1.tex</t>
  </si>
  <si>
    <t>triangle\hikari.p</t>
  </si>
  <si>
    <t>triangle\hikari.rsd</t>
  </si>
  <si>
    <t>triangle\hit1.s</t>
  </si>
  <si>
    <t>triangle\hit2.s</t>
  </si>
  <si>
    <t xml:space="preserve">dqb.p </t>
  </si>
  <si>
    <t xml:space="preserve">gbbe </t>
  </si>
  <si>
    <t>triangle\hit3.s</t>
  </si>
  <si>
    <t>triangle\hit4.s</t>
  </si>
  <si>
    <t>triangle\jo_c01.s</t>
  </si>
  <si>
    <t>triangle\kou.s</t>
  </si>
  <si>
    <t>tunami\1.tex</t>
  </si>
  <si>
    <t>tunami\baku1.s</t>
  </si>
  <si>
    <t xml:space="preserve">gbbf </t>
  </si>
  <si>
    <t xml:space="preserve">dqc.rsd </t>
  </si>
  <si>
    <t>tunami\baku1.tex</t>
  </si>
  <si>
    <t>tunami\jo_c03.s</t>
  </si>
  <si>
    <t>turara\baku1.s</t>
  </si>
  <si>
    <t>turara\wa.p</t>
  </si>
  <si>
    <t>turara\wa.rsd</t>
  </si>
  <si>
    <t xml:space="preserve">gbbg </t>
  </si>
  <si>
    <t>tyokyu\baku1.s</t>
  </si>
  <si>
    <t>tyokyu\domu1.tex</t>
  </si>
  <si>
    <t xml:space="preserve">dqd.p </t>
  </si>
  <si>
    <t>tyokyu\energy00.tex</t>
  </si>
  <si>
    <t>tyokyu\energy03.tex</t>
  </si>
  <si>
    <t xml:space="preserve">gbbh </t>
  </si>
  <si>
    <t>tyokyu\hado.p</t>
  </si>
  <si>
    <t>tyokyu\hado.rsd</t>
  </si>
  <si>
    <t>tyokyu\hado1.p</t>
  </si>
  <si>
    <t>tyokyu\hado1.rsd</t>
  </si>
  <si>
    <t xml:space="preserve">dqe.rsd </t>
  </si>
  <si>
    <t xml:space="preserve">gbbi </t>
  </si>
  <si>
    <t>tyokyu\hahen1.s</t>
  </si>
  <si>
    <t>tyokyu\hikari.p</t>
  </si>
  <si>
    <t>tyokyu\hikari.rsd</t>
  </si>
  <si>
    <t>tyokyu\isi1.tex</t>
  </si>
  <si>
    <t>tyokyu\isi2.tex</t>
  </si>
  <si>
    <t xml:space="preserve">gbbj </t>
  </si>
  <si>
    <t>tyokyu\iwa1.p</t>
  </si>
  <si>
    <t>tyokyu\iwa1.rsd</t>
  </si>
  <si>
    <t xml:space="preserve">dra.p </t>
  </si>
  <si>
    <t>tyokyu\iwa2.p</t>
  </si>
  <si>
    <t>tyokyu\iwa2.rsd</t>
  </si>
  <si>
    <t xml:space="preserve">gbbl </t>
  </si>
  <si>
    <t>tyokyu\iwa3.p</t>
  </si>
  <si>
    <t>tyokyu\iwa3.rsd</t>
  </si>
  <si>
    <t>tyokyu\iwa4.p</t>
  </si>
  <si>
    <t>tyokyu\iwa4.rsd</t>
  </si>
  <si>
    <t xml:space="preserve">drb.rsd </t>
  </si>
  <si>
    <t xml:space="preserve">gbbm </t>
  </si>
  <si>
    <t>tyokyu\kemu11.s</t>
  </si>
  <si>
    <t>tyokyu\kou.s</t>
  </si>
  <si>
    <t>tyokyu\moto.p</t>
  </si>
  <si>
    <t>tyokyu\moto.rsd</t>
  </si>
  <si>
    <t>tyokyu\moto1.tex</t>
  </si>
  <si>
    <t>tyokyu\senkou1.p</t>
  </si>
  <si>
    <t xml:space="preserve">drc.p </t>
  </si>
  <si>
    <t xml:space="preserve">gbbn </t>
  </si>
  <si>
    <t>tyokyu\senkou1.rsd</t>
  </si>
  <si>
    <t>tyokyu\soto.p</t>
  </si>
  <si>
    <t>tyokyu\soto.rsd</t>
  </si>
  <si>
    <t>tyokyu\tama1.p</t>
  </si>
  <si>
    <t>tyokyu\tama1.rsd</t>
  </si>
  <si>
    <t>tyokyu\tama2.p</t>
  </si>
  <si>
    <t xml:space="preserve">gbbo </t>
  </si>
  <si>
    <t>tyokyu\tama2.rsd</t>
  </si>
  <si>
    <t xml:space="preserve">drd.rsd </t>
  </si>
  <si>
    <t>tyokyu\uchi1.p</t>
  </si>
  <si>
    <t>tyokyu\uchi1.rsd</t>
  </si>
  <si>
    <t>tyokyu\uchi2.p</t>
  </si>
  <si>
    <t>tyokyu\uchi2.rsd</t>
  </si>
  <si>
    <t xml:space="preserve">gbbp </t>
  </si>
  <si>
    <t xml:space="preserve">dre.p </t>
  </si>
  <si>
    <t>utagoe\onpu1.tex</t>
  </si>
  <si>
    <t>uzumaki\line.s</t>
  </si>
  <si>
    <t>uzumaki\tornad00.tex</t>
  </si>
  <si>
    <t>uzumaki\tornado1.p</t>
  </si>
  <si>
    <t>uzumaki\tornado1.rsd</t>
  </si>
  <si>
    <t>uzumaki\tornado2.p</t>
  </si>
  <si>
    <t xml:space="preserve">ds_s1.tex </t>
  </si>
  <si>
    <t>uzumaki\tornado2.rsd</t>
  </si>
  <si>
    <t>Sea waving 1 dark</t>
  </si>
  <si>
    <t>uzumaki\torna_2.tex</t>
  </si>
  <si>
    <t>wlaser\baku1.s</t>
  </si>
  <si>
    <t xml:space="preserve">gbbr </t>
  </si>
  <si>
    <t>wlaser\jo_c04.s</t>
  </si>
  <si>
    <t>wlaser\maru.s</t>
  </si>
  <si>
    <t>wlaser\reza1.s</t>
  </si>
  <si>
    <t>yami\baku1.s</t>
  </si>
  <si>
    <t xml:space="preserve">ds_s2.tex </t>
  </si>
  <si>
    <t>yami\hit1.s</t>
  </si>
  <si>
    <t>Sea waving 2 dark</t>
  </si>
  <si>
    <t>yami\hunsya.s</t>
  </si>
  <si>
    <t>yami\kemu1.s</t>
  </si>
  <si>
    <t xml:space="preserve">gbbs </t>
  </si>
  <si>
    <t>yuwaku\hit1.s</t>
  </si>
  <si>
    <t>yuwaku\kira2.s</t>
  </si>
  <si>
    <t>yuwaku\soto.p</t>
  </si>
  <si>
    <t>yuwaku\soto.rsd</t>
  </si>
  <si>
    <t>zenbaku\baku1.tex</t>
  </si>
  <si>
    <t xml:space="preserve">gbbt </t>
  </si>
  <si>
    <t>zenbaku\smoke_1.s</t>
  </si>
  <si>
    <t>zenbaku\smoke_1.tex</t>
  </si>
  <si>
    <t xml:space="preserve">ds_s3.tex </t>
  </si>
  <si>
    <t>.\FF7\DATA\BATTLE\SUMMON</t>
  </si>
  <si>
    <t>Sea waving 3 dark</t>
  </si>
  <si>
    <t xml:space="preserve">gbbv </t>
  </si>
  <si>
    <t>alexand\exp_1.p</t>
  </si>
  <si>
    <t>alexand\exp_1.rsd</t>
  </si>
  <si>
    <t>alexand\exp_1.tex</t>
  </si>
  <si>
    <t>alexand\exp_2.s</t>
  </si>
  <si>
    <t>alexand\exp_3.s</t>
  </si>
  <si>
    <t xml:space="preserve">gbbw </t>
  </si>
  <si>
    <t>alexand\flash_1.p</t>
  </si>
  <si>
    <t xml:space="preserve">ds_s4.tex </t>
  </si>
  <si>
    <t>alexand\flash_1.rsd</t>
  </si>
  <si>
    <t>Sea waving 4 dark</t>
  </si>
  <si>
    <t>alexand\rock_1.rsd</t>
  </si>
  <si>
    <t>alexand\rock_2.rsd</t>
  </si>
  <si>
    <t>alexand\rock_3.rsd</t>
  </si>
  <si>
    <t>alexand\smoke_1.s</t>
  </si>
  <si>
    <t xml:space="preserve">gbbx </t>
  </si>
  <si>
    <t>choco\smoke_10.s</t>
  </si>
  <si>
    <t xml:space="preserve">ds1.tex </t>
  </si>
  <si>
    <t>choco\smoke_11.s</t>
  </si>
  <si>
    <t>Sea waving 1 light</t>
  </si>
  <si>
    <t>choco\smoke_12.s</t>
  </si>
  <si>
    <t>choco\smoke_13.s</t>
  </si>
  <si>
    <t>choco\smoke_14.s</t>
  </si>
  <si>
    <t>choco\smoke_15.s</t>
  </si>
  <si>
    <t xml:space="preserve">gbda </t>
  </si>
  <si>
    <t>choco\smoke_16.s</t>
  </si>
  <si>
    <t xml:space="preserve">ds2.tex </t>
  </si>
  <si>
    <t>choco\smoke_x1.s</t>
  </si>
  <si>
    <t xml:space="preserve">gcaa </t>
  </si>
  <si>
    <t>Sea waving 2 light</t>
  </si>
  <si>
    <t>Sonic Speed: Battle Skeleton</t>
  </si>
  <si>
    <t>choco\smoke_x2.s</t>
  </si>
  <si>
    <t>choco\smoke_x3.s</t>
  </si>
  <si>
    <t>choco\smoke_x4.s</t>
  </si>
  <si>
    <t>choco\smoke_x5.s</t>
  </si>
  <si>
    <t>Formula clone 1 (dlaa)</t>
  </si>
  <si>
    <t>choco\smoke_x6.s</t>
  </si>
  <si>
    <t xml:space="preserve">gcab </t>
  </si>
  <si>
    <t>Sonic Speed: Unidentified Part</t>
  </si>
  <si>
    <t>choco\smoke_x7.s</t>
  </si>
  <si>
    <t xml:space="preserve">ds3.tex </t>
  </si>
  <si>
    <t>Sea waving 3 light</t>
  </si>
  <si>
    <t xml:space="preserve">gcac </t>
  </si>
  <si>
    <t>choco\smoke_x8.s</t>
  </si>
  <si>
    <t>Sonic Speed: Texture</t>
  </si>
  <si>
    <t>choco\smoke_x9.s</t>
  </si>
  <si>
    <t>choco\stars.s</t>
  </si>
  <si>
    <t>choco2\ring_1.p</t>
  </si>
  <si>
    <t>choco2\ring_1.rsd</t>
  </si>
  <si>
    <t>choco2\smoke_10.s</t>
  </si>
  <si>
    <t xml:space="preserve">gcam </t>
  </si>
  <si>
    <t xml:space="preserve">ds4.tex </t>
  </si>
  <si>
    <t>choco2\smoke_11.s</t>
  </si>
  <si>
    <t>Sea waving 4 light</t>
  </si>
  <si>
    <t>choco2\smoke_12.s</t>
  </si>
  <si>
    <t>choco2\smoke_13.s</t>
  </si>
  <si>
    <t>choco2\smoke_14.s</t>
  </si>
  <si>
    <t xml:space="preserve">gcan </t>
  </si>
  <si>
    <t>choco2\smoke_15.s</t>
  </si>
  <si>
    <t>choco2\smoke_16.s</t>
  </si>
  <si>
    <t xml:space="preserve">dsa.rsd </t>
  </si>
  <si>
    <t>choco2\smoke_x1.s</t>
  </si>
  <si>
    <t>choco2\smoke_x2.s</t>
  </si>
  <si>
    <t>choco2\smoke_x3.s</t>
  </si>
  <si>
    <t xml:space="preserve">gcao </t>
  </si>
  <si>
    <t>choco2\smoke_x4.s</t>
  </si>
  <si>
    <t>choco2\smoke_x5.s</t>
  </si>
  <si>
    <t>choco2\smoke_x6.s</t>
  </si>
  <si>
    <t>choco2\smoke_x7.s</t>
  </si>
  <si>
    <t>choco2\smoke_x8.s</t>
  </si>
  <si>
    <t>choco2\smoke_x9.s</t>
  </si>
  <si>
    <t>fenic\a.rsd</t>
  </si>
  <si>
    <t xml:space="preserve">gcaq </t>
  </si>
  <si>
    <t>fenic\fire_1.p</t>
  </si>
  <si>
    <t xml:space="preserve">dsb.p </t>
  </si>
  <si>
    <t>fenic\fire_1.rsd</t>
  </si>
  <si>
    <t>fenic\fire_1.tex</t>
  </si>
  <si>
    <t>fenic\fire_2.p</t>
  </si>
  <si>
    <t>fenic\fire_2.rsd</t>
  </si>
  <si>
    <t xml:space="preserve">gcas </t>
  </si>
  <si>
    <t>fenic\fire_2.tex</t>
  </si>
  <si>
    <t xml:space="preserve">dsc.rsd </t>
  </si>
  <si>
    <t>fenic\kira_1.s</t>
  </si>
  <si>
    <t xml:space="preserve">gcat </t>
  </si>
  <si>
    <t>fenic\tama_1.s</t>
  </si>
  <si>
    <t>fenic\tama_1.tex</t>
  </si>
  <si>
    <t>hardeath\fire_1.tex</t>
  </si>
  <si>
    <t>hardeath\fire_2.tex</t>
  </si>
  <si>
    <t xml:space="preserve">gcav </t>
  </si>
  <si>
    <t>hardeath\light_1.p</t>
  </si>
  <si>
    <t>hardeath\light_1.rsd</t>
  </si>
  <si>
    <t xml:space="preserve">dsd.p </t>
  </si>
  <si>
    <t>hardeath\light_2.p</t>
  </si>
  <si>
    <t>hardeath\light_2.rsd</t>
  </si>
  <si>
    <t>hardeath\smokea.lmd</t>
  </si>
  <si>
    <t xml:space="preserve">gcaw </t>
  </si>
  <si>
    <t>hardeath\smoke_1.s</t>
  </si>
  <si>
    <t>hardeath\smoke_1.tex</t>
  </si>
  <si>
    <t>hardeath\smoke_a.rsd</t>
  </si>
  <si>
    <t>hardeath\stone.tex</t>
  </si>
  <si>
    <t xml:space="preserve">dse.a </t>
  </si>
  <si>
    <t>Tifa: Standing</t>
  </si>
  <si>
    <t>ifu\exp_2.p</t>
  </si>
  <si>
    <t>ifu\exp_2.rsd</t>
  </si>
  <si>
    <t xml:space="preserve">dsee1.tex </t>
  </si>
  <si>
    <t>Sea calm 1</t>
  </si>
  <si>
    <t>ifu\flame_1.tex</t>
  </si>
  <si>
    <t>ifu\ring_1.p</t>
  </si>
  <si>
    <t>ifu\ring_1.rsd</t>
  </si>
  <si>
    <t xml:space="preserve">gcax </t>
  </si>
  <si>
    <t>ifu\smoke_1.s</t>
  </si>
  <si>
    <t>kjata\bomb_1.p</t>
  </si>
  <si>
    <t>kjata\bomb_1.rsd</t>
  </si>
  <si>
    <t>kjata\bomb_1.tex</t>
  </si>
  <si>
    <t xml:space="preserve">dsee2.tex </t>
  </si>
  <si>
    <t>kjata\fire_1.p</t>
  </si>
  <si>
    <t>Sea calm 2</t>
  </si>
  <si>
    <t>kjata\fire_1.rsd</t>
  </si>
  <si>
    <t>kjata\fire_2.p</t>
  </si>
  <si>
    <t xml:space="preserve">gcay </t>
  </si>
  <si>
    <t>kjata\fire_2.rsd</t>
  </si>
  <si>
    <t>kjata\flame_1.tex</t>
  </si>
  <si>
    <t>kjata\flash_1.p</t>
  </si>
  <si>
    <t>kjata\flash_1.rsd</t>
  </si>
  <si>
    <t xml:space="preserve">dsee3.tex </t>
  </si>
  <si>
    <t>Sea calm 3</t>
  </si>
  <si>
    <t>kjata\ice_1.tex</t>
  </si>
  <si>
    <t xml:space="preserve">gcba </t>
  </si>
  <si>
    <t>kjata\jo_c01.s</t>
  </si>
  <si>
    <t>kjata\line_1.p</t>
  </si>
  <si>
    <t>kjata\line_1.rsd</t>
  </si>
  <si>
    <t>kjata\line_2.p</t>
  </si>
  <si>
    <t>kjata\line_2.rsd</t>
  </si>
  <si>
    <t xml:space="preserve">dsee4.tex </t>
  </si>
  <si>
    <t>kjata\sonic_1.p</t>
  </si>
  <si>
    <t>Sea calm 4</t>
  </si>
  <si>
    <t>kjata\sonic_1.rsd</t>
  </si>
  <si>
    <t>kjata\sonic_1.tex</t>
  </si>
  <si>
    <t xml:space="preserve">gcbc </t>
  </si>
  <si>
    <t>knights\beam_1.p</t>
  </si>
  <si>
    <t>knights\beam_1.rsd</t>
  </si>
  <si>
    <t>knights\bomb_a.s</t>
  </si>
  <si>
    <t>knights\bomb_a.tex</t>
  </si>
  <si>
    <t xml:space="preserve">dsrt_d.tex </t>
  </si>
  <si>
    <t>knights\bress_1.rsd</t>
  </si>
  <si>
    <t>knights\circle_1.p</t>
  </si>
  <si>
    <t xml:space="preserve">gcbe </t>
  </si>
  <si>
    <t>knights\circle_1.rsd</t>
  </si>
  <si>
    <t>knights\comet_1.tex</t>
  </si>
  <si>
    <t>knights\cosmo_1.tex</t>
  </si>
  <si>
    <t>knights\exp_1.p</t>
  </si>
  <si>
    <t xml:space="preserve">dsrt_e.tex </t>
  </si>
  <si>
    <t>knights\exp_1.rsd</t>
  </si>
  <si>
    <t>Desert edges with green areas</t>
  </si>
  <si>
    <t>knights\exp_2.tex</t>
  </si>
  <si>
    <t>Found in desert around Golden Saucer</t>
  </si>
  <si>
    <t xml:space="preserve">gcbf </t>
  </si>
  <si>
    <t>knights\hit_1.s</t>
  </si>
  <si>
    <t>knights\hit_1.tex</t>
  </si>
  <si>
    <t>knights\ice_1.p</t>
  </si>
  <si>
    <t>knights\ice_1.rsd</t>
  </si>
  <si>
    <t>knights\kira_1.rsd</t>
  </si>
  <si>
    <t>knights\senkou.p</t>
  </si>
  <si>
    <t>knights\senkou.rsd</t>
  </si>
  <si>
    <t xml:space="preserve">gcbh </t>
  </si>
  <si>
    <t>lamu\jo_c04.s</t>
  </si>
  <si>
    <t xml:space="preserve">dta.a </t>
  </si>
  <si>
    <t>lamu\rock_1.rsd</t>
  </si>
  <si>
    <t>Tifa: Running</t>
  </si>
  <si>
    <t>lamu\smoke_1.s</t>
  </si>
  <si>
    <t>lamu\stone_1.p</t>
  </si>
  <si>
    <t xml:space="preserve">dtb.a </t>
  </si>
  <si>
    <t>Tifa: On chocobo</t>
  </si>
  <si>
    <t>lamu\stone_1.rsd</t>
  </si>
  <si>
    <t xml:space="preserve">gcbi </t>
  </si>
  <si>
    <t xml:space="preserve">dtc.a </t>
  </si>
  <si>
    <t>lamu\stone_2.p</t>
  </si>
  <si>
    <t>Tifa: Running on chocobo</t>
  </si>
  <si>
    <t>lamu\stone_2.rsd</t>
  </si>
  <si>
    <t xml:space="preserve">dtd.a </t>
  </si>
  <si>
    <t>lastboss\line.p</t>
  </si>
  <si>
    <t>lastboss\line.rsd</t>
  </si>
  <si>
    <t>odin1\01.p</t>
  </si>
  <si>
    <t xml:space="preserve">gcbj </t>
  </si>
  <si>
    <t>odin1\01.rsd</t>
  </si>
  <si>
    <t>odin1\flash_1.p</t>
  </si>
  <si>
    <t>Tifa: Mount chocobo</t>
  </si>
  <si>
    <t>odin1\flash_1.rsd</t>
  </si>
  <si>
    <t xml:space="preserve">dte.a </t>
  </si>
  <si>
    <t>odin1\kemu_1.s</t>
  </si>
  <si>
    <t>Tifa: Dismount chocobo</t>
  </si>
  <si>
    <t>odin1\ring_2.p</t>
  </si>
  <si>
    <t xml:space="preserve">dua.a </t>
  </si>
  <si>
    <t>odin1\ring_2.rsd</t>
  </si>
  <si>
    <t>Tifa: Scared</t>
  </si>
  <si>
    <t xml:space="preserve">gcbk </t>
  </si>
  <si>
    <t>odin1\ripple_1.s</t>
  </si>
  <si>
    <t xml:space="preserve">dub.a </t>
  </si>
  <si>
    <t>Tifa: Bowing</t>
  </si>
  <si>
    <t>odin1\sky_a.p</t>
  </si>
  <si>
    <t>odin1\sky_a.rsd</t>
  </si>
  <si>
    <t xml:space="preserve">duc.a </t>
  </si>
  <si>
    <t>Tifa: Looking right</t>
  </si>
  <si>
    <t>odin1\sky_c.p</t>
  </si>
  <si>
    <t>odin1\sky_c.rsd</t>
  </si>
  <si>
    <t xml:space="preserve">dud.a </t>
  </si>
  <si>
    <t>Tifa: Hands to face</t>
  </si>
  <si>
    <t>odin1\smoke_x.s</t>
  </si>
  <si>
    <t>odin1\smoke_x.tex</t>
  </si>
  <si>
    <t xml:space="preserve">due.a </t>
  </si>
  <si>
    <t>Tifa: Saying yes</t>
  </si>
  <si>
    <t>odin1\smoke_x2.s</t>
  </si>
  <si>
    <t>odin1\wind_1.p</t>
  </si>
  <si>
    <t xml:space="preserve">dva.hrc </t>
  </si>
  <si>
    <t xml:space="preserve">gcbm </t>
  </si>
  <si>
    <t>Tiny Bronco: Field Skeleton</t>
  </si>
  <si>
    <t>odin1\wind_1.rsd</t>
  </si>
  <si>
    <t>odin2\iwa.rsd</t>
  </si>
  <si>
    <t>odin2\smoke.s</t>
  </si>
  <si>
    <t>riva\water_1.p</t>
  </si>
  <si>
    <t>riva\water_1.rsd</t>
  </si>
  <si>
    <t>riva\water_1.tex</t>
  </si>
  <si>
    <t>siva\ice_1.p</t>
  </si>
  <si>
    <t xml:space="preserve">dvb.rsd </t>
  </si>
  <si>
    <t xml:space="preserve">gcbn </t>
  </si>
  <si>
    <t>siva\ice_1.rsd</t>
  </si>
  <si>
    <t>Tiny Bronco: Rear</t>
  </si>
  <si>
    <t>siva\ice_2.p</t>
  </si>
  <si>
    <t>siva\ice_2.rsd</t>
  </si>
  <si>
    <t>siva\ice_3.p</t>
  </si>
  <si>
    <t>siva\ice_3.rsd</t>
  </si>
  <si>
    <t>siva\kira_1.s</t>
  </si>
  <si>
    <t>siva\smoke_1.s</t>
  </si>
  <si>
    <t xml:space="preserve">gcbo </t>
  </si>
  <si>
    <t>siva\snow_1.s</t>
  </si>
  <si>
    <t xml:space="preserve">dvc.p </t>
  </si>
  <si>
    <t>taitan\kemu_1.s</t>
  </si>
  <si>
    <t>taitan\smoke_1.s</t>
  </si>
  <si>
    <t>tupon\rock_1.rsd</t>
  </si>
  <si>
    <t>tupon\rock_2.rsd</t>
  </si>
  <si>
    <t>tupon\rock_3.rsd</t>
  </si>
  <si>
    <t xml:space="preserve">gcbp </t>
  </si>
  <si>
    <t>tupon\smoke_1.s</t>
  </si>
  <si>
    <t>tupon\smoke_1.tex</t>
  </si>
  <si>
    <t xml:space="preserve">dvd.rsd </t>
  </si>
  <si>
    <t>Tiny Bronco: Float gear</t>
  </si>
  <si>
    <t>tupon\smoke_10.s</t>
  </si>
  <si>
    <t>tupon\smoke_11.s</t>
  </si>
  <si>
    <t>tupon\smoke_12.s</t>
  </si>
  <si>
    <t>tupon\smoke_13.s</t>
  </si>
  <si>
    <t>tupon\smoke_14.s</t>
  </si>
  <si>
    <t xml:space="preserve">gcda </t>
  </si>
  <si>
    <t>tupon\smoke_15.s</t>
  </si>
  <si>
    <t xml:space="preserve">dve.p </t>
  </si>
  <si>
    <t>tupon\smoke_16.s</t>
  </si>
  <si>
    <t xml:space="preserve">gdaa </t>
  </si>
  <si>
    <t>tupon\smoke_2.s</t>
  </si>
  <si>
    <t>Twin Brain: Battle Skeleton</t>
  </si>
  <si>
    <t>tupon\smoke_2.tex</t>
  </si>
  <si>
    <t>tupon\smoke_3.tex</t>
  </si>
  <si>
    <t>tupon\smoke_4.tex</t>
  </si>
  <si>
    <t>tupon\typhoon2.tex</t>
  </si>
  <si>
    <t>Vargid Police clone 1 (ckaa)</t>
  </si>
  <si>
    <t xml:space="preserve">dwa.rsd </t>
  </si>
  <si>
    <t>tupon\wind_1.p</t>
  </si>
  <si>
    <t xml:space="preserve">gdab </t>
  </si>
  <si>
    <t>Tiny Bronco: Front</t>
  </si>
  <si>
    <t>Twin Brain: Unidentified Part</t>
  </si>
  <si>
    <t>tupon\wind_1.rsd</t>
  </si>
  <si>
    <t xml:space="preserve">gdam </t>
  </si>
  <si>
    <t>tupon\wind_2.p</t>
  </si>
  <si>
    <t>tupon\wind_2.rsd</t>
  </si>
  <si>
    <t>vahamut\bomb_1.tex</t>
  </si>
  <si>
    <t>vahamut\bress_1.p</t>
  </si>
  <si>
    <t xml:space="preserve">dwb.p </t>
  </si>
  <si>
    <t>vahamut\bress_1.rsd</t>
  </si>
  <si>
    <t>vahamut\bress_2.p</t>
  </si>
  <si>
    <t>vahamut\bress_2.rsd</t>
  </si>
  <si>
    <t xml:space="preserve">gdan </t>
  </si>
  <si>
    <t>vahamut\circle_1.p</t>
  </si>
  <si>
    <t>vahamut\circle_1.rsd</t>
  </si>
  <si>
    <t>vahamut\exp_1.p</t>
  </si>
  <si>
    <t>vahamut\exp_1.rsd</t>
  </si>
  <si>
    <t xml:space="preserve">dwc.rsd </t>
  </si>
  <si>
    <t>vahamut\light_1.p</t>
  </si>
  <si>
    <t xml:space="preserve">gdao </t>
  </si>
  <si>
    <t>Tiny Bronco: Fan base 1</t>
  </si>
  <si>
    <t>vahamut\light_1.rsd</t>
  </si>
  <si>
    <t>vahamut\ring_1.p</t>
  </si>
  <si>
    <t>vahamut\ring_1.rsd</t>
  </si>
  <si>
    <t>vahamut\ring_2.p</t>
  </si>
  <si>
    <t xml:space="preserve">gdaq </t>
  </si>
  <si>
    <t>vahamut\ring_2.rsd</t>
  </si>
  <si>
    <t>vahamut\sky_a.p</t>
  </si>
  <si>
    <t xml:space="preserve">dwd.p </t>
  </si>
  <si>
    <t>vahamut\sky_a.rsd</t>
  </si>
  <si>
    <t>vahamut\sky_b.rsd</t>
  </si>
  <si>
    <t>vahamut\wind_1.p</t>
  </si>
  <si>
    <t xml:space="preserve">gdar </t>
  </si>
  <si>
    <t>vahamut\wind_1.rsd</t>
  </si>
  <si>
    <t>vahamut\wind_2.p</t>
  </si>
  <si>
    <t>vahamut\wind_2.rsd</t>
  </si>
  <si>
    <t xml:space="preserve">dwe.rsd </t>
  </si>
  <si>
    <t xml:space="preserve">gdat </t>
  </si>
  <si>
    <t>Tiny Bronco: Fan 1</t>
  </si>
  <si>
    <t>vahamut2\bress_1.p</t>
  </si>
  <si>
    <t xml:space="preserve">gdau </t>
  </si>
  <si>
    <t>vahamut2\bress_1.rsd</t>
  </si>
  <si>
    <t>vahamut2\elec_1.s</t>
  </si>
  <si>
    <t xml:space="preserve">dxa.p </t>
  </si>
  <si>
    <t>vahamut2\flash_1.p</t>
  </si>
  <si>
    <t>vahamut2\flash_1.rsd</t>
  </si>
  <si>
    <t xml:space="preserve">gdaw </t>
  </si>
  <si>
    <t>vahamut2\flash_2.p</t>
  </si>
  <si>
    <t>vahamut2\flash_2.rsd</t>
  </si>
  <si>
    <t>vahamut2\line_1.p</t>
  </si>
  <si>
    <t>vahamut2\line_1.rsd</t>
  </si>
  <si>
    <t>vahamut2\rock_1.p</t>
  </si>
  <si>
    <t xml:space="preserve">dxb.rsd </t>
  </si>
  <si>
    <t>Tiny Bronco: Fan base 2</t>
  </si>
  <si>
    <t>vahamut2\rock_1.rsd</t>
  </si>
  <si>
    <t xml:space="preserve">gdax </t>
  </si>
  <si>
    <t>vahamut2\rock_2.p</t>
  </si>
  <si>
    <t>vahamut2\rock_2.rsd</t>
  </si>
  <si>
    <t>vahamut2\rock_3.p</t>
  </si>
  <si>
    <t>vahamut2\rock_3.rsd</t>
  </si>
  <si>
    <t>vahamut2\sky_a.p</t>
  </si>
  <si>
    <t xml:space="preserve">dxc.p </t>
  </si>
  <si>
    <t xml:space="preserve">gday </t>
  </si>
  <si>
    <t>vahamut2\sky_a.rsd</t>
  </si>
  <si>
    <t>vahamut2\sky_a.tex</t>
  </si>
  <si>
    <t>vahamut2\sky_b.rsd</t>
  </si>
  <si>
    <t>vahamut2\sky_c.p</t>
  </si>
  <si>
    <t>vahamut2\sky_c.rsd</t>
  </si>
  <si>
    <t>vahamut2\smoke.s</t>
  </si>
  <si>
    <t xml:space="preserve">gdaz </t>
  </si>
  <si>
    <t>vahamut2\sonic_1.p</t>
  </si>
  <si>
    <t xml:space="preserve">dxd.rsd </t>
  </si>
  <si>
    <t>Tiny Bronco: Fan 2</t>
  </si>
  <si>
    <t>vahamut2\sonic_1.rsd</t>
  </si>
  <si>
    <t>vahamut2\tama1.s</t>
  </si>
  <si>
    <t>vahamut3\bomb_1.tex</t>
  </si>
  <si>
    <t>vahamut3\bress_1.p</t>
  </si>
  <si>
    <t>vahamut3\bress_1.rsd</t>
  </si>
  <si>
    <t>vahamut3\bress_2.p</t>
  </si>
  <si>
    <t xml:space="preserve">dxe.p </t>
  </si>
  <si>
    <t>vahamut3\bress_2.rsd</t>
  </si>
  <si>
    <t xml:space="preserve">gdbb </t>
  </si>
  <si>
    <t>vahamut3\cosmo_1.tex</t>
  </si>
  <si>
    <t>vahamut3\earth_1.p</t>
  </si>
  <si>
    <t>vahamut3\earth_1.rsd</t>
  </si>
  <si>
    <t>vahamut3\earth_1.tex</t>
  </si>
  <si>
    <t>vahamut3\earth_2.p</t>
  </si>
  <si>
    <t xml:space="preserve">dya.a </t>
  </si>
  <si>
    <t>vahamut3\earth_2.rsd</t>
  </si>
  <si>
    <t>Tiny Bronco: Moving fans</t>
  </si>
  <si>
    <t>vahamut3\earth_2.tex</t>
  </si>
  <si>
    <t xml:space="preserve">gdbc </t>
  </si>
  <si>
    <t xml:space="preserve">dyb.hrc </t>
  </si>
  <si>
    <t>vahamut3\kira_1.p</t>
  </si>
  <si>
    <t>vahamut3\kira_1.rsd</t>
  </si>
  <si>
    <t>vahamut3\lens_1.s</t>
  </si>
  <si>
    <t>vahamut3\line_1.p</t>
  </si>
  <si>
    <t>vahamut3\line_1.rsd</t>
  </si>
  <si>
    <t>vahamut3\sky_a.tex</t>
  </si>
  <si>
    <t>vahamut3\ster.p</t>
  </si>
  <si>
    <t xml:space="preserve">dyc.rsd </t>
  </si>
  <si>
    <t>vahamut3\ster.rsd</t>
  </si>
  <si>
    <t>Ultima Weapon: Middle body</t>
  </si>
  <si>
    <t xml:space="preserve">gdbd </t>
  </si>
  <si>
    <t>vahamut3\sun_1.p</t>
  </si>
  <si>
    <t>vahamut3\sun_1.rsd</t>
  </si>
  <si>
    <t>.\FF7\DATA\BATTLE\WEAPON</t>
  </si>
  <si>
    <t xml:space="preserve">dyd.p </t>
  </si>
  <si>
    <t>beam1\awa_1.s</t>
  </si>
  <si>
    <t>beam1\awa_1.tex</t>
  </si>
  <si>
    <t xml:space="preserve">gdbe </t>
  </si>
  <si>
    <t>beam1\hit_1.s</t>
  </si>
  <si>
    <t>beam1\hit_1.tex</t>
  </si>
  <si>
    <t>dia_u\baku1.s</t>
  </si>
  <si>
    <t>dia_u\baku1.tex</t>
  </si>
  <si>
    <t xml:space="preserve">dye.rsd </t>
  </si>
  <si>
    <t>dia_u\gan1.p</t>
  </si>
  <si>
    <t>Ultima Weapon: Upper leg</t>
  </si>
  <si>
    <t>dia_u\gan1.rsd</t>
  </si>
  <si>
    <t>dia_u\hado.p</t>
  </si>
  <si>
    <t xml:space="preserve">gdbg </t>
  </si>
  <si>
    <t>dia_u\hado.rsd</t>
  </si>
  <si>
    <t>dia_u\hado1.p</t>
  </si>
  <si>
    <t>dia_u\hado1.rsd</t>
  </si>
  <si>
    <t xml:space="preserve">dza.p </t>
  </si>
  <si>
    <t>dia_u\hikari.p</t>
  </si>
  <si>
    <t>dia_u\hikari.rsd</t>
  </si>
  <si>
    <t>dia_u\hikari1.p</t>
  </si>
  <si>
    <t xml:space="preserve">gdbh </t>
  </si>
  <si>
    <t>dia_u\hikari1.rsd</t>
  </si>
  <si>
    <t>dia_u\kemu1.s</t>
  </si>
  <si>
    <t>dia_u\kemu1.tex</t>
  </si>
  <si>
    <t xml:space="preserve">dzb.rsd </t>
  </si>
  <si>
    <t>dia_u\kemu2.s</t>
  </si>
  <si>
    <t>Ultima Weapon: Lower leg</t>
  </si>
  <si>
    <t xml:space="preserve">gdbi </t>
  </si>
  <si>
    <t>dia_u\kou.s</t>
  </si>
  <si>
    <t>dia_u\line.p</t>
  </si>
  <si>
    <t>dia_u\line.rsd</t>
  </si>
  <si>
    <t>dia_u\moto.p</t>
  </si>
  <si>
    <t>dia_u\moto.rsd</t>
  </si>
  <si>
    <t>dia_u\moto1.tex</t>
  </si>
  <si>
    <t xml:space="preserve">dzc.p </t>
  </si>
  <si>
    <t xml:space="preserve">gdbj </t>
  </si>
  <si>
    <t>dia_u\soto.p</t>
  </si>
  <si>
    <t>dia_u\soto.rsd</t>
  </si>
  <si>
    <t>dia_u\tama1.p</t>
  </si>
  <si>
    <t>dia_u\tama1.rsd</t>
  </si>
  <si>
    <t xml:space="preserve">gdbl </t>
  </si>
  <si>
    <t>dia_u\tama2.p</t>
  </si>
  <si>
    <t>dia_u\tama2.rsd</t>
  </si>
  <si>
    <t xml:space="preserve">dzd.rsd </t>
  </si>
  <si>
    <t>s_nova\bomb_1.p</t>
  </si>
  <si>
    <t>Ultima Weapon: Claws</t>
  </si>
  <si>
    <t>s_nova\bomb_1.rsd</t>
  </si>
  <si>
    <t>s_nova\comet_1.p</t>
  </si>
  <si>
    <t xml:space="preserve">gdbm </t>
  </si>
  <si>
    <t>s_nova\comet_1.rsd</t>
  </si>
  <si>
    <t>s_nova\comet_1.tex</t>
  </si>
  <si>
    <t>s_nova\cosmo_1.tex</t>
  </si>
  <si>
    <t>s_nova\earth_1.p</t>
  </si>
  <si>
    <t xml:space="preserve">gdbn </t>
  </si>
  <si>
    <t>s_nova\earth_1.rsd</t>
  </si>
  <si>
    <t>s_nova\earth_1.tex</t>
  </si>
  <si>
    <t>s_nova\earth_2.p</t>
  </si>
  <si>
    <t xml:space="preserve">dze.p </t>
  </si>
  <si>
    <t>s_nova\earth_2.rsd</t>
  </si>
  <si>
    <t>s_nova\earth_2.tex</t>
  </si>
  <si>
    <t>s_nova\exp_1.p</t>
  </si>
  <si>
    <t xml:space="preserve">gdbo </t>
  </si>
  <si>
    <t>s_nova\exp_1.rsd</t>
  </si>
  <si>
    <t>s_nova\exp_2.p</t>
  </si>
  <si>
    <t>s_nova\exp_2.rsd</t>
  </si>
  <si>
    <t xml:space="preserve">eaa.rsd </t>
  </si>
  <si>
    <t>s_nova\exp_3.p</t>
  </si>
  <si>
    <t xml:space="preserve">gdbp </t>
  </si>
  <si>
    <t xml:space="preserve">eab.p </t>
  </si>
  <si>
    <t>s_nova\exp_3.rsd</t>
  </si>
  <si>
    <t xml:space="preserve">gdbq </t>
  </si>
  <si>
    <t>s_nova\flash_1.p</t>
  </si>
  <si>
    <t>s_nova\flash_1.rsd</t>
  </si>
  <si>
    <t>s_nova\ice_1.p</t>
  </si>
  <si>
    <t>s_nova\ice_1.rsd</t>
  </si>
  <si>
    <t>s_nova\ice_1.tex</t>
  </si>
  <si>
    <t>s_nova\ice_2.p</t>
  </si>
  <si>
    <t xml:space="preserve">gdbr </t>
  </si>
  <si>
    <t>s_nova\ice_2.rsd</t>
  </si>
  <si>
    <t>s_nova\ice_3.p</t>
  </si>
  <si>
    <t xml:space="preserve">eac.rsd </t>
  </si>
  <si>
    <t>s_nova\ice_3.rsd</t>
  </si>
  <si>
    <t>s_nova\inseki_1.p</t>
  </si>
  <si>
    <t>s_nova\inseki_1.rsd</t>
  </si>
  <si>
    <t>s_nova\lens_1.s</t>
  </si>
  <si>
    <t>s_nova\line_1.p</t>
  </si>
  <si>
    <t>s_nova\line_1.rsd</t>
  </si>
  <si>
    <t xml:space="preserve">gdda </t>
  </si>
  <si>
    <t>s_nova\ring_1.p</t>
  </si>
  <si>
    <t>s_nova\ring_1.rsd</t>
  </si>
  <si>
    <t xml:space="preserve">geaa </t>
  </si>
  <si>
    <t>s_nova\rock_1.p</t>
  </si>
  <si>
    <t>Zuu: Battle Skeleton</t>
  </si>
  <si>
    <t>s_nova\rock_1.rsd</t>
  </si>
  <si>
    <t xml:space="preserve">ead.p </t>
  </si>
  <si>
    <t>s_nova\rock_1.tex</t>
  </si>
  <si>
    <t>s_nova\rock_2.p</t>
  </si>
  <si>
    <t>s_nova\rock_2.rsd</t>
  </si>
  <si>
    <t>s_nova\rock_3.p</t>
  </si>
  <si>
    <t>s_nova\rock_3.rsd</t>
  </si>
  <si>
    <t xml:space="preserve">geab </t>
  </si>
  <si>
    <t>Zuu: Unidentified Part</t>
  </si>
  <si>
    <t>s_nova\sun_1.p</t>
  </si>
  <si>
    <t>s_nova\sun_1.rsd</t>
  </si>
  <si>
    <t xml:space="preserve">geam </t>
  </si>
  <si>
    <t xml:space="preserve">eae.rsd </t>
  </si>
  <si>
    <t>weapon1\smoke_1.s</t>
  </si>
  <si>
    <t>weapon1\smoke_1.tex</t>
  </si>
  <si>
    <t>weapon3\awa_1.s</t>
  </si>
  <si>
    <t>weapon3\awa_1.tex</t>
  </si>
  <si>
    <t>weapon3\exp_1.s</t>
  </si>
  <si>
    <t xml:space="preserve">gean </t>
  </si>
  <si>
    <t>weapon3\exp_1.tex</t>
  </si>
  <si>
    <t>weapon3\flash_1.p</t>
  </si>
  <si>
    <t xml:space="preserve">eba.p </t>
  </si>
  <si>
    <t>weapon3\flash_1.rsd</t>
  </si>
  <si>
    <t>weapon3\ring_1.p</t>
  </si>
  <si>
    <t xml:space="preserve">geao </t>
  </si>
  <si>
    <t>weapon3\ring_1.rsd</t>
  </si>
  <si>
    <t>weapon3\tama_1.s</t>
  </si>
  <si>
    <t>weapon3\tama_1.tex</t>
  </si>
  <si>
    <t>weapon3\water_1.tex</t>
  </si>
  <si>
    <t>weapon4\bomb_1.p</t>
  </si>
  <si>
    <t xml:space="preserve">geap </t>
  </si>
  <si>
    <t>weapon4\bomb_1.rsd</t>
  </si>
  <si>
    <t>weapon4\bomb_1.tex</t>
  </si>
  <si>
    <t xml:space="preserve">ebb.rsd </t>
  </si>
  <si>
    <t>weapon4\rock_1.p</t>
  </si>
  <si>
    <t>weapon4\rock_1.rsd</t>
  </si>
  <si>
    <t xml:space="preserve">geaq </t>
  </si>
  <si>
    <t>weapon4\rock_2.p</t>
  </si>
  <si>
    <t>weapon4\rock_2.rsd</t>
  </si>
  <si>
    <t>weapon4\rock_3.p</t>
  </si>
  <si>
    <t>weapon4\rock_3.rsd</t>
  </si>
  <si>
    <t xml:space="preserve">gear </t>
  </si>
  <si>
    <t>weapon4\smoke_1.s</t>
  </si>
  <si>
    <t xml:space="preserve">ebc.p </t>
  </si>
  <si>
    <t>weapon4\smoke_1.tex</t>
  </si>
  <si>
    <t xml:space="preserve">geat </t>
  </si>
  <si>
    <t xml:space="preserve">ebd.rsd </t>
  </si>
  <si>
    <t xml:space="preserve">geau </t>
  </si>
  <si>
    <t xml:space="preserve">ebe.p </t>
  </si>
  <si>
    <t xml:space="preserve">geaw </t>
  </si>
  <si>
    <t xml:space="preserve">eca.rsd </t>
  </si>
  <si>
    <t xml:space="preserve">geax </t>
  </si>
  <si>
    <t xml:space="preserve">geaz </t>
  </si>
  <si>
    <t xml:space="preserve">ecb.p </t>
  </si>
  <si>
    <t xml:space="preserve">geba </t>
  </si>
  <si>
    <t xml:space="preserve">ecc.rsd </t>
  </si>
  <si>
    <t xml:space="preserve">ecd.p </t>
  </si>
  <si>
    <t xml:space="preserve">ece.rsd </t>
  </si>
  <si>
    <t xml:space="preserve">eda.p </t>
  </si>
  <si>
    <t xml:space="preserve">edb.rsd </t>
  </si>
  <si>
    <t xml:space="preserve">edc.p </t>
  </si>
  <si>
    <t xml:space="preserve">edd.rsd </t>
  </si>
  <si>
    <t>Ultima Weapon: Front body</t>
  </si>
  <si>
    <t xml:space="preserve">gebb </t>
  </si>
  <si>
    <t xml:space="preserve">ede.p </t>
  </si>
  <si>
    <t xml:space="preserve">gebd </t>
  </si>
  <si>
    <t xml:space="preserve">edes01.tex </t>
  </si>
  <si>
    <t>Desert falling sands edge 1</t>
  </si>
  <si>
    <t>Found ONLY near Golden saucer (edes01-04 count as one texture)</t>
  </si>
  <si>
    <t xml:space="preserve">gebf </t>
  </si>
  <si>
    <t xml:space="preserve">edes02.tex </t>
  </si>
  <si>
    <t>Desert falling sands edge 2</t>
  </si>
  <si>
    <t xml:space="preserve">gebg </t>
  </si>
  <si>
    <t xml:space="preserve">edes03.tex </t>
  </si>
  <si>
    <t>Desert falling sands edge 3</t>
  </si>
  <si>
    <t xml:space="preserve">gebi </t>
  </si>
  <si>
    <t xml:space="preserve">edes04.tex </t>
  </si>
  <si>
    <t>Desert falling sands edge 4</t>
  </si>
  <si>
    <t xml:space="preserve">gebj </t>
  </si>
  <si>
    <t xml:space="preserve">eea.rsd </t>
  </si>
  <si>
    <t>Ultima Weapon: Chest</t>
  </si>
  <si>
    <t xml:space="preserve">gebk </t>
  </si>
  <si>
    <t xml:space="preserve">eeb.p </t>
  </si>
  <si>
    <t xml:space="preserve">gebm </t>
  </si>
  <si>
    <t xml:space="preserve">eec.rsd </t>
  </si>
  <si>
    <t>Ultima Weapon: Head</t>
  </si>
  <si>
    <t xml:space="preserve">gebo </t>
  </si>
  <si>
    <t xml:space="preserve">eed.p </t>
  </si>
  <si>
    <t xml:space="preserve">gebp </t>
  </si>
  <si>
    <t xml:space="preserve">eee.rsd </t>
  </si>
  <si>
    <t xml:space="preserve">gebr </t>
  </si>
  <si>
    <t>Ultima Weapon: Shoulder</t>
  </si>
  <si>
    <t xml:space="preserve">gebs </t>
  </si>
  <si>
    <t xml:space="preserve">efa.p </t>
  </si>
  <si>
    <t xml:space="preserve">gebt </t>
  </si>
  <si>
    <t xml:space="preserve">efb.rsd </t>
  </si>
  <si>
    <t>Ultima Weapon: Arm</t>
  </si>
  <si>
    <t xml:space="preserve">gebv </t>
  </si>
  <si>
    <t xml:space="preserve">efc.p </t>
  </si>
  <si>
    <t xml:space="preserve">gebw </t>
  </si>
  <si>
    <t xml:space="preserve">efd.rsd </t>
  </si>
  <si>
    <t>Ultima Weapon: Lower wing</t>
  </si>
  <si>
    <t xml:space="preserve">geby </t>
  </si>
  <si>
    <t xml:space="preserve">efe.p </t>
  </si>
  <si>
    <t xml:space="preserve">gebz </t>
  </si>
  <si>
    <t xml:space="preserve">ega.rsd </t>
  </si>
  <si>
    <t xml:space="preserve">geda </t>
  </si>
  <si>
    <t>9.0 K</t>
  </si>
  <si>
    <t>Ultima Weapon: Upper wing</t>
  </si>
  <si>
    <t xml:space="preserve">gfaa </t>
  </si>
  <si>
    <t>Kyuvilduns: Battle Skeleton</t>
  </si>
  <si>
    <t xml:space="preserve">gfab </t>
  </si>
  <si>
    <t xml:space="preserve">egb.p </t>
  </si>
  <si>
    <t>Kyuvilduns: Unidentified Part</t>
  </si>
  <si>
    <t xml:space="preserve">gfam </t>
  </si>
  <si>
    <t xml:space="preserve">gfan </t>
  </si>
  <si>
    <t xml:space="preserve">egc.rsd </t>
  </si>
  <si>
    <t xml:space="preserve">egd.p </t>
  </si>
  <si>
    <t xml:space="preserve">gfao </t>
  </si>
  <si>
    <t xml:space="preserve">gfaq </t>
  </si>
  <si>
    <t xml:space="preserve">ege.rsd </t>
  </si>
  <si>
    <t xml:space="preserve">gfar </t>
  </si>
  <si>
    <t xml:space="preserve">eha.p </t>
  </si>
  <si>
    <t xml:space="preserve">gfas </t>
  </si>
  <si>
    <t xml:space="preserve">ehb.rsd </t>
  </si>
  <si>
    <t xml:space="preserve">gfau </t>
  </si>
  <si>
    <t xml:space="preserve">ehc.p </t>
  </si>
  <si>
    <t xml:space="preserve">gfaw </t>
  </si>
  <si>
    <t xml:space="preserve">ehd.rsd </t>
  </si>
  <si>
    <t xml:space="preserve">ehe.p </t>
  </si>
  <si>
    <t xml:space="preserve">gfay </t>
  </si>
  <si>
    <t xml:space="preserve">eia.rsd </t>
  </si>
  <si>
    <t>Ultima Weapon: Tail</t>
  </si>
  <si>
    <t xml:space="preserve">gfaz </t>
  </si>
  <si>
    <t xml:space="preserve">gfba </t>
  </si>
  <si>
    <t xml:space="preserve">eib.p </t>
  </si>
  <si>
    <t xml:space="preserve">eic.a </t>
  </si>
  <si>
    <t>Ultima Weapon: Standing on ground</t>
  </si>
  <si>
    <t xml:space="preserve">eid.a </t>
  </si>
  <si>
    <t xml:space="preserve">gfbd </t>
  </si>
  <si>
    <t>Ultima Weapon: Flying</t>
  </si>
  <si>
    <t xml:space="preserve">eie.a </t>
  </si>
  <si>
    <t>Ultima Weapon: Arriving destination</t>
  </si>
  <si>
    <t xml:space="preserve">eja.a </t>
  </si>
  <si>
    <t>Ultima Weapon: At destination 1</t>
  </si>
  <si>
    <t xml:space="preserve">ejb.a </t>
  </si>
  <si>
    <t>Ultima Weapon: At destination 2</t>
  </si>
  <si>
    <t xml:space="preserve">ejc.a </t>
  </si>
  <si>
    <t>Ultima Weapon: Starting battle</t>
  </si>
  <si>
    <t xml:space="preserve">ejd.a </t>
  </si>
  <si>
    <t xml:space="preserve">gfbe </t>
  </si>
  <si>
    <t>Ultima Weapon: After battle</t>
  </si>
  <si>
    <t xml:space="preserve">eje.hrc </t>
  </si>
  <si>
    <t>Underwater Reactor</t>
  </si>
  <si>
    <t xml:space="preserve">gfbf </t>
  </si>
  <si>
    <t xml:space="preserve">eka.rsd </t>
  </si>
  <si>
    <t>Underwater Reactor: Whole model</t>
  </si>
  <si>
    <t xml:space="preserve">gfbi </t>
  </si>
  <si>
    <t xml:space="preserve">ekb.p </t>
  </si>
  <si>
    <t xml:space="preserve">gfbj </t>
  </si>
  <si>
    <t xml:space="preserve">ekc.tex </t>
  </si>
  <si>
    <t xml:space="preserve">gfbk </t>
  </si>
  <si>
    <t>Underwater reactor whole texture</t>
  </si>
  <si>
    <t xml:space="preserve">gfbl </t>
  </si>
  <si>
    <t xml:space="preserve">ekd.a </t>
  </si>
  <si>
    <t>Underwater Reactor: Static animation</t>
  </si>
  <si>
    <t xml:space="preserve">gfbm </t>
  </si>
  <si>
    <t xml:space="preserve">eke.hrc </t>
  </si>
  <si>
    <t>Ship</t>
  </si>
  <si>
    <t xml:space="preserve">gfbn </t>
  </si>
  <si>
    <t xml:space="preserve">ela.rsd </t>
  </si>
  <si>
    <t>Ship: Stairs and barriers</t>
  </si>
  <si>
    <t xml:space="preserve">gfbo </t>
  </si>
  <si>
    <t xml:space="preserve">elb.p </t>
  </si>
  <si>
    <t xml:space="preserve">gfbp </t>
  </si>
  <si>
    <t xml:space="preserve">gfda </t>
  </si>
  <si>
    <t xml:space="preserve">ggaa </t>
  </si>
  <si>
    <t xml:space="preserve">elc.rsd </t>
  </si>
  <si>
    <t>Screamer: Battle Skeleton</t>
  </si>
  <si>
    <t>Ship: Control towers</t>
  </si>
  <si>
    <t>Madouge clone 1 (deaa)</t>
  </si>
  <si>
    <t xml:space="preserve">ggab </t>
  </si>
  <si>
    <t>Screamer: Unidentified Part</t>
  </si>
  <si>
    <t xml:space="preserve">eld.p </t>
  </si>
  <si>
    <t xml:space="preserve">ggam </t>
  </si>
  <si>
    <t xml:space="preserve">ggan </t>
  </si>
  <si>
    <t xml:space="preserve">ele.rsd </t>
  </si>
  <si>
    <t>Ship: Main body</t>
  </si>
  <si>
    <t xml:space="preserve">ggaq </t>
  </si>
  <si>
    <t xml:space="preserve">elm_gro.tex </t>
  </si>
  <si>
    <t xml:space="preserve">ggar </t>
  </si>
  <si>
    <t xml:space="preserve">ggas </t>
  </si>
  <si>
    <t xml:space="preserve">elm_r.tex </t>
  </si>
  <si>
    <t>Kalm roof 1</t>
  </si>
  <si>
    <t xml:space="preserve">ggau </t>
  </si>
  <si>
    <t xml:space="preserve">ggav </t>
  </si>
  <si>
    <t xml:space="preserve">elm_r2.tex </t>
  </si>
  <si>
    <t>Kalm roof 2</t>
  </si>
  <si>
    <t xml:space="preserve">ggax </t>
  </si>
  <si>
    <t xml:space="preserve">elm01.tex </t>
  </si>
  <si>
    <t xml:space="preserve">ggay </t>
  </si>
  <si>
    <t xml:space="preserve">ggba </t>
  </si>
  <si>
    <t xml:space="preserve">elm02.tex </t>
  </si>
  <si>
    <t xml:space="preserve">ggbb </t>
  </si>
  <si>
    <t xml:space="preserve">ema.p </t>
  </si>
  <si>
    <t xml:space="preserve">ggbd </t>
  </si>
  <si>
    <t xml:space="preserve">emb.rsd </t>
  </si>
  <si>
    <t>Ship: Crates</t>
  </si>
  <si>
    <t xml:space="preserve">ggbe </t>
  </si>
  <si>
    <t xml:space="preserve">ggbh </t>
  </si>
  <si>
    <t xml:space="preserve">emc.p </t>
  </si>
  <si>
    <t xml:space="preserve">ggbi </t>
  </si>
  <si>
    <t xml:space="preserve">emd.rsd </t>
  </si>
  <si>
    <t>Ship: Antennas</t>
  </si>
  <si>
    <t xml:space="preserve">ggbj </t>
  </si>
  <si>
    <t xml:space="preserve">ggbk </t>
  </si>
  <si>
    <t xml:space="preserve">eme.p </t>
  </si>
  <si>
    <t xml:space="preserve">ggbl </t>
  </si>
  <si>
    <t xml:space="preserve">ena.a </t>
  </si>
  <si>
    <t>Sailing</t>
  </si>
  <si>
    <t xml:space="preserve">enc_w.bin </t>
  </si>
  <si>
    <t xml:space="preserve">fall1.tex </t>
  </si>
  <si>
    <t>Waterfall 1</t>
  </si>
  <si>
    <t>Animated: fall1-8 count as one texture</t>
  </si>
  <si>
    <t xml:space="preserve">ggbm </t>
  </si>
  <si>
    <t xml:space="preserve">fall2.tex </t>
  </si>
  <si>
    <t>Waterfall 2</t>
  </si>
  <si>
    <t xml:space="preserve">ggbn </t>
  </si>
  <si>
    <t xml:space="preserve">fall3.tex </t>
  </si>
  <si>
    <t>Waterfall 3</t>
  </si>
  <si>
    <t xml:space="preserve">ggbp </t>
  </si>
  <si>
    <t xml:space="preserve">fall4.tex </t>
  </si>
  <si>
    <t>Waterfall 4</t>
  </si>
  <si>
    <t xml:space="preserve">ggbq </t>
  </si>
  <si>
    <t xml:space="preserve">fall5.tex </t>
  </si>
  <si>
    <t>Waterfall 5</t>
  </si>
  <si>
    <t xml:space="preserve">ggbr </t>
  </si>
  <si>
    <t xml:space="preserve">fall6.tex </t>
  </si>
  <si>
    <t>Waterfall 6</t>
  </si>
  <si>
    <t xml:space="preserve">ggbt </t>
  </si>
  <si>
    <t xml:space="preserve">fall7.tex </t>
  </si>
  <si>
    <t>Waterfall 7</t>
  </si>
  <si>
    <t xml:space="preserve">ggbu </t>
  </si>
  <si>
    <t xml:space="preserve">fall8.tex </t>
  </si>
  <si>
    <t>Waterfall 8</t>
  </si>
  <si>
    <t xml:space="preserve">ggbv </t>
  </si>
  <si>
    <t xml:space="preserve">farm_g.tex </t>
  </si>
  <si>
    <t>Shadowed grass behind house/barn</t>
  </si>
  <si>
    <t xml:space="preserve">ggda </t>
  </si>
  <si>
    <t xml:space="preserve">ghaa </t>
  </si>
  <si>
    <t>Materia Keeper: Battle Skeleton</t>
  </si>
  <si>
    <t xml:space="preserve">farm_r.tex </t>
  </si>
  <si>
    <t>Chocobo farm roof</t>
  </si>
  <si>
    <t>Farm Roof Texture</t>
  </si>
  <si>
    <t xml:space="preserve">ghab </t>
  </si>
  <si>
    <t xml:space="preserve">farm01.tex </t>
  </si>
  <si>
    <t>Materia Keeper: Unidentified Part</t>
  </si>
  <si>
    <t>Chocobo farm 1</t>
  </si>
  <si>
    <t>One side of the house/barn</t>
  </si>
  <si>
    <t xml:space="preserve">gham </t>
  </si>
  <si>
    <t xml:space="preserve">farm02.tex </t>
  </si>
  <si>
    <t>Chocobo farm 2</t>
  </si>
  <si>
    <t xml:space="preserve">ghan </t>
  </si>
  <si>
    <t xml:space="preserve">field.tbl </t>
  </si>
  <si>
    <t xml:space="preserve">fld.tex </t>
  </si>
  <si>
    <t>Green field 1</t>
  </si>
  <si>
    <t>Normal green grass</t>
  </si>
  <si>
    <t xml:space="preserve">ghao </t>
  </si>
  <si>
    <t xml:space="preserve">fld_02.tex </t>
  </si>
  <si>
    <t>Green field 2</t>
  </si>
  <si>
    <t xml:space="preserve">ghap </t>
  </si>
  <si>
    <t>Normal green grass w/cloud shadows</t>
  </si>
  <si>
    <t xml:space="preserve">fld_s.tex </t>
  </si>
  <si>
    <t>Green field 4</t>
  </si>
  <si>
    <t xml:space="preserve">ghaq </t>
  </si>
  <si>
    <t>Shadowed grass</t>
  </si>
  <si>
    <t xml:space="preserve">ghas </t>
  </si>
  <si>
    <t xml:space="preserve">fld_s2.tex </t>
  </si>
  <si>
    <t>Green field 3</t>
  </si>
  <si>
    <t xml:space="preserve">ghat </t>
  </si>
  <si>
    <t xml:space="preserve">fld_sw.tex </t>
  </si>
  <si>
    <t>Green field 5</t>
  </si>
  <si>
    <t xml:space="preserve">ghau </t>
  </si>
  <si>
    <t xml:space="preserve">fld_v.tex </t>
  </si>
  <si>
    <t>Green field 6</t>
  </si>
  <si>
    <t>Normal grass w/cloud shadows(works together with fld_s2)</t>
  </si>
  <si>
    <t xml:space="preserve">ghaw </t>
  </si>
  <si>
    <t xml:space="preserve">fld_vd.tex </t>
  </si>
  <si>
    <t>Green field 8</t>
  </si>
  <si>
    <t>Shadowed grass near mountains</t>
  </si>
  <si>
    <t xml:space="preserve">ghax </t>
  </si>
  <si>
    <t xml:space="preserve">fld_vd2.tex </t>
  </si>
  <si>
    <t>Green field 7</t>
  </si>
  <si>
    <t xml:space="preserve">ghay </t>
  </si>
  <si>
    <t xml:space="preserve">fvedge.tex </t>
  </si>
  <si>
    <t>Green field with edge</t>
  </si>
  <si>
    <t>Used at the edges of some forests</t>
  </si>
  <si>
    <t xml:space="preserve">ghaz </t>
  </si>
  <si>
    <t xml:space="preserve">gclf_d.tex </t>
  </si>
  <si>
    <t>Cliff w/horizontal crags</t>
  </si>
  <si>
    <t>Used on shaded mountains in Cosmos Canyon</t>
  </si>
  <si>
    <t xml:space="preserve">ghbb </t>
  </si>
  <si>
    <t xml:space="preserve">gclf_g.tex </t>
  </si>
  <si>
    <t xml:space="preserve">ghbc </t>
  </si>
  <si>
    <t xml:space="preserve">gclfwa.tex </t>
  </si>
  <si>
    <t>Used on bright mountains in Cosmos Canyon</t>
  </si>
  <si>
    <t xml:space="preserve">ghbd </t>
  </si>
  <si>
    <t xml:space="preserve">gclfwa2.tex </t>
  </si>
  <si>
    <t xml:space="preserve">ghbf </t>
  </si>
  <si>
    <t xml:space="preserve">gclfwag.tex </t>
  </si>
  <si>
    <t xml:space="preserve">ghbg </t>
  </si>
  <si>
    <t xml:space="preserve">ghbh </t>
  </si>
  <si>
    <t xml:space="preserve">ghbj </t>
  </si>
  <si>
    <t xml:space="preserve">ghbk </t>
  </si>
  <si>
    <t xml:space="preserve">gg_gro.tex </t>
  </si>
  <si>
    <t>Gound tile underneath Golden Saucer World model</t>
  </si>
  <si>
    <t xml:space="preserve">ghbl </t>
  </si>
  <si>
    <t>Shadows for GS and Prision town</t>
  </si>
  <si>
    <t xml:space="preserve">ghbm </t>
  </si>
  <si>
    <t xml:space="preserve">gg_mts.tex </t>
  </si>
  <si>
    <t xml:space="preserve">ghbo </t>
  </si>
  <si>
    <t xml:space="preserve">ghbp </t>
  </si>
  <si>
    <t xml:space="preserve">ggmk.tex </t>
  </si>
  <si>
    <t xml:space="preserve">ghbq </t>
  </si>
  <si>
    <t xml:space="preserve">ggmt.tex </t>
  </si>
  <si>
    <t xml:space="preserve">ghbs </t>
  </si>
  <si>
    <t>Mountains w/vertical crags</t>
  </si>
  <si>
    <t>Used on bright mountains near Golden Saucer</t>
  </si>
  <si>
    <t xml:space="preserve">ggmt_e.tex </t>
  </si>
  <si>
    <t>Grass/Mountain Transistion Texture</t>
  </si>
  <si>
    <t xml:space="preserve">ghbt </t>
  </si>
  <si>
    <t xml:space="preserve">ghbu </t>
  </si>
  <si>
    <t xml:space="preserve">ggmt_ed.tex </t>
  </si>
  <si>
    <t>Used on shaded mountains near Golden Saucer</t>
  </si>
  <si>
    <t xml:space="preserve">ghbw </t>
  </si>
  <si>
    <t xml:space="preserve">ggmt_eg.tex </t>
  </si>
  <si>
    <t>Grass/Mountain Transisiton Texture</t>
  </si>
  <si>
    <t>Only used on 1 tile near Coral</t>
  </si>
  <si>
    <t xml:space="preserve">ghbx </t>
  </si>
  <si>
    <t xml:space="preserve">ggmtd.tex </t>
  </si>
  <si>
    <t>Used on shaded mountains near golden saucer</t>
  </si>
  <si>
    <t xml:space="preserve">ghby </t>
  </si>
  <si>
    <t xml:space="preserve">ggs_g.tex </t>
  </si>
  <si>
    <t xml:space="preserve">ghbz </t>
  </si>
  <si>
    <t xml:space="preserve">ggshr.tex </t>
  </si>
  <si>
    <t xml:space="preserve">ghda </t>
  </si>
  <si>
    <t xml:space="preserve">ggshrg.tex </t>
  </si>
  <si>
    <t xml:space="preserve">giaa </t>
  </si>
  <si>
    <t>388 Bytes</t>
  </si>
  <si>
    <t>Palmer: Battle Skeleton</t>
  </si>
  <si>
    <t xml:space="preserve">giab </t>
  </si>
  <si>
    <t xml:space="preserve">gia.tex </t>
  </si>
  <si>
    <t>Palmer: Unidentified Part</t>
  </si>
  <si>
    <t xml:space="preserve">giac </t>
  </si>
  <si>
    <t>Palmer: Eye</t>
  </si>
  <si>
    <t xml:space="preserve">gia_d.tex </t>
  </si>
  <si>
    <t xml:space="preserve">giam </t>
  </si>
  <si>
    <t xml:space="preserve">gia_d2.tex </t>
  </si>
  <si>
    <t xml:space="preserve">gian </t>
  </si>
  <si>
    <t xml:space="preserve">giao </t>
  </si>
  <si>
    <t>Palmer: Head Model</t>
  </si>
  <si>
    <t xml:space="preserve">gia_g.tex </t>
  </si>
  <si>
    <t xml:space="preserve">giar </t>
  </si>
  <si>
    <t xml:space="preserve">gia_g2.tex </t>
  </si>
  <si>
    <t xml:space="preserve">gias </t>
  </si>
  <si>
    <t xml:space="preserve">giat </t>
  </si>
  <si>
    <t xml:space="preserve">gia2.tex </t>
  </si>
  <si>
    <t xml:space="preserve">giaw </t>
  </si>
  <si>
    <t xml:space="preserve">gmt_eda.tex </t>
  </si>
  <si>
    <t xml:space="preserve">giax </t>
  </si>
  <si>
    <t xml:space="preserve">giay </t>
  </si>
  <si>
    <t xml:space="preserve">gonclf.tex </t>
  </si>
  <si>
    <t>Used on some cliffs near Cosmos Canyon</t>
  </si>
  <si>
    <t xml:space="preserve">giba </t>
  </si>
  <si>
    <t>Palmer: Gun Model</t>
  </si>
  <si>
    <t xml:space="preserve">gibd </t>
  </si>
  <si>
    <t xml:space="preserve">gredge.tex </t>
  </si>
  <si>
    <t xml:space="preserve">gibe </t>
  </si>
  <si>
    <t xml:space="preserve">hokola01.tex </t>
  </si>
  <si>
    <t xml:space="preserve">gibf </t>
  </si>
  <si>
    <t xml:space="preserve">gibh </t>
  </si>
  <si>
    <t xml:space="preserve">hokola02.tex </t>
  </si>
  <si>
    <t xml:space="preserve">gibj </t>
  </si>
  <si>
    <t xml:space="preserve">hyouga.tex </t>
  </si>
  <si>
    <t xml:space="preserve">gibk </t>
  </si>
  <si>
    <t xml:space="preserve">gibl </t>
  </si>
  <si>
    <t xml:space="preserve">iceclf.tex </t>
  </si>
  <si>
    <t xml:space="preserve">gibn </t>
  </si>
  <si>
    <t xml:space="preserve">iceclfd.tex </t>
  </si>
  <si>
    <t xml:space="preserve">gida </t>
  </si>
  <si>
    <t xml:space="preserve">iceclfg.tex </t>
  </si>
  <si>
    <t xml:space="preserve">gjaa </t>
  </si>
  <si>
    <t>Tiny Bronco: Battle Skeleton</t>
  </si>
  <si>
    <t xml:space="preserve">jun.tex </t>
  </si>
  <si>
    <t>Jungle 1</t>
  </si>
  <si>
    <t xml:space="preserve">gjab </t>
  </si>
  <si>
    <t>Tiny Bronco: Unidentified Part</t>
  </si>
  <si>
    <t xml:space="preserve">gjam </t>
  </si>
  <si>
    <t>68 K</t>
  </si>
  <si>
    <t>Tiny Bronco: Main Body</t>
  </si>
  <si>
    <t xml:space="preserve">jun_d.tex </t>
  </si>
  <si>
    <t>Jungle 2</t>
  </si>
  <si>
    <t xml:space="preserve">jun_e.tex </t>
  </si>
  <si>
    <t>Jungle edge</t>
  </si>
  <si>
    <t xml:space="preserve">gjao </t>
  </si>
  <si>
    <t>Tiny Bronco: Propeller 1</t>
  </si>
  <si>
    <t xml:space="preserve">jun_gro.tex </t>
  </si>
  <si>
    <t>Temple of the ancients</t>
  </si>
  <si>
    <t xml:space="preserve">gjaq </t>
  </si>
  <si>
    <t xml:space="preserve">junmk.tex </t>
  </si>
  <si>
    <t>Tiny Bronco: Propeller 2</t>
  </si>
  <si>
    <t xml:space="preserve">junn01.tex </t>
  </si>
  <si>
    <t>Junon 1</t>
  </si>
  <si>
    <t xml:space="preserve">gjda </t>
  </si>
  <si>
    <t xml:space="preserve">gkaa </t>
  </si>
  <si>
    <t>Shinra Truck: Battle Skeleton</t>
  </si>
  <si>
    <t xml:space="preserve">junn02.tex </t>
  </si>
  <si>
    <t>Junon 2</t>
  </si>
  <si>
    <t xml:space="preserve">gkab </t>
  </si>
  <si>
    <t>Shinra Truck: Unidentified Part</t>
  </si>
  <si>
    <t xml:space="preserve">junn03.tex </t>
  </si>
  <si>
    <t xml:space="preserve">gkac </t>
  </si>
  <si>
    <t>Junon 3</t>
  </si>
  <si>
    <t>Shinra Truck: Shin-Ra Logo</t>
  </si>
  <si>
    <t xml:space="preserve">junn04.tex </t>
  </si>
  <si>
    <t>Junon 4</t>
  </si>
  <si>
    <t xml:space="preserve">gkam </t>
  </si>
  <si>
    <t>Shinra Truck: Main Body</t>
  </si>
  <si>
    <t xml:space="preserve">jutmpl01.tex </t>
  </si>
  <si>
    <t>Temple of the ancients building</t>
  </si>
  <si>
    <t xml:space="preserve">gkao </t>
  </si>
  <si>
    <t>Shinra Truck: Wheel 1 Left Side</t>
  </si>
  <si>
    <t xml:space="preserve">lake_a.tex </t>
  </si>
  <si>
    <t xml:space="preserve">gkar </t>
  </si>
  <si>
    <t>Shinra Truck: Wheel 3 Left Side</t>
  </si>
  <si>
    <t xml:space="preserve">lake_ef.tex </t>
  </si>
  <si>
    <t xml:space="preserve">gkau </t>
  </si>
  <si>
    <t>Shinra Truck: Wheel 5 Left Side</t>
  </si>
  <si>
    <t xml:space="preserve">lake_fl.tex </t>
  </si>
  <si>
    <t xml:space="preserve">gkaw </t>
  </si>
  <si>
    <t>Shinra Truck: Wheel 2 Right Side</t>
  </si>
  <si>
    <t xml:space="preserve">lake-e.tex </t>
  </si>
  <si>
    <t xml:space="preserve">gkay </t>
  </si>
  <si>
    <t>Shinra Truck: Wheel 4 Right Side</t>
  </si>
  <si>
    <t xml:space="preserve">lostclf.tex </t>
  </si>
  <si>
    <t xml:space="preserve">gkba </t>
  </si>
  <si>
    <t>Shinra Truck: Wheel 6 Right Side</t>
  </si>
  <si>
    <t xml:space="preserve">lostmt.tex </t>
  </si>
  <si>
    <t xml:space="preserve">gkbc </t>
  </si>
  <si>
    <t>Shinra Truck: Wheel 7 Left Side</t>
  </si>
  <si>
    <t xml:space="preserve">lostmtd.tex </t>
  </si>
  <si>
    <t xml:space="preserve">gkbe </t>
  </si>
  <si>
    <t>Shinra Truck: Wheel 8 Right Side</t>
  </si>
  <si>
    <t xml:space="preserve">lostmts.tex </t>
  </si>
  <si>
    <t xml:space="preserve">gkda </t>
  </si>
  <si>
    <t xml:space="preserve">glaa </t>
  </si>
  <si>
    <t>Thunderbird: Battle Skeleton</t>
  </si>
  <si>
    <t xml:space="preserve">lostwd_e.tex </t>
  </si>
  <si>
    <t>Needle Kiss clone 1 (dxaa)</t>
  </si>
  <si>
    <t xml:space="preserve">glab </t>
  </si>
  <si>
    <t>Thunderbird: Unidentified Part</t>
  </si>
  <si>
    <t xml:space="preserve">lostwod.tex </t>
  </si>
  <si>
    <t xml:space="preserve">glam </t>
  </si>
  <si>
    <t xml:space="preserve">lst1.tex </t>
  </si>
  <si>
    <t xml:space="preserve">glan </t>
  </si>
  <si>
    <t xml:space="preserve">lst2.tex </t>
  </si>
  <si>
    <t xml:space="preserve">glao </t>
  </si>
  <si>
    <t xml:space="preserve">lst3.tex </t>
  </si>
  <si>
    <t xml:space="preserve">glap </t>
  </si>
  <si>
    <t>Thunderbird: Head Model</t>
  </si>
  <si>
    <t xml:space="preserve">lst4.tex </t>
  </si>
  <si>
    <t xml:space="preserve">glaq </t>
  </si>
  <si>
    <t>Thunderbird: Peak Bottom Part Model</t>
  </si>
  <si>
    <t xml:space="preserve">lstwd_e2.tex </t>
  </si>
  <si>
    <t xml:space="preserve">glas </t>
  </si>
  <si>
    <t xml:space="preserve">map.tex </t>
  </si>
  <si>
    <t>Map locators</t>
  </si>
  <si>
    <t xml:space="preserve">glat </t>
  </si>
  <si>
    <t xml:space="preserve">md_mt.tex </t>
  </si>
  <si>
    <t xml:space="preserve">md_mtd.tex </t>
  </si>
  <si>
    <t xml:space="preserve">glav </t>
  </si>
  <si>
    <t xml:space="preserve">md_mts.tex </t>
  </si>
  <si>
    <t xml:space="preserve">glaw </t>
  </si>
  <si>
    <t xml:space="preserve">md_snow.tex </t>
  </si>
  <si>
    <t xml:space="preserve">glay </t>
  </si>
  <si>
    <t xml:space="preserve">md_snw2.tex </t>
  </si>
  <si>
    <t xml:space="preserve">glaz </t>
  </si>
  <si>
    <t xml:space="preserve">md_snwd.tex </t>
  </si>
  <si>
    <t xml:space="preserve">glba </t>
  </si>
  <si>
    <t xml:space="preserve">md_snwe.tex </t>
  </si>
  <si>
    <t xml:space="preserve">glbc </t>
  </si>
  <si>
    <t xml:space="preserve">md_snws.tex </t>
  </si>
  <si>
    <t xml:space="preserve">glbe </t>
  </si>
  <si>
    <t xml:space="preserve">md_snwt.tex </t>
  </si>
  <si>
    <t xml:space="preserve">glbg </t>
  </si>
  <si>
    <t xml:space="preserve">md_snww.tex </t>
  </si>
  <si>
    <t xml:space="preserve">glbi </t>
  </si>
  <si>
    <t xml:space="preserve">md_sw_s.tex </t>
  </si>
  <si>
    <t>Swamp Field</t>
  </si>
  <si>
    <t xml:space="preserve">glbk </t>
  </si>
  <si>
    <t xml:space="preserve">md_swd2.tex </t>
  </si>
  <si>
    <t xml:space="preserve">glbl </t>
  </si>
  <si>
    <t xml:space="preserve">md_swnp.tex </t>
  </si>
  <si>
    <t>Same as md_sw_s.tex</t>
  </si>
  <si>
    <t xml:space="preserve">glbm </t>
  </si>
  <si>
    <t xml:space="preserve">md01.tex </t>
  </si>
  <si>
    <t>Midgar 1</t>
  </si>
  <si>
    <t xml:space="preserve">glbo </t>
  </si>
  <si>
    <t xml:space="preserve">md02.tex </t>
  </si>
  <si>
    <t>Midgar 2</t>
  </si>
  <si>
    <t xml:space="preserve">glbq </t>
  </si>
  <si>
    <t xml:space="preserve">md03.tex </t>
  </si>
  <si>
    <t>Midgar 3</t>
  </si>
  <si>
    <t xml:space="preserve">glbs </t>
  </si>
  <si>
    <t xml:space="preserve">md04.tex </t>
  </si>
  <si>
    <t>Midgar 4</t>
  </si>
  <si>
    <t xml:space="preserve">md05.tex </t>
  </si>
  <si>
    <t>Midgar 5</t>
  </si>
  <si>
    <t xml:space="preserve">md06.tex </t>
  </si>
  <si>
    <t xml:space="preserve">glda </t>
  </si>
  <si>
    <t>Midgar 6</t>
  </si>
  <si>
    <t xml:space="preserve">gmaa </t>
  </si>
  <si>
    <t>Razor Weed: Battle Skeleton</t>
  </si>
  <si>
    <t xml:space="preserve">md07.tex </t>
  </si>
  <si>
    <t>Midgar 7</t>
  </si>
  <si>
    <t>Mandragora clone 1 (dbaa)</t>
  </si>
  <si>
    <t xml:space="preserve">gmab </t>
  </si>
  <si>
    <t>Razor Weed: Unidentified Part</t>
  </si>
  <si>
    <t xml:space="preserve">mdsrt_e.tex </t>
  </si>
  <si>
    <t xml:space="preserve">gmam </t>
  </si>
  <si>
    <t xml:space="preserve">mdsrt_ed.tex </t>
  </si>
  <si>
    <t xml:space="preserve">gman </t>
  </si>
  <si>
    <t xml:space="preserve">mdsrt_eg.tex </t>
  </si>
  <si>
    <t xml:space="preserve">gmap </t>
  </si>
  <si>
    <t xml:space="preserve">mes </t>
  </si>
  <si>
    <t xml:space="preserve">meteo.tex </t>
  </si>
  <si>
    <t>Meteor</t>
  </si>
  <si>
    <t xml:space="preserve">gmaq </t>
  </si>
  <si>
    <t>Meteor seen in the sky on worldmap</t>
  </si>
  <si>
    <t xml:space="preserve">midg.tex </t>
  </si>
  <si>
    <t xml:space="preserve">gmas </t>
  </si>
  <si>
    <t xml:space="preserve">midil.tex </t>
  </si>
  <si>
    <t xml:space="preserve">gmat </t>
  </si>
  <si>
    <t xml:space="preserve">midild.tex </t>
  </si>
  <si>
    <t xml:space="preserve">gmav </t>
  </si>
  <si>
    <t xml:space="preserve">midlmap.tex </t>
  </si>
  <si>
    <t>World Map</t>
  </si>
  <si>
    <t>Large color world map/unsure of the difference between the 2</t>
  </si>
  <si>
    <t xml:space="preserve">gmaw </t>
  </si>
  <si>
    <t xml:space="preserve">midlmap2.tex </t>
  </si>
  <si>
    <t>World Map 2</t>
  </si>
  <si>
    <t xml:space="preserve">gmay </t>
  </si>
  <si>
    <t xml:space="preserve">mt_ewg.tex </t>
  </si>
  <si>
    <t xml:space="preserve">gmaz </t>
  </si>
  <si>
    <t xml:space="preserve">mt_road.tex </t>
  </si>
  <si>
    <t xml:space="preserve">gmbb </t>
  </si>
  <si>
    <t xml:space="preserve">mt_se.tex </t>
  </si>
  <si>
    <t xml:space="preserve">gmbc </t>
  </si>
  <si>
    <t xml:space="preserve">mt_se2.tex </t>
  </si>
  <si>
    <t xml:space="preserve">gmbe </t>
  </si>
  <si>
    <t xml:space="preserve">mt_sg01.tex </t>
  </si>
  <si>
    <t xml:space="preserve">mt_sg02.tex </t>
  </si>
  <si>
    <t xml:space="preserve">gmbf </t>
  </si>
  <si>
    <t xml:space="preserve">mt_sg03.tex </t>
  </si>
  <si>
    <t xml:space="preserve">gmbh </t>
  </si>
  <si>
    <t xml:space="preserve">mt_sg04.tex </t>
  </si>
  <si>
    <t xml:space="preserve">gmbi </t>
  </si>
  <si>
    <t xml:space="preserve">mtcoin.tex </t>
  </si>
  <si>
    <t xml:space="preserve">gmbk </t>
  </si>
  <si>
    <t xml:space="preserve">mtwas_e.tex </t>
  </si>
  <si>
    <t xml:space="preserve">gmbl </t>
  </si>
  <si>
    <t xml:space="preserve">mtwas_ed.tex </t>
  </si>
  <si>
    <t xml:space="preserve">gmbn </t>
  </si>
  <si>
    <t xml:space="preserve">mzes.tex </t>
  </si>
  <si>
    <t xml:space="preserve">gmbp </t>
  </si>
  <si>
    <t xml:space="preserve">mzmt_e.tex </t>
  </si>
  <si>
    <t xml:space="preserve">gmbr </t>
  </si>
  <si>
    <t xml:space="preserve">mzmt_ed.tex </t>
  </si>
  <si>
    <t xml:space="preserve">gmbt </t>
  </si>
  <si>
    <t xml:space="preserve">mzmt_edw.tex </t>
  </si>
  <si>
    <t xml:space="preserve">gmbw </t>
  </si>
  <si>
    <t xml:space="preserve">mzmt_ew.tex </t>
  </si>
  <si>
    <t xml:space="preserve">gmby </t>
  </si>
  <si>
    <t xml:space="preserve">mzmt_o.tex </t>
  </si>
  <si>
    <t xml:space="preserve">gmbz </t>
  </si>
  <si>
    <t xml:space="preserve">mzmt_od.tex </t>
  </si>
  <si>
    <t xml:space="preserve">gmda </t>
  </si>
  <si>
    <t xml:space="preserve">mzmt_s.tex </t>
  </si>
  <si>
    <t xml:space="preserve">gnaa </t>
  </si>
  <si>
    <t>Edgehead: Battle Skeleton</t>
  </si>
  <si>
    <t xml:space="preserve">mzmt_sd.tex </t>
  </si>
  <si>
    <t>Cripshay clone 1 (bqaa)</t>
  </si>
  <si>
    <t xml:space="preserve">gnab </t>
  </si>
  <si>
    <t>Edgehead: Unidentified Part</t>
  </si>
  <si>
    <t xml:space="preserve">gnam </t>
  </si>
  <si>
    <t>Edgehead: Head Model</t>
  </si>
  <si>
    <t xml:space="preserve">ncol_gro.tex </t>
  </si>
  <si>
    <t>North corel 1</t>
  </si>
  <si>
    <t>The ground below North Corel</t>
  </si>
  <si>
    <t xml:space="preserve">gnan </t>
  </si>
  <si>
    <t xml:space="preserve">ncole01.tex </t>
  </si>
  <si>
    <t>North corel 2</t>
  </si>
  <si>
    <t>Tent Texture for North Corel</t>
  </si>
  <si>
    <t xml:space="preserve">ncole02.tex </t>
  </si>
  <si>
    <t>North corel 3</t>
  </si>
  <si>
    <t xml:space="preserve">gnap </t>
  </si>
  <si>
    <t xml:space="preserve">nivl_gro.tex </t>
  </si>
  <si>
    <t>The ground below Nibelheim</t>
  </si>
  <si>
    <t xml:space="preserve">gnar </t>
  </si>
  <si>
    <t xml:space="preserve">nivl_mt.tex </t>
  </si>
  <si>
    <t>Nibelheim mounts</t>
  </si>
  <si>
    <t xml:space="preserve">gnat </t>
  </si>
  <si>
    <t>Bottom of mountains behind Nibleheim</t>
  </si>
  <si>
    <t xml:space="preserve">gnau </t>
  </si>
  <si>
    <t xml:space="preserve">nivl_top.tex </t>
  </si>
  <si>
    <t>Nibelheim mounts top</t>
  </si>
  <si>
    <t>Tops of mountains behind Niblheim</t>
  </si>
  <si>
    <t xml:space="preserve">gnav </t>
  </si>
  <si>
    <t xml:space="preserve">nivlr.tex </t>
  </si>
  <si>
    <t>Nibelheim roof</t>
  </si>
  <si>
    <t>Roofs of Nibleheim</t>
  </si>
  <si>
    <t xml:space="preserve">gnax </t>
  </si>
  <si>
    <t xml:space="preserve">pond.tex </t>
  </si>
  <si>
    <t xml:space="preserve">gnay </t>
  </si>
  <si>
    <t xml:space="preserve">port.tex </t>
  </si>
  <si>
    <t xml:space="preserve">gnaz </t>
  </si>
  <si>
    <t xml:space="preserve">port_d.tex </t>
  </si>
  <si>
    <t xml:space="preserve">gnbb </t>
  </si>
  <si>
    <t xml:space="preserve">radar.tex </t>
  </si>
  <si>
    <t>Minimap Radar</t>
  </si>
  <si>
    <t>Grey Minimap / bottom right corner</t>
  </si>
  <si>
    <t xml:space="preserve">gnbd </t>
  </si>
  <si>
    <t xml:space="preserve">rct_gro.tex </t>
  </si>
  <si>
    <t>The ground below Rocket Town</t>
  </si>
  <si>
    <t xml:space="preserve">gnbe </t>
  </si>
  <si>
    <t xml:space="preserve">riv_cls.tex </t>
  </si>
  <si>
    <t xml:space="preserve">gnbg </t>
  </si>
  <si>
    <t xml:space="preserve">riv_l1.tex </t>
  </si>
  <si>
    <t xml:space="preserve">gnbi </t>
  </si>
  <si>
    <t xml:space="preserve">riv_l2.tex </t>
  </si>
  <si>
    <t xml:space="preserve">gnbj </t>
  </si>
  <si>
    <t xml:space="preserve">riv_l3.tex </t>
  </si>
  <si>
    <t xml:space="preserve">gnbk </t>
  </si>
  <si>
    <t xml:space="preserve">riv_l4.tex </t>
  </si>
  <si>
    <t xml:space="preserve">gnbl </t>
  </si>
  <si>
    <t xml:space="preserve">riv_m.tex </t>
  </si>
  <si>
    <t xml:space="preserve">gnbm </t>
  </si>
  <si>
    <t xml:space="preserve">riv_m2.tex </t>
  </si>
  <si>
    <t xml:space="preserve">gnda </t>
  </si>
  <si>
    <t xml:space="preserve">goaa </t>
  </si>
  <si>
    <t xml:space="preserve">rivr.tex </t>
  </si>
  <si>
    <t>Bizarre Bug: Battle Skeleton</t>
  </si>
  <si>
    <t xml:space="preserve">rivrclf.tex </t>
  </si>
  <si>
    <t xml:space="preserve">goab </t>
  </si>
  <si>
    <t>Bizarre Bug: Unidentified Part</t>
  </si>
  <si>
    <t xml:space="preserve">goac </t>
  </si>
  <si>
    <t>Bizarre Bug: Texture</t>
  </si>
  <si>
    <t xml:space="preserve">rivs1.tex </t>
  </si>
  <si>
    <t xml:space="preserve">goam </t>
  </si>
  <si>
    <t xml:space="preserve">rivs2.tex </t>
  </si>
  <si>
    <t xml:space="preserve">goan </t>
  </si>
  <si>
    <t xml:space="preserve">rivs3.tex </t>
  </si>
  <si>
    <t xml:space="preserve">rivs4.tex </t>
  </si>
  <si>
    <t xml:space="preserve">goao </t>
  </si>
  <si>
    <t xml:space="preserve">rivshr.tex </t>
  </si>
  <si>
    <t xml:space="preserve">goaq </t>
  </si>
  <si>
    <t xml:space="preserve">rivssr.tex </t>
  </si>
  <si>
    <t xml:space="preserve">goar </t>
  </si>
  <si>
    <t xml:space="preserve">rivstrt.tex </t>
  </si>
  <si>
    <t xml:space="preserve">goat </t>
  </si>
  <si>
    <t xml:space="preserve">rm1.tex </t>
  </si>
  <si>
    <t xml:space="preserve">goau </t>
  </si>
  <si>
    <t xml:space="preserve">rm2.tex </t>
  </si>
  <si>
    <t xml:space="preserve">goaw </t>
  </si>
  <si>
    <t xml:space="preserve">rm3.tex </t>
  </si>
  <si>
    <t xml:space="preserve">goay </t>
  </si>
  <si>
    <t xml:space="preserve">rm4.tex </t>
  </si>
  <si>
    <t xml:space="preserve">goaz </t>
  </si>
  <si>
    <t xml:space="preserve">rocet.tex </t>
  </si>
  <si>
    <t xml:space="preserve">gobb </t>
  </si>
  <si>
    <t xml:space="preserve">rock.tex </t>
  </si>
  <si>
    <t xml:space="preserve">gobc </t>
  </si>
  <si>
    <t xml:space="preserve">gobe </t>
  </si>
  <si>
    <t xml:space="preserve">rs_ss.tex </t>
  </si>
  <si>
    <t xml:space="preserve">gobf </t>
  </si>
  <si>
    <t xml:space="preserve">rzclf02.tex </t>
  </si>
  <si>
    <t xml:space="preserve">gobh </t>
  </si>
  <si>
    <t xml:space="preserve">sango.tex </t>
  </si>
  <si>
    <t xml:space="preserve">gobj </t>
  </si>
  <si>
    <t xml:space="preserve">gobk </t>
  </si>
  <si>
    <t>804 Bytes</t>
  </si>
  <si>
    <t xml:space="preserve">sango2.tex </t>
  </si>
  <si>
    <t xml:space="preserve">gobl </t>
  </si>
  <si>
    <t xml:space="preserve">sango3.tex </t>
  </si>
  <si>
    <t xml:space="preserve">gobm </t>
  </si>
  <si>
    <t xml:space="preserve">sango4.tex </t>
  </si>
  <si>
    <t xml:space="preserve">gobn </t>
  </si>
  <si>
    <t xml:space="preserve">gobo </t>
  </si>
  <si>
    <t xml:space="preserve">scave.tex </t>
  </si>
  <si>
    <t xml:space="preserve">gobp </t>
  </si>
  <si>
    <t xml:space="preserve">sdun.tex </t>
  </si>
  <si>
    <t xml:space="preserve">goda </t>
  </si>
  <si>
    <t xml:space="preserve">gpaa </t>
  </si>
  <si>
    <t>Tail Vault: Battle Skeleton</t>
  </si>
  <si>
    <t xml:space="preserve">sdun02.tex </t>
  </si>
  <si>
    <t xml:space="preserve">gpab </t>
  </si>
  <si>
    <t>Tail Vault: Unidentified Part</t>
  </si>
  <si>
    <t xml:space="preserve">gpam </t>
  </si>
  <si>
    <t xml:space="preserve">sh_s1.tex </t>
  </si>
  <si>
    <t xml:space="preserve">gpan </t>
  </si>
  <si>
    <t xml:space="preserve">gpap </t>
  </si>
  <si>
    <t xml:space="preserve">sh_s2.tex </t>
  </si>
  <si>
    <t xml:space="preserve">gpar </t>
  </si>
  <si>
    <t xml:space="preserve">gpat </t>
  </si>
  <si>
    <t xml:space="preserve">sh_s3.tex </t>
  </si>
  <si>
    <t xml:space="preserve">gpau </t>
  </si>
  <si>
    <t xml:space="preserve">sh_s4.tex </t>
  </si>
  <si>
    <t xml:space="preserve">gpav </t>
  </si>
  <si>
    <t xml:space="preserve">gpax </t>
  </si>
  <si>
    <t xml:space="preserve">sh1.tex </t>
  </si>
  <si>
    <t xml:space="preserve">gpay </t>
  </si>
  <si>
    <t xml:space="preserve">sh2.tex </t>
  </si>
  <si>
    <t xml:space="preserve">gpaz </t>
  </si>
  <si>
    <t xml:space="preserve">gpbb </t>
  </si>
  <si>
    <t xml:space="preserve">sh3.tex </t>
  </si>
  <si>
    <t xml:space="preserve">gpbc </t>
  </si>
  <si>
    <t xml:space="preserve">sh4.tex </t>
  </si>
  <si>
    <t xml:space="preserve">gpbd </t>
  </si>
  <si>
    <t xml:space="preserve">gpbf </t>
  </si>
  <si>
    <t xml:space="preserve">shadow.tex </t>
  </si>
  <si>
    <t>Ultima weapon, highwind and character shadows</t>
  </si>
  <si>
    <t>World map vehicle shadows</t>
  </si>
  <si>
    <t xml:space="preserve">gpbg </t>
  </si>
  <si>
    <t xml:space="preserve">shedge.tex </t>
  </si>
  <si>
    <t xml:space="preserve">gpbh </t>
  </si>
  <si>
    <t>Beach edge w/forest shadow</t>
  </si>
  <si>
    <t>Found near Temple Of Ancients</t>
  </si>
  <si>
    <t xml:space="preserve">gpbi </t>
  </si>
  <si>
    <t xml:space="preserve">shlm_1.tex </t>
  </si>
  <si>
    <t xml:space="preserve">gpbj </t>
  </si>
  <si>
    <t xml:space="preserve">shlm_2.tex </t>
  </si>
  <si>
    <t xml:space="preserve">gpbk </t>
  </si>
  <si>
    <t xml:space="preserve">gpbl </t>
  </si>
  <si>
    <t xml:space="preserve">shlm_3.tex </t>
  </si>
  <si>
    <t xml:space="preserve">shlm_4.tex </t>
  </si>
  <si>
    <t xml:space="preserve">gpbm </t>
  </si>
  <si>
    <t xml:space="preserve">gpda </t>
  </si>
  <si>
    <t xml:space="preserve">shol.tex </t>
  </si>
  <si>
    <t xml:space="preserve">gqaa </t>
  </si>
  <si>
    <t>Adamantaimai: Battle Skeleton</t>
  </si>
  <si>
    <t xml:space="preserve">gqab </t>
  </si>
  <si>
    <t>Adamantaimai: Unidentified Part</t>
  </si>
  <si>
    <t xml:space="preserve">shol_s.tex </t>
  </si>
  <si>
    <t xml:space="preserve">gqam </t>
  </si>
  <si>
    <t xml:space="preserve">gqan </t>
  </si>
  <si>
    <t xml:space="preserve">shor.tex </t>
  </si>
  <si>
    <t>Beach sand w/grass transistion</t>
  </si>
  <si>
    <t>Found all over world</t>
  </si>
  <si>
    <t xml:space="preserve">gqao </t>
  </si>
  <si>
    <t xml:space="preserve">gqap </t>
  </si>
  <si>
    <t xml:space="preserve">shor_s.tex </t>
  </si>
  <si>
    <t>Beach sand w/grass transistion (shaded)</t>
  </si>
  <si>
    <t xml:space="preserve">gqar </t>
  </si>
  <si>
    <t xml:space="preserve">shor_s2.tex </t>
  </si>
  <si>
    <t xml:space="preserve">gqas </t>
  </si>
  <si>
    <t xml:space="preserve">gqat </t>
  </si>
  <si>
    <t xml:space="preserve">shor_v.tex </t>
  </si>
  <si>
    <t>Beach Sand without grass</t>
  </si>
  <si>
    <t xml:space="preserve">gqav </t>
  </si>
  <si>
    <t xml:space="preserve">silo.tex </t>
  </si>
  <si>
    <t xml:space="preserve">gqax </t>
  </si>
  <si>
    <t>Chocobo Farm Texture</t>
  </si>
  <si>
    <t>Texture for the Silo @ Chocobo Farm</t>
  </si>
  <si>
    <t xml:space="preserve">gqaz </t>
  </si>
  <si>
    <t xml:space="preserve">slope.tex </t>
  </si>
  <si>
    <t xml:space="preserve">gqbb </t>
  </si>
  <si>
    <t xml:space="preserve">gqbd </t>
  </si>
  <si>
    <t xml:space="preserve">sng01.tex </t>
  </si>
  <si>
    <t xml:space="preserve">gqbe </t>
  </si>
  <si>
    <t xml:space="preserve">sng02.tex </t>
  </si>
  <si>
    <t xml:space="preserve">gqbf </t>
  </si>
  <si>
    <t xml:space="preserve">snow_es.tex </t>
  </si>
  <si>
    <t xml:space="preserve">gqbh </t>
  </si>
  <si>
    <t xml:space="preserve">gqbj </t>
  </si>
  <si>
    <t xml:space="preserve">snow_es2.tex </t>
  </si>
  <si>
    <t xml:space="preserve">gqbl </t>
  </si>
  <si>
    <t xml:space="preserve">snow_es3.tex </t>
  </si>
  <si>
    <t xml:space="preserve">snow4.tex </t>
  </si>
  <si>
    <t xml:space="preserve">gqbn </t>
  </si>
  <si>
    <t xml:space="preserve">snow5.tex </t>
  </si>
  <si>
    <t xml:space="preserve">gqbp </t>
  </si>
  <si>
    <t xml:space="preserve">gqbq </t>
  </si>
  <si>
    <t xml:space="preserve">snw_mt.tex </t>
  </si>
  <si>
    <t>Mountains w/snow</t>
  </si>
  <si>
    <t>Found all over Northern Continent</t>
  </si>
  <si>
    <t xml:space="preserve">gqbr </t>
  </si>
  <si>
    <t xml:space="preserve">gqbs </t>
  </si>
  <si>
    <t xml:space="preserve">gqbu </t>
  </si>
  <si>
    <t xml:space="preserve">gqbv </t>
  </si>
  <si>
    <t xml:space="preserve">snw_mtd.tex </t>
  </si>
  <si>
    <t xml:space="preserve">gqbw </t>
  </si>
  <si>
    <t xml:space="preserve">gqbx </t>
  </si>
  <si>
    <t xml:space="preserve">snw_mte.tex </t>
  </si>
  <si>
    <t>Plain snow texture (transitional)</t>
  </si>
  <si>
    <t xml:space="preserve">gqda </t>
  </si>
  <si>
    <t xml:space="preserve">graa </t>
  </si>
  <si>
    <t>Attack Squad: Battle Skeleton</t>
  </si>
  <si>
    <t xml:space="preserve">snw_mted.tex </t>
  </si>
  <si>
    <t>MP clone 3 (aqaa)</t>
  </si>
  <si>
    <t xml:space="preserve">grab </t>
  </si>
  <si>
    <t>Attack Squad: Unidentified Part</t>
  </si>
  <si>
    <t xml:space="preserve">snw_mts.tex </t>
  </si>
  <si>
    <t xml:space="preserve">gram </t>
  </si>
  <si>
    <t xml:space="preserve">gran </t>
  </si>
  <si>
    <t xml:space="preserve">snw_mts2.tex </t>
  </si>
  <si>
    <t xml:space="preserve">grao </t>
  </si>
  <si>
    <t xml:space="preserve">snwfld.tex </t>
  </si>
  <si>
    <t>Plain Snow Texture</t>
  </si>
  <si>
    <t xml:space="preserve">grar </t>
  </si>
  <si>
    <t xml:space="preserve">gras </t>
  </si>
  <si>
    <t xml:space="preserve">snwfld_s.tex </t>
  </si>
  <si>
    <t>Plain Snow Texture (shaded + transistional)</t>
  </si>
  <si>
    <t xml:space="preserve">grat </t>
  </si>
  <si>
    <t xml:space="preserve">gray </t>
  </si>
  <si>
    <t xml:space="preserve">snwfld2.tex </t>
  </si>
  <si>
    <t xml:space="preserve">graz </t>
  </si>
  <si>
    <t xml:space="preserve">snwfldl.tex </t>
  </si>
  <si>
    <t xml:space="preserve">grba </t>
  </si>
  <si>
    <t>Plain snow texture</t>
  </si>
  <si>
    <t>Possibly for the 3d field in Gaia Mt area</t>
  </si>
  <si>
    <t xml:space="preserve">grbc </t>
  </si>
  <si>
    <t xml:space="preserve">snwgra.tex </t>
  </si>
  <si>
    <t>Plain Snow and Grass (transistional)</t>
  </si>
  <si>
    <t xml:space="preserve">grbd </t>
  </si>
  <si>
    <t xml:space="preserve">snwhm01.tex </t>
  </si>
  <si>
    <t xml:space="preserve">grbe </t>
  </si>
  <si>
    <t xml:space="preserve">snwhm02.tex </t>
  </si>
  <si>
    <t xml:space="preserve">grbf </t>
  </si>
  <si>
    <t xml:space="preserve">grbh </t>
  </si>
  <si>
    <t xml:space="preserve">snwods.tex </t>
  </si>
  <si>
    <t xml:space="preserve">grbi </t>
  </si>
  <si>
    <t xml:space="preserve">snwood.tex </t>
  </si>
  <si>
    <t xml:space="preserve">grbj </t>
  </si>
  <si>
    <t xml:space="preserve">grbk </t>
  </si>
  <si>
    <t xml:space="preserve">snwtrk.tex </t>
  </si>
  <si>
    <t>Chocobo tracks on snow</t>
  </si>
  <si>
    <t xml:space="preserve">grck </t>
  </si>
  <si>
    <t>Track found on the Northern Continent</t>
  </si>
  <si>
    <t xml:space="preserve">ssand.tex </t>
  </si>
  <si>
    <t xml:space="preserve">grda </t>
  </si>
  <si>
    <t xml:space="preserve">gsaa </t>
  </si>
  <si>
    <t>Foulander: Battle Skeleton</t>
  </si>
  <si>
    <t xml:space="preserve">sse_s1.tex </t>
  </si>
  <si>
    <t xml:space="preserve">gsab </t>
  </si>
  <si>
    <t>Foulander: Unidentified Part</t>
  </si>
  <si>
    <t xml:space="preserve">gsac </t>
  </si>
  <si>
    <t>Foulander: Texture</t>
  </si>
  <si>
    <t xml:space="preserve">sse_s2.tex </t>
  </si>
  <si>
    <t xml:space="preserve">gsad </t>
  </si>
  <si>
    <t xml:space="preserve">sse_s3.tex </t>
  </si>
  <si>
    <t xml:space="preserve">gsam </t>
  </si>
  <si>
    <t xml:space="preserve">gsan </t>
  </si>
  <si>
    <t xml:space="preserve">sse_s4.tex </t>
  </si>
  <si>
    <t xml:space="preserve">gsap </t>
  </si>
  <si>
    <t xml:space="preserve">ssee1.tex </t>
  </si>
  <si>
    <t xml:space="preserve">gsaq </t>
  </si>
  <si>
    <t xml:space="preserve">gsat </t>
  </si>
  <si>
    <t xml:space="preserve">ssee2.tex </t>
  </si>
  <si>
    <t xml:space="preserve">gsav </t>
  </si>
  <si>
    <t xml:space="preserve">ssee3.tex </t>
  </si>
  <si>
    <t xml:space="preserve">gsaw </t>
  </si>
  <si>
    <t xml:space="preserve">ssee4.tex </t>
  </si>
  <si>
    <t xml:space="preserve">gsax </t>
  </si>
  <si>
    <t xml:space="preserve">gsay </t>
  </si>
  <si>
    <t xml:space="preserve">sst1.tex </t>
  </si>
  <si>
    <t xml:space="preserve">gsbb </t>
  </si>
  <si>
    <t xml:space="preserve">sst2.tex </t>
  </si>
  <si>
    <t xml:space="preserve">gsbd </t>
  </si>
  <si>
    <t xml:space="preserve">sst3.tex </t>
  </si>
  <si>
    <t xml:space="preserve">gsbe </t>
  </si>
  <si>
    <t xml:space="preserve">sst4.tex </t>
  </si>
  <si>
    <t xml:space="preserve">gsbf </t>
  </si>
  <si>
    <t xml:space="preserve">stown_r.tex </t>
  </si>
  <si>
    <t>Icicle inn roof</t>
  </si>
  <si>
    <t>Icicle Inn roof</t>
  </si>
  <si>
    <t xml:space="preserve">gsbh </t>
  </si>
  <si>
    <t xml:space="preserve">stw_gro.tex </t>
  </si>
  <si>
    <t>Ground underneath Icicle Inn</t>
  </si>
  <si>
    <t xml:space="preserve">gsbi </t>
  </si>
  <si>
    <t xml:space="preserve">subrg2.tex </t>
  </si>
  <si>
    <t xml:space="preserve">gsbj </t>
  </si>
  <si>
    <t xml:space="preserve">susbrg.tex </t>
  </si>
  <si>
    <t xml:space="preserve">sw_se.tex </t>
  </si>
  <si>
    <t xml:space="preserve">World Map Part: Swamp </t>
  </si>
  <si>
    <t xml:space="preserve">gsbl </t>
  </si>
  <si>
    <t xml:space="preserve">swall02.tex </t>
  </si>
  <si>
    <t xml:space="preserve">gsbm </t>
  </si>
  <si>
    <t xml:space="preserve">swclf_l.tex </t>
  </si>
  <si>
    <t xml:space="preserve">gsbn </t>
  </si>
  <si>
    <t xml:space="preserve">swclf_ld.tex </t>
  </si>
  <si>
    <t xml:space="preserve">gsbo </t>
  </si>
  <si>
    <t xml:space="preserve">swclf_lg.tex </t>
  </si>
  <si>
    <t xml:space="preserve">gsbq </t>
  </si>
  <si>
    <t xml:space="preserve">swclf_s.tex </t>
  </si>
  <si>
    <t xml:space="preserve">gsbr </t>
  </si>
  <si>
    <t xml:space="preserve">swclf_sd.tex </t>
  </si>
  <si>
    <t xml:space="preserve">gsbs </t>
  </si>
  <si>
    <t xml:space="preserve">swclf_sg.tex </t>
  </si>
  <si>
    <t xml:space="preserve">gsbt </t>
  </si>
  <si>
    <t xml:space="preserve">swclf_wg.tex </t>
  </si>
  <si>
    <t xml:space="preserve">gsbu </t>
  </si>
  <si>
    <t xml:space="preserve">swfld_s2.tex </t>
  </si>
  <si>
    <t xml:space="preserve">gsbv </t>
  </si>
  <si>
    <t xml:space="preserve">swfld_s3.tex </t>
  </si>
  <si>
    <t xml:space="preserve">gsbw </t>
  </si>
  <si>
    <t xml:space="preserve">swmd_cg.tex </t>
  </si>
  <si>
    <t xml:space="preserve">gsbx </t>
  </si>
  <si>
    <t xml:space="preserve">gsby </t>
  </si>
  <si>
    <t>596 Bytes</t>
  </si>
  <si>
    <t xml:space="preserve">swmd_clf.tex </t>
  </si>
  <si>
    <t xml:space="preserve">swp1.tex </t>
  </si>
  <si>
    <t xml:space="preserve">gsda </t>
  </si>
  <si>
    <t xml:space="preserve">gtaa </t>
  </si>
  <si>
    <t>Garuda: Battle Skeleton</t>
  </si>
  <si>
    <t xml:space="preserve">swp2.tex </t>
  </si>
  <si>
    <t xml:space="preserve">gtab </t>
  </si>
  <si>
    <t>Garuda: Unidentified Part</t>
  </si>
  <si>
    <t xml:space="preserve">gtac </t>
  </si>
  <si>
    <t>Garuda: Texture</t>
  </si>
  <si>
    <t xml:space="preserve">swp3.tex </t>
  </si>
  <si>
    <t xml:space="preserve">gtad </t>
  </si>
  <si>
    <t xml:space="preserve">gtae </t>
  </si>
  <si>
    <t xml:space="preserve">swp4.tex </t>
  </si>
  <si>
    <t xml:space="preserve">gtam </t>
  </si>
  <si>
    <t xml:space="preserve">gtan </t>
  </si>
  <si>
    <t xml:space="preserve">trk.tex </t>
  </si>
  <si>
    <t>Chocobo tracks on green field</t>
  </si>
  <si>
    <t>Contains tracks for light and dark grass</t>
  </si>
  <si>
    <t xml:space="preserve">gtap </t>
  </si>
  <si>
    <t xml:space="preserve">gtar </t>
  </si>
  <si>
    <t xml:space="preserve">tyo_f.tex </t>
  </si>
  <si>
    <t>Light green grass</t>
  </si>
  <si>
    <t>Found only around Chocobo Farm</t>
  </si>
  <si>
    <t xml:space="preserve">gtas </t>
  </si>
  <si>
    <t xml:space="preserve">gtau </t>
  </si>
  <si>
    <t xml:space="preserve">tyosnw.tex </t>
  </si>
  <si>
    <t xml:space="preserve">gtav </t>
  </si>
  <si>
    <t xml:space="preserve">uf1.tex </t>
  </si>
  <si>
    <t xml:space="preserve">gtaw </t>
  </si>
  <si>
    <t xml:space="preserve">gtay </t>
  </si>
  <si>
    <t xml:space="preserve">uf2.tex </t>
  </si>
  <si>
    <t xml:space="preserve">gtaz </t>
  </si>
  <si>
    <t xml:space="preserve">gtba </t>
  </si>
  <si>
    <t xml:space="preserve">uf3.tex </t>
  </si>
  <si>
    <t xml:space="preserve">gtbb </t>
  </si>
  <si>
    <t xml:space="preserve">uf4.tex </t>
  </si>
  <si>
    <t xml:space="preserve">gtbc </t>
  </si>
  <si>
    <t xml:space="preserve">gtbe </t>
  </si>
  <si>
    <t xml:space="preserve">utai_gro.tex </t>
  </si>
  <si>
    <t>Wutai 1</t>
  </si>
  <si>
    <t>Ground under Wutai</t>
  </si>
  <si>
    <t xml:space="preserve">gtbf </t>
  </si>
  <si>
    <t xml:space="preserve">gtbg </t>
  </si>
  <si>
    <t xml:space="preserve">utai01.tex </t>
  </si>
  <si>
    <t>Wutai 2</t>
  </si>
  <si>
    <t xml:space="preserve">gtbi </t>
  </si>
  <si>
    <t xml:space="preserve">gtbj </t>
  </si>
  <si>
    <t xml:space="preserve">utai02.tex </t>
  </si>
  <si>
    <t>Wutai 3</t>
  </si>
  <si>
    <t xml:space="preserve">gtbk </t>
  </si>
  <si>
    <t xml:space="preserve">utaimt.tex </t>
  </si>
  <si>
    <t>Wutai mountains 1</t>
  </si>
  <si>
    <t xml:space="preserve">gtbl </t>
  </si>
  <si>
    <t xml:space="preserve">gtbn </t>
  </si>
  <si>
    <t xml:space="preserve">utaimtd.tex </t>
  </si>
  <si>
    <t>Wutai mountains 2</t>
  </si>
  <si>
    <t xml:space="preserve">gtbp </t>
  </si>
  <si>
    <t xml:space="preserve">utaimtg.tex </t>
  </si>
  <si>
    <t xml:space="preserve">gtda </t>
  </si>
  <si>
    <t>Wutai mountains 3</t>
  </si>
  <si>
    <t xml:space="preserve">guaa </t>
  </si>
  <si>
    <t>Jayjujayme: Battle Skeleton</t>
  </si>
  <si>
    <t xml:space="preserve">wa1.tex </t>
  </si>
  <si>
    <t xml:space="preserve">guab </t>
  </si>
  <si>
    <t>Beach 1 Light</t>
  </si>
  <si>
    <t>Jayjujayme: Unidentified Part</t>
  </si>
  <si>
    <t xml:space="preserve">guac </t>
  </si>
  <si>
    <t>Jayjujayme: Texture</t>
  </si>
  <si>
    <t xml:space="preserve">guao </t>
  </si>
  <si>
    <t xml:space="preserve">wa2.tex </t>
  </si>
  <si>
    <t>Beach 2 Light</t>
  </si>
  <si>
    <t xml:space="preserve">guar </t>
  </si>
  <si>
    <t xml:space="preserve">wa3.tex </t>
  </si>
  <si>
    <t>Beach 3 Light</t>
  </si>
  <si>
    <t xml:space="preserve">wa4.tex </t>
  </si>
  <si>
    <t xml:space="preserve">guau </t>
  </si>
  <si>
    <t>Beach 4 Light</t>
  </si>
  <si>
    <t xml:space="preserve">guaw </t>
  </si>
  <si>
    <t xml:space="preserve">wa5.tex </t>
  </si>
  <si>
    <t>Beach 5 Light</t>
  </si>
  <si>
    <t xml:space="preserve">guay </t>
  </si>
  <si>
    <t xml:space="preserve">wa6.tex </t>
  </si>
  <si>
    <t xml:space="preserve">guba </t>
  </si>
  <si>
    <t>Beach 6 Light</t>
  </si>
  <si>
    <t xml:space="preserve">gubb </t>
  </si>
  <si>
    <t xml:space="preserve">wa7.tex </t>
  </si>
  <si>
    <t>Beach 7 Light</t>
  </si>
  <si>
    <t xml:space="preserve">gube </t>
  </si>
  <si>
    <t xml:space="preserve">gubh </t>
  </si>
  <si>
    <t xml:space="preserve">wa8.tex </t>
  </si>
  <si>
    <t>Beach 8 Light</t>
  </si>
  <si>
    <t xml:space="preserve">gubk </t>
  </si>
  <si>
    <t xml:space="preserve">gubn </t>
  </si>
  <si>
    <t xml:space="preserve">was.tex </t>
  </si>
  <si>
    <t>Dirt field with green field 1</t>
  </si>
  <si>
    <t>Dirt/Gras texture, found all over world</t>
  </si>
  <si>
    <t xml:space="preserve">gubq </t>
  </si>
  <si>
    <t xml:space="preserve">was_d.tex </t>
  </si>
  <si>
    <t xml:space="preserve">gubt </t>
  </si>
  <si>
    <t>Dirt field 1</t>
  </si>
  <si>
    <t xml:space="preserve">gubw </t>
  </si>
  <si>
    <t xml:space="preserve">was_g.tex </t>
  </si>
  <si>
    <t>Dirt field 2</t>
  </si>
  <si>
    <t xml:space="preserve">was_gs.tex </t>
  </si>
  <si>
    <t>Dirt field 3</t>
  </si>
  <si>
    <t xml:space="preserve">gubz </t>
  </si>
  <si>
    <t xml:space="preserve">was_s.tex </t>
  </si>
  <si>
    <t>Dirt field with green field 2</t>
  </si>
  <si>
    <t xml:space="preserve">guda </t>
  </si>
  <si>
    <t xml:space="preserve">gvaa </t>
  </si>
  <si>
    <t xml:space="preserve">wasfld.tex </t>
  </si>
  <si>
    <t>Dirt field 4</t>
  </si>
  <si>
    <t>Rapps: Battle Skeleton</t>
  </si>
  <si>
    <t>Plain dirt, used all over world</t>
  </si>
  <si>
    <t xml:space="preserve">wdedge.tex </t>
  </si>
  <si>
    <t xml:space="preserve">gvab </t>
  </si>
  <si>
    <t>Grass Texture</t>
  </si>
  <si>
    <t>Rapps: Unidentified Part</t>
  </si>
  <si>
    <t>Used around some forests</t>
  </si>
  <si>
    <t xml:space="preserve">gvam </t>
  </si>
  <si>
    <t xml:space="preserve">we_s1.tex </t>
  </si>
  <si>
    <t>Beach edge 1 Dark</t>
  </si>
  <si>
    <t xml:space="preserve">we_s2.tex </t>
  </si>
  <si>
    <t>Beach edge 2 Dark</t>
  </si>
  <si>
    <t xml:space="preserve">we_s3.tex </t>
  </si>
  <si>
    <t>Beach edge 3 Dark</t>
  </si>
  <si>
    <t xml:space="preserve">gvan </t>
  </si>
  <si>
    <t xml:space="preserve">we_s4.tex </t>
  </si>
  <si>
    <t>Beach edge 4 Dark</t>
  </si>
  <si>
    <t xml:space="preserve">we_s5.tex </t>
  </si>
  <si>
    <t xml:space="preserve">gvao </t>
  </si>
  <si>
    <t>Beach edge 5 Dark</t>
  </si>
  <si>
    <t xml:space="preserve">we_s6.tex </t>
  </si>
  <si>
    <t>Beach edge 6 Dark</t>
  </si>
  <si>
    <t xml:space="preserve">we_s7.tex </t>
  </si>
  <si>
    <t>Beach edge 7 Dark</t>
  </si>
  <si>
    <t xml:space="preserve">gvap </t>
  </si>
  <si>
    <t xml:space="preserve">we_s8.tex </t>
  </si>
  <si>
    <t>Beach edge 8 Dark</t>
  </si>
  <si>
    <t xml:space="preserve">gvaq </t>
  </si>
  <si>
    <t xml:space="preserve">we1.tex </t>
  </si>
  <si>
    <t>Beach edge 1 Light</t>
  </si>
  <si>
    <t xml:space="preserve">gvar </t>
  </si>
  <si>
    <t xml:space="preserve">we2.tex </t>
  </si>
  <si>
    <t>Beach edge 2 Light</t>
  </si>
  <si>
    <t xml:space="preserve">gvas </t>
  </si>
  <si>
    <t xml:space="preserve">we3.tex </t>
  </si>
  <si>
    <t>Beach edge 3 Light</t>
  </si>
  <si>
    <t xml:space="preserve">gvau </t>
  </si>
  <si>
    <t xml:space="preserve">we4.tex </t>
  </si>
  <si>
    <t>Beach edge 4 Light</t>
  </si>
  <si>
    <t xml:space="preserve">gvaw </t>
  </si>
  <si>
    <t xml:space="preserve">we5.tex </t>
  </si>
  <si>
    <t>Beach edge 5 Light</t>
  </si>
  <si>
    <t xml:space="preserve">gvax </t>
  </si>
  <si>
    <t xml:space="preserve">we6.tex </t>
  </si>
  <si>
    <t>Beach edge 6 Light</t>
  </si>
  <si>
    <t xml:space="preserve">gvaz </t>
  </si>
  <si>
    <t xml:space="preserve">we7.tex </t>
  </si>
  <si>
    <t>Beach edge 7 Light</t>
  </si>
  <si>
    <t xml:space="preserve">gvba </t>
  </si>
  <si>
    <t xml:space="preserve">we8.tex </t>
  </si>
  <si>
    <t>Beach edge 8 Light</t>
  </si>
  <si>
    <t xml:space="preserve">gvbc </t>
  </si>
  <si>
    <t xml:space="preserve">wedged.tex </t>
  </si>
  <si>
    <t xml:space="preserve">gvbd </t>
  </si>
  <si>
    <t xml:space="preserve">wm.ta </t>
  </si>
  <si>
    <t xml:space="preserve">gvbf </t>
  </si>
  <si>
    <t xml:space="preserve">gvbg </t>
  </si>
  <si>
    <t xml:space="preserve">gvbh </t>
  </si>
  <si>
    <t xml:space="preserve">gvbj </t>
  </si>
  <si>
    <t xml:space="preserve">gvbk </t>
  </si>
  <si>
    <t xml:space="preserve">gvbl </t>
  </si>
  <si>
    <t xml:space="preserve">wm_kumo.tex </t>
  </si>
  <si>
    <t>Clouds</t>
  </si>
  <si>
    <t>Clouds found in the sky on worldmap</t>
  </si>
  <si>
    <t xml:space="preserve">gvbn </t>
  </si>
  <si>
    <t xml:space="preserve">gvbp </t>
  </si>
  <si>
    <t xml:space="preserve">wm0.ev </t>
  </si>
  <si>
    <t xml:space="preserve">gvbq </t>
  </si>
  <si>
    <t xml:space="preserve">gvbr </t>
  </si>
  <si>
    <t xml:space="preserve">wm2.ev </t>
  </si>
  <si>
    <t xml:space="preserve">gvbt </t>
  </si>
  <si>
    <t xml:space="preserve">wm3.ev </t>
  </si>
  <si>
    <t xml:space="preserve">gvbu </t>
  </si>
  <si>
    <t xml:space="preserve">wod-e2.tex </t>
  </si>
  <si>
    <t>Forest edge</t>
  </si>
  <si>
    <t>Contains Light and dark textures</t>
  </si>
  <si>
    <t xml:space="preserve">gvbv </t>
  </si>
  <si>
    <t xml:space="preserve">wood.tex </t>
  </si>
  <si>
    <t>Forest light</t>
  </si>
  <si>
    <t xml:space="preserve">gvbw </t>
  </si>
  <si>
    <t>Light forest, account for 90% of forests</t>
  </si>
  <si>
    <t xml:space="preserve">gvbx </t>
  </si>
  <si>
    <t xml:space="preserve">gvby </t>
  </si>
  <si>
    <t xml:space="preserve">wood_d.tex </t>
  </si>
  <si>
    <t>Forest dark</t>
  </si>
  <si>
    <t>Dark forest, accounts for 10% of forests</t>
  </si>
  <si>
    <t xml:space="preserve">gvda </t>
  </si>
  <si>
    <t xml:space="preserve">wpcltr.tex </t>
  </si>
  <si>
    <t>Crater 2</t>
  </si>
  <si>
    <t xml:space="preserve">gwaa </t>
  </si>
  <si>
    <t>Gorkii: Battle Skeleton</t>
  </si>
  <si>
    <t>Valron clone 1 (fnaa)</t>
  </si>
  <si>
    <t xml:space="preserve">gwab </t>
  </si>
  <si>
    <t xml:space="preserve">wpcltr2.tex </t>
  </si>
  <si>
    <t>Crater 1</t>
  </si>
  <si>
    <t>Gorkii: Unidentified Part</t>
  </si>
  <si>
    <t xml:space="preserve">gwam </t>
  </si>
  <si>
    <t xml:space="preserve">wtrk.tex </t>
  </si>
  <si>
    <t>Chocobo tracks on dirt</t>
  </si>
  <si>
    <t xml:space="preserve">wzs1.tex </t>
  </si>
  <si>
    <t>Beach 1 Dark</t>
  </si>
  <si>
    <t xml:space="preserve">gwan </t>
  </si>
  <si>
    <t xml:space="preserve">wzs2.tex </t>
  </si>
  <si>
    <t>Beach 2 Dark</t>
  </si>
  <si>
    <t xml:space="preserve">gwao </t>
  </si>
  <si>
    <t xml:space="preserve">wzs3.tex </t>
  </si>
  <si>
    <t>Beach 3 Dark</t>
  </si>
  <si>
    <t xml:space="preserve">gwap </t>
  </si>
  <si>
    <t xml:space="preserve">wzs4.tex </t>
  </si>
  <si>
    <t>Beach 4 Dark</t>
  </si>
  <si>
    <t xml:space="preserve">gwaq </t>
  </si>
  <si>
    <t xml:space="preserve">wzs5.tex </t>
  </si>
  <si>
    <t>Beach 5 Dark</t>
  </si>
  <si>
    <t xml:space="preserve">gwas </t>
  </si>
  <si>
    <t xml:space="preserve">wzs6.tex </t>
  </si>
  <si>
    <t>Beach 6 Dark</t>
  </si>
  <si>
    <t xml:space="preserve">gwat </t>
  </si>
  <si>
    <t xml:space="preserve">gwau </t>
  </si>
  <si>
    <t xml:space="preserve">wzs7.tex </t>
  </si>
  <si>
    <t xml:space="preserve">gwav </t>
  </si>
  <si>
    <t>Beach 7 Dark</t>
  </si>
  <si>
    <t xml:space="preserve">gwax </t>
  </si>
  <si>
    <t xml:space="preserve">wzs8.tex </t>
  </si>
  <si>
    <t>Beach 8 Dark</t>
  </si>
  <si>
    <t xml:space="preserve">gway </t>
  </si>
  <si>
    <t xml:space="preserve">wzshr.tex </t>
  </si>
  <si>
    <t xml:space="preserve">gwaz </t>
  </si>
  <si>
    <t xml:space="preserve">gwba </t>
  </si>
  <si>
    <t xml:space="preserve">wzshr2.tex </t>
  </si>
  <si>
    <t xml:space="preserve">gwbb </t>
  </si>
  <si>
    <t xml:space="preserve">wzshrs.tex </t>
  </si>
  <si>
    <t xml:space="preserve">gwbc </t>
  </si>
  <si>
    <t xml:space="preserve">gwbd </t>
  </si>
  <si>
    <t>Midi sound</t>
  </si>
  <si>
    <t xml:space="preserve">gwbe </t>
  </si>
  <si>
    <t xml:space="preserve">gwbh </t>
  </si>
  <si>
    <t>The Mako Cannon Fires! - Shinra Explodes</t>
  </si>
  <si>
    <t xml:space="preserve">gwbi </t>
  </si>
  <si>
    <t xml:space="preserve">gwbj </t>
  </si>
  <si>
    <t>Unused??</t>
  </si>
  <si>
    <t xml:space="preserve">gwbk </t>
  </si>
  <si>
    <t xml:space="preserve">gwbl </t>
  </si>
  <si>
    <t xml:space="preserve">gwbm </t>
  </si>
  <si>
    <t xml:space="preserve">gwbp </t>
  </si>
  <si>
    <t xml:space="preserve">gwbq </t>
  </si>
  <si>
    <t>heart.mid</t>
  </si>
  <si>
    <t xml:space="preserve">gwbr </t>
  </si>
  <si>
    <t xml:space="preserve">gwbs </t>
  </si>
  <si>
    <t xml:space="preserve">gwbt </t>
  </si>
  <si>
    <t xml:space="preserve">gwbu </t>
  </si>
  <si>
    <t xml:space="preserve">gwda </t>
  </si>
  <si>
    <t xml:space="preserve">gxaa </t>
  </si>
  <si>
    <t>Shake: Battle Skeleton</t>
  </si>
  <si>
    <t>Those Chosen by The Planet (no intro version)</t>
  </si>
  <si>
    <t>Skeeskee clone 1 (ezaa)</t>
  </si>
  <si>
    <t xml:space="preserve">gxab </t>
  </si>
  <si>
    <t>Shake: Unidentified Part</t>
  </si>
  <si>
    <t xml:space="preserve">gxac </t>
  </si>
  <si>
    <t>Shake: Texture</t>
  </si>
  <si>
    <t>Continue</t>
  </si>
  <si>
    <t xml:space="preserve">gxam </t>
  </si>
  <si>
    <t xml:space="preserve">gxan </t>
  </si>
  <si>
    <t>The Mako Cannon Fires! - Shinra Explodes (short version)</t>
  </si>
  <si>
    <t xml:space="preserve">gxaq </t>
  </si>
  <si>
    <t xml:space="preserve">gxas </t>
  </si>
  <si>
    <t>sato.mid</t>
  </si>
  <si>
    <t>sensui.mid</t>
  </si>
  <si>
    <t xml:space="preserve">gxau </t>
  </si>
  <si>
    <t>The Mako Cannon Fires! - Shinra Explodes (Short Version 2)</t>
  </si>
  <si>
    <t xml:space="preserve">gxav </t>
  </si>
  <si>
    <t xml:space="preserve">gxax </t>
  </si>
  <si>
    <t>Life Stream</t>
  </si>
  <si>
    <t xml:space="preserve">gxay </t>
  </si>
  <si>
    <t>On That Day, 5 Years Ago</t>
  </si>
  <si>
    <t xml:space="preserve">gxba </t>
  </si>
  <si>
    <t>wind.mid</t>
  </si>
  <si>
    <t xml:space="preserve">gxbb </t>
  </si>
  <si>
    <t xml:space="preserve">gxbd </t>
  </si>
  <si>
    <t>YMG.LGP</t>
  </si>
  <si>
    <t xml:space="preserve">gxbf </t>
  </si>
  <si>
    <t xml:space="preserve">gxbh </t>
  </si>
  <si>
    <t xml:space="preserve">gxbi </t>
  </si>
  <si>
    <t xml:space="preserve">gxbk </t>
  </si>
  <si>
    <t xml:space="preserve">gxbl </t>
  </si>
  <si>
    <t xml:space="preserve">gxbn </t>
  </si>
  <si>
    <t xml:space="preserve">gxbp </t>
  </si>
  <si>
    <t xml:space="preserve">gxbq </t>
  </si>
  <si>
    <t xml:space="preserve">gxbs </t>
  </si>
  <si>
    <t xml:space="preserve">gxbt </t>
  </si>
  <si>
    <t xml:space="preserve">gxbv </t>
  </si>
  <si>
    <t xml:space="preserve">gxbw </t>
  </si>
  <si>
    <t xml:space="preserve">gxbx </t>
  </si>
  <si>
    <t xml:space="preserve">gxby </t>
  </si>
  <si>
    <t xml:space="preserve">gxbz </t>
  </si>
  <si>
    <t xml:space="preserve">gxda </t>
  </si>
  <si>
    <t xml:space="preserve">gyaa </t>
  </si>
  <si>
    <t>Chekhov: Battle Skeleton</t>
  </si>
  <si>
    <t>Vargid Police clone 2 (ckaa)</t>
  </si>
  <si>
    <t xml:space="preserve">gyab </t>
  </si>
  <si>
    <t>Chekhov: Unidentified Part</t>
  </si>
  <si>
    <t xml:space="preserve">gyam </t>
  </si>
  <si>
    <t xml:space="preserve">gyan </t>
  </si>
  <si>
    <t xml:space="preserve">gyao </t>
  </si>
  <si>
    <t xml:space="preserve">gyaq </t>
  </si>
  <si>
    <t xml:space="preserve">gyar </t>
  </si>
  <si>
    <t xml:space="preserve">gyat </t>
  </si>
  <si>
    <t xml:space="preserve">gyau </t>
  </si>
  <si>
    <t xml:space="preserve">gyaw </t>
  </si>
  <si>
    <t xml:space="preserve">gyax </t>
  </si>
  <si>
    <t xml:space="preserve">gyay </t>
  </si>
  <si>
    <t xml:space="preserve">gyaz </t>
  </si>
  <si>
    <t xml:space="preserve">gybb </t>
  </si>
  <si>
    <t xml:space="preserve">gybc </t>
  </si>
  <si>
    <t xml:space="preserve">gybd </t>
  </si>
  <si>
    <t xml:space="preserve">gybe </t>
  </si>
  <si>
    <t xml:space="preserve">gybg </t>
  </si>
  <si>
    <t xml:space="preserve">gybh </t>
  </si>
  <si>
    <t xml:space="preserve">gybi </t>
  </si>
  <si>
    <t xml:space="preserve">gybj </t>
  </si>
  <si>
    <t xml:space="preserve">gybl </t>
  </si>
  <si>
    <t xml:space="preserve">gybm </t>
  </si>
  <si>
    <t xml:space="preserve">gybn </t>
  </si>
  <si>
    <t xml:space="preserve">gybo </t>
  </si>
  <si>
    <t xml:space="preserve">gybp </t>
  </si>
  <si>
    <t xml:space="preserve">gybq </t>
  </si>
  <si>
    <t xml:space="preserve">gybr </t>
  </si>
  <si>
    <t xml:space="preserve">gyda </t>
  </si>
  <si>
    <t xml:space="preserve">gzaa </t>
  </si>
  <si>
    <t>Staniv: Battle Skeleton</t>
  </si>
  <si>
    <t>Madouge clone 2 (deaa)</t>
  </si>
  <si>
    <t xml:space="preserve">gzab </t>
  </si>
  <si>
    <t>Staniv: Unidentified Part</t>
  </si>
  <si>
    <t xml:space="preserve">gzam </t>
  </si>
  <si>
    <t xml:space="preserve">gzan </t>
  </si>
  <si>
    <t xml:space="preserve">gzaq </t>
  </si>
  <si>
    <t xml:space="preserve">gzar </t>
  </si>
  <si>
    <t xml:space="preserve">gzas </t>
  </si>
  <si>
    <t xml:space="preserve">gzau </t>
  </si>
  <si>
    <t xml:space="preserve">gzav </t>
  </si>
  <si>
    <t xml:space="preserve">gzax </t>
  </si>
  <si>
    <t xml:space="preserve">gzay </t>
  </si>
  <si>
    <t xml:space="preserve">gzba </t>
  </si>
  <si>
    <t xml:space="preserve">gzbb </t>
  </si>
  <si>
    <t xml:space="preserve">gzbd </t>
  </si>
  <si>
    <t xml:space="preserve">gzbe </t>
  </si>
  <si>
    <t xml:space="preserve">gzbh </t>
  </si>
  <si>
    <t xml:space="preserve">gzbi </t>
  </si>
  <si>
    <t xml:space="preserve">gzbj </t>
  </si>
  <si>
    <t xml:space="preserve">gzbk </t>
  </si>
  <si>
    <t xml:space="preserve">gzbl </t>
  </si>
  <si>
    <t xml:space="preserve">gzbm </t>
  </si>
  <si>
    <t xml:space="preserve">gzbn </t>
  </si>
  <si>
    <t xml:space="preserve">gzbp </t>
  </si>
  <si>
    <t xml:space="preserve">gzbq </t>
  </si>
  <si>
    <t xml:space="preserve">gzbr </t>
  </si>
  <si>
    <t xml:space="preserve">gzbt </t>
  </si>
  <si>
    <t xml:space="preserve">gzbu </t>
  </si>
  <si>
    <t xml:space="preserve">gzbv </t>
  </si>
  <si>
    <t xml:space="preserve">gzda </t>
  </si>
  <si>
    <t xml:space="preserve">haaa </t>
  </si>
  <si>
    <t>Godo: Battle Skeleton</t>
  </si>
  <si>
    <t xml:space="preserve">haab </t>
  </si>
  <si>
    <t>Godo: Unidentified Part</t>
  </si>
  <si>
    <t xml:space="preserve">haac </t>
  </si>
  <si>
    <t>Godo: Texture</t>
  </si>
  <si>
    <t xml:space="preserve">haad </t>
  </si>
  <si>
    <t xml:space="preserve">haae </t>
  </si>
  <si>
    <t xml:space="preserve">haam </t>
  </si>
  <si>
    <t xml:space="preserve">haan </t>
  </si>
  <si>
    <t xml:space="preserve">haap </t>
  </si>
  <si>
    <t xml:space="preserve">haar </t>
  </si>
  <si>
    <t xml:space="preserve">haas </t>
  </si>
  <si>
    <t xml:space="preserve">haat </t>
  </si>
  <si>
    <t xml:space="preserve">haav </t>
  </si>
  <si>
    <t xml:space="preserve">haaw </t>
  </si>
  <si>
    <t xml:space="preserve">haax </t>
  </si>
  <si>
    <t>haba</t>
  </si>
  <si>
    <t>habb</t>
  </si>
  <si>
    <t>habc</t>
  </si>
  <si>
    <t>habd</t>
  </si>
  <si>
    <t>habe</t>
  </si>
  <si>
    <t>habf</t>
  </si>
  <si>
    <t>habh</t>
  </si>
  <si>
    <t>habi</t>
  </si>
  <si>
    <t>habj</t>
  </si>
  <si>
    <t>habl</t>
  </si>
  <si>
    <t>habm</t>
  </si>
  <si>
    <t>habo</t>
  </si>
  <si>
    <t>habp</t>
  </si>
  <si>
    <t>habq</t>
  </si>
  <si>
    <t>habs</t>
  </si>
  <si>
    <t>habt</t>
  </si>
  <si>
    <t>habu</t>
  </si>
  <si>
    <t>habw</t>
  </si>
  <si>
    <t>hada</t>
  </si>
  <si>
    <t xml:space="preserve">hbaa </t>
  </si>
  <si>
    <t>Toxic Frog: Battle Skeleton</t>
  </si>
  <si>
    <t>Touch me clone 1 (epaa)</t>
  </si>
  <si>
    <t xml:space="preserve">hbab </t>
  </si>
  <si>
    <t>Toxic Frog: Unidentified Part</t>
  </si>
  <si>
    <t xml:space="preserve">hban </t>
  </si>
  <si>
    <t xml:space="preserve">hbao </t>
  </si>
  <si>
    <t xml:space="preserve">hbar </t>
  </si>
  <si>
    <t xml:space="preserve">hbas </t>
  </si>
  <si>
    <t xml:space="preserve">hbat </t>
  </si>
  <si>
    <t xml:space="preserve">hbaw </t>
  </si>
  <si>
    <t xml:space="preserve">hbax </t>
  </si>
  <si>
    <t xml:space="preserve">hbay </t>
  </si>
  <si>
    <t xml:space="preserve">hbba </t>
  </si>
  <si>
    <t xml:space="preserve">hbbb </t>
  </si>
  <si>
    <t xml:space="preserve">hbbc </t>
  </si>
  <si>
    <t xml:space="preserve">hbbe </t>
  </si>
  <si>
    <t xml:space="preserve">hbbf </t>
  </si>
  <si>
    <t xml:space="preserve">hbbg </t>
  </si>
  <si>
    <t xml:space="preserve">hbda </t>
  </si>
  <si>
    <t xml:space="preserve">hcaa </t>
  </si>
  <si>
    <t>Touch me clone 2 (epaa)</t>
  </si>
  <si>
    <t xml:space="preserve">hcab </t>
  </si>
  <si>
    <t xml:space="preserve">hcan </t>
  </si>
  <si>
    <t xml:space="preserve">hcao </t>
  </si>
  <si>
    <t xml:space="preserve">hcar </t>
  </si>
  <si>
    <t xml:space="preserve">hcas </t>
  </si>
  <si>
    <t xml:space="preserve">hcat </t>
  </si>
  <si>
    <t xml:space="preserve">hcaw </t>
  </si>
  <si>
    <t xml:space="preserve">hcax </t>
  </si>
  <si>
    <t xml:space="preserve">hcay </t>
  </si>
  <si>
    <t xml:space="preserve">hcba </t>
  </si>
  <si>
    <t xml:space="preserve">hcbb </t>
  </si>
  <si>
    <t xml:space="preserve">hcbc </t>
  </si>
  <si>
    <t xml:space="preserve">hcbe </t>
  </si>
  <si>
    <t xml:space="preserve">hcbf </t>
  </si>
  <si>
    <t xml:space="preserve">hcbg </t>
  </si>
  <si>
    <t xml:space="preserve">hcda </t>
  </si>
  <si>
    <t xml:space="preserve">hdaa </t>
  </si>
  <si>
    <t>Under Lizard: Battle Skeleton</t>
  </si>
  <si>
    <t>Gagighandi clone 1 (eoaa)</t>
  </si>
  <si>
    <t xml:space="preserve">hdab </t>
  </si>
  <si>
    <t>Under Lizard: Unidentified Part</t>
  </si>
  <si>
    <t xml:space="preserve">hdam </t>
  </si>
  <si>
    <t xml:space="preserve">hdan </t>
  </si>
  <si>
    <t xml:space="preserve">hdao </t>
  </si>
  <si>
    <t xml:space="preserve">hdap </t>
  </si>
  <si>
    <t xml:space="preserve">hdaq </t>
  </si>
  <si>
    <t xml:space="preserve">hdas </t>
  </si>
  <si>
    <t xml:space="preserve">hdav </t>
  </si>
  <si>
    <t xml:space="preserve">hdbb </t>
  </si>
  <si>
    <t xml:space="preserve">hdbc </t>
  </si>
  <si>
    <t xml:space="preserve">hdbd </t>
  </si>
  <si>
    <t xml:space="preserve">hdbg </t>
  </si>
  <si>
    <t xml:space="preserve">hdbh </t>
  </si>
  <si>
    <t xml:space="preserve">hdbi </t>
  </si>
  <si>
    <t xml:space="preserve">hdbj </t>
  </si>
  <si>
    <t xml:space="preserve">hdbm </t>
  </si>
  <si>
    <t xml:space="preserve">hdbn </t>
  </si>
  <si>
    <t xml:space="preserve">hdbo </t>
  </si>
  <si>
    <t xml:space="preserve">hdbp </t>
  </si>
  <si>
    <t xml:space="preserve">hdbs </t>
  </si>
  <si>
    <t xml:space="preserve">hdbt </t>
  </si>
  <si>
    <t xml:space="preserve">hdbu </t>
  </si>
  <si>
    <t xml:space="preserve">hdbv </t>
  </si>
  <si>
    <t xml:space="preserve">hdbw </t>
  </si>
  <si>
    <t xml:space="preserve">hdbx </t>
  </si>
  <si>
    <t xml:space="preserve">hdby </t>
  </si>
  <si>
    <t xml:space="preserve">hdbz </t>
  </si>
  <si>
    <t xml:space="preserve">hdda </t>
  </si>
  <si>
    <t xml:space="preserve">heaa </t>
  </si>
  <si>
    <t>544 Bytes</t>
  </si>
  <si>
    <t>Kelzmelzer: Battle Skeleton</t>
  </si>
  <si>
    <t xml:space="preserve">heab </t>
  </si>
  <si>
    <t>Kelzmelzer: Unidentified Part</t>
  </si>
  <si>
    <t xml:space="preserve">heam </t>
  </si>
  <si>
    <t xml:space="preserve">hean </t>
  </si>
  <si>
    <t xml:space="preserve">heao </t>
  </si>
  <si>
    <t xml:space="preserve">heap </t>
  </si>
  <si>
    <t xml:space="preserve">heas </t>
  </si>
  <si>
    <t xml:space="preserve">heau </t>
  </si>
  <si>
    <t xml:space="preserve">heaw </t>
  </si>
  <si>
    <t xml:space="preserve">heax </t>
  </si>
  <si>
    <t xml:space="preserve">heaz </t>
  </si>
  <si>
    <t xml:space="preserve">heba </t>
  </si>
  <si>
    <t xml:space="preserve">hebc </t>
  </si>
  <si>
    <t xml:space="preserve">hebd </t>
  </si>
  <si>
    <t xml:space="preserve">hebf </t>
  </si>
  <si>
    <t xml:space="preserve">hebg </t>
  </si>
  <si>
    <t xml:space="preserve">hebi </t>
  </si>
  <si>
    <t xml:space="preserve">hebj </t>
  </si>
  <si>
    <t xml:space="preserve">hebl </t>
  </si>
  <si>
    <t xml:space="preserve">hebm </t>
  </si>
  <si>
    <t xml:space="preserve">hebo </t>
  </si>
  <si>
    <t xml:space="preserve">hebp </t>
  </si>
  <si>
    <t xml:space="preserve">hebr </t>
  </si>
  <si>
    <t xml:space="preserve">hebs </t>
  </si>
  <si>
    <t xml:space="preserve">hebt </t>
  </si>
  <si>
    <t xml:space="preserve">hebu </t>
  </si>
  <si>
    <t xml:space="preserve">hebw </t>
  </si>
  <si>
    <t xml:space="preserve">hebx </t>
  </si>
  <si>
    <t xml:space="preserve">hebz </t>
  </si>
  <si>
    <t xml:space="preserve">heca </t>
  </si>
  <si>
    <t xml:space="preserve">heda </t>
  </si>
  <si>
    <t xml:space="preserve">hfaa </t>
  </si>
  <si>
    <t>Dual Horn: Battle Skeleton</t>
  </si>
  <si>
    <t xml:space="preserve">hfab </t>
  </si>
  <si>
    <t>Dual Horn: Unidentified Part</t>
  </si>
  <si>
    <t xml:space="preserve">hfam </t>
  </si>
  <si>
    <t xml:space="preserve">hfan </t>
  </si>
  <si>
    <t xml:space="preserve">hfao </t>
  </si>
  <si>
    <t xml:space="preserve">hfaq </t>
  </si>
  <si>
    <t xml:space="preserve">hfar </t>
  </si>
  <si>
    <t xml:space="preserve">hfas </t>
  </si>
  <si>
    <t xml:space="preserve">hfau </t>
  </si>
  <si>
    <t xml:space="preserve">hfaw </t>
  </si>
  <si>
    <t xml:space="preserve">hfax </t>
  </si>
  <si>
    <t xml:space="preserve">hfay </t>
  </si>
  <si>
    <t xml:space="preserve">hfba </t>
  </si>
  <si>
    <t xml:space="preserve">hfbb </t>
  </si>
  <si>
    <t xml:space="preserve">hfbc </t>
  </si>
  <si>
    <t xml:space="preserve">hfbe </t>
  </si>
  <si>
    <t xml:space="preserve">hfbf </t>
  </si>
  <si>
    <t xml:space="preserve">hfbg </t>
  </si>
  <si>
    <t xml:space="preserve">hfda </t>
  </si>
  <si>
    <t xml:space="preserve">hgaa </t>
  </si>
  <si>
    <t>Tonadu: Battle Skeleton</t>
  </si>
  <si>
    <t>Zuu clone 1 (geaa)</t>
  </si>
  <si>
    <t xml:space="preserve">hgab </t>
  </si>
  <si>
    <t>Tonadu: Unidentified Part</t>
  </si>
  <si>
    <t xml:space="preserve">hgam </t>
  </si>
  <si>
    <t xml:space="preserve">hgan </t>
  </si>
  <si>
    <t xml:space="preserve">hgao </t>
  </si>
  <si>
    <t xml:space="preserve">hgap </t>
  </si>
  <si>
    <t xml:space="preserve">hgaq </t>
  </si>
  <si>
    <t xml:space="preserve">hgar </t>
  </si>
  <si>
    <t xml:space="preserve">hgat </t>
  </si>
  <si>
    <t xml:space="preserve">hgau </t>
  </si>
  <si>
    <t xml:space="preserve">hgaw </t>
  </si>
  <si>
    <t xml:space="preserve">hgax </t>
  </si>
  <si>
    <t xml:space="preserve">hgaz </t>
  </si>
  <si>
    <t xml:space="preserve">hgba </t>
  </si>
  <si>
    <t xml:space="preserve">hgbb </t>
  </si>
  <si>
    <t xml:space="preserve">hgbd </t>
  </si>
  <si>
    <t xml:space="preserve">hgbf </t>
  </si>
  <si>
    <t xml:space="preserve">hgbg </t>
  </si>
  <si>
    <t xml:space="preserve">hgbi </t>
  </si>
  <si>
    <t xml:space="preserve">hgbj </t>
  </si>
  <si>
    <t xml:space="preserve">hgbk </t>
  </si>
  <si>
    <t xml:space="preserve">hgbm </t>
  </si>
  <si>
    <t xml:space="preserve">hgbo </t>
  </si>
  <si>
    <t xml:space="preserve">hgbp </t>
  </si>
  <si>
    <t xml:space="preserve">hgbr </t>
  </si>
  <si>
    <t xml:space="preserve">hgbs </t>
  </si>
  <si>
    <t xml:space="preserve">hgbt </t>
  </si>
  <si>
    <t xml:space="preserve">hgbv </t>
  </si>
  <si>
    <t xml:space="preserve">hgbw </t>
  </si>
  <si>
    <t xml:space="preserve">hgby </t>
  </si>
  <si>
    <t xml:space="preserve">hgbz </t>
  </si>
  <si>
    <t xml:space="preserve">hgda </t>
  </si>
  <si>
    <t xml:space="preserve">hhaa </t>
  </si>
  <si>
    <t>Touch me clone 3 (epaa)</t>
  </si>
  <si>
    <t xml:space="preserve">hhab </t>
  </si>
  <si>
    <t xml:space="preserve">hhan </t>
  </si>
  <si>
    <t xml:space="preserve">hhao </t>
  </si>
  <si>
    <t xml:space="preserve">hhar </t>
  </si>
  <si>
    <t xml:space="preserve">hhas </t>
  </si>
  <si>
    <t xml:space="preserve">hhat </t>
  </si>
  <si>
    <t xml:space="preserve">hhaw </t>
  </si>
  <si>
    <t xml:space="preserve">hhax </t>
  </si>
  <si>
    <t xml:space="preserve">hhay </t>
  </si>
  <si>
    <t xml:space="preserve">hhba </t>
  </si>
  <si>
    <t xml:space="preserve">hhbb </t>
  </si>
  <si>
    <t xml:space="preserve">hhbc </t>
  </si>
  <si>
    <t xml:space="preserve">hhbe </t>
  </si>
  <si>
    <t xml:space="preserve">hhbf </t>
  </si>
  <si>
    <t xml:space="preserve">hhbg </t>
  </si>
  <si>
    <t xml:space="preserve">hhda </t>
  </si>
  <si>
    <t xml:space="preserve">hiaa </t>
  </si>
  <si>
    <t>Jemnezmy: Battle Skeleton</t>
  </si>
  <si>
    <t xml:space="preserve">hiab </t>
  </si>
  <si>
    <t>Jemnezmy: Unidentified Part</t>
  </si>
  <si>
    <t xml:space="preserve">hiac </t>
  </si>
  <si>
    <t>Jemnezmy: Mouth</t>
  </si>
  <si>
    <t xml:space="preserve">hiad </t>
  </si>
  <si>
    <t>Jemnezmy: Eye</t>
  </si>
  <si>
    <t xml:space="preserve">hiae </t>
  </si>
  <si>
    <t>Jemnezmy: Eyebrow</t>
  </si>
  <si>
    <t xml:space="preserve">hiam </t>
  </si>
  <si>
    <t>Jemnezmy: Upper Chest</t>
  </si>
  <si>
    <t xml:space="preserve">hian </t>
  </si>
  <si>
    <t>Jemnezmy: Head</t>
  </si>
  <si>
    <t xml:space="preserve">hiar </t>
  </si>
  <si>
    <t>Jemnezmy: Hair 1</t>
  </si>
  <si>
    <t xml:space="preserve">hias </t>
  </si>
  <si>
    <t>Jemnezmy: Hair 2</t>
  </si>
  <si>
    <t xml:space="preserve">hiat </t>
  </si>
  <si>
    <t>Jemnezmy: Hair 3</t>
  </si>
  <si>
    <t xml:space="preserve">hiau </t>
  </si>
  <si>
    <t>Jemnezmy: Hair 4</t>
  </si>
  <si>
    <t xml:space="preserve">hiav </t>
  </si>
  <si>
    <t>Jemnezmy: Hair 5</t>
  </si>
  <si>
    <t xml:space="preserve">hiaw </t>
  </si>
  <si>
    <t>Jemnezmy: Hair 6</t>
  </si>
  <si>
    <t xml:space="preserve">hiax </t>
  </si>
  <si>
    <t>Jemnezmy: Hair 7</t>
  </si>
  <si>
    <t xml:space="preserve">hiaz </t>
  </si>
  <si>
    <t>Jemnezmy: Hair 8</t>
  </si>
  <si>
    <t xml:space="preserve">hiba </t>
  </si>
  <si>
    <t>Jemnezmy: Hair 9</t>
  </si>
  <si>
    <t xml:space="preserve">hibb </t>
  </si>
  <si>
    <t>Jemnezmy: Hair 10</t>
  </si>
  <si>
    <t xml:space="preserve">hibc </t>
  </si>
  <si>
    <t>Jemnezmy: Hair 11</t>
  </si>
  <si>
    <t xml:space="preserve">hibd </t>
  </si>
  <si>
    <t>Jemnezmy: Hair 12</t>
  </si>
  <si>
    <t xml:space="preserve">hibe </t>
  </si>
  <si>
    <t>Jemnezmy: Hair 13</t>
  </si>
  <si>
    <t xml:space="preserve">hibg </t>
  </si>
  <si>
    <t>Jemnezmy: Hair 14</t>
  </si>
  <si>
    <t xml:space="preserve">hibh </t>
  </si>
  <si>
    <t>Jemnezmy: Hair 15</t>
  </si>
  <si>
    <t xml:space="preserve">hibi </t>
  </si>
  <si>
    <t>Jemnezmy: Hair 16</t>
  </si>
  <si>
    <t xml:space="preserve">hibj </t>
  </si>
  <si>
    <t>Jemnezmy: Hair 17</t>
  </si>
  <si>
    <t xml:space="preserve">hibk </t>
  </si>
  <si>
    <t>Jemnezmy: Hair 18</t>
  </si>
  <si>
    <t xml:space="preserve">hibl </t>
  </si>
  <si>
    <t>Jemnezmy: Hair 19</t>
  </si>
  <si>
    <t xml:space="preserve">hibm </t>
  </si>
  <si>
    <t>Jemnezmy: Lower Chest</t>
  </si>
  <si>
    <t xml:space="preserve">hibo </t>
  </si>
  <si>
    <t xml:space="preserve">hibp </t>
  </si>
  <si>
    <t xml:space="preserve">hibq </t>
  </si>
  <si>
    <t xml:space="preserve">hibs </t>
  </si>
  <si>
    <t xml:space="preserve">hibt </t>
  </si>
  <si>
    <t xml:space="preserve">hibu </t>
  </si>
  <si>
    <t xml:space="preserve">hibx </t>
  </si>
  <si>
    <t xml:space="preserve">hiby </t>
  </si>
  <si>
    <t xml:space="preserve">hibz </t>
  </si>
  <si>
    <t xml:space="preserve">Jemnezmy: Right Hand </t>
  </si>
  <si>
    <t xml:space="preserve">hicc </t>
  </si>
  <si>
    <t xml:space="preserve">hicd </t>
  </si>
  <si>
    <t xml:space="preserve">hice </t>
  </si>
  <si>
    <t>Jemnezmy: Left Hand</t>
  </si>
  <si>
    <t xml:space="preserve">hida </t>
  </si>
  <si>
    <t xml:space="preserve">hjaa </t>
  </si>
  <si>
    <t>Doorbull: Battle Skeleton</t>
  </si>
  <si>
    <t xml:space="preserve">hjab </t>
  </si>
  <si>
    <t>Doorbull: Unidentified Part</t>
  </si>
  <si>
    <t xml:space="preserve">hjam </t>
  </si>
  <si>
    <t xml:space="preserve">hjan </t>
  </si>
  <si>
    <t xml:space="preserve">hjao </t>
  </si>
  <si>
    <t xml:space="preserve">hjap </t>
  </si>
  <si>
    <t>940 Bytes</t>
  </si>
  <si>
    <t xml:space="preserve">hjaq </t>
  </si>
  <si>
    <t xml:space="preserve">hjar </t>
  </si>
  <si>
    <t xml:space="preserve">hjat </t>
  </si>
  <si>
    <t xml:space="preserve">hjau </t>
  </si>
  <si>
    <t xml:space="preserve">hjav </t>
  </si>
  <si>
    <t xml:space="preserve">hjax </t>
  </si>
  <si>
    <t xml:space="preserve">hjay </t>
  </si>
  <si>
    <t xml:space="preserve">hjaz </t>
  </si>
  <si>
    <t xml:space="preserve">hjba </t>
  </si>
  <si>
    <t xml:space="preserve">hjbb </t>
  </si>
  <si>
    <t xml:space="preserve">hjbc </t>
  </si>
  <si>
    <t xml:space="preserve">hjbd </t>
  </si>
  <si>
    <t xml:space="preserve">hjbe </t>
  </si>
  <si>
    <t xml:space="preserve">hjbg </t>
  </si>
  <si>
    <t xml:space="preserve">hjbh </t>
  </si>
  <si>
    <t xml:space="preserve">hjbi </t>
  </si>
  <si>
    <t xml:space="preserve">hjbk </t>
  </si>
  <si>
    <t xml:space="preserve">hjbl </t>
  </si>
  <si>
    <t xml:space="preserve">hjbm </t>
  </si>
  <si>
    <t xml:space="preserve">hjbo </t>
  </si>
  <si>
    <t xml:space="preserve">hjbp </t>
  </si>
  <si>
    <t xml:space="preserve">hjbr </t>
  </si>
  <si>
    <t xml:space="preserve">hjbs </t>
  </si>
  <si>
    <t xml:space="preserve">hjbt </t>
  </si>
  <si>
    <t xml:space="preserve">hjbu </t>
  </si>
  <si>
    <t xml:space="preserve">hjbw </t>
  </si>
  <si>
    <t xml:space="preserve">hjbx </t>
  </si>
  <si>
    <t xml:space="preserve">hjby </t>
  </si>
  <si>
    <t xml:space="preserve">hjbz </t>
  </si>
  <si>
    <t xml:space="preserve">hjda </t>
  </si>
  <si>
    <t xml:space="preserve">hkaa </t>
  </si>
  <si>
    <t>Ancient Dragon: Battle Skeleton</t>
  </si>
  <si>
    <t>Ark Dragon clone 1 (dgaa)</t>
  </si>
  <si>
    <t xml:space="preserve">hkab </t>
  </si>
  <si>
    <t>Ancient Dragon: Unidentified Part</t>
  </si>
  <si>
    <t xml:space="preserve">hkam </t>
  </si>
  <si>
    <t xml:space="preserve">hkan </t>
  </si>
  <si>
    <t xml:space="preserve">hkao </t>
  </si>
  <si>
    <t xml:space="preserve">hkap </t>
  </si>
  <si>
    <t xml:space="preserve">hkar </t>
  </si>
  <si>
    <t xml:space="preserve">hkat </t>
  </si>
  <si>
    <t xml:space="preserve">hkau </t>
  </si>
  <si>
    <t xml:space="preserve">hkav </t>
  </si>
  <si>
    <t xml:space="preserve">hkax </t>
  </si>
  <si>
    <t xml:space="preserve">hkay </t>
  </si>
  <si>
    <t xml:space="preserve">hkaz </t>
  </si>
  <si>
    <t xml:space="preserve">hkbb </t>
  </si>
  <si>
    <t xml:space="preserve">hkbd </t>
  </si>
  <si>
    <t xml:space="preserve">hkbf </t>
  </si>
  <si>
    <t xml:space="preserve">hkbh </t>
  </si>
  <si>
    <t xml:space="preserve">hkbj </t>
  </si>
  <si>
    <t xml:space="preserve">hkbk </t>
  </si>
  <si>
    <t xml:space="preserve">hkbl </t>
  </si>
  <si>
    <t xml:space="preserve">hkbn </t>
  </si>
  <si>
    <t xml:space="preserve">hkbo </t>
  </si>
  <si>
    <t xml:space="preserve">hkbp </t>
  </si>
  <si>
    <t xml:space="preserve">hkbq </t>
  </si>
  <si>
    <t xml:space="preserve">hkbr </t>
  </si>
  <si>
    <t xml:space="preserve">hkbs </t>
  </si>
  <si>
    <t xml:space="preserve">hkbt </t>
  </si>
  <si>
    <t xml:space="preserve">hkda </t>
  </si>
  <si>
    <t xml:space="preserve">hlaa </t>
  </si>
  <si>
    <t>Red Dragon: Battle Skeleton</t>
  </si>
  <si>
    <t>Dragon clone 1 (gbaa)</t>
  </si>
  <si>
    <t xml:space="preserve">hlab </t>
  </si>
  <si>
    <t>Red Dragon: Unidentified Part</t>
  </si>
  <si>
    <t xml:space="preserve">hlam </t>
  </si>
  <si>
    <t xml:space="preserve">hlan </t>
  </si>
  <si>
    <t xml:space="preserve">hlao </t>
  </si>
  <si>
    <t xml:space="preserve">hlap </t>
  </si>
  <si>
    <t xml:space="preserve">hlaq </t>
  </si>
  <si>
    <t xml:space="preserve">hlar </t>
  </si>
  <si>
    <t xml:space="preserve">hlat </t>
  </si>
  <si>
    <t xml:space="preserve">hlau </t>
  </si>
  <si>
    <t xml:space="preserve">hlav </t>
  </si>
  <si>
    <t xml:space="preserve">hlaw </t>
  </si>
  <si>
    <t xml:space="preserve">hlay </t>
  </si>
  <si>
    <t xml:space="preserve">hlaz </t>
  </si>
  <si>
    <t xml:space="preserve">hlba </t>
  </si>
  <si>
    <t xml:space="preserve">hlbc </t>
  </si>
  <si>
    <t xml:space="preserve">hlbe </t>
  </si>
  <si>
    <t xml:space="preserve">hlbf </t>
  </si>
  <si>
    <t xml:space="preserve">hlbg </t>
  </si>
  <si>
    <t xml:space="preserve">hlbh </t>
  </si>
  <si>
    <t xml:space="preserve">hlbi </t>
  </si>
  <si>
    <t xml:space="preserve">hlbj </t>
  </si>
  <si>
    <t xml:space="preserve">hlbl </t>
  </si>
  <si>
    <t xml:space="preserve">hlbm </t>
  </si>
  <si>
    <t xml:space="preserve">hlbn </t>
  </si>
  <si>
    <t xml:space="preserve">hlbo </t>
  </si>
  <si>
    <t xml:space="preserve">hlbp </t>
  </si>
  <si>
    <t xml:space="preserve">hlbr </t>
  </si>
  <si>
    <t xml:space="preserve">hlbs </t>
  </si>
  <si>
    <t xml:space="preserve">hlbt </t>
  </si>
  <si>
    <t xml:space="preserve">hlbv </t>
  </si>
  <si>
    <t xml:space="preserve">hlbw </t>
  </si>
  <si>
    <t xml:space="preserve">hlbx </t>
  </si>
  <si>
    <t xml:space="preserve">hlda </t>
  </si>
  <si>
    <t xml:space="preserve">hmaa </t>
  </si>
  <si>
    <t>8 eye: Battle Skeleton</t>
  </si>
  <si>
    <t xml:space="preserve">hmab </t>
  </si>
  <si>
    <t>8 eye: Unidentified Part</t>
  </si>
  <si>
    <t xml:space="preserve">hmam </t>
  </si>
  <si>
    <t xml:space="preserve">hman </t>
  </si>
  <si>
    <t xml:space="preserve">hmao </t>
  </si>
  <si>
    <t xml:space="preserve">hmap </t>
  </si>
  <si>
    <t xml:space="preserve">hmav </t>
  </si>
  <si>
    <t xml:space="preserve">hmaw </t>
  </si>
  <si>
    <t xml:space="preserve">hmax </t>
  </si>
  <si>
    <t xml:space="preserve">hmay </t>
  </si>
  <si>
    <t xml:space="preserve">hmbe </t>
  </si>
  <si>
    <t xml:space="preserve">hmbk </t>
  </si>
  <si>
    <t xml:space="preserve">hmbl </t>
  </si>
  <si>
    <t xml:space="preserve">hmbm </t>
  </si>
  <si>
    <t xml:space="preserve">hmbn </t>
  </si>
  <si>
    <t xml:space="preserve">hmda </t>
  </si>
  <si>
    <t xml:space="preserve">hnaa </t>
  </si>
  <si>
    <t>Demons Gate: Battle Skeleton</t>
  </si>
  <si>
    <t xml:space="preserve">hnab </t>
  </si>
  <si>
    <t>Demons Gate: Unidentified Part</t>
  </si>
  <si>
    <t xml:space="preserve">hnam </t>
  </si>
  <si>
    <t xml:space="preserve">hnao </t>
  </si>
  <si>
    <t xml:space="preserve">hnap </t>
  </si>
  <si>
    <t xml:space="preserve">hnar </t>
  </si>
  <si>
    <t xml:space="preserve">hnas </t>
  </si>
  <si>
    <t xml:space="preserve">hnau </t>
  </si>
  <si>
    <t xml:space="preserve">hnav </t>
  </si>
  <si>
    <t xml:space="preserve">hnax </t>
  </si>
  <si>
    <t xml:space="preserve">hnay </t>
  </si>
  <si>
    <t xml:space="preserve">hnba </t>
  </si>
  <si>
    <t xml:space="preserve">hnbb </t>
  </si>
  <si>
    <t xml:space="preserve">hnbd </t>
  </si>
  <si>
    <t xml:space="preserve">hnbe </t>
  </si>
  <si>
    <t xml:space="preserve">hnbg </t>
  </si>
  <si>
    <t xml:space="preserve">hnbh </t>
  </si>
  <si>
    <t xml:space="preserve">hnbj </t>
  </si>
  <si>
    <t xml:space="preserve">hnbk </t>
  </si>
  <si>
    <t xml:space="preserve">hnbm </t>
  </si>
  <si>
    <t>42 K</t>
  </si>
  <si>
    <t xml:space="preserve">hnbo </t>
  </si>
  <si>
    <t xml:space="preserve">hnbp </t>
  </si>
  <si>
    <t xml:space="preserve">hnbq </t>
  </si>
  <si>
    <t xml:space="preserve">hnbr </t>
  </si>
  <si>
    <t xml:space="preserve">hnda </t>
  </si>
  <si>
    <t xml:space="preserve">hoaa </t>
  </si>
  <si>
    <t>Jenova LIFE: Battle Skeleton</t>
  </si>
  <si>
    <t>Jenova BIRTH clone 1 (draa)</t>
  </si>
  <si>
    <t xml:space="preserve">hoab </t>
  </si>
  <si>
    <t>Jenova LIFE: Unidentified Part</t>
  </si>
  <si>
    <t xml:space="preserve">hoam </t>
  </si>
  <si>
    <t xml:space="preserve">hoan </t>
  </si>
  <si>
    <t xml:space="preserve">hoap </t>
  </si>
  <si>
    <t xml:space="preserve">hoax </t>
  </si>
  <si>
    <t xml:space="preserve">hobb </t>
  </si>
  <si>
    <t xml:space="preserve">hobc </t>
  </si>
  <si>
    <t xml:space="preserve">hobd </t>
  </si>
  <si>
    <t xml:space="preserve">hobj </t>
  </si>
  <si>
    <t xml:space="preserve">hoda </t>
  </si>
  <si>
    <t xml:space="preserve">hpaa </t>
  </si>
  <si>
    <t>Vlakorados: Battle Skeleton</t>
  </si>
  <si>
    <t xml:space="preserve">hpab </t>
  </si>
  <si>
    <t>Vlakorados: Unidentified Part</t>
  </si>
  <si>
    <t xml:space="preserve">hpam </t>
  </si>
  <si>
    <t xml:space="preserve">hpan </t>
  </si>
  <si>
    <t xml:space="preserve">hpar </t>
  </si>
  <si>
    <t xml:space="preserve">hpas </t>
  </si>
  <si>
    <t xml:space="preserve">hpat </t>
  </si>
  <si>
    <t xml:space="preserve">hpau </t>
  </si>
  <si>
    <t xml:space="preserve">hpav </t>
  </si>
  <si>
    <t xml:space="preserve">hpaw </t>
  </si>
  <si>
    <t xml:space="preserve">hpay </t>
  </si>
  <si>
    <t xml:space="preserve">hpaz </t>
  </si>
  <si>
    <t xml:space="preserve">hpba </t>
  </si>
  <si>
    <t xml:space="preserve">hpbb </t>
  </si>
  <si>
    <t xml:space="preserve">hpbc </t>
  </si>
  <si>
    <t xml:space="preserve">hpbe </t>
  </si>
  <si>
    <t xml:space="preserve">hpbf </t>
  </si>
  <si>
    <t xml:space="preserve">hpbg </t>
  </si>
  <si>
    <t xml:space="preserve">hpbh </t>
  </si>
  <si>
    <t xml:space="preserve">hpbj </t>
  </si>
  <si>
    <t xml:space="preserve">hpbk </t>
  </si>
  <si>
    <t xml:space="preserve">hpbl </t>
  </si>
  <si>
    <t xml:space="preserve">hpbm </t>
  </si>
  <si>
    <t xml:space="preserve">hpbo </t>
  </si>
  <si>
    <t xml:space="preserve">hpbq </t>
  </si>
  <si>
    <t xml:space="preserve">hpbs </t>
  </si>
  <si>
    <t xml:space="preserve">hpbt </t>
  </si>
  <si>
    <t xml:space="preserve">hpbu </t>
  </si>
  <si>
    <t xml:space="preserve">hpbv </t>
  </si>
  <si>
    <t xml:space="preserve">hpbx </t>
  </si>
  <si>
    <t xml:space="preserve">hpbz </t>
  </si>
  <si>
    <t xml:space="preserve">hpca </t>
  </si>
  <si>
    <t xml:space="preserve">hpcb </t>
  </si>
  <si>
    <t xml:space="preserve">hpcc </t>
  </si>
  <si>
    <t xml:space="preserve">hpcd </t>
  </si>
  <si>
    <t xml:space="preserve">hpce </t>
  </si>
  <si>
    <t xml:space="preserve">hpcf </t>
  </si>
  <si>
    <t xml:space="preserve">hpcg </t>
  </si>
  <si>
    <t xml:space="preserve">hpda </t>
  </si>
  <si>
    <t xml:space="preserve">hqaa </t>
  </si>
  <si>
    <t>Trickplay: Battle Skeleton</t>
  </si>
  <si>
    <t>Mu clone 1 (czaa)</t>
  </si>
  <si>
    <t xml:space="preserve">hqab </t>
  </si>
  <si>
    <t>Trickplay: Unidentified Part</t>
  </si>
  <si>
    <t xml:space="preserve">hqac </t>
  </si>
  <si>
    <t>Trickplay: Rock Texture</t>
  </si>
  <si>
    <t xml:space="preserve">hqam </t>
  </si>
  <si>
    <t xml:space="preserve">hqat </t>
  </si>
  <si>
    <t xml:space="preserve">hqau </t>
  </si>
  <si>
    <t xml:space="preserve">hqaw </t>
  </si>
  <si>
    <t xml:space="preserve">hqay </t>
  </si>
  <si>
    <t xml:space="preserve">hqbb </t>
  </si>
  <si>
    <t xml:space="preserve">hqbc </t>
  </si>
  <si>
    <t xml:space="preserve">hqbf </t>
  </si>
  <si>
    <t xml:space="preserve">hqbg </t>
  </si>
  <si>
    <t xml:space="preserve">hqbi </t>
  </si>
  <si>
    <t xml:space="preserve">hqbj </t>
  </si>
  <si>
    <t xml:space="preserve">hqbk </t>
  </si>
  <si>
    <t xml:space="preserve">hqbl </t>
  </si>
  <si>
    <t xml:space="preserve">hqda </t>
  </si>
  <si>
    <t xml:space="preserve">hraa </t>
  </si>
  <si>
    <t>Trick Play's Attack: Battle Skeleton</t>
  </si>
  <si>
    <t>Mu (Rock only) clone 1 (daaa)</t>
  </si>
  <si>
    <t xml:space="preserve">hrab </t>
  </si>
  <si>
    <t>Trick Play's Attack: Unidentified Part</t>
  </si>
  <si>
    <t xml:space="preserve">hrac </t>
  </si>
  <si>
    <t>Trick Play's Attack: Rock Texture</t>
  </si>
  <si>
    <t xml:space="preserve">hram </t>
  </si>
  <si>
    <t xml:space="preserve">hrda </t>
  </si>
  <si>
    <t xml:space="preserve">hsaa </t>
  </si>
  <si>
    <t>Boundfat: Battle Skeleton</t>
  </si>
  <si>
    <t>Hedgehog Pie clone 1 (bcaa)</t>
  </si>
  <si>
    <t xml:space="preserve">hsab </t>
  </si>
  <si>
    <t>Boundfat: Unidentified Part</t>
  </si>
  <si>
    <t xml:space="preserve">hsan </t>
  </si>
  <si>
    <t xml:space="preserve">hsao </t>
  </si>
  <si>
    <t xml:space="preserve">hsar </t>
  </si>
  <si>
    <t xml:space="preserve">hsas </t>
  </si>
  <si>
    <t xml:space="preserve">hsat </t>
  </si>
  <si>
    <t xml:space="preserve">hsaw </t>
  </si>
  <si>
    <t xml:space="preserve">hsax </t>
  </si>
  <si>
    <t xml:space="preserve">hsay </t>
  </si>
  <si>
    <t xml:space="preserve">hsba </t>
  </si>
  <si>
    <t xml:space="preserve">hsbb </t>
  </si>
  <si>
    <t xml:space="preserve">hsbc </t>
  </si>
  <si>
    <t xml:space="preserve">hsbd </t>
  </si>
  <si>
    <t xml:space="preserve">hsbf </t>
  </si>
  <si>
    <t xml:space="preserve">hsbg </t>
  </si>
  <si>
    <t xml:space="preserve">hsbh </t>
  </si>
  <si>
    <t xml:space="preserve">hsbi </t>
  </si>
  <si>
    <t xml:space="preserve">hsda </t>
  </si>
  <si>
    <t xml:space="preserve">htaa </t>
  </si>
  <si>
    <t>Malldancer: Battle Skeleton</t>
  </si>
  <si>
    <t>Chuse Tank clone 1 (baaa)</t>
  </si>
  <si>
    <t xml:space="preserve">htab </t>
  </si>
  <si>
    <t>Malldancer: Unidentified Part</t>
  </si>
  <si>
    <t xml:space="preserve">htan </t>
  </si>
  <si>
    <t xml:space="preserve">htao </t>
  </si>
  <si>
    <t xml:space="preserve">htap </t>
  </si>
  <si>
    <t xml:space="preserve">htaq </t>
  </si>
  <si>
    <t xml:space="preserve">htar </t>
  </si>
  <si>
    <t xml:space="preserve">htas </t>
  </si>
  <si>
    <t xml:space="preserve">htat </t>
  </si>
  <si>
    <t xml:space="preserve">htda </t>
  </si>
  <si>
    <t xml:space="preserve">huaa </t>
  </si>
  <si>
    <t>Grimguard: Battle Skeleton</t>
  </si>
  <si>
    <t xml:space="preserve">huab </t>
  </si>
  <si>
    <t>Grimguard: Unidentified Part</t>
  </si>
  <si>
    <t xml:space="preserve">huac </t>
  </si>
  <si>
    <t>Grimguard: Texture</t>
  </si>
  <si>
    <t xml:space="preserve">huam </t>
  </si>
  <si>
    <t xml:space="preserve">huan </t>
  </si>
  <si>
    <t xml:space="preserve">huap </t>
  </si>
  <si>
    <t xml:space="preserve">huar </t>
  </si>
  <si>
    <t xml:space="preserve">huas </t>
  </si>
  <si>
    <t xml:space="preserve">huau </t>
  </si>
  <si>
    <t xml:space="preserve">huav </t>
  </si>
  <si>
    <t xml:space="preserve">huaw </t>
  </si>
  <si>
    <t xml:space="preserve">huay </t>
  </si>
  <si>
    <t xml:space="preserve">huaz </t>
  </si>
  <si>
    <t xml:space="preserve">huba </t>
  </si>
  <si>
    <t xml:space="preserve">hubd </t>
  </si>
  <si>
    <t xml:space="preserve">hube </t>
  </si>
  <si>
    <t xml:space="preserve">hubf </t>
  </si>
  <si>
    <t xml:space="preserve">hubg </t>
  </si>
  <si>
    <t xml:space="preserve">hubj </t>
  </si>
  <si>
    <t xml:space="preserve">hubk </t>
  </si>
  <si>
    <t xml:space="preserve">hubl </t>
  </si>
  <si>
    <t xml:space="preserve">hubm </t>
  </si>
  <si>
    <t xml:space="preserve">hubn </t>
  </si>
  <si>
    <t xml:space="preserve">huda </t>
  </si>
  <si>
    <t>9.8 K</t>
  </si>
  <si>
    <t xml:space="preserve">hvaa </t>
  </si>
  <si>
    <t>Hungry: Battle Skeleton</t>
  </si>
  <si>
    <t xml:space="preserve">hvab </t>
  </si>
  <si>
    <t>Hungry: Unidentified Part</t>
  </si>
  <si>
    <t xml:space="preserve">hvam </t>
  </si>
  <si>
    <t xml:space="preserve">hvan </t>
  </si>
  <si>
    <t xml:space="preserve">hvap </t>
  </si>
  <si>
    <t xml:space="preserve">hvaq </t>
  </si>
  <si>
    <t xml:space="preserve">hvar </t>
  </si>
  <si>
    <t xml:space="preserve">hvas </t>
  </si>
  <si>
    <t xml:space="preserve">hvat </t>
  </si>
  <si>
    <t xml:space="preserve">hvav </t>
  </si>
  <si>
    <t xml:space="preserve">hvax </t>
  </si>
  <si>
    <t xml:space="preserve">hvay </t>
  </si>
  <si>
    <t xml:space="preserve">hvba </t>
  </si>
  <si>
    <t xml:space="preserve">hvbb </t>
  </si>
  <si>
    <t xml:space="preserve">hvbd </t>
  </si>
  <si>
    <t xml:space="preserve">hvbe </t>
  </si>
  <si>
    <t xml:space="preserve">hvbf </t>
  </si>
  <si>
    <t xml:space="preserve">hvbg </t>
  </si>
  <si>
    <t xml:space="preserve">hvbi </t>
  </si>
  <si>
    <t xml:space="preserve">hvbj </t>
  </si>
  <si>
    <t xml:space="preserve">hvbk </t>
  </si>
  <si>
    <t xml:space="preserve">hvbl </t>
  </si>
  <si>
    <t xml:space="preserve">hvbn </t>
  </si>
  <si>
    <t xml:space="preserve">hvbo </t>
  </si>
  <si>
    <t xml:space="preserve">hvbq </t>
  </si>
  <si>
    <t xml:space="preserve">hvbr </t>
  </si>
  <si>
    <t xml:space="preserve">hvda </t>
  </si>
  <si>
    <t xml:space="preserve">hwaa </t>
  </si>
  <si>
    <t>Acrophies: Battle Skeleton</t>
  </si>
  <si>
    <t xml:space="preserve">hwab </t>
  </si>
  <si>
    <t>Acrophies: Unidentified Part</t>
  </si>
  <si>
    <t xml:space="preserve">hwam </t>
  </si>
  <si>
    <t xml:space="preserve">hwaq </t>
  </si>
  <si>
    <t xml:space="preserve">hwas </t>
  </si>
  <si>
    <t xml:space="preserve">hwau </t>
  </si>
  <si>
    <t xml:space="preserve">hwaw </t>
  </si>
  <si>
    <t xml:space="preserve">hway </t>
  </si>
  <si>
    <t xml:space="preserve">hwbc </t>
  </si>
  <si>
    <t xml:space="preserve">hwbd </t>
  </si>
  <si>
    <t xml:space="preserve">hwbf </t>
  </si>
  <si>
    <t xml:space="preserve">hwbh </t>
  </si>
  <si>
    <t xml:space="preserve">hwbi </t>
  </si>
  <si>
    <t xml:space="preserve">hwbj </t>
  </si>
  <si>
    <t xml:space="preserve">hwbl </t>
  </si>
  <si>
    <t xml:space="preserve">hwbn </t>
  </si>
  <si>
    <t xml:space="preserve">hwbo </t>
  </si>
  <si>
    <t xml:space="preserve">hwbp </t>
  </si>
  <si>
    <t xml:space="preserve">hwbq </t>
  </si>
  <si>
    <t xml:space="preserve">hwbr </t>
  </si>
  <si>
    <t xml:space="preserve">hwbs </t>
  </si>
  <si>
    <t xml:space="preserve">hwbt </t>
  </si>
  <si>
    <t xml:space="preserve">hwbu </t>
  </si>
  <si>
    <t xml:space="preserve">hwbv </t>
  </si>
  <si>
    <t xml:space="preserve">hwbx </t>
  </si>
  <si>
    <t xml:space="preserve">hwbz </t>
  </si>
  <si>
    <t xml:space="preserve">hwcb </t>
  </si>
  <si>
    <t xml:space="preserve">hwda </t>
  </si>
  <si>
    <t xml:space="preserve">hxaa </t>
  </si>
  <si>
    <t>Ice Golem: Battle Skeleton</t>
  </si>
  <si>
    <t>Golem clone 1 (fbaa)</t>
  </si>
  <si>
    <t xml:space="preserve">hxab </t>
  </si>
  <si>
    <t>Ice Golem: Unidentified Part</t>
  </si>
  <si>
    <t xml:space="preserve">hxac </t>
  </si>
  <si>
    <t>Ice Golem: Texture</t>
  </si>
  <si>
    <t xml:space="preserve">hxad </t>
  </si>
  <si>
    <t xml:space="preserve">hxae </t>
  </si>
  <si>
    <t xml:space="preserve">hxam </t>
  </si>
  <si>
    <t xml:space="preserve">hxan </t>
  </si>
  <si>
    <t xml:space="preserve">hxao </t>
  </si>
  <si>
    <t xml:space="preserve">hxar </t>
  </si>
  <si>
    <t xml:space="preserve">hxas </t>
  </si>
  <si>
    <t xml:space="preserve">hxat </t>
  </si>
  <si>
    <t xml:space="preserve">hxav </t>
  </si>
  <si>
    <t xml:space="preserve">hxay </t>
  </si>
  <si>
    <t xml:space="preserve">hxaz </t>
  </si>
  <si>
    <t xml:space="preserve">hxba </t>
  </si>
  <si>
    <t xml:space="preserve">hxbc </t>
  </si>
  <si>
    <t xml:space="preserve">hxbe </t>
  </si>
  <si>
    <t xml:space="preserve">hxbf </t>
  </si>
  <si>
    <t xml:space="preserve">hxbh </t>
  </si>
  <si>
    <t xml:space="preserve">hxbi </t>
  </si>
  <si>
    <t xml:space="preserve">hxbj </t>
  </si>
  <si>
    <t xml:space="preserve">hxbl </t>
  </si>
  <si>
    <t xml:space="preserve">hxbm </t>
  </si>
  <si>
    <t xml:space="preserve">hxda </t>
  </si>
  <si>
    <t xml:space="preserve">hyaa </t>
  </si>
  <si>
    <t>Shred: Battle Skeleton</t>
  </si>
  <si>
    <t xml:space="preserve">hyab </t>
  </si>
  <si>
    <t>Shred: Unidentified Part</t>
  </si>
  <si>
    <t xml:space="preserve">hyam </t>
  </si>
  <si>
    <t xml:space="preserve">hyan </t>
  </si>
  <si>
    <t xml:space="preserve">hyao </t>
  </si>
  <si>
    <t xml:space="preserve">hyap </t>
  </si>
  <si>
    <t xml:space="preserve">hyar </t>
  </si>
  <si>
    <t xml:space="preserve">hyau </t>
  </si>
  <si>
    <t xml:space="preserve">hyav </t>
  </si>
  <si>
    <t xml:space="preserve">hyaw </t>
  </si>
  <si>
    <t xml:space="preserve">hyaz </t>
  </si>
  <si>
    <t xml:space="preserve">hyba </t>
  </si>
  <si>
    <t xml:space="preserve">hybb </t>
  </si>
  <si>
    <t xml:space="preserve">hybd </t>
  </si>
  <si>
    <t xml:space="preserve">hybe </t>
  </si>
  <si>
    <t xml:space="preserve">hybg </t>
  </si>
  <si>
    <t xml:space="preserve">hybh </t>
  </si>
  <si>
    <t xml:space="preserve">hybi </t>
  </si>
  <si>
    <t xml:space="preserve">hybj </t>
  </si>
  <si>
    <t xml:space="preserve">hybk </t>
  </si>
  <si>
    <t xml:space="preserve">hybl </t>
  </si>
  <si>
    <t xml:space="preserve">hybn </t>
  </si>
  <si>
    <t xml:space="preserve">hybp </t>
  </si>
  <si>
    <t xml:space="preserve">hyda </t>
  </si>
  <si>
    <t xml:space="preserve">hzaa </t>
  </si>
  <si>
    <t>Lessaloploth: Battle Skeleton</t>
  </si>
  <si>
    <t>Rapps clone 1 (gvaa)</t>
  </si>
  <si>
    <t xml:space="preserve">hzab </t>
  </si>
  <si>
    <t>Lessaloploth: Unidentified Part</t>
  </si>
  <si>
    <t xml:space="preserve">hzam </t>
  </si>
  <si>
    <t xml:space="preserve">hzan </t>
  </si>
  <si>
    <t xml:space="preserve">hzao </t>
  </si>
  <si>
    <t xml:space="preserve">hzap </t>
  </si>
  <si>
    <t xml:space="preserve">hzaq </t>
  </si>
  <si>
    <t xml:space="preserve">hzar </t>
  </si>
  <si>
    <t xml:space="preserve">hzas </t>
  </si>
  <si>
    <t xml:space="preserve">hzau </t>
  </si>
  <si>
    <t xml:space="preserve">hzaw </t>
  </si>
  <si>
    <t xml:space="preserve">hzax </t>
  </si>
  <si>
    <t xml:space="preserve">hzaz </t>
  </si>
  <si>
    <t xml:space="preserve">hzba </t>
  </si>
  <si>
    <t xml:space="preserve">hzbc </t>
  </si>
  <si>
    <t xml:space="preserve">hzbd </t>
  </si>
  <si>
    <t xml:space="preserve">hzbf </t>
  </si>
  <si>
    <t xml:space="preserve">hzbg </t>
  </si>
  <si>
    <t xml:space="preserve">hzbh </t>
  </si>
  <si>
    <t xml:space="preserve">hzbj </t>
  </si>
  <si>
    <t xml:space="preserve">hzbk </t>
  </si>
  <si>
    <t xml:space="preserve">hzbl </t>
  </si>
  <si>
    <t xml:space="preserve">hzbn </t>
  </si>
  <si>
    <t xml:space="preserve">hzbp </t>
  </si>
  <si>
    <t xml:space="preserve">hzbq </t>
  </si>
  <si>
    <t xml:space="preserve">hzbr </t>
  </si>
  <si>
    <t xml:space="preserve">hzbt </t>
  </si>
  <si>
    <t xml:space="preserve">hzbu </t>
  </si>
  <si>
    <t xml:space="preserve">hzbv </t>
  </si>
  <si>
    <t xml:space="preserve">hzbw </t>
  </si>
  <si>
    <t xml:space="preserve">hzbx </t>
  </si>
  <si>
    <t xml:space="preserve">hzby </t>
  </si>
  <si>
    <t xml:space="preserve">hzda </t>
  </si>
  <si>
    <t xml:space="preserve">iaaa </t>
  </si>
  <si>
    <t>Frozen Nail: Battle Skeleton</t>
  </si>
  <si>
    <t>Kelzmelzer clone 1 (heaa)</t>
  </si>
  <si>
    <t xml:space="preserve">iaab </t>
  </si>
  <si>
    <t>Frozen Nail: Unidentified Part</t>
  </si>
  <si>
    <t xml:space="preserve">iaam </t>
  </si>
  <si>
    <t xml:space="preserve">iaan </t>
  </si>
  <si>
    <t xml:space="preserve">iaao </t>
  </si>
  <si>
    <t xml:space="preserve">iaap </t>
  </si>
  <si>
    <t xml:space="preserve">iaas </t>
  </si>
  <si>
    <t xml:space="preserve">iaau </t>
  </si>
  <si>
    <t xml:space="preserve">iaaw </t>
  </si>
  <si>
    <t xml:space="preserve">iaax </t>
  </si>
  <si>
    <t xml:space="preserve">iaaz </t>
  </si>
  <si>
    <t xml:space="preserve">iaba </t>
  </si>
  <si>
    <t xml:space="preserve">iabc </t>
  </si>
  <si>
    <t xml:space="preserve">iabd </t>
  </si>
  <si>
    <t xml:space="preserve">iabf </t>
  </si>
  <si>
    <t xml:space="preserve">iabg </t>
  </si>
  <si>
    <t xml:space="preserve">iabi </t>
  </si>
  <si>
    <t xml:space="preserve">iabj </t>
  </si>
  <si>
    <t xml:space="preserve">iabl </t>
  </si>
  <si>
    <t xml:space="preserve">iabm </t>
  </si>
  <si>
    <t xml:space="preserve">iabo </t>
  </si>
  <si>
    <t xml:space="preserve">iabp </t>
  </si>
  <si>
    <t xml:space="preserve">iabr </t>
  </si>
  <si>
    <t xml:space="preserve">iabs </t>
  </si>
  <si>
    <t xml:space="preserve">iabt </t>
  </si>
  <si>
    <t xml:space="preserve">iabu </t>
  </si>
  <si>
    <t xml:space="preserve">iabw </t>
  </si>
  <si>
    <t xml:space="preserve">iabx </t>
  </si>
  <si>
    <t xml:space="preserve">iabz </t>
  </si>
  <si>
    <t xml:space="preserve">iaca </t>
  </si>
  <si>
    <t xml:space="preserve">iada </t>
  </si>
  <si>
    <t xml:space="preserve">ibaa </t>
  </si>
  <si>
    <t>Jumping: Battle Skeleton</t>
  </si>
  <si>
    <t xml:space="preserve">ibab </t>
  </si>
  <si>
    <t>Jumping: Unidentified Part</t>
  </si>
  <si>
    <t xml:space="preserve">ibam </t>
  </si>
  <si>
    <t xml:space="preserve">iban </t>
  </si>
  <si>
    <t xml:space="preserve">ibap </t>
  </si>
  <si>
    <t xml:space="preserve">ibaq </t>
  </si>
  <si>
    <t xml:space="preserve">ibas </t>
  </si>
  <si>
    <t xml:space="preserve">ibat </t>
  </si>
  <si>
    <t xml:space="preserve">ibav </t>
  </si>
  <si>
    <t xml:space="preserve">ibax </t>
  </si>
  <si>
    <t xml:space="preserve">ibay </t>
  </si>
  <si>
    <t xml:space="preserve">ibaz </t>
  </si>
  <si>
    <t xml:space="preserve">ibbb </t>
  </si>
  <si>
    <t xml:space="preserve">ibbc </t>
  </si>
  <si>
    <t xml:space="preserve">ibbd </t>
  </si>
  <si>
    <t xml:space="preserve">ibbg </t>
  </si>
  <si>
    <t xml:space="preserve">ibbh </t>
  </si>
  <si>
    <t xml:space="preserve">ibbi </t>
  </si>
  <si>
    <t xml:space="preserve">ibbl </t>
  </si>
  <si>
    <t xml:space="preserve">ibbm </t>
  </si>
  <si>
    <t xml:space="preserve">ibbn </t>
  </si>
  <si>
    <t xml:space="preserve">ibbp </t>
  </si>
  <si>
    <t xml:space="preserve">ibda </t>
  </si>
  <si>
    <t xml:space="preserve">icaa </t>
  </si>
  <si>
    <t>Snow: Battle Skeleton</t>
  </si>
  <si>
    <t>Jemnezmy clone 1 (hiaa)</t>
  </si>
  <si>
    <t xml:space="preserve">icab </t>
  </si>
  <si>
    <t>Snow: Unidentified Part</t>
  </si>
  <si>
    <t xml:space="preserve">icac </t>
  </si>
  <si>
    <t>Snow: Mouth</t>
  </si>
  <si>
    <t>Mouth</t>
  </si>
  <si>
    <t xml:space="preserve">icad </t>
  </si>
  <si>
    <t>Snow: Eye</t>
  </si>
  <si>
    <t xml:space="preserve">icae </t>
  </si>
  <si>
    <t>Snow: Eyebrow</t>
  </si>
  <si>
    <t>Eyebrow</t>
  </si>
  <si>
    <t xml:space="preserve">icam </t>
  </si>
  <si>
    <t>Snow: Upper Chest</t>
  </si>
  <si>
    <t xml:space="preserve">ican </t>
  </si>
  <si>
    <t>Snow: Head</t>
  </si>
  <si>
    <t xml:space="preserve">icar </t>
  </si>
  <si>
    <t>Snow: Hair 1</t>
  </si>
  <si>
    <t xml:space="preserve">icas </t>
  </si>
  <si>
    <t>Snow: Hair 2</t>
  </si>
  <si>
    <t xml:space="preserve">icat </t>
  </si>
  <si>
    <t>Snow: Hair 3</t>
  </si>
  <si>
    <t xml:space="preserve">icau </t>
  </si>
  <si>
    <t>Snow: Hair 4</t>
  </si>
  <si>
    <t xml:space="preserve">icav </t>
  </si>
  <si>
    <t>Snow: Hair 5</t>
  </si>
  <si>
    <t xml:space="preserve">icaw </t>
  </si>
  <si>
    <t>Snow: Hair 6</t>
  </si>
  <si>
    <t xml:space="preserve">icax </t>
  </si>
  <si>
    <t>Snow: Hair 7</t>
  </si>
  <si>
    <t xml:space="preserve">icaz </t>
  </si>
  <si>
    <t>Snow: Hair 8</t>
  </si>
  <si>
    <t xml:space="preserve">icba </t>
  </si>
  <si>
    <t>Snow: Hair 9</t>
  </si>
  <si>
    <t xml:space="preserve">icbb </t>
  </si>
  <si>
    <t>Snow: Hair 10</t>
  </si>
  <si>
    <t xml:space="preserve">icbc </t>
  </si>
  <si>
    <t>Snow: Hair 11</t>
  </si>
  <si>
    <t xml:space="preserve">icbd </t>
  </si>
  <si>
    <t>Snow: Hair 12</t>
  </si>
  <si>
    <t xml:space="preserve">icbe </t>
  </si>
  <si>
    <t>Snow: Hair 13</t>
  </si>
  <si>
    <t xml:space="preserve">icbg </t>
  </si>
  <si>
    <t>Snow: Hair 14</t>
  </si>
  <si>
    <t xml:space="preserve">icbh </t>
  </si>
  <si>
    <t>Snow: Hair 15</t>
  </si>
  <si>
    <t xml:space="preserve">icbi </t>
  </si>
  <si>
    <t>Snow: Hair 16</t>
  </si>
  <si>
    <t xml:space="preserve">icbj </t>
  </si>
  <si>
    <t>Snow: Hair 17</t>
  </si>
  <si>
    <t xml:space="preserve">icbk </t>
  </si>
  <si>
    <t>Snow: Hair 18</t>
  </si>
  <si>
    <t xml:space="preserve">icbl </t>
  </si>
  <si>
    <t>Snow: Hair 19</t>
  </si>
  <si>
    <t xml:space="preserve">icbm </t>
  </si>
  <si>
    <t>Snow: Lower Chest</t>
  </si>
  <si>
    <t xml:space="preserve">icbo </t>
  </si>
  <si>
    <t xml:space="preserve">icbp </t>
  </si>
  <si>
    <t xml:space="preserve">icbq </t>
  </si>
  <si>
    <t xml:space="preserve">icbs </t>
  </si>
  <si>
    <t xml:space="preserve">icbt </t>
  </si>
  <si>
    <t xml:space="preserve">icbu </t>
  </si>
  <si>
    <t xml:space="preserve">icbx </t>
  </si>
  <si>
    <t xml:space="preserve">icby </t>
  </si>
  <si>
    <t xml:space="preserve">icbz </t>
  </si>
  <si>
    <t>Snow: Right Hand Model</t>
  </si>
  <si>
    <t xml:space="preserve">iccc </t>
  </si>
  <si>
    <t xml:space="preserve">iccd </t>
  </si>
  <si>
    <t xml:space="preserve">icce </t>
  </si>
  <si>
    <t>Snow: Left Hand Model</t>
  </si>
  <si>
    <t xml:space="preserve">icda </t>
  </si>
  <si>
    <t xml:space="preserve">idaa </t>
  </si>
  <si>
    <t>Bandersnatch: Battle Skeleton</t>
  </si>
  <si>
    <t>Kalm Fang clone 2 (cwaa)</t>
  </si>
  <si>
    <t xml:space="preserve">idab </t>
  </si>
  <si>
    <t>Bandersnatch: Unidentified Part</t>
  </si>
  <si>
    <t xml:space="preserve">idam </t>
  </si>
  <si>
    <t xml:space="preserve">idan </t>
  </si>
  <si>
    <t xml:space="preserve">idao </t>
  </si>
  <si>
    <t xml:space="preserve">idap </t>
  </si>
  <si>
    <t xml:space="preserve">idar </t>
  </si>
  <si>
    <t xml:space="preserve">idat </t>
  </si>
  <si>
    <t xml:space="preserve">idau </t>
  </si>
  <si>
    <t xml:space="preserve">idav </t>
  </si>
  <si>
    <t xml:space="preserve">idaw </t>
  </si>
  <si>
    <t xml:space="preserve">iday </t>
  </si>
  <si>
    <t xml:space="preserve">idaz </t>
  </si>
  <si>
    <t xml:space="preserve">idba </t>
  </si>
  <si>
    <t xml:space="preserve">idbb </t>
  </si>
  <si>
    <t xml:space="preserve">idbd </t>
  </si>
  <si>
    <t xml:space="preserve">idbe </t>
  </si>
  <si>
    <t xml:space="preserve">idbf </t>
  </si>
  <si>
    <t xml:space="preserve">idbg </t>
  </si>
  <si>
    <t xml:space="preserve">idbi </t>
  </si>
  <si>
    <t xml:space="preserve">idbj </t>
  </si>
  <si>
    <t xml:space="preserve">idbk </t>
  </si>
  <si>
    <t xml:space="preserve">idbl </t>
  </si>
  <si>
    <t xml:space="preserve">idbm </t>
  </si>
  <si>
    <t xml:space="preserve">idbn </t>
  </si>
  <si>
    <t xml:space="preserve">idbo </t>
  </si>
  <si>
    <t xml:space="preserve">idda </t>
  </si>
  <si>
    <t xml:space="preserve">ieaa </t>
  </si>
  <si>
    <t>Magnade: Battle Skeleton</t>
  </si>
  <si>
    <t xml:space="preserve">ieab </t>
  </si>
  <si>
    <t>Magnade: Unidentified Part</t>
  </si>
  <si>
    <t xml:space="preserve">ieam </t>
  </si>
  <si>
    <t xml:space="preserve">iean </t>
  </si>
  <si>
    <t xml:space="preserve">ieao </t>
  </si>
  <si>
    <t xml:space="preserve">ieaq </t>
  </si>
  <si>
    <t xml:space="preserve">iear </t>
  </si>
  <si>
    <t xml:space="preserve">ieau </t>
  </si>
  <si>
    <t xml:space="preserve">ieav </t>
  </si>
  <si>
    <t xml:space="preserve">ieaw </t>
  </si>
  <si>
    <t xml:space="preserve">ieaz </t>
  </si>
  <si>
    <t xml:space="preserve">ieba </t>
  </si>
  <si>
    <t xml:space="preserve">iebb </t>
  </si>
  <si>
    <t xml:space="preserve">iebd </t>
  </si>
  <si>
    <t xml:space="preserve">iebe </t>
  </si>
  <si>
    <t xml:space="preserve">iebg </t>
  </si>
  <si>
    <t xml:space="preserve">iebh </t>
  </si>
  <si>
    <t xml:space="preserve">iebi </t>
  </si>
  <si>
    <t xml:space="preserve">iebk </t>
  </si>
  <si>
    <t xml:space="preserve">iebl </t>
  </si>
  <si>
    <t xml:space="preserve">iebm </t>
  </si>
  <si>
    <t xml:space="preserve">ieda </t>
  </si>
  <si>
    <t xml:space="preserve">ifaa </t>
  </si>
  <si>
    <t>Magnade's Shield: Battle Skeleton</t>
  </si>
  <si>
    <t xml:space="preserve">ifab </t>
  </si>
  <si>
    <t>Magnade's Shield: Unidentified Part</t>
  </si>
  <si>
    <t xml:space="preserve">ifam </t>
  </si>
  <si>
    <t>Magnade's Shield: Shield</t>
  </si>
  <si>
    <t xml:space="preserve">ifda </t>
  </si>
  <si>
    <t xml:space="preserve">igaa </t>
  </si>
  <si>
    <t xml:space="preserve">igab </t>
  </si>
  <si>
    <t xml:space="preserve">igam </t>
  </si>
  <si>
    <t xml:space="preserve">igda </t>
  </si>
  <si>
    <t xml:space="preserve">ihaa </t>
  </si>
  <si>
    <t>Malboro: Battle Skeleton</t>
  </si>
  <si>
    <t xml:space="preserve">ihab </t>
  </si>
  <si>
    <t>Malboro: Unidentified Part</t>
  </si>
  <si>
    <t xml:space="preserve">iham </t>
  </si>
  <si>
    <t xml:space="preserve">ihan </t>
  </si>
  <si>
    <t xml:space="preserve">ihao </t>
  </si>
  <si>
    <t>47 K</t>
  </si>
  <si>
    <t xml:space="preserve">ihau </t>
  </si>
  <si>
    <t xml:space="preserve">ihav </t>
  </si>
  <si>
    <t xml:space="preserve">ihax </t>
  </si>
  <si>
    <t xml:space="preserve">ihaz </t>
  </si>
  <si>
    <t xml:space="preserve">ihbc </t>
  </si>
  <si>
    <t xml:space="preserve">ihbd </t>
  </si>
  <si>
    <t xml:space="preserve">ihbf </t>
  </si>
  <si>
    <t xml:space="preserve">ihbg </t>
  </si>
  <si>
    <t xml:space="preserve">ihbh </t>
  </si>
  <si>
    <t xml:space="preserve">ihbj </t>
  </si>
  <si>
    <t xml:space="preserve">ihbk </t>
  </si>
  <si>
    <t xml:space="preserve">ihbl </t>
  </si>
  <si>
    <t xml:space="preserve">ihbn </t>
  </si>
  <si>
    <t xml:space="preserve">ihbo </t>
  </si>
  <si>
    <t xml:space="preserve">ihbq </t>
  </si>
  <si>
    <t xml:space="preserve">ihbr </t>
  </si>
  <si>
    <t xml:space="preserve">ihbs </t>
  </si>
  <si>
    <t xml:space="preserve">ihbu </t>
  </si>
  <si>
    <t xml:space="preserve">ihbv </t>
  </si>
  <si>
    <t xml:space="preserve">ihbx </t>
  </si>
  <si>
    <t xml:space="preserve">ihby </t>
  </si>
  <si>
    <t xml:space="preserve">ihda </t>
  </si>
  <si>
    <t xml:space="preserve">iiaa </t>
  </si>
  <si>
    <t>Blue Dragon: Battle Skeleton</t>
  </si>
  <si>
    <t>Dragon clone 2 (gbaa)</t>
  </si>
  <si>
    <t xml:space="preserve">iiab </t>
  </si>
  <si>
    <t>Blue Dragon: Unidentified Part</t>
  </si>
  <si>
    <t xml:space="preserve">iiam </t>
  </si>
  <si>
    <t xml:space="preserve">iian </t>
  </si>
  <si>
    <t xml:space="preserve">iiao </t>
  </si>
  <si>
    <t xml:space="preserve">iiap </t>
  </si>
  <si>
    <t xml:space="preserve">iiaq </t>
  </si>
  <si>
    <t xml:space="preserve">iiar </t>
  </si>
  <si>
    <t xml:space="preserve">iiat </t>
  </si>
  <si>
    <t xml:space="preserve">iiau </t>
  </si>
  <si>
    <t xml:space="preserve">iiav </t>
  </si>
  <si>
    <t xml:space="preserve">iiaw </t>
  </si>
  <si>
    <t xml:space="preserve">iiay </t>
  </si>
  <si>
    <t xml:space="preserve">iiaz </t>
  </si>
  <si>
    <t xml:space="preserve">iiba </t>
  </si>
  <si>
    <t xml:space="preserve">iibc </t>
  </si>
  <si>
    <t xml:space="preserve">iibe </t>
  </si>
  <si>
    <t xml:space="preserve">iibf </t>
  </si>
  <si>
    <t xml:space="preserve">iibg </t>
  </si>
  <si>
    <t xml:space="preserve">iibh </t>
  </si>
  <si>
    <t xml:space="preserve">iibi </t>
  </si>
  <si>
    <t xml:space="preserve">iibj </t>
  </si>
  <si>
    <t xml:space="preserve">iibl </t>
  </si>
  <si>
    <t xml:space="preserve">iibm </t>
  </si>
  <si>
    <t xml:space="preserve">iibn </t>
  </si>
  <si>
    <t xml:space="preserve">iibo </t>
  </si>
  <si>
    <t xml:space="preserve">iibp </t>
  </si>
  <si>
    <t xml:space="preserve">iibr </t>
  </si>
  <si>
    <t xml:space="preserve">iibs </t>
  </si>
  <si>
    <t xml:space="preserve">iibt </t>
  </si>
  <si>
    <t xml:space="preserve">iibv </t>
  </si>
  <si>
    <t xml:space="preserve">iibw </t>
  </si>
  <si>
    <t xml:space="preserve">iibx </t>
  </si>
  <si>
    <t xml:space="preserve">iida </t>
  </si>
  <si>
    <t xml:space="preserve">ijaa </t>
  </si>
  <si>
    <t>76 Bytes</t>
  </si>
  <si>
    <t>Icicle: Battle Skeleton</t>
  </si>
  <si>
    <t xml:space="preserve">ijab </t>
  </si>
  <si>
    <t>Icicle: Unidentified Part</t>
  </si>
  <si>
    <t xml:space="preserve">ijac </t>
  </si>
  <si>
    <t xml:space="preserve">ijam </t>
  </si>
  <si>
    <t xml:space="preserve">ijda </t>
  </si>
  <si>
    <t xml:space="preserve">ikaa </t>
  </si>
  <si>
    <t>Headbomber: Battle Skeleton</t>
  </si>
  <si>
    <t>Skeeskee clone 2 (ezaa)</t>
  </si>
  <si>
    <t xml:space="preserve">ikab </t>
  </si>
  <si>
    <t>Headbomber: Unidentified Part</t>
  </si>
  <si>
    <t xml:space="preserve">ikac </t>
  </si>
  <si>
    <t xml:space="preserve">ikam </t>
  </si>
  <si>
    <t xml:space="preserve">ikan </t>
  </si>
  <si>
    <t xml:space="preserve">ikaq </t>
  </si>
  <si>
    <t xml:space="preserve">ikas </t>
  </si>
  <si>
    <t xml:space="preserve">ikau </t>
  </si>
  <si>
    <t xml:space="preserve">ikav </t>
  </si>
  <si>
    <t>760 Bytes</t>
  </si>
  <si>
    <t xml:space="preserve">ikax </t>
  </si>
  <si>
    <t xml:space="preserve">ikay </t>
  </si>
  <si>
    <t xml:space="preserve">ikba </t>
  </si>
  <si>
    <t xml:space="preserve">ikbb </t>
  </si>
  <si>
    <t xml:space="preserve">ikbd </t>
  </si>
  <si>
    <t xml:space="preserve">ikbf </t>
  </si>
  <si>
    <t xml:space="preserve">ikbh </t>
  </si>
  <si>
    <t xml:space="preserve">ikbi </t>
  </si>
  <si>
    <t xml:space="preserve">ikbk </t>
  </si>
  <si>
    <t xml:space="preserve">ikbl </t>
  </si>
  <si>
    <t xml:space="preserve">ikbn </t>
  </si>
  <si>
    <t xml:space="preserve">ikbp </t>
  </si>
  <si>
    <t xml:space="preserve">ikbq </t>
  </si>
  <si>
    <t xml:space="preserve">ikbs </t>
  </si>
  <si>
    <t xml:space="preserve">ikbt </t>
  </si>
  <si>
    <t xml:space="preserve">ikbv </t>
  </si>
  <si>
    <t xml:space="preserve">ikbw </t>
  </si>
  <si>
    <t xml:space="preserve">ikbx </t>
  </si>
  <si>
    <t xml:space="preserve">ikby </t>
  </si>
  <si>
    <t xml:space="preserve">ikbz </t>
  </si>
  <si>
    <t xml:space="preserve">ikda </t>
  </si>
  <si>
    <t xml:space="preserve">ilaa </t>
  </si>
  <si>
    <t>Stilva: Battle Skeleton</t>
  </si>
  <si>
    <t>Materia keeper clone 1 (ghaa)</t>
  </si>
  <si>
    <t xml:space="preserve">ilab </t>
  </si>
  <si>
    <t>Stilva: Unidentified Part</t>
  </si>
  <si>
    <t xml:space="preserve">ilam </t>
  </si>
  <si>
    <t xml:space="preserve">ilan </t>
  </si>
  <si>
    <t xml:space="preserve">ilao </t>
  </si>
  <si>
    <t xml:space="preserve">ilap </t>
  </si>
  <si>
    <t xml:space="preserve">ilaq </t>
  </si>
  <si>
    <t xml:space="preserve">ilas </t>
  </si>
  <si>
    <t xml:space="preserve">ilat </t>
  </si>
  <si>
    <t xml:space="preserve">ilau </t>
  </si>
  <si>
    <t xml:space="preserve">ilaw </t>
  </si>
  <si>
    <t xml:space="preserve">ilax </t>
  </si>
  <si>
    <t xml:space="preserve">ilay </t>
  </si>
  <si>
    <t xml:space="preserve">ilaz </t>
  </si>
  <si>
    <t xml:space="preserve">ilbb </t>
  </si>
  <si>
    <t xml:space="preserve">ilbc </t>
  </si>
  <si>
    <t xml:space="preserve">ilbd </t>
  </si>
  <si>
    <t xml:space="preserve">ilbf </t>
  </si>
  <si>
    <t xml:space="preserve">ilbg </t>
  </si>
  <si>
    <t xml:space="preserve">ilbh </t>
  </si>
  <si>
    <t xml:space="preserve">ilbj </t>
  </si>
  <si>
    <t xml:space="preserve">ilbk </t>
  </si>
  <si>
    <t xml:space="preserve">ilbl </t>
  </si>
  <si>
    <t xml:space="preserve">ilbm </t>
  </si>
  <si>
    <t xml:space="preserve">ilbo </t>
  </si>
  <si>
    <t xml:space="preserve">ilbp </t>
  </si>
  <si>
    <t xml:space="preserve">ilbq </t>
  </si>
  <si>
    <t xml:space="preserve">ilbs </t>
  </si>
  <si>
    <t xml:space="preserve">ilbt </t>
  </si>
  <si>
    <t xml:space="preserve">ilbu </t>
  </si>
  <si>
    <t xml:space="preserve">ilbw </t>
  </si>
  <si>
    <t xml:space="preserve">ilbx </t>
  </si>
  <si>
    <t xml:space="preserve">ilby </t>
  </si>
  <si>
    <t xml:space="preserve">ilbz </t>
  </si>
  <si>
    <t xml:space="preserve">ilda </t>
  </si>
  <si>
    <t xml:space="preserve">imaa </t>
  </si>
  <si>
    <t>Zolokalter: Battle Skeleton</t>
  </si>
  <si>
    <t>Whole eater clone 1 (azaa)</t>
  </si>
  <si>
    <t xml:space="preserve">imab </t>
  </si>
  <si>
    <t>Zolokalter: Unidentified Part</t>
  </si>
  <si>
    <t xml:space="preserve">imam </t>
  </si>
  <si>
    <t xml:space="preserve">iman </t>
  </si>
  <si>
    <t xml:space="preserve">imap </t>
  </si>
  <si>
    <t xml:space="preserve">imar </t>
  </si>
  <si>
    <t xml:space="preserve">imat </t>
  </si>
  <si>
    <t xml:space="preserve">imav </t>
  </si>
  <si>
    <t xml:space="preserve">imax </t>
  </si>
  <si>
    <t xml:space="preserve">imaz </t>
  </si>
  <si>
    <t xml:space="preserve">imbb </t>
  </si>
  <si>
    <t xml:space="preserve">imbd </t>
  </si>
  <si>
    <t xml:space="preserve">imbf </t>
  </si>
  <si>
    <t xml:space="preserve">imbh </t>
  </si>
  <si>
    <t xml:space="preserve">imbj </t>
  </si>
  <si>
    <t xml:space="preserve">imbl </t>
  </si>
  <si>
    <t xml:space="preserve">imbn </t>
  </si>
  <si>
    <t xml:space="preserve">imbo </t>
  </si>
  <si>
    <t xml:space="preserve">imbp </t>
  </si>
  <si>
    <t xml:space="preserve">imbr </t>
  </si>
  <si>
    <t xml:space="preserve">imbs </t>
  </si>
  <si>
    <t xml:space="preserve">imbt </t>
  </si>
  <si>
    <t xml:space="preserve">imbu </t>
  </si>
  <si>
    <t xml:space="preserve">imbv </t>
  </si>
  <si>
    <t xml:space="preserve">imbw </t>
  </si>
  <si>
    <t xml:space="preserve">imbx </t>
  </si>
  <si>
    <t xml:space="preserve">imby </t>
  </si>
  <si>
    <t xml:space="preserve">imbz </t>
  </si>
  <si>
    <t xml:space="preserve">imcb </t>
  </si>
  <si>
    <t xml:space="preserve">imcc </t>
  </si>
  <si>
    <t xml:space="preserve">imcd </t>
  </si>
  <si>
    <t xml:space="preserve">imcf </t>
  </si>
  <si>
    <t xml:space="preserve">imcg </t>
  </si>
  <si>
    <t xml:space="preserve">imch </t>
  </si>
  <si>
    <t xml:space="preserve">imda </t>
  </si>
  <si>
    <t xml:space="preserve">inaa </t>
  </si>
  <si>
    <t>Evilhead: Battle Skeleton</t>
  </si>
  <si>
    <t>Black Bat clone 1 (fsaa)</t>
  </si>
  <si>
    <t xml:space="preserve">inab </t>
  </si>
  <si>
    <t>Evilhead: Unidentified Part</t>
  </si>
  <si>
    <t xml:space="preserve">inam </t>
  </si>
  <si>
    <t xml:space="preserve">inao </t>
  </si>
  <si>
    <t xml:space="preserve">inap </t>
  </si>
  <si>
    <t xml:space="preserve">inar </t>
  </si>
  <si>
    <t xml:space="preserve">inas </t>
  </si>
  <si>
    <t xml:space="preserve">inat </t>
  </si>
  <si>
    <t xml:space="preserve">inau </t>
  </si>
  <si>
    <t xml:space="preserve">inav </t>
  </si>
  <si>
    <t xml:space="preserve">inax </t>
  </si>
  <si>
    <t xml:space="preserve">inaz </t>
  </si>
  <si>
    <t xml:space="preserve">inbb </t>
  </si>
  <si>
    <t xml:space="preserve">inbd </t>
  </si>
  <si>
    <t xml:space="preserve">inbg </t>
  </si>
  <si>
    <t xml:space="preserve">inbh </t>
  </si>
  <si>
    <t xml:space="preserve">inbi </t>
  </si>
  <si>
    <t xml:space="preserve">inda </t>
  </si>
  <si>
    <t xml:space="preserve">ioaa </t>
  </si>
  <si>
    <t>Cuahl: Battle Skeleton</t>
  </si>
  <si>
    <t xml:space="preserve">ioab </t>
  </si>
  <si>
    <t>Cuahl: Unidentified Part</t>
  </si>
  <si>
    <t xml:space="preserve">ioac </t>
  </si>
  <si>
    <t>Cuahl: Texture</t>
  </si>
  <si>
    <t xml:space="preserve">ioad </t>
  </si>
  <si>
    <t xml:space="preserve">ioae </t>
  </si>
  <si>
    <t xml:space="preserve">ioam </t>
  </si>
  <si>
    <t xml:space="preserve">ioao </t>
  </si>
  <si>
    <t xml:space="preserve">ioap </t>
  </si>
  <si>
    <t xml:space="preserve">ioaq </t>
  </si>
  <si>
    <t xml:space="preserve">ioas </t>
  </si>
  <si>
    <t xml:space="preserve">ioat </t>
  </si>
  <si>
    <t xml:space="preserve">ioau </t>
  </si>
  <si>
    <t xml:space="preserve">ioav </t>
  </si>
  <si>
    <t xml:space="preserve">ioaw </t>
  </si>
  <si>
    <t xml:space="preserve">ioay </t>
  </si>
  <si>
    <t xml:space="preserve">ioaz </t>
  </si>
  <si>
    <t xml:space="preserve">ioba </t>
  </si>
  <si>
    <t xml:space="preserve">iobb </t>
  </si>
  <si>
    <t xml:space="preserve">iobc </t>
  </si>
  <si>
    <t xml:space="preserve">iobe </t>
  </si>
  <si>
    <t xml:space="preserve">iobf </t>
  </si>
  <si>
    <t xml:space="preserve">iobg </t>
  </si>
  <si>
    <t xml:space="preserve">iobi </t>
  </si>
  <si>
    <t xml:space="preserve">iobj </t>
  </si>
  <si>
    <t xml:space="preserve">iobk </t>
  </si>
  <si>
    <t xml:space="preserve">iobl </t>
  </si>
  <si>
    <t xml:space="preserve">iobm </t>
  </si>
  <si>
    <t xml:space="preserve">iobn </t>
  </si>
  <si>
    <t xml:space="preserve">iobo </t>
  </si>
  <si>
    <t xml:space="preserve">iobp </t>
  </si>
  <si>
    <t xml:space="preserve">iobq </t>
  </si>
  <si>
    <t xml:space="preserve">ioda </t>
  </si>
  <si>
    <t xml:space="preserve">ipaa </t>
  </si>
  <si>
    <t>Gigas: Battle Skeleton</t>
  </si>
  <si>
    <t xml:space="preserve">ipab </t>
  </si>
  <si>
    <t>Gigas: Unidentified Part</t>
  </si>
  <si>
    <t xml:space="preserve">ipam </t>
  </si>
  <si>
    <t xml:space="preserve">ipan </t>
  </si>
  <si>
    <t xml:space="preserve">ipap </t>
  </si>
  <si>
    <t xml:space="preserve">ipaq </t>
  </si>
  <si>
    <t xml:space="preserve">ipas </t>
  </si>
  <si>
    <t xml:space="preserve">ipat </t>
  </si>
  <si>
    <t xml:space="preserve">ipau </t>
  </si>
  <si>
    <t xml:space="preserve">ipav </t>
  </si>
  <si>
    <t xml:space="preserve">ipay </t>
  </si>
  <si>
    <t xml:space="preserve">ipaz </t>
  </si>
  <si>
    <t xml:space="preserve">ipba </t>
  </si>
  <si>
    <t xml:space="preserve">ipbb </t>
  </si>
  <si>
    <t xml:space="preserve">ipbd </t>
  </si>
  <si>
    <t xml:space="preserve">ipbg </t>
  </si>
  <si>
    <t xml:space="preserve">ipbh </t>
  </si>
  <si>
    <t xml:space="preserve">ipbi </t>
  </si>
  <si>
    <t xml:space="preserve">ipbj </t>
  </si>
  <si>
    <t xml:space="preserve">ipbl </t>
  </si>
  <si>
    <t xml:space="preserve">ipbn </t>
  </si>
  <si>
    <t xml:space="preserve">ipbo </t>
  </si>
  <si>
    <t xml:space="preserve">ipbp </t>
  </si>
  <si>
    <t xml:space="preserve">ipbq </t>
  </si>
  <si>
    <t xml:space="preserve">ipbs </t>
  </si>
  <si>
    <t xml:space="preserve">ipbt </t>
  </si>
  <si>
    <t xml:space="preserve">ipbu </t>
  </si>
  <si>
    <t xml:space="preserve">ipbv </t>
  </si>
  <si>
    <t xml:space="preserve">ipda </t>
  </si>
  <si>
    <t xml:space="preserve">iqaa </t>
  </si>
  <si>
    <t>Grenade: Battle Skeleton</t>
  </si>
  <si>
    <t xml:space="preserve">iqab </t>
  </si>
  <si>
    <t>Grenade: Unidentified Part</t>
  </si>
  <si>
    <t xml:space="preserve">iqam </t>
  </si>
  <si>
    <t xml:space="preserve">iqan </t>
  </si>
  <si>
    <t xml:space="preserve">iqau </t>
  </si>
  <si>
    <t xml:space="preserve">iqay </t>
  </si>
  <si>
    <t xml:space="preserve">iqbc </t>
  </si>
  <si>
    <t xml:space="preserve">iqbg </t>
  </si>
  <si>
    <t xml:space="preserve">iqbi </t>
  </si>
  <si>
    <t xml:space="preserve">iqbk </t>
  </si>
  <si>
    <t xml:space="preserve">iqda </t>
  </si>
  <si>
    <t xml:space="preserve">iraa </t>
  </si>
  <si>
    <t>Gremlin: Battle Skeleton</t>
  </si>
  <si>
    <t>Bomb clone 1 (edaa)</t>
  </si>
  <si>
    <t xml:space="preserve">irab </t>
  </si>
  <si>
    <t>Gremlin: Unidentified Part</t>
  </si>
  <si>
    <t xml:space="preserve">iram </t>
  </si>
  <si>
    <t xml:space="preserve">irao </t>
  </si>
  <si>
    <t>676 Bytes</t>
  </si>
  <si>
    <t xml:space="preserve">irap </t>
  </si>
  <si>
    <t xml:space="preserve">iraq </t>
  </si>
  <si>
    <t xml:space="preserve">iras </t>
  </si>
  <si>
    <t xml:space="preserve">irat </t>
  </si>
  <si>
    <t xml:space="preserve">irau </t>
  </si>
  <si>
    <t xml:space="preserve">iraw </t>
  </si>
  <si>
    <t xml:space="preserve">irax </t>
  </si>
  <si>
    <t xml:space="preserve">iraz </t>
  </si>
  <si>
    <t xml:space="preserve">irba </t>
  </si>
  <si>
    <t xml:space="preserve">irbc </t>
  </si>
  <si>
    <t xml:space="preserve">irbd </t>
  </si>
  <si>
    <t xml:space="preserve">irbf </t>
  </si>
  <si>
    <t xml:space="preserve">irbg </t>
  </si>
  <si>
    <t xml:space="preserve">irbh </t>
  </si>
  <si>
    <t xml:space="preserve">irbj </t>
  </si>
  <si>
    <t xml:space="preserve">irbl </t>
  </si>
  <si>
    <t xml:space="preserve">irbm </t>
  </si>
  <si>
    <t xml:space="preserve">irbn </t>
  </si>
  <si>
    <t xml:space="preserve">irbp </t>
  </si>
  <si>
    <t xml:space="preserve">irbq </t>
  </si>
  <si>
    <t xml:space="preserve">irbs </t>
  </si>
  <si>
    <t xml:space="preserve">irbt </t>
  </si>
  <si>
    <t xml:space="preserve">irbv </t>
  </si>
  <si>
    <t xml:space="preserve">irbw </t>
  </si>
  <si>
    <t xml:space="preserve">irby </t>
  </si>
  <si>
    <t xml:space="preserve">irbz </t>
  </si>
  <si>
    <t xml:space="preserve">irca </t>
  </si>
  <si>
    <t xml:space="preserve">irda </t>
  </si>
  <si>
    <t xml:space="preserve">isaa </t>
  </si>
  <si>
    <t>Ironite: Battle Skeleton</t>
  </si>
  <si>
    <t xml:space="preserve">isab </t>
  </si>
  <si>
    <t>Ironite: Unidentified Part</t>
  </si>
  <si>
    <t xml:space="preserve">isam </t>
  </si>
  <si>
    <t xml:space="preserve">isan </t>
  </si>
  <si>
    <t xml:space="preserve">isao </t>
  </si>
  <si>
    <t xml:space="preserve">isap </t>
  </si>
  <si>
    <t xml:space="preserve">isar </t>
  </si>
  <si>
    <t xml:space="preserve">isat </t>
  </si>
  <si>
    <t xml:space="preserve">isau </t>
  </si>
  <si>
    <t xml:space="preserve">isaw </t>
  </si>
  <si>
    <t xml:space="preserve">isay </t>
  </si>
  <si>
    <t xml:space="preserve">isba </t>
  </si>
  <si>
    <t xml:space="preserve">isbb </t>
  </si>
  <si>
    <t xml:space="preserve">isbd </t>
  </si>
  <si>
    <t xml:space="preserve">isbf </t>
  </si>
  <si>
    <t xml:space="preserve">isbh </t>
  </si>
  <si>
    <t xml:space="preserve">isbj </t>
  </si>
  <si>
    <t xml:space="preserve">isbl </t>
  </si>
  <si>
    <t xml:space="preserve">isbm </t>
  </si>
  <si>
    <t xml:space="preserve">isbn </t>
  </si>
  <si>
    <t xml:space="preserve">isbo </t>
  </si>
  <si>
    <t xml:space="preserve">isda </t>
  </si>
  <si>
    <t xml:space="preserve">itaa </t>
  </si>
  <si>
    <t>Sculpture: Battle Skeleton</t>
  </si>
  <si>
    <t xml:space="preserve">itab </t>
  </si>
  <si>
    <t>Sculpture: Unidentified Part</t>
  </si>
  <si>
    <t xml:space="preserve">itac </t>
  </si>
  <si>
    <t xml:space="preserve">itam </t>
  </si>
  <si>
    <t xml:space="preserve">itan </t>
  </si>
  <si>
    <t xml:space="preserve">itao </t>
  </si>
  <si>
    <t xml:space="preserve">itda </t>
  </si>
  <si>
    <t xml:space="preserve">iuaa </t>
  </si>
  <si>
    <t>SCHIZO: Battle Skeleton</t>
  </si>
  <si>
    <t xml:space="preserve">iuab </t>
  </si>
  <si>
    <t>SCHIZO: Unidentified Part</t>
  </si>
  <si>
    <t xml:space="preserve">iuam </t>
  </si>
  <si>
    <t xml:space="preserve">iuan </t>
  </si>
  <si>
    <t xml:space="preserve">iuaq </t>
  </si>
  <si>
    <t>iuar</t>
  </si>
  <si>
    <t xml:space="preserve">iuas </t>
  </si>
  <si>
    <t>iuau</t>
  </si>
  <si>
    <t xml:space="preserve">iuav </t>
  </si>
  <si>
    <t xml:space="preserve">iuaw </t>
  </si>
  <si>
    <t xml:space="preserve">iuax </t>
  </si>
  <si>
    <t xml:space="preserve">iuay </t>
  </si>
  <si>
    <t xml:space="preserve">iuba </t>
  </si>
  <si>
    <t>iubd</t>
  </si>
  <si>
    <t>iube</t>
  </si>
  <si>
    <t xml:space="preserve">iubf </t>
  </si>
  <si>
    <t xml:space="preserve">iubh </t>
  </si>
  <si>
    <t xml:space="preserve">iubi </t>
  </si>
  <si>
    <t>iubj</t>
  </si>
  <si>
    <t xml:space="preserve">iubk </t>
  </si>
  <si>
    <t xml:space="preserve">iubl </t>
  </si>
  <si>
    <t>iubn</t>
  </si>
  <si>
    <t xml:space="preserve">iubp </t>
  </si>
  <si>
    <t xml:space="preserve">iubq </t>
  </si>
  <si>
    <t xml:space="preserve">iubr </t>
  </si>
  <si>
    <t xml:space="preserve">iubt </t>
  </si>
  <si>
    <t xml:space="preserve">iubu </t>
  </si>
  <si>
    <t>iubv</t>
  </si>
  <si>
    <t xml:space="preserve">iubx </t>
  </si>
  <si>
    <t xml:space="preserve">iuby </t>
  </si>
  <si>
    <t xml:space="preserve">iubz </t>
  </si>
  <si>
    <t xml:space="preserve">iuca </t>
  </si>
  <si>
    <t xml:space="preserve">iucb </t>
  </si>
  <si>
    <t xml:space="preserve">iucc </t>
  </si>
  <si>
    <t xml:space="preserve">iucd </t>
  </si>
  <si>
    <t xml:space="preserve">iucf </t>
  </si>
  <si>
    <t xml:space="preserve">iucg </t>
  </si>
  <si>
    <t xml:space="preserve">iuch </t>
  </si>
  <si>
    <t>1016 Bytes</t>
  </si>
  <si>
    <t xml:space="preserve">iuda </t>
  </si>
  <si>
    <t xml:space="preserve">ivaa </t>
  </si>
  <si>
    <t>SCHIZO's head: Battle Skeleton</t>
  </si>
  <si>
    <t xml:space="preserve">ivab </t>
  </si>
  <si>
    <t>SCHIZO's head: Unidentified Part</t>
  </si>
  <si>
    <t xml:space="preserve">ivay </t>
  </si>
  <si>
    <t>SCHIZO's head: Head</t>
  </si>
  <si>
    <t xml:space="preserve">ivda </t>
  </si>
  <si>
    <t xml:space="preserve">iwaa </t>
  </si>
  <si>
    <t>Wind Wing: Battle Skeleton</t>
  </si>
  <si>
    <t>Deenglow clone 2 (braa)</t>
  </si>
  <si>
    <t xml:space="preserve">iwab </t>
  </si>
  <si>
    <t>Wind Wing: Unidentified Part</t>
  </si>
  <si>
    <t xml:space="preserve">iwam </t>
  </si>
  <si>
    <t xml:space="preserve">iwan </t>
  </si>
  <si>
    <t xml:space="preserve">iwao </t>
  </si>
  <si>
    <t xml:space="preserve">iwap </t>
  </si>
  <si>
    <t xml:space="preserve">iwaq </t>
  </si>
  <si>
    <t xml:space="preserve">iwar </t>
  </si>
  <si>
    <t xml:space="preserve">iwat </t>
  </si>
  <si>
    <t xml:space="preserve">iwau </t>
  </si>
  <si>
    <t xml:space="preserve">iwaw </t>
  </si>
  <si>
    <t xml:space="preserve">iwax </t>
  </si>
  <si>
    <t xml:space="preserve">iwaz </t>
  </si>
  <si>
    <t xml:space="preserve">iwba </t>
  </si>
  <si>
    <t xml:space="preserve">iwbd </t>
  </si>
  <si>
    <t xml:space="preserve">iwbe </t>
  </si>
  <si>
    <t xml:space="preserve">iwbg </t>
  </si>
  <si>
    <t xml:space="preserve">iwbh </t>
  </si>
  <si>
    <t xml:space="preserve">iwbl </t>
  </si>
  <si>
    <t xml:space="preserve">iwbm </t>
  </si>
  <si>
    <t xml:space="preserve">iwbn </t>
  </si>
  <si>
    <t xml:space="preserve">iwbp </t>
  </si>
  <si>
    <t xml:space="preserve">iwbq </t>
  </si>
  <si>
    <t xml:space="preserve">iwbr </t>
  </si>
  <si>
    <t xml:space="preserve">iwbs </t>
  </si>
  <si>
    <t xml:space="preserve">iwbt </t>
  </si>
  <si>
    <t xml:space="preserve">iwbu </t>
  </si>
  <si>
    <t xml:space="preserve">iwbx </t>
  </si>
  <si>
    <t xml:space="preserve">iwby </t>
  </si>
  <si>
    <t xml:space="preserve">iwbz </t>
  </si>
  <si>
    <t xml:space="preserve">iwda </t>
  </si>
  <si>
    <t xml:space="preserve">ixaa </t>
  </si>
  <si>
    <t>Dragon Rider: Battle Skeleton</t>
  </si>
  <si>
    <t xml:space="preserve">ixab </t>
  </si>
  <si>
    <t>Dragon Rider: Unidentified Part</t>
  </si>
  <si>
    <t xml:space="preserve">ixam </t>
  </si>
  <si>
    <t xml:space="preserve">ixan </t>
  </si>
  <si>
    <t xml:space="preserve">ixao </t>
  </si>
  <si>
    <t xml:space="preserve">ixap </t>
  </si>
  <si>
    <t xml:space="preserve">ixaq </t>
  </si>
  <si>
    <t xml:space="preserve">ixar </t>
  </si>
  <si>
    <t xml:space="preserve">ixas </t>
  </si>
  <si>
    <t xml:space="preserve">ixat </t>
  </si>
  <si>
    <t xml:space="preserve">ixau </t>
  </si>
  <si>
    <t xml:space="preserve">ixav </t>
  </si>
  <si>
    <t xml:space="preserve">ixaw </t>
  </si>
  <si>
    <t xml:space="preserve">ixax </t>
  </si>
  <si>
    <t xml:space="preserve">ixaz </t>
  </si>
  <si>
    <t xml:space="preserve">ixbb </t>
  </si>
  <si>
    <t xml:space="preserve">ixbd </t>
  </si>
  <si>
    <t xml:space="preserve">ixbf </t>
  </si>
  <si>
    <t xml:space="preserve">ixbh </t>
  </si>
  <si>
    <t xml:space="preserve">ixbi </t>
  </si>
  <si>
    <t xml:space="preserve">ixbj </t>
  </si>
  <si>
    <t xml:space="preserve">ixbl </t>
  </si>
  <si>
    <t xml:space="preserve">ixbm </t>
  </si>
  <si>
    <t xml:space="preserve">ixbn </t>
  </si>
  <si>
    <t xml:space="preserve">ixbq </t>
  </si>
  <si>
    <t xml:space="preserve">ixbr </t>
  </si>
  <si>
    <t xml:space="preserve">ixbs </t>
  </si>
  <si>
    <t xml:space="preserve">ixbu </t>
  </si>
  <si>
    <t xml:space="preserve">ixbv </t>
  </si>
  <si>
    <t xml:space="preserve">ixbw </t>
  </si>
  <si>
    <t xml:space="preserve">ixby </t>
  </si>
  <si>
    <t xml:space="preserve">ixbz </t>
  </si>
  <si>
    <t xml:space="preserve">ixca </t>
  </si>
  <si>
    <t xml:space="preserve">ixcc </t>
  </si>
  <si>
    <t xml:space="preserve">ixcd </t>
  </si>
  <si>
    <t xml:space="preserve">ixcf </t>
  </si>
  <si>
    <t xml:space="preserve">ixcg </t>
  </si>
  <si>
    <t xml:space="preserve">ixch </t>
  </si>
  <si>
    <t xml:space="preserve">ixda </t>
  </si>
  <si>
    <t xml:space="preserve">iyaa </t>
  </si>
  <si>
    <t>Killbin: Battle Skeleton</t>
  </si>
  <si>
    <t xml:space="preserve">iyab </t>
  </si>
  <si>
    <t>Killbin: Unidentified Part</t>
  </si>
  <si>
    <t xml:space="preserve">iyac </t>
  </si>
  <si>
    <t xml:space="preserve">iyad </t>
  </si>
  <si>
    <t xml:space="preserve">iyae </t>
  </si>
  <si>
    <t xml:space="preserve">iyam </t>
  </si>
  <si>
    <t xml:space="preserve">iyda </t>
  </si>
  <si>
    <t xml:space="preserve">izaa </t>
  </si>
  <si>
    <t>Tonberry: Battle Skeleton</t>
  </si>
  <si>
    <t xml:space="preserve">izab </t>
  </si>
  <si>
    <t>Tonberry: Unidentified Part</t>
  </si>
  <si>
    <t xml:space="preserve">izam </t>
  </si>
  <si>
    <t xml:space="preserve">izan </t>
  </si>
  <si>
    <t xml:space="preserve">izaq </t>
  </si>
  <si>
    <t xml:space="preserve">izar </t>
  </si>
  <si>
    <t xml:space="preserve">izas </t>
  </si>
  <si>
    <t xml:space="preserve">izat </t>
  </si>
  <si>
    <t xml:space="preserve">izau </t>
  </si>
  <si>
    <t xml:space="preserve">izav </t>
  </si>
  <si>
    <t xml:space="preserve">izaw </t>
  </si>
  <si>
    <t xml:space="preserve">izaz </t>
  </si>
  <si>
    <t xml:space="preserve">izba </t>
  </si>
  <si>
    <t xml:space="preserve">izbb </t>
  </si>
  <si>
    <t xml:space="preserve">izbe </t>
  </si>
  <si>
    <t>izbf</t>
  </si>
  <si>
    <t xml:space="preserve">izbi </t>
  </si>
  <si>
    <t xml:space="preserve">izbj </t>
  </si>
  <si>
    <t xml:space="preserve">izbl </t>
  </si>
  <si>
    <t xml:space="preserve">izbm </t>
  </si>
  <si>
    <t xml:space="preserve">izbn </t>
  </si>
  <si>
    <t xml:space="preserve">izbo </t>
  </si>
  <si>
    <t xml:space="preserve">izda </t>
  </si>
  <si>
    <t xml:space="preserve">jaaa </t>
  </si>
  <si>
    <t>Jenova DEATH: Battle Skeleton</t>
  </si>
  <si>
    <t>Jenova BIRTH clone 2 (draa)</t>
  </si>
  <si>
    <t xml:space="preserve">jaab </t>
  </si>
  <si>
    <t>Jenova DEATH: Unidentified Part</t>
  </si>
  <si>
    <t xml:space="preserve">jaam </t>
  </si>
  <si>
    <t xml:space="preserve">jaan </t>
  </si>
  <si>
    <t xml:space="preserve">jaap </t>
  </si>
  <si>
    <t xml:space="preserve">jaax </t>
  </si>
  <si>
    <t xml:space="preserve">.jabb </t>
  </si>
  <si>
    <t xml:space="preserve">jabc </t>
  </si>
  <si>
    <t xml:space="preserve">jabd </t>
  </si>
  <si>
    <t xml:space="preserve">jabj </t>
  </si>
  <si>
    <t xml:space="preserve">jada </t>
  </si>
  <si>
    <t xml:space="preserve">jbaa </t>
  </si>
  <si>
    <t>Roulette Cannon: Battle Skeleton</t>
  </si>
  <si>
    <t xml:space="preserve">jbab </t>
  </si>
  <si>
    <t>Roulette Cannon: Unidentified Part</t>
  </si>
  <si>
    <t xml:space="preserve">jbam </t>
  </si>
  <si>
    <t>29 K</t>
  </si>
  <si>
    <t xml:space="preserve">jban </t>
  </si>
  <si>
    <t xml:space="preserve">jbat </t>
  </si>
  <si>
    <t xml:space="preserve">jbav </t>
  </si>
  <si>
    <t xml:space="preserve">jbda </t>
  </si>
  <si>
    <t xml:space="preserve">jcaa </t>
  </si>
  <si>
    <t>Pedestal: Battle Skeleton</t>
  </si>
  <si>
    <t xml:space="preserve">jcab </t>
  </si>
  <si>
    <t>Pedestal: Unidentified Part</t>
  </si>
  <si>
    <t xml:space="preserve">jcam </t>
  </si>
  <si>
    <t xml:space="preserve">jcda </t>
  </si>
  <si>
    <t xml:space="preserve">jdaa </t>
  </si>
  <si>
    <t>SOLDIER:2nd: Battle Skeleton</t>
  </si>
  <si>
    <t>SOLDIER 3rd clone 1 (ceaa)</t>
  </si>
  <si>
    <t xml:space="preserve">jdab </t>
  </si>
  <si>
    <t>SOLDIER:2nd: Unidentified Part</t>
  </si>
  <si>
    <t xml:space="preserve">jdam </t>
  </si>
  <si>
    <t xml:space="preserve">jdan </t>
  </si>
  <si>
    <t xml:space="preserve">jdao </t>
  </si>
  <si>
    <t xml:space="preserve">jdar </t>
  </si>
  <si>
    <t xml:space="preserve">jdas </t>
  </si>
  <si>
    <t xml:space="preserve">jdat </t>
  </si>
  <si>
    <t xml:space="preserve">jdaw </t>
  </si>
  <si>
    <t xml:space="preserve">jdax </t>
  </si>
  <si>
    <t xml:space="preserve">jday </t>
  </si>
  <si>
    <t xml:space="preserve">jdba </t>
  </si>
  <si>
    <t xml:space="preserve">jdbc </t>
  </si>
  <si>
    <t xml:space="preserve">jdbd </t>
  </si>
  <si>
    <t xml:space="preserve">jdbe </t>
  </si>
  <si>
    <t xml:space="preserve">jdbg </t>
  </si>
  <si>
    <t xml:space="preserve">jdbi </t>
  </si>
  <si>
    <t xml:space="preserve">jdbj </t>
  </si>
  <si>
    <t xml:space="preserve">jdbk </t>
  </si>
  <si>
    <t xml:space="preserve">jdbm </t>
  </si>
  <si>
    <t xml:space="preserve">jdda </t>
  </si>
  <si>
    <t xml:space="preserve">jeaa </t>
  </si>
  <si>
    <t>Death Machine: Battle Skeleton</t>
  </si>
  <si>
    <t>Sweeper clone 2 (avaa)</t>
  </si>
  <si>
    <t xml:space="preserve">jeab </t>
  </si>
  <si>
    <t>Death Machine: Unidentified Part</t>
  </si>
  <si>
    <t xml:space="preserve">jeam </t>
  </si>
  <si>
    <t xml:space="preserve">jeao </t>
  </si>
  <si>
    <t xml:space="preserve">jeap </t>
  </si>
  <si>
    <t xml:space="preserve">jear </t>
  </si>
  <si>
    <t xml:space="preserve">jeat </t>
  </si>
  <si>
    <t xml:space="preserve">jeav </t>
  </si>
  <si>
    <t xml:space="preserve">jeax </t>
  </si>
  <si>
    <t xml:space="preserve">jeaz </t>
  </si>
  <si>
    <t xml:space="preserve">jebb </t>
  </si>
  <si>
    <t xml:space="preserve">jebc </t>
  </si>
  <si>
    <t xml:space="preserve">jebe </t>
  </si>
  <si>
    <t xml:space="preserve">jebg </t>
  </si>
  <si>
    <t xml:space="preserve">jebi </t>
  </si>
  <si>
    <t xml:space="preserve">jebj </t>
  </si>
  <si>
    <t xml:space="preserve">jebk </t>
  </si>
  <si>
    <t xml:space="preserve">jebl </t>
  </si>
  <si>
    <t xml:space="preserve">jebn </t>
  </si>
  <si>
    <t xml:space="preserve">jebp </t>
  </si>
  <si>
    <t xml:space="preserve">jebr </t>
  </si>
  <si>
    <t xml:space="preserve">jebs </t>
  </si>
  <si>
    <t xml:space="preserve">jebt </t>
  </si>
  <si>
    <t xml:space="preserve">jebu </t>
  </si>
  <si>
    <t xml:space="preserve">jebw </t>
  </si>
  <si>
    <t xml:space="preserve">jeda </t>
  </si>
  <si>
    <t xml:space="preserve">jfaa </t>
  </si>
  <si>
    <t>Slalom: Battle Skeleton</t>
  </si>
  <si>
    <t>Smogger clone 1 (bdaa)</t>
  </si>
  <si>
    <t xml:space="preserve">jfab </t>
  </si>
  <si>
    <t>Slalom: Unidentified Part</t>
  </si>
  <si>
    <t xml:space="preserve">jfam </t>
  </si>
  <si>
    <t xml:space="preserve">jfan </t>
  </si>
  <si>
    <t xml:space="preserve">jfao </t>
  </si>
  <si>
    <t xml:space="preserve">jfas </t>
  </si>
  <si>
    <t xml:space="preserve">jfat </t>
  </si>
  <si>
    <t xml:space="preserve">jfau </t>
  </si>
  <si>
    <t xml:space="preserve">jfaw </t>
  </si>
  <si>
    <t xml:space="preserve">jfay </t>
  </si>
  <si>
    <t xml:space="preserve">jfaz </t>
  </si>
  <si>
    <t xml:space="preserve">jfba </t>
  </si>
  <si>
    <t xml:space="preserve">jfbc </t>
  </si>
  <si>
    <t xml:space="preserve">jfbd </t>
  </si>
  <si>
    <t xml:space="preserve">jfbe </t>
  </si>
  <si>
    <t xml:space="preserve">jfda </t>
  </si>
  <si>
    <t xml:space="preserve">jgaa </t>
  </si>
  <si>
    <t>Scissors: Battle Skeleton</t>
  </si>
  <si>
    <t xml:space="preserve">jgab </t>
  </si>
  <si>
    <t>Scissors: Unidentified Part</t>
  </si>
  <si>
    <t xml:space="preserve">jgam </t>
  </si>
  <si>
    <t xml:space="preserve">jgan </t>
  </si>
  <si>
    <t xml:space="preserve">jgap </t>
  </si>
  <si>
    <t xml:space="preserve">jgaq </t>
  </si>
  <si>
    <t xml:space="preserve">jgas </t>
  </si>
  <si>
    <t xml:space="preserve">jgau </t>
  </si>
  <si>
    <t xml:space="preserve">jgaw </t>
  </si>
  <si>
    <t xml:space="preserve">jgax </t>
  </si>
  <si>
    <t xml:space="preserve">jgaz </t>
  </si>
  <si>
    <t xml:space="preserve">jgbb </t>
  </si>
  <si>
    <t xml:space="preserve">jgbd </t>
  </si>
  <si>
    <t xml:space="preserve">jgbe </t>
  </si>
  <si>
    <t xml:space="preserve">jgbg </t>
  </si>
  <si>
    <t xml:space="preserve">jgbi </t>
  </si>
  <si>
    <t xml:space="preserve">jgbk </t>
  </si>
  <si>
    <t xml:space="preserve">jgbl </t>
  </si>
  <si>
    <t xml:space="preserve">jgbn </t>
  </si>
  <si>
    <t xml:space="preserve">jgbp </t>
  </si>
  <si>
    <t xml:space="preserve">jgda </t>
  </si>
  <si>
    <t xml:space="preserve">jhaa </t>
  </si>
  <si>
    <t>Scissors(Upper): Battle Skeleton</t>
  </si>
  <si>
    <t xml:space="preserve">jhab </t>
  </si>
  <si>
    <t>Scissors(Upper): Unidentified Part</t>
  </si>
  <si>
    <t xml:space="preserve">jham </t>
  </si>
  <si>
    <t xml:space="preserve">jhao </t>
  </si>
  <si>
    <t xml:space="preserve">jhap </t>
  </si>
  <si>
    <t xml:space="preserve">jhar </t>
  </si>
  <si>
    <t xml:space="preserve">jhat </t>
  </si>
  <si>
    <t xml:space="preserve">jhau </t>
  </si>
  <si>
    <t xml:space="preserve">jhav </t>
  </si>
  <si>
    <t xml:space="preserve">jhaw </t>
  </si>
  <si>
    <t xml:space="preserve">jhax </t>
  </si>
  <si>
    <t xml:space="preserve">jhaz </t>
  </si>
  <si>
    <t xml:space="preserve">jhba </t>
  </si>
  <si>
    <t xml:space="preserve">jhbc </t>
  </si>
  <si>
    <t xml:space="preserve">jhbd </t>
  </si>
  <si>
    <t xml:space="preserve">jhbf </t>
  </si>
  <si>
    <t xml:space="preserve">jhbg </t>
  </si>
  <si>
    <t xml:space="preserve">jhbi </t>
  </si>
  <si>
    <t xml:space="preserve">jhbj </t>
  </si>
  <si>
    <t xml:space="preserve">jhbl </t>
  </si>
  <si>
    <t xml:space="preserve">jhbn </t>
  </si>
  <si>
    <t xml:space="preserve">jhda </t>
  </si>
  <si>
    <t xml:space="preserve">jiaa </t>
  </si>
  <si>
    <t>Scissors(Lower): Battle Skeleton</t>
  </si>
  <si>
    <t xml:space="preserve">jiab </t>
  </si>
  <si>
    <t>Scissors(Lower): Unidentified Part</t>
  </si>
  <si>
    <t xml:space="preserve">jiam </t>
  </si>
  <si>
    <t xml:space="preserve">jiao </t>
  </si>
  <si>
    <t xml:space="preserve">jiap </t>
  </si>
  <si>
    <t xml:space="preserve">jiaq </t>
  </si>
  <si>
    <t xml:space="preserve">jias </t>
  </si>
  <si>
    <t xml:space="preserve">jiat </t>
  </si>
  <si>
    <t xml:space="preserve">jiav </t>
  </si>
  <si>
    <t xml:space="preserve">jiaw </t>
  </si>
  <si>
    <t xml:space="preserve">jiay </t>
  </si>
  <si>
    <t xml:space="preserve">jiaz </t>
  </si>
  <si>
    <t xml:space="preserve">jibb </t>
  </si>
  <si>
    <t xml:space="preserve">jibc </t>
  </si>
  <si>
    <t xml:space="preserve">jibe </t>
  </si>
  <si>
    <t xml:space="preserve">jibg </t>
  </si>
  <si>
    <t xml:space="preserve">jibi </t>
  </si>
  <si>
    <t xml:space="preserve">jibj </t>
  </si>
  <si>
    <t xml:space="preserve">jibl </t>
  </si>
  <si>
    <t xml:space="preserve">jibn </t>
  </si>
  <si>
    <t xml:space="preserve">jida </t>
  </si>
  <si>
    <t xml:space="preserve">jjaa </t>
  </si>
  <si>
    <t>Guard System: Battle Skeleton</t>
  </si>
  <si>
    <t>Warning Board clone 1 (byaa)</t>
  </si>
  <si>
    <t xml:space="preserve">jjab </t>
  </si>
  <si>
    <t>Guard System: Unidentified Part</t>
  </si>
  <si>
    <t xml:space="preserve">jjac </t>
  </si>
  <si>
    <t xml:space="preserve">jjam </t>
  </si>
  <si>
    <t>55 K</t>
  </si>
  <si>
    <t xml:space="preserve">jjao </t>
  </si>
  <si>
    <t xml:space="preserve">jjaq </t>
  </si>
  <si>
    <t xml:space="preserve">jjas </t>
  </si>
  <si>
    <t xml:space="preserve">jjau </t>
  </si>
  <si>
    <t xml:space="preserve">jjaw </t>
  </si>
  <si>
    <t xml:space="preserve">jjba </t>
  </si>
  <si>
    <t xml:space="preserve">jjda </t>
  </si>
  <si>
    <t xml:space="preserve">jkaa </t>
  </si>
  <si>
    <t>Quick Machine Gun: Battle Skeleton</t>
  </si>
  <si>
    <t>Proto Machine Gun clone 2 (bgaa)</t>
  </si>
  <si>
    <t xml:space="preserve">jkab </t>
  </si>
  <si>
    <t>Quick Machine Gun: Unidentified Part</t>
  </si>
  <si>
    <t xml:space="preserve">jkam </t>
  </si>
  <si>
    <t xml:space="preserve">jkan </t>
  </si>
  <si>
    <t xml:space="preserve">jkao </t>
  </si>
  <si>
    <t xml:space="preserve">jkap </t>
  </si>
  <si>
    <t xml:space="preserve">jkat </t>
  </si>
  <si>
    <t xml:space="preserve">jkav </t>
  </si>
  <si>
    <t xml:space="preserve">jkaw </t>
  </si>
  <si>
    <t xml:space="preserve">jkax </t>
  </si>
  <si>
    <t xml:space="preserve">jkay </t>
  </si>
  <si>
    <t xml:space="preserve">jkaz </t>
  </si>
  <si>
    <t xml:space="preserve">jkda </t>
  </si>
  <si>
    <t xml:space="preserve">jlaa </t>
  </si>
  <si>
    <t>Rocket Launcher clone 1 (ayaa)</t>
  </si>
  <si>
    <t xml:space="preserve">jlab </t>
  </si>
  <si>
    <t xml:space="preserve">jlam </t>
  </si>
  <si>
    <t xml:space="preserve">jlan </t>
  </si>
  <si>
    <t xml:space="preserve">jlao </t>
  </si>
  <si>
    <t xml:space="preserve">jlas </t>
  </si>
  <si>
    <t xml:space="preserve">jlau </t>
  </si>
  <si>
    <t xml:space="preserve">jlaw </t>
  </si>
  <si>
    <t xml:space="preserve">jlay </t>
  </si>
  <si>
    <t xml:space="preserve">jlaz </t>
  </si>
  <si>
    <t xml:space="preserve">jlbb </t>
  </si>
  <si>
    <t xml:space="preserve">jlbc </t>
  </si>
  <si>
    <t xml:space="preserve">jlbd </t>
  </si>
  <si>
    <t xml:space="preserve">jlbe </t>
  </si>
  <si>
    <t xml:space="preserve">jlda </t>
  </si>
  <si>
    <t xml:space="preserve">jmaa </t>
  </si>
  <si>
    <t>Ghost Ship: Battle Skeleton</t>
  </si>
  <si>
    <t xml:space="preserve">jmab </t>
  </si>
  <si>
    <t>Ghost Ship: Unidentified Part</t>
  </si>
  <si>
    <t xml:space="preserve">jmam </t>
  </si>
  <si>
    <t>92 K</t>
  </si>
  <si>
    <t xml:space="preserve">jmap </t>
  </si>
  <si>
    <t xml:space="preserve">jmaq </t>
  </si>
  <si>
    <t xml:space="preserve">jmar </t>
  </si>
  <si>
    <t xml:space="preserve">jmat </t>
  </si>
  <si>
    <t xml:space="preserve">jmau </t>
  </si>
  <si>
    <t xml:space="preserve">jmaw </t>
  </si>
  <si>
    <t xml:space="preserve">jmax </t>
  </si>
  <si>
    <t xml:space="preserve">jmaz </t>
  </si>
  <si>
    <t xml:space="preserve">jmba </t>
  </si>
  <si>
    <t xml:space="preserve">jmbd </t>
  </si>
  <si>
    <t xml:space="preserve">jmbe </t>
  </si>
  <si>
    <t xml:space="preserve">jmbf </t>
  </si>
  <si>
    <t xml:space="preserve">jmbh </t>
  </si>
  <si>
    <t xml:space="preserve">jmbi </t>
  </si>
  <si>
    <t>624 Bytes</t>
  </si>
  <si>
    <t xml:space="preserve">jmbk </t>
  </si>
  <si>
    <t xml:space="preserve">jmbl </t>
  </si>
  <si>
    <t xml:space="preserve">jmbn </t>
  </si>
  <si>
    <t xml:space="preserve">jmbo </t>
  </si>
  <si>
    <t xml:space="preserve">jmbq </t>
  </si>
  <si>
    <t xml:space="preserve">jmbr </t>
  </si>
  <si>
    <t xml:space="preserve">jmbs </t>
  </si>
  <si>
    <t xml:space="preserve">jmbv </t>
  </si>
  <si>
    <t xml:space="preserve">jmbw </t>
  </si>
  <si>
    <t xml:space="preserve">jmbx </t>
  </si>
  <si>
    <t xml:space="preserve">jmby </t>
  </si>
  <si>
    <t xml:space="preserve">jmca </t>
  </si>
  <si>
    <t xml:space="preserve">jmcd </t>
  </si>
  <si>
    <t xml:space="preserve">jmce </t>
  </si>
  <si>
    <t xml:space="preserve">jmcf </t>
  </si>
  <si>
    <t xml:space="preserve">jmcg </t>
  </si>
  <si>
    <t xml:space="preserve">jmda </t>
  </si>
  <si>
    <t xml:space="preserve">jnaa </t>
  </si>
  <si>
    <t>Corvette: Battle Skeleton</t>
  </si>
  <si>
    <t>Sword Dance clone 1 (cdaa)</t>
  </si>
  <si>
    <t xml:space="preserve">jnab </t>
  </si>
  <si>
    <t>Corvette: Unidentified Part</t>
  </si>
  <si>
    <t xml:space="preserve">jnam </t>
  </si>
  <si>
    <t xml:space="preserve">jnan </t>
  </si>
  <si>
    <t xml:space="preserve">jnao </t>
  </si>
  <si>
    <t xml:space="preserve">jnap </t>
  </si>
  <si>
    <t xml:space="preserve">jnaq </t>
  </si>
  <si>
    <t xml:space="preserve">jnar </t>
  </si>
  <si>
    <t xml:space="preserve">jnas </t>
  </si>
  <si>
    <t xml:space="preserve">jnat </t>
  </si>
  <si>
    <t xml:space="preserve">jnau </t>
  </si>
  <si>
    <t xml:space="preserve">jnav </t>
  </si>
  <si>
    <t xml:space="preserve">jnaw </t>
  </si>
  <si>
    <t xml:space="preserve">jnax </t>
  </si>
  <si>
    <t xml:space="preserve">jnay </t>
  </si>
  <si>
    <t xml:space="preserve">jnaz </t>
  </si>
  <si>
    <t xml:space="preserve">jnba </t>
  </si>
  <si>
    <t xml:space="preserve">jnbb </t>
  </si>
  <si>
    <t xml:space="preserve">jnbc </t>
  </si>
  <si>
    <t xml:space="preserve">jnbd </t>
  </si>
  <si>
    <t xml:space="preserve">jnbe </t>
  </si>
  <si>
    <t xml:space="preserve">jnbf </t>
  </si>
  <si>
    <t xml:space="preserve">jnbh </t>
  </si>
  <si>
    <t xml:space="preserve">jnda </t>
  </si>
  <si>
    <t xml:space="preserve">joaa </t>
  </si>
  <si>
    <t>Diver Nest: Battle Skeleton</t>
  </si>
  <si>
    <t xml:space="preserve">joab </t>
  </si>
  <si>
    <t>Diver Nest: Unidentified Part</t>
  </si>
  <si>
    <t xml:space="preserve">joam </t>
  </si>
  <si>
    <t xml:space="preserve">joan </t>
  </si>
  <si>
    <t xml:space="preserve">joao </t>
  </si>
  <si>
    <t xml:space="preserve">joap </t>
  </si>
  <si>
    <t xml:space="preserve">joaq </t>
  </si>
  <si>
    <t xml:space="preserve">joar </t>
  </si>
  <si>
    <t xml:space="preserve">joas </t>
  </si>
  <si>
    <t xml:space="preserve">joat </t>
  </si>
  <si>
    <t xml:space="preserve">joau </t>
  </si>
  <si>
    <t xml:space="preserve">joav </t>
  </si>
  <si>
    <t xml:space="preserve">joaw </t>
  </si>
  <si>
    <t xml:space="preserve">joay </t>
  </si>
  <si>
    <t xml:space="preserve">joba </t>
  </si>
  <si>
    <t xml:space="preserve">jobc </t>
  </si>
  <si>
    <t xml:space="preserve">jobd </t>
  </si>
  <si>
    <t xml:space="preserve">jobe </t>
  </si>
  <si>
    <t xml:space="preserve">jobg </t>
  </si>
  <si>
    <t xml:space="preserve">jobh </t>
  </si>
  <si>
    <t xml:space="preserve">jobi </t>
  </si>
  <si>
    <t xml:space="preserve">joda </t>
  </si>
  <si>
    <t xml:space="preserve">jpaa </t>
  </si>
  <si>
    <t>Submarine Crew: Battle Skeleton</t>
  </si>
  <si>
    <t>MP clone 4 (aqaa)</t>
  </si>
  <si>
    <t xml:space="preserve">jpab </t>
  </si>
  <si>
    <t>Submarine Crew: Unidentified Part</t>
  </si>
  <si>
    <t xml:space="preserve">jpam </t>
  </si>
  <si>
    <t xml:space="preserve">jpan </t>
  </si>
  <si>
    <t xml:space="preserve">jpao </t>
  </si>
  <si>
    <t xml:space="preserve">jpar </t>
  </si>
  <si>
    <t xml:space="preserve">jpas </t>
  </si>
  <si>
    <t xml:space="preserve">jpat </t>
  </si>
  <si>
    <t xml:space="preserve">jpay </t>
  </si>
  <si>
    <t xml:space="preserve">jpaz </t>
  </si>
  <si>
    <t xml:space="preserve">jpba </t>
  </si>
  <si>
    <t xml:space="preserve">jpbc </t>
  </si>
  <si>
    <t xml:space="preserve">jpbd </t>
  </si>
  <si>
    <t xml:space="preserve">jpbe </t>
  </si>
  <si>
    <t xml:space="preserve">jpbf </t>
  </si>
  <si>
    <t xml:space="preserve">jpbh </t>
  </si>
  <si>
    <t xml:space="preserve">jpbi </t>
  </si>
  <si>
    <t xml:space="preserve">jpbj </t>
  </si>
  <si>
    <t xml:space="preserve">jpbk </t>
  </si>
  <si>
    <t xml:space="preserve">jpck </t>
  </si>
  <si>
    <t xml:space="preserve">jpda </t>
  </si>
  <si>
    <t xml:space="preserve">jqaa </t>
  </si>
  <si>
    <t>Captain: Battle Skeleton</t>
  </si>
  <si>
    <t>MP clone 5 (aqaa)</t>
  </si>
  <si>
    <t xml:space="preserve">jqab </t>
  </si>
  <si>
    <t>Captain: Unidentified Part</t>
  </si>
  <si>
    <t xml:space="preserve">jqam </t>
  </si>
  <si>
    <t xml:space="preserve">jqan </t>
  </si>
  <si>
    <t xml:space="preserve">jqao </t>
  </si>
  <si>
    <t xml:space="preserve">jqar </t>
  </si>
  <si>
    <t xml:space="preserve">jqas </t>
  </si>
  <si>
    <t xml:space="preserve">jqat </t>
  </si>
  <si>
    <t xml:space="preserve">jqay </t>
  </si>
  <si>
    <t xml:space="preserve">jqaz </t>
  </si>
  <si>
    <t xml:space="preserve">jqba </t>
  </si>
  <si>
    <t xml:space="preserve">jqbc </t>
  </si>
  <si>
    <t xml:space="preserve">jqbd </t>
  </si>
  <si>
    <t xml:space="preserve">jqbe </t>
  </si>
  <si>
    <t xml:space="preserve">jqbf </t>
  </si>
  <si>
    <t xml:space="preserve">jqbh </t>
  </si>
  <si>
    <t xml:space="preserve">jqbi </t>
  </si>
  <si>
    <t xml:space="preserve">jqbj </t>
  </si>
  <si>
    <t xml:space="preserve">jqbk </t>
  </si>
  <si>
    <t xml:space="preserve">jqck </t>
  </si>
  <si>
    <t xml:space="preserve">jqda </t>
  </si>
  <si>
    <t xml:space="preserve">jraa </t>
  </si>
  <si>
    <t>Underwater MP: Battle Skeleton</t>
  </si>
  <si>
    <t>MP clone 6 (aqaa)</t>
  </si>
  <si>
    <t xml:space="preserve">jrab </t>
  </si>
  <si>
    <t>Underwater MP: Unidentified Part</t>
  </si>
  <si>
    <t xml:space="preserve">jram </t>
  </si>
  <si>
    <t xml:space="preserve">jran </t>
  </si>
  <si>
    <t xml:space="preserve">jrao </t>
  </si>
  <si>
    <t xml:space="preserve">jrar </t>
  </si>
  <si>
    <t xml:space="preserve">jras </t>
  </si>
  <si>
    <t xml:space="preserve">jrat </t>
  </si>
  <si>
    <t xml:space="preserve">jrav </t>
  </si>
  <si>
    <t xml:space="preserve">jray </t>
  </si>
  <si>
    <t xml:space="preserve">jraz </t>
  </si>
  <si>
    <t xml:space="preserve">jrba </t>
  </si>
  <si>
    <t xml:space="preserve">jrbc </t>
  </si>
  <si>
    <t xml:space="preserve">jrbd </t>
  </si>
  <si>
    <t xml:space="preserve">jrbe </t>
  </si>
  <si>
    <t xml:space="preserve">jrbf </t>
  </si>
  <si>
    <t xml:space="preserve">jrbh </t>
  </si>
  <si>
    <t xml:space="preserve">jrbi </t>
  </si>
  <si>
    <t xml:space="preserve">jrbj </t>
  </si>
  <si>
    <t xml:space="preserve">jrbk </t>
  </si>
  <si>
    <t xml:space="preserve">jrbm </t>
  </si>
  <si>
    <t xml:space="preserve">jrck </t>
  </si>
  <si>
    <t xml:space="preserve">jrda </t>
  </si>
  <si>
    <t xml:space="preserve">jsaa </t>
  </si>
  <si>
    <t>Senior Grunt: Battle Skeleton</t>
  </si>
  <si>
    <t>Grunt clone 2 (ataa)</t>
  </si>
  <si>
    <t xml:space="preserve">jsab </t>
  </si>
  <si>
    <t>Senior Grunt: Unidentified Part</t>
  </si>
  <si>
    <t xml:space="preserve">jsac </t>
  </si>
  <si>
    <t>Senior Grunt: Helmet Parts</t>
  </si>
  <si>
    <t xml:space="preserve">jsad </t>
  </si>
  <si>
    <t>Senior Grunt: Eye</t>
  </si>
  <si>
    <t xml:space="preserve">jsae </t>
  </si>
  <si>
    <t>Senior Grunt: Lower Arm Parts</t>
  </si>
  <si>
    <t xml:space="preserve">jsam </t>
  </si>
  <si>
    <t xml:space="preserve">jsan </t>
  </si>
  <si>
    <t xml:space="preserve">jsao </t>
  </si>
  <si>
    <t xml:space="preserve">jsar </t>
  </si>
  <si>
    <t xml:space="preserve">jsas </t>
  </si>
  <si>
    <t xml:space="preserve">jsau </t>
  </si>
  <si>
    <t xml:space="preserve">jsaw </t>
  </si>
  <si>
    <t xml:space="preserve">jsay </t>
  </si>
  <si>
    <t xml:space="preserve">jsba </t>
  </si>
  <si>
    <t xml:space="preserve">jsbd </t>
  </si>
  <si>
    <t xml:space="preserve">jsbe </t>
  </si>
  <si>
    <t xml:space="preserve">jsbg </t>
  </si>
  <si>
    <t xml:space="preserve">jsbi </t>
  </si>
  <si>
    <t xml:space="preserve">jsbk </t>
  </si>
  <si>
    <t xml:space="preserve">jsbm </t>
  </si>
  <si>
    <t xml:space="preserve">jsbo </t>
  </si>
  <si>
    <t xml:space="preserve">jsbp </t>
  </si>
  <si>
    <t xml:space="preserve">jsbq </t>
  </si>
  <si>
    <t xml:space="preserve">jsbs </t>
  </si>
  <si>
    <t xml:space="preserve">jsbt </t>
  </si>
  <si>
    <t xml:space="preserve">jsbu </t>
  </si>
  <si>
    <t xml:space="preserve">jsda </t>
  </si>
  <si>
    <t xml:space="preserve">jtaa </t>
  </si>
  <si>
    <t>Hard Attacker: Battle Skeleton</t>
  </si>
  <si>
    <t>Bullmotor clone 2 (efaa)</t>
  </si>
  <si>
    <t xml:space="preserve">jtab </t>
  </si>
  <si>
    <t>Hard Attacker: Unidentified Part</t>
  </si>
  <si>
    <t xml:space="preserve">jtan </t>
  </si>
  <si>
    <t xml:space="preserve">jtap </t>
  </si>
  <si>
    <t xml:space="preserve">jtaq </t>
  </si>
  <si>
    <t xml:space="preserve">jtas </t>
  </si>
  <si>
    <t xml:space="preserve">jtau </t>
  </si>
  <si>
    <t xml:space="preserve">jtaw </t>
  </si>
  <si>
    <t xml:space="preserve">jtay </t>
  </si>
  <si>
    <t xml:space="preserve">jtba </t>
  </si>
  <si>
    <t xml:space="preserve">jtda </t>
  </si>
  <si>
    <t xml:space="preserve">juaa </t>
  </si>
  <si>
    <t>Guardian: Battle Skeleton</t>
  </si>
  <si>
    <t xml:space="preserve">juab </t>
  </si>
  <si>
    <t>Guardian: Unidentified Part</t>
  </si>
  <si>
    <t xml:space="preserve">juam </t>
  </si>
  <si>
    <t xml:space="preserve">juan </t>
  </si>
  <si>
    <t xml:space="preserve">juap </t>
  </si>
  <si>
    <t xml:space="preserve">juaq </t>
  </si>
  <si>
    <t xml:space="preserve">juar </t>
  </si>
  <si>
    <t xml:space="preserve">juau </t>
  </si>
  <si>
    <t xml:space="preserve">juav </t>
  </si>
  <si>
    <t xml:space="preserve">juaw </t>
  </si>
  <si>
    <t xml:space="preserve">juba </t>
  </si>
  <si>
    <t xml:space="preserve">jubb </t>
  </si>
  <si>
    <t xml:space="preserve">jubc </t>
  </si>
  <si>
    <t xml:space="preserve">jubf </t>
  </si>
  <si>
    <t xml:space="preserve">jubg </t>
  </si>
  <si>
    <t xml:space="preserve">jubh </t>
  </si>
  <si>
    <t xml:space="preserve">juda </t>
  </si>
  <si>
    <t xml:space="preserve">jvaa </t>
  </si>
  <si>
    <t>Guardian's Hand (Right): Battle Skeleton</t>
  </si>
  <si>
    <t xml:space="preserve">jvab </t>
  </si>
  <si>
    <t>Guardian's Hand (Right): Unidentified Part</t>
  </si>
  <si>
    <t xml:space="preserve">jvam </t>
  </si>
  <si>
    <t xml:space="preserve">jvda </t>
  </si>
  <si>
    <t xml:space="preserve">jwaa </t>
  </si>
  <si>
    <t>Guardian's Hand (Left): Battle Skeleton</t>
  </si>
  <si>
    <t xml:space="preserve">jwab </t>
  </si>
  <si>
    <t>Guardian's Hand (Left): Unidentified Part</t>
  </si>
  <si>
    <t xml:space="preserve">jwam </t>
  </si>
  <si>
    <t xml:space="preserve">jwda </t>
  </si>
  <si>
    <t xml:space="preserve">jxaa </t>
  </si>
  <si>
    <t>Gun Carrier: Battle Skeleton</t>
  </si>
  <si>
    <t xml:space="preserve">jxab </t>
  </si>
  <si>
    <t>Gun Carrier: Unidentified Part</t>
  </si>
  <si>
    <t xml:space="preserve">jxam </t>
  </si>
  <si>
    <t xml:space="preserve">jxar </t>
  </si>
  <si>
    <t xml:space="preserve">jxas </t>
  </si>
  <si>
    <t xml:space="preserve">jxaw </t>
  </si>
  <si>
    <t xml:space="preserve">jxbb </t>
  </si>
  <si>
    <t xml:space="preserve">jxbg </t>
  </si>
  <si>
    <t xml:space="preserve">jxbl </t>
  </si>
  <si>
    <t xml:space="preserve">jxda </t>
  </si>
  <si>
    <t xml:space="preserve">jyaa </t>
  </si>
  <si>
    <t>Carry Armor: Battle Skeleton</t>
  </si>
  <si>
    <t xml:space="preserve">jyab </t>
  </si>
  <si>
    <t>584 Bytes</t>
  </si>
  <si>
    <t>Carry Armor: Unidentified Part</t>
  </si>
  <si>
    <t xml:space="preserve">jyao </t>
  </si>
  <si>
    <t xml:space="preserve">jyap </t>
  </si>
  <si>
    <t xml:space="preserve">jyaq </t>
  </si>
  <si>
    <t xml:space="preserve">jyas </t>
  </si>
  <si>
    <t xml:space="preserve">jyaw </t>
  </si>
  <si>
    <t xml:space="preserve">jyax </t>
  </si>
  <si>
    <t xml:space="preserve">jyay </t>
  </si>
  <si>
    <t xml:space="preserve">jyaz </t>
  </si>
  <si>
    <t xml:space="preserve">jybc </t>
  </si>
  <si>
    <t xml:space="preserve">jybd </t>
  </si>
  <si>
    <t xml:space="preserve">jybf </t>
  </si>
  <si>
    <t xml:space="preserve">jybh </t>
  </si>
  <si>
    <t xml:space="preserve">jybk </t>
  </si>
  <si>
    <t xml:space="preserve">jybl </t>
  </si>
  <si>
    <t xml:space="preserve">jybp </t>
  </si>
  <si>
    <t xml:space="preserve">jybq </t>
  </si>
  <si>
    <t xml:space="preserve">jyda </t>
  </si>
  <si>
    <t xml:space="preserve">jzaa </t>
  </si>
  <si>
    <t>244 Bytes</t>
  </si>
  <si>
    <t>Carry's Left Arm: Battle Skeleton</t>
  </si>
  <si>
    <t xml:space="preserve">jzab </t>
  </si>
  <si>
    <t>576 Bytes</t>
  </si>
  <si>
    <t>Carry's Left Arm: Unidentified Part</t>
  </si>
  <si>
    <t xml:space="preserve">jzav </t>
  </si>
  <si>
    <t xml:space="preserve">jzax </t>
  </si>
  <si>
    <t xml:space="preserve">jzaz </t>
  </si>
  <si>
    <t xml:space="preserve">jzbb </t>
  </si>
  <si>
    <t xml:space="preserve">jzda </t>
  </si>
  <si>
    <t xml:space="preserve">kaaa </t>
  </si>
  <si>
    <t>Carry's Right Arm: Battle Skeleton</t>
  </si>
  <si>
    <t xml:space="preserve">kaab </t>
  </si>
  <si>
    <t>572 Bytes</t>
  </si>
  <si>
    <t>Carry's Right Arm: Unidentified Part</t>
  </si>
  <si>
    <t xml:space="preserve">kaav </t>
  </si>
  <si>
    <t xml:space="preserve">kaax </t>
  </si>
  <si>
    <t xml:space="preserve">kaaz </t>
  </si>
  <si>
    <t xml:space="preserve">kabb </t>
  </si>
  <si>
    <t xml:space="preserve">kada </t>
  </si>
  <si>
    <t xml:space="preserve">kbaa </t>
  </si>
  <si>
    <t>Rilfsak: Battle Skeleton</t>
  </si>
  <si>
    <t xml:space="preserve">kbab </t>
  </si>
  <si>
    <t>Rilfsak: Unidentified Part</t>
  </si>
  <si>
    <t xml:space="preserve">kbam </t>
  </si>
  <si>
    <t xml:space="preserve">kban </t>
  </si>
  <si>
    <t xml:space="preserve">kbao </t>
  </si>
  <si>
    <t xml:space="preserve">kbap </t>
  </si>
  <si>
    <t xml:space="preserve">kbaq </t>
  </si>
  <si>
    <t xml:space="preserve">kbar </t>
  </si>
  <si>
    <t xml:space="preserve">kbas </t>
  </si>
  <si>
    <t xml:space="preserve">kbat </t>
  </si>
  <si>
    <t xml:space="preserve">kbau </t>
  </si>
  <si>
    <t xml:space="preserve">kbav </t>
  </si>
  <si>
    <t xml:space="preserve">kbaw </t>
  </si>
  <si>
    <t xml:space="preserve">kbax </t>
  </si>
  <si>
    <t xml:space="preserve">kbay </t>
  </si>
  <si>
    <t xml:space="preserve">kbaz </t>
  </si>
  <si>
    <t xml:space="preserve">kbba </t>
  </si>
  <si>
    <t xml:space="preserve">kbbb </t>
  </si>
  <si>
    <t xml:space="preserve">kbbc </t>
  </si>
  <si>
    <t xml:space="preserve">kbbd </t>
  </si>
  <si>
    <t xml:space="preserve">kbbe </t>
  </si>
  <si>
    <t>600 Bytes</t>
  </si>
  <si>
    <t xml:space="preserve">kbbf </t>
  </si>
  <si>
    <t xml:space="preserve">kbbg </t>
  </si>
  <si>
    <t xml:space="preserve">kbbh </t>
  </si>
  <si>
    <t xml:space="preserve">kbbi </t>
  </si>
  <si>
    <t xml:space="preserve">kbbj </t>
  </si>
  <si>
    <t xml:space="preserve">kbbl </t>
  </si>
  <si>
    <t xml:space="preserve">kbbm </t>
  </si>
  <si>
    <t xml:space="preserve">kbda </t>
  </si>
  <si>
    <t xml:space="preserve">kcaa </t>
  </si>
  <si>
    <t>Diablo: Battle Skeleton</t>
  </si>
  <si>
    <t>Velcher task clone 1 (flaa)</t>
  </si>
  <si>
    <t xml:space="preserve">kcab </t>
  </si>
  <si>
    <t>Diablo: Unidentified Part</t>
  </si>
  <si>
    <t xml:space="preserve">kcam </t>
  </si>
  <si>
    <t xml:space="preserve">kcan </t>
  </si>
  <si>
    <t xml:space="preserve">kcao </t>
  </si>
  <si>
    <t xml:space="preserve">kcap </t>
  </si>
  <si>
    <t xml:space="preserve">kcar </t>
  </si>
  <si>
    <t xml:space="preserve">kcat </t>
  </si>
  <si>
    <t xml:space="preserve">kcau </t>
  </si>
  <si>
    <t xml:space="preserve">kcav </t>
  </si>
  <si>
    <t xml:space="preserve">kcax </t>
  </si>
  <si>
    <t xml:space="preserve">kcay </t>
  </si>
  <si>
    <t xml:space="preserve">kcaz </t>
  </si>
  <si>
    <t xml:space="preserve">kcbb </t>
  </si>
  <si>
    <t xml:space="preserve">kcbc </t>
  </si>
  <si>
    <t xml:space="preserve">kcbf </t>
  </si>
  <si>
    <t xml:space="preserve">kcbh </t>
  </si>
  <si>
    <t xml:space="preserve">kcbi </t>
  </si>
  <si>
    <t xml:space="preserve">kcbl </t>
  </si>
  <si>
    <t xml:space="preserve">kcbn </t>
  </si>
  <si>
    <t xml:space="preserve">kcbo </t>
  </si>
  <si>
    <t xml:space="preserve">kcbp </t>
  </si>
  <si>
    <t xml:space="preserve">kcbr </t>
  </si>
  <si>
    <t xml:space="preserve">kcbs </t>
  </si>
  <si>
    <t xml:space="preserve">kcbt </t>
  </si>
  <si>
    <t xml:space="preserve">kcbu </t>
  </si>
  <si>
    <t xml:space="preserve">kcbv </t>
  </si>
  <si>
    <t xml:space="preserve">kcbw </t>
  </si>
  <si>
    <t xml:space="preserve">kcbx </t>
  </si>
  <si>
    <t xml:space="preserve">kcda </t>
  </si>
  <si>
    <t xml:space="preserve">kdaa </t>
  </si>
  <si>
    <t>Epiolnis: Battle Skeleton</t>
  </si>
  <si>
    <t>Levrikon clone 1 (dcaa)</t>
  </si>
  <si>
    <t xml:space="preserve">kdab </t>
  </si>
  <si>
    <t>Epiolnis: Unidentified Part</t>
  </si>
  <si>
    <t xml:space="preserve">kdam </t>
  </si>
  <si>
    <t xml:space="preserve">kdap </t>
  </si>
  <si>
    <t xml:space="preserve">kdaq </t>
  </si>
  <si>
    <t xml:space="preserve">kdar </t>
  </si>
  <si>
    <t xml:space="preserve">kdas </t>
  </si>
  <si>
    <t xml:space="preserve">kdat </t>
  </si>
  <si>
    <t xml:space="preserve">kdau </t>
  </si>
  <si>
    <t xml:space="preserve">kdav </t>
  </si>
  <si>
    <t xml:space="preserve">kdaw </t>
  </si>
  <si>
    <t xml:space="preserve">kday </t>
  </si>
  <si>
    <t xml:space="preserve">kdba </t>
  </si>
  <si>
    <t xml:space="preserve">kdbd </t>
  </si>
  <si>
    <t xml:space="preserve">kdbe </t>
  </si>
  <si>
    <t xml:space="preserve">kdbf </t>
  </si>
  <si>
    <t xml:space="preserve">kdbh </t>
  </si>
  <si>
    <t xml:space="preserve">kdbi </t>
  </si>
  <si>
    <t xml:space="preserve">kdbj </t>
  </si>
  <si>
    <t xml:space="preserve">kdbl </t>
  </si>
  <si>
    <t xml:space="preserve">kdbm </t>
  </si>
  <si>
    <t xml:space="preserve">kdbn </t>
  </si>
  <si>
    <t xml:space="preserve">kdbo </t>
  </si>
  <si>
    <t xml:space="preserve">kdda </t>
  </si>
  <si>
    <t xml:space="preserve">keaa </t>
  </si>
  <si>
    <t>Ho-chu: Battle Skeleton</t>
  </si>
  <si>
    <t xml:space="preserve">keab </t>
  </si>
  <si>
    <t>Ho-chu: Unidentified Part</t>
  </si>
  <si>
    <t xml:space="preserve">kean </t>
  </si>
  <si>
    <t xml:space="preserve">keao </t>
  </si>
  <si>
    <t xml:space="preserve">keaq </t>
  </si>
  <si>
    <t xml:space="preserve">kear </t>
  </si>
  <si>
    <t xml:space="preserve">keas </t>
  </si>
  <si>
    <t xml:space="preserve">keau </t>
  </si>
  <si>
    <t xml:space="preserve">keav </t>
  </si>
  <si>
    <t xml:space="preserve">keaw </t>
  </si>
  <si>
    <t xml:space="preserve">keax </t>
  </si>
  <si>
    <t xml:space="preserve">keay </t>
  </si>
  <si>
    <t xml:space="preserve">keba </t>
  </si>
  <si>
    <t xml:space="preserve">kebc </t>
  </si>
  <si>
    <t xml:space="preserve">kebd </t>
  </si>
  <si>
    <t xml:space="preserve">kebe </t>
  </si>
  <si>
    <t xml:space="preserve">kebf </t>
  </si>
  <si>
    <t xml:space="preserve">kebg </t>
  </si>
  <si>
    <t xml:space="preserve">kebi </t>
  </si>
  <si>
    <t xml:space="preserve">kebj </t>
  </si>
  <si>
    <t xml:space="preserve">kebl </t>
  </si>
  <si>
    <t xml:space="preserve">kebn </t>
  </si>
  <si>
    <t xml:space="preserve">kebo </t>
  </si>
  <si>
    <t xml:space="preserve">kebq </t>
  </si>
  <si>
    <t xml:space="preserve">kebs </t>
  </si>
  <si>
    <t xml:space="preserve">kebt </t>
  </si>
  <si>
    <t xml:space="preserve">kebv </t>
  </si>
  <si>
    <t xml:space="preserve">keda </t>
  </si>
  <si>
    <t xml:space="preserve">kfaa </t>
  </si>
  <si>
    <t>Gas Ducter: Battle Skeleton</t>
  </si>
  <si>
    <t xml:space="preserve">kfab </t>
  </si>
  <si>
    <t>Gas Ducter: Unidentified Part</t>
  </si>
  <si>
    <t xml:space="preserve">kfam </t>
  </si>
  <si>
    <t xml:space="preserve">kfan </t>
  </si>
  <si>
    <t xml:space="preserve">kfao </t>
  </si>
  <si>
    <t xml:space="preserve">kfas </t>
  </si>
  <si>
    <t xml:space="preserve">kfat </t>
  </si>
  <si>
    <t xml:space="preserve">kfau </t>
  </si>
  <si>
    <t xml:space="preserve">kfaw </t>
  </si>
  <si>
    <t xml:space="preserve">kfay </t>
  </si>
  <si>
    <t xml:space="preserve">kfaz </t>
  </si>
  <si>
    <t xml:space="preserve">kfba </t>
  </si>
  <si>
    <t xml:space="preserve">kfbc </t>
  </si>
  <si>
    <t xml:space="preserve">kfbd </t>
  </si>
  <si>
    <t xml:space="preserve">kfbe </t>
  </si>
  <si>
    <t xml:space="preserve">kfda </t>
  </si>
  <si>
    <t xml:space="preserve">kgaa </t>
  </si>
  <si>
    <t>Wolfmeister: Battle Skeleton</t>
  </si>
  <si>
    <t xml:space="preserve">kgab </t>
  </si>
  <si>
    <t>Wolfmeister: Unidentified Part</t>
  </si>
  <si>
    <t xml:space="preserve">kgac </t>
  </si>
  <si>
    <t xml:space="preserve">kgam </t>
  </si>
  <si>
    <t xml:space="preserve">kgan </t>
  </si>
  <si>
    <t xml:space="preserve">kgap </t>
  </si>
  <si>
    <t xml:space="preserve">kgar </t>
  </si>
  <si>
    <t xml:space="preserve">kgau </t>
  </si>
  <si>
    <t xml:space="preserve">kgav </t>
  </si>
  <si>
    <t xml:space="preserve">kgay </t>
  </si>
  <si>
    <t xml:space="preserve">kgaz </t>
  </si>
  <si>
    <t xml:space="preserve">kgba </t>
  </si>
  <si>
    <t xml:space="preserve">kgbb </t>
  </si>
  <si>
    <t xml:space="preserve">kgbe </t>
  </si>
  <si>
    <t xml:space="preserve">kgbf </t>
  </si>
  <si>
    <t xml:space="preserve">kgbi </t>
  </si>
  <si>
    <t xml:space="preserve">kgbj </t>
  </si>
  <si>
    <t xml:space="preserve">kgbk </t>
  </si>
  <si>
    <t xml:space="preserve">kgbl </t>
  </si>
  <si>
    <t xml:space="preserve">kgbn </t>
  </si>
  <si>
    <t xml:space="preserve">kgbo </t>
  </si>
  <si>
    <t xml:space="preserve">kgbp </t>
  </si>
  <si>
    <t xml:space="preserve">kgbr </t>
  </si>
  <si>
    <t xml:space="preserve">kgbt </t>
  </si>
  <si>
    <t xml:space="preserve">kgbu </t>
  </si>
  <si>
    <t xml:space="preserve">kgbv </t>
  </si>
  <si>
    <t xml:space="preserve">kgbx </t>
  </si>
  <si>
    <t xml:space="preserve">kgby </t>
  </si>
  <si>
    <t xml:space="preserve">kgda </t>
  </si>
  <si>
    <t xml:space="preserve">khaa </t>
  </si>
  <si>
    <t>Eagle Gun: Battle Skeleton</t>
  </si>
  <si>
    <t xml:space="preserve">khab </t>
  </si>
  <si>
    <t>Eagle Gun: Unidentified Part</t>
  </si>
  <si>
    <t xml:space="preserve">kham </t>
  </si>
  <si>
    <t xml:space="preserve">khao </t>
  </si>
  <si>
    <t xml:space="preserve">khap </t>
  </si>
  <si>
    <t xml:space="preserve">khas </t>
  </si>
  <si>
    <t xml:space="preserve">khau </t>
  </si>
  <si>
    <t xml:space="preserve">khaw </t>
  </si>
  <si>
    <t xml:space="preserve">khay </t>
  </si>
  <si>
    <t xml:space="preserve">khba </t>
  </si>
  <si>
    <t xml:space="preserve">khbc </t>
  </si>
  <si>
    <t xml:space="preserve">khbf </t>
  </si>
  <si>
    <t xml:space="preserve">khbh </t>
  </si>
  <si>
    <t xml:space="preserve">khbj </t>
  </si>
  <si>
    <t xml:space="preserve">khbl </t>
  </si>
  <si>
    <t xml:space="preserve">khbn </t>
  </si>
  <si>
    <t xml:space="preserve">khbp </t>
  </si>
  <si>
    <t xml:space="preserve">khbr </t>
  </si>
  <si>
    <t xml:space="preserve">khbs </t>
  </si>
  <si>
    <t xml:space="preserve">khbt </t>
  </si>
  <si>
    <t xml:space="preserve">khbv </t>
  </si>
  <si>
    <t xml:space="preserve">khbw </t>
  </si>
  <si>
    <t xml:space="preserve">khbx </t>
  </si>
  <si>
    <t xml:space="preserve">khbz </t>
  </si>
  <si>
    <t xml:space="preserve">khca </t>
  </si>
  <si>
    <t xml:space="preserve">khda </t>
  </si>
  <si>
    <t xml:space="preserve">kiaa </t>
  </si>
  <si>
    <t>Serpent: Battle Skeleton</t>
  </si>
  <si>
    <t xml:space="preserve">kiab </t>
  </si>
  <si>
    <t>Serpent: Unidentified Part</t>
  </si>
  <si>
    <t xml:space="preserve">kiam </t>
  </si>
  <si>
    <t xml:space="preserve">kian </t>
  </si>
  <si>
    <t xml:space="preserve">kiao </t>
  </si>
  <si>
    <t xml:space="preserve">kiap </t>
  </si>
  <si>
    <t xml:space="preserve">kiar </t>
  </si>
  <si>
    <t xml:space="preserve">kiat </t>
  </si>
  <si>
    <t xml:space="preserve">kiau </t>
  </si>
  <si>
    <t xml:space="preserve">kiav </t>
  </si>
  <si>
    <t xml:space="preserve">kiax </t>
  </si>
  <si>
    <t xml:space="preserve">kiay </t>
  </si>
  <si>
    <t xml:space="preserve">kiaz </t>
  </si>
  <si>
    <t xml:space="preserve">kiba </t>
  </si>
  <si>
    <t xml:space="preserve">kibb </t>
  </si>
  <si>
    <t xml:space="preserve">kibc </t>
  </si>
  <si>
    <t xml:space="preserve">kibd </t>
  </si>
  <si>
    <t xml:space="preserve">kibe </t>
  </si>
  <si>
    <t xml:space="preserve">kibf </t>
  </si>
  <si>
    <t xml:space="preserve">kibg </t>
  </si>
  <si>
    <t xml:space="preserve">kibh </t>
  </si>
  <si>
    <t xml:space="preserve">kibi </t>
  </si>
  <si>
    <t xml:space="preserve">kibj </t>
  </si>
  <si>
    <t xml:space="preserve">kibl </t>
  </si>
  <si>
    <t xml:space="preserve">kibm </t>
  </si>
  <si>
    <t xml:space="preserve">kibn </t>
  </si>
  <si>
    <t xml:space="preserve">kibp </t>
  </si>
  <si>
    <t xml:space="preserve">kibq </t>
  </si>
  <si>
    <t xml:space="preserve">kibr </t>
  </si>
  <si>
    <t xml:space="preserve">kida </t>
  </si>
  <si>
    <t xml:space="preserve">kjaa </t>
  </si>
  <si>
    <t>Poodler: Battle Skeleton</t>
  </si>
  <si>
    <t>Beach Plug clone 1 (dvaa)</t>
  </si>
  <si>
    <t xml:space="preserve">kjab </t>
  </si>
  <si>
    <t>Poodler: Unidentified Part</t>
  </si>
  <si>
    <t xml:space="preserve">kjam </t>
  </si>
  <si>
    <t xml:space="preserve">kjan </t>
  </si>
  <si>
    <t xml:space="preserve">kjao </t>
  </si>
  <si>
    <t xml:space="preserve">kjap </t>
  </si>
  <si>
    <t xml:space="preserve">kjaq </t>
  </si>
  <si>
    <t xml:space="preserve">kjar </t>
  </si>
  <si>
    <t xml:space="preserve">kjat </t>
  </si>
  <si>
    <t xml:space="preserve">kjau </t>
  </si>
  <si>
    <t xml:space="preserve">kjav </t>
  </si>
  <si>
    <t xml:space="preserve">kjaw </t>
  </si>
  <si>
    <t xml:space="preserve">kjay </t>
  </si>
  <si>
    <t xml:space="preserve">kjaz </t>
  </si>
  <si>
    <t xml:space="preserve">kjba </t>
  </si>
  <si>
    <t xml:space="preserve">kjbb </t>
  </si>
  <si>
    <t xml:space="preserve">kjbc </t>
  </si>
  <si>
    <t xml:space="preserve">kjbd </t>
  </si>
  <si>
    <t xml:space="preserve">kjbe </t>
  </si>
  <si>
    <t xml:space="preserve">kjbf </t>
  </si>
  <si>
    <t xml:space="preserve">kjbh </t>
  </si>
  <si>
    <t xml:space="preserve">kjbj </t>
  </si>
  <si>
    <t xml:space="preserve">kjbl </t>
  </si>
  <si>
    <t xml:space="preserve">kjbn </t>
  </si>
  <si>
    <t xml:space="preserve">kjbp </t>
  </si>
  <si>
    <t xml:space="preserve">kjda </t>
  </si>
  <si>
    <t xml:space="preserve">kkaa </t>
  </si>
  <si>
    <t>Bad Rap: Battle Skeleton</t>
  </si>
  <si>
    <t xml:space="preserve">kkab </t>
  </si>
  <si>
    <t>Bad Rap: Unidentified Part</t>
  </si>
  <si>
    <t xml:space="preserve">kkam </t>
  </si>
  <si>
    <t xml:space="preserve">kkan </t>
  </si>
  <si>
    <t xml:space="preserve">kkar </t>
  </si>
  <si>
    <t xml:space="preserve">kkat </t>
  </si>
  <si>
    <t xml:space="preserve">kkau </t>
  </si>
  <si>
    <t xml:space="preserve">kkav </t>
  </si>
  <si>
    <t xml:space="preserve">kkaw </t>
  </si>
  <si>
    <t xml:space="preserve">kkax </t>
  </si>
  <si>
    <t xml:space="preserve">kkay </t>
  </si>
  <si>
    <t xml:space="preserve">kkaz </t>
  </si>
  <si>
    <t xml:space="preserve">kkba </t>
  </si>
  <si>
    <t xml:space="preserve">kkbb </t>
  </si>
  <si>
    <t xml:space="preserve">kkbc </t>
  </si>
  <si>
    <t xml:space="preserve">kkbe </t>
  </si>
  <si>
    <t xml:space="preserve">kkbf </t>
  </si>
  <si>
    <t xml:space="preserve">kkbg </t>
  </si>
  <si>
    <t xml:space="preserve">kkbh </t>
  </si>
  <si>
    <t xml:space="preserve">kkbi </t>
  </si>
  <si>
    <t xml:space="preserve">kkbj </t>
  </si>
  <si>
    <t>868 Bytes</t>
  </si>
  <si>
    <t xml:space="preserve">kkbk </t>
  </si>
  <si>
    <t xml:space="preserve">kkbl </t>
  </si>
  <si>
    <t xml:space="preserve">kkbm </t>
  </si>
  <si>
    <t xml:space="preserve">kkbn </t>
  </si>
  <si>
    <t xml:space="preserve">kkbp </t>
  </si>
  <si>
    <t xml:space="preserve">kkbr </t>
  </si>
  <si>
    <t xml:space="preserve">kkbt </t>
  </si>
  <si>
    <t xml:space="preserve">kkbv </t>
  </si>
  <si>
    <t xml:space="preserve">kkda </t>
  </si>
  <si>
    <t xml:space="preserve">klaa </t>
  </si>
  <si>
    <t>Unknown (tongue): Battle Skeleton</t>
  </si>
  <si>
    <t xml:space="preserve">klab </t>
  </si>
  <si>
    <t>Unknown (tongue): Unidentified Part</t>
  </si>
  <si>
    <t xml:space="preserve">klam </t>
  </si>
  <si>
    <t xml:space="preserve">klan </t>
  </si>
  <si>
    <t xml:space="preserve">klap </t>
  </si>
  <si>
    <t xml:space="preserve">klaq </t>
  </si>
  <si>
    <t xml:space="preserve">klas </t>
  </si>
  <si>
    <t xml:space="preserve">klat </t>
  </si>
  <si>
    <t xml:space="preserve">klav </t>
  </si>
  <si>
    <t xml:space="preserve">klax </t>
  </si>
  <si>
    <t xml:space="preserve">klay </t>
  </si>
  <si>
    <t xml:space="preserve">klaz </t>
  </si>
  <si>
    <t xml:space="preserve">klba </t>
  </si>
  <si>
    <t xml:space="preserve">klbb </t>
  </si>
  <si>
    <t xml:space="preserve">klbd </t>
  </si>
  <si>
    <t xml:space="preserve">klbf </t>
  </si>
  <si>
    <t xml:space="preserve">klbh </t>
  </si>
  <si>
    <t xml:space="preserve">klbj </t>
  </si>
  <si>
    <t xml:space="preserve">klbl </t>
  </si>
  <si>
    <t xml:space="preserve">klbn </t>
  </si>
  <si>
    <t xml:space="preserve">klbo </t>
  </si>
  <si>
    <t xml:space="preserve">klbp </t>
  </si>
  <si>
    <t xml:space="preserve">klbq </t>
  </si>
  <si>
    <t xml:space="preserve">klbr </t>
  </si>
  <si>
    <t xml:space="preserve">klbt </t>
  </si>
  <si>
    <t xml:space="preserve">klbv </t>
  </si>
  <si>
    <t xml:space="preserve">klbx </t>
  </si>
  <si>
    <t xml:space="preserve">klbz </t>
  </si>
  <si>
    <t xml:space="preserve">klcb </t>
  </si>
  <si>
    <t xml:space="preserve">klcc </t>
  </si>
  <si>
    <t xml:space="preserve">klcd </t>
  </si>
  <si>
    <t xml:space="preserve">klce </t>
  </si>
  <si>
    <t xml:space="preserve">klcf </t>
  </si>
  <si>
    <t xml:space="preserve">klcg </t>
  </si>
  <si>
    <t xml:space="preserve">klch </t>
  </si>
  <si>
    <t xml:space="preserve">klda </t>
  </si>
  <si>
    <t xml:space="preserve">kmaa </t>
  </si>
  <si>
    <t>Unknown3 (creep): Battle Skeleton</t>
  </si>
  <si>
    <t xml:space="preserve">kmab </t>
  </si>
  <si>
    <t>Unknown3 (creep): Unidentified Part</t>
  </si>
  <si>
    <t xml:space="preserve">kmam </t>
  </si>
  <si>
    <t xml:space="preserve">kman </t>
  </si>
  <si>
    <t xml:space="preserve">kmao </t>
  </si>
  <si>
    <t xml:space="preserve">kmap </t>
  </si>
  <si>
    <t xml:space="preserve">kmaq </t>
  </si>
  <si>
    <t xml:space="preserve">kmar </t>
  </si>
  <si>
    <t xml:space="preserve">kmav </t>
  </si>
  <si>
    <t xml:space="preserve">kmax </t>
  </si>
  <si>
    <t xml:space="preserve">kmay </t>
  </si>
  <si>
    <t xml:space="preserve">kmba </t>
  </si>
  <si>
    <t xml:space="preserve">kmbc </t>
  </si>
  <si>
    <t xml:space="preserve">kmbd </t>
  </si>
  <si>
    <t xml:space="preserve">kmbe </t>
  </si>
  <si>
    <t xml:space="preserve">kmbf </t>
  </si>
  <si>
    <t xml:space="preserve">kmbg </t>
  </si>
  <si>
    <t xml:space="preserve">kmbh </t>
  </si>
  <si>
    <t xml:space="preserve">kmbj </t>
  </si>
  <si>
    <t xml:space="preserve">kmbk </t>
  </si>
  <si>
    <t xml:space="preserve">kmbm </t>
  </si>
  <si>
    <t xml:space="preserve">kmbn </t>
  </si>
  <si>
    <t xml:space="preserve">kmbp </t>
  </si>
  <si>
    <t xml:space="preserve">kmbq </t>
  </si>
  <si>
    <t xml:space="preserve">kmbr </t>
  </si>
  <si>
    <t>kmbs</t>
  </si>
  <si>
    <t>kmbu</t>
  </si>
  <si>
    <t>kmbv</t>
  </si>
  <si>
    <t>kmbx</t>
  </si>
  <si>
    <t>kmby</t>
  </si>
  <si>
    <t>kmbz</t>
  </si>
  <si>
    <t>kmcb</t>
  </si>
  <si>
    <t xml:space="preserve">kmcc </t>
  </si>
  <si>
    <t xml:space="preserve">kmda </t>
  </si>
  <si>
    <t xml:space="preserve">knaa </t>
  </si>
  <si>
    <t>Unknown2 (needle): Battle Skeleton</t>
  </si>
  <si>
    <t xml:space="preserve">knab </t>
  </si>
  <si>
    <t>Unknown2 (needle): Unidentified Part</t>
  </si>
  <si>
    <t xml:space="preserve">knam </t>
  </si>
  <si>
    <t xml:space="preserve">knan </t>
  </si>
  <si>
    <t xml:space="preserve">knao </t>
  </si>
  <si>
    <t xml:space="preserve">knap </t>
  </si>
  <si>
    <t xml:space="preserve">knar </t>
  </si>
  <si>
    <t xml:space="preserve">knas </t>
  </si>
  <si>
    <t xml:space="preserve">knau </t>
  </si>
  <si>
    <t xml:space="preserve">knav </t>
  </si>
  <si>
    <t xml:space="preserve">knax </t>
  </si>
  <si>
    <t xml:space="preserve">knay </t>
  </si>
  <si>
    <t xml:space="preserve">knbb </t>
  </si>
  <si>
    <t xml:space="preserve">knbc </t>
  </si>
  <si>
    <t xml:space="preserve">knbe </t>
  </si>
  <si>
    <t xml:space="preserve">knbf </t>
  </si>
  <si>
    <t xml:space="preserve">knbh </t>
  </si>
  <si>
    <t xml:space="preserve">knbi </t>
  </si>
  <si>
    <t xml:space="preserve">knbk </t>
  </si>
  <si>
    <t xml:space="preserve">knbl </t>
  </si>
  <si>
    <t xml:space="preserve">knbm </t>
  </si>
  <si>
    <t xml:space="preserve">knbn </t>
  </si>
  <si>
    <t xml:space="preserve">knbo </t>
  </si>
  <si>
    <t xml:space="preserve">knbp </t>
  </si>
  <si>
    <t xml:space="preserve">knbq </t>
  </si>
  <si>
    <t xml:space="preserve">knbt </t>
  </si>
  <si>
    <t xml:space="preserve">knbu </t>
  </si>
  <si>
    <t xml:space="preserve">knbw </t>
  </si>
  <si>
    <t xml:space="preserve">knbx </t>
  </si>
  <si>
    <t xml:space="preserve">knbz </t>
  </si>
  <si>
    <t xml:space="preserve">knca </t>
  </si>
  <si>
    <t xml:space="preserve">kncc </t>
  </si>
  <si>
    <t xml:space="preserve">kncd </t>
  </si>
  <si>
    <t xml:space="preserve">kncf </t>
  </si>
  <si>
    <t xml:space="preserve">knch </t>
  </si>
  <si>
    <t xml:space="preserve">knda </t>
  </si>
  <si>
    <t xml:space="preserve">koaa </t>
  </si>
  <si>
    <t>(3/Gelnika) copy 2 (bwaa)</t>
  </si>
  <si>
    <t xml:space="preserve">koab </t>
  </si>
  <si>
    <t xml:space="preserve">koac </t>
  </si>
  <si>
    <t xml:space="preserve">koam </t>
  </si>
  <si>
    <t xml:space="preserve">koan </t>
  </si>
  <si>
    <t xml:space="preserve">koap </t>
  </si>
  <si>
    <t xml:space="preserve">koaq </t>
  </si>
  <si>
    <t xml:space="preserve">koar </t>
  </si>
  <si>
    <t xml:space="preserve">koas </t>
  </si>
  <si>
    <t xml:space="preserve">koau </t>
  </si>
  <si>
    <t xml:space="preserve">koav </t>
  </si>
  <si>
    <t xml:space="preserve">koaw </t>
  </si>
  <si>
    <t xml:space="preserve">koay </t>
  </si>
  <si>
    <t xml:space="preserve">koba </t>
  </si>
  <si>
    <t xml:space="preserve">kobb </t>
  </si>
  <si>
    <t xml:space="preserve">kobc </t>
  </si>
  <si>
    <t xml:space="preserve">kobe </t>
  </si>
  <si>
    <t xml:space="preserve">kobh </t>
  </si>
  <si>
    <t xml:space="preserve">kobi </t>
  </si>
  <si>
    <t xml:space="preserve">kobj </t>
  </si>
  <si>
    <t xml:space="preserve">kobm </t>
  </si>
  <si>
    <t xml:space="preserve">kobn </t>
  </si>
  <si>
    <t xml:space="preserve">kobo </t>
  </si>
  <si>
    <t xml:space="preserve">kobq </t>
  </si>
  <si>
    <t xml:space="preserve">koda </t>
  </si>
  <si>
    <t xml:space="preserve">kpaa </t>
  </si>
  <si>
    <t>(3/Gelnika) copy 1 (eyaa)</t>
  </si>
  <si>
    <t xml:space="preserve">kpab </t>
  </si>
  <si>
    <t xml:space="preserve">kpac </t>
  </si>
  <si>
    <t xml:space="preserve">kpam </t>
  </si>
  <si>
    <t xml:space="preserve">kpan </t>
  </si>
  <si>
    <t xml:space="preserve">kpao </t>
  </si>
  <si>
    <t xml:space="preserve">kpaq </t>
  </si>
  <si>
    <t xml:space="preserve">kpar </t>
  </si>
  <si>
    <t xml:space="preserve">kpas </t>
  </si>
  <si>
    <t xml:space="preserve">kpau </t>
  </si>
  <si>
    <t xml:space="preserve">kpaw </t>
  </si>
  <si>
    <t xml:space="preserve">kpax </t>
  </si>
  <si>
    <t xml:space="preserve">kpay </t>
  </si>
  <si>
    <t xml:space="preserve">kpba </t>
  </si>
  <si>
    <t xml:space="preserve">kpbd </t>
  </si>
  <si>
    <t xml:space="preserve">kpbe </t>
  </si>
  <si>
    <t xml:space="preserve">kpbf </t>
  </si>
  <si>
    <t xml:space="preserve">kpbi </t>
  </si>
  <si>
    <t xml:space="preserve">kpbj </t>
  </si>
  <si>
    <t xml:space="preserve">kpbk </t>
  </si>
  <si>
    <t xml:space="preserve">kpda </t>
  </si>
  <si>
    <t xml:space="preserve">kqaa </t>
  </si>
  <si>
    <t>Hippogriff: Battle Skeleton</t>
  </si>
  <si>
    <t>Griffin clone 1 (faaa)</t>
  </si>
  <si>
    <t xml:space="preserve">kqab </t>
  </si>
  <si>
    <t>Hippogriff: Unidentified Part</t>
  </si>
  <si>
    <t xml:space="preserve">kqac </t>
  </si>
  <si>
    <t xml:space="preserve">kqad </t>
  </si>
  <si>
    <t xml:space="preserve">kqae </t>
  </si>
  <si>
    <t xml:space="preserve">kqaf </t>
  </si>
  <si>
    <t xml:space="preserve">kqao </t>
  </si>
  <si>
    <t xml:space="preserve">kqap </t>
  </si>
  <si>
    <t xml:space="preserve">kqaq </t>
  </si>
  <si>
    <t xml:space="preserve">kqar </t>
  </si>
  <si>
    <t xml:space="preserve">kqas </t>
  </si>
  <si>
    <t xml:space="preserve">kqat </t>
  </si>
  <si>
    <t xml:space="preserve">kqau </t>
  </si>
  <si>
    <t xml:space="preserve">kqav </t>
  </si>
  <si>
    <t xml:space="preserve">kqaw </t>
  </si>
  <si>
    <t xml:space="preserve">kqax </t>
  </si>
  <si>
    <t xml:space="preserve">kqay </t>
  </si>
  <si>
    <t xml:space="preserve">kqba </t>
  </si>
  <si>
    <t xml:space="preserve">kqbb </t>
  </si>
  <si>
    <t xml:space="preserve">kqbc </t>
  </si>
  <si>
    <t xml:space="preserve">kqbe </t>
  </si>
  <si>
    <t xml:space="preserve">kqbg </t>
  </si>
  <si>
    <t xml:space="preserve">kqbh </t>
  </si>
  <si>
    <t xml:space="preserve">kqbi </t>
  </si>
  <si>
    <t xml:space="preserve">kqbk </t>
  </si>
  <si>
    <t xml:space="preserve">kqbl </t>
  </si>
  <si>
    <t xml:space="preserve">kqbm </t>
  </si>
  <si>
    <t xml:space="preserve">kqbo </t>
  </si>
  <si>
    <t xml:space="preserve">kqbp </t>
  </si>
  <si>
    <t xml:space="preserve">kqbq </t>
  </si>
  <si>
    <t xml:space="preserve">kqbr </t>
  </si>
  <si>
    <t xml:space="preserve">kqbt </t>
  </si>
  <si>
    <t xml:space="preserve">kqbu </t>
  </si>
  <si>
    <t xml:space="preserve">kqbv </t>
  </si>
  <si>
    <t xml:space="preserve">kqbx </t>
  </si>
  <si>
    <t xml:space="preserve">kqbz </t>
  </si>
  <si>
    <t xml:space="preserve">kqca </t>
  </si>
  <si>
    <t xml:space="preserve">kqcb </t>
  </si>
  <si>
    <t xml:space="preserve">kqcc </t>
  </si>
  <si>
    <t xml:space="preserve">kqcd </t>
  </si>
  <si>
    <t xml:space="preserve">kqce </t>
  </si>
  <si>
    <t xml:space="preserve">kqcf </t>
  </si>
  <si>
    <t xml:space="preserve">kqcg </t>
  </si>
  <si>
    <t xml:space="preserve">kqch </t>
  </si>
  <si>
    <t xml:space="preserve">kqda </t>
  </si>
  <si>
    <t xml:space="preserve">kraa </t>
  </si>
  <si>
    <t>Head Hunter: Battle Skeleton</t>
  </si>
  <si>
    <t>Garshtrike clone 1 (axaa)</t>
  </si>
  <si>
    <t xml:space="preserve">krab </t>
  </si>
  <si>
    <t>Head Hunter: Unidentified Part</t>
  </si>
  <si>
    <t xml:space="preserve">kram </t>
  </si>
  <si>
    <t xml:space="preserve">krao </t>
  </si>
  <si>
    <t xml:space="preserve">kraq </t>
  </si>
  <si>
    <t xml:space="preserve">kras </t>
  </si>
  <si>
    <t xml:space="preserve">krat </t>
  </si>
  <si>
    <t xml:space="preserve">krav </t>
  </si>
  <si>
    <t xml:space="preserve">kraw </t>
  </si>
  <si>
    <t xml:space="preserve">kray </t>
  </si>
  <si>
    <t xml:space="preserve">kraz </t>
  </si>
  <si>
    <t xml:space="preserve">krba </t>
  </si>
  <si>
    <t xml:space="preserve">krbc </t>
  </si>
  <si>
    <t xml:space="preserve">krbd </t>
  </si>
  <si>
    <t xml:space="preserve">krbe </t>
  </si>
  <si>
    <t xml:space="preserve">krbf </t>
  </si>
  <si>
    <t xml:space="preserve">krbh </t>
  </si>
  <si>
    <t xml:space="preserve">krbi </t>
  </si>
  <si>
    <t xml:space="preserve">krbj </t>
  </si>
  <si>
    <t xml:space="preserve">krbk </t>
  </si>
  <si>
    <t xml:space="preserve">krbl </t>
  </si>
  <si>
    <t xml:space="preserve">krbm </t>
  </si>
  <si>
    <t xml:space="preserve">krbn </t>
  </si>
  <si>
    <t xml:space="preserve">krbo </t>
  </si>
  <si>
    <t xml:space="preserve">krbp </t>
  </si>
  <si>
    <t xml:space="preserve">krda </t>
  </si>
  <si>
    <t xml:space="preserve">ksaa </t>
  </si>
  <si>
    <t>Spiral: Battle Skeleton</t>
  </si>
  <si>
    <t xml:space="preserve">ksab </t>
  </si>
  <si>
    <t>Spiral: Unidentified Part</t>
  </si>
  <si>
    <t xml:space="preserve">ksam </t>
  </si>
  <si>
    <t xml:space="preserve">ksan </t>
  </si>
  <si>
    <t xml:space="preserve">ksao </t>
  </si>
  <si>
    <t xml:space="preserve">ksaq </t>
  </si>
  <si>
    <t xml:space="preserve">ksas </t>
  </si>
  <si>
    <t xml:space="preserve">ksat </t>
  </si>
  <si>
    <t xml:space="preserve">ksau </t>
  </si>
  <si>
    <t xml:space="preserve">ksav </t>
  </si>
  <si>
    <t xml:space="preserve">ksax </t>
  </si>
  <si>
    <t xml:space="preserve">ksay </t>
  </si>
  <si>
    <t xml:space="preserve">ksaz </t>
  </si>
  <si>
    <t xml:space="preserve">ksba </t>
  </si>
  <si>
    <t xml:space="preserve">ksbc </t>
  </si>
  <si>
    <t xml:space="preserve">ksbe </t>
  </si>
  <si>
    <t xml:space="preserve">ksbf </t>
  </si>
  <si>
    <t xml:space="preserve">ksbg </t>
  </si>
  <si>
    <t xml:space="preserve">ksbh </t>
  </si>
  <si>
    <t xml:space="preserve">ksbi </t>
  </si>
  <si>
    <t xml:space="preserve">ksbk </t>
  </si>
  <si>
    <t xml:space="preserve">ksbl </t>
  </si>
  <si>
    <t xml:space="preserve">ksbm </t>
  </si>
  <si>
    <t xml:space="preserve">ksbn </t>
  </si>
  <si>
    <t xml:space="preserve">ksbo </t>
  </si>
  <si>
    <t xml:space="preserve">ksbp </t>
  </si>
  <si>
    <t xml:space="preserve">ksbq </t>
  </si>
  <si>
    <t xml:space="preserve">ksbr </t>
  </si>
  <si>
    <t xml:space="preserve">ksbs </t>
  </si>
  <si>
    <t xml:space="preserve">ksbt </t>
  </si>
  <si>
    <t xml:space="preserve">ksbu </t>
  </si>
  <si>
    <t xml:space="preserve">ksbv </t>
  </si>
  <si>
    <t xml:space="preserve">ksbw </t>
  </si>
  <si>
    <t xml:space="preserve">ksda </t>
  </si>
  <si>
    <t xml:space="preserve">ktaa </t>
  </si>
  <si>
    <t>Crysales: Battle Skeleton</t>
  </si>
  <si>
    <t>Jayjujayme clone 1 (guaa)</t>
  </si>
  <si>
    <t xml:space="preserve">ktab </t>
  </si>
  <si>
    <t>Crysales: Unidentified Part</t>
  </si>
  <si>
    <t xml:space="preserve">ktac </t>
  </si>
  <si>
    <t xml:space="preserve">ktao </t>
  </si>
  <si>
    <t xml:space="preserve">ktar </t>
  </si>
  <si>
    <t xml:space="preserve">ktau </t>
  </si>
  <si>
    <t xml:space="preserve">ktaw </t>
  </si>
  <si>
    <t xml:space="preserve">ktay </t>
  </si>
  <si>
    <t xml:space="preserve">ktba </t>
  </si>
  <si>
    <t xml:space="preserve">ktbb </t>
  </si>
  <si>
    <t xml:space="preserve">ktbe </t>
  </si>
  <si>
    <t xml:space="preserve">ktbh </t>
  </si>
  <si>
    <t xml:space="preserve">ktbk </t>
  </si>
  <si>
    <t xml:space="preserve">ktbn </t>
  </si>
  <si>
    <t xml:space="preserve">ktbq </t>
  </si>
  <si>
    <t xml:space="preserve">ktbt </t>
  </si>
  <si>
    <t xml:space="preserve">ktbw </t>
  </si>
  <si>
    <t xml:space="preserve">ktbz </t>
  </si>
  <si>
    <t xml:space="preserve">ktda </t>
  </si>
  <si>
    <t xml:space="preserve">kuaa </t>
  </si>
  <si>
    <t>Sea Worm: Battle Skeleton</t>
  </si>
  <si>
    <t>Land worm clone 1 (egaa)</t>
  </si>
  <si>
    <t xml:space="preserve">kuab </t>
  </si>
  <si>
    <t>Sea Worm: Unidentified Part</t>
  </si>
  <si>
    <t xml:space="preserve">kuam </t>
  </si>
  <si>
    <t xml:space="preserve">kuan </t>
  </si>
  <si>
    <t xml:space="preserve">kuao </t>
  </si>
  <si>
    <t xml:space="preserve">kuap </t>
  </si>
  <si>
    <t xml:space="preserve">kuaq </t>
  </si>
  <si>
    <t xml:space="preserve">kuas </t>
  </si>
  <si>
    <t xml:space="preserve">kuau </t>
  </si>
  <si>
    <t xml:space="preserve">kuav </t>
  </si>
  <si>
    <t xml:space="preserve">kuax </t>
  </si>
  <si>
    <t xml:space="preserve">kuay </t>
  </si>
  <si>
    <t xml:space="preserve">kuba </t>
  </si>
  <si>
    <t xml:space="preserve">kubb </t>
  </si>
  <si>
    <t xml:space="preserve">kubd </t>
  </si>
  <si>
    <t xml:space="preserve">kube </t>
  </si>
  <si>
    <t xml:space="preserve">kubg </t>
  </si>
  <si>
    <t xml:space="preserve">kubh </t>
  </si>
  <si>
    <t xml:space="preserve">kubj </t>
  </si>
  <si>
    <t xml:space="preserve">kubk </t>
  </si>
  <si>
    <t xml:space="preserve">kubm </t>
  </si>
  <si>
    <t xml:space="preserve">kubn </t>
  </si>
  <si>
    <t xml:space="preserve">kubp </t>
  </si>
  <si>
    <t>kubq</t>
  </si>
  <si>
    <t>kubs</t>
  </si>
  <si>
    <t>kubt</t>
  </si>
  <si>
    <t>kubu</t>
  </si>
  <si>
    <t>kubv</t>
  </si>
  <si>
    <t>kubw</t>
  </si>
  <si>
    <t>kubx</t>
  </si>
  <si>
    <t>kuby</t>
  </si>
  <si>
    <t xml:space="preserve">kubz </t>
  </si>
  <si>
    <t xml:space="preserve">kuda </t>
  </si>
  <si>
    <t xml:space="preserve">kvaa </t>
  </si>
  <si>
    <t>(2/Rocket Town) Copy 3</t>
  </si>
  <si>
    <t xml:space="preserve">kvab </t>
  </si>
  <si>
    <t>kvac</t>
  </si>
  <si>
    <t xml:space="preserve">kvam </t>
  </si>
  <si>
    <t xml:space="preserve">kvan </t>
  </si>
  <si>
    <t xml:space="preserve">kvao </t>
  </si>
  <si>
    <t xml:space="preserve">kvaq </t>
  </si>
  <si>
    <t xml:space="preserve">kvar </t>
  </si>
  <si>
    <t>kvas</t>
  </si>
  <si>
    <t xml:space="preserve">kvau </t>
  </si>
  <si>
    <t xml:space="preserve">kvaw </t>
  </si>
  <si>
    <t>kvax</t>
  </si>
  <si>
    <t xml:space="preserve">kvay </t>
  </si>
  <si>
    <t xml:space="preserve">kvba </t>
  </si>
  <si>
    <t xml:space="preserve">kvbd </t>
  </si>
  <si>
    <t xml:space="preserve">kvbe </t>
  </si>
  <si>
    <t xml:space="preserve">kvbf </t>
  </si>
  <si>
    <t xml:space="preserve">kvbi </t>
  </si>
  <si>
    <t xml:space="preserve">kvbj </t>
  </si>
  <si>
    <t xml:space="preserve">kvbk </t>
  </si>
  <si>
    <t xml:space="preserve">kvda </t>
  </si>
  <si>
    <t xml:space="preserve">kwaa </t>
  </si>
  <si>
    <t>CMD.Grand Horn: Battle Skeleton</t>
  </si>
  <si>
    <t>Grand Horn clone 1 (enaa)</t>
  </si>
  <si>
    <t xml:space="preserve">kwab </t>
  </si>
  <si>
    <t>CMD.Grand Horn: Unidentified Part</t>
  </si>
  <si>
    <t xml:space="preserve">kwam </t>
  </si>
  <si>
    <t xml:space="preserve">kwan </t>
  </si>
  <si>
    <t xml:space="preserve">kwaq </t>
  </si>
  <si>
    <t xml:space="preserve">kwar </t>
  </si>
  <si>
    <t xml:space="preserve">kwat </t>
  </si>
  <si>
    <t xml:space="preserve">kwav </t>
  </si>
  <si>
    <t xml:space="preserve">kwax </t>
  </si>
  <si>
    <t xml:space="preserve">kwaz </t>
  </si>
  <si>
    <t xml:space="preserve">kwba </t>
  </si>
  <si>
    <t xml:space="preserve">kwbb </t>
  </si>
  <si>
    <t xml:space="preserve">kwbe </t>
  </si>
  <si>
    <t xml:space="preserve">kwbf </t>
  </si>
  <si>
    <t xml:space="preserve">kwbh </t>
  </si>
  <si>
    <t xml:space="preserve">kwbj </t>
  </si>
  <si>
    <t xml:space="preserve">kwbl </t>
  </si>
  <si>
    <t xml:space="preserve">kwbn </t>
  </si>
  <si>
    <t xml:space="preserve">kwbo </t>
  </si>
  <si>
    <t xml:space="preserve">kwbp </t>
  </si>
  <si>
    <t xml:space="preserve">kwda </t>
  </si>
  <si>
    <t xml:space="preserve">kxaa </t>
  </si>
  <si>
    <t>Grand Horn clone 2 (enaa)</t>
  </si>
  <si>
    <t xml:space="preserve">kxab </t>
  </si>
  <si>
    <t xml:space="preserve">kxam </t>
  </si>
  <si>
    <t xml:space="preserve">kxan </t>
  </si>
  <si>
    <t xml:space="preserve">kxaq </t>
  </si>
  <si>
    <t xml:space="preserve">kxar </t>
  </si>
  <si>
    <t xml:space="preserve">kxat </t>
  </si>
  <si>
    <t xml:space="preserve">kxav </t>
  </si>
  <si>
    <t xml:space="preserve">kxax </t>
  </si>
  <si>
    <t xml:space="preserve">kxaz </t>
  </si>
  <si>
    <t xml:space="preserve">kxba </t>
  </si>
  <si>
    <t xml:space="preserve">kxbb </t>
  </si>
  <si>
    <t xml:space="preserve">kxbe </t>
  </si>
  <si>
    <t xml:space="preserve">kxbf </t>
  </si>
  <si>
    <t xml:space="preserve">kxbh </t>
  </si>
  <si>
    <t xml:space="preserve">kxbj </t>
  </si>
  <si>
    <t xml:space="preserve">kxbl </t>
  </si>
  <si>
    <t xml:space="preserve">kxbn </t>
  </si>
  <si>
    <t xml:space="preserve">kxbo </t>
  </si>
  <si>
    <t xml:space="preserve">kxbp </t>
  </si>
  <si>
    <t xml:space="preserve">kxda </t>
  </si>
  <si>
    <t xml:space="preserve">kyaa </t>
  </si>
  <si>
    <t>Grand Horn clone 3 (enaa)</t>
  </si>
  <si>
    <t xml:space="preserve">kyab </t>
  </si>
  <si>
    <t xml:space="preserve">kyam </t>
  </si>
  <si>
    <t xml:space="preserve">kyan </t>
  </si>
  <si>
    <t xml:space="preserve">kyaq </t>
  </si>
  <si>
    <t xml:space="preserve">kyar </t>
  </si>
  <si>
    <t xml:space="preserve">kyat </t>
  </si>
  <si>
    <t xml:space="preserve">kyav </t>
  </si>
  <si>
    <t xml:space="preserve">kyax </t>
  </si>
  <si>
    <t xml:space="preserve">kyaz </t>
  </si>
  <si>
    <t xml:space="preserve">kyba </t>
  </si>
  <si>
    <t xml:space="preserve">kybb </t>
  </si>
  <si>
    <t xml:space="preserve">kybe </t>
  </si>
  <si>
    <t xml:space="preserve">kybf </t>
  </si>
  <si>
    <t xml:space="preserve">kybh </t>
  </si>
  <si>
    <t xml:space="preserve">kybj </t>
  </si>
  <si>
    <t xml:space="preserve">kybl </t>
  </si>
  <si>
    <t xml:space="preserve">kybn </t>
  </si>
  <si>
    <t xml:space="preserve">kybo </t>
  </si>
  <si>
    <t xml:space="preserve">kybp </t>
  </si>
  <si>
    <t xml:space="preserve">kyda </t>
  </si>
  <si>
    <t xml:space="preserve">kzaa </t>
  </si>
  <si>
    <t>Behemoth: Battle Skeleton</t>
  </si>
  <si>
    <t xml:space="preserve">kzab </t>
  </si>
  <si>
    <t>Behemoth: Unidentified Part</t>
  </si>
  <si>
    <t xml:space="preserve">kzam </t>
  </si>
  <si>
    <t xml:space="preserve">kzan </t>
  </si>
  <si>
    <t xml:space="preserve">kzao </t>
  </si>
  <si>
    <t xml:space="preserve">kzap </t>
  </si>
  <si>
    <t xml:space="preserve">kzaq </t>
  </si>
  <si>
    <t xml:space="preserve">kzar </t>
  </si>
  <si>
    <t xml:space="preserve">kzat </t>
  </si>
  <si>
    <t xml:space="preserve">kzau </t>
  </si>
  <si>
    <t xml:space="preserve">kzav </t>
  </si>
  <si>
    <t xml:space="preserve">kzaw </t>
  </si>
  <si>
    <t xml:space="preserve">kzay </t>
  </si>
  <si>
    <t xml:space="preserve">kzaz </t>
  </si>
  <si>
    <t xml:space="preserve">kzba </t>
  </si>
  <si>
    <t xml:space="preserve">kzbb </t>
  </si>
  <si>
    <t xml:space="preserve">kzbc </t>
  </si>
  <si>
    <t xml:space="preserve">kzbd </t>
  </si>
  <si>
    <t xml:space="preserve">kzbe </t>
  </si>
  <si>
    <t xml:space="preserve">kzbf </t>
  </si>
  <si>
    <t xml:space="preserve">kzbg </t>
  </si>
  <si>
    <t xml:space="preserve">kzbi </t>
  </si>
  <si>
    <t xml:space="preserve">kzbj </t>
  </si>
  <si>
    <t xml:space="preserve">kzbl </t>
  </si>
  <si>
    <t xml:space="preserve">kzbm </t>
  </si>
  <si>
    <t xml:space="preserve">kzbo </t>
  </si>
  <si>
    <t xml:space="preserve">kzbq </t>
  </si>
  <si>
    <t xml:space="preserve">kzbr </t>
  </si>
  <si>
    <t xml:space="preserve">kzbs </t>
  </si>
  <si>
    <t xml:space="preserve">kzbt </t>
  </si>
  <si>
    <t xml:space="preserve">kzbv </t>
  </si>
  <si>
    <t xml:space="preserve">kzbw </t>
  </si>
  <si>
    <t xml:space="preserve">kzbx </t>
  </si>
  <si>
    <t xml:space="preserve">kzby </t>
  </si>
  <si>
    <t xml:space="preserve">kzda </t>
  </si>
  <si>
    <t xml:space="preserve">laaa </t>
  </si>
  <si>
    <t>Cromwell: Battle Skeleton</t>
  </si>
  <si>
    <t>Gun Carrier clone 1 (jxaa)</t>
  </si>
  <si>
    <t xml:space="preserve">laab </t>
  </si>
  <si>
    <t>Cromwell: Unidentified Part</t>
  </si>
  <si>
    <t xml:space="preserve">laam </t>
  </si>
  <si>
    <t xml:space="preserve">laar </t>
  </si>
  <si>
    <t xml:space="preserve">laas </t>
  </si>
  <si>
    <t xml:space="preserve">laaw </t>
  </si>
  <si>
    <t xml:space="preserve">labb </t>
  </si>
  <si>
    <t xml:space="preserve">labg </t>
  </si>
  <si>
    <t xml:space="preserve">labl </t>
  </si>
  <si>
    <t xml:space="preserve">lada </t>
  </si>
  <si>
    <t xml:space="preserve">lbaa </t>
  </si>
  <si>
    <t>Manhole: Battle Skeleton</t>
  </si>
  <si>
    <t xml:space="preserve">lbab </t>
  </si>
  <si>
    <t>Manhole: Unidentified Part</t>
  </si>
  <si>
    <t xml:space="preserve">lbac </t>
  </si>
  <si>
    <t>Manhole: Cover</t>
  </si>
  <si>
    <t xml:space="preserve">lbap </t>
  </si>
  <si>
    <t xml:space="preserve">lbaq </t>
  </si>
  <si>
    <t xml:space="preserve">lbat </t>
  </si>
  <si>
    <t xml:space="preserve">lbau </t>
  </si>
  <si>
    <t xml:space="preserve">lbav </t>
  </si>
  <si>
    <t xml:space="preserve">lbay </t>
  </si>
  <si>
    <t xml:space="preserve">lbaz </t>
  </si>
  <si>
    <t xml:space="preserve">lbba </t>
  </si>
  <si>
    <t xml:space="preserve">lbbb </t>
  </si>
  <si>
    <t xml:space="preserve">lbda </t>
  </si>
  <si>
    <t xml:space="preserve">lcaa </t>
  </si>
  <si>
    <t>100 Bytes</t>
  </si>
  <si>
    <t>Manhole(Lid): Battle Skeleton</t>
  </si>
  <si>
    <t xml:space="preserve">lcab </t>
  </si>
  <si>
    <t>Manhole(Lid): Unidentified Part</t>
  </si>
  <si>
    <t xml:space="preserve">lcac </t>
  </si>
  <si>
    <t>Manhole(Lid): Cover</t>
  </si>
  <si>
    <t xml:space="preserve">lcap </t>
  </si>
  <si>
    <t xml:space="preserve">lcda </t>
  </si>
  <si>
    <t xml:space="preserve">ldaa </t>
  </si>
  <si>
    <t>Crazy Saw: Battle Skeleton</t>
  </si>
  <si>
    <t>Moth Slasher clone 1 (chaa)</t>
  </si>
  <si>
    <t xml:space="preserve">ldab </t>
  </si>
  <si>
    <t>Crazy Saw: Unidentified Part</t>
  </si>
  <si>
    <t xml:space="preserve">ldam </t>
  </si>
  <si>
    <t xml:space="preserve">ldao </t>
  </si>
  <si>
    <t xml:space="preserve">ldaq </t>
  </si>
  <si>
    <t xml:space="preserve">ldas </t>
  </si>
  <si>
    <t xml:space="preserve">ldav </t>
  </si>
  <si>
    <t xml:space="preserve">ldaw </t>
  </si>
  <si>
    <t xml:space="preserve">lday </t>
  </si>
  <si>
    <t xml:space="preserve">ldaz </t>
  </si>
  <si>
    <t xml:space="preserve">ldba </t>
  </si>
  <si>
    <t xml:space="preserve">ldbb </t>
  </si>
  <si>
    <t xml:space="preserve">ldbd </t>
  </si>
  <si>
    <t xml:space="preserve">ldbe </t>
  </si>
  <si>
    <t xml:space="preserve">ldbg </t>
  </si>
  <si>
    <t xml:space="preserve">ldbh </t>
  </si>
  <si>
    <t xml:space="preserve">ldbi </t>
  </si>
  <si>
    <t xml:space="preserve">ldbj </t>
  </si>
  <si>
    <t xml:space="preserve">ldbk </t>
  </si>
  <si>
    <t xml:space="preserve">ldbl </t>
  </si>
  <si>
    <t xml:space="preserve">ldda </t>
  </si>
  <si>
    <t xml:space="preserve">leaa </t>
  </si>
  <si>
    <t>256 Bytes</t>
  </si>
  <si>
    <t>Shadow Maker: Battle Skeleton</t>
  </si>
  <si>
    <t xml:space="preserve">leab </t>
  </si>
  <si>
    <t>Shadow Maker: Unidentified Part</t>
  </si>
  <si>
    <t xml:space="preserve">leam </t>
  </si>
  <si>
    <t xml:space="preserve">leao </t>
  </si>
  <si>
    <t xml:space="preserve">leap </t>
  </si>
  <si>
    <t xml:space="preserve">leas </t>
  </si>
  <si>
    <t xml:space="preserve">leat </t>
  </si>
  <si>
    <t xml:space="preserve">leav </t>
  </si>
  <si>
    <t xml:space="preserve">leaw </t>
  </si>
  <si>
    <t xml:space="preserve">leay </t>
  </si>
  <si>
    <t xml:space="preserve">leaz </t>
  </si>
  <si>
    <t xml:space="preserve">lebb </t>
  </si>
  <si>
    <t xml:space="preserve">lebc </t>
  </si>
  <si>
    <t xml:space="preserve">leda </t>
  </si>
  <si>
    <t xml:space="preserve">lfaa </t>
  </si>
  <si>
    <t>208 Bytes</t>
  </si>
  <si>
    <t>Grosspanzer Big: Battle Skeleton</t>
  </si>
  <si>
    <t xml:space="preserve">lfab </t>
  </si>
  <si>
    <t>Grosspanzer Big: Unidentified Part</t>
  </si>
  <si>
    <t xml:space="preserve">lfan </t>
  </si>
  <si>
    <t xml:space="preserve">lfao </t>
  </si>
  <si>
    <t xml:space="preserve">lfar </t>
  </si>
  <si>
    <t xml:space="preserve">lfau </t>
  </si>
  <si>
    <t xml:space="preserve">lfay </t>
  </si>
  <si>
    <t xml:space="preserve">lfda </t>
  </si>
  <si>
    <t xml:space="preserve">lgaa </t>
  </si>
  <si>
    <t>Grosspanzer Small: Battle Skeleton</t>
  </si>
  <si>
    <t xml:space="preserve">lgab </t>
  </si>
  <si>
    <t>Grosspanzer Small: Unidentified Part</t>
  </si>
  <si>
    <t xml:space="preserve">lgan </t>
  </si>
  <si>
    <t xml:space="preserve">lgao </t>
  </si>
  <si>
    <t xml:space="preserve">lgda </t>
  </si>
  <si>
    <t xml:space="preserve">lhaa </t>
  </si>
  <si>
    <t>Grosspanzer Mobile: Battle Skeleton</t>
  </si>
  <si>
    <t xml:space="preserve">lhab </t>
  </si>
  <si>
    <t>Grosspanzer Mobile: Unidentified Part</t>
  </si>
  <si>
    <t xml:space="preserve">lham </t>
  </si>
  <si>
    <t xml:space="preserve">lhaq </t>
  </si>
  <si>
    <t xml:space="preserve">lhas </t>
  </si>
  <si>
    <t xml:space="preserve">lhau </t>
  </si>
  <si>
    <t xml:space="preserve">lhaw </t>
  </si>
  <si>
    <t xml:space="preserve">lhay </t>
  </si>
  <si>
    <t xml:space="preserve">lhda </t>
  </si>
  <si>
    <t xml:space="preserve">liaa </t>
  </si>
  <si>
    <t>Gargoyle stoned: Battle Skeleton</t>
  </si>
  <si>
    <t xml:space="preserve">liab </t>
  </si>
  <si>
    <t>Gargoyle stoned: Unidentified Part</t>
  </si>
  <si>
    <t xml:space="preserve">liam </t>
  </si>
  <si>
    <t xml:space="preserve">lian </t>
  </si>
  <si>
    <t xml:space="preserve">liao </t>
  </si>
  <si>
    <t xml:space="preserve">liap </t>
  </si>
  <si>
    <t xml:space="preserve">liaq </t>
  </si>
  <si>
    <t xml:space="preserve">liar </t>
  </si>
  <si>
    <t xml:space="preserve">lias </t>
  </si>
  <si>
    <t xml:space="preserve">liau </t>
  </si>
  <si>
    <t xml:space="preserve">liav </t>
  </si>
  <si>
    <t xml:space="preserve">liaw </t>
  </si>
  <si>
    <t xml:space="preserve">liax </t>
  </si>
  <si>
    <t xml:space="preserve">liaz </t>
  </si>
  <si>
    <t xml:space="preserve">liba </t>
  </si>
  <si>
    <t xml:space="preserve">libb </t>
  </si>
  <si>
    <t xml:space="preserve">libc </t>
  </si>
  <si>
    <t xml:space="preserve">libd </t>
  </si>
  <si>
    <t xml:space="preserve">libe </t>
  </si>
  <si>
    <t xml:space="preserve">libf </t>
  </si>
  <si>
    <t xml:space="preserve">libg </t>
  </si>
  <si>
    <t xml:space="preserve">libj </t>
  </si>
  <si>
    <t xml:space="preserve">libk </t>
  </si>
  <si>
    <t xml:space="preserve">libl </t>
  </si>
  <si>
    <t xml:space="preserve">libm </t>
  </si>
  <si>
    <t xml:space="preserve">libo </t>
  </si>
  <si>
    <t xml:space="preserve">libq </t>
  </si>
  <si>
    <t xml:space="preserve">libr </t>
  </si>
  <si>
    <t xml:space="preserve">libs </t>
  </si>
  <si>
    <t xml:space="preserve">libv </t>
  </si>
  <si>
    <t xml:space="preserve">libw </t>
  </si>
  <si>
    <t xml:space="preserve">libx </t>
  </si>
  <si>
    <t xml:space="preserve">liby </t>
  </si>
  <si>
    <t xml:space="preserve">lica </t>
  </si>
  <si>
    <t xml:space="preserve">licb </t>
  </si>
  <si>
    <t xml:space="preserve">licd </t>
  </si>
  <si>
    <t xml:space="preserve">licf </t>
  </si>
  <si>
    <t xml:space="preserve">licg </t>
  </si>
  <si>
    <t xml:space="preserve">lich </t>
  </si>
  <si>
    <t xml:space="preserve">lida </t>
  </si>
  <si>
    <t xml:space="preserve">ljaa </t>
  </si>
  <si>
    <t>Gargoyle: Battle Skeleton</t>
  </si>
  <si>
    <t xml:space="preserve">ljab </t>
  </si>
  <si>
    <t>Gargoyle: Unidentified Part</t>
  </si>
  <si>
    <t xml:space="preserve">ljam </t>
  </si>
  <si>
    <t xml:space="preserve">ljan </t>
  </si>
  <si>
    <t xml:space="preserve">ljao </t>
  </si>
  <si>
    <t xml:space="preserve">ljap </t>
  </si>
  <si>
    <t xml:space="preserve">ljaq </t>
  </si>
  <si>
    <t xml:space="preserve">ljar </t>
  </si>
  <si>
    <t xml:space="preserve">ljas </t>
  </si>
  <si>
    <t xml:space="preserve">ljau </t>
  </si>
  <si>
    <t xml:space="preserve">ljav </t>
  </si>
  <si>
    <t xml:space="preserve">ljaw </t>
  </si>
  <si>
    <t xml:space="preserve">ljax </t>
  </si>
  <si>
    <t xml:space="preserve">ljaz </t>
  </si>
  <si>
    <t xml:space="preserve">ljba </t>
  </si>
  <si>
    <t xml:space="preserve">ljbb </t>
  </si>
  <si>
    <t xml:space="preserve">ljbc </t>
  </si>
  <si>
    <t xml:space="preserve">ljbd </t>
  </si>
  <si>
    <t xml:space="preserve">ljbe </t>
  </si>
  <si>
    <t xml:space="preserve">ljbf </t>
  </si>
  <si>
    <t xml:space="preserve">ljbg </t>
  </si>
  <si>
    <t xml:space="preserve">ljbj </t>
  </si>
  <si>
    <t xml:space="preserve">ljbk </t>
  </si>
  <si>
    <t xml:space="preserve">ljbl </t>
  </si>
  <si>
    <t xml:space="preserve">ljbm </t>
  </si>
  <si>
    <t xml:space="preserve">ljbo </t>
  </si>
  <si>
    <t xml:space="preserve">ljbq </t>
  </si>
  <si>
    <t xml:space="preserve">ljbr </t>
  </si>
  <si>
    <t xml:space="preserve">ljbs </t>
  </si>
  <si>
    <t xml:space="preserve">ljbv </t>
  </si>
  <si>
    <t xml:space="preserve">ljbw </t>
  </si>
  <si>
    <t xml:space="preserve">ljbx </t>
  </si>
  <si>
    <t xml:space="preserve">ljby </t>
  </si>
  <si>
    <t xml:space="preserve">ljca </t>
  </si>
  <si>
    <t xml:space="preserve">ljcb </t>
  </si>
  <si>
    <t xml:space="preserve">ljcd </t>
  </si>
  <si>
    <t xml:space="preserve">ljcf </t>
  </si>
  <si>
    <t xml:space="preserve">ljcg </t>
  </si>
  <si>
    <t xml:space="preserve">ljch </t>
  </si>
  <si>
    <t xml:space="preserve">ljda </t>
  </si>
  <si>
    <t xml:space="preserve">lkaa </t>
  </si>
  <si>
    <t>TURKS: Elena: Battle Skeleton</t>
  </si>
  <si>
    <t xml:space="preserve">lkab </t>
  </si>
  <si>
    <t>TURKS: Elena: Unidentified Part</t>
  </si>
  <si>
    <t xml:space="preserve">lkac </t>
  </si>
  <si>
    <t>TURKS: Elena: Eye</t>
  </si>
  <si>
    <t xml:space="preserve">lkad </t>
  </si>
  <si>
    <t>TURKS: Elena: Mouth</t>
  </si>
  <si>
    <t xml:space="preserve">lkam </t>
  </si>
  <si>
    <t>TURKS: Elena: Upper Chest</t>
  </si>
  <si>
    <t xml:space="preserve">lkan </t>
  </si>
  <si>
    <t>TURKS: Elena: Head</t>
  </si>
  <si>
    <t xml:space="preserve">lkao </t>
  </si>
  <si>
    <t>TURKS: Elena: Lower Chest</t>
  </si>
  <si>
    <t xml:space="preserve">lkaq </t>
  </si>
  <si>
    <t>TURKS: Elena: Upper Leg</t>
  </si>
  <si>
    <t xml:space="preserve">lkar </t>
  </si>
  <si>
    <t>TURKS: Elena: Lower Leg</t>
  </si>
  <si>
    <t xml:space="preserve">lkas </t>
  </si>
  <si>
    <t>TURKS: Elena: Back Shoe (ankle)</t>
  </si>
  <si>
    <t xml:space="preserve">lkau </t>
  </si>
  <si>
    <t>TURKS: Elena: Front Shoe (foot)</t>
  </si>
  <si>
    <t xml:space="preserve">lkaw </t>
  </si>
  <si>
    <t xml:space="preserve">lkax </t>
  </si>
  <si>
    <t xml:space="preserve">lkay </t>
  </si>
  <si>
    <t xml:space="preserve">lkba </t>
  </si>
  <si>
    <t xml:space="preserve">lkbd </t>
  </si>
  <si>
    <t>TURKS: Elena: Upper Arm</t>
  </si>
  <si>
    <t xml:space="preserve">lkbe </t>
  </si>
  <si>
    <t>TURKS: Elena: Lower Arm</t>
  </si>
  <si>
    <t xml:space="preserve">lkbf </t>
  </si>
  <si>
    <t>TURKS: Elena: Left Hand</t>
  </si>
  <si>
    <t xml:space="preserve">lkbi </t>
  </si>
  <si>
    <t xml:space="preserve">lkbj </t>
  </si>
  <si>
    <t xml:space="preserve">lkbk </t>
  </si>
  <si>
    <t>TURKS: Elena: Right Hand</t>
  </si>
  <si>
    <t xml:space="preserve">lkda </t>
  </si>
  <si>
    <t>llaa</t>
  </si>
  <si>
    <t>Reno copy 3 (bwaa)</t>
  </si>
  <si>
    <t>llab</t>
  </si>
  <si>
    <t>llac</t>
  </si>
  <si>
    <t>llam</t>
  </si>
  <si>
    <t>llan</t>
  </si>
  <si>
    <t>llap</t>
  </si>
  <si>
    <t>llaq</t>
  </si>
  <si>
    <t>llar</t>
  </si>
  <si>
    <t>llas</t>
  </si>
  <si>
    <t>llau</t>
  </si>
  <si>
    <t>llav</t>
  </si>
  <si>
    <t>llaw</t>
  </si>
  <si>
    <t>llay</t>
  </si>
  <si>
    <t>llba</t>
  </si>
  <si>
    <t>llbb</t>
  </si>
  <si>
    <t>llbc</t>
  </si>
  <si>
    <t>llbe</t>
  </si>
  <si>
    <t>llbh</t>
  </si>
  <si>
    <t>llbi</t>
  </si>
  <si>
    <t>llbj</t>
  </si>
  <si>
    <t>llbm</t>
  </si>
  <si>
    <t>llbn</t>
  </si>
  <si>
    <t>llbo</t>
  </si>
  <si>
    <t>llbq</t>
  </si>
  <si>
    <t>llda</t>
  </si>
  <si>
    <t xml:space="preserve">lmaa </t>
  </si>
  <si>
    <t>Rude copy 2 (eyaa)</t>
  </si>
  <si>
    <t xml:space="preserve">lmab </t>
  </si>
  <si>
    <t xml:space="preserve">lmac </t>
  </si>
  <si>
    <t xml:space="preserve">lmam </t>
  </si>
  <si>
    <t xml:space="preserve">lman </t>
  </si>
  <si>
    <t xml:space="preserve">lmao </t>
  </si>
  <si>
    <t xml:space="preserve">lmaq </t>
  </si>
  <si>
    <t xml:space="preserve">lmar </t>
  </si>
  <si>
    <t xml:space="preserve">lmas </t>
  </si>
  <si>
    <t xml:space="preserve">lmau </t>
  </si>
  <si>
    <t xml:space="preserve">lmaw </t>
  </si>
  <si>
    <t xml:space="preserve">lmax </t>
  </si>
  <si>
    <t xml:space="preserve">lmay </t>
  </si>
  <si>
    <t xml:space="preserve">lmba </t>
  </si>
  <si>
    <t xml:space="preserve">lmbd </t>
  </si>
  <si>
    <t xml:space="preserve">lmbe </t>
  </si>
  <si>
    <t xml:space="preserve">lmbf </t>
  </si>
  <si>
    <t xml:space="preserve">lmbi </t>
  </si>
  <si>
    <t xml:space="preserve">lmbj </t>
  </si>
  <si>
    <t xml:space="preserve">lmbk </t>
  </si>
  <si>
    <t xml:space="preserve">lmda </t>
  </si>
  <si>
    <t xml:space="preserve">lnaa </t>
  </si>
  <si>
    <t>Proud Clod: Battle Skeleton</t>
  </si>
  <si>
    <t xml:space="preserve">lnab </t>
  </si>
  <si>
    <t>Proud Clod: Unidentified Part</t>
  </si>
  <si>
    <t xml:space="preserve">lnac </t>
  </si>
  <si>
    <t xml:space="preserve">lnam </t>
  </si>
  <si>
    <t xml:space="preserve">lnan </t>
  </si>
  <si>
    <t xml:space="preserve">lnao </t>
  </si>
  <si>
    <t xml:space="preserve">lnas </t>
  </si>
  <si>
    <t xml:space="preserve">lnat </t>
  </si>
  <si>
    <t xml:space="preserve">lnau </t>
  </si>
  <si>
    <t xml:space="preserve">lnav </t>
  </si>
  <si>
    <t xml:space="preserve">lnaw </t>
  </si>
  <si>
    <t xml:space="preserve">lnaz </t>
  </si>
  <si>
    <t xml:space="preserve">lnba </t>
  </si>
  <si>
    <t xml:space="preserve">lnbc </t>
  </si>
  <si>
    <t xml:space="preserve">lnbd </t>
  </si>
  <si>
    <t xml:space="preserve">lnbg </t>
  </si>
  <si>
    <t xml:space="preserve">lnbh </t>
  </si>
  <si>
    <t xml:space="preserve">lnbi </t>
  </si>
  <si>
    <t xml:space="preserve">lnbj </t>
  </si>
  <si>
    <t xml:space="preserve">lnbk </t>
  </si>
  <si>
    <t xml:space="preserve">lnbm </t>
  </si>
  <si>
    <t xml:space="preserve">lnbn </t>
  </si>
  <si>
    <t xml:space="preserve">lnbp </t>
  </si>
  <si>
    <t xml:space="preserve">lnbq </t>
  </si>
  <si>
    <t xml:space="preserve">lnbu </t>
  </si>
  <si>
    <t xml:space="preserve">lnby </t>
  </si>
  <si>
    <t xml:space="preserve">lnca </t>
  </si>
  <si>
    <t xml:space="preserve">lncb </t>
  </si>
  <si>
    <t xml:space="preserve">lnce </t>
  </si>
  <si>
    <t xml:space="preserve">lncf </t>
  </si>
  <si>
    <t xml:space="preserve">lncg </t>
  </si>
  <si>
    <t xml:space="preserve">lnda </t>
  </si>
  <si>
    <t xml:space="preserve">loaa </t>
  </si>
  <si>
    <t>Jamar Armor: Battle Skeleton</t>
  </si>
  <si>
    <t xml:space="preserve">loab </t>
  </si>
  <si>
    <t>Jamar Armor: Unidentified Part</t>
  </si>
  <si>
    <t xml:space="preserve">loam </t>
  </si>
  <si>
    <t>Jamar Armor: Main</t>
  </si>
  <si>
    <t xml:space="preserve">loda </t>
  </si>
  <si>
    <t xml:space="preserve">lpaa </t>
  </si>
  <si>
    <t>SOLDIER 1st: Battle Skeleton</t>
  </si>
  <si>
    <t>Soldier 3rd clone 2 (ceaa)</t>
  </si>
  <si>
    <t xml:space="preserve">lpab </t>
  </si>
  <si>
    <t>SOLDIER 1st: Unidentified Part</t>
  </si>
  <si>
    <t xml:space="preserve">lpam </t>
  </si>
  <si>
    <t xml:space="preserve">lpan </t>
  </si>
  <si>
    <t xml:space="preserve">lpao </t>
  </si>
  <si>
    <t xml:space="preserve">lpar </t>
  </si>
  <si>
    <t xml:space="preserve">lpas </t>
  </si>
  <si>
    <t xml:space="preserve">lpat </t>
  </si>
  <si>
    <t xml:space="preserve">lpaw </t>
  </si>
  <si>
    <t xml:space="preserve">lpax </t>
  </si>
  <si>
    <t xml:space="preserve">lpay </t>
  </si>
  <si>
    <t xml:space="preserve">lpba </t>
  </si>
  <si>
    <t xml:space="preserve">lpbc </t>
  </si>
  <si>
    <t xml:space="preserve">lpbd </t>
  </si>
  <si>
    <t xml:space="preserve">lpbe </t>
  </si>
  <si>
    <t xml:space="preserve">lpbg </t>
  </si>
  <si>
    <t xml:space="preserve">lpbi </t>
  </si>
  <si>
    <t xml:space="preserve">lpbj </t>
  </si>
  <si>
    <t xml:space="preserve">lpbk </t>
  </si>
  <si>
    <t xml:space="preserve">lpbm </t>
  </si>
  <si>
    <t xml:space="preserve">lpda </t>
  </si>
  <si>
    <t xml:space="preserve">lqaa </t>
  </si>
  <si>
    <t>X-Cannon: Battle Skeleton</t>
  </si>
  <si>
    <t xml:space="preserve">lqab </t>
  </si>
  <si>
    <t>X-Cannon: Unidentified Part</t>
  </si>
  <si>
    <t xml:space="preserve">lqac </t>
  </si>
  <si>
    <t xml:space="preserve">lqad </t>
  </si>
  <si>
    <t xml:space="preserve">lqam </t>
  </si>
  <si>
    <t>74 K</t>
  </si>
  <si>
    <t xml:space="preserve">lqan </t>
  </si>
  <si>
    <t xml:space="preserve">lqap </t>
  </si>
  <si>
    <t xml:space="preserve">lqaq </t>
  </si>
  <si>
    <t xml:space="preserve">lqas </t>
  </si>
  <si>
    <t xml:space="preserve">lqat </t>
  </si>
  <si>
    <t xml:space="preserve">lqav </t>
  </si>
  <si>
    <t xml:space="preserve">lqaw </t>
  </si>
  <si>
    <t xml:space="preserve">lqba </t>
  </si>
  <si>
    <t xml:space="preserve">lqbb </t>
  </si>
  <si>
    <t xml:space="preserve">lqbd </t>
  </si>
  <si>
    <t xml:space="preserve">lqbe </t>
  </si>
  <si>
    <t xml:space="preserve">lqbg </t>
  </si>
  <si>
    <t xml:space="preserve">lqbh </t>
  </si>
  <si>
    <t xml:space="preserve">lqbj </t>
  </si>
  <si>
    <t xml:space="preserve">lqbl </t>
  </si>
  <si>
    <t xml:space="preserve">lqda </t>
  </si>
  <si>
    <t xml:space="preserve">lraa </t>
  </si>
  <si>
    <t>??bubble: Battle Skeleton</t>
  </si>
  <si>
    <t xml:space="preserve">lrab </t>
  </si>
  <si>
    <t>??bubble: Unidentified Part</t>
  </si>
  <si>
    <t xml:space="preserve">lram </t>
  </si>
  <si>
    <t xml:space="preserve">lrda </t>
  </si>
  <si>
    <t xml:space="preserve">lsaa </t>
  </si>
  <si>
    <t>Maximum Kimaira: Battle Skeleton</t>
  </si>
  <si>
    <t>Harpy clone 1 (emaa)</t>
  </si>
  <si>
    <t xml:space="preserve">lsab </t>
  </si>
  <si>
    <t>Maximum Kimaira: Unidentified Part</t>
  </si>
  <si>
    <t xml:space="preserve">lsam </t>
  </si>
  <si>
    <t xml:space="preserve">lsao </t>
  </si>
  <si>
    <t xml:space="preserve">lsap </t>
  </si>
  <si>
    <t xml:space="preserve">lsaq </t>
  </si>
  <si>
    <t xml:space="preserve">lsas </t>
  </si>
  <si>
    <t xml:space="preserve">lsat </t>
  </si>
  <si>
    <t xml:space="preserve">lsau </t>
  </si>
  <si>
    <t xml:space="preserve">lsav </t>
  </si>
  <si>
    <t xml:space="preserve">lsax </t>
  </si>
  <si>
    <t xml:space="preserve">lsay </t>
  </si>
  <si>
    <t xml:space="preserve">lsaz </t>
  </si>
  <si>
    <t xml:space="preserve">lsbb </t>
  </si>
  <si>
    <t xml:space="preserve">lsbc </t>
  </si>
  <si>
    <t xml:space="preserve">lsbe </t>
  </si>
  <si>
    <t xml:space="preserve">lsbf </t>
  </si>
  <si>
    <t xml:space="preserve">lsbg </t>
  </si>
  <si>
    <t xml:space="preserve">lsbi </t>
  </si>
  <si>
    <t xml:space="preserve">lsbj </t>
  </si>
  <si>
    <t xml:space="preserve">lsbk </t>
  </si>
  <si>
    <t xml:space="preserve">lsbl </t>
  </si>
  <si>
    <t xml:space="preserve">lsbn </t>
  </si>
  <si>
    <t xml:space="preserve">lsbo </t>
  </si>
  <si>
    <t xml:space="preserve">lsbp </t>
  </si>
  <si>
    <t xml:space="preserve">lsbr </t>
  </si>
  <si>
    <t xml:space="preserve">lsbs </t>
  </si>
  <si>
    <t xml:space="preserve">lsbt </t>
  </si>
  <si>
    <t xml:space="preserve">lsbu </t>
  </si>
  <si>
    <t xml:space="preserve">lsbv </t>
  </si>
  <si>
    <t xml:space="preserve">lsbw </t>
  </si>
  <si>
    <t xml:space="preserve">lsbx </t>
  </si>
  <si>
    <t xml:space="preserve">lsby </t>
  </si>
  <si>
    <t xml:space="preserve">lscb </t>
  </si>
  <si>
    <t xml:space="preserve">lscc </t>
  </si>
  <si>
    <t xml:space="preserve">lscd </t>
  </si>
  <si>
    <t xml:space="preserve">lscf </t>
  </si>
  <si>
    <t xml:space="preserve">lscg </t>
  </si>
  <si>
    <t xml:space="preserve">lsch </t>
  </si>
  <si>
    <t xml:space="preserve">lsda </t>
  </si>
  <si>
    <t xml:space="preserve">ltaa </t>
  </si>
  <si>
    <t>HOJO: Battle Skeleton</t>
  </si>
  <si>
    <t xml:space="preserve">ltab </t>
  </si>
  <si>
    <t>HOJO: Unidentified Part</t>
  </si>
  <si>
    <t xml:space="preserve">ltac </t>
  </si>
  <si>
    <t>HOJO: Eye</t>
  </si>
  <si>
    <t xml:space="preserve">ltam </t>
  </si>
  <si>
    <t>HOJO: Lower Chest</t>
  </si>
  <si>
    <t xml:space="preserve">ltan </t>
  </si>
  <si>
    <t>HOJO: Upper Chest</t>
  </si>
  <si>
    <t xml:space="preserve">ltao </t>
  </si>
  <si>
    <t>HOJO: Head</t>
  </si>
  <si>
    <t xml:space="preserve">ltaq </t>
  </si>
  <si>
    <t>HOJO: Hair</t>
  </si>
  <si>
    <t xml:space="preserve">ltat </t>
  </si>
  <si>
    <t>HOJO: Upper Arm</t>
  </si>
  <si>
    <t xml:space="preserve">ltau </t>
  </si>
  <si>
    <t>HOJO: Lower Arm</t>
  </si>
  <si>
    <t xml:space="preserve">ltav </t>
  </si>
  <si>
    <t>HOJO: Right Hand</t>
  </si>
  <si>
    <t xml:space="preserve">ltay </t>
  </si>
  <si>
    <t xml:space="preserve">ltaz </t>
  </si>
  <si>
    <t xml:space="preserve">ltba </t>
  </si>
  <si>
    <t>HOJO: Left Hand</t>
  </si>
  <si>
    <t xml:space="preserve">ltbc </t>
  </si>
  <si>
    <t>HOJO: Upper Leg</t>
  </si>
  <si>
    <t xml:space="preserve">ltbd </t>
  </si>
  <si>
    <t>HOJO: Lower Leg</t>
  </si>
  <si>
    <t xml:space="preserve">ltbe </t>
  </si>
  <si>
    <t>HOJO: Back Shoe (ankle)</t>
  </si>
  <si>
    <t xml:space="preserve">ltbf </t>
  </si>
  <si>
    <t>HOJO: Front Shoe (foot)</t>
  </si>
  <si>
    <t xml:space="preserve">ltbh </t>
  </si>
  <si>
    <t xml:space="preserve">ltbi </t>
  </si>
  <si>
    <t xml:space="preserve">ltbj </t>
  </si>
  <si>
    <t xml:space="preserve">ltbk </t>
  </si>
  <si>
    <t xml:space="preserve">ltbm </t>
  </si>
  <si>
    <t>HOJO: Pants Front Part 1</t>
  </si>
  <si>
    <t xml:space="preserve">ltbn </t>
  </si>
  <si>
    <t>HOJO: Pants Front Part 2</t>
  </si>
  <si>
    <t xml:space="preserve">ltda </t>
  </si>
  <si>
    <t xml:space="preserve">luaa </t>
  </si>
  <si>
    <t>HELETIC HOJO: Battle Skeleton</t>
  </si>
  <si>
    <t xml:space="preserve">luab </t>
  </si>
  <si>
    <t>588 Bytes</t>
  </si>
  <si>
    <t>HELETIC HOJO: Unidentified Part</t>
  </si>
  <si>
    <t xml:space="preserve">luam </t>
  </si>
  <si>
    <t xml:space="preserve">luan </t>
  </si>
  <si>
    <t xml:space="preserve">luao </t>
  </si>
  <si>
    <t xml:space="preserve">luap </t>
  </si>
  <si>
    <t xml:space="preserve">luar </t>
  </si>
  <si>
    <t xml:space="preserve">luas </t>
  </si>
  <si>
    <t xml:space="preserve">luav </t>
  </si>
  <si>
    <t xml:space="preserve">luaw </t>
  </si>
  <si>
    <t xml:space="preserve">luay </t>
  </si>
  <si>
    <t xml:space="preserve">luaz </t>
  </si>
  <si>
    <t xml:space="preserve">lubb </t>
  </si>
  <si>
    <t xml:space="preserve">lubd </t>
  </si>
  <si>
    <t xml:space="preserve">lube </t>
  </si>
  <si>
    <t xml:space="preserve">lubf </t>
  </si>
  <si>
    <t xml:space="preserve">lubg </t>
  </si>
  <si>
    <t xml:space="preserve">luda </t>
  </si>
  <si>
    <t xml:space="preserve">lvaa </t>
  </si>
  <si>
    <t>Hojo's Left Arm: Battle Skeleton</t>
  </si>
  <si>
    <t xml:space="preserve">lvab </t>
  </si>
  <si>
    <t>Hojo's Left Arm: Unidentified Part</t>
  </si>
  <si>
    <t xml:space="preserve">lvao </t>
  </si>
  <si>
    <t xml:space="preserve">lvap </t>
  </si>
  <si>
    <t xml:space="preserve">lvar </t>
  </si>
  <si>
    <t xml:space="preserve">lvat </t>
  </si>
  <si>
    <t xml:space="preserve">lvda </t>
  </si>
  <si>
    <t xml:space="preserve">lwaa </t>
  </si>
  <si>
    <t>Hojo's Right Arm: Battle Skeleton</t>
  </si>
  <si>
    <t xml:space="preserve">lwab </t>
  </si>
  <si>
    <t>Hojo's Right Arm: Unidentified Part</t>
  </si>
  <si>
    <t xml:space="preserve">lwao </t>
  </si>
  <si>
    <t xml:space="preserve">lwap </t>
  </si>
  <si>
    <t xml:space="preserve">lwar </t>
  </si>
  <si>
    <t xml:space="preserve">lwas </t>
  </si>
  <si>
    <t xml:space="preserve">lwat </t>
  </si>
  <si>
    <t xml:space="preserve">lwav </t>
  </si>
  <si>
    <t xml:space="preserve">lwaw </t>
  </si>
  <si>
    <t xml:space="preserve">lwax </t>
  </si>
  <si>
    <t xml:space="preserve">lwaz </t>
  </si>
  <si>
    <t xml:space="preserve">lwba </t>
  </si>
  <si>
    <t xml:space="preserve">lwbb </t>
  </si>
  <si>
    <t xml:space="preserve">lwbd </t>
  </si>
  <si>
    <t xml:space="preserve">lwbe </t>
  </si>
  <si>
    <t xml:space="preserve">lwbf </t>
  </si>
  <si>
    <t xml:space="preserve">lwda </t>
  </si>
  <si>
    <t xml:space="preserve">lxaa </t>
  </si>
  <si>
    <t>LIFEFORM HOJO: Battle Skeleton</t>
  </si>
  <si>
    <t xml:space="preserve">lxab </t>
  </si>
  <si>
    <t>LIFEFORM HOJO: Unidentified Part</t>
  </si>
  <si>
    <t xml:space="preserve">lxam </t>
  </si>
  <si>
    <t xml:space="preserve">lxan </t>
  </si>
  <si>
    <t xml:space="preserve">lxao </t>
  </si>
  <si>
    <t xml:space="preserve">lxar </t>
  </si>
  <si>
    <t xml:space="preserve">lxas </t>
  </si>
  <si>
    <t xml:space="preserve">lxat </t>
  </si>
  <si>
    <t xml:space="preserve">lxau </t>
  </si>
  <si>
    <t xml:space="preserve">lxav </t>
  </si>
  <si>
    <t xml:space="preserve">lxaw </t>
  </si>
  <si>
    <t xml:space="preserve">lxax </t>
  </si>
  <si>
    <t xml:space="preserve">lxay </t>
  </si>
  <si>
    <t xml:space="preserve">lxaz </t>
  </si>
  <si>
    <t xml:space="preserve">lxba </t>
  </si>
  <si>
    <t xml:space="preserve">lxbb </t>
  </si>
  <si>
    <t xml:space="preserve">lxbc </t>
  </si>
  <si>
    <t xml:space="preserve">lxbd </t>
  </si>
  <si>
    <t xml:space="preserve">lxbg </t>
  </si>
  <si>
    <t xml:space="preserve">lxbh </t>
  </si>
  <si>
    <t xml:space="preserve">lxbi </t>
  </si>
  <si>
    <t xml:space="preserve">lxbm </t>
  </si>
  <si>
    <t xml:space="preserve">lxbn </t>
  </si>
  <si>
    <t xml:space="preserve">lxbo </t>
  </si>
  <si>
    <t xml:space="preserve">lxbr </t>
  </si>
  <si>
    <t xml:space="preserve">lxbs </t>
  </si>
  <si>
    <t xml:space="preserve">lxbt </t>
  </si>
  <si>
    <t xml:space="preserve">lxbu </t>
  </si>
  <si>
    <t xml:space="preserve">lxbv </t>
  </si>
  <si>
    <t xml:space="preserve">lxbw </t>
  </si>
  <si>
    <t xml:space="preserve">lxda </t>
  </si>
  <si>
    <t xml:space="preserve">lyaa </t>
  </si>
  <si>
    <t>Magic Pot: Battle Skeleton</t>
  </si>
  <si>
    <t xml:space="preserve">lyab </t>
  </si>
  <si>
    <t>Magic Pot: Unidentified Part</t>
  </si>
  <si>
    <t xml:space="preserve">lyac </t>
  </si>
  <si>
    <t xml:space="preserve">lyad </t>
  </si>
  <si>
    <t xml:space="preserve">lyae </t>
  </si>
  <si>
    <t xml:space="preserve">lyap </t>
  </si>
  <si>
    <t xml:space="preserve">lyaq </t>
  </si>
  <si>
    <t xml:space="preserve">lyar </t>
  </si>
  <si>
    <t xml:space="preserve">lyat </t>
  </si>
  <si>
    <t xml:space="preserve">lyau </t>
  </si>
  <si>
    <t xml:space="preserve">lyav </t>
  </si>
  <si>
    <t xml:space="preserve">lyaw </t>
  </si>
  <si>
    <t xml:space="preserve">lyaz </t>
  </si>
  <si>
    <t xml:space="preserve">lyba </t>
  </si>
  <si>
    <t xml:space="preserve">lybb </t>
  </si>
  <si>
    <t xml:space="preserve">lybc </t>
  </si>
  <si>
    <t xml:space="preserve">lybe </t>
  </si>
  <si>
    <t xml:space="preserve">lybg </t>
  </si>
  <si>
    <t xml:space="preserve">lybj </t>
  </si>
  <si>
    <t xml:space="preserve">lybk </t>
  </si>
  <si>
    <t xml:space="preserve">lybl </t>
  </si>
  <si>
    <t xml:space="preserve">lybm </t>
  </si>
  <si>
    <t xml:space="preserve">lybp </t>
  </si>
  <si>
    <t xml:space="preserve">lybq </t>
  </si>
  <si>
    <t xml:space="preserve">lybr </t>
  </si>
  <si>
    <t xml:space="preserve">lybs </t>
  </si>
  <si>
    <t xml:space="preserve">lyda </t>
  </si>
  <si>
    <t xml:space="preserve">lzaa </t>
  </si>
  <si>
    <t>Christopher: Battle Skeleton</t>
  </si>
  <si>
    <t xml:space="preserve">lzab </t>
  </si>
  <si>
    <t>Christopher: Unidentified Part</t>
  </si>
  <si>
    <t xml:space="preserve">lzam </t>
  </si>
  <si>
    <t xml:space="preserve">lzan </t>
  </si>
  <si>
    <t xml:space="preserve">lzao </t>
  </si>
  <si>
    <t xml:space="preserve">lzar </t>
  </si>
  <si>
    <t xml:space="preserve">lzas </t>
  </si>
  <si>
    <t xml:space="preserve">lzat </t>
  </si>
  <si>
    <t xml:space="preserve">lzau </t>
  </si>
  <si>
    <t xml:space="preserve">lzax </t>
  </si>
  <si>
    <t xml:space="preserve">lzay </t>
  </si>
  <si>
    <t xml:space="preserve">lzaz </t>
  </si>
  <si>
    <t xml:space="preserve">lzba </t>
  </si>
  <si>
    <t xml:space="preserve">lzbd </t>
  </si>
  <si>
    <t xml:space="preserve">lzbe </t>
  </si>
  <si>
    <t xml:space="preserve">lzbf </t>
  </si>
  <si>
    <t xml:space="preserve">lzbi </t>
  </si>
  <si>
    <t xml:space="preserve">lzbj </t>
  </si>
  <si>
    <t xml:space="preserve">lzbk </t>
  </si>
  <si>
    <t xml:space="preserve">lzbm </t>
  </si>
  <si>
    <t xml:space="preserve">lzbn </t>
  </si>
  <si>
    <t xml:space="preserve">lzbo </t>
  </si>
  <si>
    <t xml:space="preserve">lzbq </t>
  </si>
  <si>
    <t xml:space="preserve">lzbr </t>
  </si>
  <si>
    <t xml:space="preserve">lzbs </t>
  </si>
  <si>
    <t xml:space="preserve">lzda </t>
  </si>
  <si>
    <t xml:space="preserve">maaa </t>
  </si>
  <si>
    <t>Gighee: Battle Skeleton</t>
  </si>
  <si>
    <t xml:space="preserve">maab </t>
  </si>
  <si>
    <t>Gighee: Unidentified Part</t>
  </si>
  <si>
    <t xml:space="preserve">maac </t>
  </si>
  <si>
    <t xml:space="preserve">maad </t>
  </si>
  <si>
    <t xml:space="preserve">maae </t>
  </si>
  <si>
    <t xml:space="preserve">maam </t>
  </si>
  <si>
    <t xml:space="preserve">maan </t>
  </si>
  <si>
    <t xml:space="preserve">maao </t>
  </si>
  <si>
    <t xml:space="preserve">maap </t>
  </si>
  <si>
    <t xml:space="preserve">maaq </t>
  </si>
  <si>
    <t xml:space="preserve">maar </t>
  </si>
  <si>
    <t xml:space="preserve">maat </t>
  </si>
  <si>
    <t xml:space="preserve">maav </t>
  </si>
  <si>
    <t xml:space="preserve">maaw </t>
  </si>
  <si>
    <t xml:space="preserve">maax </t>
  </si>
  <si>
    <t xml:space="preserve">maay </t>
  </si>
  <si>
    <t xml:space="preserve">maba </t>
  </si>
  <si>
    <t xml:space="preserve">mabb </t>
  </si>
  <si>
    <t xml:space="preserve">mabc </t>
  </si>
  <si>
    <t xml:space="preserve">mabd </t>
  </si>
  <si>
    <t xml:space="preserve">mabe </t>
  </si>
  <si>
    <t xml:space="preserve">mabf </t>
  </si>
  <si>
    <t xml:space="preserve">mabj </t>
  </si>
  <si>
    <t xml:space="preserve">mabk </t>
  </si>
  <si>
    <t xml:space="preserve">mabl </t>
  </si>
  <si>
    <t xml:space="preserve">mabm </t>
  </si>
  <si>
    <t xml:space="preserve">mabo </t>
  </si>
  <si>
    <t xml:space="preserve">mabp </t>
  </si>
  <si>
    <t xml:space="preserve">mabq </t>
  </si>
  <si>
    <t xml:space="preserve">mabr </t>
  </si>
  <si>
    <t xml:space="preserve">mada </t>
  </si>
  <si>
    <t xml:space="preserve">mbaa </t>
  </si>
  <si>
    <t>King Behemoth: Battle Skeleton</t>
  </si>
  <si>
    <t>Behemoth clone 1 (kzaa)</t>
  </si>
  <si>
    <t xml:space="preserve">mbab </t>
  </si>
  <si>
    <t>King Behemoth: Unidentified Part</t>
  </si>
  <si>
    <t xml:space="preserve">mbam </t>
  </si>
  <si>
    <t xml:space="preserve">mban </t>
  </si>
  <si>
    <t xml:space="preserve">mbao </t>
  </si>
  <si>
    <t xml:space="preserve">mbap </t>
  </si>
  <si>
    <t xml:space="preserve">mbaq </t>
  </si>
  <si>
    <t xml:space="preserve">mbar </t>
  </si>
  <si>
    <t xml:space="preserve">mbat </t>
  </si>
  <si>
    <t xml:space="preserve">mbau </t>
  </si>
  <si>
    <t xml:space="preserve">mbav </t>
  </si>
  <si>
    <t xml:space="preserve">mbaw </t>
  </si>
  <si>
    <t xml:space="preserve">mbay </t>
  </si>
  <si>
    <t xml:space="preserve">mbaz </t>
  </si>
  <si>
    <t xml:space="preserve">mbba </t>
  </si>
  <si>
    <t xml:space="preserve">mbbb </t>
  </si>
  <si>
    <t xml:space="preserve">mbbc </t>
  </si>
  <si>
    <t xml:space="preserve">mbbd </t>
  </si>
  <si>
    <t xml:space="preserve">mbbe </t>
  </si>
  <si>
    <t xml:space="preserve">mbbf </t>
  </si>
  <si>
    <t xml:space="preserve">mbbg </t>
  </si>
  <si>
    <t xml:space="preserve">mbbi </t>
  </si>
  <si>
    <t xml:space="preserve">mbbj </t>
  </si>
  <si>
    <t xml:space="preserve">mbbl </t>
  </si>
  <si>
    <t xml:space="preserve">mbbm </t>
  </si>
  <si>
    <t xml:space="preserve">mbbo </t>
  </si>
  <si>
    <t xml:space="preserve">mbbq </t>
  </si>
  <si>
    <t xml:space="preserve">mbbr </t>
  </si>
  <si>
    <t xml:space="preserve">mbbs </t>
  </si>
  <si>
    <t xml:space="preserve">mbbt </t>
  </si>
  <si>
    <t xml:space="preserve">mbbv </t>
  </si>
  <si>
    <t xml:space="preserve">mbbw </t>
  </si>
  <si>
    <t xml:space="preserve">mbbx </t>
  </si>
  <si>
    <t xml:space="preserve">mbby </t>
  </si>
  <si>
    <t xml:space="preserve">mbda </t>
  </si>
  <si>
    <t xml:space="preserve">mcaa </t>
  </si>
  <si>
    <t>Allemagne: Battle Skeleton</t>
  </si>
  <si>
    <t xml:space="preserve">mcab </t>
  </si>
  <si>
    <t>Allemagne: Unidentified Part</t>
  </si>
  <si>
    <t xml:space="preserve">mcam </t>
  </si>
  <si>
    <t xml:space="preserve">mcao </t>
  </si>
  <si>
    <t xml:space="preserve">mcap </t>
  </si>
  <si>
    <t xml:space="preserve">mcaq </t>
  </si>
  <si>
    <t xml:space="preserve">mcar </t>
  </si>
  <si>
    <t xml:space="preserve">mcat </t>
  </si>
  <si>
    <t xml:space="preserve">mcav </t>
  </si>
  <si>
    <t xml:space="preserve">mcaw </t>
  </si>
  <si>
    <t xml:space="preserve">mcax </t>
  </si>
  <si>
    <t xml:space="preserve">mcay </t>
  </si>
  <si>
    <t xml:space="preserve">mcba </t>
  </si>
  <si>
    <t xml:space="preserve">mcbb </t>
  </si>
  <si>
    <t xml:space="preserve">mcbe </t>
  </si>
  <si>
    <t xml:space="preserve">mcbf </t>
  </si>
  <si>
    <t xml:space="preserve">mcbg </t>
  </si>
  <si>
    <t xml:space="preserve">mcbi </t>
  </si>
  <si>
    <t xml:space="preserve">mcbj </t>
  </si>
  <si>
    <t xml:space="preserve">mcbk </t>
  </si>
  <si>
    <t xml:space="preserve">mcbl </t>
  </si>
  <si>
    <t xml:space="preserve">mcbm </t>
  </si>
  <si>
    <t xml:space="preserve">mcbn </t>
  </si>
  <si>
    <t xml:space="preserve">mcbo </t>
  </si>
  <si>
    <t xml:space="preserve">mcbp </t>
  </si>
  <si>
    <t xml:space="preserve">mcda </t>
  </si>
  <si>
    <t xml:space="preserve">mdaa </t>
  </si>
  <si>
    <t>Dragon Zombie: Battle Skeleton</t>
  </si>
  <si>
    <t xml:space="preserve">mdab </t>
  </si>
  <si>
    <t>Dragon Zombie: Unidentified Part</t>
  </si>
  <si>
    <t xml:space="preserve">mdac </t>
  </si>
  <si>
    <t xml:space="preserve">mdad </t>
  </si>
  <si>
    <t xml:space="preserve">mdam </t>
  </si>
  <si>
    <t xml:space="preserve">mdan </t>
  </si>
  <si>
    <t xml:space="preserve">mdao </t>
  </si>
  <si>
    <t xml:space="preserve">mdap </t>
  </si>
  <si>
    <t xml:space="preserve">mdaq </t>
  </si>
  <si>
    <t xml:space="preserve">mdar </t>
  </si>
  <si>
    <t xml:space="preserve">mdas </t>
  </si>
  <si>
    <t xml:space="preserve">mdat </t>
  </si>
  <si>
    <t xml:space="preserve">mdav </t>
  </si>
  <si>
    <t xml:space="preserve">mdaw </t>
  </si>
  <si>
    <t xml:space="preserve">mdax </t>
  </si>
  <si>
    <t xml:space="preserve">mdaz </t>
  </si>
  <si>
    <t xml:space="preserve">mdbb </t>
  </si>
  <si>
    <t xml:space="preserve">mdbd </t>
  </si>
  <si>
    <t xml:space="preserve">mdbe </t>
  </si>
  <si>
    <t xml:space="preserve">mdbf </t>
  </si>
  <si>
    <t xml:space="preserve">mdbh </t>
  </si>
  <si>
    <t xml:space="preserve">mdbi </t>
  </si>
  <si>
    <t xml:space="preserve">mdbj </t>
  </si>
  <si>
    <t xml:space="preserve">mdbl </t>
  </si>
  <si>
    <t xml:space="preserve">mdbn </t>
  </si>
  <si>
    <t xml:space="preserve">mdbo </t>
  </si>
  <si>
    <t xml:space="preserve">mdbp </t>
  </si>
  <si>
    <t xml:space="preserve">mdbr </t>
  </si>
  <si>
    <t xml:space="preserve">mdbt </t>
  </si>
  <si>
    <t xml:space="preserve">mdbu </t>
  </si>
  <si>
    <t xml:space="preserve">mdbv </t>
  </si>
  <si>
    <t xml:space="preserve">mdbw </t>
  </si>
  <si>
    <t xml:space="preserve">mdbx </t>
  </si>
  <si>
    <t xml:space="preserve">mdbz </t>
  </si>
  <si>
    <t xml:space="preserve">mdca </t>
  </si>
  <si>
    <t xml:space="preserve">mdcb </t>
  </si>
  <si>
    <t xml:space="preserve">mdcc </t>
  </si>
  <si>
    <t xml:space="preserve">mdce </t>
  </si>
  <si>
    <t xml:space="preserve">mdcf </t>
  </si>
  <si>
    <t xml:space="preserve">mdcg </t>
  </si>
  <si>
    <t xml:space="preserve">mdch </t>
  </si>
  <si>
    <t xml:space="preserve">mdda </t>
  </si>
  <si>
    <t xml:space="preserve">meaa </t>
  </si>
  <si>
    <t>Armored Golem: Battle Skeleton</t>
  </si>
  <si>
    <t>Golem clone 2 (fbaa)</t>
  </si>
  <si>
    <t xml:space="preserve">meab </t>
  </si>
  <si>
    <t>Armored Golem: Unidentified Part</t>
  </si>
  <si>
    <t xml:space="preserve">meac </t>
  </si>
  <si>
    <t xml:space="preserve">mead </t>
  </si>
  <si>
    <t xml:space="preserve">meae </t>
  </si>
  <si>
    <t xml:space="preserve">meam </t>
  </si>
  <si>
    <t xml:space="preserve">mean </t>
  </si>
  <si>
    <t xml:space="preserve">meao </t>
  </si>
  <si>
    <t xml:space="preserve">mear </t>
  </si>
  <si>
    <t xml:space="preserve">meas </t>
  </si>
  <si>
    <t xml:space="preserve">meat </t>
  </si>
  <si>
    <t xml:space="preserve">meav </t>
  </si>
  <si>
    <t xml:space="preserve">meay </t>
  </si>
  <si>
    <t xml:space="preserve">meaz </t>
  </si>
  <si>
    <t xml:space="preserve">meba </t>
  </si>
  <si>
    <t xml:space="preserve">mebc </t>
  </si>
  <si>
    <t xml:space="preserve">mebe </t>
  </si>
  <si>
    <t xml:space="preserve">mebf </t>
  </si>
  <si>
    <t xml:space="preserve">mebh </t>
  </si>
  <si>
    <t xml:space="preserve">mebi </t>
  </si>
  <si>
    <t xml:space="preserve">mebj </t>
  </si>
  <si>
    <t xml:space="preserve">mebl </t>
  </si>
  <si>
    <t xml:space="preserve">mebm </t>
  </si>
  <si>
    <t xml:space="preserve">meda </t>
  </si>
  <si>
    <t xml:space="preserve">mfaa </t>
  </si>
  <si>
    <t>Master Tonberry: Battle Skeleton</t>
  </si>
  <si>
    <t>Tonberry clone 1 (izaa)</t>
  </si>
  <si>
    <t xml:space="preserve">mfab </t>
  </si>
  <si>
    <t>Master Tonberry: Unidentified Part</t>
  </si>
  <si>
    <t xml:space="preserve">mfam </t>
  </si>
  <si>
    <t xml:space="preserve">mfan </t>
  </si>
  <si>
    <t xml:space="preserve">mfap </t>
  </si>
  <si>
    <t xml:space="preserve">mfas </t>
  </si>
  <si>
    <t xml:space="preserve">mfat </t>
  </si>
  <si>
    <t xml:space="preserve">mfau </t>
  </si>
  <si>
    <t xml:space="preserve">mfav </t>
  </si>
  <si>
    <t xml:space="preserve">mfaw </t>
  </si>
  <si>
    <t xml:space="preserve">mfax </t>
  </si>
  <si>
    <t xml:space="preserve">mfay </t>
  </si>
  <si>
    <t xml:space="preserve">mfbb </t>
  </si>
  <si>
    <t xml:space="preserve">mfbc </t>
  </si>
  <si>
    <t xml:space="preserve">mfbd </t>
  </si>
  <si>
    <t xml:space="preserve">mfbg </t>
  </si>
  <si>
    <t xml:space="preserve">mfbh </t>
  </si>
  <si>
    <t xml:space="preserve">mfbk </t>
  </si>
  <si>
    <t xml:space="preserve">mfbl </t>
  </si>
  <si>
    <t xml:space="preserve">mfbn </t>
  </si>
  <si>
    <t xml:space="preserve">mfbo </t>
  </si>
  <si>
    <t xml:space="preserve">mfbp </t>
  </si>
  <si>
    <t xml:space="preserve">mfbq </t>
  </si>
  <si>
    <t xml:space="preserve">mfda </t>
  </si>
  <si>
    <t xml:space="preserve">mgaa </t>
  </si>
  <si>
    <t>Pollensalta: Battle Skeleton</t>
  </si>
  <si>
    <t>Jemnezmy clone 2 (hiaa)</t>
  </si>
  <si>
    <t xml:space="preserve">mgab </t>
  </si>
  <si>
    <t>Pollensalta: Unidentified Part</t>
  </si>
  <si>
    <t xml:space="preserve">mgac </t>
  </si>
  <si>
    <t xml:space="preserve">mgad </t>
  </si>
  <si>
    <t xml:space="preserve">mgae </t>
  </si>
  <si>
    <t xml:space="preserve">mgam </t>
  </si>
  <si>
    <t xml:space="preserve">mgan </t>
  </si>
  <si>
    <t xml:space="preserve">mgar </t>
  </si>
  <si>
    <t xml:space="preserve">mgas </t>
  </si>
  <si>
    <t xml:space="preserve">mgat </t>
  </si>
  <si>
    <t xml:space="preserve">mgau </t>
  </si>
  <si>
    <t xml:space="preserve">mgav </t>
  </si>
  <si>
    <t xml:space="preserve">mgaw </t>
  </si>
  <si>
    <t xml:space="preserve">mgax </t>
  </si>
  <si>
    <t xml:space="preserve">mgaz </t>
  </si>
  <si>
    <t xml:space="preserve">mgba </t>
  </si>
  <si>
    <t xml:space="preserve">mgbb </t>
  </si>
  <si>
    <t xml:space="preserve">mgbc </t>
  </si>
  <si>
    <t xml:space="preserve">mgbd </t>
  </si>
  <si>
    <t xml:space="preserve">mgbe </t>
  </si>
  <si>
    <t xml:space="preserve">mgbg </t>
  </si>
  <si>
    <t xml:space="preserve">mgbh </t>
  </si>
  <si>
    <t xml:space="preserve">mgbi </t>
  </si>
  <si>
    <t xml:space="preserve">mgbj </t>
  </si>
  <si>
    <t xml:space="preserve">mgbk </t>
  </si>
  <si>
    <t xml:space="preserve">mgbl </t>
  </si>
  <si>
    <t xml:space="preserve">mgbm </t>
  </si>
  <si>
    <t xml:space="preserve">mgbo </t>
  </si>
  <si>
    <t xml:space="preserve">mgbp </t>
  </si>
  <si>
    <t xml:space="preserve">mgbq </t>
  </si>
  <si>
    <t xml:space="preserve">mgbs </t>
  </si>
  <si>
    <t xml:space="preserve">mgbt </t>
  </si>
  <si>
    <t xml:space="preserve">mgbu </t>
  </si>
  <si>
    <t xml:space="preserve">mgbx </t>
  </si>
  <si>
    <t xml:space="preserve">mgby </t>
  </si>
  <si>
    <t xml:space="preserve">mgbz </t>
  </si>
  <si>
    <t xml:space="preserve">mgcc </t>
  </si>
  <si>
    <t xml:space="preserve">mgcd </t>
  </si>
  <si>
    <t xml:space="preserve">mgce </t>
  </si>
  <si>
    <t xml:space="preserve">mgda </t>
  </si>
  <si>
    <t xml:space="preserve">mhaa </t>
  </si>
  <si>
    <t>Mover: Battle Skeleton</t>
  </si>
  <si>
    <t xml:space="preserve">mhab </t>
  </si>
  <si>
    <t>Mover: Unidentified Part</t>
  </si>
  <si>
    <t xml:space="preserve">mhaq </t>
  </si>
  <si>
    <t>Mover: Main</t>
  </si>
  <si>
    <t xml:space="preserve">mhda </t>
  </si>
  <si>
    <t xml:space="preserve">miaa </t>
  </si>
  <si>
    <t>Iron Man: Battle Skeleton</t>
  </si>
  <si>
    <t>Wolfmeister clone 1 (kgaa)</t>
  </si>
  <si>
    <t xml:space="preserve">miab </t>
  </si>
  <si>
    <t>Iron Man: Unidentified Part</t>
  </si>
  <si>
    <t xml:space="preserve">miac </t>
  </si>
  <si>
    <t xml:space="preserve">miam </t>
  </si>
  <si>
    <t xml:space="preserve">mian </t>
  </si>
  <si>
    <t xml:space="preserve">miap </t>
  </si>
  <si>
    <t xml:space="preserve">miar </t>
  </si>
  <si>
    <t xml:space="preserve">miau </t>
  </si>
  <si>
    <t xml:space="preserve">miav </t>
  </si>
  <si>
    <t xml:space="preserve">miay </t>
  </si>
  <si>
    <t xml:space="preserve">miaz </t>
  </si>
  <si>
    <t xml:space="preserve">miba </t>
  </si>
  <si>
    <t xml:space="preserve">mibb </t>
  </si>
  <si>
    <t xml:space="preserve">mibe </t>
  </si>
  <si>
    <t xml:space="preserve">mibf </t>
  </si>
  <si>
    <t xml:space="preserve">mibi </t>
  </si>
  <si>
    <t xml:space="preserve">mibj </t>
  </si>
  <si>
    <t xml:space="preserve">mibk </t>
  </si>
  <si>
    <t xml:space="preserve">mibl </t>
  </si>
  <si>
    <t xml:space="preserve">mibn </t>
  </si>
  <si>
    <t xml:space="preserve">mibo </t>
  </si>
  <si>
    <t xml:space="preserve">mibp </t>
  </si>
  <si>
    <t xml:space="preserve">mibr </t>
  </si>
  <si>
    <t xml:space="preserve">mibt </t>
  </si>
  <si>
    <t xml:space="preserve">mibu </t>
  </si>
  <si>
    <t xml:space="preserve">mibv </t>
  </si>
  <si>
    <t xml:space="preserve">mibx </t>
  </si>
  <si>
    <t xml:space="preserve">miby </t>
  </si>
  <si>
    <t xml:space="preserve">mida </t>
  </si>
  <si>
    <t xml:space="preserve">mjaa </t>
  </si>
  <si>
    <t>Parasite: Battle Skeleton</t>
  </si>
  <si>
    <t xml:space="preserve">mjab </t>
  </si>
  <si>
    <t>Parasite: Unidentified Part</t>
  </si>
  <si>
    <t xml:space="preserve">mjam </t>
  </si>
  <si>
    <t xml:space="preserve">mjan </t>
  </si>
  <si>
    <t xml:space="preserve">mjao </t>
  </si>
  <si>
    <t xml:space="preserve">mjap </t>
  </si>
  <si>
    <t xml:space="preserve">mjaq </t>
  </si>
  <si>
    <t xml:space="preserve">mjar </t>
  </si>
  <si>
    <t xml:space="preserve">mjas </t>
  </si>
  <si>
    <t xml:space="preserve">mjat </t>
  </si>
  <si>
    <t xml:space="preserve">mjau </t>
  </si>
  <si>
    <t xml:space="preserve">mjav </t>
  </si>
  <si>
    <t xml:space="preserve">mjaw </t>
  </si>
  <si>
    <t xml:space="preserve">mjay </t>
  </si>
  <si>
    <t xml:space="preserve">mjba </t>
  </si>
  <si>
    <t xml:space="preserve">mjbc </t>
  </si>
  <si>
    <t xml:space="preserve">mjbe </t>
  </si>
  <si>
    <t xml:space="preserve">mjbg </t>
  </si>
  <si>
    <t xml:space="preserve">mjbi </t>
  </si>
  <si>
    <t xml:space="preserve">mjda </t>
  </si>
  <si>
    <t xml:space="preserve">mkaa </t>
  </si>
  <si>
    <t>Dark Dragon: Battle Skeleton</t>
  </si>
  <si>
    <t>Dragon clone 3 (gbaa)</t>
  </si>
  <si>
    <t xml:space="preserve">mkab </t>
  </si>
  <si>
    <t>Dark Dragon: Unidentified Part</t>
  </si>
  <si>
    <t xml:space="preserve">mkam </t>
  </si>
  <si>
    <t xml:space="preserve">mkan </t>
  </si>
  <si>
    <t xml:space="preserve">mkao </t>
  </si>
  <si>
    <t xml:space="preserve">mkap </t>
  </si>
  <si>
    <t xml:space="preserve">mkaq </t>
  </si>
  <si>
    <t xml:space="preserve">mkar </t>
  </si>
  <si>
    <t xml:space="preserve">mkat </t>
  </si>
  <si>
    <t xml:space="preserve">mkau </t>
  </si>
  <si>
    <t xml:space="preserve">mkav </t>
  </si>
  <si>
    <t xml:space="preserve">mkaw </t>
  </si>
  <si>
    <t xml:space="preserve">mkay </t>
  </si>
  <si>
    <t xml:space="preserve">mkaz </t>
  </si>
  <si>
    <t xml:space="preserve">mkba </t>
  </si>
  <si>
    <t xml:space="preserve">mkbc </t>
  </si>
  <si>
    <t xml:space="preserve">mkbe </t>
  </si>
  <si>
    <t xml:space="preserve">mkbf </t>
  </si>
  <si>
    <t xml:space="preserve">mkbg </t>
  </si>
  <si>
    <t xml:space="preserve">mkbh </t>
  </si>
  <si>
    <t xml:space="preserve">mkbi </t>
  </si>
  <si>
    <t xml:space="preserve">mkbj </t>
  </si>
  <si>
    <t xml:space="preserve">mkbl </t>
  </si>
  <si>
    <t xml:space="preserve">mkbm </t>
  </si>
  <si>
    <t xml:space="preserve">mkbn </t>
  </si>
  <si>
    <t xml:space="preserve">mkbo </t>
  </si>
  <si>
    <t xml:space="preserve">mkbp </t>
  </si>
  <si>
    <t xml:space="preserve">mkbr </t>
  </si>
  <si>
    <t xml:space="preserve">mkbs </t>
  </si>
  <si>
    <t xml:space="preserve">mkbt </t>
  </si>
  <si>
    <t xml:space="preserve">mkbv </t>
  </si>
  <si>
    <t xml:space="preserve">mkbw </t>
  </si>
  <si>
    <t xml:space="preserve">mkbx </t>
  </si>
  <si>
    <t xml:space="preserve">mkda </t>
  </si>
  <si>
    <t xml:space="preserve">mlaa </t>
  </si>
  <si>
    <t>Death Dealer: Battle Skeleton</t>
  </si>
  <si>
    <t>Joker clone 1 (ekaa)</t>
  </si>
  <si>
    <t xml:space="preserve">mlab </t>
  </si>
  <si>
    <t>Death Dealer: Unidentified Part</t>
  </si>
  <si>
    <t xml:space="preserve">mlac </t>
  </si>
  <si>
    <t xml:space="preserve">mlad </t>
  </si>
  <si>
    <t xml:space="preserve">mlae </t>
  </si>
  <si>
    <t xml:space="preserve">mlam </t>
  </si>
  <si>
    <t xml:space="preserve">mlan </t>
  </si>
  <si>
    <t xml:space="preserve">mlaq </t>
  </si>
  <si>
    <t xml:space="preserve">mlar </t>
  </si>
  <si>
    <t xml:space="preserve">mlas </t>
  </si>
  <si>
    <t xml:space="preserve">mlat </t>
  </si>
  <si>
    <t xml:space="preserve">mlav </t>
  </si>
  <si>
    <t xml:space="preserve">mlaw </t>
  </si>
  <si>
    <t xml:space="preserve">mlay </t>
  </si>
  <si>
    <t xml:space="preserve">mlaz </t>
  </si>
  <si>
    <t xml:space="preserve">mlbc </t>
  </si>
  <si>
    <t xml:space="preserve">mlbf </t>
  </si>
  <si>
    <t xml:space="preserve">mlbg </t>
  </si>
  <si>
    <t xml:space="preserve">mlbh </t>
  </si>
  <si>
    <t xml:space="preserve">mlbi </t>
  </si>
  <si>
    <t xml:space="preserve">mlbk </t>
  </si>
  <si>
    <t xml:space="preserve">mlbl </t>
  </si>
  <si>
    <t xml:space="preserve">mlbn </t>
  </si>
  <si>
    <t xml:space="preserve">mlbo </t>
  </si>
  <si>
    <t xml:space="preserve">mlda </t>
  </si>
  <si>
    <t xml:space="preserve">mmaa </t>
  </si>
  <si>
    <t>JENOVA SYNTHESIS: Battle Skeleton</t>
  </si>
  <si>
    <t xml:space="preserve">mmab </t>
  </si>
  <si>
    <t>JENOVA SYNTHESIS: Unidentified Part</t>
  </si>
  <si>
    <t xml:space="preserve">mmam </t>
  </si>
  <si>
    <t>85 K</t>
  </si>
  <si>
    <t xml:space="preserve">mman </t>
  </si>
  <si>
    <t xml:space="preserve">mmaq </t>
  </si>
  <si>
    <t xml:space="preserve">mmar </t>
  </si>
  <si>
    <t xml:space="preserve">mmas </t>
  </si>
  <si>
    <t xml:space="preserve">mmat </t>
  </si>
  <si>
    <t xml:space="preserve">mmau </t>
  </si>
  <si>
    <t xml:space="preserve">mmav </t>
  </si>
  <si>
    <t xml:space="preserve">mmaw </t>
  </si>
  <si>
    <t xml:space="preserve">mmax </t>
  </si>
  <si>
    <t xml:space="preserve">mmba </t>
  </si>
  <si>
    <t xml:space="preserve">mmbe </t>
  </si>
  <si>
    <t xml:space="preserve">mmbh </t>
  </si>
  <si>
    <t xml:space="preserve">mmbi </t>
  </si>
  <si>
    <t xml:space="preserve">mmbj </t>
  </si>
  <si>
    <t xml:space="preserve">mmbk </t>
  </si>
  <si>
    <t xml:space="preserve">mmbl </t>
  </si>
  <si>
    <t xml:space="preserve">mmbm </t>
  </si>
  <si>
    <t xml:space="preserve">mmbn </t>
  </si>
  <si>
    <t xml:space="preserve">mmbo </t>
  </si>
  <si>
    <t xml:space="preserve">mmda </t>
  </si>
  <si>
    <t xml:space="preserve">mnaa </t>
  </si>
  <si>
    <t>Bizarro Sephiroth: Battle Skeleton</t>
  </si>
  <si>
    <t xml:space="preserve">mnab </t>
  </si>
  <si>
    <t>Bizarro Sephiroth: Unidentified Part</t>
  </si>
  <si>
    <t xml:space="preserve">mnac </t>
  </si>
  <si>
    <t xml:space="preserve">mnad </t>
  </si>
  <si>
    <t xml:space="preserve">mnae </t>
  </si>
  <si>
    <t xml:space="preserve">mnam </t>
  </si>
  <si>
    <t xml:space="preserve">mnat </t>
  </si>
  <si>
    <t>100 K</t>
  </si>
  <si>
    <t xml:space="preserve">mnav </t>
  </si>
  <si>
    <t xml:space="preserve">mnax </t>
  </si>
  <si>
    <t xml:space="preserve">mnaz </t>
  </si>
  <si>
    <t xml:space="preserve">mnba </t>
  </si>
  <si>
    <t xml:space="preserve">mnbc </t>
  </si>
  <si>
    <t xml:space="preserve">mnbd </t>
  </si>
  <si>
    <t xml:space="preserve">mnbk </t>
  </si>
  <si>
    <t xml:space="preserve">mnbl </t>
  </si>
  <si>
    <t xml:space="preserve">mnbo </t>
  </si>
  <si>
    <t xml:space="preserve">mnbp </t>
  </si>
  <si>
    <t xml:space="preserve">mnda </t>
  </si>
  <si>
    <t xml:space="preserve">moaa </t>
  </si>
  <si>
    <t>Bizarro Sephiroth copy 1 (mnaa)</t>
  </si>
  <si>
    <t xml:space="preserve">moab </t>
  </si>
  <si>
    <t xml:space="preserve">moac </t>
  </si>
  <si>
    <t xml:space="preserve">moad </t>
  </si>
  <si>
    <t xml:space="preserve">moae </t>
  </si>
  <si>
    <t xml:space="preserve">moam </t>
  </si>
  <si>
    <t xml:space="preserve">moat </t>
  </si>
  <si>
    <t xml:space="preserve">moav </t>
  </si>
  <si>
    <t xml:space="preserve">moax </t>
  </si>
  <si>
    <t xml:space="preserve">moaz </t>
  </si>
  <si>
    <t xml:space="preserve">moba </t>
  </si>
  <si>
    <t xml:space="preserve">mobc </t>
  </si>
  <si>
    <t xml:space="preserve">mobd </t>
  </si>
  <si>
    <t xml:space="preserve">mobk </t>
  </si>
  <si>
    <t xml:space="preserve">mobl </t>
  </si>
  <si>
    <t xml:space="preserve">mobo </t>
  </si>
  <si>
    <t xml:space="preserve">mobp </t>
  </si>
  <si>
    <t xml:space="preserve">moda </t>
  </si>
  <si>
    <t xml:space="preserve">mpaa </t>
  </si>
  <si>
    <t>Bizarro Sephiroth copy 2 (mnaa)</t>
  </si>
  <si>
    <t xml:space="preserve">mpab </t>
  </si>
  <si>
    <t xml:space="preserve">mpac </t>
  </si>
  <si>
    <t xml:space="preserve">mpad </t>
  </si>
  <si>
    <t xml:space="preserve">mpae </t>
  </si>
  <si>
    <t xml:space="preserve">mpam </t>
  </si>
  <si>
    <t xml:space="preserve">mpat </t>
  </si>
  <si>
    <t xml:space="preserve">mpav </t>
  </si>
  <si>
    <t xml:space="preserve">mpax </t>
  </si>
  <si>
    <t xml:space="preserve">mpaz </t>
  </si>
  <si>
    <t xml:space="preserve">mpba </t>
  </si>
  <si>
    <t xml:space="preserve">mpbc </t>
  </si>
  <si>
    <t xml:space="preserve">mpbd </t>
  </si>
  <si>
    <t xml:space="preserve">mpbk </t>
  </si>
  <si>
    <t xml:space="preserve">mpbl </t>
  </si>
  <si>
    <t xml:space="preserve">mpbo </t>
  </si>
  <si>
    <t xml:space="preserve">mpbp </t>
  </si>
  <si>
    <t xml:space="preserve">mpda </t>
  </si>
  <si>
    <t xml:space="preserve">mqaa </t>
  </si>
  <si>
    <t>Bizarro Sephiroth copy 3 (mnaa)</t>
  </si>
  <si>
    <t xml:space="preserve">mqab </t>
  </si>
  <si>
    <t xml:space="preserve">mqac </t>
  </si>
  <si>
    <t xml:space="preserve">mqad </t>
  </si>
  <si>
    <t xml:space="preserve">mqae </t>
  </si>
  <si>
    <t xml:space="preserve">mqam </t>
  </si>
  <si>
    <t xml:space="preserve">mqat </t>
  </si>
  <si>
    <t xml:space="preserve">mqav </t>
  </si>
  <si>
    <t xml:space="preserve">mqax </t>
  </si>
  <si>
    <t xml:space="preserve">mqaz </t>
  </si>
  <si>
    <t xml:space="preserve">mqba </t>
  </si>
  <si>
    <t xml:space="preserve">mqbc </t>
  </si>
  <si>
    <t xml:space="preserve">mqbd </t>
  </si>
  <si>
    <t xml:space="preserve">mqbk </t>
  </si>
  <si>
    <t xml:space="preserve">mqbl </t>
  </si>
  <si>
    <t xml:space="preserve">mqbo </t>
  </si>
  <si>
    <t xml:space="preserve">mqbp </t>
  </si>
  <si>
    <t xml:space="preserve">mqda </t>
  </si>
  <si>
    <t xml:space="preserve">mraa </t>
  </si>
  <si>
    <t>Bizarro Sephiroth copy 4 (mnaa)</t>
  </si>
  <si>
    <t xml:space="preserve">mrab </t>
  </si>
  <si>
    <t xml:space="preserve">mrac </t>
  </si>
  <si>
    <t xml:space="preserve">mrad </t>
  </si>
  <si>
    <t xml:space="preserve">mrae </t>
  </si>
  <si>
    <t xml:space="preserve">mram </t>
  </si>
  <si>
    <t xml:space="preserve">mrat </t>
  </si>
  <si>
    <t xml:space="preserve">mrav </t>
  </si>
  <si>
    <t xml:space="preserve">mrax </t>
  </si>
  <si>
    <t xml:space="preserve">mraz </t>
  </si>
  <si>
    <t xml:space="preserve">mrba </t>
  </si>
  <si>
    <t xml:space="preserve">mrbc </t>
  </si>
  <si>
    <t xml:space="preserve">mrbd </t>
  </si>
  <si>
    <t xml:space="preserve">mrbk </t>
  </si>
  <si>
    <t xml:space="preserve">mrbl </t>
  </si>
  <si>
    <t xml:space="preserve">mrbo </t>
  </si>
  <si>
    <t xml:space="preserve">mrbp </t>
  </si>
  <si>
    <t xml:space="preserve">mrda </t>
  </si>
  <si>
    <t xml:space="preserve">msaa </t>
  </si>
  <si>
    <t>Bizarro Sephiroth copy 5 (mnaa)</t>
  </si>
  <si>
    <t xml:space="preserve">msab </t>
  </si>
  <si>
    <t xml:space="preserve">msac </t>
  </si>
  <si>
    <t xml:space="preserve">msad </t>
  </si>
  <si>
    <t xml:space="preserve">msae </t>
  </si>
  <si>
    <t xml:space="preserve">msam </t>
  </si>
  <si>
    <t xml:space="preserve">msat </t>
  </si>
  <si>
    <t xml:space="preserve">msav </t>
  </si>
  <si>
    <t xml:space="preserve">msax </t>
  </si>
  <si>
    <t xml:space="preserve">msaz </t>
  </si>
  <si>
    <t xml:space="preserve">msba </t>
  </si>
  <si>
    <t xml:space="preserve">msbc </t>
  </si>
  <si>
    <t xml:space="preserve">msbd </t>
  </si>
  <si>
    <t xml:space="preserve">msbk </t>
  </si>
  <si>
    <t xml:space="preserve">msbl </t>
  </si>
  <si>
    <t xml:space="preserve">msbo </t>
  </si>
  <si>
    <t xml:space="preserve">msbp </t>
  </si>
  <si>
    <t xml:space="preserve">msda </t>
  </si>
  <si>
    <t xml:space="preserve">mtaa </t>
  </si>
  <si>
    <t>Safer Sephiroth: Battle Skeleton</t>
  </si>
  <si>
    <t xml:space="preserve">mtab </t>
  </si>
  <si>
    <t>Safer Sephiroth: Unidentified Part</t>
  </si>
  <si>
    <t xml:space="preserve">mtac </t>
  </si>
  <si>
    <t xml:space="preserve">mtam </t>
  </si>
  <si>
    <t xml:space="preserve">mtan </t>
  </si>
  <si>
    <t xml:space="preserve">mtao </t>
  </si>
  <si>
    <t xml:space="preserve">mtap </t>
  </si>
  <si>
    <t xml:space="preserve">mtaq </t>
  </si>
  <si>
    <t xml:space="preserve">mtar </t>
  </si>
  <si>
    <t xml:space="preserve">mtas </t>
  </si>
  <si>
    <t xml:space="preserve">mtat </t>
  </si>
  <si>
    <t xml:space="preserve">mtav </t>
  </si>
  <si>
    <t xml:space="preserve">mtaw </t>
  </si>
  <si>
    <t xml:space="preserve">mtax </t>
  </si>
  <si>
    <t xml:space="preserve">mtba </t>
  </si>
  <si>
    <t xml:space="preserve">mtbb </t>
  </si>
  <si>
    <t xml:space="preserve">mtbc </t>
  </si>
  <si>
    <t xml:space="preserve">mtbg </t>
  </si>
  <si>
    <t xml:space="preserve">mtbh </t>
  </si>
  <si>
    <t xml:space="preserve">mtbj </t>
  </si>
  <si>
    <t xml:space="preserve">mtbk </t>
  </si>
  <si>
    <t xml:space="preserve">mtbl </t>
  </si>
  <si>
    <t xml:space="preserve">mtbn </t>
  </si>
  <si>
    <t xml:space="preserve">mtbo </t>
  </si>
  <si>
    <t xml:space="preserve">mtbp </t>
  </si>
  <si>
    <t xml:space="preserve">mtbr </t>
  </si>
  <si>
    <t xml:space="preserve">mtbs </t>
  </si>
  <si>
    <t xml:space="preserve">mtbt </t>
  </si>
  <si>
    <t xml:space="preserve">mtbv </t>
  </si>
  <si>
    <t xml:space="preserve">mtbx </t>
  </si>
  <si>
    <t xml:space="preserve">mtby </t>
  </si>
  <si>
    <t xml:space="preserve">mtbz </t>
  </si>
  <si>
    <t xml:space="preserve">mtcb </t>
  </si>
  <si>
    <t xml:space="preserve">mtcc </t>
  </si>
  <si>
    <t xml:space="preserve">mtcd </t>
  </si>
  <si>
    <t xml:space="preserve">mtcf </t>
  </si>
  <si>
    <t xml:space="preserve">mtcg </t>
  </si>
  <si>
    <t xml:space="preserve">mtch </t>
  </si>
  <si>
    <t xml:space="preserve">mtda </t>
  </si>
  <si>
    <t>52 K</t>
  </si>
  <si>
    <t xml:space="preserve">muaa </t>
  </si>
  <si>
    <t>Sephiroth: Battle Skeleton</t>
  </si>
  <si>
    <t xml:space="preserve">muab </t>
  </si>
  <si>
    <t>Sephiroth: Unidentified Part</t>
  </si>
  <si>
    <t xml:space="preserve">muac </t>
  </si>
  <si>
    <t>Sephiroth: Eye, Eyebrow, Mouth</t>
  </si>
  <si>
    <t xml:space="preserve">muam </t>
  </si>
  <si>
    <t xml:space="preserve">muan </t>
  </si>
  <si>
    <t xml:space="preserve">muap </t>
  </si>
  <si>
    <t>Sephiroth: Hair Part</t>
  </si>
  <si>
    <t xml:space="preserve">muaq </t>
  </si>
  <si>
    <t xml:space="preserve">muar </t>
  </si>
  <si>
    <t xml:space="preserve">muas </t>
  </si>
  <si>
    <t xml:space="preserve">muat </t>
  </si>
  <si>
    <t xml:space="preserve">muav </t>
  </si>
  <si>
    <t xml:space="preserve">muaw </t>
  </si>
  <si>
    <t xml:space="preserve">muax </t>
  </si>
  <si>
    <t xml:space="preserve">muay </t>
  </si>
  <si>
    <t xml:space="preserve">muaz </t>
  </si>
  <si>
    <t xml:space="preserve">mubb </t>
  </si>
  <si>
    <t xml:space="preserve">mubc </t>
  </si>
  <si>
    <t xml:space="preserve">mubd </t>
  </si>
  <si>
    <t xml:space="preserve">mube </t>
  </si>
  <si>
    <t xml:space="preserve">mubf </t>
  </si>
  <si>
    <t xml:space="preserve">mubg </t>
  </si>
  <si>
    <t xml:space="preserve">mubi </t>
  </si>
  <si>
    <t xml:space="preserve">mubj </t>
  </si>
  <si>
    <t xml:space="preserve">mubk </t>
  </si>
  <si>
    <t>Sephiroth: Upper Shoe (ankle)</t>
  </si>
  <si>
    <t xml:space="preserve">mubl </t>
  </si>
  <si>
    <t>Sephiroth: Front Shoe (foot)</t>
  </si>
  <si>
    <t xml:space="preserve">mubn </t>
  </si>
  <si>
    <t xml:space="preserve">mubo </t>
  </si>
  <si>
    <t xml:space="preserve">mubp </t>
  </si>
  <si>
    <t>Sephiroth: Back Shoe (ankle)</t>
  </si>
  <si>
    <t xml:space="preserve">mubq </t>
  </si>
  <si>
    <t xml:space="preserve">mubt </t>
  </si>
  <si>
    <t xml:space="preserve">mubu </t>
  </si>
  <si>
    <t xml:space="preserve">mubv </t>
  </si>
  <si>
    <t>Sephiroth: Right Hand</t>
  </si>
  <si>
    <t xml:space="preserve">muby </t>
  </si>
  <si>
    <t xml:space="preserve">mubz </t>
  </si>
  <si>
    <t xml:space="preserve">muca </t>
  </si>
  <si>
    <t>Sephiroth: Left Hand</t>
  </si>
  <si>
    <t xml:space="preserve">muck </t>
  </si>
  <si>
    <t xml:space="preserve">muda </t>
  </si>
  <si>
    <t xml:space="preserve">mvaa </t>
  </si>
  <si>
    <t>ULTIMA WEAPON: Battle Skeleton</t>
  </si>
  <si>
    <t xml:space="preserve">mvab </t>
  </si>
  <si>
    <t>ULTIMA WEAPON: Unidentified Part</t>
  </si>
  <si>
    <t xml:space="preserve">mvam </t>
  </si>
  <si>
    <t xml:space="preserve">mvan </t>
  </si>
  <si>
    <t xml:space="preserve">mvao </t>
  </si>
  <si>
    <t xml:space="preserve">mvap </t>
  </si>
  <si>
    <t xml:space="preserve">mvaq </t>
  </si>
  <si>
    <t xml:space="preserve">mvar </t>
  </si>
  <si>
    <t xml:space="preserve">mvav </t>
  </si>
  <si>
    <t xml:space="preserve">mvaw </t>
  </si>
  <si>
    <t xml:space="preserve">mvax </t>
  </si>
  <si>
    <t xml:space="preserve">mvaz </t>
  </si>
  <si>
    <t xml:space="preserve">mvba </t>
  </si>
  <si>
    <t xml:space="preserve">mvbb </t>
  </si>
  <si>
    <t xml:space="preserve">mvbd </t>
  </si>
  <si>
    <t xml:space="preserve">mvbe </t>
  </si>
  <si>
    <t xml:space="preserve">mvbg </t>
  </si>
  <si>
    <t xml:space="preserve">mvbh </t>
  </si>
  <si>
    <t xml:space="preserve">mvbm </t>
  </si>
  <si>
    <t xml:space="preserve">mvbn </t>
  </si>
  <si>
    <t xml:space="preserve">mvbo </t>
  </si>
  <si>
    <t xml:space="preserve">mvbq </t>
  </si>
  <si>
    <t xml:space="preserve">mvbr </t>
  </si>
  <si>
    <t xml:space="preserve">mvbs </t>
  </si>
  <si>
    <t xml:space="preserve">mvbu </t>
  </si>
  <si>
    <t xml:space="preserve">mvbv </t>
  </si>
  <si>
    <t xml:space="preserve">mvbw </t>
  </si>
  <si>
    <t xml:space="preserve">mvbx </t>
  </si>
  <si>
    <t xml:space="preserve">mvbz </t>
  </si>
  <si>
    <t xml:space="preserve">mvca </t>
  </si>
  <si>
    <t xml:space="preserve">mvcb </t>
  </si>
  <si>
    <t xml:space="preserve">mvcc </t>
  </si>
  <si>
    <t xml:space="preserve">mvce </t>
  </si>
  <si>
    <t xml:space="preserve">mvcf </t>
  </si>
  <si>
    <t xml:space="preserve">mvcg </t>
  </si>
  <si>
    <t xml:space="preserve">mvch </t>
  </si>
  <si>
    <t xml:space="preserve">mvda </t>
  </si>
  <si>
    <t xml:space="preserve">mwaa </t>
  </si>
  <si>
    <t>Ultima Weapon: Battle Skeleton</t>
  </si>
  <si>
    <t>Ultima Weapon copy 1 (mvaa)</t>
  </si>
  <si>
    <t xml:space="preserve">mwab </t>
  </si>
  <si>
    <t>Ultima Weapon: Unidentified Part</t>
  </si>
  <si>
    <t xml:space="preserve">mwam </t>
  </si>
  <si>
    <t xml:space="preserve">mwan </t>
  </si>
  <si>
    <t xml:space="preserve">mwao </t>
  </si>
  <si>
    <t xml:space="preserve">mwap </t>
  </si>
  <si>
    <t xml:space="preserve">mwaq </t>
  </si>
  <si>
    <t xml:space="preserve">mwar </t>
  </si>
  <si>
    <t xml:space="preserve">mwav </t>
  </si>
  <si>
    <t xml:space="preserve">mwaw </t>
  </si>
  <si>
    <t xml:space="preserve">mwax </t>
  </si>
  <si>
    <t xml:space="preserve">mwaz </t>
  </si>
  <si>
    <t xml:space="preserve">mwba </t>
  </si>
  <si>
    <t xml:space="preserve">mwbb </t>
  </si>
  <si>
    <t xml:space="preserve">mwbd </t>
  </si>
  <si>
    <t xml:space="preserve">mwbe </t>
  </si>
  <si>
    <t xml:space="preserve">mwbg </t>
  </si>
  <si>
    <t xml:space="preserve">mwbh </t>
  </si>
  <si>
    <t xml:space="preserve">mwbm </t>
  </si>
  <si>
    <t xml:space="preserve">mwbn </t>
  </si>
  <si>
    <t xml:space="preserve">mwbo </t>
  </si>
  <si>
    <t xml:space="preserve">mwbq </t>
  </si>
  <si>
    <t xml:space="preserve">mwbr </t>
  </si>
  <si>
    <t xml:space="preserve">mwbs </t>
  </si>
  <si>
    <t xml:space="preserve">mwbu </t>
  </si>
  <si>
    <t xml:space="preserve">mwbv </t>
  </si>
  <si>
    <t xml:space="preserve">mwbw </t>
  </si>
  <si>
    <t xml:space="preserve">mwbx </t>
  </si>
  <si>
    <t xml:space="preserve">mwbz </t>
  </si>
  <si>
    <t xml:space="preserve">mwca </t>
  </si>
  <si>
    <t xml:space="preserve">mwcb </t>
  </si>
  <si>
    <t xml:space="preserve">mwcc </t>
  </si>
  <si>
    <t xml:space="preserve">mwce </t>
  </si>
  <si>
    <t xml:space="preserve">mwcf </t>
  </si>
  <si>
    <t xml:space="preserve">mwcg </t>
  </si>
  <si>
    <t xml:space="preserve">mwch </t>
  </si>
  <si>
    <t xml:space="preserve">mwda </t>
  </si>
  <si>
    <t xml:space="preserve">mxaa </t>
  </si>
  <si>
    <t>Ultima Weapon: Battle Skeleton (aerial fights)</t>
  </si>
  <si>
    <t>Ultima Weapon copy 2 (mvaa)</t>
  </si>
  <si>
    <t xml:space="preserve">mxab </t>
  </si>
  <si>
    <t xml:space="preserve">mxam </t>
  </si>
  <si>
    <t xml:space="preserve">mxan </t>
  </si>
  <si>
    <t xml:space="preserve">mxao </t>
  </si>
  <si>
    <t xml:space="preserve">mxap </t>
  </si>
  <si>
    <t xml:space="preserve">mxaq </t>
  </si>
  <si>
    <t xml:space="preserve">mxar </t>
  </si>
  <si>
    <t xml:space="preserve">mxav </t>
  </si>
  <si>
    <t xml:space="preserve">mxaw </t>
  </si>
  <si>
    <t xml:space="preserve">mxax </t>
  </si>
  <si>
    <t xml:space="preserve">mxaz </t>
  </si>
  <si>
    <t xml:space="preserve">mxba </t>
  </si>
  <si>
    <t xml:space="preserve">mxbb </t>
  </si>
  <si>
    <t xml:space="preserve">mxbd </t>
  </si>
  <si>
    <t xml:space="preserve">mxbe </t>
  </si>
  <si>
    <t xml:space="preserve">mxbg </t>
  </si>
  <si>
    <t xml:space="preserve">mxbh </t>
  </si>
  <si>
    <t xml:space="preserve">mxbm </t>
  </si>
  <si>
    <t xml:space="preserve">mxbn </t>
  </si>
  <si>
    <t xml:space="preserve">mxbo </t>
  </si>
  <si>
    <t xml:space="preserve">mxbq </t>
  </si>
  <si>
    <t xml:space="preserve">mxbr </t>
  </si>
  <si>
    <t xml:space="preserve">mxbs </t>
  </si>
  <si>
    <t xml:space="preserve">mxbu </t>
  </si>
  <si>
    <t xml:space="preserve">mxbv </t>
  </si>
  <si>
    <t xml:space="preserve">mxbw </t>
  </si>
  <si>
    <t xml:space="preserve">mxbx </t>
  </si>
  <si>
    <t xml:space="preserve">mxbz </t>
  </si>
  <si>
    <t xml:space="preserve">mxca </t>
  </si>
  <si>
    <t xml:space="preserve">mxcb </t>
  </si>
  <si>
    <t xml:space="preserve">mxcc </t>
  </si>
  <si>
    <t xml:space="preserve">mxce </t>
  </si>
  <si>
    <t xml:space="preserve">mxcf </t>
  </si>
  <si>
    <t xml:space="preserve">mxcg </t>
  </si>
  <si>
    <t xml:space="preserve">mxch </t>
  </si>
  <si>
    <t xml:space="preserve">mxda </t>
  </si>
  <si>
    <t xml:space="preserve">myaa </t>
  </si>
  <si>
    <t>Ultima Weapon copy 3 (mvaa)</t>
  </si>
  <si>
    <t xml:space="preserve">myab </t>
  </si>
  <si>
    <t xml:space="preserve">myam </t>
  </si>
  <si>
    <t xml:space="preserve">myan </t>
  </si>
  <si>
    <t xml:space="preserve">myao </t>
  </si>
  <si>
    <t xml:space="preserve">myap </t>
  </si>
  <si>
    <t xml:space="preserve">myaq </t>
  </si>
  <si>
    <t xml:space="preserve">myar </t>
  </si>
  <si>
    <t xml:space="preserve">myav </t>
  </si>
  <si>
    <t xml:space="preserve">myaw </t>
  </si>
  <si>
    <t xml:space="preserve">myax </t>
  </si>
  <si>
    <t xml:space="preserve">myaz </t>
  </si>
  <si>
    <t xml:space="preserve">myba </t>
  </si>
  <si>
    <t xml:space="preserve">mybb </t>
  </si>
  <si>
    <t xml:space="preserve">mybd </t>
  </si>
  <si>
    <t xml:space="preserve">mybe </t>
  </si>
  <si>
    <t xml:space="preserve">mybg </t>
  </si>
  <si>
    <t xml:space="preserve">mybh </t>
  </si>
  <si>
    <t xml:space="preserve">mybm </t>
  </si>
  <si>
    <t xml:space="preserve">mybn </t>
  </si>
  <si>
    <t xml:space="preserve">mybo </t>
  </si>
  <si>
    <t xml:space="preserve">mybq </t>
  </si>
  <si>
    <t xml:space="preserve">mybr </t>
  </si>
  <si>
    <t xml:space="preserve">mybs </t>
  </si>
  <si>
    <t xml:space="preserve">mybu </t>
  </si>
  <si>
    <t xml:space="preserve">mybv </t>
  </si>
  <si>
    <t xml:space="preserve">mybw </t>
  </si>
  <si>
    <t xml:space="preserve">mybx </t>
  </si>
  <si>
    <t xml:space="preserve">mybz </t>
  </si>
  <si>
    <t xml:space="preserve">myca </t>
  </si>
  <si>
    <t xml:space="preserve">mycb </t>
  </si>
  <si>
    <t xml:space="preserve">mycc </t>
  </si>
  <si>
    <t xml:space="preserve">myce </t>
  </si>
  <si>
    <t xml:space="preserve">mycf </t>
  </si>
  <si>
    <t xml:space="preserve">mycg </t>
  </si>
  <si>
    <t xml:space="preserve">mych </t>
  </si>
  <si>
    <t xml:space="preserve">myda </t>
  </si>
  <si>
    <t xml:space="preserve">mzaa </t>
  </si>
  <si>
    <t>Cactuar: Battle Skeleton</t>
  </si>
  <si>
    <t xml:space="preserve">mzab </t>
  </si>
  <si>
    <t>Cactuar: Unidentified Part</t>
  </si>
  <si>
    <t xml:space="preserve">mzam </t>
  </si>
  <si>
    <t xml:space="preserve">mzan </t>
  </si>
  <si>
    <t xml:space="preserve">mzap </t>
  </si>
  <si>
    <t xml:space="preserve">mzaq </t>
  </si>
  <si>
    <t xml:space="preserve">mzat </t>
  </si>
  <si>
    <t xml:space="preserve">mzau </t>
  </si>
  <si>
    <t xml:space="preserve">mzaw </t>
  </si>
  <si>
    <t xml:space="preserve">mzax </t>
  </si>
  <si>
    <t xml:space="preserve">mzaz </t>
  </si>
  <si>
    <t xml:space="preserve">mzba </t>
  </si>
  <si>
    <t xml:space="preserve">mzda </t>
  </si>
  <si>
    <t xml:space="preserve">naaa </t>
  </si>
  <si>
    <t>Goblin: Battle Skeleton</t>
  </si>
  <si>
    <t xml:space="preserve">naab </t>
  </si>
  <si>
    <t>Goblin: Unidentified Part</t>
  </si>
  <si>
    <t xml:space="preserve">naam </t>
  </si>
  <si>
    <t xml:space="preserve">naan </t>
  </si>
  <si>
    <t xml:space="preserve">naap </t>
  </si>
  <si>
    <t xml:space="preserve">naat </t>
  </si>
  <si>
    <t xml:space="preserve">naau </t>
  </si>
  <si>
    <t xml:space="preserve">naaw </t>
  </si>
  <si>
    <t xml:space="preserve">naax </t>
  </si>
  <si>
    <t xml:space="preserve">naay </t>
  </si>
  <si>
    <t xml:space="preserve">naaz </t>
  </si>
  <si>
    <t xml:space="preserve">nabb </t>
  </si>
  <si>
    <t xml:space="preserve">nabc </t>
  </si>
  <si>
    <t xml:space="preserve">nabd </t>
  </si>
  <si>
    <t xml:space="preserve">nabe </t>
  </si>
  <si>
    <t xml:space="preserve">nabh </t>
  </si>
  <si>
    <t xml:space="preserve">nabi </t>
  </si>
  <si>
    <t xml:space="preserve">nabj </t>
  </si>
  <si>
    <t xml:space="preserve">nabm </t>
  </si>
  <si>
    <t xml:space="preserve">nabn </t>
  </si>
  <si>
    <t xml:space="preserve">nabo </t>
  </si>
  <si>
    <t xml:space="preserve">nada </t>
  </si>
  <si>
    <t xml:space="preserve">nbaa </t>
  </si>
  <si>
    <t>Chocobo: Battle Skeleton</t>
  </si>
  <si>
    <t xml:space="preserve">nbab </t>
  </si>
  <si>
    <t>Chocobo: Unidentified Part</t>
  </si>
  <si>
    <t xml:space="preserve">nbam </t>
  </si>
  <si>
    <t xml:space="preserve">nban </t>
  </si>
  <si>
    <t xml:space="preserve">nbao </t>
  </si>
  <si>
    <t xml:space="preserve">nbaq </t>
  </si>
  <si>
    <t xml:space="preserve">nbar </t>
  </si>
  <si>
    <t xml:space="preserve">nbas </t>
  </si>
  <si>
    <t xml:space="preserve">nbat </t>
  </si>
  <si>
    <t xml:space="preserve">nbav </t>
  </si>
  <si>
    <t xml:space="preserve">nbax </t>
  </si>
  <si>
    <t xml:space="preserve">nbay </t>
  </si>
  <si>
    <t xml:space="preserve">nbaz </t>
  </si>
  <si>
    <t xml:space="preserve">nbbb </t>
  </si>
  <si>
    <t xml:space="preserve">nbbd </t>
  </si>
  <si>
    <t xml:space="preserve">nbbf </t>
  </si>
  <si>
    <t xml:space="preserve">nbbh </t>
  </si>
  <si>
    <t xml:space="preserve">nbbi </t>
  </si>
  <si>
    <t xml:space="preserve">nbbj </t>
  </si>
  <si>
    <t xml:space="preserve">nbbl </t>
  </si>
  <si>
    <t xml:space="preserve">nbbn </t>
  </si>
  <si>
    <t xml:space="preserve">nbbp </t>
  </si>
  <si>
    <t xml:space="preserve">nbda </t>
  </si>
  <si>
    <t xml:space="preserve">ncaa </t>
  </si>
  <si>
    <t>Chocobo copy 1 (nbaa)</t>
  </si>
  <si>
    <t xml:space="preserve">ncab </t>
  </si>
  <si>
    <t xml:space="preserve">ncam </t>
  </si>
  <si>
    <t xml:space="preserve">ncan </t>
  </si>
  <si>
    <t xml:space="preserve">ncao </t>
  </si>
  <si>
    <t xml:space="preserve">ncaq </t>
  </si>
  <si>
    <t xml:space="preserve">ncar </t>
  </si>
  <si>
    <t xml:space="preserve">ncas </t>
  </si>
  <si>
    <t xml:space="preserve">ncat </t>
  </si>
  <si>
    <t xml:space="preserve">ncav </t>
  </si>
  <si>
    <t xml:space="preserve">ncax </t>
  </si>
  <si>
    <t xml:space="preserve">ncay </t>
  </si>
  <si>
    <t xml:space="preserve">ncaz </t>
  </si>
  <si>
    <t xml:space="preserve">ncbb </t>
  </si>
  <si>
    <t xml:space="preserve">ncbd </t>
  </si>
  <si>
    <t xml:space="preserve">ncbf </t>
  </si>
  <si>
    <t xml:space="preserve">ncbh </t>
  </si>
  <si>
    <t xml:space="preserve">ncbi </t>
  </si>
  <si>
    <t xml:space="preserve">ncbj </t>
  </si>
  <si>
    <t xml:space="preserve">ncbl </t>
  </si>
  <si>
    <t xml:space="preserve">ncbn </t>
  </si>
  <si>
    <t xml:space="preserve">ncbp </t>
  </si>
  <si>
    <t xml:space="preserve">ncda </t>
  </si>
  <si>
    <t xml:space="preserve">ndaa </t>
  </si>
  <si>
    <t>Chocobo copy 2 (nbaa)</t>
  </si>
  <si>
    <t xml:space="preserve">ndab </t>
  </si>
  <si>
    <t xml:space="preserve">ndam </t>
  </si>
  <si>
    <t xml:space="preserve">ndan </t>
  </si>
  <si>
    <t xml:space="preserve">ndao </t>
  </si>
  <si>
    <t xml:space="preserve">ndaq </t>
  </si>
  <si>
    <t xml:space="preserve">ndar </t>
  </si>
  <si>
    <t xml:space="preserve">ndas </t>
  </si>
  <si>
    <t xml:space="preserve">ndat </t>
  </si>
  <si>
    <t xml:space="preserve">ndav </t>
  </si>
  <si>
    <t xml:space="preserve">ndax </t>
  </si>
  <si>
    <t xml:space="preserve">nday </t>
  </si>
  <si>
    <t xml:space="preserve">ndaz </t>
  </si>
  <si>
    <t xml:space="preserve">ndbb </t>
  </si>
  <si>
    <t xml:space="preserve">ndbd </t>
  </si>
  <si>
    <t xml:space="preserve">ndbf </t>
  </si>
  <si>
    <t xml:space="preserve">ndbh </t>
  </si>
  <si>
    <t xml:space="preserve">ndbi </t>
  </si>
  <si>
    <t xml:space="preserve">ndbj </t>
  </si>
  <si>
    <t xml:space="preserve">ndbl </t>
  </si>
  <si>
    <t xml:space="preserve">ndbn </t>
  </si>
  <si>
    <t xml:space="preserve">ndbp </t>
  </si>
  <si>
    <t xml:space="preserve">ndda </t>
  </si>
  <si>
    <t xml:space="preserve">neaa </t>
  </si>
  <si>
    <t>Chocobo copy 3 (nbaa)</t>
  </si>
  <si>
    <t xml:space="preserve">neab </t>
  </si>
  <si>
    <t xml:space="preserve">neam </t>
  </si>
  <si>
    <t xml:space="preserve">nean </t>
  </si>
  <si>
    <t xml:space="preserve">neao </t>
  </si>
  <si>
    <t xml:space="preserve">neaq </t>
  </si>
  <si>
    <t xml:space="preserve">near </t>
  </si>
  <si>
    <t xml:space="preserve">neas </t>
  </si>
  <si>
    <t xml:space="preserve">neat </t>
  </si>
  <si>
    <t xml:space="preserve">neav </t>
  </si>
  <si>
    <t xml:space="preserve">neax </t>
  </si>
  <si>
    <t xml:space="preserve">neay </t>
  </si>
  <si>
    <t xml:space="preserve">neaz </t>
  </si>
  <si>
    <t xml:space="preserve">nebb </t>
  </si>
  <si>
    <t xml:space="preserve">nebd </t>
  </si>
  <si>
    <t xml:space="preserve">nebf </t>
  </si>
  <si>
    <t xml:space="preserve">nebh </t>
  </si>
  <si>
    <t xml:space="preserve">nebi </t>
  </si>
  <si>
    <t xml:space="preserve">nebj </t>
  </si>
  <si>
    <t xml:space="preserve">nebl </t>
  </si>
  <si>
    <t xml:space="preserve">nebn </t>
  </si>
  <si>
    <t xml:space="preserve">nebp </t>
  </si>
  <si>
    <t xml:space="preserve">neda </t>
  </si>
  <si>
    <t xml:space="preserve">nfaa </t>
  </si>
  <si>
    <t>Chocobo copy 4 (nbaa)</t>
  </si>
  <si>
    <t xml:space="preserve">nfab </t>
  </si>
  <si>
    <t xml:space="preserve">nfam </t>
  </si>
  <si>
    <t xml:space="preserve">nfan </t>
  </si>
  <si>
    <t xml:space="preserve">nfao </t>
  </si>
  <si>
    <t xml:space="preserve">nfaq </t>
  </si>
  <si>
    <t xml:space="preserve">nfar </t>
  </si>
  <si>
    <t xml:space="preserve">nfas </t>
  </si>
  <si>
    <t xml:space="preserve">nfat </t>
  </si>
  <si>
    <t xml:space="preserve">nfav </t>
  </si>
  <si>
    <t xml:space="preserve">nfax </t>
  </si>
  <si>
    <t xml:space="preserve">nfay </t>
  </si>
  <si>
    <t xml:space="preserve">nfaz </t>
  </si>
  <si>
    <t xml:space="preserve">nfbb </t>
  </si>
  <si>
    <t xml:space="preserve">nfbd </t>
  </si>
  <si>
    <t xml:space="preserve">nfbf </t>
  </si>
  <si>
    <t xml:space="preserve">nfbh </t>
  </si>
  <si>
    <t xml:space="preserve">nfbi </t>
  </si>
  <si>
    <t xml:space="preserve">nfbj </t>
  </si>
  <si>
    <t xml:space="preserve">nfbl </t>
  </si>
  <si>
    <t xml:space="preserve">nfbn </t>
  </si>
  <si>
    <t xml:space="preserve">nfbp </t>
  </si>
  <si>
    <t xml:space="preserve">nfda </t>
  </si>
  <si>
    <t xml:space="preserve">ngaa </t>
  </si>
  <si>
    <t>Chocobo copy 5 (nbaa)</t>
  </si>
  <si>
    <t xml:space="preserve">ngab </t>
  </si>
  <si>
    <t xml:space="preserve">ngam </t>
  </si>
  <si>
    <t xml:space="preserve">ngan </t>
  </si>
  <si>
    <t xml:space="preserve">ngao </t>
  </si>
  <si>
    <t xml:space="preserve">ngaq </t>
  </si>
  <si>
    <t xml:space="preserve">ngar </t>
  </si>
  <si>
    <t xml:space="preserve">ngas </t>
  </si>
  <si>
    <t xml:space="preserve">ngat </t>
  </si>
  <si>
    <t xml:space="preserve">ngav </t>
  </si>
  <si>
    <t xml:space="preserve">ngax </t>
  </si>
  <si>
    <t xml:space="preserve">ngay </t>
  </si>
  <si>
    <t xml:space="preserve">ngaz </t>
  </si>
  <si>
    <t xml:space="preserve">ngbb </t>
  </si>
  <si>
    <t xml:space="preserve">ngbd </t>
  </si>
  <si>
    <t xml:space="preserve">ngbf </t>
  </si>
  <si>
    <t xml:space="preserve">ngbh </t>
  </si>
  <si>
    <t xml:space="preserve">ngbi </t>
  </si>
  <si>
    <t xml:space="preserve">ngbj </t>
  </si>
  <si>
    <t xml:space="preserve">ngbl </t>
  </si>
  <si>
    <t xml:space="preserve">ngbn </t>
  </si>
  <si>
    <t xml:space="preserve">ngbp </t>
  </si>
  <si>
    <t xml:space="preserve">ngda </t>
  </si>
  <si>
    <t xml:space="preserve">nhaa </t>
  </si>
  <si>
    <t>Chocobo copy 6 (nbaa)</t>
  </si>
  <si>
    <t xml:space="preserve">nhab </t>
  </si>
  <si>
    <t xml:space="preserve">nham </t>
  </si>
  <si>
    <t xml:space="preserve">nhan </t>
  </si>
  <si>
    <t xml:space="preserve">nhao </t>
  </si>
  <si>
    <t xml:space="preserve">nhaq </t>
  </si>
  <si>
    <t xml:space="preserve">nhar </t>
  </si>
  <si>
    <t xml:space="preserve">nhas </t>
  </si>
  <si>
    <t xml:space="preserve">nhat </t>
  </si>
  <si>
    <t xml:space="preserve">nhav </t>
  </si>
  <si>
    <t xml:space="preserve">nhax </t>
  </si>
  <si>
    <t xml:space="preserve">nhay </t>
  </si>
  <si>
    <t xml:space="preserve">nhaz </t>
  </si>
  <si>
    <t xml:space="preserve">nhbb </t>
  </si>
  <si>
    <t xml:space="preserve">nhbd </t>
  </si>
  <si>
    <t xml:space="preserve">nhbf </t>
  </si>
  <si>
    <t xml:space="preserve">nhbh </t>
  </si>
  <si>
    <t xml:space="preserve">nhbi </t>
  </si>
  <si>
    <t xml:space="preserve">nhbj </t>
  </si>
  <si>
    <t xml:space="preserve">nhbl </t>
  </si>
  <si>
    <t xml:space="preserve">nhbn </t>
  </si>
  <si>
    <t xml:space="preserve">nhbp </t>
  </si>
  <si>
    <t xml:space="preserve">nhda </t>
  </si>
  <si>
    <t xml:space="preserve">niaa </t>
  </si>
  <si>
    <t>Chocobo copy 7 (nbaa)</t>
  </si>
  <si>
    <t xml:space="preserve">niab </t>
  </si>
  <si>
    <t xml:space="preserve">niam </t>
  </si>
  <si>
    <t xml:space="preserve">nian </t>
  </si>
  <si>
    <t xml:space="preserve">niao </t>
  </si>
  <si>
    <t xml:space="preserve">niaq </t>
  </si>
  <si>
    <t xml:space="preserve">niar </t>
  </si>
  <si>
    <t xml:space="preserve">nias </t>
  </si>
  <si>
    <t xml:space="preserve">niat </t>
  </si>
  <si>
    <t xml:space="preserve">niav </t>
  </si>
  <si>
    <t xml:space="preserve">niax </t>
  </si>
  <si>
    <t xml:space="preserve">niay </t>
  </si>
  <si>
    <t xml:space="preserve">niaz </t>
  </si>
  <si>
    <t xml:space="preserve">nibb </t>
  </si>
  <si>
    <t xml:space="preserve">nibd </t>
  </si>
  <si>
    <t xml:space="preserve">nibf </t>
  </si>
  <si>
    <t xml:space="preserve">nibh </t>
  </si>
  <si>
    <t xml:space="preserve">nibi </t>
  </si>
  <si>
    <t xml:space="preserve">nibj </t>
  </si>
  <si>
    <t xml:space="preserve">nibl </t>
  </si>
  <si>
    <t xml:space="preserve">nibn </t>
  </si>
  <si>
    <t xml:space="preserve">nibp </t>
  </si>
  <si>
    <t xml:space="preserve">nida </t>
  </si>
  <si>
    <t xml:space="preserve">njaa </t>
  </si>
  <si>
    <t>Chocobo copy 8 (nbaa)</t>
  </si>
  <si>
    <t xml:space="preserve">njab </t>
  </si>
  <si>
    <t xml:space="preserve">njam </t>
  </si>
  <si>
    <t xml:space="preserve">njan </t>
  </si>
  <si>
    <t xml:space="preserve">njao </t>
  </si>
  <si>
    <t xml:space="preserve">njaq </t>
  </si>
  <si>
    <t xml:space="preserve">njar </t>
  </si>
  <si>
    <t xml:space="preserve">njas </t>
  </si>
  <si>
    <t xml:space="preserve">njat </t>
  </si>
  <si>
    <t xml:space="preserve">njav </t>
  </si>
  <si>
    <t xml:space="preserve">njax </t>
  </si>
  <si>
    <t xml:space="preserve">njay </t>
  </si>
  <si>
    <t xml:space="preserve">njaz </t>
  </si>
  <si>
    <t xml:space="preserve">njbb </t>
  </si>
  <si>
    <t xml:space="preserve">njbd </t>
  </si>
  <si>
    <t xml:space="preserve">njbf </t>
  </si>
  <si>
    <t xml:space="preserve">njbh </t>
  </si>
  <si>
    <t xml:space="preserve">njbi </t>
  </si>
  <si>
    <t xml:space="preserve">njbj </t>
  </si>
  <si>
    <t xml:space="preserve">njbl </t>
  </si>
  <si>
    <t xml:space="preserve">njbn </t>
  </si>
  <si>
    <t xml:space="preserve">njbp </t>
  </si>
  <si>
    <t xml:space="preserve">njda </t>
  </si>
  <si>
    <t xml:space="preserve">nkaa </t>
  </si>
  <si>
    <t>Chocobo copy 9 (nbaa)</t>
  </si>
  <si>
    <t xml:space="preserve">nkab </t>
  </si>
  <si>
    <t xml:space="preserve">nkam </t>
  </si>
  <si>
    <t xml:space="preserve">nkan </t>
  </si>
  <si>
    <t xml:space="preserve">nkao </t>
  </si>
  <si>
    <t xml:space="preserve">nkaq </t>
  </si>
  <si>
    <t xml:space="preserve">nkar </t>
  </si>
  <si>
    <t xml:space="preserve">nkas </t>
  </si>
  <si>
    <t xml:space="preserve">nkat </t>
  </si>
  <si>
    <t xml:space="preserve">nkav </t>
  </si>
  <si>
    <t xml:space="preserve">nkax </t>
  </si>
  <si>
    <t xml:space="preserve">nkay </t>
  </si>
  <si>
    <t xml:space="preserve">nkaz </t>
  </si>
  <si>
    <t xml:space="preserve">nkbb </t>
  </si>
  <si>
    <t xml:space="preserve">nkbd </t>
  </si>
  <si>
    <t xml:space="preserve">nkbf </t>
  </si>
  <si>
    <t xml:space="preserve">nkbh </t>
  </si>
  <si>
    <t xml:space="preserve">nkbi </t>
  </si>
  <si>
    <t xml:space="preserve">nkbj </t>
  </si>
  <si>
    <t xml:space="preserve">nkbl </t>
  </si>
  <si>
    <t xml:space="preserve">nkbn </t>
  </si>
  <si>
    <t xml:space="preserve">nkbp </t>
  </si>
  <si>
    <t xml:space="preserve">nkda </t>
  </si>
  <si>
    <t xml:space="preserve">nlaa </t>
  </si>
  <si>
    <t>Chocobo copy 10 (nbaa)</t>
  </si>
  <si>
    <t xml:space="preserve">nlab </t>
  </si>
  <si>
    <t xml:space="preserve">nlam </t>
  </si>
  <si>
    <t xml:space="preserve">nlan </t>
  </si>
  <si>
    <t xml:space="preserve">nlao </t>
  </si>
  <si>
    <t xml:space="preserve">nlaq </t>
  </si>
  <si>
    <t xml:space="preserve">nlar </t>
  </si>
  <si>
    <t xml:space="preserve">nlas </t>
  </si>
  <si>
    <t xml:space="preserve">nlat </t>
  </si>
  <si>
    <t xml:space="preserve">nlav </t>
  </si>
  <si>
    <t xml:space="preserve">nlax </t>
  </si>
  <si>
    <t xml:space="preserve">nlay </t>
  </si>
  <si>
    <t xml:space="preserve">nlaz </t>
  </si>
  <si>
    <t xml:space="preserve">nlbb </t>
  </si>
  <si>
    <t xml:space="preserve">nlbd </t>
  </si>
  <si>
    <t xml:space="preserve">nlbf </t>
  </si>
  <si>
    <t xml:space="preserve">nlbh </t>
  </si>
  <si>
    <t xml:space="preserve">nlbi </t>
  </si>
  <si>
    <t xml:space="preserve">nlbj </t>
  </si>
  <si>
    <t xml:space="preserve">nlbl </t>
  </si>
  <si>
    <t xml:space="preserve">nlbn </t>
  </si>
  <si>
    <t xml:space="preserve">nlbp </t>
  </si>
  <si>
    <t xml:space="preserve">nlda </t>
  </si>
  <si>
    <t xml:space="preserve">nmaa </t>
  </si>
  <si>
    <t>Chocobo copy 11 (nbaa)</t>
  </si>
  <si>
    <t xml:space="preserve">nmab </t>
  </si>
  <si>
    <t xml:space="preserve">nmam </t>
  </si>
  <si>
    <t xml:space="preserve">nman </t>
  </si>
  <si>
    <t xml:space="preserve">nmao </t>
  </si>
  <si>
    <t xml:space="preserve">nmaq </t>
  </si>
  <si>
    <t xml:space="preserve">nmar </t>
  </si>
  <si>
    <t xml:space="preserve">nmas </t>
  </si>
  <si>
    <t xml:space="preserve">nmat </t>
  </si>
  <si>
    <t xml:space="preserve">nmav </t>
  </si>
  <si>
    <t xml:space="preserve">nmax </t>
  </si>
  <si>
    <t xml:space="preserve">nmay </t>
  </si>
  <si>
    <t xml:space="preserve">nmaz </t>
  </si>
  <si>
    <t xml:space="preserve">nmbb </t>
  </si>
  <si>
    <t xml:space="preserve">nmbd </t>
  </si>
  <si>
    <t xml:space="preserve">nmbf </t>
  </si>
  <si>
    <t xml:space="preserve">nmbh </t>
  </si>
  <si>
    <t xml:space="preserve">nmbi </t>
  </si>
  <si>
    <t xml:space="preserve">nmbj </t>
  </si>
  <si>
    <t xml:space="preserve">nmbl </t>
  </si>
  <si>
    <t xml:space="preserve">nmbn </t>
  </si>
  <si>
    <t xml:space="preserve">nmbp </t>
  </si>
  <si>
    <t xml:space="preserve">nmda </t>
  </si>
  <si>
    <t xml:space="preserve">nnaa </t>
  </si>
  <si>
    <t>Chocobo copy 12 (nbaa)</t>
  </si>
  <si>
    <t xml:space="preserve">nnab </t>
  </si>
  <si>
    <t xml:space="preserve">nnam </t>
  </si>
  <si>
    <t xml:space="preserve">nnan </t>
  </si>
  <si>
    <t xml:space="preserve">nnao </t>
  </si>
  <si>
    <t xml:space="preserve">nnaq </t>
  </si>
  <si>
    <t xml:space="preserve">nnar </t>
  </si>
  <si>
    <t xml:space="preserve">nnas </t>
  </si>
  <si>
    <t xml:space="preserve">nnat </t>
  </si>
  <si>
    <t xml:space="preserve">nnav </t>
  </si>
  <si>
    <t xml:space="preserve">nnax </t>
  </si>
  <si>
    <t xml:space="preserve">nnay </t>
  </si>
  <si>
    <t xml:space="preserve">nnaz </t>
  </si>
  <si>
    <t xml:space="preserve">nnbb </t>
  </si>
  <si>
    <t xml:space="preserve">nnbd </t>
  </si>
  <si>
    <t xml:space="preserve">nnbf </t>
  </si>
  <si>
    <t xml:space="preserve">nnbh </t>
  </si>
  <si>
    <t xml:space="preserve">nnbi </t>
  </si>
  <si>
    <t xml:space="preserve">nnbj </t>
  </si>
  <si>
    <t xml:space="preserve">nnbl </t>
  </si>
  <si>
    <t xml:space="preserve">nnbn </t>
  </si>
  <si>
    <t xml:space="preserve">nnbp </t>
  </si>
  <si>
    <t xml:space="preserve">nnda </t>
  </si>
  <si>
    <t xml:space="preserve">noaa </t>
  </si>
  <si>
    <t>Chocobo copy 13 (nbaa)</t>
  </si>
  <si>
    <t xml:space="preserve">noab </t>
  </si>
  <si>
    <t xml:space="preserve">noam </t>
  </si>
  <si>
    <t xml:space="preserve">noan </t>
  </si>
  <si>
    <t xml:space="preserve">noao </t>
  </si>
  <si>
    <t xml:space="preserve">noaq </t>
  </si>
  <si>
    <t xml:space="preserve">noar </t>
  </si>
  <si>
    <t xml:space="preserve">noas </t>
  </si>
  <si>
    <t xml:space="preserve">noat </t>
  </si>
  <si>
    <t xml:space="preserve">noav </t>
  </si>
  <si>
    <t xml:space="preserve">noax </t>
  </si>
  <si>
    <t xml:space="preserve">noay </t>
  </si>
  <si>
    <t xml:space="preserve">noaz </t>
  </si>
  <si>
    <t xml:space="preserve">nobb </t>
  </si>
  <si>
    <t xml:space="preserve">nobd </t>
  </si>
  <si>
    <t xml:space="preserve">nobf </t>
  </si>
  <si>
    <t xml:space="preserve">nobh </t>
  </si>
  <si>
    <t xml:space="preserve">nobi </t>
  </si>
  <si>
    <t xml:space="preserve">nobj </t>
  </si>
  <si>
    <t xml:space="preserve">nobl </t>
  </si>
  <si>
    <t xml:space="preserve">nobn </t>
  </si>
  <si>
    <t xml:space="preserve">nobp </t>
  </si>
  <si>
    <t xml:space="preserve">noda </t>
  </si>
  <si>
    <t xml:space="preserve">npaa </t>
  </si>
  <si>
    <t>Mystery Ninja(yuf): Battle Skeleton</t>
  </si>
  <si>
    <t xml:space="preserve">npab </t>
  </si>
  <si>
    <t>Mystery Ninja(yuf): Unidentified Part</t>
  </si>
  <si>
    <t xml:space="preserve">npac </t>
  </si>
  <si>
    <t>Mystery Ninja(yuf): Eye</t>
  </si>
  <si>
    <t xml:space="preserve">npad </t>
  </si>
  <si>
    <t xml:space="preserve">npam </t>
  </si>
  <si>
    <t xml:space="preserve">npan </t>
  </si>
  <si>
    <t xml:space="preserve">npao </t>
  </si>
  <si>
    <t xml:space="preserve">npaq </t>
  </si>
  <si>
    <t xml:space="preserve">npar </t>
  </si>
  <si>
    <t xml:space="preserve">npau </t>
  </si>
  <si>
    <t xml:space="preserve">npav </t>
  </si>
  <si>
    <t xml:space="preserve">npaw </t>
  </si>
  <si>
    <t xml:space="preserve">npax </t>
  </si>
  <si>
    <t xml:space="preserve">npaz </t>
  </si>
  <si>
    <t xml:space="preserve">npbc </t>
  </si>
  <si>
    <t xml:space="preserve">npbd </t>
  </si>
  <si>
    <t xml:space="preserve">npbe </t>
  </si>
  <si>
    <t xml:space="preserve">npbg </t>
  </si>
  <si>
    <t xml:space="preserve">npbh </t>
  </si>
  <si>
    <t xml:space="preserve">npbi </t>
  </si>
  <si>
    <t xml:space="preserve">npbk </t>
  </si>
  <si>
    <t xml:space="preserve">npbm </t>
  </si>
  <si>
    <t xml:space="preserve">npbn </t>
  </si>
  <si>
    <t xml:space="preserve">npbo </t>
  </si>
  <si>
    <t xml:space="preserve">npbq </t>
  </si>
  <si>
    <t xml:space="preserve">npck </t>
  </si>
  <si>
    <t xml:space="preserve">npda </t>
  </si>
  <si>
    <t xml:space="preserve">nqaa </t>
  </si>
  <si>
    <t>Yuffie (as Enemy): Battle Skeleton</t>
  </si>
  <si>
    <t>Yuffie copy 1 (npaa)</t>
  </si>
  <si>
    <t xml:space="preserve">nqab </t>
  </si>
  <si>
    <t>Yuffie (as Enemy): Unidentified Part</t>
  </si>
  <si>
    <t xml:space="preserve">nqac </t>
  </si>
  <si>
    <t xml:space="preserve">nqad </t>
  </si>
  <si>
    <t xml:space="preserve">nqam </t>
  </si>
  <si>
    <t xml:space="preserve">nqan </t>
  </si>
  <si>
    <t xml:space="preserve">nqao </t>
  </si>
  <si>
    <t xml:space="preserve">nqaq </t>
  </si>
  <si>
    <t xml:space="preserve">nqar </t>
  </si>
  <si>
    <t xml:space="preserve">nqau </t>
  </si>
  <si>
    <t xml:space="preserve">nqav </t>
  </si>
  <si>
    <t xml:space="preserve">nqaw </t>
  </si>
  <si>
    <t xml:space="preserve">nqax </t>
  </si>
  <si>
    <t xml:space="preserve">nqaz </t>
  </si>
  <si>
    <t xml:space="preserve">nqbc </t>
  </si>
  <si>
    <t xml:space="preserve">nqbd </t>
  </si>
  <si>
    <t xml:space="preserve">nqbe </t>
  </si>
  <si>
    <t xml:space="preserve">nqbg </t>
  </si>
  <si>
    <t xml:space="preserve">nqbh </t>
  </si>
  <si>
    <t xml:space="preserve">nqbi </t>
  </si>
  <si>
    <t xml:space="preserve">nqbk </t>
  </si>
  <si>
    <t xml:space="preserve">nqbm </t>
  </si>
  <si>
    <t xml:space="preserve">nqbn </t>
  </si>
  <si>
    <t xml:space="preserve">nqbo </t>
  </si>
  <si>
    <t xml:space="preserve">nqbq </t>
  </si>
  <si>
    <t xml:space="preserve">nqck </t>
  </si>
  <si>
    <t xml:space="preserve">nqda </t>
  </si>
  <si>
    <t xml:space="preserve">nraa </t>
  </si>
  <si>
    <t>Yuffie copy 2 (npaa)</t>
  </si>
  <si>
    <t xml:space="preserve">nrab </t>
  </si>
  <si>
    <t xml:space="preserve">nrac </t>
  </si>
  <si>
    <t xml:space="preserve">nrad </t>
  </si>
  <si>
    <t xml:space="preserve">nram </t>
  </si>
  <si>
    <t xml:space="preserve">nran </t>
  </si>
  <si>
    <t xml:space="preserve">nrao </t>
  </si>
  <si>
    <t xml:space="preserve">nraq </t>
  </si>
  <si>
    <t xml:space="preserve">nrar </t>
  </si>
  <si>
    <t xml:space="preserve">nrau </t>
  </si>
  <si>
    <t xml:space="preserve">nrav </t>
  </si>
  <si>
    <t xml:space="preserve">nraw </t>
  </si>
  <si>
    <t xml:space="preserve">nrax </t>
  </si>
  <si>
    <t xml:space="preserve">nraz </t>
  </si>
  <si>
    <t xml:space="preserve">nrbc </t>
  </si>
  <si>
    <t xml:space="preserve">nrbd </t>
  </si>
  <si>
    <t xml:space="preserve">nrbe </t>
  </si>
  <si>
    <t xml:space="preserve">nrbg </t>
  </si>
  <si>
    <t xml:space="preserve">nrbh </t>
  </si>
  <si>
    <t xml:space="preserve">nrbi </t>
  </si>
  <si>
    <t xml:space="preserve">nrbk </t>
  </si>
  <si>
    <t xml:space="preserve">nrbm </t>
  </si>
  <si>
    <t xml:space="preserve">nrbn </t>
  </si>
  <si>
    <t xml:space="preserve">nrbo </t>
  </si>
  <si>
    <t xml:space="preserve">nrbq </t>
  </si>
  <si>
    <t xml:space="preserve">nrck </t>
  </si>
  <si>
    <t xml:space="preserve">nrda </t>
  </si>
  <si>
    <t xml:space="preserve">nsaa </t>
  </si>
  <si>
    <t>Yuffie copy 3 (npaa)</t>
  </si>
  <si>
    <t xml:space="preserve">nsab </t>
  </si>
  <si>
    <t xml:space="preserve">nsac </t>
  </si>
  <si>
    <t xml:space="preserve">nsad </t>
  </si>
  <si>
    <t xml:space="preserve">nsam </t>
  </si>
  <si>
    <t xml:space="preserve">nsan </t>
  </si>
  <si>
    <t xml:space="preserve">nsao </t>
  </si>
  <si>
    <t xml:space="preserve">nsaq </t>
  </si>
  <si>
    <t xml:space="preserve">nsar </t>
  </si>
  <si>
    <t xml:space="preserve">nsau </t>
  </si>
  <si>
    <t xml:space="preserve">nsav </t>
  </si>
  <si>
    <t xml:space="preserve">nsaw </t>
  </si>
  <si>
    <t xml:space="preserve">nsax </t>
  </si>
  <si>
    <t xml:space="preserve">nsaz </t>
  </si>
  <si>
    <t xml:space="preserve">nsbc </t>
  </si>
  <si>
    <t xml:space="preserve">nsbd </t>
  </si>
  <si>
    <t xml:space="preserve">nsbe </t>
  </si>
  <si>
    <t xml:space="preserve">nsbg </t>
  </si>
  <si>
    <t xml:space="preserve">nsbh </t>
  </si>
  <si>
    <t xml:space="preserve">nsbi </t>
  </si>
  <si>
    <t xml:space="preserve">nsbk </t>
  </si>
  <si>
    <t xml:space="preserve">nsbm </t>
  </si>
  <si>
    <t xml:space="preserve">nsbn </t>
  </si>
  <si>
    <t xml:space="preserve">nsbo </t>
  </si>
  <si>
    <t xml:space="preserve">nsbq </t>
  </si>
  <si>
    <t xml:space="preserve">nsck </t>
  </si>
  <si>
    <t xml:space="preserve">nsda </t>
  </si>
  <si>
    <t xml:space="preserve">ntaa </t>
  </si>
  <si>
    <t>Yuffie copy 4 (npaa)</t>
  </si>
  <si>
    <t xml:space="preserve">ntab </t>
  </si>
  <si>
    <t xml:space="preserve">ntac </t>
  </si>
  <si>
    <t xml:space="preserve">ntad </t>
  </si>
  <si>
    <t xml:space="preserve">ntam </t>
  </si>
  <si>
    <t xml:space="preserve">ntan </t>
  </si>
  <si>
    <t xml:space="preserve">ntao </t>
  </si>
  <si>
    <t xml:space="preserve">ntaq </t>
  </si>
  <si>
    <t xml:space="preserve">ntar </t>
  </si>
  <si>
    <t xml:space="preserve">ntau </t>
  </si>
  <si>
    <t xml:space="preserve">ntav </t>
  </si>
  <si>
    <t xml:space="preserve">ntaw </t>
  </si>
  <si>
    <t xml:space="preserve">ntax </t>
  </si>
  <si>
    <t xml:space="preserve">ntaz </t>
  </si>
  <si>
    <t xml:space="preserve">ntbc </t>
  </si>
  <si>
    <t xml:space="preserve">ntbd </t>
  </si>
  <si>
    <t xml:space="preserve">ntbe </t>
  </si>
  <si>
    <t xml:space="preserve">ntbg </t>
  </si>
  <si>
    <t xml:space="preserve">ntbh </t>
  </si>
  <si>
    <t xml:space="preserve">ntbi </t>
  </si>
  <si>
    <t xml:space="preserve">ntbk </t>
  </si>
  <si>
    <t xml:space="preserve">ntbm </t>
  </si>
  <si>
    <t xml:space="preserve">ntbn </t>
  </si>
  <si>
    <t xml:space="preserve">ntbo </t>
  </si>
  <si>
    <t xml:space="preserve">ntbq </t>
  </si>
  <si>
    <t xml:space="preserve">ntck </t>
  </si>
  <si>
    <t xml:space="preserve">ntda </t>
  </si>
  <si>
    <t xml:space="preserve">nuaa </t>
  </si>
  <si>
    <t>Yuffie copy 5 (npaa)</t>
  </si>
  <si>
    <t xml:space="preserve">nuab </t>
  </si>
  <si>
    <t xml:space="preserve">nuac </t>
  </si>
  <si>
    <t xml:space="preserve">nuad </t>
  </si>
  <si>
    <t xml:space="preserve">nuam </t>
  </si>
  <si>
    <t xml:space="preserve">nuan </t>
  </si>
  <si>
    <t xml:space="preserve">nuao </t>
  </si>
  <si>
    <t xml:space="preserve">nuaq </t>
  </si>
  <si>
    <t xml:space="preserve">nuar </t>
  </si>
  <si>
    <t xml:space="preserve">nuau </t>
  </si>
  <si>
    <t xml:space="preserve">nuav </t>
  </si>
  <si>
    <t xml:space="preserve">nuaw </t>
  </si>
  <si>
    <t xml:space="preserve">nuax </t>
  </si>
  <si>
    <t xml:space="preserve">nuaz </t>
  </si>
  <si>
    <t xml:space="preserve">nubc </t>
  </si>
  <si>
    <t xml:space="preserve">nubd </t>
  </si>
  <si>
    <t xml:space="preserve">nube </t>
  </si>
  <si>
    <t xml:space="preserve">nubg </t>
  </si>
  <si>
    <t xml:space="preserve">nubh </t>
  </si>
  <si>
    <t xml:space="preserve">nubi </t>
  </si>
  <si>
    <t xml:space="preserve">nubk </t>
  </si>
  <si>
    <t xml:space="preserve">nubm </t>
  </si>
  <si>
    <t xml:space="preserve">nubn </t>
  </si>
  <si>
    <t xml:space="preserve">nubo </t>
  </si>
  <si>
    <t xml:space="preserve">nubq </t>
  </si>
  <si>
    <t xml:space="preserve">nuck </t>
  </si>
  <si>
    <t xml:space="preserve">nuda </t>
  </si>
  <si>
    <t xml:space="preserve">nvaa </t>
  </si>
  <si>
    <t>Corneo's Lacky: Battle Skeleton</t>
  </si>
  <si>
    <t>Scotch clone 1 (bkaa)</t>
  </si>
  <si>
    <t xml:space="preserve">nvab </t>
  </si>
  <si>
    <t>Corneo's Lacky: Unidentified Part</t>
  </si>
  <si>
    <t xml:space="preserve">nvam </t>
  </si>
  <si>
    <t xml:space="preserve">nvan </t>
  </si>
  <si>
    <t xml:space="preserve">nvao </t>
  </si>
  <si>
    <t xml:space="preserve">nvar </t>
  </si>
  <si>
    <t xml:space="preserve">nvas </t>
  </si>
  <si>
    <t xml:space="preserve">nvat </t>
  </si>
  <si>
    <t xml:space="preserve">nvaw </t>
  </si>
  <si>
    <t xml:space="preserve">nvax </t>
  </si>
  <si>
    <t xml:space="preserve">nvay </t>
  </si>
  <si>
    <t xml:space="preserve">nvaz </t>
  </si>
  <si>
    <t xml:space="preserve">nvbd </t>
  </si>
  <si>
    <t xml:space="preserve">nvbe </t>
  </si>
  <si>
    <t xml:space="preserve">nvbf </t>
  </si>
  <si>
    <t xml:space="preserve">nvbg </t>
  </si>
  <si>
    <t xml:space="preserve">nvbi </t>
  </si>
  <si>
    <t xml:space="preserve">nvbj </t>
  </si>
  <si>
    <t xml:space="preserve">nvbk </t>
  </si>
  <si>
    <t xml:space="preserve">nvbl </t>
  </si>
  <si>
    <t xml:space="preserve">nvda </t>
  </si>
  <si>
    <t xml:space="preserve">nwaa </t>
  </si>
  <si>
    <t>Scotch clone 2 (bkaa)</t>
  </si>
  <si>
    <t xml:space="preserve">nwab </t>
  </si>
  <si>
    <t xml:space="preserve">nwam </t>
  </si>
  <si>
    <t xml:space="preserve">nwan </t>
  </si>
  <si>
    <t xml:space="preserve">nwao </t>
  </si>
  <si>
    <t xml:space="preserve">nwar </t>
  </si>
  <si>
    <t xml:space="preserve">nwas </t>
  </si>
  <si>
    <t xml:space="preserve">nwat </t>
  </si>
  <si>
    <t xml:space="preserve">nwaw </t>
  </si>
  <si>
    <t xml:space="preserve">nwax </t>
  </si>
  <si>
    <t xml:space="preserve">nway </t>
  </si>
  <si>
    <t xml:space="preserve">nwaz </t>
  </si>
  <si>
    <t xml:space="preserve">nwbd </t>
  </si>
  <si>
    <t xml:space="preserve">nwbe </t>
  </si>
  <si>
    <t xml:space="preserve">nwbf </t>
  </si>
  <si>
    <t xml:space="preserve">nwbg </t>
  </si>
  <si>
    <t xml:space="preserve">nwbi </t>
  </si>
  <si>
    <t xml:space="preserve">nwbj </t>
  </si>
  <si>
    <t xml:space="preserve">nwbk </t>
  </si>
  <si>
    <t xml:space="preserve">nwbl </t>
  </si>
  <si>
    <t xml:space="preserve">nwda </t>
  </si>
  <si>
    <t xml:space="preserve">nxaa </t>
  </si>
  <si>
    <t>Scotch clone 3 (bkaa)</t>
  </si>
  <si>
    <t xml:space="preserve">nxab </t>
  </si>
  <si>
    <t xml:space="preserve">nxam </t>
  </si>
  <si>
    <t xml:space="preserve">nxan </t>
  </si>
  <si>
    <t xml:space="preserve">nxao </t>
  </si>
  <si>
    <t xml:space="preserve">nxar </t>
  </si>
  <si>
    <t xml:space="preserve">nxas </t>
  </si>
  <si>
    <t xml:space="preserve">nxat </t>
  </si>
  <si>
    <t xml:space="preserve">nxaw </t>
  </si>
  <si>
    <t xml:space="preserve">nxax </t>
  </si>
  <si>
    <t xml:space="preserve">nxay </t>
  </si>
  <si>
    <t xml:space="preserve">nxaz </t>
  </si>
  <si>
    <t xml:space="preserve">nxbd </t>
  </si>
  <si>
    <t xml:space="preserve">nxbe </t>
  </si>
  <si>
    <t xml:space="preserve">nxbf </t>
  </si>
  <si>
    <t xml:space="preserve">nxbg </t>
  </si>
  <si>
    <t xml:space="preserve">nxbi </t>
  </si>
  <si>
    <t xml:space="preserve">nxbj </t>
  </si>
  <si>
    <t xml:space="preserve">nxbk </t>
  </si>
  <si>
    <t xml:space="preserve">nxbl </t>
  </si>
  <si>
    <t xml:space="preserve">nxda </t>
  </si>
  <si>
    <t>** da File</t>
  </si>
  <si>
    <t xml:space="preserve">nyaa </t>
  </si>
  <si>
    <t>Bad Rap Sample: Battle Skeleton</t>
  </si>
  <si>
    <t>Bad Rap clone 1 (kkaa)</t>
  </si>
  <si>
    <t xml:space="preserve">nyab </t>
  </si>
  <si>
    <t>Bad Rap Sample: Unidentified Part</t>
  </si>
  <si>
    <t xml:space="preserve">nyam </t>
  </si>
  <si>
    <t xml:space="preserve">nyan </t>
  </si>
  <si>
    <t xml:space="preserve">nyar </t>
  </si>
  <si>
    <t xml:space="preserve">nyat </t>
  </si>
  <si>
    <t xml:space="preserve">nyau </t>
  </si>
  <si>
    <t xml:space="preserve">nyav </t>
  </si>
  <si>
    <t xml:space="preserve">nyaw </t>
  </si>
  <si>
    <t xml:space="preserve">nyax </t>
  </si>
  <si>
    <t xml:space="preserve">nyay </t>
  </si>
  <si>
    <t xml:space="preserve">nyaz </t>
  </si>
  <si>
    <t xml:space="preserve">nyba </t>
  </si>
  <si>
    <t xml:space="preserve">nybb </t>
  </si>
  <si>
    <t xml:space="preserve">nybc </t>
  </si>
  <si>
    <t xml:space="preserve">nybe </t>
  </si>
  <si>
    <t xml:space="preserve">nybf </t>
  </si>
  <si>
    <t xml:space="preserve">nybg </t>
  </si>
  <si>
    <t xml:space="preserve">nybh </t>
  </si>
  <si>
    <t xml:space="preserve">nybi </t>
  </si>
  <si>
    <t xml:space="preserve">nybj </t>
  </si>
  <si>
    <t xml:space="preserve">nybk </t>
  </si>
  <si>
    <t xml:space="preserve">nybl </t>
  </si>
  <si>
    <t xml:space="preserve">nybm </t>
  </si>
  <si>
    <t xml:space="preserve">nybn </t>
  </si>
  <si>
    <t xml:space="preserve">nybp </t>
  </si>
  <si>
    <t xml:space="preserve">nybr </t>
  </si>
  <si>
    <t xml:space="preserve">nybt </t>
  </si>
  <si>
    <t xml:space="preserve">nybv </t>
  </si>
  <si>
    <t xml:space="preserve">nyda </t>
  </si>
  <si>
    <t xml:space="preserve">nzaa </t>
  </si>
  <si>
    <t>Poodler Sample: Battle Skeleton</t>
  </si>
  <si>
    <t>Beach Plug clone 2 (dvaa)</t>
  </si>
  <si>
    <t xml:space="preserve">nzab </t>
  </si>
  <si>
    <t>Poodler Sample: Unidentified Part</t>
  </si>
  <si>
    <t xml:space="preserve">nzam </t>
  </si>
  <si>
    <t xml:space="preserve">nzan </t>
  </si>
  <si>
    <t xml:space="preserve">nzao </t>
  </si>
  <si>
    <t xml:space="preserve">nzap </t>
  </si>
  <si>
    <t xml:space="preserve">nzaq </t>
  </si>
  <si>
    <t xml:space="preserve">nzar </t>
  </si>
  <si>
    <t xml:space="preserve">nzat </t>
  </si>
  <si>
    <t xml:space="preserve">nzau </t>
  </si>
  <si>
    <t xml:space="preserve">nzav </t>
  </si>
  <si>
    <t xml:space="preserve">nzaw </t>
  </si>
  <si>
    <t xml:space="preserve">nzay </t>
  </si>
  <si>
    <t xml:space="preserve">nzaz </t>
  </si>
  <si>
    <t xml:space="preserve">nzba </t>
  </si>
  <si>
    <t xml:space="preserve">nzbb </t>
  </si>
  <si>
    <t xml:space="preserve">nzbc </t>
  </si>
  <si>
    <t xml:space="preserve">nzbd </t>
  </si>
  <si>
    <t xml:space="preserve">nzbe </t>
  </si>
  <si>
    <t xml:space="preserve">nzbf </t>
  </si>
  <si>
    <t xml:space="preserve">nzbh </t>
  </si>
  <si>
    <t xml:space="preserve">nzbj </t>
  </si>
  <si>
    <t xml:space="preserve">nzbl </t>
  </si>
  <si>
    <t xml:space="preserve">nzbn </t>
  </si>
  <si>
    <t xml:space="preserve">nzbp </t>
  </si>
  <si>
    <t xml:space="preserve">nzda </t>
  </si>
  <si>
    <t xml:space="preserve">oaaa </t>
  </si>
  <si>
    <t>Cactuer: Battle Skeleton</t>
  </si>
  <si>
    <t>cactuar clone 1 (mzaa)</t>
  </si>
  <si>
    <t xml:space="preserve">oaab </t>
  </si>
  <si>
    <t>Cactuer: Unidentified Part</t>
  </si>
  <si>
    <t xml:space="preserve">oaam </t>
  </si>
  <si>
    <t xml:space="preserve">oaan </t>
  </si>
  <si>
    <t xml:space="preserve">oaap </t>
  </si>
  <si>
    <t xml:space="preserve">oaaq </t>
  </si>
  <si>
    <t xml:space="preserve">oaat </t>
  </si>
  <si>
    <t xml:space="preserve">oaau </t>
  </si>
  <si>
    <t xml:space="preserve">oaaw </t>
  </si>
  <si>
    <t xml:space="preserve">oaax </t>
  </si>
  <si>
    <t xml:space="preserve">oaaz </t>
  </si>
  <si>
    <t xml:space="preserve">oaba </t>
  </si>
  <si>
    <t xml:space="preserve">oada </t>
  </si>
  <si>
    <t xml:space="preserve">obaa </t>
  </si>
  <si>
    <t>Shinra Trooper: Battle Skeleton</t>
  </si>
  <si>
    <t>MP clone 7 (aqaa)</t>
  </si>
  <si>
    <t xml:space="preserve">obab </t>
  </si>
  <si>
    <t>372 Bytes</t>
  </si>
  <si>
    <t>Shinra Trooper: Unidentified Part</t>
  </si>
  <si>
    <t xml:space="preserve">obam </t>
  </si>
  <si>
    <t xml:space="preserve">oban </t>
  </si>
  <si>
    <t xml:space="preserve">obao </t>
  </si>
  <si>
    <t xml:space="preserve">obar </t>
  </si>
  <si>
    <t xml:space="preserve">obas </t>
  </si>
  <si>
    <t xml:space="preserve">obat </t>
  </si>
  <si>
    <t xml:space="preserve">obav </t>
  </si>
  <si>
    <t xml:space="preserve">obay </t>
  </si>
  <si>
    <t xml:space="preserve">obaz </t>
  </si>
  <si>
    <t xml:space="preserve">obba </t>
  </si>
  <si>
    <t xml:space="preserve">obbc </t>
  </si>
  <si>
    <t xml:space="preserve">obbd </t>
  </si>
  <si>
    <t xml:space="preserve">obbe </t>
  </si>
  <si>
    <t xml:space="preserve">obbf </t>
  </si>
  <si>
    <t xml:space="preserve">obbh </t>
  </si>
  <si>
    <t xml:space="preserve">obbi </t>
  </si>
  <si>
    <t xml:space="preserve">obbj </t>
  </si>
  <si>
    <t xml:space="preserve">obbk </t>
  </si>
  <si>
    <t xml:space="preserve">obbm </t>
  </si>
  <si>
    <t xml:space="preserve">obck </t>
  </si>
  <si>
    <t xml:space="preserve">obda </t>
  </si>
  <si>
    <t xml:space="preserve">ocaa </t>
  </si>
  <si>
    <t>MP clone 7 (aqaa) Placeholders</t>
  </si>
  <si>
    <t xml:space="preserve">ocab </t>
  </si>
  <si>
    <t xml:space="preserve">ocam </t>
  </si>
  <si>
    <t xml:space="preserve">ocan </t>
  </si>
  <si>
    <t xml:space="preserve">ocao </t>
  </si>
  <si>
    <t xml:space="preserve">ocar </t>
  </si>
  <si>
    <t xml:space="preserve">ocas </t>
  </si>
  <si>
    <t xml:space="preserve">ocat </t>
  </si>
  <si>
    <t xml:space="preserve">ocav </t>
  </si>
  <si>
    <t xml:space="preserve">ocay </t>
  </si>
  <si>
    <t xml:space="preserve">ocaz </t>
  </si>
  <si>
    <t xml:space="preserve">ocba </t>
  </si>
  <si>
    <t xml:space="preserve">ocbc </t>
  </si>
  <si>
    <t xml:space="preserve">ocbd </t>
  </si>
  <si>
    <t xml:space="preserve">ocbe </t>
  </si>
  <si>
    <t xml:space="preserve">ocbf </t>
  </si>
  <si>
    <t xml:space="preserve">ocbh </t>
  </si>
  <si>
    <t xml:space="preserve">ocbi </t>
  </si>
  <si>
    <t xml:space="preserve">ocbj </t>
  </si>
  <si>
    <t xml:space="preserve">ocbk </t>
  </si>
  <si>
    <t xml:space="preserve">ocbm </t>
  </si>
  <si>
    <t xml:space="preserve">occk </t>
  </si>
  <si>
    <t xml:space="preserve">ocda </t>
  </si>
  <si>
    <t xml:space="preserve">odaa </t>
  </si>
  <si>
    <t xml:space="preserve">odab </t>
  </si>
  <si>
    <t xml:space="preserve">odam </t>
  </si>
  <si>
    <t xml:space="preserve">odan </t>
  </si>
  <si>
    <t xml:space="preserve">odao </t>
  </si>
  <si>
    <t xml:space="preserve">odar </t>
  </si>
  <si>
    <t xml:space="preserve">odas </t>
  </si>
  <si>
    <t xml:space="preserve">odat </t>
  </si>
  <si>
    <t xml:space="preserve">odav </t>
  </si>
  <si>
    <t xml:space="preserve">oday </t>
  </si>
  <si>
    <t xml:space="preserve">odaz </t>
  </si>
  <si>
    <t xml:space="preserve">odba </t>
  </si>
  <si>
    <t xml:space="preserve">odbc </t>
  </si>
  <si>
    <t xml:space="preserve">odbd </t>
  </si>
  <si>
    <t xml:space="preserve">odbe </t>
  </si>
  <si>
    <t xml:space="preserve">odbf </t>
  </si>
  <si>
    <t xml:space="preserve">odbh </t>
  </si>
  <si>
    <t xml:space="preserve">odbi </t>
  </si>
  <si>
    <t xml:space="preserve">odbj </t>
  </si>
  <si>
    <t xml:space="preserve">odbk </t>
  </si>
  <si>
    <t xml:space="preserve">odbm </t>
  </si>
  <si>
    <t xml:space="preserve">odck </t>
  </si>
  <si>
    <t xml:space="preserve">odda </t>
  </si>
  <si>
    <t xml:space="preserve">oeaa </t>
  </si>
  <si>
    <t xml:space="preserve">oeab </t>
  </si>
  <si>
    <t xml:space="preserve">oeam </t>
  </si>
  <si>
    <t xml:space="preserve">oean </t>
  </si>
  <si>
    <t xml:space="preserve">oeao </t>
  </si>
  <si>
    <t xml:space="preserve">oear </t>
  </si>
  <si>
    <t xml:space="preserve">oeas </t>
  </si>
  <si>
    <t xml:space="preserve">oeat </t>
  </si>
  <si>
    <t xml:space="preserve">oeav </t>
  </si>
  <si>
    <t xml:space="preserve">oeay </t>
  </si>
  <si>
    <t xml:space="preserve">oeaz </t>
  </si>
  <si>
    <t xml:space="preserve">oeba </t>
  </si>
  <si>
    <t xml:space="preserve">oebc </t>
  </si>
  <si>
    <t xml:space="preserve">oebd </t>
  </si>
  <si>
    <t xml:space="preserve">oebe </t>
  </si>
  <si>
    <t xml:space="preserve">oebf </t>
  </si>
  <si>
    <t xml:space="preserve">oebh </t>
  </si>
  <si>
    <t xml:space="preserve">oebi </t>
  </si>
  <si>
    <t xml:space="preserve">oebj </t>
  </si>
  <si>
    <t xml:space="preserve">oebk </t>
  </si>
  <si>
    <t xml:space="preserve">oebm </t>
  </si>
  <si>
    <t xml:space="preserve">oeck </t>
  </si>
  <si>
    <t xml:space="preserve">oeda </t>
  </si>
  <si>
    <t xml:space="preserve">ofaa </t>
  </si>
  <si>
    <t xml:space="preserve">ofab </t>
  </si>
  <si>
    <t xml:space="preserve">ofam </t>
  </si>
  <si>
    <t xml:space="preserve">ofan </t>
  </si>
  <si>
    <t xml:space="preserve">ofao </t>
  </si>
  <si>
    <t xml:space="preserve">ofar </t>
  </si>
  <si>
    <t xml:space="preserve">ofas </t>
  </si>
  <si>
    <t xml:space="preserve">ofat </t>
  </si>
  <si>
    <t xml:space="preserve">ofav </t>
  </si>
  <si>
    <t xml:space="preserve">ofay </t>
  </si>
  <si>
    <t xml:space="preserve">ofaz </t>
  </si>
  <si>
    <t xml:space="preserve">ofba </t>
  </si>
  <si>
    <t xml:space="preserve">ofbc </t>
  </si>
  <si>
    <t xml:space="preserve">ofbd </t>
  </si>
  <si>
    <t xml:space="preserve">ofbe </t>
  </si>
  <si>
    <t xml:space="preserve">ofbf </t>
  </si>
  <si>
    <t xml:space="preserve">ofbh </t>
  </si>
  <si>
    <t xml:space="preserve">ofbi </t>
  </si>
  <si>
    <t xml:space="preserve">ofbj </t>
  </si>
  <si>
    <t xml:space="preserve">ofbk </t>
  </si>
  <si>
    <t xml:space="preserve">ofbm </t>
  </si>
  <si>
    <t xml:space="preserve">ofck </t>
  </si>
  <si>
    <t xml:space="preserve">ofda </t>
  </si>
  <si>
    <t>ogaa</t>
  </si>
  <si>
    <t>52 Bytes</t>
  </si>
  <si>
    <t>Blank</t>
  </si>
  <si>
    <t xml:space="preserve">ogab </t>
  </si>
  <si>
    <t>8 Bytes</t>
  </si>
  <si>
    <t xml:space="preserve">ogac </t>
  </si>
  <si>
    <t>Transparent layer?</t>
  </si>
  <si>
    <t xml:space="preserve">ogam </t>
  </si>
  <si>
    <t xml:space="preserve">ogan </t>
  </si>
  <si>
    <t>nothing to see so no point?</t>
  </si>
  <si>
    <t xml:space="preserve">ogao </t>
  </si>
  <si>
    <t xml:space="preserve">ogap </t>
  </si>
  <si>
    <t xml:space="preserve">ohaa </t>
  </si>
  <si>
    <t>Bizarro Sephiroth Battle - Center: Skeleton</t>
  </si>
  <si>
    <t xml:space="preserve">ohab </t>
  </si>
  <si>
    <t xml:space="preserve">ohac </t>
  </si>
  <si>
    <t xml:space="preserve">ohad </t>
  </si>
  <si>
    <t xml:space="preserve">ohae </t>
  </si>
  <si>
    <t xml:space="preserve">ohaf </t>
  </si>
  <si>
    <t xml:space="preserve">ohag </t>
  </si>
  <si>
    <t xml:space="preserve">ohah </t>
  </si>
  <si>
    <t xml:space="preserve">ohai </t>
  </si>
  <si>
    <t xml:space="preserve">oham </t>
  </si>
  <si>
    <t xml:space="preserve">ohan </t>
  </si>
  <si>
    <t xml:space="preserve">ohao </t>
  </si>
  <si>
    <t xml:space="preserve">ohap </t>
  </si>
  <si>
    <t xml:space="preserve">ohaq </t>
  </si>
  <si>
    <t xml:space="preserve">ohar </t>
  </si>
  <si>
    <t xml:space="preserve">ohas </t>
  </si>
  <si>
    <t xml:space="preserve">ohat </t>
  </si>
  <si>
    <t xml:space="preserve">ohau </t>
  </si>
  <si>
    <t xml:space="preserve">ohav </t>
  </si>
  <si>
    <t xml:space="preserve">ohaw </t>
  </si>
  <si>
    <t xml:space="preserve">ohax </t>
  </si>
  <si>
    <t xml:space="preserve">ohay </t>
  </si>
  <si>
    <t xml:space="preserve">ohaz </t>
  </si>
  <si>
    <t xml:space="preserve">ohba </t>
  </si>
  <si>
    <t xml:space="preserve">ohbb </t>
  </si>
  <si>
    <t xml:space="preserve">ohbc </t>
  </si>
  <si>
    <t xml:space="preserve">ohbd </t>
  </si>
  <si>
    <t xml:space="preserve">ohbe </t>
  </si>
  <si>
    <t xml:space="preserve">ohbf </t>
  </si>
  <si>
    <t xml:space="preserve">ohbg </t>
  </si>
  <si>
    <t xml:space="preserve">oiaa </t>
  </si>
  <si>
    <t>Grassland: Skeleton</t>
  </si>
  <si>
    <t>Battle Field</t>
  </si>
  <si>
    <t xml:space="preserve">oiab </t>
  </si>
  <si>
    <t xml:space="preserve">oiac </t>
  </si>
  <si>
    <t xml:space="preserve">oiad </t>
  </si>
  <si>
    <t xml:space="preserve">oiae </t>
  </si>
  <si>
    <t xml:space="preserve">oiaf </t>
  </si>
  <si>
    <t xml:space="preserve">oiag </t>
  </si>
  <si>
    <t xml:space="preserve">oiah </t>
  </si>
  <si>
    <t xml:space="preserve">oiam </t>
  </si>
  <si>
    <t xml:space="preserve">oian </t>
  </si>
  <si>
    <t xml:space="preserve">oiao </t>
  </si>
  <si>
    <t xml:space="preserve">oiap </t>
  </si>
  <si>
    <t xml:space="preserve">oiaq </t>
  </si>
  <si>
    <t xml:space="preserve">oiar </t>
  </si>
  <si>
    <t xml:space="preserve">oias </t>
  </si>
  <si>
    <t xml:space="preserve">oiat </t>
  </si>
  <si>
    <t xml:space="preserve">oiau </t>
  </si>
  <si>
    <t xml:space="preserve">oiav </t>
  </si>
  <si>
    <t xml:space="preserve">ojaa </t>
  </si>
  <si>
    <t>Mt. Nibel: Skeleton</t>
  </si>
  <si>
    <t xml:space="preserve">ojab </t>
  </si>
  <si>
    <t xml:space="preserve">ojac </t>
  </si>
  <si>
    <t xml:space="preserve">ojad </t>
  </si>
  <si>
    <t xml:space="preserve">ojae </t>
  </si>
  <si>
    <t xml:space="preserve">ojaf </t>
  </si>
  <si>
    <t xml:space="preserve">ojag </t>
  </si>
  <si>
    <t xml:space="preserve">ojah </t>
  </si>
  <si>
    <t xml:space="preserve">ojai </t>
  </si>
  <si>
    <t xml:space="preserve">ojaj </t>
  </si>
  <si>
    <t xml:space="preserve">ojam </t>
  </si>
  <si>
    <t xml:space="preserve">ojan </t>
  </si>
  <si>
    <t xml:space="preserve">ojao </t>
  </si>
  <si>
    <t xml:space="preserve">ojap </t>
  </si>
  <si>
    <t xml:space="preserve">ojaq </t>
  </si>
  <si>
    <t xml:space="preserve">ojar </t>
  </si>
  <si>
    <t xml:space="preserve">ojas </t>
  </si>
  <si>
    <t xml:space="preserve">ojat </t>
  </si>
  <si>
    <t xml:space="preserve">ojau </t>
  </si>
  <si>
    <t xml:space="preserve">ojav </t>
  </si>
  <si>
    <t xml:space="preserve">ojaw </t>
  </si>
  <si>
    <t xml:space="preserve">ojax </t>
  </si>
  <si>
    <t xml:space="preserve">ojay </t>
  </si>
  <si>
    <t xml:space="preserve">ojaz </t>
  </si>
  <si>
    <t xml:space="preserve">ojba </t>
  </si>
  <si>
    <t xml:space="preserve">ojbb </t>
  </si>
  <si>
    <t xml:space="preserve">okaa </t>
  </si>
  <si>
    <t>Forest: Skeleton</t>
  </si>
  <si>
    <t xml:space="preserve">okab </t>
  </si>
  <si>
    <t xml:space="preserve">okac </t>
  </si>
  <si>
    <t xml:space="preserve">okad </t>
  </si>
  <si>
    <t xml:space="preserve">okae </t>
  </si>
  <si>
    <t xml:space="preserve">okaf </t>
  </si>
  <si>
    <t xml:space="preserve">okag </t>
  </si>
  <si>
    <t xml:space="preserve">okah </t>
  </si>
  <si>
    <t xml:space="preserve">okai </t>
  </si>
  <si>
    <t xml:space="preserve">okaj </t>
  </si>
  <si>
    <t xml:space="preserve">okam </t>
  </si>
  <si>
    <t xml:space="preserve">okan </t>
  </si>
  <si>
    <t xml:space="preserve">okao </t>
  </si>
  <si>
    <t xml:space="preserve">okap </t>
  </si>
  <si>
    <t xml:space="preserve">okaq </t>
  </si>
  <si>
    <t xml:space="preserve">okar </t>
  </si>
  <si>
    <t xml:space="preserve">okas </t>
  </si>
  <si>
    <t xml:space="preserve">okat </t>
  </si>
  <si>
    <t xml:space="preserve">okau </t>
  </si>
  <si>
    <t xml:space="preserve">okav </t>
  </si>
  <si>
    <t xml:space="preserve">okaw </t>
  </si>
  <si>
    <t xml:space="preserve">okax </t>
  </si>
  <si>
    <t xml:space="preserve">okay </t>
  </si>
  <si>
    <t xml:space="preserve">okaz </t>
  </si>
  <si>
    <t xml:space="preserve">okba </t>
  </si>
  <si>
    <t xml:space="preserve">okbb </t>
  </si>
  <si>
    <t xml:space="preserve">okbc </t>
  </si>
  <si>
    <t xml:space="preserve">okbd </t>
  </si>
  <si>
    <t xml:space="preserve">okbe </t>
  </si>
  <si>
    <t xml:space="preserve">okbf </t>
  </si>
  <si>
    <t xml:space="preserve">olaa </t>
  </si>
  <si>
    <t>Beach: Skeleton</t>
  </si>
  <si>
    <t xml:space="preserve">olab </t>
  </si>
  <si>
    <t xml:space="preserve">olac </t>
  </si>
  <si>
    <t xml:space="preserve">olad </t>
  </si>
  <si>
    <t xml:space="preserve">olae </t>
  </si>
  <si>
    <t xml:space="preserve">olaf </t>
  </si>
  <si>
    <t xml:space="preserve">olag </t>
  </si>
  <si>
    <t xml:space="preserve">olah </t>
  </si>
  <si>
    <t xml:space="preserve">olam </t>
  </si>
  <si>
    <t>40 K</t>
  </si>
  <si>
    <t xml:space="preserve">olan </t>
  </si>
  <si>
    <t xml:space="preserve">olao </t>
  </si>
  <si>
    <t xml:space="preserve">olap </t>
  </si>
  <si>
    <t xml:space="preserve">olaq </t>
  </si>
  <si>
    <t xml:space="preserve">olar </t>
  </si>
  <si>
    <t xml:space="preserve">olas </t>
  </si>
  <si>
    <t xml:space="preserve">olat </t>
  </si>
  <si>
    <t xml:space="preserve">olau </t>
  </si>
  <si>
    <t xml:space="preserve">olav </t>
  </si>
  <si>
    <t xml:space="preserve">olaw </t>
  </si>
  <si>
    <t xml:space="preserve">omaa </t>
  </si>
  <si>
    <t>Desert: Skeleton</t>
  </si>
  <si>
    <t xml:space="preserve">omab </t>
  </si>
  <si>
    <t xml:space="preserve">omac </t>
  </si>
  <si>
    <t xml:space="preserve">omad </t>
  </si>
  <si>
    <t xml:space="preserve">omae </t>
  </si>
  <si>
    <t xml:space="preserve">omaf </t>
  </si>
  <si>
    <t xml:space="preserve">omam </t>
  </si>
  <si>
    <t xml:space="preserve">oman </t>
  </si>
  <si>
    <t xml:space="preserve">omao </t>
  </si>
  <si>
    <t xml:space="preserve">omap </t>
  </si>
  <si>
    <t xml:space="preserve">omaq </t>
  </si>
  <si>
    <t xml:space="preserve">omar </t>
  </si>
  <si>
    <t xml:space="preserve">onaa </t>
  </si>
  <si>
    <t>Snow: Skeleton</t>
  </si>
  <si>
    <t xml:space="preserve">onab </t>
  </si>
  <si>
    <t>Not Readable In Biturn</t>
  </si>
  <si>
    <t xml:space="preserve">onac </t>
  </si>
  <si>
    <t xml:space="preserve">onad </t>
  </si>
  <si>
    <t xml:space="preserve">onae </t>
  </si>
  <si>
    <t xml:space="preserve">onaf </t>
  </si>
  <si>
    <t xml:space="preserve">onag </t>
  </si>
  <si>
    <t xml:space="preserve">onah </t>
  </si>
  <si>
    <t xml:space="preserve">onam </t>
  </si>
  <si>
    <t xml:space="preserve">onan </t>
  </si>
  <si>
    <t xml:space="preserve">onao </t>
  </si>
  <si>
    <t xml:space="preserve">onap </t>
  </si>
  <si>
    <t xml:space="preserve">onaq </t>
  </si>
  <si>
    <t xml:space="preserve">onar </t>
  </si>
  <si>
    <t xml:space="preserve">onas </t>
  </si>
  <si>
    <t xml:space="preserve">onat </t>
  </si>
  <si>
    <t xml:space="preserve">onau </t>
  </si>
  <si>
    <t xml:space="preserve">onav </t>
  </si>
  <si>
    <t xml:space="preserve">onaw </t>
  </si>
  <si>
    <t xml:space="preserve">ooaa </t>
  </si>
  <si>
    <t>Swamp: Skeleton</t>
  </si>
  <si>
    <t xml:space="preserve">ooab </t>
  </si>
  <si>
    <t xml:space="preserve">ooac </t>
  </si>
  <si>
    <t xml:space="preserve">ooad </t>
  </si>
  <si>
    <t xml:space="preserve">ooae </t>
  </si>
  <si>
    <t xml:space="preserve">ooaf </t>
  </si>
  <si>
    <t xml:space="preserve">ooam </t>
  </si>
  <si>
    <t xml:space="preserve">ooan </t>
  </si>
  <si>
    <t xml:space="preserve">ooao </t>
  </si>
  <si>
    <t xml:space="preserve">ooap </t>
  </si>
  <si>
    <t xml:space="preserve">ooaq </t>
  </si>
  <si>
    <t xml:space="preserve">opaa </t>
  </si>
  <si>
    <t>Sector 1 Train Station: Skeleton</t>
  </si>
  <si>
    <t>Train</t>
  </si>
  <si>
    <t xml:space="preserve">opab </t>
  </si>
  <si>
    <t xml:space="preserve">opac </t>
  </si>
  <si>
    <t>Sector 1 Train Station Battle Floor</t>
  </si>
  <si>
    <t xml:space="preserve">opad </t>
  </si>
  <si>
    <t xml:space="preserve">opae </t>
  </si>
  <si>
    <t xml:space="preserve">opaf </t>
  </si>
  <si>
    <t xml:space="preserve">opag </t>
  </si>
  <si>
    <t xml:space="preserve">opah </t>
  </si>
  <si>
    <t xml:space="preserve">opai </t>
  </si>
  <si>
    <t xml:space="preserve">opam </t>
  </si>
  <si>
    <t xml:space="preserve">opan </t>
  </si>
  <si>
    <t xml:space="preserve">opao </t>
  </si>
  <si>
    <t xml:space="preserve">opap </t>
  </si>
  <si>
    <t xml:space="preserve">opaq </t>
  </si>
  <si>
    <t xml:space="preserve">oqaa </t>
  </si>
  <si>
    <t>Reactor 1: Skeleton</t>
  </si>
  <si>
    <t xml:space="preserve">oqab </t>
  </si>
  <si>
    <t xml:space="preserve">oqac </t>
  </si>
  <si>
    <t xml:space="preserve">oqad </t>
  </si>
  <si>
    <t xml:space="preserve">oqae </t>
  </si>
  <si>
    <t xml:space="preserve">oqaf </t>
  </si>
  <si>
    <t xml:space="preserve">oqag </t>
  </si>
  <si>
    <t xml:space="preserve">oqam </t>
  </si>
  <si>
    <t>28 K</t>
  </si>
  <si>
    <t xml:space="preserve">oqan </t>
  </si>
  <si>
    <t xml:space="preserve">oqao </t>
  </si>
  <si>
    <t xml:space="preserve">oqap </t>
  </si>
  <si>
    <t xml:space="preserve">oqaq </t>
  </si>
  <si>
    <t xml:space="preserve">oqar </t>
  </si>
  <si>
    <t xml:space="preserve">oqas </t>
  </si>
  <si>
    <t xml:space="preserve">oqat </t>
  </si>
  <si>
    <t xml:space="preserve">oqau </t>
  </si>
  <si>
    <t xml:space="preserve">oqav </t>
  </si>
  <si>
    <t xml:space="preserve">oqaw </t>
  </si>
  <si>
    <t xml:space="preserve">oqax </t>
  </si>
  <si>
    <t xml:space="preserve">oqay </t>
  </si>
  <si>
    <t xml:space="preserve">oqaz </t>
  </si>
  <si>
    <t xml:space="preserve">oqba </t>
  </si>
  <si>
    <t xml:space="preserve">oqbb </t>
  </si>
  <si>
    <t xml:space="preserve">oqbc </t>
  </si>
  <si>
    <t xml:space="preserve">oqbd </t>
  </si>
  <si>
    <t xml:space="preserve">oqbe </t>
  </si>
  <si>
    <t xml:space="preserve">oqbf </t>
  </si>
  <si>
    <t xml:space="preserve">oqbg </t>
  </si>
  <si>
    <t xml:space="preserve">oqbh </t>
  </si>
  <si>
    <t xml:space="preserve">oqbi </t>
  </si>
  <si>
    <t xml:space="preserve">oqbj </t>
  </si>
  <si>
    <t xml:space="preserve">oraa </t>
  </si>
  <si>
    <t>Reactor 1 Core: Skeleton</t>
  </si>
  <si>
    <t xml:space="preserve">orab </t>
  </si>
  <si>
    <t xml:space="preserve">orac </t>
  </si>
  <si>
    <t xml:space="preserve">orad </t>
  </si>
  <si>
    <t xml:space="preserve">orae </t>
  </si>
  <si>
    <t xml:space="preserve">oraf </t>
  </si>
  <si>
    <t xml:space="preserve">orag </t>
  </si>
  <si>
    <t xml:space="preserve">oram </t>
  </si>
  <si>
    <t xml:space="preserve">oran </t>
  </si>
  <si>
    <t xml:space="preserve">orao </t>
  </si>
  <si>
    <t xml:space="preserve">orap </t>
  </si>
  <si>
    <t xml:space="preserve">oraq </t>
  </si>
  <si>
    <t xml:space="preserve">orar </t>
  </si>
  <si>
    <t xml:space="preserve">oras </t>
  </si>
  <si>
    <t xml:space="preserve">orat </t>
  </si>
  <si>
    <t xml:space="preserve">orau </t>
  </si>
  <si>
    <t xml:space="preserve">orav </t>
  </si>
  <si>
    <t xml:space="preserve">oraw </t>
  </si>
  <si>
    <t xml:space="preserve">orax </t>
  </si>
  <si>
    <t xml:space="preserve">oray </t>
  </si>
  <si>
    <t xml:space="preserve">oraz </t>
  </si>
  <si>
    <t xml:space="preserve">orba </t>
  </si>
  <si>
    <t xml:space="preserve">orbb </t>
  </si>
  <si>
    <t xml:space="preserve">orbc </t>
  </si>
  <si>
    <t xml:space="preserve">osaa </t>
  </si>
  <si>
    <t>Reactor 1 Entrance: Skeleton</t>
  </si>
  <si>
    <t xml:space="preserve">osab </t>
  </si>
  <si>
    <t xml:space="preserve">osac </t>
  </si>
  <si>
    <t xml:space="preserve">osad </t>
  </si>
  <si>
    <t xml:space="preserve">osae </t>
  </si>
  <si>
    <t xml:space="preserve">osaf </t>
  </si>
  <si>
    <t xml:space="preserve">osag </t>
  </si>
  <si>
    <t xml:space="preserve">osam </t>
  </si>
  <si>
    <t xml:space="preserve">osan </t>
  </si>
  <si>
    <t xml:space="preserve">osao </t>
  </si>
  <si>
    <t xml:space="preserve">osap </t>
  </si>
  <si>
    <t xml:space="preserve">osaq </t>
  </si>
  <si>
    <t xml:space="preserve">osar </t>
  </si>
  <si>
    <t xml:space="preserve">osas </t>
  </si>
  <si>
    <t xml:space="preserve">osat </t>
  </si>
  <si>
    <t xml:space="preserve">osau </t>
  </si>
  <si>
    <t xml:space="preserve">otaa </t>
  </si>
  <si>
    <t>Sector 4 Subway: Skeleton</t>
  </si>
  <si>
    <t xml:space="preserve">otab </t>
  </si>
  <si>
    <t xml:space="preserve">otac </t>
  </si>
  <si>
    <t xml:space="preserve">otad </t>
  </si>
  <si>
    <t xml:space="preserve">otae </t>
  </si>
  <si>
    <t xml:space="preserve">otaf </t>
  </si>
  <si>
    <t xml:space="preserve">otag </t>
  </si>
  <si>
    <t xml:space="preserve">otah </t>
  </si>
  <si>
    <t xml:space="preserve">otai </t>
  </si>
  <si>
    <t xml:space="preserve">otam </t>
  </si>
  <si>
    <t xml:space="preserve">otan </t>
  </si>
  <si>
    <t xml:space="preserve">otao </t>
  </si>
  <si>
    <t xml:space="preserve">otap </t>
  </si>
  <si>
    <t xml:space="preserve">otaq </t>
  </si>
  <si>
    <t xml:space="preserve">otar </t>
  </si>
  <si>
    <t xml:space="preserve">otas </t>
  </si>
  <si>
    <t xml:space="preserve">otat </t>
  </si>
  <si>
    <t xml:space="preserve">otau </t>
  </si>
  <si>
    <t xml:space="preserve">otav </t>
  </si>
  <si>
    <t xml:space="preserve">ouaa </t>
  </si>
  <si>
    <t>Mythril Caves or Nibel Caves or AForest Caves: Skeleton</t>
  </si>
  <si>
    <t xml:space="preserve">ouab </t>
  </si>
  <si>
    <t xml:space="preserve">ouac </t>
  </si>
  <si>
    <t xml:space="preserve">ouad </t>
  </si>
  <si>
    <t xml:space="preserve">ouae </t>
  </si>
  <si>
    <t xml:space="preserve">ouaf </t>
  </si>
  <si>
    <t xml:space="preserve">ouag </t>
  </si>
  <si>
    <t xml:space="preserve">ouah </t>
  </si>
  <si>
    <t xml:space="preserve">ouam </t>
  </si>
  <si>
    <t xml:space="preserve">ouan </t>
  </si>
  <si>
    <t xml:space="preserve">ouao </t>
  </si>
  <si>
    <t xml:space="preserve">ouap </t>
  </si>
  <si>
    <t xml:space="preserve">ouaq </t>
  </si>
  <si>
    <t xml:space="preserve">ouar </t>
  </si>
  <si>
    <t xml:space="preserve">ouas </t>
  </si>
  <si>
    <t xml:space="preserve">ouat </t>
  </si>
  <si>
    <t xml:space="preserve">ouau </t>
  </si>
  <si>
    <t xml:space="preserve">ouav </t>
  </si>
  <si>
    <t xml:space="preserve">ovaa </t>
  </si>
  <si>
    <t>Shinra HQ: Skeleton</t>
  </si>
  <si>
    <t xml:space="preserve">ovab </t>
  </si>
  <si>
    <t xml:space="preserve">ovac </t>
  </si>
  <si>
    <t xml:space="preserve">ovad </t>
  </si>
  <si>
    <t xml:space="preserve">ovae </t>
  </si>
  <si>
    <t xml:space="preserve">ovaf </t>
  </si>
  <si>
    <t xml:space="preserve">ovag </t>
  </si>
  <si>
    <t xml:space="preserve">ovah </t>
  </si>
  <si>
    <t xml:space="preserve">ovam </t>
  </si>
  <si>
    <t xml:space="preserve">ovan </t>
  </si>
  <si>
    <t xml:space="preserve">ovao </t>
  </si>
  <si>
    <t xml:space="preserve">ovap </t>
  </si>
  <si>
    <t xml:space="preserve">ovaq </t>
  </si>
  <si>
    <t xml:space="preserve">ovar </t>
  </si>
  <si>
    <t xml:space="preserve">ovas </t>
  </si>
  <si>
    <t xml:space="preserve">ovat </t>
  </si>
  <si>
    <t xml:space="preserve">ovau </t>
  </si>
  <si>
    <t xml:space="preserve">ovav </t>
  </si>
  <si>
    <t xml:space="preserve">ovaw </t>
  </si>
  <si>
    <t xml:space="preserve">owaa </t>
  </si>
  <si>
    <t>Midgar Raid Subway: Skeleton</t>
  </si>
  <si>
    <t xml:space="preserve">owab </t>
  </si>
  <si>
    <t xml:space="preserve">owac </t>
  </si>
  <si>
    <t xml:space="preserve">owad </t>
  </si>
  <si>
    <t xml:space="preserve">owae </t>
  </si>
  <si>
    <t xml:space="preserve">owaf </t>
  </si>
  <si>
    <t xml:space="preserve">owag </t>
  </si>
  <si>
    <t xml:space="preserve">owah </t>
  </si>
  <si>
    <t xml:space="preserve">owam </t>
  </si>
  <si>
    <t xml:space="preserve">owan </t>
  </si>
  <si>
    <t xml:space="preserve">owao </t>
  </si>
  <si>
    <t xml:space="preserve">owap </t>
  </si>
  <si>
    <t xml:space="preserve">owaq </t>
  </si>
  <si>
    <t xml:space="preserve">owar </t>
  </si>
  <si>
    <t xml:space="preserve">owas </t>
  </si>
  <si>
    <t xml:space="preserve">owat </t>
  </si>
  <si>
    <t xml:space="preserve">owau </t>
  </si>
  <si>
    <t xml:space="preserve">oxaa </t>
  </si>
  <si>
    <t>Hojo's Lab Battle Field: Skeleton</t>
  </si>
  <si>
    <t xml:space="preserve">oxab </t>
  </si>
  <si>
    <t xml:space="preserve">oxac </t>
  </si>
  <si>
    <t xml:space="preserve">oxad </t>
  </si>
  <si>
    <t xml:space="preserve">oxae </t>
  </si>
  <si>
    <t xml:space="preserve">oxaf </t>
  </si>
  <si>
    <t xml:space="preserve">oxag </t>
  </si>
  <si>
    <t xml:space="preserve">oxah </t>
  </si>
  <si>
    <t xml:space="preserve">oxai </t>
  </si>
  <si>
    <t xml:space="preserve">oxaj </t>
  </si>
  <si>
    <t xml:space="preserve">oxam </t>
  </si>
  <si>
    <t xml:space="preserve">oxan </t>
  </si>
  <si>
    <t xml:space="preserve">oxao </t>
  </si>
  <si>
    <t xml:space="preserve">oxap </t>
  </si>
  <si>
    <t xml:space="preserve">oxaq </t>
  </si>
  <si>
    <t xml:space="preserve">oxar </t>
  </si>
  <si>
    <t xml:space="preserve">oxas </t>
  </si>
  <si>
    <t xml:space="preserve">oxat </t>
  </si>
  <si>
    <t xml:space="preserve">oxau </t>
  </si>
  <si>
    <t xml:space="preserve">oxav </t>
  </si>
  <si>
    <t xml:space="preserve">oxaw </t>
  </si>
  <si>
    <t xml:space="preserve">oxax </t>
  </si>
  <si>
    <t xml:space="preserve">oxay </t>
  </si>
  <si>
    <t xml:space="preserve">oxaz </t>
  </si>
  <si>
    <t xml:space="preserve">oxba </t>
  </si>
  <si>
    <t xml:space="preserve">oxbb </t>
  </si>
  <si>
    <t xml:space="preserve">oxbc </t>
  </si>
  <si>
    <t xml:space="preserve">oxbd </t>
  </si>
  <si>
    <t xml:space="preserve">oyaa </t>
  </si>
  <si>
    <t>Shinra Elevators: Skeleton</t>
  </si>
  <si>
    <t xml:space="preserve">oyab </t>
  </si>
  <si>
    <t xml:space="preserve">oyac </t>
  </si>
  <si>
    <t xml:space="preserve">oyad </t>
  </si>
  <si>
    <t xml:space="preserve">oyae </t>
  </si>
  <si>
    <t xml:space="preserve">oyaf </t>
  </si>
  <si>
    <t xml:space="preserve">oyag </t>
  </si>
  <si>
    <t xml:space="preserve">oyah </t>
  </si>
  <si>
    <t xml:space="preserve">oyam </t>
  </si>
  <si>
    <t xml:space="preserve">oyan </t>
  </si>
  <si>
    <t xml:space="preserve">oyao </t>
  </si>
  <si>
    <t xml:space="preserve">oyap </t>
  </si>
  <si>
    <t xml:space="preserve">oyaq </t>
  </si>
  <si>
    <t xml:space="preserve">oyar </t>
  </si>
  <si>
    <t xml:space="preserve">oyas </t>
  </si>
  <si>
    <t xml:space="preserve">oyat </t>
  </si>
  <si>
    <t xml:space="preserve">oyau </t>
  </si>
  <si>
    <t xml:space="preserve">oyav </t>
  </si>
  <si>
    <t xml:space="preserve">ozaa </t>
  </si>
  <si>
    <t>Shinra Roof: Skeleton</t>
  </si>
  <si>
    <t xml:space="preserve">ozab </t>
  </si>
  <si>
    <t xml:space="preserve">ozac </t>
  </si>
  <si>
    <t xml:space="preserve">ozad </t>
  </si>
  <si>
    <t xml:space="preserve">ozae </t>
  </si>
  <si>
    <t xml:space="preserve">ozaf </t>
  </si>
  <si>
    <t xml:space="preserve">ozag </t>
  </si>
  <si>
    <t xml:space="preserve">ozah </t>
  </si>
  <si>
    <t xml:space="preserve">ozai </t>
  </si>
  <si>
    <t xml:space="preserve">ozaj </t>
  </si>
  <si>
    <t xml:space="preserve">ozam </t>
  </si>
  <si>
    <t xml:space="preserve">ozan </t>
  </si>
  <si>
    <t xml:space="preserve">ozao </t>
  </si>
  <si>
    <t xml:space="preserve">ozap </t>
  </si>
  <si>
    <t xml:space="preserve">ozaq </t>
  </si>
  <si>
    <t xml:space="preserve">ozar </t>
  </si>
  <si>
    <t xml:space="preserve">ozas </t>
  </si>
  <si>
    <t xml:space="preserve">ozat </t>
  </si>
  <si>
    <t xml:space="preserve">ozau </t>
  </si>
  <si>
    <t xml:space="preserve">ozav </t>
  </si>
  <si>
    <t xml:space="preserve">ozaw </t>
  </si>
  <si>
    <t xml:space="preserve">paaa </t>
  </si>
  <si>
    <t>Midgar Highway: Skeleton</t>
  </si>
  <si>
    <t xml:space="preserve">paab </t>
  </si>
  <si>
    <t xml:space="preserve">paac </t>
  </si>
  <si>
    <t xml:space="preserve">paad </t>
  </si>
  <si>
    <t xml:space="preserve">paae </t>
  </si>
  <si>
    <t xml:space="preserve">paaf </t>
  </si>
  <si>
    <t xml:space="preserve">paag </t>
  </si>
  <si>
    <t xml:space="preserve">paah </t>
  </si>
  <si>
    <t xml:space="preserve">paam </t>
  </si>
  <si>
    <t xml:space="preserve">paan </t>
  </si>
  <si>
    <t xml:space="preserve">paao </t>
  </si>
  <si>
    <t xml:space="preserve">paap </t>
  </si>
  <si>
    <t xml:space="preserve">paaq </t>
  </si>
  <si>
    <t xml:space="preserve">paar </t>
  </si>
  <si>
    <t xml:space="preserve">paas </t>
  </si>
  <si>
    <t xml:space="preserve">paat </t>
  </si>
  <si>
    <t xml:space="preserve">paau </t>
  </si>
  <si>
    <t xml:space="preserve">pbaa </t>
  </si>
  <si>
    <t>Wutai Pagoda: Skeleton</t>
  </si>
  <si>
    <t xml:space="preserve">pbab </t>
  </si>
  <si>
    <t xml:space="preserve">pbac </t>
  </si>
  <si>
    <t xml:space="preserve">pbad </t>
  </si>
  <si>
    <t xml:space="preserve">pbae </t>
  </si>
  <si>
    <t xml:space="preserve">pbaf </t>
  </si>
  <si>
    <t xml:space="preserve">pbag </t>
  </si>
  <si>
    <t xml:space="preserve">pbah </t>
  </si>
  <si>
    <t xml:space="preserve">pbai </t>
  </si>
  <si>
    <t xml:space="preserve">pbaj </t>
  </si>
  <si>
    <t xml:space="preserve">pbam </t>
  </si>
  <si>
    <t xml:space="preserve">pban </t>
  </si>
  <si>
    <t xml:space="preserve">pbao </t>
  </si>
  <si>
    <t xml:space="preserve">pbap </t>
  </si>
  <si>
    <t xml:space="preserve">pbaq </t>
  </si>
  <si>
    <t xml:space="preserve">pbar </t>
  </si>
  <si>
    <t xml:space="preserve">pbas </t>
  </si>
  <si>
    <t xml:space="preserve">pbat </t>
  </si>
  <si>
    <t xml:space="preserve">pbau </t>
  </si>
  <si>
    <t xml:space="preserve">pbav </t>
  </si>
  <si>
    <t xml:space="preserve">pbaw </t>
  </si>
  <si>
    <t xml:space="preserve">pbax </t>
  </si>
  <si>
    <t xml:space="preserve">pcaa </t>
  </si>
  <si>
    <t>Church Battle Field: Skeleton</t>
  </si>
  <si>
    <t xml:space="preserve">pcab </t>
  </si>
  <si>
    <t xml:space="preserve">Not Readable in Biturn </t>
  </si>
  <si>
    <t xml:space="preserve">pcac </t>
  </si>
  <si>
    <t xml:space="preserve">pcad </t>
  </si>
  <si>
    <t xml:space="preserve">pcae </t>
  </si>
  <si>
    <t xml:space="preserve">pcaf </t>
  </si>
  <si>
    <t xml:space="preserve">pcag </t>
  </si>
  <si>
    <t xml:space="preserve">pcah </t>
  </si>
  <si>
    <t xml:space="preserve">pcai </t>
  </si>
  <si>
    <t xml:space="preserve">pcam </t>
  </si>
  <si>
    <t xml:space="preserve">pcan </t>
  </si>
  <si>
    <t xml:space="preserve">pcao </t>
  </si>
  <si>
    <t xml:space="preserve">pcap </t>
  </si>
  <si>
    <t xml:space="preserve">pcaq </t>
  </si>
  <si>
    <t xml:space="preserve">pcar </t>
  </si>
  <si>
    <t xml:space="preserve">pcas </t>
  </si>
  <si>
    <t xml:space="preserve">pcat </t>
  </si>
  <si>
    <t xml:space="preserve">pcau </t>
  </si>
  <si>
    <t xml:space="preserve">pcav </t>
  </si>
  <si>
    <t xml:space="preserve">pcaw </t>
  </si>
  <si>
    <t xml:space="preserve">pcax </t>
  </si>
  <si>
    <t xml:space="preserve">pcay </t>
  </si>
  <si>
    <t xml:space="preserve">pcaz </t>
  </si>
  <si>
    <t xml:space="preserve">pcba </t>
  </si>
  <si>
    <t xml:space="preserve">pcbb </t>
  </si>
  <si>
    <t xml:space="preserve">pcbc </t>
  </si>
  <si>
    <t xml:space="preserve">pcbd </t>
  </si>
  <si>
    <t xml:space="preserve">pdaa </t>
  </si>
  <si>
    <t>Coral Valley: Skeleton</t>
  </si>
  <si>
    <t xml:space="preserve">pdab </t>
  </si>
  <si>
    <t xml:space="preserve">pdac </t>
  </si>
  <si>
    <t xml:space="preserve">pdad </t>
  </si>
  <si>
    <t xml:space="preserve">pdae </t>
  </si>
  <si>
    <t xml:space="preserve">pdaf </t>
  </si>
  <si>
    <t xml:space="preserve">pdag </t>
  </si>
  <si>
    <t xml:space="preserve">pdah </t>
  </si>
  <si>
    <t xml:space="preserve">pdai </t>
  </si>
  <si>
    <t xml:space="preserve">pdam </t>
  </si>
  <si>
    <t xml:space="preserve">pdan </t>
  </si>
  <si>
    <t xml:space="preserve">pdao </t>
  </si>
  <si>
    <t xml:space="preserve">pdap </t>
  </si>
  <si>
    <t xml:space="preserve">pdaq </t>
  </si>
  <si>
    <t xml:space="preserve">pdar </t>
  </si>
  <si>
    <t xml:space="preserve">pdas </t>
  </si>
  <si>
    <t xml:space="preserve">pdat </t>
  </si>
  <si>
    <t xml:space="preserve">pdau </t>
  </si>
  <si>
    <t xml:space="preserve">pdav </t>
  </si>
  <si>
    <t xml:space="preserve">pdaw </t>
  </si>
  <si>
    <t xml:space="preserve">peaa </t>
  </si>
  <si>
    <t>Midgar Slums: Skeleton</t>
  </si>
  <si>
    <t xml:space="preserve">peab </t>
  </si>
  <si>
    <t xml:space="preserve">peac </t>
  </si>
  <si>
    <t xml:space="preserve">pead </t>
  </si>
  <si>
    <t xml:space="preserve">peae </t>
  </si>
  <si>
    <t xml:space="preserve">peaf </t>
  </si>
  <si>
    <t xml:space="preserve">peag </t>
  </si>
  <si>
    <t xml:space="preserve">peah </t>
  </si>
  <si>
    <t xml:space="preserve">peai </t>
  </si>
  <si>
    <t xml:space="preserve">peam </t>
  </si>
  <si>
    <t xml:space="preserve">pean </t>
  </si>
  <si>
    <t xml:space="preserve">peao </t>
  </si>
  <si>
    <t xml:space="preserve">peap </t>
  </si>
  <si>
    <t xml:space="preserve">peaq </t>
  </si>
  <si>
    <t xml:space="preserve">pear </t>
  </si>
  <si>
    <t xml:space="preserve">peas </t>
  </si>
  <si>
    <t xml:space="preserve">peat </t>
  </si>
  <si>
    <t xml:space="preserve">peau </t>
  </si>
  <si>
    <t xml:space="preserve">peav </t>
  </si>
  <si>
    <t xml:space="preserve">peaw </t>
  </si>
  <si>
    <t xml:space="preserve">peax </t>
  </si>
  <si>
    <t xml:space="preserve">peay </t>
  </si>
  <si>
    <t xml:space="preserve">peaz </t>
  </si>
  <si>
    <t xml:space="preserve">peba </t>
  </si>
  <si>
    <t xml:space="preserve">pfaa </t>
  </si>
  <si>
    <t>Sector 4 Corridors or Junon Path</t>
  </si>
  <si>
    <t xml:space="preserve">pfab </t>
  </si>
  <si>
    <t xml:space="preserve">pfac </t>
  </si>
  <si>
    <t xml:space="preserve">pfad </t>
  </si>
  <si>
    <t xml:space="preserve">pfae </t>
  </si>
  <si>
    <t xml:space="preserve">pfaf </t>
  </si>
  <si>
    <t xml:space="preserve">pfag </t>
  </si>
  <si>
    <t xml:space="preserve">pfah </t>
  </si>
  <si>
    <t xml:space="preserve">pfam </t>
  </si>
  <si>
    <t xml:space="preserve">pfan </t>
  </si>
  <si>
    <t xml:space="preserve">pfao </t>
  </si>
  <si>
    <t xml:space="preserve">pfap </t>
  </si>
  <si>
    <t xml:space="preserve">pfaq </t>
  </si>
  <si>
    <t xml:space="preserve">pfar </t>
  </si>
  <si>
    <t xml:space="preserve">pfas </t>
  </si>
  <si>
    <t xml:space="preserve">pfat </t>
  </si>
  <si>
    <t xml:space="preserve">pfau </t>
  </si>
  <si>
    <t xml:space="preserve">pfav </t>
  </si>
  <si>
    <t xml:space="preserve">pfaw </t>
  </si>
  <si>
    <t xml:space="preserve">pfax </t>
  </si>
  <si>
    <t xml:space="preserve">pfay </t>
  </si>
  <si>
    <t xml:space="preserve">pfaz </t>
  </si>
  <si>
    <t xml:space="preserve">pfba </t>
  </si>
  <si>
    <t xml:space="preserve">pfbb </t>
  </si>
  <si>
    <t xml:space="preserve">pfbc </t>
  </si>
  <si>
    <t xml:space="preserve">pgaa </t>
  </si>
  <si>
    <t>Sector 4 Gantries or Midgar Underground</t>
  </si>
  <si>
    <t xml:space="preserve">pgab </t>
  </si>
  <si>
    <t xml:space="preserve">pgac </t>
  </si>
  <si>
    <t xml:space="preserve">pgad </t>
  </si>
  <si>
    <t xml:space="preserve">pgae </t>
  </si>
  <si>
    <t xml:space="preserve">pgaf </t>
  </si>
  <si>
    <t xml:space="preserve">pgag </t>
  </si>
  <si>
    <t xml:space="preserve">pgah </t>
  </si>
  <si>
    <t xml:space="preserve">pgai </t>
  </si>
  <si>
    <t xml:space="preserve">pgam </t>
  </si>
  <si>
    <t xml:space="preserve">pgan </t>
  </si>
  <si>
    <t xml:space="preserve">pgao </t>
  </si>
  <si>
    <t xml:space="preserve">pgap </t>
  </si>
  <si>
    <t xml:space="preserve">pgaq </t>
  </si>
  <si>
    <t xml:space="preserve">pgar </t>
  </si>
  <si>
    <t xml:space="preserve">pgas </t>
  </si>
  <si>
    <t xml:space="preserve">pgat </t>
  </si>
  <si>
    <t xml:space="preserve">pgau </t>
  </si>
  <si>
    <t xml:space="preserve">pgav </t>
  </si>
  <si>
    <t xml:space="preserve">pgaw </t>
  </si>
  <si>
    <t xml:space="preserve">pgax </t>
  </si>
  <si>
    <t xml:space="preserve">pgay </t>
  </si>
  <si>
    <t xml:space="preserve">pgaz </t>
  </si>
  <si>
    <t xml:space="preserve">pgba </t>
  </si>
  <si>
    <t xml:space="preserve">pgbb </t>
  </si>
  <si>
    <t xml:space="preserve">pgbc </t>
  </si>
  <si>
    <t xml:space="preserve">phaa </t>
  </si>
  <si>
    <t>Sector 7 Support Pillar Stairway</t>
  </si>
  <si>
    <t xml:space="preserve">phab </t>
  </si>
  <si>
    <t xml:space="preserve">phac </t>
  </si>
  <si>
    <t xml:space="preserve">phad </t>
  </si>
  <si>
    <t xml:space="preserve">phae </t>
  </si>
  <si>
    <t xml:space="preserve">phaf </t>
  </si>
  <si>
    <t xml:space="preserve">phag </t>
  </si>
  <si>
    <t xml:space="preserve">phah </t>
  </si>
  <si>
    <t xml:space="preserve">phai </t>
  </si>
  <si>
    <t xml:space="preserve">phaj </t>
  </si>
  <si>
    <t xml:space="preserve">pham </t>
  </si>
  <si>
    <t xml:space="preserve">phan </t>
  </si>
  <si>
    <t xml:space="preserve">phao </t>
  </si>
  <si>
    <t xml:space="preserve">phap </t>
  </si>
  <si>
    <t xml:space="preserve">phaq </t>
  </si>
  <si>
    <t>944 Bytes</t>
  </si>
  <si>
    <t xml:space="preserve">phar </t>
  </si>
  <si>
    <t xml:space="preserve">phas </t>
  </si>
  <si>
    <t xml:space="preserve">phat </t>
  </si>
  <si>
    <t xml:space="preserve">phau </t>
  </si>
  <si>
    <t xml:space="preserve">phav </t>
  </si>
  <si>
    <t xml:space="preserve">phaw </t>
  </si>
  <si>
    <t xml:space="preserve">phax </t>
  </si>
  <si>
    <t xml:space="preserve">phay </t>
  </si>
  <si>
    <t xml:space="preserve">phaz </t>
  </si>
  <si>
    <t xml:space="preserve">phba </t>
  </si>
  <si>
    <t xml:space="preserve">phbb </t>
  </si>
  <si>
    <t xml:space="preserve">phbc </t>
  </si>
  <si>
    <t xml:space="preserve">phbd </t>
  </si>
  <si>
    <t xml:space="preserve">phbe </t>
  </si>
  <si>
    <t xml:space="preserve">phbf </t>
  </si>
  <si>
    <t xml:space="preserve">phbg </t>
  </si>
  <si>
    <t xml:space="preserve">phbh </t>
  </si>
  <si>
    <t xml:space="preserve">piaa </t>
  </si>
  <si>
    <t>Sector 7 Support Pillar Top</t>
  </si>
  <si>
    <t xml:space="preserve">piab </t>
  </si>
  <si>
    <t xml:space="preserve">piac </t>
  </si>
  <si>
    <t xml:space="preserve">piad </t>
  </si>
  <si>
    <t xml:space="preserve">piae </t>
  </si>
  <si>
    <t xml:space="preserve">piaf </t>
  </si>
  <si>
    <t xml:space="preserve">piag </t>
  </si>
  <si>
    <t xml:space="preserve">piah </t>
  </si>
  <si>
    <t xml:space="preserve">piai </t>
  </si>
  <si>
    <t xml:space="preserve">piam </t>
  </si>
  <si>
    <t xml:space="preserve">pian </t>
  </si>
  <si>
    <t xml:space="preserve">piao </t>
  </si>
  <si>
    <t xml:space="preserve">piap </t>
  </si>
  <si>
    <t xml:space="preserve">piaq </t>
  </si>
  <si>
    <t xml:space="preserve">piar </t>
  </si>
  <si>
    <t xml:space="preserve">pias </t>
  </si>
  <si>
    <t xml:space="preserve">piat </t>
  </si>
  <si>
    <t xml:space="preserve">piau </t>
  </si>
  <si>
    <t xml:space="preserve">piav </t>
  </si>
  <si>
    <t xml:space="preserve">piaw </t>
  </si>
  <si>
    <t xml:space="preserve">piax </t>
  </si>
  <si>
    <t xml:space="preserve">piay </t>
  </si>
  <si>
    <t xml:space="preserve">piaz </t>
  </si>
  <si>
    <t xml:space="preserve">piba </t>
  </si>
  <si>
    <t xml:space="preserve">pjaa </t>
  </si>
  <si>
    <t xml:space="preserve">pjab </t>
  </si>
  <si>
    <t xml:space="preserve">pjac </t>
  </si>
  <si>
    <t xml:space="preserve">pjad </t>
  </si>
  <si>
    <t xml:space="preserve">pjae </t>
  </si>
  <si>
    <t xml:space="preserve">pjaf </t>
  </si>
  <si>
    <t xml:space="preserve">pjag </t>
  </si>
  <si>
    <t xml:space="preserve">pjah </t>
  </si>
  <si>
    <t xml:space="preserve">pjam </t>
  </si>
  <si>
    <t xml:space="preserve">pjan </t>
  </si>
  <si>
    <t xml:space="preserve">pjao </t>
  </si>
  <si>
    <t xml:space="preserve">pjap </t>
  </si>
  <si>
    <t xml:space="preserve">pjaq </t>
  </si>
  <si>
    <t xml:space="preserve">pjar </t>
  </si>
  <si>
    <t xml:space="preserve">pjas </t>
  </si>
  <si>
    <t xml:space="preserve">pjat </t>
  </si>
  <si>
    <t xml:space="preserve">pjau </t>
  </si>
  <si>
    <t xml:space="preserve">pjav </t>
  </si>
  <si>
    <t xml:space="preserve">pkaa </t>
  </si>
  <si>
    <t>Sewers</t>
  </si>
  <si>
    <t xml:space="preserve">pkab </t>
  </si>
  <si>
    <t xml:space="preserve">pkac </t>
  </si>
  <si>
    <t xml:space="preserve">pkad </t>
  </si>
  <si>
    <t xml:space="preserve">pkae </t>
  </si>
  <si>
    <t xml:space="preserve">pkaf </t>
  </si>
  <si>
    <t xml:space="preserve">pkag </t>
  </si>
  <si>
    <t xml:space="preserve">pkah </t>
  </si>
  <si>
    <t xml:space="preserve">pkai </t>
  </si>
  <si>
    <t xml:space="preserve">pkaj </t>
  </si>
  <si>
    <t xml:space="preserve">pkam </t>
  </si>
  <si>
    <t xml:space="preserve">pkan </t>
  </si>
  <si>
    <t xml:space="preserve">pkao </t>
  </si>
  <si>
    <t xml:space="preserve">pkap </t>
  </si>
  <si>
    <t xml:space="preserve">pkaq </t>
  </si>
  <si>
    <t xml:space="preserve">pkar </t>
  </si>
  <si>
    <t xml:space="preserve">pkas </t>
  </si>
  <si>
    <t xml:space="preserve">pkat </t>
  </si>
  <si>
    <t xml:space="preserve">pkau </t>
  </si>
  <si>
    <t xml:space="preserve">pkav </t>
  </si>
  <si>
    <t xml:space="preserve">pkaw </t>
  </si>
  <si>
    <t xml:space="preserve">pkax </t>
  </si>
  <si>
    <t xml:space="preserve">pkay </t>
  </si>
  <si>
    <t xml:space="preserve">pkaz </t>
  </si>
  <si>
    <t xml:space="preserve">pkba </t>
  </si>
  <si>
    <t xml:space="preserve">pkbb </t>
  </si>
  <si>
    <t xml:space="preserve">pkbc </t>
  </si>
  <si>
    <t xml:space="preserve">pkbd </t>
  </si>
  <si>
    <t xml:space="preserve">pkbe </t>
  </si>
  <si>
    <t xml:space="preserve">pkbf </t>
  </si>
  <si>
    <t xml:space="preserve">pkbg </t>
  </si>
  <si>
    <t xml:space="preserve">plaa </t>
  </si>
  <si>
    <t>Mythril Mines</t>
  </si>
  <si>
    <t xml:space="preserve">plab </t>
  </si>
  <si>
    <t xml:space="preserve">plac </t>
  </si>
  <si>
    <t xml:space="preserve">plad </t>
  </si>
  <si>
    <t xml:space="preserve">plae </t>
  </si>
  <si>
    <t xml:space="preserve">plaf </t>
  </si>
  <si>
    <t xml:space="preserve">plag </t>
  </si>
  <si>
    <t xml:space="preserve">plah </t>
  </si>
  <si>
    <t xml:space="preserve">plam </t>
  </si>
  <si>
    <t xml:space="preserve">plan </t>
  </si>
  <si>
    <t xml:space="preserve">plao </t>
  </si>
  <si>
    <t xml:space="preserve">plap </t>
  </si>
  <si>
    <t xml:space="preserve">plaq </t>
  </si>
  <si>
    <t xml:space="preserve">plar </t>
  </si>
  <si>
    <t xml:space="preserve">plas </t>
  </si>
  <si>
    <t xml:space="preserve">plat </t>
  </si>
  <si>
    <t xml:space="preserve">plau </t>
  </si>
  <si>
    <t xml:space="preserve">plav </t>
  </si>
  <si>
    <t xml:space="preserve">plaw </t>
  </si>
  <si>
    <t xml:space="preserve">plax </t>
  </si>
  <si>
    <t xml:space="preserve">play </t>
  </si>
  <si>
    <t xml:space="preserve">plaz </t>
  </si>
  <si>
    <t xml:space="preserve">pmaa </t>
  </si>
  <si>
    <t>Northern Crater - Floating Platforms</t>
  </si>
  <si>
    <t xml:space="preserve">pmab </t>
  </si>
  <si>
    <t xml:space="preserve">pmac </t>
  </si>
  <si>
    <t xml:space="preserve">pmad </t>
  </si>
  <si>
    <t xml:space="preserve">pmae </t>
  </si>
  <si>
    <t xml:space="preserve">pmaf </t>
  </si>
  <si>
    <t xml:space="preserve">pmag </t>
  </si>
  <si>
    <t xml:space="preserve">pmah </t>
  </si>
  <si>
    <t xml:space="preserve">pmai </t>
  </si>
  <si>
    <t xml:space="preserve">pmaj </t>
  </si>
  <si>
    <t xml:space="preserve">pmam </t>
  </si>
  <si>
    <t xml:space="preserve">pman </t>
  </si>
  <si>
    <t xml:space="preserve">pmao </t>
  </si>
  <si>
    <t xml:space="preserve">pmap </t>
  </si>
  <si>
    <t xml:space="preserve">pmaq </t>
  </si>
  <si>
    <t xml:space="preserve">pmar </t>
  </si>
  <si>
    <t xml:space="preserve">pmas </t>
  </si>
  <si>
    <t xml:space="preserve">pmat </t>
  </si>
  <si>
    <t xml:space="preserve">pmau </t>
  </si>
  <si>
    <t xml:space="preserve">pmav </t>
  </si>
  <si>
    <t xml:space="preserve">pmaw </t>
  </si>
  <si>
    <t xml:space="preserve">pmax </t>
  </si>
  <si>
    <t xml:space="preserve">pnaa </t>
  </si>
  <si>
    <t>Corel Mountain Path</t>
  </si>
  <si>
    <t xml:space="preserve">pnab </t>
  </si>
  <si>
    <t xml:space="preserve">pnac </t>
  </si>
  <si>
    <t xml:space="preserve">pnad </t>
  </si>
  <si>
    <t xml:space="preserve">pnae </t>
  </si>
  <si>
    <t xml:space="preserve">pnaf </t>
  </si>
  <si>
    <t xml:space="preserve">pnag </t>
  </si>
  <si>
    <t xml:space="preserve">pnah </t>
  </si>
  <si>
    <t xml:space="preserve">pnai </t>
  </si>
  <si>
    <t xml:space="preserve">pnaj </t>
  </si>
  <si>
    <t xml:space="preserve">pnam </t>
  </si>
  <si>
    <t xml:space="preserve">pnan </t>
  </si>
  <si>
    <t xml:space="preserve">pnao </t>
  </si>
  <si>
    <t xml:space="preserve">pnap </t>
  </si>
  <si>
    <t xml:space="preserve">pnaq </t>
  </si>
  <si>
    <t xml:space="preserve">pnar </t>
  </si>
  <si>
    <t xml:space="preserve">pnas </t>
  </si>
  <si>
    <t xml:space="preserve">pnat </t>
  </si>
  <si>
    <t xml:space="preserve">pnau </t>
  </si>
  <si>
    <t xml:space="preserve">pnav </t>
  </si>
  <si>
    <t xml:space="preserve">pnaw </t>
  </si>
  <si>
    <t xml:space="preserve">pnax </t>
  </si>
  <si>
    <t xml:space="preserve">pnay </t>
  </si>
  <si>
    <t xml:space="preserve">poaa </t>
  </si>
  <si>
    <t>Junon Beach</t>
  </si>
  <si>
    <t xml:space="preserve">poab </t>
  </si>
  <si>
    <t xml:space="preserve">poac </t>
  </si>
  <si>
    <t xml:space="preserve">poad </t>
  </si>
  <si>
    <t xml:space="preserve">poae </t>
  </si>
  <si>
    <t xml:space="preserve">poaf </t>
  </si>
  <si>
    <t xml:space="preserve">poag </t>
  </si>
  <si>
    <t xml:space="preserve">poah </t>
  </si>
  <si>
    <t xml:space="preserve">poai </t>
  </si>
  <si>
    <t xml:space="preserve">poam </t>
  </si>
  <si>
    <t xml:space="preserve">poan </t>
  </si>
  <si>
    <t xml:space="preserve">poao </t>
  </si>
  <si>
    <t xml:space="preserve">poap </t>
  </si>
  <si>
    <t xml:space="preserve">poaq </t>
  </si>
  <si>
    <t xml:space="preserve">poar </t>
  </si>
  <si>
    <t xml:space="preserve">poas </t>
  </si>
  <si>
    <t xml:space="preserve">poat </t>
  </si>
  <si>
    <t xml:space="preserve">poau </t>
  </si>
  <si>
    <t xml:space="preserve">poav </t>
  </si>
  <si>
    <t xml:space="preserve">poaw </t>
  </si>
  <si>
    <t xml:space="preserve">poax </t>
  </si>
  <si>
    <t xml:space="preserve">ppaa </t>
  </si>
  <si>
    <t>Junon Cargo Ship</t>
  </si>
  <si>
    <t xml:space="preserve">ppab </t>
  </si>
  <si>
    <t xml:space="preserve">ppac </t>
  </si>
  <si>
    <t xml:space="preserve">ppad </t>
  </si>
  <si>
    <t xml:space="preserve">ppae </t>
  </si>
  <si>
    <t xml:space="preserve">ppaf </t>
  </si>
  <si>
    <t xml:space="preserve">ppag </t>
  </si>
  <si>
    <t xml:space="preserve">ppah </t>
  </si>
  <si>
    <t xml:space="preserve">ppai </t>
  </si>
  <si>
    <t xml:space="preserve">ppaj </t>
  </si>
  <si>
    <t xml:space="preserve">ppam </t>
  </si>
  <si>
    <t xml:space="preserve">ppan </t>
  </si>
  <si>
    <t xml:space="preserve">ppao </t>
  </si>
  <si>
    <t xml:space="preserve">ppap </t>
  </si>
  <si>
    <t xml:space="preserve">ppaq </t>
  </si>
  <si>
    <t xml:space="preserve">ppar </t>
  </si>
  <si>
    <t xml:space="preserve">ppas </t>
  </si>
  <si>
    <t xml:space="preserve">ppat </t>
  </si>
  <si>
    <t xml:space="preserve">ppau </t>
  </si>
  <si>
    <t xml:space="preserve">ppav </t>
  </si>
  <si>
    <t xml:space="preserve">ppaw </t>
  </si>
  <si>
    <t xml:space="preserve">ppax </t>
  </si>
  <si>
    <t xml:space="preserve">pqaa </t>
  </si>
  <si>
    <t xml:space="preserve">pqab </t>
  </si>
  <si>
    <t xml:space="preserve">pqac </t>
  </si>
  <si>
    <t xml:space="preserve">pqad </t>
  </si>
  <si>
    <t xml:space="preserve">pqae </t>
  </si>
  <si>
    <t xml:space="preserve">pqaf </t>
  </si>
  <si>
    <t xml:space="preserve">pqag </t>
  </si>
  <si>
    <t xml:space="preserve">pqah </t>
  </si>
  <si>
    <t xml:space="preserve">pqai </t>
  </si>
  <si>
    <t xml:space="preserve">pqaj </t>
  </si>
  <si>
    <t xml:space="preserve">pqam </t>
  </si>
  <si>
    <t xml:space="preserve">pqan </t>
  </si>
  <si>
    <t xml:space="preserve">pqao </t>
  </si>
  <si>
    <t xml:space="preserve">pqap </t>
  </si>
  <si>
    <t xml:space="preserve">pqaq </t>
  </si>
  <si>
    <t xml:space="preserve">pqar </t>
  </si>
  <si>
    <t xml:space="preserve">pqas </t>
  </si>
  <si>
    <t xml:space="preserve">pqat </t>
  </si>
  <si>
    <t xml:space="preserve">pqau </t>
  </si>
  <si>
    <t xml:space="preserve">pqav </t>
  </si>
  <si>
    <t xml:space="preserve">praa </t>
  </si>
  <si>
    <t>Battle Square</t>
  </si>
  <si>
    <t xml:space="preserve">prab </t>
  </si>
  <si>
    <t xml:space="preserve">prac </t>
  </si>
  <si>
    <t xml:space="preserve">prad </t>
  </si>
  <si>
    <t xml:space="preserve">prae </t>
  </si>
  <si>
    <t xml:space="preserve">praf </t>
  </si>
  <si>
    <t xml:space="preserve">prag </t>
  </si>
  <si>
    <t xml:space="preserve">prah </t>
  </si>
  <si>
    <t xml:space="preserve">prai </t>
  </si>
  <si>
    <t xml:space="preserve">praj </t>
  </si>
  <si>
    <t xml:space="preserve">pram </t>
  </si>
  <si>
    <t xml:space="preserve">pran </t>
  </si>
  <si>
    <t xml:space="preserve">prao </t>
  </si>
  <si>
    <t xml:space="preserve">prap </t>
  </si>
  <si>
    <t xml:space="preserve">praq </t>
  </si>
  <si>
    <t xml:space="preserve">prar </t>
  </si>
  <si>
    <t xml:space="preserve">pras </t>
  </si>
  <si>
    <t xml:space="preserve">prat </t>
  </si>
  <si>
    <t xml:space="preserve">prau </t>
  </si>
  <si>
    <t xml:space="preserve">prav </t>
  </si>
  <si>
    <t xml:space="preserve">praw </t>
  </si>
  <si>
    <t xml:space="preserve">prax </t>
  </si>
  <si>
    <t xml:space="preserve">pray </t>
  </si>
  <si>
    <t xml:space="preserve">praz </t>
  </si>
  <si>
    <t xml:space="preserve">psaa </t>
  </si>
  <si>
    <t>Da Chao - Rapps Battle</t>
  </si>
  <si>
    <t xml:space="preserve">psab </t>
  </si>
  <si>
    <t xml:space="preserve">psac </t>
  </si>
  <si>
    <t xml:space="preserve">psad </t>
  </si>
  <si>
    <t xml:space="preserve">psae </t>
  </si>
  <si>
    <t xml:space="preserve">psaf </t>
  </si>
  <si>
    <t xml:space="preserve">psag </t>
  </si>
  <si>
    <t xml:space="preserve">psah </t>
  </si>
  <si>
    <t xml:space="preserve">psai </t>
  </si>
  <si>
    <t xml:space="preserve">psaj </t>
  </si>
  <si>
    <t xml:space="preserve">psam </t>
  </si>
  <si>
    <t xml:space="preserve">psan </t>
  </si>
  <si>
    <t xml:space="preserve">psao </t>
  </si>
  <si>
    <t xml:space="preserve">psap </t>
  </si>
  <si>
    <t xml:space="preserve">psaq </t>
  </si>
  <si>
    <t xml:space="preserve">psar </t>
  </si>
  <si>
    <t xml:space="preserve">psas </t>
  </si>
  <si>
    <t xml:space="preserve">psat </t>
  </si>
  <si>
    <t xml:space="preserve">psau </t>
  </si>
  <si>
    <t xml:space="preserve">psav </t>
  </si>
  <si>
    <t xml:space="preserve">psaw </t>
  </si>
  <si>
    <t xml:space="preserve">psax </t>
  </si>
  <si>
    <t xml:space="preserve">psay </t>
  </si>
  <si>
    <t xml:space="preserve">ptaa </t>
  </si>
  <si>
    <t>Cid's Backyard</t>
  </si>
  <si>
    <t xml:space="preserve">ptab </t>
  </si>
  <si>
    <t xml:space="preserve">ptac </t>
  </si>
  <si>
    <t xml:space="preserve">ptad </t>
  </si>
  <si>
    <t xml:space="preserve">ptae </t>
  </si>
  <si>
    <t xml:space="preserve">ptaf </t>
  </si>
  <si>
    <t xml:space="preserve">ptag </t>
  </si>
  <si>
    <t xml:space="preserve">ptah </t>
  </si>
  <si>
    <t xml:space="preserve">ptam </t>
  </si>
  <si>
    <t xml:space="preserve">ptan </t>
  </si>
  <si>
    <t xml:space="preserve">ptao </t>
  </si>
  <si>
    <t xml:space="preserve">ptap </t>
  </si>
  <si>
    <t xml:space="preserve">ptaq </t>
  </si>
  <si>
    <t xml:space="preserve">ptar </t>
  </si>
  <si>
    <t xml:space="preserve">ptas </t>
  </si>
  <si>
    <t xml:space="preserve">ptat </t>
  </si>
  <si>
    <t xml:space="preserve">ptau </t>
  </si>
  <si>
    <t xml:space="preserve">ptav </t>
  </si>
  <si>
    <t xml:space="preserve">ptaw </t>
  </si>
  <si>
    <t>632 Bytes</t>
  </si>
  <si>
    <t xml:space="preserve">ptax </t>
  </si>
  <si>
    <t xml:space="preserve">ptay </t>
  </si>
  <si>
    <t xml:space="preserve">ptaz </t>
  </si>
  <si>
    <t xml:space="preserve">ptba </t>
  </si>
  <si>
    <t xml:space="preserve">ptbb </t>
  </si>
  <si>
    <t xml:space="preserve">ptbc </t>
  </si>
  <si>
    <t xml:space="preserve">ptbd </t>
  </si>
  <si>
    <t xml:space="preserve">puaa </t>
  </si>
  <si>
    <t>Final Descent to Sephiroth</t>
  </si>
  <si>
    <t xml:space="preserve">puab </t>
  </si>
  <si>
    <t xml:space="preserve">puac </t>
  </si>
  <si>
    <t xml:space="preserve">puad </t>
  </si>
  <si>
    <t xml:space="preserve">puae </t>
  </si>
  <si>
    <t xml:space="preserve">puaf </t>
  </si>
  <si>
    <t xml:space="preserve">puag </t>
  </si>
  <si>
    <t xml:space="preserve">puah </t>
  </si>
  <si>
    <t xml:space="preserve">puai </t>
  </si>
  <si>
    <t xml:space="preserve">puaj </t>
  </si>
  <si>
    <t xml:space="preserve">puam </t>
  </si>
  <si>
    <t xml:space="preserve">puan </t>
  </si>
  <si>
    <t xml:space="preserve">puao </t>
  </si>
  <si>
    <t xml:space="preserve">puap </t>
  </si>
  <si>
    <t xml:space="preserve">puaq </t>
  </si>
  <si>
    <t xml:space="preserve">puar </t>
  </si>
  <si>
    <t xml:space="preserve">puas </t>
  </si>
  <si>
    <t xml:space="preserve">puat </t>
  </si>
  <si>
    <t xml:space="preserve">puau </t>
  </si>
  <si>
    <t xml:space="preserve">puav </t>
  </si>
  <si>
    <t xml:space="preserve">puaw </t>
  </si>
  <si>
    <t xml:space="preserve">puax </t>
  </si>
  <si>
    <t xml:space="preserve">puay </t>
  </si>
  <si>
    <t xml:space="preserve">puaz </t>
  </si>
  <si>
    <t xml:space="preserve">puba </t>
  </si>
  <si>
    <t xml:space="preserve">pubb </t>
  </si>
  <si>
    <t xml:space="preserve">pubc </t>
  </si>
  <si>
    <t xml:space="preserve">pubd </t>
  </si>
  <si>
    <t xml:space="preserve">pvaa </t>
  </si>
  <si>
    <t>Reactor 5 Entrance</t>
  </si>
  <si>
    <t xml:space="preserve">pvab </t>
  </si>
  <si>
    <t xml:space="preserve">pvac </t>
  </si>
  <si>
    <t xml:space="preserve">pvad </t>
  </si>
  <si>
    <t xml:space="preserve">pvae </t>
  </si>
  <si>
    <t xml:space="preserve">pvaf </t>
  </si>
  <si>
    <t xml:space="preserve">pvag </t>
  </si>
  <si>
    <t xml:space="preserve">pvam </t>
  </si>
  <si>
    <t xml:space="preserve">pvan </t>
  </si>
  <si>
    <t xml:space="preserve">pvao </t>
  </si>
  <si>
    <t xml:space="preserve">pvap </t>
  </si>
  <si>
    <t xml:space="preserve">pvaq </t>
  </si>
  <si>
    <t xml:space="preserve">pvar </t>
  </si>
  <si>
    <t xml:space="preserve">pvas </t>
  </si>
  <si>
    <t xml:space="preserve">pvat </t>
  </si>
  <si>
    <t xml:space="preserve">pvau </t>
  </si>
  <si>
    <t xml:space="preserve">pwaa </t>
  </si>
  <si>
    <t>Temple of the Ancients - Escher Room</t>
  </si>
  <si>
    <t xml:space="preserve">pwab </t>
  </si>
  <si>
    <t xml:space="preserve">pwac </t>
  </si>
  <si>
    <t xml:space="preserve">pwad </t>
  </si>
  <si>
    <t xml:space="preserve">pwae </t>
  </si>
  <si>
    <t xml:space="preserve">pwaf </t>
  </si>
  <si>
    <t xml:space="preserve">pwag </t>
  </si>
  <si>
    <t xml:space="preserve">pwah </t>
  </si>
  <si>
    <t xml:space="preserve">pwai </t>
  </si>
  <si>
    <t xml:space="preserve">pwaj </t>
  </si>
  <si>
    <t xml:space="preserve">pwam </t>
  </si>
  <si>
    <t xml:space="preserve">pwan </t>
  </si>
  <si>
    <t xml:space="preserve">pwao </t>
  </si>
  <si>
    <t xml:space="preserve">pwap </t>
  </si>
  <si>
    <t xml:space="preserve">pwaq </t>
  </si>
  <si>
    <t xml:space="preserve">pwar </t>
  </si>
  <si>
    <t xml:space="preserve">pwas </t>
  </si>
  <si>
    <t xml:space="preserve">pwat </t>
  </si>
  <si>
    <t xml:space="preserve">pwau </t>
  </si>
  <si>
    <t xml:space="preserve">pwav </t>
  </si>
  <si>
    <t xml:space="preserve">pwaw </t>
  </si>
  <si>
    <t xml:space="preserve">pxaa </t>
  </si>
  <si>
    <t>Shinra Mansion</t>
  </si>
  <si>
    <t xml:space="preserve">pxab </t>
  </si>
  <si>
    <t xml:space="preserve">pxac </t>
  </si>
  <si>
    <t xml:space="preserve">pxad </t>
  </si>
  <si>
    <t xml:space="preserve">pxae </t>
  </si>
  <si>
    <t xml:space="preserve">pxaf </t>
  </si>
  <si>
    <t xml:space="preserve">pxag </t>
  </si>
  <si>
    <t xml:space="preserve">pxah </t>
  </si>
  <si>
    <t xml:space="preserve">pxai </t>
  </si>
  <si>
    <t xml:space="preserve">pxam </t>
  </si>
  <si>
    <t xml:space="preserve">pxan </t>
  </si>
  <si>
    <t xml:space="preserve">pxao </t>
  </si>
  <si>
    <t xml:space="preserve">pxap </t>
  </si>
  <si>
    <t xml:space="preserve">pxaq </t>
  </si>
  <si>
    <t xml:space="preserve">pxar </t>
  </si>
  <si>
    <t xml:space="preserve">pxas </t>
  </si>
  <si>
    <t xml:space="preserve">pxat </t>
  </si>
  <si>
    <t xml:space="preserve">pxau </t>
  </si>
  <si>
    <t xml:space="preserve">pxav </t>
  </si>
  <si>
    <t xml:space="preserve">pxaw </t>
  </si>
  <si>
    <t xml:space="preserve">pxax </t>
  </si>
  <si>
    <t xml:space="preserve">pxay </t>
  </si>
  <si>
    <t xml:space="preserve">pxaz </t>
  </si>
  <si>
    <t xml:space="preserve">pxba </t>
  </si>
  <si>
    <t xml:space="preserve">pyaa </t>
  </si>
  <si>
    <t>Junon Airship Dock</t>
  </si>
  <si>
    <t xml:space="preserve">pyab </t>
  </si>
  <si>
    <t xml:space="preserve">pyac </t>
  </si>
  <si>
    <t xml:space="preserve">pyad </t>
  </si>
  <si>
    <t xml:space="preserve">pyae </t>
  </si>
  <si>
    <t xml:space="preserve">pyaf </t>
  </si>
  <si>
    <t xml:space="preserve">pyag </t>
  </si>
  <si>
    <t xml:space="preserve">pyah </t>
  </si>
  <si>
    <t xml:space="preserve">pyai </t>
  </si>
  <si>
    <t xml:space="preserve">pyaj </t>
  </si>
  <si>
    <t xml:space="preserve">pyam </t>
  </si>
  <si>
    <t xml:space="preserve">pyan </t>
  </si>
  <si>
    <t xml:space="preserve">pyao </t>
  </si>
  <si>
    <t xml:space="preserve">pyap </t>
  </si>
  <si>
    <t xml:space="preserve">pyaq </t>
  </si>
  <si>
    <t xml:space="preserve">pyar </t>
  </si>
  <si>
    <t xml:space="preserve">pyas </t>
  </si>
  <si>
    <t xml:space="preserve">pyat </t>
  </si>
  <si>
    <t xml:space="preserve">pyau </t>
  </si>
  <si>
    <t xml:space="preserve">pyav </t>
  </si>
  <si>
    <t xml:space="preserve">pyaw </t>
  </si>
  <si>
    <t xml:space="preserve">pyax </t>
  </si>
  <si>
    <t xml:space="preserve">pyay </t>
  </si>
  <si>
    <t xml:space="preserve">pyaz </t>
  </si>
  <si>
    <t xml:space="preserve">pyba </t>
  </si>
  <si>
    <t xml:space="preserve">pzaa </t>
  </si>
  <si>
    <t>Whirlwind Maze</t>
  </si>
  <si>
    <t xml:space="preserve">pzab </t>
  </si>
  <si>
    <t xml:space="preserve">pzac </t>
  </si>
  <si>
    <t xml:space="preserve">pzad </t>
  </si>
  <si>
    <t xml:space="preserve">pzae </t>
  </si>
  <si>
    <t xml:space="preserve">pzaf </t>
  </si>
  <si>
    <t xml:space="preserve">pzag </t>
  </si>
  <si>
    <t xml:space="preserve">pzah </t>
  </si>
  <si>
    <t xml:space="preserve">pzam </t>
  </si>
  <si>
    <t xml:space="preserve">pzan </t>
  </si>
  <si>
    <t xml:space="preserve">pzao </t>
  </si>
  <si>
    <t xml:space="preserve">pzap </t>
  </si>
  <si>
    <t xml:space="preserve">pzaq </t>
  </si>
  <si>
    <t xml:space="preserve">pzar </t>
  </si>
  <si>
    <t xml:space="preserve">pzas </t>
  </si>
  <si>
    <t xml:space="preserve">pzat </t>
  </si>
  <si>
    <t xml:space="preserve">pzau </t>
  </si>
  <si>
    <t xml:space="preserve">pzav </t>
  </si>
  <si>
    <t xml:space="preserve">pzaw </t>
  </si>
  <si>
    <t xml:space="preserve">pzax </t>
  </si>
  <si>
    <t xml:space="preserve">pzay </t>
  </si>
  <si>
    <t xml:space="preserve">pzaz </t>
  </si>
  <si>
    <t xml:space="preserve">pzba </t>
  </si>
  <si>
    <t xml:space="preserve">pzbb </t>
  </si>
  <si>
    <t xml:space="preserve">pzbc </t>
  </si>
  <si>
    <t xml:space="preserve">pzbd </t>
  </si>
  <si>
    <t xml:space="preserve">pzbe </t>
  </si>
  <si>
    <t xml:space="preserve">qaaa </t>
  </si>
  <si>
    <t>Junon Underwater Reactor</t>
  </si>
  <si>
    <t xml:space="preserve">qaab </t>
  </si>
  <si>
    <t xml:space="preserve">qaac </t>
  </si>
  <si>
    <t xml:space="preserve">qaad </t>
  </si>
  <si>
    <t xml:space="preserve">qaae </t>
  </si>
  <si>
    <t xml:space="preserve">qaaf </t>
  </si>
  <si>
    <t xml:space="preserve">qaag </t>
  </si>
  <si>
    <t xml:space="preserve">qaah </t>
  </si>
  <si>
    <t xml:space="preserve">qaai </t>
  </si>
  <si>
    <t xml:space="preserve">qaaj </t>
  </si>
  <si>
    <t xml:space="preserve">qaam </t>
  </si>
  <si>
    <t xml:space="preserve">qaan </t>
  </si>
  <si>
    <t xml:space="preserve">qaao </t>
  </si>
  <si>
    <t xml:space="preserve">qaap </t>
  </si>
  <si>
    <t xml:space="preserve">qaaq </t>
  </si>
  <si>
    <t xml:space="preserve">qaar </t>
  </si>
  <si>
    <t xml:space="preserve">qaas </t>
  </si>
  <si>
    <t xml:space="preserve">qaat </t>
  </si>
  <si>
    <t xml:space="preserve">qaau </t>
  </si>
  <si>
    <t xml:space="preserve">qaav </t>
  </si>
  <si>
    <t xml:space="preserve">qaaw </t>
  </si>
  <si>
    <t xml:space="preserve">qaax </t>
  </si>
  <si>
    <t xml:space="preserve">qaay </t>
  </si>
  <si>
    <t xml:space="preserve">qaaz </t>
  </si>
  <si>
    <t xml:space="preserve">qaba </t>
  </si>
  <si>
    <t xml:space="preserve">qabb </t>
  </si>
  <si>
    <t xml:space="preserve">qabc </t>
  </si>
  <si>
    <t xml:space="preserve">qabd </t>
  </si>
  <si>
    <t xml:space="preserve">qbaa </t>
  </si>
  <si>
    <t xml:space="preserve">Gongaga Reactor </t>
  </si>
  <si>
    <t xml:space="preserve">qbab </t>
  </si>
  <si>
    <t xml:space="preserve">qbac </t>
  </si>
  <si>
    <t xml:space="preserve">qbad </t>
  </si>
  <si>
    <t xml:space="preserve">qbae </t>
  </si>
  <si>
    <t xml:space="preserve">qbaf </t>
  </si>
  <si>
    <t xml:space="preserve">qbag </t>
  </si>
  <si>
    <t xml:space="preserve">qbah </t>
  </si>
  <si>
    <t xml:space="preserve">qbai </t>
  </si>
  <si>
    <t xml:space="preserve">qbaj </t>
  </si>
  <si>
    <t xml:space="preserve">qbam </t>
  </si>
  <si>
    <t xml:space="preserve">qban </t>
  </si>
  <si>
    <t xml:space="preserve">qbao </t>
  </si>
  <si>
    <t xml:space="preserve">qbap </t>
  </si>
  <si>
    <t xml:space="preserve">qbaq </t>
  </si>
  <si>
    <t xml:space="preserve">qbar </t>
  </si>
  <si>
    <t xml:space="preserve">qbas </t>
  </si>
  <si>
    <t xml:space="preserve">qbat </t>
  </si>
  <si>
    <t xml:space="preserve">qbau </t>
  </si>
  <si>
    <t xml:space="preserve">qbav </t>
  </si>
  <si>
    <t xml:space="preserve">qbaw </t>
  </si>
  <si>
    <t xml:space="preserve">qbax </t>
  </si>
  <si>
    <t xml:space="preserve">qcaa </t>
  </si>
  <si>
    <t xml:space="preserve">qcab </t>
  </si>
  <si>
    <t xml:space="preserve">qcac </t>
  </si>
  <si>
    <t xml:space="preserve">qcad </t>
  </si>
  <si>
    <t xml:space="preserve">qcae </t>
  </si>
  <si>
    <t xml:space="preserve">qcaf </t>
  </si>
  <si>
    <t xml:space="preserve">qcag </t>
  </si>
  <si>
    <t xml:space="preserve">qcah </t>
  </si>
  <si>
    <t xml:space="preserve">qcai </t>
  </si>
  <si>
    <t xml:space="preserve">qcaj </t>
  </si>
  <si>
    <t xml:space="preserve">qcam </t>
  </si>
  <si>
    <t xml:space="preserve">qcan </t>
  </si>
  <si>
    <t xml:space="preserve">qcao </t>
  </si>
  <si>
    <t xml:space="preserve">qcap </t>
  </si>
  <si>
    <t xml:space="preserve">qcaq </t>
  </si>
  <si>
    <t xml:space="preserve">qcar </t>
  </si>
  <si>
    <t xml:space="preserve">qcas </t>
  </si>
  <si>
    <t xml:space="preserve">qcat </t>
  </si>
  <si>
    <t xml:space="preserve">qcau </t>
  </si>
  <si>
    <t xml:space="preserve">qcav </t>
  </si>
  <si>
    <t xml:space="preserve">qcaw </t>
  </si>
  <si>
    <t xml:space="preserve">qcax </t>
  </si>
  <si>
    <t xml:space="preserve">qcay </t>
  </si>
  <si>
    <t xml:space="preserve">qcaz </t>
  </si>
  <si>
    <t xml:space="preserve">qdaa </t>
  </si>
  <si>
    <t>Train Graveyard</t>
  </si>
  <si>
    <t xml:space="preserve">qdab </t>
  </si>
  <si>
    <t xml:space="preserve">qdac </t>
  </si>
  <si>
    <t xml:space="preserve">qdad </t>
  </si>
  <si>
    <t xml:space="preserve">qdae </t>
  </si>
  <si>
    <t xml:space="preserve">qdaf </t>
  </si>
  <si>
    <t xml:space="preserve">qdag </t>
  </si>
  <si>
    <t xml:space="preserve">qdah </t>
  </si>
  <si>
    <t xml:space="preserve">qdai </t>
  </si>
  <si>
    <t xml:space="preserve">qdaj </t>
  </si>
  <si>
    <t xml:space="preserve">qdam </t>
  </si>
  <si>
    <t xml:space="preserve">qdan </t>
  </si>
  <si>
    <t xml:space="preserve">qdao </t>
  </si>
  <si>
    <t xml:space="preserve">qdap </t>
  </si>
  <si>
    <t xml:space="preserve">qdaq </t>
  </si>
  <si>
    <t xml:space="preserve">qdar </t>
  </si>
  <si>
    <t xml:space="preserve">qdas </t>
  </si>
  <si>
    <t xml:space="preserve">qdat </t>
  </si>
  <si>
    <t xml:space="preserve">qdau </t>
  </si>
  <si>
    <t xml:space="preserve">qdav </t>
  </si>
  <si>
    <t xml:space="preserve">qdaw </t>
  </si>
  <si>
    <t xml:space="preserve">qdax </t>
  </si>
  <si>
    <t xml:space="preserve">qday </t>
  </si>
  <si>
    <t xml:space="preserve">qdaz </t>
  </si>
  <si>
    <t xml:space="preserve">qdba </t>
  </si>
  <si>
    <t xml:space="preserve">qdbb </t>
  </si>
  <si>
    <t xml:space="preserve">qeaa </t>
  </si>
  <si>
    <t>Great Glacier Ice Caves &amp; Gaea Cliffs - Inside</t>
  </si>
  <si>
    <t xml:space="preserve">qeab </t>
  </si>
  <si>
    <t xml:space="preserve">qeac </t>
  </si>
  <si>
    <t xml:space="preserve">qead </t>
  </si>
  <si>
    <t xml:space="preserve">qeae </t>
  </si>
  <si>
    <t xml:space="preserve">qeaf </t>
  </si>
  <si>
    <t xml:space="preserve">qeam </t>
  </si>
  <si>
    <t xml:space="preserve">qean </t>
  </si>
  <si>
    <t xml:space="preserve">qeao </t>
  </si>
  <si>
    <t xml:space="preserve">qeap </t>
  </si>
  <si>
    <t xml:space="preserve">qeaq </t>
  </si>
  <si>
    <t xml:space="preserve">qear </t>
  </si>
  <si>
    <t xml:space="preserve">qeas </t>
  </si>
  <si>
    <t xml:space="preserve">qeat </t>
  </si>
  <si>
    <t xml:space="preserve">qeau </t>
  </si>
  <si>
    <t xml:space="preserve">qfaa </t>
  </si>
  <si>
    <t>Sister Ray</t>
  </si>
  <si>
    <t xml:space="preserve">qfab </t>
  </si>
  <si>
    <t xml:space="preserve">qfac </t>
  </si>
  <si>
    <t xml:space="preserve">qfad </t>
  </si>
  <si>
    <t xml:space="preserve">qfae </t>
  </si>
  <si>
    <t xml:space="preserve">qfaf </t>
  </si>
  <si>
    <t xml:space="preserve">qfag </t>
  </si>
  <si>
    <t xml:space="preserve">qfah </t>
  </si>
  <si>
    <t xml:space="preserve">qfai </t>
  </si>
  <si>
    <t xml:space="preserve">qfaj </t>
  </si>
  <si>
    <t xml:space="preserve">qfam </t>
  </si>
  <si>
    <t xml:space="preserve">qfan </t>
  </si>
  <si>
    <t xml:space="preserve">qfao </t>
  </si>
  <si>
    <t xml:space="preserve">qfap </t>
  </si>
  <si>
    <t xml:space="preserve">qfaq </t>
  </si>
  <si>
    <t xml:space="preserve">qfar </t>
  </si>
  <si>
    <t xml:space="preserve">qfas </t>
  </si>
  <si>
    <t xml:space="preserve">qfat </t>
  </si>
  <si>
    <t xml:space="preserve">qfau </t>
  </si>
  <si>
    <t xml:space="preserve">qfav </t>
  </si>
  <si>
    <t xml:space="preserve">qfaw </t>
  </si>
  <si>
    <t xml:space="preserve">qfax </t>
  </si>
  <si>
    <t xml:space="preserve">qfay </t>
  </si>
  <si>
    <t xml:space="preserve">qfaz </t>
  </si>
  <si>
    <t xml:space="preserve">qfba </t>
  </si>
  <si>
    <t xml:space="preserve">qfbb </t>
  </si>
  <si>
    <t xml:space="preserve">qfbc </t>
  </si>
  <si>
    <t xml:space="preserve">qfbd </t>
  </si>
  <si>
    <t xml:space="preserve">qgaa </t>
  </si>
  <si>
    <t>Sister Ray Base</t>
  </si>
  <si>
    <t xml:space="preserve">qgab </t>
  </si>
  <si>
    <t xml:space="preserve">qgac </t>
  </si>
  <si>
    <t xml:space="preserve">qgad </t>
  </si>
  <si>
    <t xml:space="preserve">qgae </t>
  </si>
  <si>
    <t xml:space="preserve">qgaf </t>
  </si>
  <si>
    <t xml:space="preserve">qgag </t>
  </si>
  <si>
    <t xml:space="preserve">qgah </t>
  </si>
  <si>
    <t xml:space="preserve">qgai </t>
  </si>
  <si>
    <t xml:space="preserve">qgam </t>
  </si>
  <si>
    <t xml:space="preserve">qgan </t>
  </si>
  <si>
    <t xml:space="preserve">qgao </t>
  </si>
  <si>
    <t xml:space="preserve">qgap </t>
  </si>
  <si>
    <t xml:space="preserve">qgaq </t>
  </si>
  <si>
    <t xml:space="preserve">qgar </t>
  </si>
  <si>
    <t xml:space="preserve">qgas </t>
  </si>
  <si>
    <t xml:space="preserve">qgat </t>
  </si>
  <si>
    <t xml:space="preserve">qgau </t>
  </si>
  <si>
    <t xml:space="preserve">qgav </t>
  </si>
  <si>
    <t xml:space="preserve">qgaw </t>
  </si>
  <si>
    <t xml:space="preserve">qhaa </t>
  </si>
  <si>
    <t>Forgotten City Altar</t>
  </si>
  <si>
    <t xml:space="preserve">qhab </t>
  </si>
  <si>
    <t xml:space="preserve">qhac </t>
  </si>
  <si>
    <t xml:space="preserve">qhad </t>
  </si>
  <si>
    <t xml:space="preserve">qhae </t>
  </si>
  <si>
    <t xml:space="preserve">qhaf </t>
  </si>
  <si>
    <t xml:space="preserve">qhag </t>
  </si>
  <si>
    <t xml:space="preserve">qham </t>
  </si>
  <si>
    <t xml:space="preserve">qhan </t>
  </si>
  <si>
    <t xml:space="preserve">qhao </t>
  </si>
  <si>
    <t xml:space="preserve">qhap </t>
  </si>
  <si>
    <t xml:space="preserve">qhaq </t>
  </si>
  <si>
    <t xml:space="preserve">qhar </t>
  </si>
  <si>
    <t xml:space="preserve">qhas </t>
  </si>
  <si>
    <t xml:space="preserve">qiaa </t>
  </si>
  <si>
    <t>Northern Crater - Initial Descent</t>
  </si>
  <si>
    <t xml:space="preserve">qiab </t>
  </si>
  <si>
    <t xml:space="preserve">qiac </t>
  </si>
  <si>
    <t xml:space="preserve">qiad </t>
  </si>
  <si>
    <t xml:space="preserve">qiae </t>
  </si>
  <si>
    <t xml:space="preserve">qiaf </t>
  </si>
  <si>
    <t xml:space="preserve">qiag </t>
  </si>
  <si>
    <t xml:space="preserve">qiah </t>
  </si>
  <si>
    <t xml:space="preserve">qiai </t>
  </si>
  <si>
    <t xml:space="preserve">qiam </t>
  </si>
  <si>
    <t xml:space="preserve">qian </t>
  </si>
  <si>
    <t xml:space="preserve">qiao </t>
  </si>
  <si>
    <t xml:space="preserve">qiap </t>
  </si>
  <si>
    <t xml:space="preserve">qiaq </t>
  </si>
  <si>
    <t xml:space="preserve">qiar </t>
  </si>
  <si>
    <t>748 Bytes</t>
  </si>
  <si>
    <t xml:space="preserve">qias </t>
  </si>
  <si>
    <t xml:space="preserve">qiat </t>
  </si>
  <si>
    <t xml:space="preserve">qiau </t>
  </si>
  <si>
    <t xml:space="preserve">qiav </t>
  </si>
  <si>
    <t xml:space="preserve">qiaw </t>
  </si>
  <si>
    <t xml:space="preserve">qiax </t>
  </si>
  <si>
    <t xml:space="preserve">qiay </t>
  </si>
  <si>
    <t xml:space="preserve">qiaz </t>
  </si>
  <si>
    <t xml:space="preserve">qiba </t>
  </si>
  <si>
    <t xml:space="preserve">qibb </t>
  </si>
  <si>
    <t xml:space="preserve">qibc </t>
  </si>
  <si>
    <t xml:space="preserve">qibd </t>
  </si>
  <si>
    <t xml:space="preserve">qibe </t>
  </si>
  <si>
    <t xml:space="preserve">qibf </t>
  </si>
  <si>
    <t xml:space="preserve">qibg </t>
  </si>
  <si>
    <t xml:space="preserve">qibh </t>
  </si>
  <si>
    <t xml:space="preserve">qibi </t>
  </si>
  <si>
    <t xml:space="preserve">qjaa </t>
  </si>
  <si>
    <t>Northern Crater - Hatchery</t>
  </si>
  <si>
    <t xml:space="preserve">qjab </t>
  </si>
  <si>
    <t xml:space="preserve">qjac </t>
  </si>
  <si>
    <t xml:space="preserve">qjad </t>
  </si>
  <si>
    <t xml:space="preserve">qjae </t>
  </si>
  <si>
    <t xml:space="preserve">qjaf </t>
  </si>
  <si>
    <t xml:space="preserve">qjag </t>
  </si>
  <si>
    <t xml:space="preserve">qjah </t>
  </si>
  <si>
    <t xml:space="preserve">qjai </t>
  </si>
  <si>
    <t xml:space="preserve">qjaj </t>
  </si>
  <si>
    <t xml:space="preserve">qjam </t>
  </si>
  <si>
    <t xml:space="preserve">qjan </t>
  </si>
  <si>
    <t xml:space="preserve">qjao </t>
  </si>
  <si>
    <t xml:space="preserve">qjap </t>
  </si>
  <si>
    <t xml:space="preserve">qjaq </t>
  </si>
  <si>
    <t xml:space="preserve">qjar </t>
  </si>
  <si>
    <t xml:space="preserve">qjas </t>
  </si>
  <si>
    <t xml:space="preserve">qjat </t>
  </si>
  <si>
    <t xml:space="preserve">qjau </t>
  </si>
  <si>
    <t xml:space="preserve">qjav </t>
  </si>
  <si>
    <t xml:space="preserve">qjaw </t>
  </si>
  <si>
    <t xml:space="preserve">qjax </t>
  </si>
  <si>
    <t xml:space="preserve">qkaa </t>
  </si>
  <si>
    <t>Northern Crater - Water Area</t>
  </si>
  <si>
    <t xml:space="preserve">qkab </t>
  </si>
  <si>
    <t xml:space="preserve">qkac </t>
  </si>
  <si>
    <t xml:space="preserve">qkad </t>
  </si>
  <si>
    <t xml:space="preserve">qkae </t>
  </si>
  <si>
    <t xml:space="preserve">qkaf </t>
  </si>
  <si>
    <t xml:space="preserve">qkag </t>
  </si>
  <si>
    <t xml:space="preserve">qkah </t>
  </si>
  <si>
    <t xml:space="preserve">qkai </t>
  </si>
  <si>
    <t xml:space="preserve">qkaj </t>
  </si>
  <si>
    <t xml:space="preserve">qkam </t>
  </si>
  <si>
    <t xml:space="preserve">qkan </t>
  </si>
  <si>
    <t xml:space="preserve">qkao </t>
  </si>
  <si>
    <t xml:space="preserve">qkap </t>
  </si>
  <si>
    <t xml:space="preserve">qkaq </t>
  </si>
  <si>
    <t xml:space="preserve">qkar </t>
  </si>
  <si>
    <t xml:space="preserve">qkas </t>
  </si>
  <si>
    <t xml:space="preserve">qkat </t>
  </si>
  <si>
    <t xml:space="preserve">qkau </t>
  </si>
  <si>
    <t xml:space="preserve">qkav </t>
  </si>
  <si>
    <t xml:space="preserve">qkaw </t>
  </si>
  <si>
    <t xml:space="preserve">qkax </t>
  </si>
  <si>
    <t xml:space="preserve">qlaa </t>
  </si>
  <si>
    <t>Safer Battle</t>
  </si>
  <si>
    <t xml:space="preserve">qlab </t>
  </si>
  <si>
    <t xml:space="preserve">qlac </t>
  </si>
  <si>
    <t xml:space="preserve">qlad </t>
  </si>
  <si>
    <t xml:space="preserve">qlae </t>
  </si>
  <si>
    <t xml:space="preserve">qlam </t>
  </si>
  <si>
    <t xml:space="preserve">qlan </t>
  </si>
  <si>
    <t xml:space="preserve">qlao </t>
  </si>
  <si>
    <t xml:space="preserve">qlap </t>
  </si>
  <si>
    <t xml:space="preserve">qlaq </t>
  </si>
  <si>
    <t xml:space="preserve">qlar </t>
  </si>
  <si>
    <t xml:space="preserve">qlas </t>
  </si>
  <si>
    <t xml:space="preserve">qlat </t>
  </si>
  <si>
    <t xml:space="preserve">qmaa </t>
  </si>
  <si>
    <t>Kalm Flashback - Dragon Battle</t>
  </si>
  <si>
    <t xml:space="preserve">qmab </t>
  </si>
  <si>
    <t xml:space="preserve">qmac </t>
  </si>
  <si>
    <t xml:space="preserve">qmad </t>
  </si>
  <si>
    <t xml:space="preserve">qmae </t>
  </si>
  <si>
    <t xml:space="preserve">qmaf </t>
  </si>
  <si>
    <t xml:space="preserve">qmag </t>
  </si>
  <si>
    <t xml:space="preserve">qmah </t>
  </si>
  <si>
    <t xml:space="preserve">qmai </t>
  </si>
  <si>
    <t xml:space="preserve">qmam </t>
  </si>
  <si>
    <t xml:space="preserve">qman </t>
  </si>
  <si>
    <t xml:space="preserve">qmao </t>
  </si>
  <si>
    <t xml:space="preserve">qmap </t>
  </si>
  <si>
    <t xml:space="preserve">qmaq </t>
  </si>
  <si>
    <t xml:space="preserve">qmar </t>
  </si>
  <si>
    <t xml:space="preserve">qmas </t>
  </si>
  <si>
    <t xml:space="preserve">qmat </t>
  </si>
  <si>
    <t xml:space="preserve">qmau </t>
  </si>
  <si>
    <t xml:space="preserve">qmav </t>
  </si>
  <si>
    <t xml:space="preserve">qmaw </t>
  </si>
  <si>
    <t xml:space="preserve">qmax </t>
  </si>
  <si>
    <t xml:space="preserve">qnaa </t>
  </si>
  <si>
    <t>Junon Underwater Pipe</t>
  </si>
  <si>
    <t xml:space="preserve">qnab </t>
  </si>
  <si>
    <t xml:space="preserve">qnac </t>
  </si>
  <si>
    <t xml:space="preserve">qnad </t>
  </si>
  <si>
    <t xml:space="preserve">qnae </t>
  </si>
  <si>
    <t xml:space="preserve">qnaf </t>
  </si>
  <si>
    <t xml:space="preserve">qnag </t>
  </si>
  <si>
    <t xml:space="preserve">qnah </t>
  </si>
  <si>
    <t xml:space="preserve">qnai </t>
  </si>
  <si>
    <t xml:space="preserve">qnam </t>
  </si>
  <si>
    <t xml:space="preserve">qnan </t>
  </si>
  <si>
    <t xml:space="preserve">qnao </t>
  </si>
  <si>
    <t xml:space="preserve">qnap </t>
  </si>
  <si>
    <t xml:space="preserve">qnaq </t>
  </si>
  <si>
    <t xml:space="preserve">qnar </t>
  </si>
  <si>
    <t xml:space="preserve">qnas </t>
  </si>
  <si>
    <t xml:space="preserve">qnat </t>
  </si>
  <si>
    <t xml:space="preserve">qnau </t>
  </si>
  <si>
    <t xml:space="preserve">qnav </t>
  </si>
  <si>
    <t xml:space="preserve">qnaw </t>
  </si>
  <si>
    <t xml:space="preserve">qnax </t>
  </si>
  <si>
    <t xml:space="preserve">qoaa </t>
  </si>
  <si>
    <t xml:space="preserve">qoab </t>
  </si>
  <si>
    <t xml:space="preserve">qoac </t>
  </si>
  <si>
    <t xml:space="preserve">qoam </t>
  </si>
  <si>
    <t xml:space="preserve">qoan </t>
  </si>
  <si>
    <t xml:space="preserve">qoao </t>
  </si>
  <si>
    <t xml:space="preserve">qoap </t>
  </si>
  <si>
    <t xml:space="preserve">qpaa </t>
  </si>
  <si>
    <t xml:space="preserve">qpab </t>
  </si>
  <si>
    <t xml:space="preserve">qpac </t>
  </si>
  <si>
    <t xml:space="preserve">qpad </t>
  </si>
  <si>
    <t xml:space="preserve">qpae </t>
  </si>
  <si>
    <t xml:space="preserve">qpaf </t>
  </si>
  <si>
    <t xml:space="preserve">qpag </t>
  </si>
  <si>
    <t xml:space="preserve">qpah </t>
  </si>
  <si>
    <t xml:space="preserve">qpam </t>
  </si>
  <si>
    <t xml:space="preserve">qpan </t>
  </si>
  <si>
    <t xml:space="preserve">qpao </t>
  </si>
  <si>
    <t xml:space="preserve">qpap </t>
  </si>
  <si>
    <t xml:space="preserve">qpaq </t>
  </si>
  <si>
    <t xml:space="preserve">qpar </t>
  </si>
  <si>
    <t xml:space="preserve">qpas </t>
  </si>
  <si>
    <t xml:space="preserve">qpat </t>
  </si>
  <si>
    <t xml:space="preserve">qpau </t>
  </si>
  <si>
    <t xml:space="preserve">qpav </t>
  </si>
  <si>
    <t xml:space="preserve">qpaw </t>
  </si>
  <si>
    <t xml:space="preserve">qqaa </t>
  </si>
  <si>
    <t>Corel Railway - Canyon</t>
  </si>
  <si>
    <t xml:space="preserve">qqab </t>
  </si>
  <si>
    <t xml:space="preserve">qqac </t>
  </si>
  <si>
    <t xml:space="preserve">qqad </t>
  </si>
  <si>
    <t xml:space="preserve">qqae </t>
  </si>
  <si>
    <t xml:space="preserve">qqaf </t>
  </si>
  <si>
    <t xml:space="preserve">qqam </t>
  </si>
  <si>
    <t xml:space="preserve">qqan </t>
  </si>
  <si>
    <t xml:space="preserve">qqao </t>
  </si>
  <si>
    <t xml:space="preserve">qqap </t>
  </si>
  <si>
    <t xml:space="preserve">qqaq </t>
  </si>
  <si>
    <t xml:space="preserve">qqar </t>
  </si>
  <si>
    <t xml:space="preserve">qraa </t>
  </si>
  <si>
    <t>Whirlwind Maze - Crater</t>
  </si>
  <si>
    <t xml:space="preserve">qrab </t>
  </si>
  <si>
    <t xml:space="preserve">qrac </t>
  </si>
  <si>
    <t xml:space="preserve">qrad </t>
  </si>
  <si>
    <t xml:space="preserve">qrae </t>
  </si>
  <si>
    <t xml:space="preserve">qraf </t>
  </si>
  <si>
    <t xml:space="preserve">qrag </t>
  </si>
  <si>
    <t xml:space="preserve">qrah </t>
  </si>
  <si>
    <t xml:space="preserve">qram </t>
  </si>
  <si>
    <t xml:space="preserve">qran </t>
  </si>
  <si>
    <t xml:space="preserve">qrao </t>
  </si>
  <si>
    <t xml:space="preserve">qrap </t>
  </si>
  <si>
    <t xml:space="preserve">qraq </t>
  </si>
  <si>
    <t xml:space="preserve">qrar </t>
  </si>
  <si>
    <t xml:space="preserve">qras </t>
  </si>
  <si>
    <t xml:space="preserve">qrat </t>
  </si>
  <si>
    <t xml:space="preserve">qsaa </t>
  </si>
  <si>
    <t>Corel Railway - Rollercoaster</t>
  </si>
  <si>
    <t xml:space="preserve">qsab </t>
  </si>
  <si>
    <t xml:space="preserve">qsac </t>
  </si>
  <si>
    <t xml:space="preserve">qsad </t>
  </si>
  <si>
    <t xml:space="preserve">qsae </t>
  </si>
  <si>
    <t xml:space="preserve">qsaf </t>
  </si>
  <si>
    <t xml:space="preserve">qsag </t>
  </si>
  <si>
    <t xml:space="preserve">qsah </t>
  </si>
  <si>
    <t xml:space="preserve">qsai </t>
  </si>
  <si>
    <t xml:space="preserve">qsam </t>
  </si>
  <si>
    <t xml:space="preserve">qsan </t>
  </si>
  <si>
    <t xml:space="preserve">qsao </t>
  </si>
  <si>
    <t xml:space="preserve">qsap </t>
  </si>
  <si>
    <t xml:space="preserve">qsaq </t>
  </si>
  <si>
    <t xml:space="preserve">qsar </t>
  </si>
  <si>
    <t xml:space="preserve">qsas </t>
  </si>
  <si>
    <t xml:space="preserve">qsat </t>
  </si>
  <si>
    <t xml:space="preserve">qsau </t>
  </si>
  <si>
    <t xml:space="preserve">qsav </t>
  </si>
  <si>
    <t xml:space="preserve">qsaw </t>
  </si>
  <si>
    <t xml:space="preserve">qtaa </t>
  </si>
  <si>
    <t>Wooden Bridge</t>
  </si>
  <si>
    <t xml:space="preserve">qtab </t>
  </si>
  <si>
    <t xml:space="preserve">qtac </t>
  </si>
  <si>
    <t xml:space="preserve">qtad </t>
  </si>
  <si>
    <t xml:space="preserve">qtae </t>
  </si>
  <si>
    <t xml:space="preserve">qtaf </t>
  </si>
  <si>
    <t xml:space="preserve">qtag </t>
  </si>
  <si>
    <t xml:space="preserve">qtah </t>
  </si>
  <si>
    <t xml:space="preserve">qtai </t>
  </si>
  <si>
    <t xml:space="preserve">qtam </t>
  </si>
  <si>
    <t>35 K</t>
  </si>
  <si>
    <t xml:space="preserve">qtan </t>
  </si>
  <si>
    <t xml:space="preserve">qtao </t>
  </si>
  <si>
    <t xml:space="preserve">qtap </t>
  </si>
  <si>
    <t xml:space="preserve">qtaq </t>
  </si>
  <si>
    <t xml:space="preserve">qtar </t>
  </si>
  <si>
    <t xml:space="preserve">qtas </t>
  </si>
  <si>
    <t xml:space="preserve">qtat </t>
  </si>
  <si>
    <t xml:space="preserve">qtau </t>
  </si>
  <si>
    <t xml:space="preserve">qtav </t>
  </si>
  <si>
    <t xml:space="preserve">qtaw </t>
  </si>
  <si>
    <t xml:space="preserve">qtax </t>
  </si>
  <si>
    <t xml:space="preserve">quaa </t>
  </si>
  <si>
    <t>Da Chao</t>
  </si>
  <si>
    <t xml:space="preserve">quab </t>
  </si>
  <si>
    <t xml:space="preserve">quac </t>
  </si>
  <si>
    <t xml:space="preserve">quad </t>
  </si>
  <si>
    <t xml:space="preserve">quae </t>
  </si>
  <si>
    <t xml:space="preserve">quaf </t>
  </si>
  <si>
    <t xml:space="preserve">quag </t>
  </si>
  <si>
    <t xml:space="preserve">quah </t>
  </si>
  <si>
    <t xml:space="preserve">quai </t>
  </si>
  <si>
    <t xml:space="preserve">quam </t>
  </si>
  <si>
    <t xml:space="preserve">quan </t>
  </si>
  <si>
    <t xml:space="preserve">quao </t>
  </si>
  <si>
    <t xml:space="preserve">quap </t>
  </si>
  <si>
    <t xml:space="preserve">quaq </t>
  </si>
  <si>
    <t xml:space="preserve">quar </t>
  </si>
  <si>
    <t xml:space="preserve">quas </t>
  </si>
  <si>
    <t xml:space="preserve">quat </t>
  </si>
  <si>
    <t xml:space="preserve">quau </t>
  </si>
  <si>
    <t xml:space="preserve">quav </t>
  </si>
  <si>
    <t xml:space="preserve">quaw </t>
  </si>
  <si>
    <t xml:space="preserve">quax </t>
  </si>
  <si>
    <t xml:space="preserve">qvaa </t>
  </si>
  <si>
    <t>Fort Condor</t>
  </si>
  <si>
    <t xml:space="preserve">qvab </t>
  </si>
  <si>
    <t xml:space="preserve">qvac </t>
  </si>
  <si>
    <t xml:space="preserve">qvad </t>
  </si>
  <si>
    <t xml:space="preserve">qvae </t>
  </si>
  <si>
    <t xml:space="preserve">qvaf </t>
  </si>
  <si>
    <t xml:space="preserve">qvag </t>
  </si>
  <si>
    <t xml:space="preserve">qvah </t>
  </si>
  <si>
    <t xml:space="preserve">qvai </t>
  </si>
  <si>
    <t xml:space="preserve">qvaj </t>
  </si>
  <si>
    <t xml:space="preserve">qvam </t>
  </si>
  <si>
    <t xml:space="preserve">qvan </t>
  </si>
  <si>
    <t xml:space="preserve">qvao </t>
  </si>
  <si>
    <t xml:space="preserve">qvap </t>
  </si>
  <si>
    <t xml:space="preserve">qvaq </t>
  </si>
  <si>
    <t xml:space="preserve">qvar </t>
  </si>
  <si>
    <t xml:space="preserve">qvas </t>
  </si>
  <si>
    <t xml:space="preserve">qvat </t>
  </si>
  <si>
    <t xml:space="preserve">qvau </t>
  </si>
  <si>
    <t xml:space="preserve">qvav </t>
  </si>
  <si>
    <t xml:space="preserve">qvaw </t>
  </si>
  <si>
    <t xml:space="preserve">qvax </t>
  </si>
  <si>
    <t xml:space="preserve">qvay </t>
  </si>
  <si>
    <t xml:space="preserve">qvaz </t>
  </si>
  <si>
    <t xml:space="preserve">qvba </t>
  </si>
  <si>
    <t>Dirt Wasteland</t>
  </si>
  <si>
    <t xml:space="preserve">qvbb </t>
  </si>
  <si>
    <t xml:space="preserve">qvbc </t>
  </si>
  <si>
    <t xml:space="preserve">qvbd </t>
  </si>
  <si>
    <t xml:space="preserve">qvbe </t>
  </si>
  <si>
    <t xml:space="preserve">qvbf </t>
  </si>
  <si>
    <t xml:space="preserve">qwaa </t>
  </si>
  <si>
    <t>Bizarro Battle - Right Side</t>
  </si>
  <si>
    <t xml:space="preserve">qwab </t>
  </si>
  <si>
    <t xml:space="preserve">qwac </t>
  </si>
  <si>
    <t xml:space="preserve">qwad </t>
  </si>
  <si>
    <t xml:space="preserve">qwae </t>
  </si>
  <si>
    <t xml:space="preserve">qwaf </t>
  </si>
  <si>
    <t xml:space="preserve">qwag </t>
  </si>
  <si>
    <t xml:space="preserve">qwah </t>
  </si>
  <si>
    <t xml:space="preserve">qwai </t>
  </si>
  <si>
    <t xml:space="preserve">qwam </t>
  </si>
  <si>
    <t xml:space="preserve">qwan </t>
  </si>
  <si>
    <t xml:space="preserve">qwao </t>
  </si>
  <si>
    <t xml:space="preserve">qwap </t>
  </si>
  <si>
    <t xml:space="preserve">qwaq </t>
  </si>
  <si>
    <t xml:space="preserve">qwar </t>
  </si>
  <si>
    <t xml:space="preserve">qwas </t>
  </si>
  <si>
    <t xml:space="preserve">qwat </t>
  </si>
  <si>
    <t xml:space="preserve">qwau </t>
  </si>
  <si>
    <t xml:space="preserve">qwav </t>
  </si>
  <si>
    <t xml:space="preserve">qwaw </t>
  </si>
  <si>
    <t xml:space="preserve">qwax </t>
  </si>
  <si>
    <t xml:space="preserve">qway </t>
  </si>
  <si>
    <t xml:space="preserve">qwaz </t>
  </si>
  <si>
    <t xml:space="preserve">qwba </t>
  </si>
  <si>
    <t xml:space="preserve">qwbb </t>
  </si>
  <si>
    <t xml:space="preserve">qwbc </t>
  </si>
  <si>
    <t xml:space="preserve">qwbd </t>
  </si>
  <si>
    <t xml:space="preserve">qwbe </t>
  </si>
  <si>
    <t xml:space="preserve">qwbf </t>
  </si>
  <si>
    <t xml:space="preserve">qwbg </t>
  </si>
  <si>
    <t xml:space="preserve">qwbh </t>
  </si>
  <si>
    <t xml:space="preserve">qxaa </t>
  </si>
  <si>
    <t>Bizarro Battle - Left Side</t>
  </si>
  <si>
    <t xml:space="preserve">qxab </t>
  </si>
  <si>
    <t xml:space="preserve">qxac </t>
  </si>
  <si>
    <t xml:space="preserve">qxad </t>
  </si>
  <si>
    <t xml:space="preserve">qxae </t>
  </si>
  <si>
    <t xml:space="preserve">qxaf </t>
  </si>
  <si>
    <t xml:space="preserve">qxag </t>
  </si>
  <si>
    <t xml:space="preserve">qxah </t>
  </si>
  <si>
    <t xml:space="preserve">qxai </t>
  </si>
  <si>
    <t xml:space="preserve">qxam </t>
  </si>
  <si>
    <t xml:space="preserve">qxan </t>
  </si>
  <si>
    <t xml:space="preserve">qxao </t>
  </si>
  <si>
    <t xml:space="preserve">qxap </t>
  </si>
  <si>
    <t xml:space="preserve">qxaq </t>
  </si>
  <si>
    <t xml:space="preserve">qxar </t>
  </si>
  <si>
    <t xml:space="preserve">qxas </t>
  </si>
  <si>
    <t xml:space="preserve">qxat </t>
  </si>
  <si>
    <t xml:space="preserve">qxau </t>
  </si>
  <si>
    <t xml:space="preserve">qxav </t>
  </si>
  <si>
    <t xml:space="preserve">qxaw </t>
  </si>
  <si>
    <t xml:space="preserve">qxax </t>
  </si>
  <si>
    <t xml:space="preserve">qxay </t>
  </si>
  <si>
    <t xml:space="preserve">qxaz </t>
  </si>
  <si>
    <t xml:space="preserve">qxba </t>
  </si>
  <si>
    <t xml:space="preserve">qxbb </t>
  </si>
  <si>
    <t xml:space="preserve">qxbc </t>
  </si>
  <si>
    <t xml:space="preserve">qxbd </t>
  </si>
  <si>
    <t xml:space="preserve">qxbe </t>
  </si>
  <si>
    <t xml:space="preserve">qxbf </t>
  </si>
  <si>
    <t xml:space="preserve">qxbg </t>
  </si>
  <si>
    <t xml:space="preserve">qyaa </t>
  </si>
  <si>
    <t>Jenova*SYNTHESIS Battle</t>
  </si>
  <si>
    <t xml:space="preserve">qyab </t>
  </si>
  <si>
    <t xml:space="preserve">qyac </t>
  </si>
  <si>
    <t xml:space="preserve">qyad </t>
  </si>
  <si>
    <t xml:space="preserve">qyae </t>
  </si>
  <si>
    <t xml:space="preserve">qyaf </t>
  </si>
  <si>
    <t xml:space="preserve">qyag </t>
  </si>
  <si>
    <t xml:space="preserve">qyah </t>
  </si>
  <si>
    <t xml:space="preserve">qyam </t>
  </si>
  <si>
    <t xml:space="preserve">qyan </t>
  </si>
  <si>
    <t xml:space="preserve">qyao </t>
  </si>
  <si>
    <t xml:space="preserve">qyap </t>
  </si>
  <si>
    <t xml:space="preserve">qyaq </t>
  </si>
  <si>
    <t xml:space="preserve">qyar </t>
  </si>
  <si>
    <t xml:space="preserve">qyas </t>
  </si>
  <si>
    <t xml:space="preserve">qyat </t>
  </si>
  <si>
    <t xml:space="preserve">qyau </t>
  </si>
  <si>
    <t xml:space="preserve">qyav </t>
  </si>
  <si>
    <t xml:space="preserve">qyaw </t>
  </si>
  <si>
    <t xml:space="preserve">qyax </t>
  </si>
  <si>
    <t xml:space="preserve">qyay </t>
  </si>
  <si>
    <t xml:space="preserve">qyaz </t>
  </si>
  <si>
    <t xml:space="preserve">qyba </t>
  </si>
  <si>
    <t xml:space="preserve">qybb </t>
  </si>
  <si>
    <t xml:space="preserve">qybc </t>
  </si>
  <si>
    <t xml:space="preserve">qybd </t>
  </si>
  <si>
    <t xml:space="preserve">qybe </t>
  </si>
  <si>
    <t xml:space="preserve">qybf </t>
  </si>
  <si>
    <t xml:space="preserve">qybg </t>
  </si>
  <si>
    <t xml:space="preserve">qybh </t>
  </si>
  <si>
    <t xml:space="preserve">qybi </t>
  </si>
  <si>
    <t xml:space="preserve">qybj </t>
  </si>
  <si>
    <t xml:space="preserve">qzaa </t>
  </si>
  <si>
    <t>Corel Train Battle</t>
  </si>
  <si>
    <t xml:space="preserve">qzab </t>
  </si>
  <si>
    <t xml:space="preserve">qzac </t>
  </si>
  <si>
    <t xml:space="preserve">qzad </t>
  </si>
  <si>
    <t xml:space="preserve">qzae </t>
  </si>
  <si>
    <t xml:space="preserve">qzaf </t>
  </si>
  <si>
    <t xml:space="preserve">qzag </t>
  </si>
  <si>
    <t xml:space="preserve">qzah </t>
  </si>
  <si>
    <t xml:space="preserve">qzai </t>
  </si>
  <si>
    <t xml:space="preserve">qzam </t>
  </si>
  <si>
    <t xml:space="preserve">qzan </t>
  </si>
  <si>
    <t xml:space="preserve">qzao </t>
  </si>
  <si>
    <t xml:space="preserve">qzap </t>
  </si>
  <si>
    <t xml:space="preserve">qzaq </t>
  </si>
  <si>
    <t xml:space="preserve">qzar </t>
  </si>
  <si>
    <t xml:space="preserve">qzas </t>
  </si>
  <si>
    <t xml:space="preserve">qzat </t>
  </si>
  <si>
    <t xml:space="preserve">qzau </t>
  </si>
  <si>
    <t xml:space="preserve">qzav </t>
  </si>
  <si>
    <t xml:space="preserve">qzaw </t>
  </si>
  <si>
    <t xml:space="preserve">raaa </t>
  </si>
  <si>
    <t xml:space="preserve">raab </t>
  </si>
  <si>
    <t xml:space="preserve">raac </t>
  </si>
  <si>
    <t xml:space="preserve">raad </t>
  </si>
  <si>
    <t xml:space="preserve">raae </t>
  </si>
  <si>
    <t xml:space="preserve">raaf </t>
  </si>
  <si>
    <t xml:space="preserve">raag </t>
  </si>
  <si>
    <t xml:space="preserve">raah </t>
  </si>
  <si>
    <t xml:space="preserve">raai </t>
  </si>
  <si>
    <t xml:space="preserve">raaj </t>
  </si>
  <si>
    <t xml:space="preserve">raam </t>
  </si>
  <si>
    <t xml:space="preserve">raan </t>
  </si>
  <si>
    <t xml:space="preserve">raao </t>
  </si>
  <si>
    <t xml:space="preserve">raap </t>
  </si>
  <si>
    <t xml:space="preserve">raaq </t>
  </si>
  <si>
    <t xml:space="preserve">raar </t>
  </si>
  <si>
    <t xml:space="preserve">raas </t>
  </si>
  <si>
    <t xml:space="preserve">raat </t>
  </si>
  <si>
    <t xml:space="preserve">raau </t>
  </si>
  <si>
    <t xml:space="preserve">raav </t>
  </si>
  <si>
    <t xml:space="preserve">raaw </t>
  </si>
  <si>
    <t xml:space="preserve">raax </t>
  </si>
  <si>
    <t xml:space="preserve">raay </t>
  </si>
  <si>
    <t xml:space="preserve">raaz </t>
  </si>
  <si>
    <t xml:space="preserve">raba </t>
  </si>
  <si>
    <t xml:space="preserve">rabb </t>
  </si>
  <si>
    <t xml:space="preserve">rabc </t>
  </si>
  <si>
    <t xml:space="preserve">rabd </t>
  </si>
  <si>
    <t xml:space="preserve">rabe </t>
  </si>
  <si>
    <t xml:space="preserve">rabf </t>
  </si>
  <si>
    <t xml:space="preserve">rabg </t>
  </si>
  <si>
    <t xml:space="preserve">rabh </t>
  </si>
  <si>
    <t xml:space="preserve">rabi </t>
  </si>
  <si>
    <t xml:space="preserve">rabj </t>
  </si>
  <si>
    <t xml:space="preserve">rabk </t>
  </si>
  <si>
    <t xml:space="preserve">rabl </t>
  </si>
  <si>
    <t xml:space="preserve">rabm </t>
  </si>
  <si>
    <t xml:space="preserve">rabn </t>
  </si>
  <si>
    <t>844 Bytes</t>
  </si>
  <si>
    <t xml:space="preserve">rabo </t>
  </si>
  <si>
    <t>684 Bytes</t>
  </si>
  <si>
    <t xml:space="preserve">rbaa </t>
  </si>
  <si>
    <t>Caverns of the Gi</t>
  </si>
  <si>
    <t xml:space="preserve">rbab </t>
  </si>
  <si>
    <t xml:space="preserve">rbac </t>
  </si>
  <si>
    <t xml:space="preserve">rbad </t>
  </si>
  <si>
    <t xml:space="preserve">rbae </t>
  </si>
  <si>
    <t xml:space="preserve">rbaf </t>
  </si>
  <si>
    <t xml:space="preserve">rbag </t>
  </si>
  <si>
    <t xml:space="preserve">rbah </t>
  </si>
  <si>
    <t xml:space="preserve">rbai </t>
  </si>
  <si>
    <t xml:space="preserve">rbaj </t>
  </si>
  <si>
    <t xml:space="preserve">rbam </t>
  </si>
  <si>
    <t xml:space="preserve">rban </t>
  </si>
  <si>
    <t xml:space="preserve">rbao </t>
  </si>
  <si>
    <t xml:space="preserve">rbap </t>
  </si>
  <si>
    <t xml:space="preserve">rbaq </t>
  </si>
  <si>
    <t xml:space="preserve">rbar </t>
  </si>
  <si>
    <t xml:space="preserve">rbas </t>
  </si>
  <si>
    <t xml:space="preserve">rbat </t>
  </si>
  <si>
    <t xml:space="preserve">rbau </t>
  </si>
  <si>
    <t xml:space="preserve">rbav </t>
  </si>
  <si>
    <t xml:space="preserve">rbaw </t>
  </si>
  <si>
    <t xml:space="preserve">rbax </t>
  </si>
  <si>
    <t xml:space="preserve">rbay </t>
  </si>
  <si>
    <t xml:space="preserve">rbaz </t>
  </si>
  <si>
    <t xml:space="preserve">rcaa </t>
  </si>
  <si>
    <t>Nibelheim Mansion Basement</t>
  </si>
  <si>
    <t xml:space="preserve">rcab </t>
  </si>
  <si>
    <t xml:space="preserve">rcac </t>
  </si>
  <si>
    <t xml:space="preserve">rcad </t>
  </si>
  <si>
    <t xml:space="preserve">rcae </t>
  </si>
  <si>
    <t xml:space="preserve">rcaf </t>
  </si>
  <si>
    <t xml:space="preserve">rcag </t>
  </si>
  <si>
    <t xml:space="preserve">rcah </t>
  </si>
  <si>
    <t xml:space="preserve">rcai </t>
  </si>
  <si>
    <t xml:space="preserve">rcaj </t>
  </si>
  <si>
    <t xml:space="preserve">rcam </t>
  </si>
  <si>
    <t xml:space="preserve">rcan </t>
  </si>
  <si>
    <t xml:space="preserve">rcao </t>
  </si>
  <si>
    <t xml:space="preserve">rcap </t>
  </si>
  <si>
    <t xml:space="preserve">rcaq </t>
  </si>
  <si>
    <t xml:space="preserve">rcar </t>
  </si>
  <si>
    <t xml:space="preserve">rcas </t>
  </si>
  <si>
    <t xml:space="preserve">rcat </t>
  </si>
  <si>
    <t xml:space="preserve">rcau </t>
  </si>
  <si>
    <t xml:space="preserve">rcav </t>
  </si>
  <si>
    <t xml:space="preserve">rcaw </t>
  </si>
  <si>
    <t xml:space="preserve">rcax </t>
  </si>
  <si>
    <t xml:space="preserve">rcay </t>
  </si>
  <si>
    <t xml:space="preserve">rcaz </t>
  </si>
  <si>
    <t xml:space="preserve">rcba </t>
  </si>
  <si>
    <t xml:space="preserve">rcbb </t>
  </si>
  <si>
    <t xml:space="preserve">rcbc </t>
  </si>
  <si>
    <t xml:space="preserve">rcbd </t>
  </si>
  <si>
    <t xml:space="preserve">rcbe </t>
  </si>
  <si>
    <t xml:space="preserve">rdaa </t>
  </si>
  <si>
    <t>Temple of the Ancients - Demons Gate</t>
  </si>
  <si>
    <t xml:space="preserve">rdab </t>
  </si>
  <si>
    <t xml:space="preserve">rdac </t>
  </si>
  <si>
    <t xml:space="preserve">rdad </t>
  </si>
  <si>
    <t xml:space="preserve">rdae </t>
  </si>
  <si>
    <t xml:space="preserve">rdaf </t>
  </si>
  <si>
    <t xml:space="preserve">rdag </t>
  </si>
  <si>
    <t xml:space="preserve">rdam </t>
  </si>
  <si>
    <t xml:space="preserve">rdan </t>
  </si>
  <si>
    <t xml:space="preserve">rdao </t>
  </si>
  <si>
    <t xml:space="preserve">rdap </t>
  </si>
  <si>
    <t xml:space="preserve">rdaq </t>
  </si>
  <si>
    <t xml:space="preserve">rdar </t>
  </si>
  <si>
    <t xml:space="preserve">rdas </t>
  </si>
  <si>
    <t xml:space="preserve">rdat </t>
  </si>
  <si>
    <t xml:space="preserve">rdau </t>
  </si>
  <si>
    <t xml:space="preserve">rdav </t>
  </si>
  <si>
    <t xml:space="preserve">rdaw </t>
  </si>
  <si>
    <t xml:space="preserve">rdax </t>
  </si>
  <si>
    <t xml:space="preserve">rday </t>
  </si>
  <si>
    <t xml:space="preserve">reaa </t>
  </si>
  <si>
    <t>Temple of the Ancients - Mural Room</t>
  </si>
  <si>
    <t xml:space="preserve">reab </t>
  </si>
  <si>
    <t xml:space="preserve">reac </t>
  </si>
  <si>
    <t xml:space="preserve">read </t>
  </si>
  <si>
    <t xml:space="preserve">reae </t>
  </si>
  <si>
    <t xml:space="preserve">reaf </t>
  </si>
  <si>
    <t xml:space="preserve">reag </t>
  </si>
  <si>
    <t xml:space="preserve">reah </t>
  </si>
  <si>
    <t xml:space="preserve">ream </t>
  </si>
  <si>
    <t xml:space="preserve">rean </t>
  </si>
  <si>
    <t xml:space="preserve">reao </t>
  </si>
  <si>
    <t xml:space="preserve">reap </t>
  </si>
  <si>
    <t xml:space="preserve">reaq </t>
  </si>
  <si>
    <t xml:space="preserve">rear </t>
  </si>
  <si>
    <t xml:space="preserve">reas </t>
  </si>
  <si>
    <t xml:space="preserve">reat </t>
  </si>
  <si>
    <t xml:space="preserve">reau </t>
  </si>
  <si>
    <t xml:space="preserve">reav </t>
  </si>
  <si>
    <t xml:space="preserve">reaw </t>
  </si>
  <si>
    <t xml:space="preserve">reax </t>
  </si>
  <si>
    <t xml:space="preserve">reay </t>
  </si>
  <si>
    <t xml:space="preserve">reaz </t>
  </si>
  <si>
    <t xml:space="preserve">rfaa </t>
  </si>
  <si>
    <t>Temple of the Ancients - Clock Passage</t>
  </si>
  <si>
    <t xml:space="preserve">rfab </t>
  </si>
  <si>
    <t xml:space="preserve">rfac </t>
  </si>
  <si>
    <t xml:space="preserve">rfad </t>
  </si>
  <si>
    <t xml:space="preserve">rfae </t>
  </si>
  <si>
    <t xml:space="preserve">rfaf </t>
  </si>
  <si>
    <t xml:space="preserve">rfag </t>
  </si>
  <si>
    <t xml:space="preserve">rfam </t>
  </si>
  <si>
    <t xml:space="preserve">rfan </t>
  </si>
  <si>
    <t xml:space="preserve">rfao </t>
  </si>
  <si>
    <t xml:space="preserve">rfap </t>
  </si>
  <si>
    <t xml:space="preserve">rfaq </t>
  </si>
  <si>
    <t xml:space="preserve">rfar </t>
  </si>
  <si>
    <t xml:space="preserve">rfas </t>
  </si>
  <si>
    <t xml:space="preserve">rfat </t>
  </si>
  <si>
    <t xml:space="preserve">rfau </t>
  </si>
  <si>
    <t xml:space="preserve">rfav </t>
  </si>
  <si>
    <t xml:space="preserve">rfaw </t>
  </si>
  <si>
    <t xml:space="preserve">rfax </t>
  </si>
  <si>
    <t xml:space="preserve">rfay </t>
  </si>
  <si>
    <t xml:space="preserve">rgaa </t>
  </si>
  <si>
    <t>Final Battle - Sephiroth</t>
  </si>
  <si>
    <t xml:space="preserve">rgab </t>
  </si>
  <si>
    <t xml:space="preserve">rgac </t>
  </si>
  <si>
    <t xml:space="preserve">rgad </t>
  </si>
  <si>
    <t xml:space="preserve">rgae </t>
  </si>
  <si>
    <t xml:space="preserve">rgaf </t>
  </si>
  <si>
    <t xml:space="preserve">rgam </t>
  </si>
  <si>
    <t xml:space="preserve">rgan </t>
  </si>
  <si>
    <t xml:space="preserve">rgao </t>
  </si>
  <si>
    <t xml:space="preserve">rgap </t>
  </si>
  <si>
    <t xml:space="preserve">rgaq </t>
  </si>
  <si>
    <t xml:space="preserve">rgar </t>
  </si>
  <si>
    <t xml:space="preserve">rgas </t>
  </si>
  <si>
    <t xml:space="preserve">rhaa </t>
  </si>
  <si>
    <t>Jungle</t>
  </si>
  <si>
    <t xml:space="preserve">rhab </t>
  </si>
  <si>
    <t xml:space="preserve">rhac </t>
  </si>
  <si>
    <t xml:space="preserve">rhad </t>
  </si>
  <si>
    <t xml:space="preserve">rhae </t>
  </si>
  <si>
    <t xml:space="preserve">rhaf </t>
  </si>
  <si>
    <t xml:space="preserve">rhag </t>
  </si>
  <si>
    <t xml:space="preserve">rhah </t>
  </si>
  <si>
    <t xml:space="preserve">rhai </t>
  </si>
  <si>
    <t xml:space="preserve">rhaj </t>
  </si>
  <si>
    <t xml:space="preserve">rham </t>
  </si>
  <si>
    <t xml:space="preserve">rhan </t>
  </si>
  <si>
    <t xml:space="preserve">rhao </t>
  </si>
  <si>
    <t xml:space="preserve">rhap </t>
  </si>
  <si>
    <t xml:space="preserve">rhaq </t>
  </si>
  <si>
    <t xml:space="preserve">rhar </t>
  </si>
  <si>
    <t xml:space="preserve">rhas </t>
  </si>
  <si>
    <t xml:space="preserve">rhat </t>
  </si>
  <si>
    <t xml:space="preserve">rhau </t>
  </si>
  <si>
    <t xml:space="preserve">rhav </t>
  </si>
  <si>
    <t xml:space="preserve">rhaw </t>
  </si>
  <si>
    <t xml:space="preserve">rhax </t>
  </si>
  <si>
    <t xml:space="preserve">rhay </t>
  </si>
  <si>
    <t xml:space="preserve">rhaz </t>
  </si>
  <si>
    <t xml:space="preserve">rhba </t>
  </si>
  <si>
    <t xml:space="preserve">rhbb </t>
  </si>
  <si>
    <t xml:space="preserve">riaa </t>
  </si>
  <si>
    <t>Ultimate Weapon - Battle on Highwind</t>
  </si>
  <si>
    <t xml:space="preserve">riab </t>
  </si>
  <si>
    <t xml:space="preserve">riac </t>
  </si>
  <si>
    <t xml:space="preserve">riad </t>
  </si>
  <si>
    <t xml:space="preserve">riae </t>
  </si>
  <si>
    <t xml:space="preserve">riaf </t>
  </si>
  <si>
    <t xml:space="preserve">riag </t>
  </si>
  <si>
    <t xml:space="preserve">riah </t>
  </si>
  <si>
    <t xml:space="preserve">riai </t>
  </si>
  <si>
    <t xml:space="preserve">riaj </t>
  </si>
  <si>
    <t xml:space="preserve">riam </t>
  </si>
  <si>
    <t xml:space="preserve">rian </t>
  </si>
  <si>
    <t xml:space="preserve">riao </t>
  </si>
  <si>
    <t xml:space="preserve">riap </t>
  </si>
  <si>
    <t xml:space="preserve">riaq </t>
  </si>
  <si>
    <t>riar</t>
  </si>
  <si>
    <t xml:space="preserve">rias </t>
  </si>
  <si>
    <t xml:space="preserve">riat </t>
  </si>
  <si>
    <t xml:space="preserve">riau </t>
  </si>
  <si>
    <t xml:space="preserve">riav </t>
  </si>
  <si>
    <t xml:space="preserve">riaw </t>
  </si>
  <si>
    <t xml:space="preserve">riax </t>
  </si>
  <si>
    <t xml:space="preserve">riay </t>
  </si>
  <si>
    <t xml:space="preserve">rjaa </t>
  </si>
  <si>
    <t>Corel Reactor</t>
  </si>
  <si>
    <t xml:space="preserve">rjab </t>
  </si>
  <si>
    <t xml:space="preserve">rjac </t>
  </si>
  <si>
    <t xml:space="preserve">rjad </t>
  </si>
  <si>
    <t xml:space="preserve">rjae </t>
  </si>
  <si>
    <t xml:space="preserve">rjaf </t>
  </si>
  <si>
    <t xml:space="preserve">rjag </t>
  </si>
  <si>
    <t xml:space="preserve">rjah </t>
  </si>
  <si>
    <t xml:space="preserve">rjai </t>
  </si>
  <si>
    <t xml:space="preserve">rjaj </t>
  </si>
  <si>
    <t xml:space="preserve">rjam </t>
  </si>
  <si>
    <t xml:space="preserve">rjan </t>
  </si>
  <si>
    <t xml:space="preserve">rjao </t>
  </si>
  <si>
    <t xml:space="preserve">rjap </t>
  </si>
  <si>
    <t xml:space="preserve">rjaq </t>
  </si>
  <si>
    <t xml:space="preserve">rjar </t>
  </si>
  <si>
    <t xml:space="preserve">rjas </t>
  </si>
  <si>
    <t xml:space="preserve">rjat </t>
  </si>
  <si>
    <t xml:space="preserve">rjau </t>
  </si>
  <si>
    <t xml:space="preserve">rjav </t>
  </si>
  <si>
    <t xml:space="preserve">rjaw </t>
  </si>
  <si>
    <t xml:space="preserve">rjax </t>
  </si>
  <si>
    <t xml:space="preserve">rkaa </t>
  </si>
  <si>
    <t xml:space="preserve">rkab </t>
  </si>
  <si>
    <t xml:space="preserve">rkac </t>
  </si>
  <si>
    <t xml:space="preserve">rkam </t>
  </si>
  <si>
    <t xml:space="preserve">rkan </t>
  </si>
  <si>
    <t xml:space="preserve">rkao </t>
  </si>
  <si>
    <t xml:space="preserve">rkap </t>
  </si>
  <si>
    <t xml:space="preserve">rlaa </t>
  </si>
  <si>
    <t>Don Corneo's Mansion</t>
  </si>
  <si>
    <t xml:space="preserve">rlab </t>
  </si>
  <si>
    <t xml:space="preserve">rlac </t>
  </si>
  <si>
    <t xml:space="preserve">rlad </t>
  </si>
  <si>
    <t xml:space="preserve">rlae </t>
  </si>
  <si>
    <t xml:space="preserve">rlam </t>
  </si>
  <si>
    <t xml:space="preserve">rlan </t>
  </si>
  <si>
    <t xml:space="preserve">rlao </t>
  </si>
  <si>
    <t xml:space="preserve">rlap </t>
  </si>
  <si>
    <t xml:space="preserve">rlaq </t>
  </si>
  <si>
    <t xml:space="preserve">rlar </t>
  </si>
  <si>
    <t xml:space="preserve">rmaa </t>
  </si>
  <si>
    <t>Emerald Weapon Battle</t>
  </si>
  <si>
    <t xml:space="preserve">rmab </t>
  </si>
  <si>
    <t xml:space="preserve">rmac </t>
  </si>
  <si>
    <t xml:space="preserve">rmad </t>
  </si>
  <si>
    <t xml:space="preserve">rmae </t>
  </si>
  <si>
    <t xml:space="preserve">rmaf </t>
  </si>
  <si>
    <t xml:space="preserve">rmag </t>
  </si>
  <si>
    <t xml:space="preserve">rmam </t>
  </si>
  <si>
    <t xml:space="preserve">rman </t>
  </si>
  <si>
    <t xml:space="preserve">rmao </t>
  </si>
  <si>
    <t xml:space="preserve">rmap </t>
  </si>
  <si>
    <t xml:space="preserve">rmaq </t>
  </si>
  <si>
    <t xml:space="preserve">rmar </t>
  </si>
  <si>
    <t xml:space="preserve">rnaa </t>
  </si>
  <si>
    <t>Reactor 5</t>
  </si>
  <si>
    <t xml:space="preserve">rnab </t>
  </si>
  <si>
    <t xml:space="preserve">rnac </t>
  </si>
  <si>
    <t xml:space="preserve">rnad </t>
  </si>
  <si>
    <t xml:space="preserve">rnae </t>
  </si>
  <si>
    <t xml:space="preserve">rnaf </t>
  </si>
  <si>
    <t xml:space="preserve">rnag </t>
  </si>
  <si>
    <t xml:space="preserve">rnam </t>
  </si>
  <si>
    <t xml:space="preserve">rnan </t>
  </si>
  <si>
    <t xml:space="preserve">rnao </t>
  </si>
  <si>
    <t xml:space="preserve">rnap </t>
  </si>
  <si>
    <t xml:space="preserve">rnaq </t>
  </si>
  <si>
    <t xml:space="preserve">rnar </t>
  </si>
  <si>
    <t xml:space="preserve">rnas </t>
  </si>
  <si>
    <t xml:space="preserve">rnat </t>
  </si>
  <si>
    <t xml:space="preserve">rnau </t>
  </si>
  <si>
    <t xml:space="preserve">rnav </t>
  </si>
  <si>
    <t xml:space="preserve">rnaw </t>
  </si>
  <si>
    <t xml:space="preserve">rnax </t>
  </si>
  <si>
    <t xml:space="preserve">rnay </t>
  </si>
  <si>
    <t xml:space="preserve">rnaz </t>
  </si>
  <si>
    <t xml:space="preserve">rnba </t>
  </si>
  <si>
    <t xml:space="preserve">rnbb </t>
  </si>
  <si>
    <t xml:space="preserve">rnbc </t>
  </si>
  <si>
    <t xml:space="preserve">rnbd </t>
  </si>
  <si>
    <t xml:space="preserve">rnbe </t>
  </si>
  <si>
    <t xml:space="preserve">rnbf </t>
  </si>
  <si>
    <t xml:space="preserve">rnbg </t>
  </si>
  <si>
    <t xml:space="preserve">rnbh </t>
  </si>
  <si>
    <t xml:space="preserve">rnbi </t>
  </si>
  <si>
    <t xml:space="preserve">roaa </t>
  </si>
  <si>
    <t>Shinra HQ - Escape</t>
  </si>
  <si>
    <t xml:space="preserve">roab </t>
  </si>
  <si>
    <t xml:space="preserve">roac </t>
  </si>
  <si>
    <t xml:space="preserve">road </t>
  </si>
  <si>
    <t xml:space="preserve">roae </t>
  </si>
  <si>
    <t xml:space="preserve">roaf </t>
  </si>
  <si>
    <t xml:space="preserve">roag </t>
  </si>
  <si>
    <t xml:space="preserve">roah </t>
  </si>
  <si>
    <t xml:space="preserve">roam </t>
  </si>
  <si>
    <t xml:space="preserve">roan </t>
  </si>
  <si>
    <t xml:space="preserve">roao </t>
  </si>
  <si>
    <t xml:space="preserve">roap </t>
  </si>
  <si>
    <t xml:space="preserve">roaq </t>
  </si>
  <si>
    <t xml:space="preserve">roar </t>
  </si>
  <si>
    <t xml:space="preserve">roas </t>
  </si>
  <si>
    <t xml:space="preserve">roat </t>
  </si>
  <si>
    <t xml:space="preserve">roau </t>
  </si>
  <si>
    <t xml:space="preserve">roav </t>
  </si>
  <si>
    <t xml:space="preserve">roaw </t>
  </si>
  <si>
    <t xml:space="preserve">rpaa </t>
  </si>
  <si>
    <t>Ultimate Weapon - Gongaga Reactor</t>
  </si>
  <si>
    <t xml:space="preserve">rpab </t>
  </si>
  <si>
    <t xml:space="preserve">rpac </t>
  </si>
  <si>
    <t xml:space="preserve">rpad </t>
  </si>
  <si>
    <t xml:space="preserve">rpae </t>
  </si>
  <si>
    <t xml:space="preserve">rpaf </t>
  </si>
  <si>
    <t xml:space="preserve">rpag </t>
  </si>
  <si>
    <t xml:space="preserve">rpah </t>
  </si>
  <si>
    <t xml:space="preserve">rpai </t>
  </si>
  <si>
    <t xml:space="preserve">rpaj </t>
  </si>
  <si>
    <t xml:space="preserve">rpam </t>
  </si>
  <si>
    <t xml:space="preserve">rpan </t>
  </si>
  <si>
    <t xml:space="preserve">rpao </t>
  </si>
  <si>
    <t xml:space="preserve">rpap </t>
  </si>
  <si>
    <t xml:space="preserve">rpaq </t>
  </si>
  <si>
    <t xml:space="preserve">rpar </t>
  </si>
  <si>
    <t xml:space="preserve">rpas </t>
  </si>
  <si>
    <t xml:space="preserve">rpat </t>
  </si>
  <si>
    <t xml:space="preserve">rpau </t>
  </si>
  <si>
    <t xml:space="preserve">rpav </t>
  </si>
  <si>
    <t xml:space="preserve">rpaw </t>
  </si>
  <si>
    <t xml:space="preserve">rpax </t>
  </si>
  <si>
    <t xml:space="preserve">rqaa </t>
  </si>
  <si>
    <t>Corel Prison - Dyne Battle</t>
  </si>
  <si>
    <t xml:space="preserve">rqab </t>
  </si>
  <si>
    <t xml:space="preserve">rqac </t>
  </si>
  <si>
    <t xml:space="preserve">rqad </t>
  </si>
  <si>
    <t xml:space="preserve">rqae </t>
  </si>
  <si>
    <t xml:space="preserve">rqaf </t>
  </si>
  <si>
    <t xml:space="preserve">rqag </t>
  </si>
  <si>
    <t xml:space="preserve">rqah </t>
  </si>
  <si>
    <t xml:space="preserve">rqai </t>
  </si>
  <si>
    <t xml:space="preserve">rqaj </t>
  </si>
  <si>
    <t xml:space="preserve">rqam </t>
  </si>
  <si>
    <t xml:space="preserve">rqan </t>
  </si>
  <si>
    <t xml:space="preserve">rqao </t>
  </si>
  <si>
    <t xml:space="preserve">rqap </t>
  </si>
  <si>
    <t xml:space="preserve">rqaq </t>
  </si>
  <si>
    <t xml:space="preserve">rqar </t>
  </si>
  <si>
    <t xml:space="preserve">rqas </t>
  </si>
  <si>
    <t xml:space="preserve">rqat </t>
  </si>
  <si>
    <t xml:space="preserve">rqau </t>
  </si>
  <si>
    <t xml:space="preserve">rqav </t>
  </si>
  <si>
    <t xml:space="preserve">rraa </t>
  </si>
  <si>
    <t>Ultimate Weapon - Forest: Skeleton</t>
  </si>
  <si>
    <t xml:space="preserve">rrab </t>
  </si>
  <si>
    <t xml:space="preserve">rrac </t>
  </si>
  <si>
    <t>Ultimate Weapon - Forest: Ground</t>
  </si>
  <si>
    <t xml:space="preserve">rrad </t>
  </si>
  <si>
    <t>Ultimate Weapon - Forest: Sky</t>
  </si>
  <si>
    <t xml:space="preserve">rrae </t>
  </si>
  <si>
    <t xml:space="preserve">rraf </t>
  </si>
  <si>
    <t xml:space="preserve">rrag </t>
  </si>
  <si>
    <t xml:space="preserve">rrah </t>
  </si>
  <si>
    <t>Ultimate Weapon - Forest: Trees</t>
  </si>
  <si>
    <t xml:space="preserve">rrai </t>
  </si>
  <si>
    <t xml:space="preserve">rraj </t>
  </si>
  <si>
    <t xml:space="preserve">rram </t>
  </si>
  <si>
    <t xml:space="preserve">rran </t>
  </si>
  <si>
    <t xml:space="preserve">rrao </t>
  </si>
  <si>
    <t xml:space="preserve">rrap </t>
  </si>
  <si>
    <t xml:space="preserve">rraq </t>
  </si>
  <si>
    <t xml:space="preserve">rrar </t>
  </si>
  <si>
    <t xml:space="preserve">rras </t>
  </si>
  <si>
    <t xml:space="preserve">rrat </t>
  </si>
  <si>
    <t xml:space="preserve">rrau </t>
  </si>
  <si>
    <t xml:space="preserve">rrav </t>
  </si>
  <si>
    <t xml:space="preserve">rraw </t>
  </si>
  <si>
    <t xml:space="preserve">rrax </t>
  </si>
  <si>
    <t xml:space="preserve">rray </t>
  </si>
  <si>
    <t xml:space="preserve">rraz </t>
  </si>
  <si>
    <t xml:space="preserve">rrba </t>
  </si>
  <si>
    <t xml:space="preserve">rrbb </t>
  </si>
  <si>
    <t xml:space="preserve">rsaa </t>
  </si>
  <si>
    <t>Character with frog status: Battle Skeleton</t>
  </si>
  <si>
    <t>Touch me clone 4</t>
  </si>
  <si>
    <t xml:space="preserve">rsab </t>
  </si>
  <si>
    <t>Character with frog status: Unidentified Part</t>
  </si>
  <si>
    <t xml:space="preserve">rsan </t>
  </si>
  <si>
    <t xml:space="preserve">rsao </t>
  </si>
  <si>
    <t xml:space="preserve">rsar </t>
  </si>
  <si>
    <t xml:space="preserve">rsas </t>
  </si>
  <si>
    <t xml:space="preserve">rsat </t>
  </si>
  <si>
    <t xml:space="preserve">rsaw </t>
  </si>
  <si>
    <t xml:space="preserve">rsax </t>
  </si>
  <si>
    <t xml:space="preserve">rsay </t>
  </si>
  <si>
    <t xml:space="preserve">rsba </t>
  </si>
  <si>
    <t xml:space="preserve">rsbb </t>
  </si>
  <si>
    <t xml:space="preserve">rsbc </t>
  </si>
  <si>
    <t xml:space="preserve">rsbe </t>
  </si>
  <si>
    <t xml:space="preserve">rsbf </t>
  </si>
  <si>
    <t xml:space="preserve">rsbg </t>
  </si>
  <si>
    <t xml:space="preserve">rsda </t>
  </si>
  <si>
    <t xml:space="preserve">rtaa </t>
  </si>
  <si>
    <t>Cloud: Battle Skeleton</t>
  </si>
  <si>
    <t xml:space="preserve">rtab </t>
  </si>
  <si>
    <t>Cloud: Unidentified Part</t>
  </si>
  <si>
    <t xml:space="preserve">rtac </t>
  </si>
  <si>
    <t>Cloud: Eye and belt</t>
  </si>
  <si>
    <t xml:space="preserve">rtad </t>
  </si>
  <si>
    <t xml:space="preserve">rtam </t>
  </si>
  <si>
    <t xml:space="preserve">rtan </t>
  </si>
  <si>
    <t>Cloud: Chest</t>
  </si>
  <si>
    <t xml:space="preserve">rtao </t>
  </si>
  <si>
    <t xml:space="preserve">rtar </t>
  </si>
  <si>
    <t>Cloud: Left arm</t>
  </si>
  <si>
    <t xml:space="preserve">rtas </t>
  </si>
  <si>
    <t>Cloud: Left forearm</t>
  </si>
  <si>
    <t xml:space="preserve">rtat </t>
  </si>
  <si>
    <t>Cloud: Left hand</t>
  </si>
  <si>
    <t xml:space="preserve">rtaw </t>
  </si>
  <si>
    <t>Cloud: Right arm</t>
  </si>
  <si>
    <t xml:space="preserve">rtax </t>
  </si>
  <si>
    <t>Cloud: Right forearm</t>
  </si>
  <si>
    <t xml:space="preserve">rtay </t>
  </si>
  <si>
    <t>Cloud: Right hand</t>
  </si>
  <si>
    <t xml:space="preserve">rtba </t>
  </si>
  <si>
    <t>Cloud: Left tigh</t>
  </si>
  <si>
    <t xml:space="preserve">rtbb </t>
  </si>
  <si>
    <t>Cloud: Left leg</t>
  </si>
  <si>
    <t xml:space="preserve">rtbc </t>
  </si>
  <si>
    <t>Cloud: Left ankle</t>
  </si>
  <si>
    <t xml:space="preserve">rtbd </t>
  </si>
  <si>
    <t>Cloud: Left foot</t>
  </si>
  <si>
    <t xml:space="preserve">rtbf </t>
  </si>
  <si>
    <t>Cloud: Right tigh</t>
  </si>
  <si>
    <t xml:space="preserve">rtbg </t>
  </si>
  <si>
    <t>Cloud: Right leg</t>
  </si>
  <si>
    <t xml:space="preserve">rtbh </t>
  </si>
  <si>
    <t>Cloud: Right ankle</t>
  </si>
  <si>
    <t xml:space="preserve">rtbi </t>
  </si>
  <si>
    <t>Cloud: Right foot</t>
  </si>
  <si>
    <t xml:space="preserve">rtck </t>
  </si>
  <si>
    <t>Cloud: Buster Sword</t>
  </si>
  <si>
    <t xml:space="preserve">rtcl </t>
  </si>
  <si>
    <t>Cloud: Mythril Saber</t>
  </si>
  <si>
    <t xml:space="preserve">rtcm </t>
  </si>
  <si>
    <t>Cloud: Hard Edge</t>
  </si>
  <si>
    <t xml:space="preserve">rtcn </t>
  </si>
  <si>
    <t>Cloud: Butterfly Edge</t>
  </si>
  <si>
    <t xml:space="preserve">rtco </t>
  </si>
  <si>
    <t>Cloud: Enhance sword</t>
  </si>
  <si>
    <t xml:space="preserve">rtcp </t>
  </si>
  <si>
    <t>Cloud: Organics</t>
  </si>
  <si>
    <t xml:space="preserve">rtcq </t>
  </si>
  <si>
    <t>Cloud: Crystal sword</t>
  </si>
  <si>
    <t xml:space="preserve">rtcr </t>
  </si>
  <si>
    <t>Cloud: Force Stealer</t>
  </si>
  <si>
    <t xml:space="preserve">rtcs </t>
  </si>
  <si>
    <t>Cloud: Rune Blade</t>
  </si>
  <si>
    <t xml:space="preserve">rtct </t>
  </si>
  <si>
    <t>Cloud: Murasame</t>
  </si>
  <si>
    <t xml:space="preserve">rtcu </t>
  </si>
  <si>
    <t>Cloud: Nail Bat</t>
  </si>
  <si>
    <t xml:space="preserve">rtcv </t>
  </si>
  <si>
    <t>Cloud: Yoshiyuki</t>
  </si>
  <si>
    <t xml:space="preserve">rtcw </t>
  </si>
  <si>
    <t>Cloud: Apocalypse</t>
  </si>
  <si>
    <t xml:space="preserve">rtcx </t>
  </si>
  <si>
    <t>Cloud: Heavens Cloud</t>
  </si>
  <si>
    <t xml:space="preserve">rtcy </t>
  </si>
  <si>
    <t>Cloud: Ragnarok</t>
  </si>
  <si>
    <t xml:space="preserve">rtcz </t>
  </si>
  <si>
    <t>Cloud: Ultima</t>
  </si>
  <si>
    <t xml:space="preserve">rtda </t>
  </si>
  <si>
    <t xml:space="preserve">ruaa </t>
  </si>
  <si>
    <t>Tifa: Battle Skeleton</t>
  </si>
  <si>
    <t xml:space="preserve">ruab </t>
  </si>
  <si>
    <t>Tifa: Unidentified Part</t>
  </si>
  <si>
    <t xml:space="preserve">ruac </t>
  </si>
  <si>
    <t xml:space="preserve">ruad </t>
  </si>
  <si>
    <t xml:space="preserve">ruam </t>
  </si>
  <si>
    <t>Tifa: Chest</t>
  </si>
  <si>
    <t>:P</t>
  </si>
  <si>
    <t xml:space="preserve">ruan </t>
  </si>
  <si>
    <t xml:space="preserve">ruap </t>
  </si>
  <si>
    <t>Tifa: Ponytail part 1</t>
  </si>
  <si>
    <t xml:space="preserve">ruaq </t>
  </si>
  <si>
    <t>Tifa: Ponytail part 2</t>
  </si>
  <si>
    <t xml:space="preserve">ruar </t>
  </si>
  <si>
    <t>Tifa: Ponytail part 3</t>
  </si>
  <si>
    <t xml:space="preserve">ruas </t>
  </si>
  <si>
    <t>Tifa: Ponytail part 4</t>
  </si>
  <si>
    <t xml:space="preserve">ruat </t>
  </si>
  <si>
    <t>Tifa: Ponytail tip</t>
  </si>
  <si>
    <t xml:space="preserve">ruau </t>
  </si>
  <si>
    <t>Tifa: Upper skirt</t>
  </si>
  <si>
    <t xml:space="preserve">ruaw </t>
  </si>
  <si>
    <t>Tifa: Lower right skirt</t>
  </si>
  <si>
    <t xml:space="preserve">ruax </t>
  </si>
  <si>
    <t>Tifa: Right tigh</t>
  </si>
  <si>
    <t xml:space="preserve">ruay </t>
  </si>
  <si>
    <t>Tifa: Right leg</t>
  </si>
  <si>
    <t xml:space="preserve">ruba </t>
  </si>
  <si>
    <t>Tifa: Right ankle</t>
  </si>
  <si>
    <t xml:space="preserve">rubb </t>
  </si>
  <si>
    <t>Tifa: Right foot</t>
  </si>
  <si>
    <t xml:space="preserve">rubd </t>
  </si>
  <si>
    <t>Tifa: Lower left skirt</t>
  </si>
  <si>
    <t xml:space="preserve">rube </t>
  </si>
  <si>
    <t>Tifa: Left tigh</t>
  </si>
  <si>
    <t xml:space="preserve">rubf </t>
  </si>
  <si>
    <t>Tifa: Left leg</t>
  </si>
  <si>
    <t xml:space="preserve">rubh </t>
  </si>
  <si>
    <t>Tifa: Left ankle</t>
  </si>
  <si>
    <t xml:space="preserve">rubi </t>
  </si>
  <si>
    <t>Tifa: Left foot</t>
  </si>
  <si>
    <t xml:space="preserve">rubl </t>
  </si>
  <si>
    <t>Tifa: Left forearm</t>
  </si>
  <si>
    <t xml:space="preserve">rubm </t>
  </si>
  <si>
    <t>Tifa: Left arm</t>
  </si>
  <si>
    <t xml:space="preserve">rubn </t>
  </si>
  <si>
    <t>Tifa: Left hand</t>
  </si>
  <si>
    <t xml:space="preserve">rubq </t>
  </si>
  <si>
    <t>Tifa: Right forearm</t>
  </si>
  <si>
    <t xml:space="preserve">rubr </t>
  </si>
  <si>
    <t>Tifa: Right arm</t>
  </si>
  <si>
    <t xml:space="preserve">ruck </t>
  </si>
  <si>
    <t>Tifa: Leather glove</t>
  </si>
  <si>
    <t xml:space="preserve">rucl </t>
  </si>
  <si>
    <t>Tifa: Metal knuckle</t>
  </si>
  <si>
    <t xml:space="preserve">rucm </t>
  </si>
  <si>
    <t>Tifa: Mythril claw</t>
  </si>
  <si>
    <t xml:space="preserve">rucn </t>
  </si>
  <si>
    <t>Tifa: Grand glove</t>
  </si>
  <si>
    <t xml:space="preserve">ruco </t>
  </si>
  <si>
    <t>Tifa: Tiger fang</t>
  </si>
  <si>
    <t xml:space="preserve">rucp </t>
  </si>
  <si>
    <t>Tifa: Diamond knuckle</t>
  </si>
  <si>
    <t xml:space="preserve">rucq </t>
  </si>
  <si>
    <t>Tifa: Dragon claw</t>
  </si>
  <si>
    <t xml:space="preserve">rucr </t>
  </si>
  <si>
    <t>Tifa: Crystal glove</t>
  </si>
  <si>
    <t xml:space="preserve">rucs </t>
  </si>
  <si>
    <t>Tifa: Motor drive</t>
  </si>
  <si>
    <t xml:space="preserve">ruct </t>
  </si>
  <si>
    <t>Tifa: Platinum fist</t>
  </si>
  <si>
    <t xml:space="preserve">rucu </t>
  </si>
  <si>
    <t>Tifa: Kaiser knuckle</t>
  </si>
  <si>
    <t xml:space="preserve">rucv </t>
  </si>
  <si>
    <t>Tifa: Work glove</t>
  </si>
  <si>
    <t xml:space="preserve">rucw </t>
  </si>
  <si>
    <t>Tifa: Powersoul</t>
  </si>
  <si>
    <t xml:space="preserve">rucx </t>
  </si>
  <si>
    <t>Tifa: Master fist</t>
  </si>
  <si>
    <t xml:space="preserve">rucy </t>
  </si>
  <si>
    <t>Tifa: God's hand</t>
  </si>
  <si>
    <t xml:space="preserve">rucz </t>
  </si>
  <si>
    <t>Tifa: Premium heart</t>
  </si>
  <si>
    <t xml:space="preserve">ruda </t>
  </si>
  <si>
    <t xml:space="preserve">rvaa </t>
  </si>
  <si>
    <t>Aerith: Battle Skeleton</t>
  </si>
  <si>
    <t xml:space="preserve">rvab </t>
  </si>
  <si>
    <t>Aerith: Unidentified Part</t>
  </si>
  <si>
    <t xml:space="preserve">rvac </t>
  </si>
  <si>
    <t xml:space="preserve">rvad </t>
  </si>
  <si>
    <t xml:space="preserve">rvam </t>
  </si>
  <si>
    <t>Aerith: Hip</t>
  </si>
  <si>
    <t xml:space="preserve">rvan </t>
  </si>
  <si>
    <t>Aerith: Chest</t>
  </si>
  <si>
    <t xml:space="preserve">rvao </t>
  </si>
  <si>
    <t xml:space="preserve">rvaq </t>
  </si>
  <si>
    <t>Aerith: Ponytail part 1</t>
  </si>
  <si>
    <t xml:space="preserve">rvar </t>
  </si>
  <si>
    <t>Aerith: Ponytail part 2</t>
  </si>
  <si>
    <t xml:space="preserve">rvas </t>
  </si>
  <si>
    <t>Aerith: Ponytail part 3</t>
  </si>
  <si>
    <t xml:space="preserve">rvat </t>
  </si>
  <si>
    <t>Aerith: Ponytail tip</t>
  </si>
  <si>
    <t xml:space="preserve">rvaw </t>
  </si>
  <si>
    <t>Aerith: Left arm</t>
  </si>
  <si>
    <t xml:space="preserve">rvax </t>
  </si>
  <si>
    <t>Aerith: Left forearm</t>
  </si>
  <si>
    <t xml:space="preserve">rvay </t>
  </si>
  <si>
    <t>Aerith: Left hand</t>
  </si>
  <si>
    <t xml:space="preserve">rvbb </t>
  </si>
  <si>
    <t>Aerith: Right arm</t>
  </si>
  <si>
    <t xml:space="preserve">rvbc </t>
  </si>
  <si>
    <t>Aerith: Right forearm</t>
  </si>
  <si>
    <t xml:space="preserve">rvbd </t>
  </si>
  <si>
    <t>Aerith: Right hand</t>
  </si>
  <si>
    <t xml:space="preserve">rvbf </t>
  </si>
  <si>
    <t>Aerith: Left tigh</t>
  </si>
  <si>
    <t xml:space="preserve">rvbg </t>
  </si>
  <si>
    <t>Aerith: Left leg</t>
  </si>
  <si>
    <t xml:space="preserve">rvbh </t>
  </si>
  <si>
    <t>Aerith: Left ankle</t>
  </si>
  <si>
    <t xml:space="preserve">rvbi </t>
  </si>
  <si>
    <t>Aerith: Left foot</t>
  </si>
  <si>
    <t xml:space="preserve">rvbk </t>
  </si>
  <si>
    <t>Aerith: Rear upper dress</t>
  </si>
  <si>
    <t xml:space="preserve">rvbl </t>
  </si>
  <si>
    <t>Aerith: Rear lower dress</t>
  </si>
  <si>
    <t xml:space="preserve">rvbn </t>
  </si>
  <si>
    <t>Aerith: Right tigh</t>
  </si>
  <si>
    <t xml:space="preserve">rvbo </t>
  </si>
  <si>
    <t>Aerith: Right leg</t>
  </si>
  <si>
    <t xml:space="preserve">rvbp </t>
  </si>
  <si>
    <t>Aerith: Right ankle</t>
  </si>
  <si>
    <t xml:space="preserve">rvbq </t>
  </si>
  <si>
    <t>Aerith: Right foot</t>
  </si>
  <si>
    <t xml:space="preserve">rvck </t>
  </si>
  <si>
    <t>Aerith: Guard Stick</t>
  </si>
  <si>
    <t xml:space="preserve">rvcl </t>
  </si>
  <si>
    <t>Aerith: Mythril Rod</t>
  </si>
  <si>
    <t xml:space="preserve">rvcm </t>
  </si>
  <si>
    <t>Aerith: Full Metal Staff</t>
  </si>
  <si>
    <t xml:space="preserve">rvcn </t>
  </si>
  <si>
    <t>Aerith: Striking Staff</t>
  </si>
  <si>
    <t xml:space="preserve">rvco </t>
  </si>
  <si>
    <t>Aerith: Prism Staff</t>
  </si>
  <si>
    <t xml:space="preserve">rvcp </t>
  </si>
  <si>
    <t>Aerith: Aurora Rod</t>
  </si>
  <si>
    <t xml:space="preserve">rvcq </t>
  </si>
  <si>
    <t>Aerith: Wizard Staff</t>
  </si>
  <si>
    <t xml:space="preserve">rvcr </t>
  </si>
  <si>
    <t>Aerith: Wizer Staff</t>
  </si>
  <si>
    <t xml:space="preserve">rvcs </t>
  </si>
  <si>
    <t>Aerith: Fairy Tale</t>
  </si>
  <si>
    <t xml:space="preserve">rvct </t>
  </si>
  <si>
    <t>Aerith: Umbrella</t>
  </si>
  <si>
    <t xml:space="preserve">rvcu </t>
  </si>
  <si>
    <t>Aerith: Princess Guard</t>
  </si>
  <si>
    <t xml:space="preserve">rvcv </t>
  </si>
  <si>
    <t>This is a filler to have 16 weps</t>
  </si>
  <si>
    <t xml:space="preserve">rvcw </t>
  </si>
  <si>
    <t xml:space="preserve">rvcx </t>
  </si>
  <si>
    <t xml:space="preserve">rvcy </t>
  </si>
  <si>
    <t xml:space="preserve">rvcz </t>
  </si>
  <si>
    <t xml:space="preserve">rvda </t>
  </si>
  <si>
    <t xml:space="preserve">rwaa </t>
  </si>
  <si>
    <t>Red XIII: Battle Skeleton</t>
  </si>
  <si>
    <t>Biturn messes the skeleton</t>
  </si>
  <si>
    <t xml:space="preserve">rwab </t>
  </si>
  <si>
    <t>Red XIII: Undentified Part</t>
  </si>
  <si>
    <t xml:space="preserve">rwac </t>
  </si>
  <si>
    <t>Red XIII: Eye and scar</t>
  </si>
  <si>
    <t xml:space="preserve">rwad </t>
  </si>
  <si>
    <t>Red XIII: Tattoo</t>
  </si>
  <si>
    <t xml:space="preserve">rwam </t>
  </si>
  <si>
    <t>Red XIII: Hip</t>
  </si>
  <si>
    <t xml:space="preserve">rwao </t>
  </si>
  <si>
    <t>Red XIII: Torso</t>
  </si>
  <si>
    <t xml:space="preserve">rwap </t>
  </si>
  <si>
    <t>Red XIII: Neck</t>
  </si>
  <si>
    <t xml:space="preserve">rwaq </t>
  </si>
  <si>
    <t>Red XIII: Head</t>
  </si>
  <si>
    <t xml:space="preserve">rwas </t>
  </si>
  <si>
    <t>Red XIII: Right 'earring' part</t>
  </si>
  <si>
    <t xml:space="preserve">rwat </t>
  </si>
  <si>
    <t xml:space="preserve">rwau </t>
  </si>
  <si>
    <t xml:space="preserve">rwaw </t>
  </si>
  <si>
    <t>Red XIII: Left 'earring' part</t>
  </si>
  <si>
    <t xml:space="preserve">rwax </t>
  </si>
  <si>
    <t xml:space="preserve">rway </t>
  </si>
  <si>
    <t xml:space="preserve">rwba </t>
  </si>
  <si>
    <t>Red XIII: Jaw</t>
  </si>
  <si>
    <t xml:space="preserve">rwbc </t>
  </si>
  <si>
    <t>Red XIII: Right front tigh</t>
  </si>
  <si>
    <t xml:space="preserve">rwbd </t>
  </si>
  <si>
    <t>Red XIII: Right front leg part 1</t>
  </si>
  <si>
    <t xml:space="preserve">rwbe </t>
  </si>
  <si>
    <t>Red XIII: Right front leg part 2</t>
  </si>
  <si>
    <t xml:space="preserve">rwbf </t>
  </si>
  <si>
    <t>Red XIII: Right front leg part 3</t>
  </si>
  <si>
    <t xml:space="preserve">rwbg </t>
  </si>
  <si>
    <t>Red XIII: Right front paw</t>
  </si>
  <si>
    <t xml:space="preserve">rwbi </t>
  </si>
  <si>
    <t xml:space="preserve">rwbj </t>
  </si>
  <si>
    <t xml:space="preserve">rwbk </t>
  </si>
  <si>
    <t xml:space="preserve">rwbl </t>
  </si>
  <si>
    <t xml:space="preserve">rwbm </t>
  </si>
  <si>
    <t xml:space="preserve">rwbo </t>
  </si>
  <si>
    <t>Red XIII: Right rear tigh</t>
  </si>
  <si>
    <t xml:space="preserve">rwbp </t>
  </si>
  <si>
    <t>Red XIII: Right rear leg part 1</t>
  </si>
  <si>
    <t xml:space="preserve">rwbq </t>
  </si>
  <si>
    <t>Red XIII: Right rear leg part 2</t>
  </si>
  <si>
    <t xml:space="preserve">rwbr </t>
  </si>
  <si>
    <t>Red XIII: Right rear leg part 3</t>
  </si>
  <si>
    <t xml:space="preserve">rwbs </t>
  </si>
  <si>
    <t>Red XIII: Right rear paw</t>
  </si>
  <si>
    <t xml:space="preserve">rwbu </t>
  </si>
  <si>
    <t>Red XIII: Tail part 1</t>
  </si>
  <si>
    <t xml:space="preserve">rwbv </t>
  </si>
  <si>
    <t>Red XIII: Tail part 2</t>
  </si>
  <si>
    <t xml:space="preserve">rwbw </t>
  </si>
  <si>
    <t>Red XIII: Tail part 3</t>
  </si>
  <si>
    <t xml:space="preserve">rwbx </t>
  </si>
  <si>
    <t>Red XIII: Tail part 4</t>
  </si>
  <si>
    <t xml:space="preserve">rwby </t>
  </si>
  <si>
    <t>Red XIII: Tail part 5</t>
  </si>
  <si>
    <t xml:space="preserve">rwbz </t>
  </si>
  <si>
    <t>Red XIII: Tail tip</t>
  </si>
  <si>
    <t xml:space="preserve">rwcb </t>
  </si>
  <si>
    <t>Red XIII: Left rear tigh</t>
  </si>
  <si>
    <t xml:space="preserve">rwcc </t>
  </si>
  <si>
    <t>Red XIII: Left rear leg part 1</t>
  </si>
  <si>
    <t xml:space="preserve">rwcd </t>
  </si>
  <si>
    <t>Red XIII: Left rear leg part 2</t>
  </si>
  <si>
    <t xml:space="preserve">rwce </t>
  </si>
  <si>
    <t>Red XIII: Left rear leg part 3</t>
  </si>
  <si>
    <t xml:space="preserve">rwcf </t>
  </si>
  <si>
    <t>Red XIII: Left rear paw</t>
  </si>
  <si>
    <t xml:space="preserve">rwck </t>
  </si>
  <si>
    <t>Red XIII: Mythril Clip</t>
  </si>
  <si>
    <t>NO Picture</t>
  </si>
  <si>
    <t xml:space="preserve">rwcl </t>
  </si>
  <si>
    <t>Red XIII: Diamond Pin</t>
  </si>
  <si>
    <t xml:space="preserve">rwcm </t>
  </si>
  <si>
    <t>Red XIII: Silver Barrette</t>
  </si>
  <si>
    <t xml:space="preserve">rwcn </t>
  </si>
  <si>
    <t>Red XIII: Gold Barrette</t>
  </si>
  <si>
    <t xml:space="preserve">rwco </t>
  </si>
  <si>
    <t>Red XIII: Adaman Clip</t>
  </si>
  <si>
    <t xml:space="preserve">rwcp </t>
  </si>
  <si>
    <t>Red XIII: Crystal Comb</t>
  </si>
  <si>
    <t xml:space="preserve">rwcq </t>
  </si>
  <si>
    <t>Red XIII: Magic Comb</t>
  </si>
  <si>
    <t xml:space="preserve">rwcr </t>
  </si>
  <si>
    <t>Red XIII: Plus Barrette</t>
  </si>
  <si>
    <t xml:space="preserve">rwcs </t>
  </si>
  <si>
    <t>Red XIII: Centclip</t>
  </si>
  <si>
    <t xml:space="preserve">rwct </t>
  </si>
  <si>
    <t>Red XIII: Hair Pin</t>
  </si>
  <si>
    <t xml:space="preserve">rwcu </t>
  </si>
  <si>
    <t>Red XIII: Seraph Comb</t>
  </si>
  <si>
    <t xml:space="preserve">rwcv </t>
  </si>
  <si>
    <t>Red XIII: Behemoth Horn</t>
  </si>
  <si>
    <t xml:space="preserve">rwcw </t>
  </si>
  <si>
    <t>Red XIII: Spring Gun Clip</t>
  </si>
  <si>
    <t xml:space="preserve">rwcx </t>
  </si>
  <si>
    <t>Red XIII: Limited Moon</t>
  </si>
  <si>
    <t xml:space="preserve">rwcy </t>
  </si>
  <si>
    <t>No model (Filler)</t>
  </si>
  <si>
    <t xml:space="preserve">rwcz </t>
  </si>
  <si>
    <t xml:space="preserve">rwda </t>
  </si>
  <si>
    <t xml:space="preserve">rxaa </t>
  </si>
  <si>
    <t>Yuffie: Battle Skeleton</t>
  </si>
  <si>
    <t xml:space="preserve">rxab </t>
  </si>
  <si>
    <t>Yuffie: Unidentified Part</t>
  </si>
  <si>
    <t xml:space="preserve">rxac </t>
  </si>
  <si>
    <t xml:space="preserve">rxad </t>
  </si>
  <si>
    <t xml:space="preserve">rxam </t>
  </si>
  <si>
    <t>Yuffie: Hip</t>
  </si>
  <si>
    <t xml:space="preserve">rxan </t>
  </si>
  <si>
    <t>Yuffie: Chest</t>
  </si>
  <si>
    <t xml:space="preserve">rxao </t>
  </si>
  <si>
    <t xml:space="preserve">rxaq </t>
  </si>
  <si>
    <t>Yuffie: Bandana ribbon</t>
  </si>
  <si>
    <t xml:space="preserve">rxar </t>
  </si>
  <si>
    <t xml:space="preserve">rxau </t>
  </si>
  <si>
    <t>Yuffie: Armored arm part</t>
  </si>
  <si>
    <t xml:space="preserve">rxav </t>
  </si>
  <si>
    <t xml:space="preserve">rxaw </t>
  </si>
  <si>
    <t xml:space="preserve">rxax </t>
  </si>
  <si>
    <t>Yuffie: Left hand</t>
  </si>
  <si>
    <t xml:space="preserve">rxaz </t>
  </si>
  <si>
    <t>Yuffie: Left shoulder ribbon</t>
  </si>
  <si>
    <t xml:space="preserve">rxbc </t>
  </si>
  <si>
    <t>Yuffie: Right arm</t>
  </si>
  <si>
    <t xml:space="preserve">rxbd </t>
  </si>
  <si>
    <t>Yuffie: Right forearm</t>
  </si>
  <si>
    <t xml:space="preserve">rxbe </t>
  </si>
  <si>
    <t>Yuffie: Right hand</t>
  </si>
  <si>
    <t xml:space="preserve">rxbg </t>
  </si>
  <si>
    <t>Yuffie: Left tigh</t>
  </si>
  <si>
    <t xml:space="preserve">rxbh </t>
  </si>
  <si>
    <t>Yuffie: Left leg</t>
  </si>
  <si>
    <t xml:space="preserve">rxbi </t>
  </si>
  <si>
    <t>Yuffie: Left ankle</t>
  </si>
  <si>
    <t xml:space="preserve">rxbk </t>
  </si>
  <si>
    <t>Yuffie: Left foot</t>
  </si>
  <si>
    <t xml:space="preserve">rxbm </t>
  </si>
  <si>
    <t>Yuffie: Right tigh</t>
  </si>
  <si>
    <t xml:space="preserve">rxbn </t>
  </si>
  <si>
    <t>Yuffie: Right leg</t>
  </si>
  <si>
    <t xml:space="preserve">rxbo </t>
  </si>
  <si>
    <t>Yuffie: Right ankle</t>
  </si>
  <si>
    <t xml:space="preserve">rxbq </t>
  </si>
  <si>
    <t>Yuffie: Right foot</t>
  </si>
  <si>
    <t xml:space="preserve">rxck </t>
  </si>
  <si>
    <t>Yuffie: 4-Point Shuriken</t>
  </si>
  <si>
    <t xml:space="preserve">rxcl </t>
  </si>
  <si>
    <t>Yuffie: Boomerang</t>
  </si>
  <si>
    <t xml:space="preserve">rxcm </t>
  </si>
  <si>
    <t>Yuffie: Pinwheel</t>
  </si>
  <si>
    <t xml:space="preserve">rxcn </t>
  </si>
  <si>
    <t>Yuffie: Razor Ring</t>
  </si>
  <si>
    <t xml:space="preserve">rxco </t>
  </si>
  <si>
    <t>Yuffie: Hawk Eye</t>
  </si>
  <si>
    <t xml:space="preserve">rxcp </t>
  </si>
  <si>
    <t>Yuffie: Crystal Cross</t>
  </si>
  <si>
    <t xml:space="preserve">rxcq </t>
  </si>
  <si>
    <t>Yuffie: Wind Slash</t>
  </si>
  <si>
    <t xml:space="preserve">rxcr </t>
  </si>
  <si>
    <t>Yuffie: Twin Viper</t>
  </si>
  <si>
    <t xml:space="preserve">rxcs </t>
  </si>
  <si>
    <t>Yuffie: Magic Shuriken</t>
  </si>
  <si>
    <t xml:space="preserve">rxct </t>
  </si>
  <si>
    <t>Yuffie: Super Ball</t>
  </si>
  <si>
    <t xml:space="preserve">rxcu </t>
  </si>
  <si>
    <t>Yuffie: Spiral Shuriken</t>
  </si>
  <si>
    <t xml:space="preserve">rxcv </t>
  </si>
  <si>
    <t>Yuffie: Rising Sun</t>
  </si>
  <si>
    <t xml:space="preserve">rxcw </t>
  </si>
  <si>
    <t>Yuffie: Oritsuru</t>
  </si>
  <si>
    <t xml:space="preserve">rxcx </t>
  </si>
  <si>
    <t>Yuffie: Conformer</t>
  </si>
  <si>
    <t xml:space="preserve">rxcy </t>
  </si>
  <si>
    <t xml:space="preserve">rxcz </t>
  </si>
  <si>
    <t xml:space="preserve">rxda </t>
  </si>
  <si>
    <t xml:space="preserve">ryaa </t>
  </si>
  <si>
    <t>Cait Sith: Battle Skeleton</t>
  </si>
  <si>
    <t xml:space="preserve">ryab </t>
  </si>
  <si>
    <t>Cait Sith: Unidentified Part</t>
  </si>
  <si>
    <t xml:space="preserve">ryac </t>
  </si>
  <si>
    <t>Cait Sith: Eye and mouth</t>
  </si>
  <si>
    <t xml:space="preserve">ryan </t>
  </si>
  <si>
    <t>Cait Sith: Moogle left tigh</t>
  </si>
  <si>
    <t xml:space="preserve">ryao </t>
  </si>
  <si>
    <t>Cait Sith: Moogle left foot</t>
  </si>
  <si>
    <t xml:space="preserve">ryaq </t>
  </si>
  <si>
    <t>Cait Sith: Moogle right tigh</t>
  </si>
  <si>
    <t xml:space="preserve">ryar </t>
  </si>
  <si>
    <t>Cait Sith: Moogle right foot</t>
  </si>
  <si>
    <t xml:space="preserve">ryas </t>
  </si>
  <si>
    <t>Cait Sith: Moogle body</t>
  </si>
  <si>
    <t xml:space="preserve">ryav </t>
  </si>
  <si>
    <t>Cait Sith: Moogle left arm</t>
  </si>
  <si>
    <t xml:space="preserve">ryaw </t>
  </si>
  <si>
    <t>Cait Sith: Moogle left forearm</t>
  </si>
  <si>
    <t xml:space="preserve">ryaz </t>
  </si>
  <si>
    <t>Cait Sith: Cat body</t>
  </si>
  <si>
    <t xml:space="preserve">ryba </t>
  </si>
  <si>
    <t>Cait Sith: Cat head</t>
  </si>
  <si>
    <t xml:space="preserve">rybd </t>
  </si>
  <si>
    <t>Cait Sith: Cat left arm</t>
  </si>
  <si>
    <t xml:space="preserve">rybe </t>
  </si>
  <si>
    <t>Cait Sith: Cat left forearm</t>
  </si>
  <si>
    <t xml:space="preserve">rybf </t>
  </si>
  <si>
    <t>Cait Sith: Cat left hand</t>
  </si>
  <si>
    <t xml:space="preserve">rybi </t>
  </si>
  <si>
    <t>Cait Sith: Cat right arm</t>
  </si>
  <si>
    <t xml:space="preserve">rybj </t>
  </si>
  <si>
    <t>Cait Sith: Cat right forearm</t>
  </si>
  <si>
    <t xml:space="preserve">rybk </t>
  </si>
  <si>
    <t>Cait Sith: Cat right hand</t>
  </si>
  <si>
    <t xml:space="preserve">rybm </t>
  </si>
  <si>
    <t>Cait Sith: Cat cape</t>
  </si>
  <si>
    <t xml:space="preserve">rybo </t>
  </si>
  <si>
    <t>Cait Sith: Cat left tigh</t>
  </si>
  <si>
    <t xml:space="preserve">rybp </t>
  </si>
  <si>
    <t>Cait Sith: Cat left leg</t>
  </si>
  <si>
    <t xml:space="preserve">rybq </t>
  </si>
  <si>
    <t>Cait Sith: Cat left foot</t>
  </si>
  <si>
    <t xml:space="preserve">rybs </t>
  </si>
  <si>
    <t>Cait Sith: Cat tail part 1</t>
  </si>
  <si>
    <t xml:space="preserve">rybt </t>
  </si>
  <si>
    <t>Cait Sith: Cat tail part 2</t>
  </si>
  <si>
    <t xml:space="preserve">rybu </t>
  </si>
  <si>
    <t>Cait Sith: Cat tail part 3</t>
  </si>
  <si>
    <t xml:space="preserve">rybw </t>
  </si>
  <si>
    <t>Cait Sith: Cat right tigh</t>
  </si>
  <si>
    <t xml:space="preserve">rybx </t>
  </si>
  <si>
    <t>Cait Sith: Cat right leg</t>
  </si>
  <si>
    <t xml:space="preserve">ryby </t>
  </si>
  <si>
    <t>Cait Sith: Cat right foot</t>
  </si>
  <si>
    <t xml:space="preserve">rybz </t>
  </si>
  <si>
    <t>Cait Sith: Moogle head</t>
  </si>
  <si>
    <t xml:space="preserve">rycb </t>
  </si>
  <si>
    <t>Cait Sith: Moogle jaw</t>
  </si>
  <si>
    <t xml:space="preserve">ryce </t>
  </si>
  <si>
    <t>Cait Sith: Moogle right arm</t>
  </si>
  <si>
    <t xml:space="preserve">rycf </t>
  </si>
  <si>
    <t>Cait Sith: Moogle right forearm</t>
  </si>
  <si>
    <t xml:space="preserve">ryck </t>
  </si>
  <si>
    <t>Cait Sith: Yellow M-Phone</t>
  </si>
  <si>
    <t xml:space="preserve">rycl </t>
  </si>
  <si>
    <t>Cait Sith: Green M-Phone</t>
  </si>
  <si>
    <t xml:space="preserve">rycm </t>
  </si>
  <si>
    <t>Cait Sith: Blue M-Phone</t>
  </si>
  <si>
    <t xml:space="preserve">rycn </t>
  </si>
  <si>
    <t>Cait Sith: Red M-Phone</t>
  </si>
  <si>
    <t xml:space="preserve">ryco </t>
  </si>
  <si>
    <t>Cait Sith: Crystal M-Phone</t>
  </si>
  <si>
    <t xml:space="preserve">rycp </t>
  </si>
  <si>
    <t>Cait Sith: White M-Phone</t>
  </si>
  <si>
    <t xml:space="preserve">rycq </t>
  </si>
  <si>
    <t>Cait Sith: Black M-Phone</t>
  </si>
  <si>
    <t xml:space="preserve">rycr </t>
  </si>
  <si>
    <t>Cait Sith: Silver M-Phone</t>
  </si>
  <si>
    <t xml:space="preserve">rycs </t>
  </si>
  <si>
    <t>Cait Sith: Trumpet Shell</t>
  </si>
  <si>
    <t xml:space="preserve">ryct </t>
  </si>
  <si>
    <t>Cait Sith: Gold M-Phone</t>
  </si>
  <si>
    <t xml:space="preserve">rycu </t>
  </si>
  <si>
    <t>Cait Sith: Battle Trumpet</t>
  </si>
  <si>
    <t xml:space="preserve">rycv </t>
  </si>
  <si>
    <t>Cait Sith: Starlight Phone</t>
  </si>
  <si>
    <t xml:space="preserve">rycw </t>
  </si>
  <si>
    <t>Cait Sith: Unidentified Weapon</t>
  </si>
  <si>
    <t xml:space="preserve">rycx </t>
  </si>
  <si>
    <t>Cait Sith: HP Shout</t>
  </si>
  <si>
    <t xml:space="preserve">rycy </t>
  </si>
  <si>
    <t xml:space="preserve">rycz </t>
  </si>
  <si>
    <t xml:space="preserve">ryda </t>
  </si>
  <si>
    <t xml:space="preserve">rzaa </t>
  </si>
  <si>
    <t>Cid: Battle Skeleton</t>
  </si>
  <si>
    <t xml:space="preserve">rzab </t>
  </si>
  <si>
    <t>Cid: Unidentified Part</t>
  </si>
  <si>
    <t xml:space="preserve">rzac </t>
  </si>
  <si>
    <t xml:space="preserve">rzad </t>
  </si>
  <si>
    <t>Cid: Beard</t>
  </si>
  <si>
    <t xml:space="preserve">rzae </t>
  </si>
  <si>
    <t xml:space="preserve">rzam </t>
  </si>
  <si>
    <t xml:space="preserve">rzan </t>
  </si>
  <si>
    <t>Cid: Chest</t>
  </si>
  <si>
    <t xml:space="preserve">rzao </t>
  </si>
  <si>
    <t xml:space="preserve">rzas </t>
  </si>
  <si>
    <t>Cid: Left arm</t>
  </si>
  <si>
    <t xml:space="preserve">rzat </t>
  </si>
  <si>
    <t>Cid: Left forearm</t>
  </si>
  <si>
    <t xml:space="preserve">rzau </t>
  </si>
  <si>
    <t>Cid: Left hand</t>
  </si>
  <si>
    <t xml:space="preserve">rzaw </t>
  </si>
  <si>
    <t>Cid: Upper Jacket Section</t>
  </si>
  <si>
    <t xml:space="preserve">rzax </t>
  </si>
  <si>
    <t>Cid: Lower Jacket Section</t>
  </si>
  <si>
    <t xml:space="preserve">rzba </t>
  </si>
  <si>
    <t>Cid: Right arm</t>
  </si>
  <si>
    <t xml:space="preserve">rzbb </t>
  </si>
  <si>
    <t>Cid: Right forearm</t>
  </si>
  <si>
    <t xml:space="preserve">rzbc </t>
  </si>
  <si>
    <t>Cid: Right hand</t>
  </si>
  <si>
    <t xml:space="preserve">rzbe </t>
  </si>
  <si>
    <t>Cid: Left tigh</t>
  </si>
  <si>
    <t xml:space="preserve">rzbf </t>
  </si>
  <si>
    <t>Cid: Left leg</t>
  </si>
  <si>
    <t xml:space="preserve">rzbg </t>
  </si>
  <si>
    <t>Cid: Left ankle</t>
  </si>
  <si>
    <t xml:space="preserve">rzbi </t>
  </si>
  <si>
    <t>Cid: Left foot</t>
  </si>
  <si>
    <t xml:space="preserve">rzbk </t>
  </si>
  <si>
    <t>Cid: Right tigh</t>
  </si>
  <si>
    <t xml:space="preserve">rzbl </t>
  </si>
  <si>
    <t>Cid: Right leg</t>
  </si>
  <si>
    <t xml:space="preserve">rzbm </t>
  </si>
  <si>
    <t>Cid: Right ankle</t>
  </si>
  <si>
    <t xml:space="preserve">rzbo </t>
  </si>
  <si>
    <t>Cid: Right foot</t>
  </si>
  <si>
    <t xml:space="preserve">rzck </t>
  </si>
  <si>
    <t>Cid: Spear</t>
  </si>
  <si>
    <t xml:space="preserve">rzcl </t>
  </si>
  <si>
    <t>Cid: Slash Lance</t>
  </si>
  <si>
    <t xml:space="preserve">rzcm </t>
  </si>
  <si>
    <t>Cid: Trident</t>
  </si>
  <si>
    <t xml:space="preserve">rzcn </t>
  </si>
  <si>
    <t>Cid: Mast Axe</t>
  </si>
  <si>
    <t xml:space="preserve">rzco </t>
  </si>
  <si>
    <t>Cid: Partisan</t>
  </si>
  <si>
    <t xml:space="preserve">rzcp </t>
  </si>
  <si>
    <t>Cid: Viper Halberd</t>
  </si>
  <si>
    <t xml:space="preserve">rzcq </t>
  </si>
  <si>
    <t>Cid: Javelin</t>
  </si>
  <si>
    <t xml:space="preserve">rzcr </t>
  </si>
  <si>
    <t>Cid: Grow Lance</t>
  </si>
  <si>
    <t xml:space="preserve">rzcs </t>
  </si>
  <si>
    <t>Cid: Mop</t>
  </si>
  <si>
    <t xml:space="preserve">rzct </t>
  </si>
  <si>
    <t>Cid: Dragoon Lance</t>
  </si>
  <si>
    <t xml:space="preserve">rzcu </t>
  </si>
  <si>
    <t>Cid: Scimitar</t>
  </si>
  <si>
    <t xml:space="preserve">rzcv </t>
  </si>
  <si>
    <t>Cid: Flayer</t>
  </si>
  <si>
    <t xml:space="preserve">rzcw </t>
  </si>
  <si>
    <t>Cid: Spirit Lance</t>
  </si>
  <si>
    <t xml:space="preserve">rzcx </t>
  </si>
  <si>
    <t>Cid: Venus Gospel</t>
  </si>
  <si>
    <t xml:space="preserve">rzcy </t>
  </si>
  <si>
    <t xml:space="preserve">rzcz </t>
  </si>
  <si>
    <t xml:space="preserve">rzda </t>
  </si>
  <si>
    <t xml:space="preserve">saaa </t>
  </si>
  <si>
    <t xml:space="preserve">saab </t>
  </si>
  <si>
    <t xml:space="preserve">saac </t>
  </si>
  <si>
    <t xml:space="preserve">saad </t>
  </si>
  <si>
    <t xml:space="preserve">saam </t>
  </si>
  <si>
    <t>Sephiroth: Chest</t>
  </si>
  <si>
    <t xml:space="preserve">saan </t>
  </si>
  <si>
    <t xml:space="preserve">saap </t>
  </si>
  <si>
    <t>Sephiroth: Hair lock A part 1</t>
  </si>
  <si>
    <t xml:space="preserve">saaq </t>
  </si>
  <si>
    <t>Sephiroth: Hair lock A part 2</t>
  </si>
  <si>
    <t xml:space="preserve">saar </t>
  </si>
  <si>
    <t>Sephiroth: Hair lock A part 3</t>
  </si>
  <si>
    <t xml:space="preserve">saas </t>
  </si>
  <si>
    <t>Sephiroth: Hair lock A part 4</t>
  </si>
  <si>
    <t xml:space="preserve">saat </t>
  </si>
  <si>
    <t>Sephiroth: Hair lock A part 5</t>
  </si>
  <si>
    <t xml:space="preserve">saav </t>
  </si>
  <si>
    <t>Sephiroth: Hair lock B part 1</t>
  </si>
  <si>
    <t xml:space="preserve">saaw </t>
  </si>
  <si>
    <t>Sephiroth: Hair lock B part 2</t>
  </si>
  <si>
    <t xml:space="preserve">saax </t>
  </si>
  <si>
    <t>Sephiroth: Hair lock B part 3</t>
  </si>
  <si>
    <t xml:space="preserve">saay </t>
  </si>
  <si>
    <t>Sephiroth: Hair lock B part 4</t>
  </si>
  <si>
    <t xml:space="preserve">saaz </t>
  </si>
  <si>
    <t>Sephiroth: Hair lock B part 5</t>
  </si>
  <si>
    <t xml:space="preserve">sabb </t>
  </si>
  <si>
    <t>Sephiroth: Hair lock C part 1</t>
  </si>
  <si>
    <t xml:space="preserve">sabc </t>
  </si>
  <si>
    <t>Sephiroth: Hair lock C part 2</t>
  </si>
  <si>
    <t xml:space="preserve">sabd </t>
  </si>
  <si>
    <t>Sephiroth: Hair lock C part 3</t>
  </si>
  <si>
    <t xml:space="preserve">sabe </t>
  </si>
  <si>
    <t>Sephiroth: Hair lock C part 4</t>
  </si>
  <si>
    <t xml:space="preserve">sabf </t>
  </si>
  <si>
    <t>Sephiroth: Hair lock C part 5</t>
  </si>
  <si>
    <t xml:space="preserve">sabg </t>
  </si>
  <si>
    <t>Sephiroth: Hip</t>
  </si>
  <si>
    <t xml:space="preserve">sabi </t>
  </si>
  <si>
    <t>Sephiroth: Left tigh</t>
  </si>
  <si>
    <t xml:space="preserve">sabj </t>
  </si>
  <si>
    <t>Sephiroth: Left leg</t>
  </si>
  <si>
    <t xml:space="preserve">sabk </t>
  </si>
  <si>
    <t>Sephiroth: Left ankle</t>
  </si>
  <si>
    <t xml:space="preserve">sabl </t>
  </si>
  <si>
    <t>Sephiroth: Left foot</t>
  </si>
  <si>
    <t xml:space="preserve">sabn </t>
  </si>
  <si>
    <t>Sephiroth: Left lower coat</t>
  </si>
  <si>
    <t xml:space="preserve">sabp </t>
  </si>
  <si>
    <t>Sephiroth: Right lower coat</t>
  </si>
  <si>
    <t xml:space="preserve">sabr </t>
  </si>
  <si>
    <t>Sephiroth: Back lower coat</t>
  </si>
  <si>
    <t xml:space="preserve">sabt </t>
  </si>
  <si>
    <t>Sephiroth: Right tigh</t>
  </si>
  <si>
    <t xml:space="preserve">sabu </t>
  </si>
  <si>
    <t>Sephiroth: Right leg</t>
  </si>
  <si>
    <t xml:space="preserve">sabv </t>
  </si>
  <si>
    <t>Sephiroth: Right ankle</t>
  </si>
  <si>
    <t xml:space="preserve">sabw </t>
  </si>
  <si>
    <t>Sephiroth: Right foot</t>
  </si>
  <si>
    <t xml:space="preserve">sabz </t>
  </si>
  <si>
    <t>Sephiroth: Left arm</t>
  </si>
  <si>
    <t xml:space="preserve">saca </t>
  </si>
  <si>
    <t>Sephiroth: Left forearm</t>
  </si>
  <si>
    <t xml:space="preserve">sacb </t>
  </si>
  <si>
    <t>Sephiroth: Left hand</t>
  </si>
  <si>
    <t xml:space="preserve">sace </t>
  </si>
  <si>
    <t>Sephiroth: Right arm</t>
  </si>
  <si>
    <t xml:space="preserve">sacf </t>
  </si>
  <si>
    <t>Sephiroth: Right forearm</t>
  </si>
  <si>
    <t xml:space="preserve">sacg </t>
  </si>
  <si>
    <t>Sephiroth: Right hand</t>
  </si>
  <si>
    <t xml:space="preserve">sack </t>
  </si>
  <si>
    <t xml:space="preserve">sacl </t>
  </si>
  <si>
    <t xml:space="preserve">sacm </t>
  </si>
  <si>
    <t xml:space="preserve">sacn </t>
  </si>
  <si>
    <t xml:space="preserve">saco </t>
  </si>
  <si>
    <t xml:space="preserve">sacp </t>
  </si>
  <si>
    <t xml:space="preserve">sacq </t>
  </si>
  <si>
    <t xml:space="preserve">sacr </t>
  </si>
  <si>
    <t xml:space="preserve">sacs </t>
  </si>
  <si>
    <t xml:space="preserve">sact </t>
  </si>
  <si>
    <t xml:space="preserve">sacu </t>
  </si>
  <si>
    <t xml:space="preserve">sacv </t>
  </si>
  <si>
    <t xml:space="preserve">sacw </t>
  </si>
  <si>
    <t xml:space="preserve">sacx </t>
  </si>
  <si>
    <t xml:space="preserve">sacy </t>
  </si>
  <si>
    <t xml:space="preserve">sacz </t>
  </si>
  <si>
    <t xml:space="preserve">sada </t>
  </si>
  <si>
    <t xml:space="preserve">sbaa </t>
  </si>
  <si>
    <t>Barret:Battle Skeleton</t>
  </si>
  <si>
    <t xml:space="preserve">sbab </t>
  </si>
  <si>
    <t>Barret: Unidentified Part</t>
  </si>
  <si>
    <t xml:space="preserve">sbac </t>
  </si>
  <si>
    <t>Barret: Beard</t>
  </si>
  <si>
    <t xml:space="preserve">sbad </t>
  </si>
  <si>
    <t>Barret: Eyes</t>
  </si>
  <si>
    <t xml:space="preserve">sbae </t>
  </si>
  <si>
    <t>Barret: Tattoo</t>
  </si>
  <si>
    <t xml:space="preserve">sbam </t>
  </si>
  <si>
    <t>Barret: Hip</t>
  </si>
  <si>
    <t xml:space="preserve">sban </t>
  </si>
  <si>
    <t>Barret: Chest</t>
  </si>
  <si>
    <t xml:space="preserve">sbao </t>
  </si>
  <si>
    <t xml:space="preserve">sbar </t>
  </si>
  <si>
    <t>Barret: Left arm</t>
  </si>
  <si>
    <t xml:space="preserve">sbas </t>
  </si>
  <si>
    <t>Barret: Left forearm</t>
  </si>
  <si>
    <t xml:space="preserve">sbat </t>
  </si>
  <si>
    <t>Barret: Left hand</t>
  </si>
  <si>
    <t xml:space="preserve">sbaw </t>
  </si>
  <si>
    <t>Barret: Right arm</t>
  </si>
  <si>
    <t xml:space="preserve">sbax </t>
  </si>
  <si>
    <t>Barret: Right forearm</t>
  </si>
  <si>
    <t xml:space="preserve">sbaz </t>
  </si>
  <si>
    <t>Barret: Left tigh</t>
  </si>
  <si>
    <t xml:space="preserve">sbba </t>
  </si>
  <si>
    <t>Barret: Left leg</t>
  </si>
  <si>
    <t xml:space="preserve">sbbb </t>
  </si>
  <si>
    <t>Barret: Left ankle</t>
  </si>
  <si>
    <t xml:space="preserve">sbbc </t>
  </si>
  <si>
    <t>Barret: Left foot</t>
  </si>
  <si>
    <t xml:space="preserve">sbbe </t>
  </si>
  <si>
    <t>Barret: Right tigh</t>
  </si>
  <si>
    <t xml:space="preserve">sbbf </t>
  </si>
  <si>
    <t>Barret: Right leg</t>
  </si>
  <si>
    <t xml:space="preserve">sbbg </t>
  </si>
  <si>
    <t>Barret: Right ankle</t>
  </si>
  <si>
    <t xml:space="preserve">sbbh </t>
  </si>
  <si>
    <t>Barret: Right foot</t>
  </si>
  <si>
    <t xml:space="preserve">sbck </t>
  </si>
  <si>
    <t>Barret: Gatling Gun</t>
  </si>
  <si>
    <t xml:space="preserve">sbcl </t>
  </si>
  <si>
    <t>Barret: Cannon Ball</t>
  </si>
  <si>
    <t xml:space="preserve">sbcm </t>
  </si>
  <si>
    <t>Barret: Assault Gun</t>
  </si>
  <si>
    <t xml:space="preserve">sbcn </t>
  </si>
  <si>
    <t>Barret: Atomic Scissors</t>
  </si>
  <si>
    <t xml:space="preserve">sbco </t>
  </si>
  <si>
    <t>Barret: Heavy Vulcan</t>
  </si>
  <si>
    <t xml:space="preserve">sbcp </t>
  </si>
  <si>
    <t>Barret: Chain Saw</t>
  </si>
  <si>
    <t xml:space="preserve">sbcq </t>
  </si>
  <si>
    <t>Barret: Micro Laser</t>
  </si>
  <si>
    <t xml:space="preserve">sbcr </t>
  </si>
  <si>
    <t>Barret: AM Cannon</t>
  </si>
  <si>
    <t xml:space="preserve">sbcs </t>
  </si>
  <si>
    <t>Barret: W Machine Gun</t>
  </si>
  <si>
    <t xml:space="preserve">sbct </t>
  </si>
  <si>
    <t>Barret: Drill Arm</t>
  </si>
  <si>
    <t xml:space="preserve">sbcu </t>
  </si>
  <si>
    <t>Barret: Solid Bazooka</t>
  </si>
  <si>
    <t xml:space="preserve">sbcv </t>
  </si>
  <si>
    <t>Barret: Rocket Punch</t>
  </si>
  <si>
    <t xml:space="preserve">sbcw </t>
  </si>
  <si>
    <t>Barret: Enemy Launcher</t>
  </si>
  <si>
    <t xml:space="preserve">sbcx </t>
  </si>
  <si>
    <t>Barret: Pile Banger</t>
  </si>
  <si>
    <t xml:space="preserve">sbcy </t>
  </si>
  <si>
    <t>Barret: Max Ray</t>
  </si>
  <si>
    <t xml:space="preserve">sbcz </t>
  </si>
  <si>
    <t>Barret: Missing Score</t>
  </si>
  <si>
    <t xml:space="preserve">sbda </t>
  </si>
  <si>
    <t xml:space="preserve">scaa </t>
  </si>
  <si>
    <t xml:space="preserve">scab </t>
  </si>
  <si>
    <t xml:space="preserve">scac </t>
  </si>
  <si>
    <t xml:space="preserve">scad </t>
  </si>
  <si>
    <t xml:space="preserve">scae </t>
  </si>
  <si>
    <t xml:space="preserve">scam </t>
  </si>
  <si>
    <t xml:space="preserve">scan </t>
  </si>
  <si>
    <t xml:space="preserve">scao </t>
  </si>
  <si>
    <t xml:space="preserve">scar </t>
  </si>
  <si>
    <t xml:space="preserve">scas </t>
  </si>
  <si>
    <t xml:space="preserve">scat </t>
  </si>
  <si>
    <t xml:space="preserve">scaw </t>
  </si>
  <si>
    <t xml:space="preserve">scax </t>
  </si>
  <si>
    <t xml:space="preserve">scaz </t>
  </si>
  <si>
    <t xml:space="preserve">scba </t>
  </si>
  <si>
    <t xml:space="preserve">scbb </t>
  </si>
  <si>
    <t xml:space="preserve">scbc </t>
  </si>
  <si>
    <t xml:space="preserve">scbe </t>
  </si>
  <si>
    <t xml:space="preserve">scbf </t>
  </si>
  <si>
    <t xml:space="preserve">scbg </t>
  </si>
  <si>
    <t xml:space="preserve">scbh </t>
  </si>
  <si>
    <t xml:space="preserve">scck </t>
  </si>
  <si>
    <t xml:space="preserve">sccl </t>
  </si>
  <si>
    <t xml:space="preserve">sccm </t>
  </si>
  <si>
    <t xml:space="preserve">sccn </t>
  </si>
  <si>
    <t xml:space="preserve">scco </t>
  </si>
  <si>
    <t xml:space="preserve">sccp </t>
  </si>
  <si>
    <t xml:space="preserve">sccq </t>
  </si>
  <si>
    <t xml:space="preserve">sccr </t>
  </si>
  <si>
    <t xml:space="preserve">sccs </t>
  </si>
  <si>
    <t xml:space="preserve">scct </t>
  </si>
  <si>
    <t xml:space="preserve">sccu </t>
  </si>
  <si>
    <t xml:space="preserve">sccv </t>
  </si>
  <si>
    <t xml:space="preserve">sccw </t>
  </si>
  <si>
    <t xml:space="preserve">sccx </t>
  </si>
  <si>
    <t xml:space="preserve">sccy </t>
  </si>
  <si>
    <t xml:space="preserve">sccz </t>
  </si>
  <si>
    <t xml:space="preserve">scda </t>
  </si>
  <si>
    <t xml:space="preserve">sdaa </t>
  </si>
  <si>
    <t xml:space="preserve">sdab </t>
  </si>
  <si>
    <t xml:space="preserve">sdac </t>
  </si>
  <si>
    <t xml:space="preserve">sdad </t>
  </si>
  <si>
    <t xml:space="preserve">sdae </t>
  </si>
  <si>
    <t xml:space="preserve">sdam </t>
  </si>
  <si>
    <t xml:space="preserve">sdan </t>
  </si>
  <si>
    <t xml:space="preserve">sdao </t>
  </si>
  <si>
    <t xml:space="preserve">sdar </t>
  </si>
  <si>
    <t xml:space="preserve">sdas </t>
  </si>
  <si>
    <t xml:space="preserve">sdat </t>
  </si>
  <si>
    <t xml:space="preserve">sdaw </t>
  </si>
  <si>
    <t xml:space="preserve">sdax </t>
  </si>
  <si>
    <t xml:space="preserve">sdaz </t>
  </si>
  <si>
    <t xml:space="preserve">sdba </t>
  </si>
  <si>
    <t xml:space="preserve">sdbb </t>
  </si>
  <si>
    <t xml:space="preserve">sdbc </t>
  </si>
  <si>
    <t xml:space="preserve">sdbe </t>
  </si>
  <si>
    <t xml:space="preserve">sdbf </t>
  </si>
  <si>
    <t xml:space="preserve">sdbg </t>
  </si>
  <si>
    <t xml:space="preserve">sdbh </t>
  </si>
  <si>
    <t xml:space="preserve">sdck </t>
  </si>
  <si>
    <t xml:space="preserve">sdcl </t>
  </si>
  <si>
    <t xml:space="preserve">sdcm </t>
  </si>
  <si>
    <t xml:space="preserve">sdcn </t>
  </si>
  <si>
    <t xml:space="preserve">sdco </t>
  </si>
  <si>
    <t xml:space="preserve">sdcp </t>
  </si>
  <si>
    <t xml:space="preserve">sdcq </t>
  </si>
  <si>
    <t xml:space="preserve">sdcr </t>
  </si>
  <si>
    <t xml:space="preserve">sdcs </t>
  </si>
  <si>
    <t xml:space="preserve">sdct </t>
  </si>
  <si>
    <t xml:space="preserve">sdcu </t>
  </si>
  <si>
    <t xml:space="preserve">sdcv </t>
  </si>
  <si>
    <t xml:space="preserve">sdcw </t>
  </si>
  <si>
    <t xml:space="preserve">sdcx </t>
  </si>
  <si>
    <t xml:space="preserve">sdcy </t>
  </si>
  <si>
    <t xml:space="preserve">sdcz </t>
  </si>
  <si>
    <t xml:space="preserve">sdda </t>
  </si>
  <si>
    <t xml:space="preserve">seaa </t>
  </si>
  <si>
    <t xml:space="preserve">seab </t>
  </si>
  <si>
    <t xml:space="preserve">seac </t>
  </si>
  <si>
    <t xml:space="preserve">sead </t>
  </si>
  <si>
    <t xml:space="preserve">seae </t>
  </si>
  <si>
    <t xml:space="preserve">seam </t>
  </si>
  <si>
    <t xml:space="preserve">sean </t>
  </si>
  <si>
    <t xml:space="preserve">seao </t>
  </si>
  <si>
    <t xml:space="preserve">sear </t>
  </si>
  <si>
    <t xml:space="preserve">seas </t>
  </si>
  <si>
    <t xml:space="preserve">seat </t>
  </si>
  <si>
    <t xml:space="preserve">seaw </t>
  </si>
  <si>
    <t xml:space="preserve">seax </t>
  </si>
  <si>
    <t xml:space="preserve">seaz </t>
  </si>
  <si>
    <t xml:space="preserve">seba </t>
  </si>
  <si>
    <t xml:space="preserve">sebb </t>
  </si>
  <si>
    <t xml:space="preserve">sebc </t>
  </si>
  <si>
    <t xml:space="preserve">sebe </t>
  </si>
  <si>
    <t xml:space="preserve">sebf </t>
  </si>
  <si>
    <t xml:space="preserve">sebg </t>
  </si>
  <si>
    <t xml:space="preserve">sebh </t>
  </si>
  <si>
    <t xml:space="preserve">seck </t>
  </si>
  <si>
    <t xml:space="preserve">secl </t>
  </si>
  <si>
    <t xml:space="preserve">secm </t>
  </si>
  <si>
    <t xml:space="preserve">secn </t>
  </si>
  <si>
    <t xml:space="preserve">seco </t>
  </si>
  <si>
    <t xml:space="preserve">secp </t>
  </si>
  <si>
    <t xml:space="preserve">secq </t>
  </si>
  <si>
    <t xml:space="preserve">secr </t>
  </si>
  <si>
    <t xml:space="preserve">secs </t>
  </si>
  <si>
    <t xml:space="preserve">sect </t>
  </si>
  <si>
    <t xml:space="preserve">secu </t>
  </si>
  <si>
    <t xml:space="preserve">secv </t>
  </si>
  <si>
    <t xml:space="preserve">secw </t>
  </si>
  <si>
    <t xml:space="preserve">secx </t>
  </si>
  <si>
    <t xml:space="preserve">secy </t>
  </si>
  <si>
    <t xml:space="preserve">secz </t>
  </si>
  <si>
    <t xml:space="preserve">seda </t>
  </si>
  <si>
    <t xml:space="preserve">sfaa </t>
  </si>
  <si>
    <t>Vincent: Battle Skeleton</t>
  </si>
  <si>
    <t xml:space="preserve">Different models for each weapon </t>
  </si>
  <si>
    <t xml:space="preserve">sfab </t>
  </si>
  <si>
    <t>Vincent: Unidentified Part</t>
  </si>
  <si>
    <t>stance, this model is used for pistols</t>
  </si>
  <si>
    <t xml:space="preserve">sfac </t>
  </si>
  <si>
    <t>This Section is Wrong</t>
  </si>
  <si>
    <t xml:space="preserve">sfad </t>
  </si>
  <si>
    <t xml:space="preserve">sfam </t>
  </si>
  <si>
    <t>Vincent: Chest</t>
  </si>
  <si>
    <t xml:space="preserve">sfan </t>
  </si>
  <si>
    <t xml:space="preserve">sfap </t>
  </si>
  <si>
    <t xml:space="preserve">Vincent: Cape part </t>
  </si>
  <si>
    <t xml:space="preserve">sfaq </t>
  </si>
  <si>
    <t>Vincent: Cape part</t>
  </si>
  <si>
    <t xml:space="preserve">sfar </t>
  </si>
  <si>
    <t xml:space="preserve">sfat </t>
  </si>
  <si>
    <t xml:space="preserve">sfau </t>
  </si>
  <si>
    <t xml:space="preserve">sfax </t>
  </si>
  <si>
    <t xml:space="preserve">sfay </t>
  </si>
  <si>
    <t xml:space="preserve">sfaz </t>
  </si>
  <si>
    <t xml:space="preserve">sfbb </t>
  </si>
  <si>
    <t xml:space="preserve">sfbc </t>
  </si>
  <si>
    <t xml:space="preserve">sfbd </t>
  </si>
  <si>
    <t xml:space="preserve">sfbf </t>
  </si>
  <si>
    <t xml:space="preserve">sfbg </t>
  </si>
  <si>
    <t xml:space="preserve">sfbh </t>
  </si>
  <si>
    <t xml:space="preserve">sfbj </t>
  </si>
  <si>
    <t xml:space="preserve">sfbk </t>
  </si>
  <si>
    <t xml:space="preserve">sfbl </t>
  </si>
  <si>
    <t xml:space="preserve">sfbm </t>
  </si>
  <si>
    <t>Vincent: Hip</t>
  </si>
  <si>
    <t xml:space="preserve">sfbo </t>
  </si>
  <si>
    <t>Vincent: Left tigh</t>
  </si>
  <si>
    <t xml:space="preserve">sfbp </t>
  </si>
  <si>
    <t>Vincent: Left leg</t>
  </si>
  <si>
    <t xml:space="preserve">sfbq </t>
  </si>
  <si>
    <t>Vincent: Left ankle</t>
  </si>
  <si>
    <t xml:space="preserve">sfbr </t>
  </si>
  <si>
    <t>680 Bytes</t>
  </si>
  <si>
    <t>Vincent: Left foot</t>
  </si>
  <si>
    <t xml:space="preserve">sfbt </t>
  </si>
  <si>
    <t>Vincent: Right tigh</t>
  </si>
  <si>
    <t xml:space="preserve">sfbu </t>
  </si>
  <si>
    <t>Vincent: Right leg</t>
  </si>
  <si>
    <t xml:space="preserve">sfbv </t>
  </si>
  <si>
    <t>Vincent: Right ankle</t>
  </si>
  <si>
    <t xml:space="preserve">sfbw </t>
  </si>
  <si>
    <t>Vincent: Right foot</t>
  </si>
  <si>
    <t xml:space="preserve">sfbz </t>
  </si>
  <si>
    <t>Vincent: Left arm</t>
  </si>
  <si>
    <t xml:space="preserve">sfca </t>
  </si>
  <si>
    <t>Vincent: Left forearm</t>
  </si>
  <si>
    <t xml:space="preserve">sfcb </t>
  </si>
  <si>
    <t>Vincent: Left hand</t>
  </si>
  <si>
    <t xml:space="preserve">sfce </t>
  </si>
  <si>
    <t>Vincent: Right arm</t>
  </si>
  <si>
    <t xml:space="preserve">sfcf </t>
  </si>
  <si>
    <t>Vincent: Right forearm</t>
  </si>
  <si>
    <t xml:space="preserve">sfcg </t>
  </si>
  <si>
    <t>Vincent: Right hand</t>
  </si>
  <si>
    <t xml:space="preserve">sfck </t>
  </si>
  <si>
    <t>Vincent: Quicksilver</t>
  </si>
  <si>
    <t xml:space="preserve">sfcl </t>
  </si>
  <si>
    <t>Vincent: Shotgun</t>
  </si>
  <si>
    <t xml:space="preserve">sfcm </t>
  </si>
  <si>
    <t>Vincent: Shortbarrel</t>
  </si>
  <si>
    <t xml:space="preserve">sfcn </t>
  </si>
  <si>
    <t>Vincent: Lariat</t>
  </si>
  <si>
    <t xml:space="preserve">sfco </t>
  </si>
  <si>
    <t>Vincent: Winchester</t>
  </si>
  <si>
    <t xml:space="preserve">sfcp </t>
  </si>
  <si>
    <t>Vincent: Peacemaker</t>
  </si>
  <si>
    <t xml:space="preserve">sfcq </t>
  </si>
  <si>
    <t>Vincent: Buntline</t>
  </si>
  <si>
    <t xml:space="preserve">sfcr </t>
  </si>
  <si>
    <t>Vincent: Long Barrel R</t>
  </si>
  <si>
    <t xml:space="preserve">sfcs </t>
  </si>
  <si>
    <t>Vincent: Silver Rifle</t>
  </si>
  <si>
    <t xml:space="preserve">sfct </t>
  </si>
  <si>
    <t>Vincent: Sniper CR</t>
  </si>
  <si>
    <t xml:space="preserve">sfcu </t>
  </si>
  <si>
    <t>Vincent: Supershot ST</t>
  </si>
  <si>
    <t xml:space="preserve">sfcv </t>
  </si>
  <si>
    <t>Vincent: Outsider</t>
  </si>
  <si>
    <t xml:space="preserve">sfcw </t>
  </si>
  <si>
    <t>Vincent: Death Penalty</t>
  </si>
  <si>
    <t xml:space="preserve">sfcx </t>
  </si>
  <si>
    <t xml:space="preserve">sfcy </t>
  </si>
  <si>
    <t xml:space="preserve">sfcz </t>
  </si>
  <si>
    <t xml:space="preserve">sfda </t>
  </si>
  <si>
    <t xml:space="preserve">sgaa </t>
  </si>
  <si>
    <t xml:space="preserve">sgab </t>
  </si>
  <si>
    <t>stance, this model is used for shotguns</t>
  </si>
  <si>
    <t xml:space="preserve">sgac </t>
  </si>
  <si>
    <t xml:space="preserve">sgad </t>
  </si>
  <si>
    <t xml:space="preserve">sgam </t>
  </si>
  <si>
    <t xml:space="preserve">sgan </t>
  </si>
  <si>
    <t xml:space="preserve">sgap </t>
  </si>
  <si>
    <t xml:space="preserve">sgaq </t>
  </si>
  <si>
    <t xml:space="preserve">sgar </t>
  </si>
  <si>
    <t xml:space="preserve">sgat </t>
  </si>
  <si>
    <t xml:space="preserve">sgau </t>
  </si>
  <si>
    <t xml:space="preserve">sgax </t>
  </si>
  <si>
    <t xml:space="preserve">sgay </t>
  </si>
  <si>
    <t xml:space="preserve">sgaz </t>
  </si>
  <si>
    <t xml:space="preserve">sgbb </t>
  </si>
  <si>
    <t xml:space="preserve">sgbc </t>
  </si>
  <si>
    <t xml:space="preserve">sgbd </t>
  </si>
  <si>
    <t xml:space="preserve">sgbf </t>
  </si>
  <si>
    <t xml:space="preserve">sgbg </t>
  </si>
  <si>
    <t xml:space="preserve">sgbh </t>
  </si>
  <si>
    <t xml:space="preserve">sgbj </t>
  </si>
  <si>
    <t xml:space="preserve">sgbk </t>
  </si>
  <si>
    <t xml:space="preserve">sgbl </t>
  </si>
  <si>
    <t xml:space="preserve">sgbm </t>
  </si>
  <si>
    <t xml:space="preserve">sgbo </t>
  </si>
  <si>
    <t xml:space="preserve">sgbp </t>
  </si>
  <si>
    <t xml:space="preserve">sgbq </t>
  </si>
  <si>
    <t xml:space="preserve">sgbr </t>
  </si>
  <si>
    <t xml:space="preserve">sgbt </t>
  </si>
  <si>
    <t xml:space="preserve">sgbu </t>
  </si>
  <si>
    <t xml:space="preserve">sgbv </t>
  </si>
  <si>
    <t xml:space="preserve">sgbw </t>
  </si>
  <si>
    <t xml:space="preserve">sgbz </t>
  </si>
  <si>
    <t xml:space="preserve">sgca </t>
  </si>
  <si>
    <t xml:space="preserve">sgcb </t>
  </si>
  <si>
    <t xml:space="preserve">sgce </t>
  </si>
  <si>
    <t xml:space="preserve">sgcf </t>
  </si>
  <si>
    <t xml:space="preserve">sgcg </t>
  </si>
  <si>
    <t xml:space="preserve">sgck </t>
  </si>
  <si>
    <t xml:space="preserve">sgcl </t>
  </si>
  <si>
    <t xml:space="preserve">sgcm </t>
  </si>
  <si>
    <t xml:space="preserve">sgcn </t>
  </si>
  <si>
    <t xml:space="preserve">sgco </t>
  </si>
  <si>
    <t xml:space="preserve">sgcp </t>
  </si>
  <si>
    <t xml:space="preserve">sgcq </t>
  </si>
  <si>
    <t xml:space="preserve">sgcr </t>
  </si>
  <si>
    <t xml:space="preserve">sgcs </t>
  </si>
  <si>
    <t xml:space="preserve">sgct </t>
  </si>
  <si>
    <t xml:space="preserve">sgcu </t>
  </si>
  <si>
    <t xml:space="preserve">sgcv </t>
  </si>
  <si>
    <t xml:space="preserve">sgcw </t>
  </si>
  <si>
    <t xml:space="preserve">sgcx </t>
  </si>
  <si>
    <t xml:space="preserve">sgcy </t>
  </si>
  <si>
    <t xml:space="preserve">sgcz </t>
  </si>
  <si>
    <t xml:space="preserve">sgda </t>
  </si>
  <si>
    <t xml:space="preserve">shaa </t>
  </si>
  <si>
    <t xml:space="preserve">shab </t>
  </si>
  <si>
    <t>stance, this model is used for rifles</t>
  </si>
  <si>
    <t xml:space="preserve">shac </t>
  </si>
  <si>
    <t xml:space="preserve">shad </t>
  </si>
  <si>
    <t xml:space="preserve">sham </t>
  </si>
  <si>
    <t xml:space="preserve">shan </t>
  </si>
  <si>
    <t xml:space="preserve">shap </t>
  </si>
  <si>
    <t xml:space="preserve">shaq </t>
  </si>
  <si>
    <t xml:space="preserve">shar </t>
  </si>
  <si>
    <t xml:space="preserve">shat </t>
  </si>
  <si>
    <t xml:space="preserve">shau </t>
  </si>
  <si>
    <t xml:space="preserve">shax </t>
  </si>
  <si>
    <t xml:space="preserve">shay </t>
  </si>
  <si>
    <t xml:space="preserve">shaz </t>
  </si>
  <si>
    <t xml:space="preserve">shbb </t>
  </si>
  <si>
    <t xml:space="preserve">shbc </t>
  </si>
  <si>
    <t xml:space="preserve">shbd </t>
  </si>
  <si>
    <t xml:space="preserve">shbf </t>
  </si>
  <si>
    <t xml:space="preserve">shbg </t>
  </si>
  <si>
    <t xml:space="preserve">shbh </t>
  </si>
  <si>
    <t xml:space="preserve">shbj </t>
  </si>
  <si>
    <t xml:space="preserve">shbk </t>
  </si>
  <si>
    <t xml:space="preserve">shbl </t>
  </si>
  <si>
    <t xml:space="preserve">shbm </t>
  </si>
  <si>
    <t xml:space="preserve">shbo </t>
  </si>
  <si>
    <t xml:space="preserve">shbp </t>
  </si>
  <si>
    <t xml:space="preserve">shbq </t>
  </si>
  <si>
    <t xml:space="preserve">shbr </t>
  </si>
  <si>
    <t xml:space="preserve">shbt </t>
  </si>
  <si>
    <t xml:space="preserve">shbu </t>
  </si>
  <si>
    <t xml:space="preserve">shbv </t>
  </si>
  <si>
    <t xml:space="preserve">shbw </t>
  </si>
  <si>
    <t xml:space="preserve">shbz </t>
  </si>
  <si>
    <t xml:space="preserve">shca </t>
  </si>
  <si>
    <t xml:space="preserve">shcb </t>
  </si>
  <si>
    <t xml:space="preserve">shce </t>
  </si>
  <si>
    <t xml:space="preserve">shcf </t>
  </si>
  <si>
    <t xml:space="preserve">shcg </t>
  </si>
  <si>
    <t xml:space="preserve">shck </t>
  </si>
  <si>
    <t xml:space="preserve">shcl </t>
  </si>
  <si>
    <t xml:space="preserve">shcm </t>
  </si>
  <si>
    <t xml:space="preserve">shcn </t>
  </si>
  <si>
    <t xml:space="preserve">shco </t>
  </si>
  <si>
    <t xml:space="preserve">shcp </t>
  </si>
  <si>
    <t xml:space="preserve">shcq </t>
  </si>
  <si>
    <t xml:space="preserve">shcr </t>
  </si>
  <si>
    <t xml:space="preserve">shcs </t>
  </si>
  <si>
    <t xml:space="preserve">shct </t>
  </si>
  <si>
    <t xml:space="preserve">shcu </t>
  </si>
  <si>
    <t xml:space="preserve">shcv </t>
  </si>
  <si>
    <t xml:space="preserve">shcw </t>
  </si>
  <si>
    <t xml:space="preserve">shcx </t>
  </si>
  <si>
    <t xml:space="preserve">shcy </t>
  </si>
  <si>
    <t xml:space="preserve">shcz </t>
  </si>
  <si>
    <t xml:space="preserve">shda </t>
  </si>
  <si>
    <t xml:space="preserve">siaa </t>
  </si>
  <si>
    <t>Final battle model ("hi res")</t>
  </si>
  <si>
    <t xml:space="preserve">siab </t>
  </si>
  <si>
    <t xml:space="preserve">siac </t>
  </si>
  <si>
    <t xml:space="preserve">siam </t>
  </si>
  <si>
    <t xml:space="preserve">sian </t>
  </si>
  <si>
    <t xml:space="preserve">siao </t>
  </si>
  <si>
    <t xml:space="preserve">siar </t>
  </si>
  <si>
    <t xml:space="preserve">sias </t>
  </si>
  <si>
    <t xml:space="preserve">siat </t>
  </si>
  <si>
    <t xml:space="preserve">siaw </t>
  </si>
  <si>
    <t xml:space="preserve">siax </t>
  </si>
  <si>
    <t xml:space="preserve">siay </t>
  </si>
  <si>
    <t xml:space="preserve">siba </t>
  </si>
  <si>
    <t xml:space="preserve">sibb </t>
  </si>
  <si>
    <t xml:space="preserve">sibc </t>
  </si>
  <si>
    <t xml:space="preserve">sibd </t>
  </si>
  <si>
    <t xml:space="preserve">sibf </t>
  </si>
  <si>
    <t xml:space="preserve">sibg </t>
  </si>
  <si>
    <t xml:space="preserve">sibh </t>
  </si>
  <si>
    <t xml:space="preserve">sibi </t>
  </si>
  <si>
    <t xml:space="preserve">sick </t>
  </si>
  <si>
    <t xml:space="preserve">sicl </t>
  </si>
  <si>
    <t xml:space="preserve">sicm </t>
  </si>
  <si>
    <t xml:space="preserve">sicn </t>
  </si>
  <si>
    <t xml:space="preserve">sico </t>
  </si>
  <si>
    <t xml:space="preserve">sicp </t>
  </si>
  <si>
    <t xml:space="preserve">sicq </t>
  </si>
  <si>
    <t xml:space="preserve">sicr </t>
  </si>
  <si>
    <t xml:space="preserve">sics </t>
  </si>
  <si>
    <t xml:space="preserve">sict </t>
  </si>
  <si>
    <t xml:space="preserve">sicu </t>
  </si>
  <si>
    <t xml:space="preserve">sicv </t>
  </si>
  <si>
    <t xml:space="preserve">sicw </t>
  </si>
  <si>
    <t xml:space="preserve">sicx </t>
  </si>
  <si>
    <t xml:space="preserve">sicy </t>
  </si>
  <si>
    <t xml:space="preserve">sicz </t>
  </si>
  <si>
    <t xml:space="preserve">sida </t>
  </si>
  <si>
    <t xml:space="preserve">sjaa </t>
  </si>
  <si>
    <t>Gallian Beast: Battle Skeleton</t>
  </si>
  <si>
    <t xml:space="preserve">sjab </t>
  </si>
  <si>
    <t>Gallian Beast: Unidentified Part</t>
  </si>
  <si>
    <t xml:space="preserve">sjam </t>
  </si>
  <si>
    <t>Gallian Beast: Hip</t>
  </si>
  <si>
    <t xml:space="preserve">sjan </t>
  </si>
  <si>
    <t>Gallian Beast: Chest</t>
  </si>
  <si>
    <t xml:space="preserve">sjap </t>
  </si>
  <si>
    <t>Gallian Beast: Left arm</t>
  </si>
  <si>
    <t xml:space="preserve">sjaq </t>
  </si>
  <si>
    <t>Gallian Beast: Left forearm</t>
  </si>
  <si>
    <t xml:space="preserve">sjar </t>
  </si>
  <si>
    <t>Gallian Beast: Left hand</t>
  </si>
  <si>
    <t xml:space="preserve">sjat </t>
  </si>
  <si>
    <t>Gallian Beast: Left hand claws</t>
  </si>
  <si>
    <t xml:space="preserve">sjav </t>
  </si>
  <si>
    <t>Gallian Beast: Left hand claw</t>
  </si>
  <si>
    <t xml:space="preserve">sjax </t>
  </si>
  <si>
    <t>864 Bytes</t>
  </si>
  <si>
    <t xml:space="preserve">sjaz </t>
  </si>
  <si>
    <t xml:space="preserve">sjbb </t>
  </si>
  <si>
    <t>Gallian Beast: Head</t>
  </si>
  <si>
    <t xml:space="preserve">sjbd </t>
  </si>
  <si>
    <t>Gallian Beast: Jaw</t>
  </si>
  <si>
    <t xml:space="preserve">sjbf </t>
  </si>
  <si>
    <t>Gallian Beast: Right arm</t>
  </si>
  <si>
    <t xml:space="preserve">sjbg </t>
  </si>
  <si>
    <t>Gallian Beast: Right forearm</t>
  </si>
  <si>
    <t xml:space="preserve">sjbh </t>
  </si>
  <si>
    <t>Gallian Beast: Right hand</t>
  </si>
  <si>
    <t xml:space="preserve">sjbj </t>
  </si>
  <si>
    <t>Gallian Beast: Right hand claw</t>
  </si>
  <si>
    <t xml:space="preserve">sjbl </t>
  </si>
  <si>
    <t xml:space="preserve">sjbn </t>
  </si>
  <si>
    <t xml:space="preserve">sjbp </t>
  </si>
  <si>
    <t>Gallian Beast: Right hand claws</t>
  </si>
  <si>
    <t xml:space="preserve">sjbr </t>
  </si>
  <si>
    <t>Gallian Beast: Left tigh</t>
  </si>
  <si>
    <t xml:space="preserve">sjbs </t>
  </si>
  <si>
    <t>Gallian Beast: Left leg</t>
  </si>
  <si>
    <t xml:space="preserve">sjbt </t>
  </si>
  <si>
    <t>Gallian Beast: Left foot</t>
  </si>
  <si>
    <t xml:space="preserve">sjbv </t>
  </si>
  <si>
    <t>Gallian Beast: Tail part 1</t>
  </si>
  <si>
    <t xml:space="preserve">sjbw </t>
  </si>
  <si>
    <t>Gallian Beast: Tail part 2</t>
  </si>
  <si>
    <t xml:space="preserve">sjbx </t>
  </si>
  <si>
    <t>Gallian Beast: Tail part 3</t>
  </si>
  <si>
    <t xml:space="preserve">sjby </t>
  </si>
  <si>
    <t>Gallian Beast: Tail part 4</t>
  </si>
  <si>
    <t xml:space="preserve">sjbz </t>
  </si>
  <si>
    <t>Gallian Beast: Tail part 5</t>
  </si>
  <si>
    <t xml:space="preserve">sjca </t>
  </si>
  <si>
    <t>Gallian Beast: Tail part 6</t>
  </si>
  <si>
    <t xml:space="preserve">sjcb </t>
  </si>
  <si>
    <t>Gallian Beast: Tail part 7</t>
  </si>
  <si>
    <t xml:space="preserve">sjcc </t>
  </si>
  <si>
    <t>Gallian Beast: Tail part 8</t>
  </si>
  <si>
    <t xml:space="preserve">sjcd </t>
  </si>
  <si>
    <t>Gallian Beast: Tail part 9</t>
  </si>
  <si>
    <t xml:space="preserve">sjcf </t>
  </si>
  <si>
    <t>Gallian Beast: Right tigh</t>
  </si>
  <si>
    <t xml:space="preserve">sjcg </t>
  </si>
  <si>
    <t>Gallian Beast: Right leg</t>
  </si>
  <si>
    <t xml:space="preserve">sjch </t>
  </si>
  <si>
    <t>Gallian Beast: Right foot</t>
  </si>
  <si>
    <t xml:space="preserve">sjda </t>
  </si>
  <si>
    <t xml:space="preserve">skaa </t>
  </si>
  <si>
    <t>Death Gigas: Battle Skeleton</t>
  </si>
  <si>
    <t xml:space="preserve">skab </t>
  </si>
  <si>
    <t>Death Gigas: Unidentified Part</t>
  </si>
  <si>
    <t xml:space="preserve">skam </t>
  </si>
  <si>
    <t>Death Gigas: Hip</t>
  </si>
  <si>
    <t xml:space="preserve">skan </t>
  </si>
  <si>
    <t>Death Gigas: Chest</t>
  </si>
  <si>
    <t xml:space="preserve">skao </t>
  </si>
  <si>
    <t>Death Gigas: Head</t>
  </si>
  <si>
    <t xml:space="preserve">skar </t>
  </si>
  <si>
    <t>Death Gigas: Left arm</t>
  </si>
  <si>
    <t xml:space="preserve">skas </t>
  </si>
  <si>
    <t>Death Gigas: Left forearm</t>
  </si>
  <si>
    <t xml:space="preserve">skat </t>
  </si>
  <si>
    <t>Death Gigas: Left hand</t>
  </si>
  <si>
    <t xml:space="preserve">skau </t>
  </si>
  <si>
    <t>Death Gigas: Left hand 'fingers'</t>
  </si>
  <si>
    <t xml:space="preserve">skaw </t>
  </si>
  <si>
    <t>Death Gigas: Left hand thumb</t>
  </si>
  <si>
    <t xml:space="preserve">skaz </t>
  </si>
  <si>
    <t>Death Gigas: Right arm</t>
  </si>
  <si>
    <t xml:space="preserve">skba </t>
  </si>
  <si>
    <t>Death Gigas: Right forearm</t>
  </si>
  <si>
    <t xml:space="preserve">skbb </t>
  </si>
  <si>
    <t>Death Gigas: Right hand</t>
  </si>
  <si>
    <t xml:space="preserve">skbd </t>
  </si>
  <si>
    <t>Death Gigas: Right hand thumb</t>
  </si>
  <si>
    <t xml:space="preserve">skbe </t>
  </si>
  <si>
    <t>Death Gigas: Right hand 'fingers'</t>
  </si>
  <si>
    <t xml:space="preserve">skbg </t>
  </si>
  <si>
    <t>Death Gigas: Left tigh</t>
  </si>
  <si>
    <t xml:space="preserve">skbh </t>
  </si>
  <si>
    <t>Death Gigas: Left leg</t>
  </si>
  <si>
    <t xml:space="preserve">skbi </t>
  </si>
  <si>
    <t>Death Gigas: Left foot</t>
  </si>
  <si>
    <t xml:space="preserve">skbk </t>
  </si>
  <si>
    <t>Death Gigas: Right tigh</t>
  </si>
  <si>
    <t xml:space="preserve">skbl </t>
  </si>
  <si>
    <t>Death Gigas: Right leg</t>
  </si>
  <si>
    <t xml:space="preserve">skbm </t>
  </si>
  <si>
    <t>Death Gigas: Right foot</t>
  </si>
  <si>
    <t xml:space="preserve">skda </t>
  </si>
  <si>
    <t xml:space="preserve">slaa </t>
  </si>
  <si>
    <t>Hellmasker: Battle Skeleton</t>
  </si>
  <si>
    <t xml:space="preserve">slab </t>
  </si>
  <si>
    <t>Hellmasker: Unidentified Item</t>
  </si>
  <si>
    <t xml:space="preserve">slam </t>
  </si>
  <si>
    <t>Hellmasker: Hip</t>
  </si>
  <si>
    <t xml:space="preserve">slan </t>
  </si>
  <si>
    <t>Hellmasker: Chest</t>
  </si>
  <si>
    <t xml:space="preserve">slao </t>
  </si>
  <si>
    <t>Hellmasker: Neck</t>
  </si>
  <si>
    <t xml:space="preserve">slap </t>
  </si>
  <si>
    <t>Hellmasker: Head</t>
  </si>
  <si>
    <t xml:space="preserve">slar </t>
  </si>
  <si>
    <t>Hellmasker: Hair part 1</t>
  </si>
  <si>
    <t xml:space="preserve">slas </t>
  </si>
  <si>
    <t>Hellmasker: Hair part 2</t>
  </si>
  <si>
    <t xml:space="preserve">slat </t>
  </si>
  <si>
    <t>Hellmasker: Hair part 3</t>
  </si>
  <si>
    <t xml:space="preserve">slaw </t>
  </si>
  <si>
    <t>Hellmasker: Left arm</t>
  </si>
  <si>
    <t xml:space="preserve">slax </t>
  </si>
  <si>
    <t>Hellmasker: Left forearm</t>
  </si>
  <si>
    <t xml:space="preserve">slay </t>
  </si>
  <si>
    <t>Hellmasker: Left hand</t>
  </si>
  <si>
    <t xml:space="preserve">slba </t>
  </si>
  <si>
    <t>Hellmasker: Left hand thumb</t>
  </si>
  <si>
    <t xml:space="preserve">slbc </t>
  </si>
  <si>
    <t>Hellmasker: Left hand 'fingers'</t>
  </si>
  <si>
    <t xml:space="preserve">slbf </t>
  </si>
  <si>
    <t>Hellmasker: Right arm</t>
  </si>
  <si>
    <t xml:space="preserve">slbg </t>
  </si>
  <si>
    <t>Hellmasker: Right forearm</t>
  </si>
  <si>
    <t xml:space="preserve">slbh </t>
  </si>
  <si>
    <t>Hellmasker: Right hand</t>
  </si>
  <si>
    <t xml:space="preserve">slbj </t>
  </si>
  <si>
    <t>Hellmasker: Chainsaw</t>
  </si>
  <si>
    <t xml:space="preserve">slbl </t>
  </si>
  <si>
    <t>Hellmasker: Left tigh</t>
  </si>
  <si>
    <t xml:space="preserve">slbm </t>
  </si>
  <si>
    <t>Hellmasker: Left leg</t>
  </si>
  <si>
    <t xml:space="preserve">slbn </t>
  </si>
  <si>
    <t>Hellmasker: Left foot</t>
  </si>
  <si>
    <t xml:space="preserve">slbp </t>
  </si>
  <si>
    <t>Hellmasker: Right tigh</t>
  </si>
  <si>
    <t xml:space="preserve">slbq </t>
  </si>
  <si>
    <t>Hellmasker: Right leg</t>
  </si>
  <si>
    <t xml:space="preserve">slbr </t>
  </si>
  <si>
    <t>Hellmasker: Right foot</t>
  </si>
  <si>
    <t xml:space="preserve">slda </t>
  </si>
  <si>
    <t xml:space="preserve">smaa </t>
  </si>
  <si>
    <t>Chaos: Battle Skeleton</t>
  </si>
  <si>
    <t xml:space="preserve">smab </t>
  </si>
  <si>
    <t>Chaos: Unidentified Item</t>
  </si>
  <si>
    <t xml:space="preserve">smam </t>
  </si>
  <si>
    <t>Chaos: Hip</t>
  </si>
  <si>
    <t xml:space="preserve">sman </t>
  </si>
  <si>
    <t>Chaos: Chest</t>
  </si>
  <si>
    <t xml:space="preserve">smao </t>
  </si>
  <si>
    <t>Chaos: Neck</t>
  </si>
  <si>
    <t xml:space="preserve">smap </t>
  </si>
  <si>
    <t>Chaos: Head</t>
  </si>
  <si>
    <t xml:space="preserve">smas </t>
  </si>
  <si>
    <t>Chaos: Left arm</t>
  </si>
  <si>
    <t xml:space="preserve">smat </t>
  </si>
  <si>
    <t>Chaos: Left forearm</t>
  </si>
  <si>
    <t xml:space="preserve">smau </t>
  </si>
  <si>
    <t>Chaos: Left hand</t>
  </si>
  <si>
    <t xml:space="preserve">smaw </t>
  </si>
  <si>
    <t>Chaos: Left wing part</t>
  </si>
  <si>
    <t xml:space="preserve">smax </t>
  </si>
  <si>
    <t xml:space="preserve">smay </t>
  </si>
  <si>
    <t xml:space="preserve">smbb </t>
  </si>
  <si>
    <t>Chaos: Right wing part</t>
  </si>
  <si>
    <t xml:space="preserve">smbc </t>
  </si>
  <si>
    <t xml:space="preserve">smbd </t>
  </si>
  <si>
    <t xml:space="preserve">smbf </t>
  </si>
  <si>
    <t>Chaos: Right arm</t>
  </si>
  <si>
    <t xml:space="preserve">smbg </t>
  </si>
  <si>
    <t>Chaos: Right forearm</t>
  </si>
  <si>
    <t xml:space="preserve">smbh </t>
  </si>
  <si>
    <t>Chaos: Right hand</t>
  </si>
  <si>
    <t xml:space="preserve">smbi </t>
  </si>
  <si>
    <t>Chaos:Unidentified Item</t>
  </si>
  <si>
    <t xml:space="preserve">smbk </t>
  </si>
  <si>
    <t>Chaos: Left tigh</t>
  </si>
  <si>
    <t xml:space="preserve">smbl </t>
  </si>
  <si>
    <t>Chaos: Left leg</t>
  </si>
  <si>
    <t xml:space="preserve">smbm </t>
  </si>
  <si>
    <t>Chaos: Left foot</t>
  </si>
  <si>
    <t xml:space="preserve">smbo </t>
  </si>
  <si>
    <t>Chaos: Right tigh</t>
  </si>
  <si>
    <t xml:space="preserve">smbp </t>
  </si>
  <si>
    <t>Chaos: Right leg</t>
  </si>
  <si>
    <t xml:space="preserve">smbq </t>
  </si>
  <si>
    <t>Chaos: Right foot</t>
  </si>
  <si>
    <t xml:space="preserve">smda </t>
  </si>
  <si>
    <t>Appendix: Models of enemies that have been reused with a different color scheme search for the keyword ''clone'' and you will find them all</t>
  </si>
  <si>
    <t>Number of clones: 2</t>
  </si>
  <si>
    <t>Number of clones: 1</t>
  </si>
  <si>
    <t>Number of clones: 7</t>
  </si>
  <si>
    <t>Ceasar</t>
  </si>
  <si>
    <t>Mono Dive</t>
  </si>
  <si>
    <t>Kalm Fang</t>
  </si>
  <si>
    <t>Number of clones: 3</t>
  </si>
  <si>
    <t>Jenova Birth</t>
  </si>
  <si>
    <t>Mu (Rock Only)</t>
  </si>
  <si>
    <t>Headehog Pie</t>
  </si>
  <si>
    <t>Rapps</t>
  </si>
  <si>
    <t>Kelzmelzer</t>
  </si>
  <si>
    <t>SOLDIER 3rd</t>
  </si>
  <si>
    <t>Beach Plug</t>
  </si>
  <si>
    <t>Garshtrike</t>
  </si>
  <si>
    <t>Wolfmeister</t>
  </si>
  <si>
    <t>Scotch</t>
  </si>
  <si>
    <t>Total original enemies reused: 65</t>
  </si>
  <si>
    <t>Total clones: 94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</si>
</sst>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
    <numFmt numFmtId="165" formatCode="&quot;$&quot;#,##0"/>
  </numFmts>
  <fonts count="39">
    <font>
      <sz val="10.0"/>
      <color rgb="FF000000"/>
      <name val="Arial"/>
    </font>
    <font>
      <sz val="10.0"/>
      <color rgb="FF010000"/>
    </font>
    <font>
      <sz val="10.0"/>
      <color rgb="FF000000"/>
    </font>
    <font>
      <sz val="9.0"/>
      <color rgb="FF010000"/>
    </font>
    <font>
      <sz val="8.0"/>
      <color rgb="FF010000"/>
    </font>
    <font/>
    <font>
      <b/>
      <i/>
      <u/>
      <sz val="10.0"/>
      <color rgb="FF0000FF"/>
    </font>
    <font>
      <sz val="7.0"/>
      <color rgb="FF010000"/>
    </font>
    <font>
      <b/>
      <sz val="10.0"/>
      <color rgb="FF010000"/>
    </font>
    <font>
      <sz val="11.0"/>
      <color rgb="FF010000"/>
    </font>
    <font>
      <u/>
      <sz val="8.0"/>
      <color rgb="FF0000FF"/>
    </font>
    <font>
      <u/>
      <sz val="10.0"/>
      <color rgb="FF0000FF"/>
    </font>
    <font>
      <b/>
      <sz val="10.0"/>
      <color rgb="FF008000"/>
    </font>
    <font>
      <u/>
      <sz val="8.0"/>
      <color rgb="FF0000FF"/>
    </font>
    <font>
      <b/>
      <u/>
      <sz val="10.0"/>
      <color rgb="FF0000FF"/>
    </font>
    <font>
      <b/>
      <u/>
      <sz val="10.0"/>
      <color rgb="FF0000FF"/>
    </font>
    <font>
      <u/>
      <sz val="10.0"/>
      <color rgb="FF0000FF"/>
    </font>
    <font>
      <sz val="8.0"/>
      <color rgb="FF000000"/>
    </font>
    <font>
      <u/>
      <sz val="10.0"/>
      <color rgb="FF0000FF"/>
    </font>
    <font>
      <u/>
      <sz val="10.0"/>
      <color rgb="FF0000FF"/>
    </font>
    <font>
      <sz val="10.0"/>
      <color rgb="FFFF0000"/>
    </font>
    <font>
      <sz val="10.0"/>
      <color rgb="FFFF6600"/>
    </font>
    <font>
      <sz val="8.0"/>
      <color rgb="FFFF0000"/>
    </font>
    <font>
      <sz val="10.0"/>
      <color rgb="FF0000FF"/>
    </font>
    <font>
      <b/>
      <sz val="8.0"/>
      <color rgb="FF010000"/>
    </font>
    <font>
      <u/>
      <sz val="10.0"/>
      <color rgb="FF0000FF"/>
    </font>
    <font>
      <u/>
      <sz val="10.0"/>
      <color rgb="FF0000FF"/>
    </font>
    <font>
      <i/>
      <sz val="10.0"/>
      <color rgb="FF010000"/>
    </font>
    <font>
      <u/>
      <sz val="10.0"/>
      <color rgb="FF0000FF"/>
    </font>
    <font>
      <sz val="10.0"/>
      <color rgb="FF008000"/>
    </font>
    <font>
      <u/>
      <sz val="10.0"/>
      <color rgb="FF0000FF"/>
    </font>
    <font>
      <u/>
      <sz val="10.0"/>
      <color rgb="FF0000FF"/>
    </font>
    <font>
      <u/>
      <sz val="10.0"/>
      <color rgb="FF0000FF"/>
    </font>
    <font>
      <u/>
      <sz val="10.0"/>
      <color rgb="FF0000FF"/>
    </font>
    <font>
      <sz val="10.0"/>
      <color rgb="FF808080"/>
    </font>
    <font>
      <u/>
      <sz val="10.0"/>
      <color rgb="FF0000FF"/>
    </font>
    <font>
      <b/>
      <sz val="8.0"/>
      <color rgb="FF008000"/>
    </font>
    <font>
      <u/>
      <sz val="10.0"/>
      <color rgb="FF0000FF"/>
    </font>
    <font>
      <u/>
      <sz val="8.0"/>
      <color rgb="FF0000FF"/>
    </font>
  </fonts>
  <fills count="12">
    <fill>
      <patternFill patternType="none"/>
    </fill>
    <fill>
      <patternFill patternType="lightGray"/>
    </fill>
    <fill>
      <patternFill patternType="solid">
        <fgColor rgb="FFFF6600"/>
        <bgColor rgb="FFFF6600"/>
      </patternFill>
    </fill>
    <fill>
      <patternFill patternType="solid">
        <fgColor rgb="FFFF0000"/>
        <bgColor rgb="FFFF0000"/>
      </patternFill>
    </fill>
    <fill>
      <patternFill patternType="solid">
        <fgColor rgb="FF99CC00"/>
        <bgColor rgb="FF99CC00"/>
      </patternFill>
    </fill>
    <fill>
      <patternFill patternType="solid">
        <fgColor rgb="FFFF9900"/>
        <bgColor rgb="FFFF9900"/>
      </patternFill>
    </fill>
    <fill>
      <patternFill patternType="solid">
        <fgColor rgb="FF00FF00"/>
        <bgColor rgb="FF00FF00"/>
      </patternFill>
    </fill>
    <fill>
      <patternFill patternType="solid">
        <fgColor rgb="FF808080"/>
        <bgColor rgb="FF808080"/>
      </patternFill>
    </fill>
    <fill>
      <patternFill patternType="solid">
        <fgColor rgb="FFFFFF00"/>
        <bgColor rgb="FFFFFF00"/>
      </patternFill>
    </fill>
    <fill>
      <patternFill patternType="solid">
        <fgColor rgb="FFDDDDDD"/>
        <bgColor rgb="FFDDDDDD"/>
      </patternFill>
    </fill>
    <fill>
      <patternFill patternType="solid">
        <fgColor rgb="FFFFCC00"/>
        <bgColor rgb="FFFFCC00"/>
      </patternFill>
    </fill>
    <fill>
      <patternFill patternType="solid">
        <fgColor rgb="FF969696"/>
        <bgColor rgb="FF969696"/>
      </patternFill>
    </fill>
  </fills>
  <borders count="16">
    <border/>
    <border>
      <left style="thin">
        <color rgb="FF000000"/>
      </left>
      <right style="thin">
        <color rgb="FF000000"/>
      </right>
      <top style="thin">
        <color rgb="FF000000"/>
      </top>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ttom style="thin">
        <color rgb="FF000000"/>
      </bottom>
    </border>
    <border>
      <top style="thin">
        <color rgb="FF000000"/>
      </top>
    </border>
    <border>
      <right style="thin">
        <color rgb="FF000000"/>
      </right>
    </border>
    <border>
      <bottom style="thin">
        <color rgb="FF000000"/>
      </bottom>
    </border>
    <border>
      <left style="thin">
        <color rgb="FF000000"/>
      </left>
    </border>
    <border>
      <left style="thin">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175">
    <xf borderId="0" fillId="0" fontId="0" numFmtId="0" xfId="0" applyAlignment="1" applyFont="1">
      <alignment readingOrder="0" shrinkToFit="0" vertical="bottom" wrapText="1"/>
    </xf>
    <xf borderId="1" fillId="2" fontId="1" numFmtId="1" xfId="0" applyAlignment="1" applyBorder="1" applyFill="1" applyFont="1" applyNumberFormat="1">
      <alignment readingOrder="0" shrinkToFit="0" vertical="center" wrapText="1"/>
    </xf>
    <xf borderId="1" fillId="2" fontId="1" numFmtId="1" xfId="0" applyAlignment="1" applyBorder="1" applyFont="1" applyNumberFormat="1">
      <alignment readingOrder="0" shrinkToFit="0" vertical="top" wrapText="1"/>
    </xf>
    <xf borderId="1" fillId="2" fontId="2" numFmtId="0" xfId="0" applyAlignment="1" applyBorder="1" applyFont="1">
      <alignment readingOrder="0" shrinkToFit="0" vertical="center" wrapText="0"/>
    </xf>
    <xf borderId="1" fillId="2" fontId="1" numFmtId="164" xfId="0" applyAlignment="1" applyBorder="1" applyFont="1" applyNumberFormat="1">
      <alignment readingOrder="0" shrinkToFit="0" vertical="top" wrapText="1"/>
    </xf>
    <xf borderId="1" fillId="2" fontId="2" numFmtId="0" xfId="0" applyAlignment="1" applyBorder="1" applyFont="1">
      <alignment shrinkToFit="0" vertical="center" wrapText="0"/>
    </xf>
    <xf borderId="1" fillId="2" fontId="3" numFmtId="1" xfId="0" applyAlignment="1" applyBorder="1" applyFont="1" applyNumberFormat="1">
      <alignment horizontal="center" readingOrder="0" shrinkToFit="0" vertical="center" wrapText="1"/>
    </xf>
    <xf borderId="2" fillId="0" fontId="1" numFmtId="164" xfId="0" applyAlignment="1" applyBorder="1" applyFont="1" applyNumberFormat="1">
      <alignment readingOrder="0" shrinkToFit="0" vertical="top" wrapText="1"/>
    </xf>
    <xf borderId="1" fillId="2" fontId="1" numFmtId="1" xfId="0" applyAlignment="1" applyBorder="1" applyFont="1" applyNumberFormat="1">
      <alignment shrinkToFit="0" vertical="top" wrapText="1"/>
    </xf>
    <xf borderId="1" fillId="3" fontId="1" numFmtId="164" xfId="0" applyAlignment="1" applyBorder="1" applyFill="1" applyFont="1" applyNumberFormat="1">
      <alignment shrinkToFit="0" vertical="top" wrapText="1"/>
    </xf>
    <xf borderId="3" fillId="2" fontId="1" numFmtId="164" xfId="0" applyAlignment="1" applyBorder="1" applyFont="1" applyNumberFormat="1">
      <alignment readingOrder="0" shrinkToFit="0" vertical="top" wrapText="1"/>
    </xf>
    <xf borderId="4" fillId="0" fontId="1" numFmtId="1" xfId="0" applyAlignment="1" applyBorder="1" applyFont="1" applyNumberFormat="1">
      <alignment shrinkToFit="0" vertical="top" wrapText="1"/>
    </xf>
    <xf borderId="5" fillId="0" fontId="1" numFmtId="1" xfId="0" applyAlignment="1" applyBorder="1" applyFont="1" applyNumberFormat="1">
      <alignment shrinkToFit="0" vertical="center" wrapText="1"/>
    </xf>
    <xf borderId="6" fillId="0" fontId="1" numFmtId="1" xfId="0" applyAlignment="1" applyBorder="1" applyFont="1" applyNumberFormat="1">
      <alignment shrinkToFit="0" vertical="top" wrapText="1"/>
    </xf>
    <xf borderId="5" fillId="0" fontId="3" numFmtId="1" xfId="0" applyAlignment="1" applyBorder="1" applyFont="1" applyNumberFormat="1">
      <alignment horizontal="center" shrinkToFit="0" vertical="center" wrapText="1"/>
    </xf>
    <xf borderId="6" fillId="0" fontId="4" numFmtId="1" xfId="0" applyAlignment="1" applyBorder="1" applyFont="1" applyNumberFormat="1">
      <alignment shrinkToFit="0" vertical="top" wrapText="1"/>
    </xf>
    <xf borderId="5" fillId="0" fontId="4" numFmtId="1" xfId="0" applyAlignment="1" applyBorder="1" applyFont="1" applyNumberFormat="1">
      <alignment shrinkToFit="0" vertical="center" wrapText="1"/>
    </xf>
    <xf borderId="7" fillId="0" fontId="1" numFmtId="164" xfId="0" applyAlignment="1" applyBorder="1" applyFont="1" applyNumberFormat="1">
      <alignment readingOrder="0" shrinkToFit="0" vertical="top" wrapText="1"/>
    </xf>
    <xf borderId="1" fillId="4" fontId="1" numFmtId="164" xfId="0" applyAlignment="1" applyBorder="1" applyFill="1" applyFont="1" applyNumberFormat="1">
      <alignment shrinkToFit="0" vertical="top" wrapText="1"/>
    </xf>
    <xf borderId="8" fillId="0" fontId="1" numFmtId="1" xfId="0" applyAlignment="1" applyBorder="1" applyFont="1" applyNumberFormat="1">
      <alignment shrinkToFit="0" vertical="center" wrapText="1"/>
    </xf>
    <xf borderId="9" fillId="0" fontId="1" numFmtId="1" xfId="0" applyAlignment="1" applyBorder="1" applyFont="1" applyNumberFormat="1">
      <alignment readingOrder="0" shrinkToFit="0" vertical="top" wrapText="1"/>
    </xf>
    <xf borderId="1" fillId="5" fontId="1" numFmtId="1" xfId="0" applyAlignment="1" applyBorder="1" applyFill="1" applyFont="1" applyNumberFormat="1">
      <alignment shrinkToFit="0" vertical="center" wrapText="1"/>
    </xf>
    <xf borderId="0" fillId="0" fontId="1" numFmtId="1" xfId="0" applyAlignment="1" applyFont="1" applyNumberFormat="1">
      <alignment readingOrder="0" shrinkToFit="0" vertical="top" wrapText="1"/>
    </xf>
    <xf borderId="4" fillId="0" fontId="1" numFmtId="1" xfId="0" applyAlignment="1" applyBorder="1" applyFont="1" applyNumberFormat="1">
      <alignment readingOrder="0" shrinkToFit="0" vertical="center" wrapText="1"/>
    </xf>
    <xf borderId="2" fillId="0" fontId="3" numFmtId="1" xfId="0" applyAlignment="1" applyBorder="1" applyFont="1" applyNumberFormat="1">
      <alignment horizontal="center" readingOrder="0" shrinkToFit="0" vertical="center" wrapText="1"/>
    </xf>
    <xf borderId="9" fillId="0" fontId="1" numFmtId="1" xfId="0" applyAlignment="1" applyBorder="1" applyFont="1" applyNumberFormat="1">
      <alignment shrinkToFit="0" vertical="top" wrapText="1"/>
    </xf>
    <xf borderId="4" fillId="0" fontId="1" numFmtId="1" xfId="0" applyAlignment="1" applyBorder="1" applyFont="1" applyNumberFormat="1">
      <alignment readingOrder="0" shrinkToFit="0" vertical="top" wrapText="1"/>
    </xf>
    <xf borderId="6" fillId="0" fontId="1" numFmtId="1" xfId="0" applyAlignment="1" applyBorder="1" applyFont="1" applyNumberFormat="1">
      <alignment readingOrder="0" shrinkToFit="0" vertical="center" wrapText="1"/>
    </xf>
    <xf borderId="6" fillId="0" fontId="5" numFmtId="0" xfId="0" applyAlignment="1" applyBorder="1" applyFont="1">
      <alignment shrinkToFit="0" wrapText="1"/>
    </xf>
    <xf borderId="5" fillId="0" fontId="1" numFmtId="164" xfId="0" applyAlignment="1" applyBorder="1" applyFont="1" applyNumberFormat="1">
      <alignment shrinkToFit="0" vertical="top" wrapText="1"/>
    </xf>
    <xf borderId="0" fillId="0" fontId="2" numFmtId="1" xfId="0" applyAlignment="1" applyFont="1" applyNumberFormat="1">
      <alignment readingOrder="0" shrinkToFit="0" vertical="center" wrapText="1"/>
    </xf>
    <xf borderId="9" fillId="0" fontId="1" numFmtId="1" xfId="0" applyAlignment="1" applyBorder="1" applyFont="1" applyNumberFormat="1">
      <alignment shrinkToFit="0" vertical="center" wrapText="1"/>
    </xf>
    <xf borderId="0" fillId="0" fontId="6" numFmtId="1" xfId="0" applyAlignment="1" applyFont="1" applyNumberFormat="1">
      <alignment readingOrder="0" shrinkToFit="0" vertical="center" wrapText="1"/>
    </xf>
    <xf borderId="9" fillId="0" fontId="1" numFmtId="1" xfId="0" applyAlignment="1" applyBorder="1" applyFont="1" applyNumberFormat="1">
      <alignment readingOrder="0" shrinkToFit="0" vertical="center" wrapText="1"/>
    </xf>
    <xf borderId="6" fillId="0" fontId="1" numFmtId="1" xfId="0" applyAlignment="1" applyBorder="1" applyFont="1" applyNumberFormat="1">
      <alignment shrinkToFit="0" vertical="center" wrapText="1"/>
    </xf>
    <xf borderId="0" fillId="0" fontId="4" numFmtId="1" xfId="0" applyAlignment="1" applyFont="1" applyNumberFormat="1">
      <alignment readingOrder="0" shrinkToFit="0" vertical="top" wrapText="1"/>
    </xf>
    <xf borderId="6" fillId="0" fontId="4" numFmtId="1" xfId="0" applyAlignment="1" applyBorder="1" applyFont="1" applyNumberFormat="1">
      <alignment readingOrder="0" shrinkToFit="0" vertical="center" wrapText="1"/>
    </xf>
    <xf borderId="6" fillId="0" fontId="1" numFmtId="164" xfId="0" applyAlignment="1" applyBorder="1" applyFont="1" applyNumberFormat="1">
      <alignment shrinkToFit="0" vertical="top" wrapText="1"/>
    </xf>
    <xf borderId="2" fillId="0" fontId="1" numFmtId="1" xfId="0" applyAlignment="1" applyBorder="1" applyFont="1" applyNumberFormat="1">
      <alignment shrinkToFit="0" vertical="center" wrapText="1"/>
    </xf>
    <xf borderId="0" fillId="0" fontId="1" numFmtId="164" xfId="0" applyAlignment="1" applyFont="1" applyNumberFormat="1">
      <alignment readingOrder="0" shrinkToFit="0" vertical="top" wrapText="1"/>
    </xf>
    <xf borderId="1" fillId="6" fontId="1" numFmtId="1" xfId="0" applyAlignment="1" applyBorder="1" applyFill="1" applyFont="1" applyNumberFormat="1">
      <alignment shrinkToFit="0" vertical="center" wrapText="1"/>
    </xf>
    <xf borderId="8" fillId="0" fontId="1" numFmtId="164" xfId="0" applyAlignment="1" applyBorder="1" applyFont="1" applyNumberFormat="1">
      <alignment shrinkToFit="0" vertical="top" wrapText="1"/>
    </xf>
    <xf borderId="7" fillId="0" fontId="3" numFmtId="1" xfId="0" applyAlignment="1" applyBorder="1" applyFont="1" applyNumberFormat="1">
      <alignment horizontal="center" readingOrder="0" shrinkToFit="0" vertical="center" wrapText="1"/>
    </xf>
    <xf borderId="7" fillId="0" fontId="1" numFmtId="1" xfId="0" applyAlignment="1" applyBorder="1" applyFont="1" applyNumberFormat="1">
      <alignment shrinkToFit="0" vertical="center" wrapText="1"/>
    </xf>
    <xf borderId="9" fillId="0" fontId="7" numFmtId="1" xfId="0" applyAlignment="1" applyBorder="1" applyFont="1" applyNumberFormat="1">
      <alignment readingOrder="0" shrinkToFit="0" vertical="center" wrapText="1"/>
    </xf>
    <xf borderId="10" fillId="7" fontId="1" numFmtId="164" xfId="0" applyAlignment="1" applyBorder="1" applyFill="1" applyFont="1" applyNumberFormat="1">
      <alignment shrinkToFit="0" vertical="top" wrapText="1"/>
    </xf>
    <xf borderId="0" fillId="0" fontId="4" numFmtId="1" xfId="0" applyAlignment="1" applyFont="1" applyNumberFormat="1">
      <alignment readingOrder="0" shrinkToFit="0" vertical="center" wrapText="1"/>
    </xf>
    <xf borderId="0" fillId="0" fontId="8" numFmtId="1" xfId="0" applyAlignment="1" applyFont="1" applyNumberFormat="1">
      <alignment readingOrder="0" shrinkToFit="0" vertical="center" wrapText="1"/>
    </xf>
    <xf borderId="1" fillId="5" fontId="1" numFmtId="164" xfId="0" applyAlignment="1" applyBorder="1" applyFont="1" applyNumberFormat="1">
      <alignment shrinkToFit="0" vertical="top" wrapText="1"/>
    </xf>
    <xf borderId="9" fillId="0" fontId="3" numFmtId="1" xfId="0" applyAlignment="1" applyBorder="1" applyFont="1" applyNumberFormat="1">
      <alignment readingOrder="0" shrinkToFit="0" vertical="center" wrapText="1"/>
    </xf>
    <xf borderId="1" fillId="6" fontId="1" numFmtId="164" xfId="0" applyAlignment="1" applyBorder="1" applyFont="1" applyNumberFormat="1">
      <alignment shrinkToFit="0" vertical="top" wrapText="1"/>
    </xf>
    <xf borderId="0" fillId="0" fontId="1" numFmtId="1" xfId="0" applyAlignment="1" applyFont="1" applyNumberFormat="1">
      <alignment readingOrder="0" shrinkToFit="0" vertical="center" wrapText="1"/>
    </xf>
    <xf borderId="9" fillId="0" fontId="4" numFmtId="1" xfId="0" applyAlignment="1" applyBorder="1" applyFont="1" applyNumberFormat="1">
      <alignment readingOrder="0" shrinkToFit="0" vertical="center" wrapText="1"/>
    </xf>
    <xf borderId="7" fillId="0" fontId="1" numFmtId="1" xfId="0" applyAlignment="1" applyBorder="1" applyFont="1" applyNumberFormat="1">
      <alignment readingOrder="0" shrinkToFit="0" vertical="top" wrapText="1"/>
    </xf>
    <xf borderId="0" fillId="0" fontId="9" numFmtId="1" xfId="0" applyAlignment="1" applyFont="1" applyNumberFormat="1">
      <alignment readingOrder="0" shrinkToFit="0" vertical="top" wrapText="1"/>
    </xf>
    <xf borderId="1" fillId="3" fontId="1" numFmtId="1" xfId="0" applyAlignment="1" applyBorder="1" applyFont="1" applyNumberFormat="1">
      <alignment shrinkToFit="0" vertical="center" wrapText="1"/>
    </xf>
    <xf borderId="7" fillId="0" fontId="1" numFmtId="1" xfId="0" applyAlignment="1" applyBorder="1" applyFont="1" applyNumberFormat="1">
      <alignment readingOrder="0" shrinkToFit="0" vertical="center" wrapText="1"/>
    </xf>
    <xf borderId="11" fillId="0" fontId="1" numFmtId="1" xfId="0" applyAlignment="1" applyBorder="1" applyFont="1" applyNumberFormat="1">
      <alignment readingOrder="0" shrinkToFit="0" vertical="center" wrapText="1"/>
    </xf>
    <xf borderId="12" fillId="0" fontId="3" numFmtId="1" xfId="0" applyAlignment="1" applyBorder="1" applyFont="1" applyNumberFormat="1">
      <alignment horizontal="center" readingOrder="0" shrinkToFit="0" vertical="center" wrapText="1"/>
    </xf>
    <xf borderId="0" fillId="0" fontId="10" numFmtId="1" xfId="0" applyAlignment="1" applyFont="1" applyNumberFormat="1">
      <alignment shrinkToFit="0" vertical="top" wrapText="1"/>
    </xf>
    <xf borderId="11" fillId="0" fontId="1" numFmtId="1" xfId="0" applyAlignment="1" applyBorder="1" applyFont="1" applyNumberFormat="1">
      <alignment readingOrder="0" shrinkToFit="0" vertical="top" wrapText="1"/>
    </xf>
    <xf borderId="8" fillId="0" fontId="4" numFmtId="1" xfId="0" applyAlignment="1" applyBorder="1" applyFont="1" applyNumberFormat="1">
      <alignment readingOrder="0" shrinkToFit="0" vertical="center" wrapText="1"/>
    </xf>
    <xf borderId="0" fillId="0" fontId="11" numFmtId="1" xfId="0" applyAlignment="1" applyFont="1" applyNumberFormat="1">
      <alignment shrinkToFit="0" vertical="top" wrapText="1"/>
    </xf>
    <xf borderId="8" fillId="0" fontId="7" numFmtId="1" xfId="0" applyAlignment="1" applyBorder="1" applyFont="1" applyNumberFormat="1">
      <alignment readingOrder="0" shrinkToFit="0" vertical="top" wrapText="1"/>
    </xf>
    <xf borderId="12" fillId="0" fontId="1" numFmtId="1" xfId="0" applyAlignment="1" applyBorder="1" applyFont="1" applyNumberFormat="1">
      <alignment shrinkToFit="0" vertical="center" wrapText="1"/>
    </xf>
    <xf borderId="6" fillId="0" fontId="3" numFmtId="1" xfId="0" applyAlignment="1" applyBorder="1" applyFont="1" applyNumberFormat="1">
      <alignment horizontal="center" shrinkToFit="0" vertical="center" wrapText="1"/>
    </xf>
    <xf borderId="7" fillId="0" fontId="1" numFmtId="1" xfId="0" applyAlignment="1" applyBorder="1" applyFont="1" applyNumberFormat="1">
      <alignment horizontal="right" readingOrder="0" shrinkToFit="0" vertical="top" wrapText="1"/>
    </xf>
    <xf borderId="6" fillId="0" fontId="4" numFmtId="1" xfId="0" applyAlignment="1" applyBorder="1" applyFont="1" applyNumberFormat="1">
      <alignment shrinkToFit="0" vertical="center" wrapText="1"/>
    </xf>
    <xf borderId="1" fillId="7" fontId="1" numFmtId="1" xfId="0" applyAlignment="1" applyBorder="1" applyFont="1" applyNumberFormat="1">
      <alignment shrinkToFit="0" vertical="center" wrapText="1"/>
    </xf>
    <xf borderId="1" fillId="0" fontId="12" numFmtId="1" xfId="0" applyAlignment="1" applyBorder="1" applyFont="1" applyNumberFormat="1">
      <alignment readingOrder="0" shrinkToFit="0" vertical="center" wrapText="1"/>
    </xf>
    <xf borderId="11" fillId="0" fontId="1" numFmtId="1" xfId="0" applyAlignment="1" applyBorder="1" applyFont="1" applyNumberFormat="1">
      <alignment shrinkToFit="0" vertical="center" wrapText="1"/>
    </xf>
    <xf borderId="8" fillId="0" fontId="4" numFmtId="1" xfId="0" applyAlignment="1" applyBorder="1" applyFont="1" applyNumberFormat="1">
      <alignment shrinkToFit="0" vertical="center" wrapText="1"/>
    </xf>
    <xf borderId="0" fillId="0" fontId="13" numFmtId="1" xfId="0" applyAlignment="1" applyFont="1" applyNumberFormat="1">
      <alignment readingOrder="0" shrinkToFit="0" vertical="top" wrapText="1"/>
    </xf>
    <xf borderId="0" fillId="0" fontId="4" numFmtId="164" xfId="0" applyAlignment="1" applyFont="1" applyNumberFormat="1">
      <alignment readingOrder="0" shrinkToFit="0" vertical="top" wrapText="1"/>
    </xf>
    <xf borderId="0" fillId="0" fontId="1" numFmtId="1" xfId="0" applyAlignment="1" applyFont="1" applyNumberFormat="1">
      <alignment shrinkToFit="0" vertical="center" wrapText="1"/>
    </xf>
    <xf borderId="0" fillId="0" fontId="4" numFmtId="1" xfId="0" applyAlignment="1" applyFont="1" applyNumberFormat="1">
      <alignment shrinkToFit="0" vertical="center" wrapText="1"/>
    </xf>
    <xf borderId="0" fillId="0" fontId="14" numFmtId="1" xfId="0" applyAlignment="1" applyFont="1" applyNumberFormat="1">
      <alignment readingOrder="0" shrinkToFit="0" vertical="center" wrapText="1"/>
    </xf>
    <xf borderId="7" fillId="0" fontId="1" numFmtId="1" xfId="0" applyAlignment="1" applyBorder="1" applyFont="1" applyNumberFormat="1">
      <alignment shrinkToFit="0" vertical="top" wrapText="1"/>
    </xf>
    <xf borderId="1" fillId="7" fontId="1" numFmtId="164" xfId="0" applyAlignment="1" applyBorder="1" applyFont="1" applyNumberFormat="1">
      <alignment shrinkToFit="0" vertical="top" wrapText="1"/>
    </xf>
    <xf borderId="1" fillId="4" fontId="1" numFmtId="1" xfId="0" applyAlignment="1" applyBorder="1" applyFont="1" applyNumberFormat="1">
      <alignment shrinkToFit="0" vertical="center" wrapText="1"/>
    </xf>
    <xf borderId="0" fillId="0" fontId="8" numFmtId="164" xfId="0" applyAlignment="1" applyFont="1" applyNumberFormat="1">
      <alignment readingOrder="0" shrinkToFit="0" vertical="top" wrapText="1"/>
    </xf>
    <xf borderId="1" fillId="2" fontId="1" numFmtId="164" xfId="0" applyAlignment="1" applyBorder="1" applyFont="1" applyNumberFormat="1">
      <alignment shrinkToFit="0" vertical="top" wrapText="1"/>
    </xf>
    <xf borderId="1" fillId="8" fontId="1" numFmtId="1" xfId="0" applyAlignment="1" applyBorder="1" applyFill="1" applyFont="1" applyNumberFormat="1">
      <alignment shrinkToFit="0" vertical="center" wrapText="1"/>
    </xf>
    <xf borderId="5" fillId="0" fontId="1" numFmtId="0" xfId="0" applyAlignment="1" applyBorder="1" applyFont="1">
      <alignment shrinkToFit="0" wrapText="1"/>
    </xf>
    <xf borderId="1" fillId="2" fontId="1" numFmtId="1" xfId="0" applyAlignment="1" applyBorder="1" applyFont="1" applyNumberFormat="1">
      <alignment shrinkToFit="0" vertical="center" wrapText="1"/>
    </xf>
    <xf borderId="0" fillId="0" fontId="15" numFmtId="164" xfId="0" applyAlignment="1" applyFont="1" applyNumberFormat="1">
      <alignment readingOrder="0" shrinkToFit="0" vertical="top" wrapText="1"/>
    </xf>
    <xf borderId="0" fillId="0" fontId="4" numFmtId="1" xfId="0" applyAlignment="1" applyFont="1" applyNumberFormat="1">
      <alignment shrinkToFit="0" vertical="top" wrapText="1"/>
    </xf>
    <xf borderId="13" fillId="4" fontId="1" numFmtId="164" xfId="0" applyAlignment="1" applyBorder="1" applyFont="1" applyNumberFormat="1">
      <alignment shrinkToFit="0" vertical="top" wrapText="1"/>
    </xf>
    <xf borderId="1" fillId="8" fontId="1" numFmtId="164" xfId="0" applyAlignment="1" applyBorder="1" applyFont="1" applyNumberFormat="1">
      <alignment shrinkToFit="0" vertical="top" wrapText="1"/>
    </xf>
    <xf borderId="3" fillId="3" fontId="1" numFmtId="164" xfId="0" applyAlignment="1" applyBorder="1" applyFont="1" applyNumberFormat="1">
      <alignment shrinkToFit="0" vertical="top" wrapText="1"/>
    </xf>
    <xf borderId="0" fillId="0" fontId="1" numFmtId="1" xfId="0" applyAlignment="1" applyFont="1" applyNumberFormat="1">
      <alignment readingOrder="0" shrinkToFit="0" vertical="top" wrapText="0"/>
    </xf>
    <xf borderId="0" fillId="0" fontId="1" numFmtId="1" xfId="0" applyAlignment="1" applyFont="1" applyNumberFormat="1">
      <alignment horizontal="left" readingOrder="0" shrinkToFit="0" vertical="center" wrapText="1"/>
    </xf>
    <xf borderId="11" fillId="0" fontId="4" numFmtId="1" xfId="0" applyAlignment="1" applyBorder="1" applyFont="1" applyNumberFormat="1">
      <alignment shrinkToFit="0" vertical="center" wrapText="1"/>
    </xf>
    <xf borderId="0" fillId="0" fontId="4" numFmtId="0" xfId="0" applyAlignment="1" applyFont="1">
      <alignment readingOrder="0" shrinkToFit="0" vertical="top" wrapText="1"/>
    </xf>
    <xf borderId="6" fillId="3" fontId="16" numFmtId="1" xfId="0" applyAlignment="1" applyBorder="1" applyFont="1" applyNumberFormat="1">
      <alignment shrinkToFit="0" vertical="center" wrapText="1"/>
    </xf>
    <xf borderId="0" fillId="0" fontId="17" numFmtId="0" xfId="0" applyAlignment="1" applyFont="1">
      <alignment readingOrder="0" shrinkToFit="0" wrapText="1"/>
    </xf>
    <xf borderId="0" fillId="3" fontId="18" numFmtId="1" xfId="0" applyAlignment="1" applyFont="1" applyNumberFormat="1">
      <alignment shrinkToFit="0" vertical="center" wrapText="1"/>
    </xf>
    <xf borderId="0" fillId="0" fontId="1" numFmtId="165" xfId="0" applyAlignment="1" applyFont="1" applyNumberFormat="1">
      <alignment readingOrder="0" shrinkToFit="0" vertical="center" wrapText="1"/>
    </xf>
    <xf borderId="0" fillId="0" fontId="19" numFmtId="1" xfId="0" applyAlignment="1" applyFont="1" applyNumberFormat="1">
      <alignment shrinkToFit="0" vertical="center" wrapText="1"/>
    </xf>
    <xf borderId="0" fillId="0" fontId="20" numFmtId="1" xfId="0" applyAlignment="1" applyFont="1" applyNumberFormat="1">
      <alignment readingOrder="0" shrinkToFit="0" vertical="top" wrapText="1"/>
    </xf>
    <xf borderId="0" fillId="0" fontId="21" numFmtId="164" xfId="0" applyAlignment="1" applyFont="1" applyNumberFormat="1">
      <alignment readingOrder="0" shrinkToFit="0" vertical="top" wrapText="1"/>
    </xf>
    <xf borderId="0" fillId="0" fontId="21" numFmtId="1" xfId="0" applyAlignment="1" applyFont="1" applyNumberFormat="1">
      <alignment readingOrder="0" shrinkToFit="0" vertical="top" wrapText="1"/>
    </xf>
    <xf borderId="0" fillId="0" fontId="2" numFmtId="0" xfId="0" applyAlignment="1" applyFont="1">
      <alignment readingOrder="0" shrinkToFit="0" wrapText="1"/>
    </xf>
    <xf borderId="9" fillId="0" fontId="2" numFmtId="0" xfId="0" applyAlignment="1" applyBorder="1" applyFont="1">
      <alignment readingOrder="0" shrinkToFit="0" wrapText="1"/>
    </xf>
    <xf borderId="1" fillId="2" fontId="1" numFmtId="164" xfId="0" applyAlignment="1" applyBorder="1" applyFont="1" applyNumberFormat="1">
      <alignment horizontal="left" readingOrder="0" shrinkToFit="0" vertical="top" wrapText="1"/>
    </xf>
    <xf borderId="1" fillId="2" fontId="1" numFmtId="1" xfId="0" applyAlignment="1" applyBorder="1" applyFont="1" applyNumberFormat="1">
      <alignment horizontal="left" readingOrder="0" shrinkToFit="0" vertical="center" wrapText="1"/>
    </xf>
    <xf borderId="1" fillId="2" fontId="1" numFmtId="1" xfId="0" applyAlignment="1" applyBorder="1" applyFont="1" applyNumberFormat="1">
      <alignment horizontal="center" readingOrder="0" shrinkToFit="0" vertical="top" wrapText="1"/>
    </xf>
    <xf borderId="1" fillId="2" fontId="1" numFmtId="1" xfId="0" applyAlignment="1" applyBorder="1" applyFont="1" applyNumberFormat="1">
      <alignment horizontal="center" shrinkToFit="0" vertical="center" wrapText="1"/>
    </xf>
    <xf borderId="1" fillId="2" fontId="1" numFmtId="1" xfId="0" applyAlignment="1" applyBorder="1" applyFont="1" applyNumberFormat="1">
      <alignment horizontal="center" shrinkToFit="0" vertical="top" wrapText="1"/>
    </xf>
    <xf borderId="1" fillId="2" fontId="1" numFmtId="164" xfId="0" applyAlignment="1" applyBorder="1" applyFont="1" applyNumberFormat="1">
      <alignment horizontal="center" readingOrder="0" shrinkToFit="0" vertical="top" wrapText="1"/>
    </xf>
    <xf borderId="5" fillId="0" fontId="1" numFmtId="164" xfId="0" applyAlignment="1" applyBorder="1" applyFont="1" applyNumberFormat="1">
      <alignment horizontal="left" readingOrder="0" shrinkToFit="0" vertical="center" wrapText="1"/>
    </xf>
    <xf borderId="5" fillId="0" fontId="5" numFmtId="0" xfId="0" applyAlignment="1" applyBorder="1" applyFont="1">
      <alignment shrinkToFit="0" wrapText="1"/>
    </xf>
    <xf borderId="0" fillId="0" fontId="22" numFmtId="1" xfId="0" applyAlignment="1" applyFont="1" applyNumberFormat="1">
      <alignment readingOrder="0" shrinkToFit="0" vertical="center" wrapText="1"/>
    </xf>
    <xf borderId="14" fillId="0" fontId="5" numFmtId="0" xfId="0" applyAlignment="1" applyBorder="1" applyFont="1">
      <alignment shrinkToFit="0" wrapText="1"/>
    </xf>
    <xf borderId="0" fillId="0" fontId="20" numFmtId="1" xfId="0" applyAlignment="1" applyFont="1" applyNumberFormat="1">
      <alignment shrinkToFit="0" vertical="center" wrapText="1"/>
    </xf>
    <xf borderId="4" fillId="0" fontId="12" numFmtId="164" xfId="0" applyAlignment="1" applyBorder="1" applyFont="1" applyNumberFormat="1">
      <alignment horizontal="left" readingOrder="0" shrinkToFit="0" vertical="center" wrapText="1"/>
    </xf>
    <xf borderId="2" fillId="0" fontId="5" numFmtId="0" xfId="0" applyAlignment="1" applyBorder="1" applyFont="1">
      <alignment shrinkToFit="0" wrapText="1"/>
    </xf>
    <xf borderId="4" fillId="0" fontId="1" numFmtId="1" xfId="0" applyAlignment="1" applyBorder="1" applyFont="1" applyNumberFormat="1">
      <alignment shrinkToFit="0" vertical="center" wrapText="1"/>
    </xf>
    <xf borderId="6" fillId="0" fontId="4" numFmtId="164" xfId="0" applyAlignment="1" applyBorder="1" applyFont="1" applyNumberFormat="1">
      <alignment readingOrder="0" shrinkToFit="0" vertical="center" wrapText="1"/>
    </xf>
    <xf borderId="15" fillId="0" fontId="1" numFmtId="1" xfId="0" applyAlignment="1" applyBorder="1" applyFont="1" applyNumberFormat="1">
      <alignment horizontal="left" readingOrder="0" shrinkToFit="0" vertical="center" wrapText="1"/>
    </xf>
    <xf borderId="15" fillId="0" fontId="1" numFmtId="1" xfId="0" applyAlignment="1" applyBorder="1" applyFont="1" applyNumberFormat="1">
      <alignment horizontal="right" readingOrder="0" shrinkToFit="0" vertical="center" wrapText="1"/>
    </xf>
    <xf borderId="0" fillId="0" fontId="4" numFmtId="1" xfId="0" applyAlignment="1" applyFont="1" applyNumberFormat="1">
      <alignment horizontal="center" readingOrder="0" shrinkToFit="0" vertical="center" wrapText="1"/>
    </xf>
    <xf borderId="0" fillId="0" fontId="23" numFmtId="1" xfId="0" applyAlignment="1" applyFont="1" applyNumberFormat="1">
      <alignment shrinkToFit="0" vertical="center" wrapText="1"/>
    </xf>
    <xf borderId="0" fillId="0" fontId="4" numFmtId="0" xfId="0" applyAlignment="1" applyFont="1">
      <alignment readingOrder="0" shrinkToFit="0" vertical="center" wrapText="1"/>
    </xf>
    <xf borderId="0" fillId="0" fontId="24" numFmtId="1" xfId="0" applyAlignment="1" applyFont="1" applyNumberFormat="1">
      <alignment shrinkToFit="0" vertical="center" wrapText="1"/>
    </xf>
    <xf borderId="15" fillId="0" fontId="1" numFmtId="1" xfId="0" applyAlignment="1" applyBorder="1" applyFont="1" applyNumberFormat="1">
      <alignment readingOrder="0" shrinkToFit="0" vertical="center" wrapText="1"/>
    </xf>
    <xf borderId="7" fillId="0" fontId="1" numFmtId="164" xfId="0" applyAlignment="1" applyBorder="1" applyFont="1" applyNumberFormat="1">
      <alignment shrinkToFit="0" vertical="top" wrapText="1"/>
    </xf>
    <xf borderId="0" fillId="0" fontId="25" numFmtId="1" xfId="0" applyAlignment="1" applyFont="1" applyNumberFormat="1">
      <alignment readingOrder="0" shrinkToFit="0" vertical="top" wrapText="1"/>
    </xf>
    <xf borderId="7" fillId="0" fontId="26" numFmtId="164" xfId="0" applyAlignment="1" applyBorder="1" applyFont="1" applyNumberFormat="1">
      <alignment readingOrder="0" shrinkToFit="0" vertical="top" wrapText="1"/>
    </xf>
    <xf borderId="1" fillId="0" fontId="8" numFmtId="1" xfId="0" applyAlignment="1" applyBorder="1" applyFont="1" applyNumberFormat="1">
      <alignment readingOrder="0" shrinkToFit="0" vertical="center" wrapText="1"/>
    </xf>
    <xf borderId="13" fillId="0" fontId="27" numFmtId="164" xfId="0" applyAlignment="1" applyBorder="1" applyFont="1" applyNumberFormat="1">
      <alignment readingOrder="0" shrinkToFit="0" vertical="center" wrapText="1"/>
    </xf>
    <xf borderId="1" fillId="0" fontId="1" numFmtId="1" xfId="0" applyAlignment="1" applyBorder="1" applyFont="1" applyNumberFormat="1">
      <alignment readingOrder="0" shrinkToFit="0" vertical="center" wrapText="1"/>
    </xf>
    <xf borderId="13" fillId="0" fontId="28" numFmtId="164" xfId="0" applyAlignment="1" applyBorder="1" applyFont="1" applyNumberFormat="1">
      <alignment shrinkToFit="0" vertical="center" wrapText="1"/>
    </xf>
    <xf borderId="13" fillId="0" fontId="1" numFmtId="164" xfId="0" applyAlignment="1" applyBorder="1" applyFont="1" applyNumberFormat="1">
      <alignment readingOrder="0" shrinkToFit="0" vertical="center" wrapText="1"/>
    </xf>
    <xf borderId="7" fillId="0" fontId="29" numFmtId="1" xfId="0" applyAlignment="1" applyBorder="1" applyFont="1" applyNumberFormat="1">
      <alignment readingOrder="0" shrinkToFit="0" vertical="center" wrapText="1"/>
    </xf>
    <xf borderId="8" fillId="3" fontId="30" numFmtId="1" xfId="0" applyAlignment="1" applyBorder="1" applyFont="1" applyNumberFormat="1">
      <alignment shrinkToFit="0" vertical="center" wrapText="1"/>
    </xf>
    <xf borderId="8" fillId="0" fontId="31" numFmtId="1" xfId="0" applyAlignment="1" applyBorder="1" applyFont="1" applyNumberFormat="1">
      <alignment shrinkToFit="0" vertical="center" wrapText="1"/>
    </xf>
    <xf borderId="6" fillId="0" fontId="32" numFmtId="1" xfId="0" applyAlignment="1" applyBorder="1" applyFont="1" applyNumberFormat="1">
      <alignment shrinkToFit="0" vertical="center" wrapText="1"/>
    </xf>
    <xf borderId="14" fillId="0" fontId="1" numFmtId="1" xfId="0" applyAlignment="1" applyBorder="1" applyFont="1" applyNumberFormat="1">
      <alignment shrinkToFit="0" vertical="center" wrapText="1"/>
    </xf>
    <xf borderId="13" fillId="0" fontId="1" numFmtId="1" xfId="0" applyAlignment="1" applyBorder="1" applyFont="1" applyNumberFormat="1">
      <alignment shrinkToFit="0" vertical="center" wrapText="1"/>
    </xf>
    <xf borderId="0" fillId="3" fontId="33" numFmtId="0" xfId="0" applyAlignment="1" applyFont="1">
      <alignment shrinkToFit="0" wrapText="1"/>
    </xf>
    <xf borderId="9" fillId="0" fontId="20" numFmtId="1" xfId="0" applyAlignment="1" applyBorder="1" applyFont="1" applyNumberFormat="1">
      <alignment readingOrder="0" shrinkToFit="0" vertical="center" wrapText="1"/>
    </xf>
    <xf borderId="0" fillId="9" fontId="2" numFmtId="0" xfId="0" applyAlignment="1" applyFill="1" applyFont="1">
      <alignment shrinkToFit="0" wrapText="1"/>
    </xf>
    <xf borderId="1" fillId="7" fontId="34" numFmtId="1" xfId="0" applyAlignment="1" applyBorder="1" applyFont="1" applyNumberFormat="1">
      <alignment shrinkToFit="0" vertical="center" wrapText="1"/>
    </xf>
    <xf borderId="11" fillId="0" fontId="3" numFmtId="1" xfId="0" applyAlignment="1" applyBorder="1" applyFont="1" applyNumberFormat="1">
      <alignment horizontal="center" shrinkToFit="0" vertical="center" wrapText="1"/>
    </xf>
    <xf borderId="7" fillId="0" fontId="2" numFmtId="0" xfId="0" applyAlignment="1" applyBorder="1" applyFont="1">
      <alignment shrinkToFit="0" wrapText="1"/>
    </xf>
    <xf borderId="0" fillId="0" fontId="35" numFmtId="0" xfId="0" applyAlignment="1" applyFont="1">
      <alignment shrinkToFit="0" wrapText="1"/>
    </xf>
    <xf borderId="0" fillId="0" fontId="21" numFmtId="1" xfId="0" applyAlignment="1" applyFont="1" applyNumberFormat="1">
      <alignment readingOrder="0" shrinkToFit="0" vertical="center" wrapText="1"/>
    </xf>
    <xf borderId="9" fillId="0" fontId="2" numFmtId="1" xfId="0" applyAlignment="1" applyBorder="1" applyFont="1" applyNumberFormat="1">
      <alignment readingOrder="0" shrinkToFit="0" vertical="center" wrapText="1"/>
    </xf>
    <xf borderId="6" fillId="0" fontId="1" numFmtId="1" xfId="0" applyAlignment="1" applyBorder="1" applyFont="1" applyNumberFormat="1">
      <alignment horizontal="right" shrinkToFit="0" vertical="center" wrapText="1"/>
    </xf>
    <xf borderId="0" fillId="0" fontId="27" numFmtId="1" xfId="0" applyAlignment="1" applyFont="1" applyNumberFormat="1">
      <alignment readingOrder="0" shrinkToFit="0" vertical="center" wrapText="1"/>
    </xf>
    <xf borderId="0" fillId="0" fontId="29" numFmtId="1" xfId="0" applyAlignment="1" applyFont="1" applyNumberFormat="1">
      <alignment readingOrder="0" shrinkToFit="0" vertical="center" wrapText="1"/>
    </xf>
    <xf borderId="7" fillId="0" fontId="1" numFmtId="1" xfId="0" applyAlignment="1" applyBorder="1" applyFont="1" applyNumberFormat="1">
      <alignment horizontal="right" shrinkToFit="0" vertical="center" wrapText="1"/>
    </xf>
    <xf borderId="7" fillId="0" fontId="1" numFmtId="1" xfId="0" applyAlignment="1" applyBorder="1" applyFont="1" applyNumberFormat="1">
      <alignment horizontal="right" readingOrder="0" shrinkToFit="0" vertical="center" wrapText="1"/>
    </xf>
    <xf borderId="1" fillId="10" fontId="1" numFmtId="1" xfId="0" applyAlignment="1" applyBorder="1" applyFill="1" applyFont="1" applyNumberFormat="1">
      <alignment shrinkToFit="0" vertical="center" wrapText="1"/>
    </xf>
    <xf borderId="1" fillId="11" fontId="1" numFmtId="1" xfId="0" applyAlignment="1" applyBorder="1" applyFill="1" applyFont="1" applyNumberFormat="1">
      <alignment shrinkToFit="0" vertical="center" wrapText="1"/>
    </xf>
    <xf borderId="1" fillId="0" fontId="36" numFmtId="1" xfId="0" applyAlignment="1" applyBorder="1" applyFont="1" applyNumberFormat="1">
      <alignment horizontal="left" readingOrder="0" shrinkToFit="0" vertical="center" wrapText="1"/>
    </xf>
    <xf borderId="11" fillId="0" fontId="12" numFmtId="1" xfId="0" applyAlignment="1" applyBorder="1" applyFont="1" applyNumberFormat="1">
      <alignment horizontal="left" shrinkToFit="0" vertical="center" wrapText="0"/>
    </xf>
    <xf borderId="8" fillId="0" fontId="1" numFmtId="1" xfId="0" applyAlignment="1" applyBorder="1" applyFont="1" applyNumberFormat="1">
      <alignment readingOrder="0" shrinkToFit="0" vertical="center" wrapText="1"/>
    </xf>
    <xf borderId="0" fillId="0" fontId="23" numFmtId="1" xfId="0" applyAlignment="1" applyFont="1" applyNumberFormat="1">
      <alignment readingOrder="0" shrinkToFit="0" vertical="center" wrapText="1"/>
    </xf>
    <xf borderId="1" fillId="7" fontId="1" numFmtId="1" xfId="0" applyAlignment="1" applyBorder="1" applyFont="1" applyNumberFormat="1">
      <alignment horizontal="left" shrinkToFit="0" vertical="center" wrapText="1"/>
    </xf>
    <xf borderId="1" fillId="3" fontId="1" numFmtId="1" xfId="0" applyAlignment="1" applyBorder="1" applyFont="1" applyNumberFormat="1">
      <alignment horizontal="left" shrinkToFit="0" vertical="center" wrapText="1"/>
    </xf>
    <xf borderId="1" fillId="6" fontId="4" numFmtId="1" xfId="0" applyAlignment="1" applyBorder="1" applyFont="1" applyNumberFormat="1">
      <alignment shrinkToFit="0" vertical="center" wrapText="1"/>
    </xf>
    <xf borderId="1" fillId="3" fontId="4" numFmtId="1" xfId="0" applyAlignment="1" applyBorder="1" applyFont="1" applyNumberFormat="1">
      <alignment shrinkToFit="0" vertical="center" wrapText="1"/>
    </xf>
    <xf borderId="9" fillId="0" fontId="4" numFmtId="1" xfId="0" applyAlignment="1" applyBorder="1" applyFont="1" applyNumberFormat="1">
      <alignment shrinkToFit="0" vertical="center" wrapText="1"/>
    </xf>
    <xf borderId="9" fillId="0" fontId="37" numFmtId="1" xfId="0" applyAlignment="1" applyBorder="1" applyFont="1" applyNumberFormat="1">
      <alignment readingOrder="0" shrinkToFit="0" vertical="center" wrapText="1"/>
    </xf>
    <xf borderId="0" fillId="0" fontId="1" numFmtId="1" xfId="0" applyAlignment="1" applyFont="1" applyNumberFormat="1">
      <alignment horizontal="center" readingOrder="0" shrinkToFit="0" vertical="center" wrapText="1"/>
    </xf>
    <xf borderId="0" fillId="0" fontId="38" numFmtId="1" xfId="0" applyAlignment="1" applyFont="1" applyNumberFormat="1">
      <alignment shrinkToFit="0" vertical="center" wrapText="1"/>
    </xf>
    <xf borderId="9" fillId="0" fontId="4" numFmtId="1" xfId="0" applyAlignment="1" applyBorder="1" applyFont="1" applyNumberFormat="1">
      <alignment horizontal="center" readingOrder="0" shrinkToFit="0" vertical="center" wrapText="1"/>
    </xf>
    <xf borderId="9" fillId="0" fontId="1" numFmtId="0" xfId="0" applyAlignment="1" applyBorder="1" applyFont="1">
      <alignment readingOrder="0" shrinkToFit="0" vertical="center" wrapText="1"/>
    </xf>
    <xf borderId="15" fillId="0" fontId="1" numFmtId="1" xfId="0" applyAlignment="1" applyBorder="1" applyFont="1" applyNumberFormat="1">
      <alignment horizontal="left" shrinkToFit="0" vertical="center" wrapText="1"/>
    </xf>
    <xf borderId="15" fillId="0" fontId="1" numFmtId="1" xfId="0" applyAlignment="1" applyBorder="1" applyFont="1" applyNumberFormat="1">
      <alignment horizontal="right" shrinkToFit="0" vertical="center" wrapText="1"/>
    </xf>
    <xf borderId="9" fillId="0" fontId="4" numFmtId="1" xfId="0" applyAlignment="1" applyBorder="1" applyFont="1" applyNumberFormat="1">
      <alignment horizontal="center" shrinkToFit="0" vertical="center" wrapText="1"/>
    </xf>
    <xf borderId="9" fillId="0" fontId="8" numFmtId="1" xfId="0" applyAlignment="1" applyBorder="1" applyFont="1" applyNumberFormat="1">
      <alignment horizontal="left" readingOrder="0" shrinkToFit="0" vertical="center" wrapText="1"/>
    </xf>
    <xf borderId="9" fillId="0" fontId="1" numFmtId="1" xfId="0" applyAlignment="1" applyBorder="1" applyFont="1" applyNumberForma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1" Type="http://schemas.openxmlformats.org/officeDocument/2006/relationships/hyperlink" Target="http://wm2.ev" TargetMode="External"/><Relationship Id="rId10" Type="http://schemas.openxmlformats.org/officeDocument/2006/relationships/hyperlink" Target="http://wm1.ev" TargetMode="External"/><Relationship Id="rId13" Type="http://schemas.openxmlformats.org/officeDocument/2006/relationships/drawing" Target="../drawings/drawing1.xml"/><Relationship Id="rId12" Type="http://schemas.openxmlformats.org/officeDocument/2006/relationships/hyperlink" Target="http://wm3.ev" TargetMode="External"/><Relationship Id="rId1" Type="http://schemas.openxmlformats.org/officeDocument/2006/relationships/comments" Target="../comments1.xml"/><Relationship Id="rId2" Type="http://schemas.openxmlformats.org/officeDocument/2006/relationships/hyperlink" Target="http://gold2.av" TargetMode="External"/><Relationship Id="rId3" Type="http://schemas.openxmlformats.org/officeDocument/2006/relationships/hyperlink" Target="http://gold3.av" TargetMode="External"/><Relationship Id="rId4" Type="http://schemas.openxmlformats.org/officeDocument/2006/relationships/hyperlink" Target="http://gold4.av" TargetMode="External"/><Relationship Id="rId9" Type="http://schemas.openxmlformats.org/officeDocument/2006/relationships/hyperlink" Target="http://wm0.ev" TargetMode="External"/><Relationship Id="rId14" Type="http://schemas.openxmlformats.org/officeDocument/2006/relationships/vmlDrawing" Target="../drawings/vmlDrawing1.vml"/><Relationship Id="rId5" Type="http://schemas.openxmlformats.org/officeDocument/2006/relationships/hyperlink" Target="http://gold5.av" TargetMode="External"/><Relationship Id="rId6" Type="http://schemas.openxmlformats.org/officeDocument/2006/relationships/hyperlink" Target="http://gold6.av" TargetMode="External"/><Relationship Id="rId7" Type="http://schemas.openxmlformats.org/officeDocument/2006/relationships/hyperlink" Target="http://gold7.av" TargetMode="External"/><Relationship Id="rId8" Type="http://schemas.openxmlformats.org/officeDocument/2006/relationships/hyperlink" Target="http://gold7_2.av"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www.squaresoft.com/reg.html"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m.ta" TargetMode="External"/><Relationship Id="rId2" Type="http://schemas.openxmlformats.org/officeDocument/2006/relationships/hyperlink" Target="http://wm0.ev" TargetMode="External"/><Relationship Id="rId3" Type="http://schemas.openxmlformats.org/officeDocument/2006/relationships/hyperlink" Target="http://wm2.ev" TargetMode="External"/><Relationship Id="rId4" Type="http://schemas.openxmlformats.org/officeDocument/2006/relationships/hyperlink" Target="http://wm3.ev"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7.0"/>
    <col customWidth="1" min="2" max="2" width="9.29"/>
    <col customWidth="1" min="3" max="3" width="47.57"/>
    <col customWidth="1" min="4" max="4" width="35.0"/>
    <col customWidth="1" min="5" max="5" width="36.86"/>
    <col customWidth="1" min="6" max="7" width="3.29"/>
    <col customWidth="1" min="8" max="8" width="15.43"/>
  </cols>
  <sheetData>
    <row r="1">
      <c r="A1" s="2" t="s">
        <v>1</v>
      </c>
      <c r="B1" s="3" t="s">
        <v>4</v>
      </c>
      <c r="C1" s="3" t="s">
        <v>5</v>
      </c>
      <c r="D1" s="3" t="s">
        <v>6</v>
      </c>
      <c r="E1" s="3" t="s">
        <v>7</v>
      </c>
      <c r="F1" s="5"/>
      <c r="G1" s="5"/>
      <c r="H1" s="3" t="s">
        <v>9</v>
      </c>
    </row>
    <row r="2">
      <c r="A2" s="7" t="s">
        <v>10</v>
      </c>
      <c r="B2" s="9"/>
      <c r="C2" s="11"/>
      <c r="D2" s="13"/>
      <c r="E2" s="15"/>
      <c r="F2" s="13"/>
      <c r="G2" s="13"/>
      <c r="H2" s="13"/>
    </row>
    <row r="3">
      <c r="A3" s="17" t="s">
        <v>14</v>
      </c>
      <c r="B3" s="18"/>
      <c r="C3" s="20" t="s">
        <v>15</v>
      </c>
      <c r="D3" s="22" t="s">
        <v>16</v>
      </c>
    </row>
    <row r="4">
      <c r="A4" s="17" t="s">
        <v>18</v>
      </c>
      <c r="B4" s="18"/>
      <c r="C4" s="20" t="s">
        <v>15</v>
      </c>
      <c r="D4" s="22" t="s">
        <v>16</v>
      </c>
    </row>
    <row r="5">
      <c r="A5" s="17" t="s">
        <v>19</v>
      </c>
      <c r="B5" s="18"/>
      <c r="C5" s="20" t="s">
        <v>15</v>
      </c>
      <c r="D5" s="22" t="s">
        <v>16</v>
      </c>
    </row>
    <row r="6">
      <c r="A6" s="17" t="s">
        <v>20</v>
      </c>
      <c r="B6" s="18"/>
      <c r="C6" s="20" t="s">
        <v>15</v>
      </c>
      <c r="D6" s="22" t="s">
        <v>16</v>
      </c>
    </row>
    <row r="7">
      <c r="A7" s="17" t="s">
        <v>21</v>
      </c>
      <c r="B7" s="18"/>
      <c r="C7" s="20" t="s">
        <v>15</v>
      </c>
      <c r="D7" s="22" t="s">
        <v>16</v>
      </c>
    </row>
    <row r="8">
      <c r="A8" s="17" t="s">
        <v>22</v>
      </c>
      <c r="B8" s="18"/>
      <c r="C8" s="20" t="s">
        <v>23</v>
      </c>
      <c r="D8" s="22" t="s">
        <v>16</v>
      </c>
    </row>
    <row r="9">
      <c r="A9" s="17" t="s">
        <v>24</v>
      </c>
      <c r="B9" s="9"/>
      <c r="C9" s="25"/>
    </row>
    <row r="10">
      <c r="A10" s="17" t="s">
        <v>27</v>
      </c>
      <c r="B10" s="9"/>
      <c r="C10" s="25"/>
    </row>
    <row r="11">
      <c r="A11" s="17" t="s">
        <v>28</v>
      </c>
      <c r="B11" s="9"/>
      <c r="C11" s="25"/>
    </row>
    <row r="12">
      <c r="A12" s="17" t="s">
        <v>29</v>
      </c>
      <c r="B12" s="9"/>
      <c r="C12" s="25"/>
    </row>
    <row r="13">
      <c r="A13" s="17" t="s">
        <v>30</v>
      </c>
      <c r="B13" s="9"/>
      <c r="C13" s="25"/>
    </row>
    <row r="14">
      <c r="A14" s="17" t="s">
        <v>31</v>
      </c>
      <c r="B14" s="9"/>
      <c r="C14" s="25"/>
    </row>
    <row r="15">
      <c r="A15" s="17" t="s">
        <v>32</v>
      </c>
      <c r="B15" s="18"/>
      <c r="C15" s="20" t="s">
        <v>33</v>
      </c>
      <c r="D15" s="22" t="s">
        <v>34</v>
      </c>
    </row>
    <row r="16">
      <c r="A16" s="17" t="s">
        <v>35</v>
      </c>
      <c r="B16" s="18"/>
      <c r="C16" s="20" t="s">
        <v>36</v>
      </c>
      <c r="D16" s="22" t="s">
        <v>37</v>
      </c>
    </row>
    <row r="17">
      <c r="A17" s="17" t="s">
        <v>38</v>
      </c>
      <c r="B17" s="9"/>
      <c r="C17" s="25"/>
    </row>
    <row r="18">
      <c r="A18" s="17" t="s">
        <v>39</v>
      </c>
      <c r="B18" s="9"/>
      <c r="C18" s="25"/>
    </row>
    <row r="19">
      <c r="A19" s="17" t="s">
        <v>40</v>
      </c>
      <c r="B19" s="9"/>
      <c r="C19" s="25"/>
    </row>
    <row r="20">
      <c r="A20" s="17" t="s">
        <v>41</v>
      </c>
      <c r="B20" s="9"/>
      <c r="C20" s="25"/>
    </row>
    <row r="21">
      <c r="A21" s="17" t="s">
        <v>42</v>
      </c>
      <c r="B21" s="18"/>
      <c r="C21" s="20" t="s">
        <v>43</v>
      </c>
    </row>
    <row r="22">
      <c r="A22" s="17" t="s">
        <v>44</v>
      </c>
      <c r="B22" s="9"/>
      <c r="C22" s="25"/>
    </row>
    <row r="23">
      <c r="B23" s="29"/>
    </row>
    <row r="24">
      <c r="A24" s="17" t="s">
        <v>46</v>
      </c>
      <c r="B24" s="9"/>
      <c r="C24" s="31"/>
    </row>
    <row r="25">
      <c r="A25" s="17" t="s">
        <v>48</v>
      </c>
      <c r="B25" s="9"/>
      <c r="C25" s="31"/>
    </row>
    <row r="26">
      <c r="A26" s="17" t="s">
        <v>49</v>
      </c>
      <c r="B26" s="9"/>
      <c r="C26" s="31"/>
    </row>
    <row r="27">
      <c r="A27" s="17" t="s">
        <v>50</v>
      </c>
      <c r="B27" s="9"/>
      <c r="C27" s="31"/>
    </row>
    <row r="28">
      <c r="A28" s="17" t="s">
        <v>51</v>
      </c>
      <c r="B28" s="9"/>
      <c r="C28" s="31"/>
    </row>
    <row r="29">
      <c r="A29" s="17" t="s">
        <v>52</v>
      </c>
      <c r="B29" s="18"/>
      <c r="C29" s="33" t="s">
        <v>53</v>
      </c>
      <c r="D29" s="22" t="s">
        <v>54</v>
      </c>
    </row>
    <row r="30">
      <c r="A30" s="17" t="s">
        <v>55</v>
      </c>
      <c r="B30" s="18"/>
      <c r="C30" s="33" t="s">
        <v>56</v>
      </c>
      <c r="D30" s="22" t="s">
        <v>57</v>
      </c>
      <c r="E30" s="35" t="s">
        <v>58</v>
      </c>
    </row>
    <row r="31">
      <c r="A31" s="17" t="s">
        <v>60</v>
      </c>
      <c r="B31" s="9"/>
      <c r="C31" s="31"/>
    </row>
    <row r="32">
      <c r="B32" s="37"/>
    </row>
    <row r="33">
      <c r="A33" s="39" t="s">
        <v>62</v>
      </c>
      <c r="B33" s="41"/>
    </row>
    <row r="34">
      <c r="A34" s="17" t="s">
        <v>64</v>
      </c>
      <c r="B34" s="18"/>
      <c r="C34" s="20" t="s">
        <v>65</v>
      </c>
      <c r="D34" s="22" t="s">
        <v>66</v>
      </c>
    </row>
    <row r="35">
      <c r="A35" s="17" t="s">
        <v>67</v>
      </c>
      <c r="B35" s="18"/>
      <c r="C35" s="20" t="s">
        <v>65</v>
      </c>
      <c r="D35" s="22" t="s">
        <v>68</v>
      </c>
    </row>
    <row r="36">
      <c r="A36" s="17" t="s">
        <v>69</v>
      </c>
      <c r="B36" s="18"/>
      <c r="C36" s="20" t="s">
        <v>65</v>
      </c>
      <c r="D36" s="22" t="s">
        <v>70</v>
      </c>
    </row>
    <row r="37">
      <c r="A37" s="17" t="s">
        <v>72</v>
      </c>
      <c r="B37" s="18"/>
      <c r="C37" s="20" t="s">
        <v>65</v>
      </c>
      <c r="D37" s="22" t="s">
        <v>73</v>
      </c>
    </row>
    <row r="38">
      <c r="A38" s="17" t="s">
        <v>74</v>
      </c>
      <c r="B38" s="18"/>
      <c r="C38" s="20" t="s">
        <v>65</v>
      </c>
      <c r="D38" s="22" t="s">
        <v>75</v>
      </c>
    </row>
    <row r="39">
      <c r="A39" s="17" t="s">
        <v>76</v>
      </c>
      <c r="B39" s="18"/>
      <c r="C39" s="20" t="s">
        <v>65</v>
      </c>
      <c r="D39" s="22" t="s">
        <v>77</v>
      </c>
    </row>
    <row r="40">
      <c r="A40" s="17" t="s">
        <v>78</v>
      </c>
      <c r="B40" s="18"/>
      <c r="C40" s="20" t="s">
        <v>65</v>
      </c>
      <c r="D40" s="22" t="s">
        <v>79</v>
      </c>
    </row>
    <row r="41">
      <c r="A41" s="17" t="s">
        <v>80</v>
      </c>
      <c r="B41" s="18"/>
      <c r="C41" s="20" t="s">
        <v>65</v>
      </c>
      <c r="D41" s="22" t="s">
        <v>81</v>
      </c>
    </row>
    <row r="42">
      <c r="A42" s="17" t="s">
        <v>82</v>
      </c>
      <c r="B42" s="18"/>
      <c r="C42" s="20" t="s">
        <v>65</v>
      </c>
      <c r="D42" s="22" t="s">
        <v>83</v>
      </c>
    </row>
    <row r="43">
      <c r="A43" s="17" t="s">
        <v>84</v>
      </c>
      <c r="B43" s="18"/>
      <c r="C43" s="20" t="s">
        <v>65</v>
      </c>
      <c r="D43" s="22" t="s">
        <v>86</v>
      </c>
    </row>
    <row r="44">
      <c r="A44" s="17" t="s">
        <v>87</v>
      </c>
      <c r="B44" s="18"/>
      <c r="C44" s="20" t="s">
        <v>88</v>
      </c>
      <c r="D44" s="22" t="s">
        <v>89</v>
      </c>
    </row>
    <row r="45">
      <c r="A45" s="17" t="s">
        <v>90</v>
      </c>
      <c r="B45" s="18"/>
      <c r="C45" s="20" t="s">
        <v>91</v>
      </c>
      <c r="D45" s="22" t="s">
        <v>92</v>
      </c>
    </row>
    <row r="46">
      <c r="A46" s="17" t="s">
        <v>93</v>
      </c>
      <c r="B46" s="18"/>
      <c r="C46" s="20" t="s">
        <v>94</v>
      </c>
      <c r="D46" s="22" t="s">
        <v>95</v>
      </c>
    </row>
    <row r="47">
      <c r="A47" s="17" t="s">
        <v>96</v>
      </c>
      <c r="B47" s="18"/>
      <c r="C47" s="20" t="s">
        <v>97</v>
      </c>
      <c r="D47" s="22" t="s">
        <v>98</v>
      </c>
    </row>
    <row r="48">
      <c r="A48" s="17" t="s">
        <v>99</v>
      </c>
      <c r="B48" s="18"/>
      <c r="C48" s="20" t="s">
        <v>100</v>
      </c>
      <c r="D48" s="22" t="s">
        <v>101</v>
      </c>
    </row>
    <row r="49">
      <c r="A49" s="17" t="s">
        <v>102</v>
      </c>
      <c r="B49" s="18"/>
      <c r="C49" s="20" t="s">
        <v>103</v>
      </c>
      <c r="D49" s="22" t="s">
        <v>104</v>
      </c>
      <c r="E49" s="35" t="s">
        <v>105</v>
      </c>
    </row>
    <row r="50">
      <c r="A50" s="17" t="s">
        <v>106</v>
      </c>
      <c r="B50" s="18"/>
      <c r="C50" s="20" t="s">
        <v>107</v>
      </c>
      <c r="D50" s="22" t="s">
        <v>108</v>
      </c>
    </row>
    <row r="51">
      <c r="A51" s="17" t="s">
        <v>109</v>
      </c>
      <c r="B51" s="18"/>
      <c r="C51" s="20" t="s">
        <v>111</v>
      </c>
      <c r="D51" s="22" t="s">
        <v>112</v>
      </c>
    </row>
    <row r="52">
      <c r="A52" s="17" t="s">
        <v>113</v>
      </c>
      <c r="B52" s="18"/>
      <c r="C52" s="20" t="s">
        <v>114</v>
      </c>
      <c r="D52" s="22" t="s">
        <v>115</v>
      </c>
    </row>
    <row r="53">
      <c r="A53" s="17" t="s">
        <v>116</v>
      </c>
      <c r="B53" s="18"/>
      <c r="C53" s="20" t="s">
        <v>117</v>
      </c>
      <c r="D53" s="22" t="s">
        <v>118</v>
      </c>
    </row>
    <row r="54">
      <c r="A54" s="17" t="s">
        <v>119</v>
      </c>
      <c r="B54" s="18"/>
      <c r="C54" s="20" t="s">
        <v>120</v>
      </c>
      <c r="D54" s="22" t="s">
        <v>115</v>
      </c>
    </row>
    <row r="55">
      <c r="A55" s="17" t="s">
        <v>122</v>
      </c>
      <c r="B55" s="18"/>
      <c r="C55" s="20" t="s">
        <v>123</v>
      </c>
      <c r="D55" s="22" t="s">
        <v>124</v>
      </c>
    </row>
    <row r="56">
      <c r="A56" s="17" t="s">
        <v>125</v>
      </c>
      <c r="B56" s="18"/>
      <c r="C56" s="20" t="s">
        <v>126</v>
      </c>
      <c r="D56" s="22" t="s">
        <v>128</v>
      </c>
    </row>
    <row r="57">
      <c r="A57" s="17" t="s">
        <v>129</v>
      </c>
      <c r="B57" s="18"/>
      <c r="C57" s="20" t="s">
        <v>130</v>
      </c>
      <c r="D57" s="22" t="s">
        <v>132</v>
      </c>
    </row>
    <row r="58">
      <c r="A58" s="17" t="s">
        <v>133</v>
      </c>
      <c r="B58" s="18"/>
      <c r="C58" s="20" t="s">
        <v>135</v>
      </c>
      <c r="D58" s="22" t="s">
        <v>136</v>
      </c>
    </row>
    <row r="59">
      <c r="A59" s="17" t="s">
        <v>138</v>
      </c>
      <c r="B59" s="18"/>
      <c r="C59" s="20" t="s">
        <v>140</v>
      </c>
      <c r="D59" s="22" t="s">
        <v>141</v>
      </c>
    </row>
    <row r="60">
      <c r="A60" s="17" t="s">
        <v>143</v>
      </c>
      <c r="B60" s="18"/>
      <c r="C60" s="20" t="s">
        <v>144</v>
      </c>
      <c r="D60" s="51" t="s">
        <v>146</v>
      </c>
    </row>
    <row r="61">
      <c r="A61" s="17" t="s">
        <v>179</v>
      </c>
      <c r="B61" s="18"/>
      <c r="C61" s="20" t="s">
        <v>180</v>
      </c>
      <c r="D61" s="22" t="s">
        <v>181</v>
      </c>
    </row>
    <row r="62">
      <c r="A62" s="17" t="s">
        <v>182</v>
      </c>
      <c r="B62" s="18"/>
      <c r="C62" s="20" t="s">
        <v>183</v>
      </c>
      <c r="D62" s="22" t="s">
        <v>184</v>
      </c>
    </row>
    <row r="63">
      <c r="A63" s="17" t="s">
        <v>185</v>
      </c>
      <c r="B63" s="18"/>
      <c r="C63" s="20" t="s">
        <v>186</v>
      </c>
      <c r="D63" s="22" t="s">
        <v>187</v>
      </c>
    </row>
    <row r="64">
      <c r="A64" s="17" t="s">
        <v>188</v>
      </c>
      <c r="B64" s="18"/>
      <c r="C64" s="20" t="s">
        <v>189</v>
      </c>
      <c r="D64" s="22" t="s">
        <v>190</v>
      </c>
    </row>
    <row r="65">
      <c r="A65" s="17" t="s">
        <v>191</v>
      </c>
      <c r="B65" s="18"/>
      <c r="C65" s="20" t="s">
        <v>192</v>
      </c>
      <c r="D65" s="22" t="s">
        <v>194</v>
      </c>
    </row>
    <row r="66">
      <c r="A66" s="17" t="s">
        <v>195</v>
      </c>
      <c r="B66" s="18"/>
      <c r="C66" s="20" t="s">
        <v>196</v>
      </c>
      <c r="D66" s="22" t="s">
        <v>198</v>
      </c>
    </row>
    <row r="67" ht="14.25" customHeight="1">
      <c r="A67" s="17" t="s">
        <v>199</v>
      </c>
      <c r="B67" s="18"/>
      <c r="C67" s="20" t="s">
        <v>200</v>
      </c>
      <c r="D67" s="54" t="s">
        <v>201</v>
      </c>
    </row>
    <row r="68">
      <c r="A68" s="17" t="s">
        <v>207</v>
      </c>
      <c r="B68" s="18"/>
      <c r="C68" s="20" t="s">
        <v>208</v>
      </c>
      <c r="D68" s="22" t="s">
        <v>209</v>
      </c>
    </row>
    <row r="69">
      <c r="A69" s="17" t="s">
        <v>210</v>
      </c>
      <c r="B69" s="18"/>
      <c r="C69" s="20" t="s">
        <v>211</v>
      </c>
      <c r="D69" s="22" t="s">
        <v>212</v>
      </c>
    </row>
    <row r="70">
      <c r="A70" s="17" t="s">
        <v>213</v>
      </c>
      <c r="B70" s="18"/>
      <c r="C70" s="20" t="s">
        <v>214</v>
      </c>
      <c r="D70" s="22" t="s">
        <v>215</v>
      </c>
    </row>
    <row r="71">
      <c r="A71" s="17" t="s">
        <v>216</v>
      </c>
      <c r="B71" s="18"/>
      <c r="C71" s="20" t="s">
        <v>217</v>
      </c>
      <c r="D71" s="22" t="s">
        <v>209</v>
      </c>
    </row>
    <row r="72">
      <c r="A72" s="17" t="s">
        <v>219</v>
      </c>
      <c r="B72" s="18"/>
      <c r="C72" s="20" t="s">
        <v>220</v>
      </c>
      <c r="D72" s="22" t="s">
        <v>221</v>
      </c>
    </row>
    <row r="73">
      <c r="A73" s="17" t="s">
        <v>222</v>
      </c>
      <c r="B73" s="18"/>
      <c r="C73" s="20" t="s">
        <v>223</v>
      </c>
      <c r="D73" s="22" t="s">
        <v>224</v>
      </c>
    </row>
    <row r="74">
      <c r="A74" s="17" t="s">
        <v>226</v>
      </c>
      <c r="B74" s="18"/>
      <c r="C74" s="20" t="s">
        <v>227</v>
      </c>
      <c r="D74" s="22" t="s">
        <v>229</v>
      </c>
    </row>
    <row r="75">
      <c r="A75" s="17" t="s">
        <v>230</v>
      </c>
      <c r="B75" s="18"/>
      <c r="C75" s="20" t="s">
        <v>232</v>
      </c>
      <c r="D75" s="22" t="s">
        <v>233</v>
      </c>
    </row>
    <row r="76">
      <c r="A76" s="17" t="s">
        <v>236</v>
      </c>
      <c r="B76" s="18"/>
      <c r="C76" s="20" t="s">
        <v>238</v>
      </c>
      <c r="D76" s="22" t="s">
        <v>240</v>
      </c>
    </row>
    <row r="77">
      <c r="A77" s="17" t="s">
        <v>242</v>
      </c>
      <c r="B77" s="18"/>
      <c r="C77" s="20" t="s">
        <v>244</v>
      </c>
      <c r="D77" s="22" t="s">
        <v>245</v>
      </c>
    </row>
    <row r="78">
      <c r="A78" s="17" t="s">
        <v>247</v>
      </c>
      <c r="B78" s="18"/>
      <c r="C78" s="20" t="s">
        <v>249</v>
      </c>
      <c r="D78" s="22" t="s">
        <v>250</v>
      </c>
    </row>
    <row r="79">
      <c r="A79" s="17" t="s">
        <v>252</v>
      </c>
      <c r="B79" s="18"/>
      <c r="C79" s="20" t="s">
        <v>253</v>
      </c>
      <c r="D79" s="22" t="s">
        <v>255</v>
      </c>
    </row>
    <row r="80">
      <c r="A80" s="17" t="s">
        <v>256</v>
      </c>
      <c r="B80" s="18"/>
      <c r="C80" s="20" t="s">
        <v>258</v>
      </c>
      <c r="D80" s="22" t="s">
        <v>259</v>
      </c>
    </row>
    <row r="81">
      <c r="A81" s="17" t="s">
        <v>260</v>
      </c>
      <c r="B81" s="18"/>
      <c r="C81" s="20" t="s">
        <v>262</v>
      </c>
      <c r="D81" s="22" t="s">
        <v>263</v>
      </c>
    </row>
    <row r="82">
      <c r="A82" s="17" t="s">
        <v>264</v>
      </c>
      <c r="B82" s="18"/>
      <c r="C82" s="20" t="s">
        <v>265</v>
      </c>
      <c r="D82" s="22" t="s">
        <v>266</v>
      </c>
    </row>
    <row r="83">
      <c r="A83" s="17" t="s">
        <v>267</v>
      </c>
      <c r="B83" s="18"/>
      <c r="C83" s="20" t="s">
        <v>268</v>
      </c>
      <c r="D83" s="22" t="s">
        <v>269</v>
      </c>
    </row>
    <row r="84">
      <c r="A84" s="17" t="s">
        <v>270</v>
      </c>
      <c r="B84" s="18"/>
      <c r="C84" s="20" t="s">
        <v>271</v>
      </c>
      <c r="D84" s="22" t="s">
        <v>272</v>
      </c>
    </row>
    <row r="85">
      <c r="A85" s="17" t="s">
        <v>273</v>
      </c>
      <c r="B85" s="18"/>
      <c r="C85" s="20" t="s">
        <v>274</v>
      </c>
      <c r="D85" s="22" t="s">
        <v>275</v>
      </c>
    </row>
    <row r="86">
      <c r="A86" s="17" t="s">
        <v>276</v>
      </c>
      <c r="B86" s="18"/>
      <c r="C86" s="20" t="s">
        <v>277</v>
      </c>
      <c r="D86" s="22" t="s">
        <v>278</v>
      </c>
    </row>
    <row r="87">
      <c r="A87" s="17" t="s">
        <v>279</v>
      </c>
      <c r="B87" s="18"/>
      <c r="C87" s="20" t="s">
        <v>280</v>
      </c>
      <c r="D87" s="22" t="s">
        <v>281</v>
      </c>
    </row>
    <row r="88">
      <c r="A88" s="17" t="s">
        <v>282</v>
      </c>
      <c r="B88" s="18"/>
      <c r="C88" s="20" t="s">
        <v>283</v>
      </c>
      <c r="D88" s="22" t="s">
        <v>284</v>
      </c>
    </row>
    <row r="89">
      <c r="A89" s="17" t="s">
        <v>285</v>
      </c>
      <c r="B89" s="18"/>
      <c r="C89" s="20" t="s">
        <v>286</v>
      </c>
      <c r="D89" s="22" t="s">
        <v>287</v>
      </c>
    </row>
    <row r="90">
      <c r="A90" s="17" t="s">
        <v>288</v>
      </c>
      <c r="B90" s="18"/>
      <c r="C90" s="20" t="s">
        <v>289</v>
      </c>
      <c r="D90" s="22" t="s">
        <v>290</v>
      </c>
    </row>
    <row r="91">
      <c r="A91" s="17" t="s">
        <v>291</v>
      </c>
      <c r="B91" s="18"/>
      <c r="C91" s="20" t="s">
        <v>292</v>
      </c>
      <c r="D91" s="22" t="s">
        <v>293</v>
      </c>
    </row>
    <row r="92">
      <c r="A92" s="17" t="s">
        <v>294</v>
      </c>
      <c r="B92" s="18"/>
      <c r="C92" s="20" t="s">
        <v>295</v>
      </c>
      <c r="D92" s="22" t="s">
        <v>296</v>
      </c>
    </row>
    <row r="93">
      <c r="A93" s="17" t="s">
        <v>297</v>
      </c>
      <c r="B93" s="18"/>
      <c r="C93" s="20" t="s">
        <v>298</v>
      </c>
      <c r="D93" s="22" t="s">
        <v>299</v>
      </c>
    </row>
    <row r="94">
      <c r="B94" s="37"/>
    </row>
    <row r="95">
      <c r="A95" s="39" t="s">
        <v>300</v>
      </c>
      <c r="B95" s="41"/>
    </row>
    <row r="96">
      <c r="A96" s="17" t="s">
        <v>301</v>
      </c>
      <c r="B96" s="18"/>
      <c r="C96" s="20" t="s">
        <v>302</v>
      </c>
      <c r="D96" s="22" t="s">
        <v>303</v>
      </c>
    </row>
    <row r="97">
      <c r="A97" s="17" t="s">
        <v>304</v>
      </c>
      <c r="B97" s="18"/>
      <c r="C97" s="20" t="s">
        <v>305</v>
      </c>
      <c r="D97" s="22" t="s">
        <v>306</v>
      </c>
    </row>
    <row r="98">
      <c r="A98" s="17" t="s">
        <v>307</v>
      </c>
      <c r="B98" s="18"/>
      <c r="C98" s="20" t="s">
        <v>308</v>
      </c>
      <c r="D98" s="22" t="s">
        <v>309</v>
      </c>
    </row>
    <row r="99">
      <c r="A99" s="17" t="s">
        <v>310</v>
      </c>
      <c r="B99" s="18"/>
      <c r="C99" s="20" t="s">
        <v>311</v>
      </c>
      <c r="D99" s="22" t="s">
        <v>312</v>
      </c>
    </row>
    <row r="100">
      <c r="A100" s="17" t="s">
        <v>313</v>
      </c>
      <c r="B100" s="18"/>
      <c r="C100" s="20" t="s">
        <v>314</v>
      </c>
      <c r="D100" s="22" t="s">
        <v>315</v>
      </c>
    </row>
    <row r="101">
      <c r="A101" s="17" t="s">
        <v>316</v>
      </c>
      <c r="B101" s="18"/>
      <c r="C101" s="20" t="s">
        <v>317</v>
      </c>
      <c r="D101" s="22" t="s">
        <v>318</v>
      </c>
    </row>
    <row r="102">
      <c r="A102" s="17" t="s">
        <v>320</v>
      </c>
      <c r="B102" s="18"/>
      <c r="C102" s="20" t="s">
        <v>321</v>
      </c>
      <c r="D102" s="22" t="s">
        <v>322</v>
      </c>
    </row>
    <row r="103">
      <c r="A103" s="17" t="s">
        <v>323</v>
      </c>
      <c r="B103" s="18"/>
      <c r="C103" s="20" t="s">
        <v>324</v>
      </c>
      <c r="D103" s="22" t="s">
        <v>325</v>
      </c>
    </row>
    <row r="104">
      <c r="A104" s="17" t="s">
        <v>326</v>
      </c>
      <c r="B104" s="18"/>
      <c r="C104" s="20" t="s">
        <v>327</v>
      </c>
      <c r="D104" s="22" t="s">
        <v>329</v>
      </c>
    </row>
    <row r="105">
      <c r="A105" s="17" t="s">
        <v>330</v>
      </c>
      <c r="B105" s="18"/>
      <c r="C105" s="20" t="s">
        <v>331</v>
      </c>
      <c r="D105" s="22" t="s">
        <v>333</v>
      </c>
    </row>
    <row r="106" ht="22.5" customHeight="1">
      <c r="A106" s="17" t="s">
        <v>334</v>
      </c>
      <c r="B106" s="18"/>
      <c r="C106" s="20" t="s">
        <v>335</v>
      </c>
      <c r="D106" s="22" t="s">
        <v>336</v>
      </c>
      <c r="E106" s="35" t="s">
        <v>337</v>
      </c>
    </row>
    <row r="107">
      <c r="A107" s="17" t="s">
        <v>338</v>
      </c>
      <c r="B107" s="18"/>
      <c r="C107" s="20" t="s">
        <v>339</v>
      </c>
      <c r="D107" s="22" t="s">
        <v>340</v>
      </c>
    </row>
    <row r="108">
      <c r="A108" s="17" t="s">
        <v>341</v>
      </c>
      <c r="B108" s="18"/>
      <c r="C108" s="20" t="s">
        <v>342</v>
      </c>
      <c r="D108" s="22" t="s">
        <v>343</v>
      </c>
    </row>
    <row r="109">
      <c r="A109" s="17" t="s">
        <v>344</v>
      </c>
      <c r="B109" s="18"/>
      <c r="C109" s="20" t="s">
        <v>345</v>
      </c>
      <c r="D109" s="22" t="s">
        <v>346</v>
      </c>
    </row>
    <row r="110">
      <c r="A110" s="17" t="s">
        <v>347</v>
      </c>
      <c r="B110" s="18"/>
      <c r="C110" s="20" t="s">
        <v>348</v>
      </c>
      <c r="D110" s="22" t="s">
        <v>349</v>
      </c>
    </row>
    <row r="111">
      <c r="A111" s="17" t="s">
        <v>350</v>
      </c>
      <c r="B111" s="18"/>
      <c r="C111" s="20" t="s">
        <v>351</v>
      </c>
      <c r="D111" s="22" t="s">
        <v>352</v>
      </c>
    </row>
    <row r="112">
      <c r="A112" s="17" t="s">
        <v>353</v>
      </c>
      <c r="B112" s="18"/>
      <c r="C112" s="20" t="s">
        <v>354</v>
      </c>
      <c r="D112" s="22" t="s">
        <v>355</v>
      </c>
    </row>
    <row r="113">
      <c r="A113" s="17" t="s">
        <v>356</v>
      </c>
      <c r="B113" s="18"/>
      <c r="C113" s="20" t="s">
        <v>357</v>
      </c>
      <c r="D113" s="22" t="s">
        <v>358</v>
      </c>
    </row>
    <row r="114">
      <c r="A114" s="17" t="s">
        <v>359</v>
      </c>
      <c r="B114" s="18"/>
      <c r="C114" s="33" t="s">
        <v>360</v>
      </c>
      <c r="D114" s="22" t="s">
        <v>361</v>
      </c>
    </row>
    <row r="115">
      <c r="A115" s="17" t="s">
        <v>362</v>
      </c>
      <c r="B115" s="18"/>
      <c r="C115" s="20" t="s">
        <v>363</v>
      </c>
      <c r="D115" s="22" t="s">
        <v>364</v>
      </c>
    </row>
    <row r="116">
      <c r="A116" s="17" t="s">
        <v>365</v>
      </c>
      <c r="B116" s="18"/>
      <c r="C116" s="20" t="s">
        <v>366</v>
      </c>
      <c r="D116" s="22" t="s">
        <v>367</v>
      </c>
    </row>
    <row r="117">
      <c r="A117" s="17" t="s">
        <v>368</v>
      </c>
      <c r="B117" s="18"/>
      <c r="C117" s="20" t="s">
        <v>369</v>
      </c>
      <c r="D117" s="22" t="s">
        <v>370</v>
      </c>
    </row>
    <row r="118">
      <c r="A118" s="17" t="s">
        <v>371</v>
      </c>
      <c r="B118" s="18"/>
      <c r="C118" s="20" t="s">
        <v>372</v>
      </c>
      <c r="D118" s="22" t="s">
        <v>373</v>
      </c>
    </row>
    <row r="119">
      <c r="A119" s="17" t="s">
        <v>374</v>
      </c>
      <c r="B119" s="18"/>
      <c r="C119" s="20" t="s">
        <v>376</v>
      </c>
      <c r="D119" s="22" t="s">
        <v>377</v>
      </c>
    </row>
    <row r="120">
      <c r="A120" s="17" t="s">
        <v>379</v>
      </c>
      <c r="B120" s="18"/>
      <c r="C120" s="20" t="s">
        <v>381</v>
      </c>
      <c r="D120" s="22" t="s">
        <v>382</v>
      </c>
    </row>
    <row r="121">
      <c r="A121" s="17" t="s">
        <v>383</v>
      </c>
      <c r="B121" s="18"/>
      <c r="C121" s="20" t="s">
        <v>384</v>
      </c>
      <c r="D121" s="22" t="s">
        <v>386</v>
      </c>
    </row>
    <row r="122">
      <c r="A122" s="17" t="s">
        <v>388</v>
      </c>
      <c r="B122" s="18"/>
      <c r="C122" s="20" t="s">
        <v>390</v>
      </c>
      <c r="D122" s="22" t="s">
        <v>391</v>
      </c>
    </row>
    <row r="123">
      <c r="A123" s="17" t="s">
        <v>392</v>
      </c>
      <c r="B123" s="18"/>
      <c r="C123" s="20" t="s">
        <v>395</v>
      </c>
      <c r="D123" s="22" t="s">
        <v>396</v>
      </c>
    </row>
    <row r="124">
      <c r="A124" s="17" t="s">
        <v>398</v>
      </c>
      <c r="B124" s="18"/>
      <c r="C124" s="20" t="s">
        <v>399</v>
      </c>
      <c r="D124" s="22" t="s">
        <v>400</v>
      </c>
    </row>
    <row r="125">
      <c r="A125" s="17" t="s">
        <v>401</v>
      </c>
      <c r="B125" s="18"/>
      <c r="C125" s="20" t="s">
        <v>402</v>
      </c>
      <c r="D125" s="22" t="s">
        <v>403</v>
      </c>
    </row>
    <row r="126">
      <c r="A126" s="17" t="s">
        <v>404</v>
      </c>
      <c r="B126" s="18"/>
      <c r="C126" s="20" t="s">
        <v>405</v>
      </c>
      <c r="D126" s="22" t="s">
        <v>406</v>
      </c>
    </row>
    <row r="127">
      <c r="A127" s="17" t="s">
        <v>407</v>
      </c>
      <c r="B127" s="18"/>
      <c r="C127" s="20" t="s">
        <v>408</v>
      </c>
      <c r="D127" s="22" t="s">
        <v>409</v>
      </c>
    </row>
    <row r="128">
      <c r="A128" s="17" t="s">
        <v>410</v>
      </c>
      <c r="B128" s="18"/>
      <c r="C128" s="20" t="s">
        <v>411</v>
      </c>
      <c r="D128" s="22" t="s">
        <v>412</v>
      </c>
    </row>
    <row r="129">
      <c r="A129" s="17" t="s">
        <v>413</v>
      </c>
      <c r="B129" s="18"/>
      <c r="C129" s="20" t="s">
        <v>414</v>
      </c>
      <c r="D129" s="22" t="s">
        <v>415</v>
      </c>
    </row>
    <row r="130">
      <c r="A130" s="17" t="s">
        <v>416</v>
      </c>
      <c r="B130" s="18"/>
      <c r="C130" s="20" t="s">
        <v>417</v>
      </c>
      <c r="D130" s="22" t="s">
        <v>418</v>
      </c>
    </row>
    <row r="131">
      <c r="A131" s="17" t="s">
        <v>419</v>
      </c>
      <c r="B131" s="18"/>
      <c r="C131" s="20" t="s">
        <v>420</v>
      </c>
      <c r="D131" s="22" t="s">
        <v>421</v>
      </c>
    </row>
    <row r="132">
      <c r="A132" s="17" t="s">
        <v>422</v>
      </c>
      <c r="B132" s="18"/>
      <c r="C132" s="20" t="s">
        <v>423</v>
      </c>
      <c r="D132" s="22" t="s">
        <v>424</v>
      </c>
    </row>
    <row r="133">
      <c r="A133" s="17" t="s">
        <v>425</v>
      </c>
      <c r="B133" s="18"/>
      <c r="C133" s="20" t="s">
        <v>426</v>
      </c>
      <c r="D133" s="22" t="s">
        <v>427</v>
      </c>
    </row>
    <row r="134">
      <c r="A134" s="17" t="s">
        <v>428</v>
      </c>
      <c r="B134" s="18"/>
      <c r="C134" s="20" t="s">
        <v>429</v>
      </c>
      <c r="D134" s="22" t="s">
        <v>430</v>
      </c>
    </row>
    <row r="135">
      <c r="A135" s="17" t="s">
        <v>431</v>
      </c>
      <c r="B135" s="18"/>
      <c r="C135" s="20" t="s">
        <v>432</v>
      </c>
      <c r="D135" s="22" t="s">
        <v>433</v>
      </c>
    </row>
    <row r="136">
      <c r="A136" s="17" t="s">
        <v>434</v>
      </c>
      <c r="B136" s="18"/>
      <c r="C136" s="20" t="s">
        <v>435</v>
      </c>
      <c r="D136" s="22" t="s">
        <v>436</v>
      </c>
    </row>
    <row r="137">
      <c r="A137" s="17" t="s">
        <v>437</v>
      </c>
      <c r="B137" s="18"/>
      <c r="C137" s="20" t="s">
        <v>438</v>
      </c>
      <c r="D137" s="22" t="s">
        <v>439</v>
      </c>
    </row>
    <row r="138">
      <c r="A138" s="17" t="s">
        <v>440</v>
      </c>
      <c r="B138" s="18"/>
      <c r="C138" s="20" t="s">
        <v>441</v>
      </c>
      <c r="D138" s="22" t="s">
        <v>442</v>
      </c>
    </row>
    <row r="139">
      <c r="A139" s="17" t="s">
        <v>443</v>
      </c>
      <c r="B139" s="18"/>
      <c r="C139" s="20" t="s">
        <v>444</v>
      </c>
      <c r="D139" s="22" t="s">
        <v>445</v>
      </c>
    </row>
    <row r="140">
      <c r="A140" s="17" t="s">
        <v>446</v>
      </c>
      <c r="B140" s="18"/>
      <c r="C140" s="20" t="s">
        <v>447</v>
      </c>
      <c r="D140" s="22" t="s">
        <v>448</v>
      </c>
    </row>
    <row r="141">
      <c r="A141" s="17" t="s">
        <v>449</v>
      </c>
      <c r="B141" s="18"/>
      <c r="C141" s="20" t="s">
        <v>450</v>
      </c>
      <c r="D141" s="22" t="s">
        <v>451</v>
      </c>
    </row>
    <row r="142">
      <c r="A142" s="17" t="s">
        <v>452</v>
      </c>
      <c r="B142" s="18"/>
      <c r="C142" s="20" t="s">
        <v>453</v>
      </c>
      <c r="D142" s="22" t="s">
        <v>454</v>
      </c>
    </row>
    <row r="143">
      <c r="A143" s="17" t="s">
        <v>455</v>
      </c>
      <c r="B143" s="18"/>
      <c r="C143" s="20" t="s">
        <v>456</v>
      </c>
      <c r="D143" s="22" t="s">
        <v>457</v>
      </c>
      <c r="E143" s="35" t="s">
        <v>458</v>
      </c>
    </row>
    <row r="144">
      <c r="A144" s="17" t="s">
        <v>459</v>
      </c>
      <c r="B144" s="18"/>
      <c r="C144" s="20" t="s">
        <v>460</v>
      </c>
      <c r="D144" s="22" t="s">
        <v>462</v>
      </c>
    </row>
    <row r="145">
      <c r="A145" s="17" t="s">
        <v>463</v>
      </c>
      <c r="B145" s="48"/>
      <c r="C145" s="20" t="s">
        <v>467</v>
      </c>
      <c r="D145" s="22" t="s">
        <v>468</v>
      </c>
      <c r="E145" s="73" t="s">
        <v>470</v>
      </c>
    </row>
    <row r="146">
      <c r="A146" s="17" t="s">
        <v>473</v>
      </c>
      <c r="B146" s="18"/>
      <c r="C146" s="20" t="s">
        <v>474</v>
      </c>
      <c r="D146" s="22" t="s">
        <v>475</v>
      </c>
    </row>
    <row r="147">
      <c r="A147" s="17" t="s">
        <v>476</v>
      </c>
      <c r="B147" s="18"/>
      <c r="C147" s="20" t="s">
        <v>477</v>
      </c>
      <c r="D147" s="22" t="s">
        <v>478</v>
      </c>
    </row>
    <row r="148">
      <c r="A148" s="17" t="s">
        <v>479</v>
      </c>
      <c r="B148" s="48"/>
      <c r="C148" s="20" t="s">
        <v>467</v>
      </c>
      <c r="D148" s="22" t="s">
        <v>480</v>
      </c>
      <c r="E148" s="73" t="s">
        <v>481</v>
      </c>
    </row>
    <row r="149">
      <c r="A149" s="17" t="s">
        <v>482</v>
      </c>
      <c r="B149" s="18"/>
      <c r="C149" s="20" t="s">
        <v>483</v>
      </c>
      <c r="D149" s="22" t="s">
        <v>484</v>
      </c>
    </row>
    <row r="150">
      <c r="A150" s="17" t="s">
        <v>485</v>
      </c>
      <c r="B150" s="18"/>
      <c r="C150" s="20" t="s">
        <v>486</v>
      </c>
      <c r="D150" s="22" t="s">
        <v>487</v>
      </c>
    </row>
    <row r="151">
      <c r="A151" s="17" t="s">
        <v>488</v>
      </c>
      <c r="B151" s="18"/>
      <c r="C151" s="20" t="s">
        <v>490</v>
      </c>
      <c r="D151" s="22" t="s">
        <v>491</v>
      </c>
    </row>
    <row r="152">
      <c r="A152" s="17" t="s">
        <v>492</v>
      </c>
      <c r="B152" s="18"/>
      <c r="C152" s="20" t="s">
        <v>495</v>
      </c>
      <c r="D152" s="22" t="s">
        <v>497</v>
      </c>
    </row>
    <row r="153">
      <c r="A153" s="17" t="s">
        <v>498</v>
      </c>
      <c r="B153" s="18"/>
      <c r="C153" s="20" t="s">
        <v>500</v>
      </c>
      <c r="D153" s="22" t="s">
        <v>501</v>
      </c>
    </row>
    <row r="154">
      <c r="A154" s="17" t="s">
        <v>504</v>
      </c>
      <c r="B154" s="18"/>
      <c r="C154" s="20" t="s">
        <v>505</v>
      </c>
      <c r="D154" s="22" t="s">
        <v>506</v>
      </c>
    </row>
    <row r="155">
      <c r="A155" s="17" t="s">
        <v>507</v>
      </c>
      <c r="B155" s="18"/>
      <c r="C155" s="20" t="s">
        <v>509</v>
      </c>
      <c r="D155" s="22" t="s">
        <v>510</v>
      </c>
    </row>
    <row r="156">
      <c r="B156" s="37"/>
    </row>
    <row r="157">
      <c r="A157" s="39" t="s">
        <v>512</v>
      </c>
      <c r="B157" s="41"/>
    </row>
    <row r="158">
      <c r="A158" s="17" t="s">
        <v>514</v>
      </c>
      <c r="B158" s="18"/>
      <c r="C158" s="20" t="s">
        <v>515</v>
      </c>
      <c r="D158" s="22" t="s">
        <v>517</v>
      </c>
    </row>
    <row r="159">
      <c r="A159" s="17" t="s">
        <v>518</v>
      </c>
      <c r="B159" s="18"/>
      <c r="C159" s="20" t="s">
        <v>519</v>
      </c>
      <c r="D159" s="22" t="s">
        <v>520</v>
      </c>
    </row>
    <row r="160">
      <c r="A160" s="17" t="s">
        <v>522</v>
      </c>
      <c r="B160" s="18"/>
      <c r="C160" s="20" t="s">
        <v>524</v>
      </c>
      <c r="D160" s="22" t="s">
        <v>525</v>
      </c>
    </row>
    <row r="161">
      <c r="A161" s="17" t="s">
        <v>526</v>
      </c>
      <c r="B161" s="18"/>
      <c r="C161" s="20" t="s">
        <v>527</v>
      </c>
      <c r="D161" s="22" t="s">
        <v>528</v>
      </c>
    </row>
    <row r="162">
      <c r="A162" s="17" t="s">
        <v>530</v>
      </c>
      <c r="B162" s="18"/>
      <c r="C162" s="20" t="s">
        <v>531</v>
      </c>
      <c r="D162" s="22" t="s">
        <v>533</v>
      </c>
    </row>
    <row r="163">
      <c r="A163" s="17" t="s">
        <v>534</v>
      </c>
      <c r="B163" s="18"/>
      <c r="C163" s="20" t="s">
        <v>535</v>
      </c>
      <c r="D163" s="22" t="s">
        <v>536</v>
      </c>
    </row>
    <row r="164">
      <c r="A164" s="17" t="s">
        <v>537</v>
      </c>
      <c r="B164" s="18"/>
      <c r="C164" s="20" t="s">
        <v>538</v>
      </c>
      <c r="D164" s="22" t="s">
        <v>539</v>
      </c>
    </row>
    <row r="165">
      <c r="A165" s="17" t="s">
        <v>540</v>
      </c>
      <c r="B165" s="18"/>
      <c r="C165" s="20" t="s">
        <v>541</v>
      </c>
      <c r="D165" s="22" t="s">
        <v>542</v>
      </c>
      <c r="E165" s="35" t="s">
        <v>543</v>
      </c>
    </row>
    <row r="166">
      <c r="A166" s="17" t="s">
        <v>544</v>
      </c>
      <c r="B166" s="18"/>
      <c r="C166" s="20" t="s">
        <v>545</v>
      </c>
      <c r="D166" s="22" t="s">
        <v>546</v>
      </c>
      <c r="E166" s="35" t="s">
        <v>547</v>
      </c>
    </row>
    <row r="167">
      <c r="A167" s="17" t="s">
        <v>548</v>
      </c>
      <c r="B167" s="18"/>
      <c r="C167" s="33" t="s">
        <v>549</v>
      </c>
      <c r="D167" s="22" t="s">
        <v>550</v>
      </c>
    </row>
    <row r="168">
      <c r="A168" s="17" t="s">
        <v>551</v>
      </c>
      <c r="B168" s="18"/>
      <c r="C168" s="20" t="s">
        <v>552</v>
      </c>
      <c r="D168" s="22" t="s">
        <v>553</v>
      </c>
    </row>
    <row r="169">
      <c r="A169" s="17" t="s">
        <v>554</v>
      </c>
      <c r="B169" s="18"/>
      <c r="C169" s="20" t="s">
        <v>555</v>
      </c>
      <c r="D169" s="22" t="s">
        <v>556</v>
      </c>
    </row>
    <row r="170">
      <c r="A170" s="17" t="s">
        <v>557</v>
      </c>
      <c r="B170" s="18"/>
      <c r="C170" s="20" t="s">
        <v>559</v>
      </c>
      <c r="D170" s="22" t="s">
        <v>560</v>
      </c>
    </row>
    <row r="171">
      <c r="A171" s="17" t="s">
        <v>561</v>
      </c>
      <c r="B171" s="18"/>
      <c r="C171" s="20" t="s">
        <v>562</v>
      </c>
      <c r="D171" s="22" t="s">
        <v>563</v>
      </c>
    </row>
    <row r="172">
      <c r="A172" s="17" t="s">
        <v>564</v>
      </c>
      <c r="B172" s="18"/>
      <c r="C172" s="20" t="s">
        <v>565</v>
      </c>
      <c r="D172" s="22" t="s">
        <v>566</v>
      </c>
    </row>
    <row r="173">
      <c r="A173" s="17" t="s">
        <v>567</v>
      </c>
      <c r="B173" s="48"/>
      <c r="C173" s="20" t="s">
        <v>568</v>
      </c>
      <c r="D173" s="22" t="s">
        <v>569</v>
      </c>
    </row>
    <row r="174">
      <c r="A174" s="17" t="s">
        <v>570</v>
      </c>
      <c r="B174" s="18"/>
      <c r="C174" s="20" t="s">
        <v>571</v>
      </c>
      <c r="D174" s="22" t="s">
        <v>572</v>
      </c>
    </row>
    <row r="175">
      <c r="A175" s="17" t="s">
        <v>573</v>
      </c>
      <c r="B175" s="18"/>
      <c r="C175" s="20" t="s">
        <v>574</v>
      </c>
      <c r="D175" s="22" t="s">
        <v>575</v>
      </c>
    </row>
    <row r="176">
      <c r="A176" s="17" t="s">
        <v>576</v>
      </c>
      <c r="B176" s="48"/>
      <c r="C176" s="33" t="s">
        <v>577</v>
      </c>
      <c r="D176" s="22" t="s">
        <v>578</v>
      </c>
    </row>
    <row r="177">
      <c r="A177" s="17" t="s">
        <v>580</v>
      </c>
      <c r="B177" s="18"/>
      <c r="C177" s="20" t="s">
        <v>582</v>
      </c>
      <c r="D177" s="22" t="s">
        <v>583</v>
      </c>
    </row>
    <row r="178">
      <c r="A178" s="17" t="s">
        <v>584</v>
      </c>
      <c r="B178" s="18"/>
      <c r="C178" s="20" t="s">
        <v>586</v>
      </c>
      <c r="D178" s="22" t="s">
        <v>587</v>
      </c>
    </row>
    <row r="179">
      <c r="A179" s="17" t="s">
        <v>588</v>
      </c>
      <c r="B179" s="18"/>
      <c r="C179" s="20" t="s">
        <v>590</v>
      </c>
      <c r="D179" s="22" t="s">
        <v>592</v>
      </c>
    </row>
    <row r="180">
      <c r="A180" s="17" t="s">
        <v>593</v>
      </c>
      <c r="B180" s="18"/>
      <c r="C180" s="20" t="s">
        <v>595</v>
      </c>
      <c r="D180" s="22" t="s">
        <v>596</v>
      </c>
    </row>
    <row r="181">
      <c r="A181" s="17" t="s">
        <v>597</v>
      </c>
      <c r="B181" s="18"/>
      <c r="C181" s="20" t="s">
        <v>598</v>
      </c>
      <c r="D181" s="22" t="s">
        <v>599</v>
      </c>
    </row>
    <row r="182">
      <c r="A182" s="17" t="s">
        <v>600</v>
      </c>
      <c r="B182" s="18"/>
      <c r="C182" s="20" t="s">
        <v>601</v>
      </c>
      <c r="D182" s="22" t="s">
        <v>602</v>
      </c>
    </row>
    <row r="183">
      <c r="A183" s="17" t="s">
        <v>603</v>
      </c>
      <c r="B183" s="18"/>
      <c r="C183" s="20" t="s">
        <v>604</v>
      </c>
      <c r="D183" s="22" t="s">
        <v>605</v>
      </c>
    </row>
    <row r="184">
      <c r="A184" s="17" t="s">
        <v>606</v>
      </c>
      <c r="B184" s="18"/>
      <c r="C184" s="20" t="s">
        <v>607</v>
      </c>
      <c r="D184" s="22" t="s">
        <v>608</v>
      </c>
    </row>
    <row r="185">
      <c r="A185" s="17" t="s">
        <v>609</v>
      </c>
      <c r="B185" s="18"/>
      <c r="C185" s="20" t="s">
        <v>610</v>
      </c>
      <c r="D185" s="22" t="s">
        <v>611</v>
      </c>
    </row>
    <row r="186">
      <c r="A186" s="17" t="s">
        <v>612</v>
      </c>
      <c r="B186" s="18"/>
      <c r="C186" s="20" t="s">
        <v>613</v>
      </c>
      <c r="D186" s="22" t="s">
        <v>614</v>
      </c>
    </row>
    <row r="187">
      <c r="A187" s="17" t="s">
        <v>616</v>
      </c>
      <c r="B187" s="18"/>
      <c r="C187" s="20" t="s">
        <v>618</v>
      </c>
      <c r="D187" s="22" t="s">
        <v>619</v>
      </c>
    </row>
    <row r="188">
      <c r="A188" s="17" t="s">
        <v>621</v>
      </c>
      <c r="B188" s="18"/>
      <c r="C188" s="20" t="s">
        <v>622</v>
      </c>
      <c r="D188" s="22" t="s">
        <v>623</v>
      </c>
    </row>
    <row r="189">
      <c r="A189" s="17" t="s">
        <v>624</v>
      </c>
      <c r="B189" s="18"/>
      <c r="C189" s="20" t="s">
        <v>625</v>
      </c>
      <c r="D189" s="22" t="s">
        <v>626</v>
      </c>
    </row>
    <row r="190">
      <c r="A190" s="17" t="s">
        <v>627</v>
      </c>
      <c r="B190" s="18"/>
      <c r="C190" s="20" t="s">
        <v>628</v>
      </c>
      <c r="D190" s="22" t="s">
        <v>629</v>
      </c>
    </row>
    <row r="191">
      <c r="A191" s="17" t="s">
        <v>630</v>
      </c>
      <c r="B191" s="18"/>
      <c r="C191" s="20" t="s">
        <v>632</v>
      </c>
      <c r="D191" s="22" t="s">
        <v>633</v>
      </c>
    </row>
    <row r="192">
      <c r="A192" s="17" t="s">
        <v>636</v>
      </c>
      <c r="B192" s="18"/>
      <c r="C192" s="33" t="s">
        <v>637</v>
      </c>
      <c r="D192" s="22" t="s">
        <v>639</v>
      </c>
      <c r="E192" s="35" t="s">
        <v>641</v>
      </c>
    </row>
    <row r="193">
      <c r="A193" s="17" t="s">
        <v>643</v>
      </c>
      <c r="B193" s="18"/>
      <c r="C193" s="20" t="s">
        <v>646</v>
      </c>
      <c r="D193" s="22" t="s">
        <v>647</v>
      </c>
      <c r="E193" s="35" t="s">
        <v>650</v>
      </c>
    </row>
    <row r="194">
      <c r="A194" s="17" t="s">
        <v>652</v>
      </c>
      <c r="B194" s="18"/>
      <c r="C194" s="20" t="s">
        <v>654</v>
      </c>
      <c r="D194" s="22" t="s">
        <v>657</v>
      </c>
      <c r="E194" s="35" t="s">
        <v>658</v>
      </c>
    </row>
    <row r="195">
      <c r="A195" s="17" t="s">
        <v>661</v>
      </c>
      <c r="B195" s="18"/>
      <c r="C195" s="20" t="s">
        <v>663</v>
      </c>
      <c r="D195" s="22" t="s">
        <v>664</v>
      </c>
    </row>
    <row r="196">
      <c r="A196" s="17" t="s">
        <v>665</v>
      </c>
      <c r="B196" s="18"/>
      <c r="C196" s="20" t="s">
        <v>668</v>
      </c>
      <c r="D196" s="22" t="s">
        <v>670</v>
      </c>
    </row>
    <row r="197">
      <c r="A197" s="17" t="s">
        <v>672</v>
      </c>
      <c r="B197" s="18"/>
      <c r="C197" s="20" t="s">
        <v>673</v>
      </c>
      <c r="D197" s="22" t="s">
        <v>674</v>
      </c>
    </row>
    <row r="198">
      <c r="A198" s="17" t="s">
        <v>676</v>
      </c>
      <c r="B198" s="18"/>
      <c r="C198" s="20" t="s">
        <v>678</v>
      </c>
      <c r="D198" s="22" t="s">
        <v>679</v>
      </c>
    </row>
    <row r="199">
      <c r="A199" s="17" t="s">
        <v>680</v>
      </c>
      <c r="B199" s="18"/>
      <c r="C199" s="20" t="s">
        <v>681</v>
      </c>
      <c r="D199" s="22" t="s">
        <v>683</v>
      </c>
    </row>
    <row r="200">
      <c r="A200" s="17" t="s">
        <v>685</v>
      </c>
      <c r="B200" s="18"/>
      <c r="C200" s="20" t="s">
        <v>686</v>
      </c>
      <c r="D200" s="22" t="s">
        <v>687</v>
      </c>
    </row>
    <row r="201">
      <c r="A201" s="17" t="s">
        <v>688</v>
      </c>
      <c r="B201" s="18"/>
      <c r="C201" s="20" t="s">
        <v>689</v>
      </c>
      <c r="D201" s="22" t="s">
        <v>690</v>
      </c>
    </row>
    <row r="202">
      <c r="A202" s="17" t="s">
        <v>692</v>
      </c>
      <c r="B202" s="18"/>
      <c r="C202" s="20" t="s">
        <v>693</v>
      </c>
      <c r="D202" s="22" t="s">
        <v>694</v>
      </c>
    </row>
    <row r="203">
      <c r="A203" s="17" t="s">
        <v>695</v>
      </c>
      <c r="B203" s="18"/>
      <c r="C203" s="20" t="s">
        <v>696</v>
      </c>
      <c r="D203" s="22" t="s">
        <v>697</v>
      </c>
    </row>
    <row r="204">
      <c r="A204" s="17" t="s">
        <v>698</v>
      </c>
      <c r="B204" s="18"/>
      <c r="C204" s="20" t="s">
        <v>699</v>
      </c>
      <c r="D204" s="22" t="s">
        <v>700</v>
      </c>
    </row>
    <row r="205">
      <c r="A205" s="17" t="s">
        <v>701</v>
      </c>
      <c r="B205" s="18"/>
      <c r="C205" s="20" t="s">
        <v>702</v>
      </c>
      <c r="D205" s="22" t="s">
        <v>703</v>
      </c>
      <c r="E205" s="86"/>
    </row>
    <row r="206">
      <c r="A206" s="17" t="s">
        <v>717</v>
      </c>
      <c r="B206" s="18"/>
      <c r="C206" s="20" t="s">
        <v>720</v>
      </c>
      <c r="D206" s="22" t="s">
        <v>722</v>
      </c>
    </row>
    <row r="207">
      <c r="A207" s="17" t="s">
        <v>725</v>
      </c>
      <c r="B207" s="18"/>
      <c r="C207" s="20" t="s">
        <v>727</v>
      </c>
      <c r="D207" s="22" t="s">
        <v>728</v>
      </c>
    </row>
    <row r="208">
      <c r="A208" s="17" t="s">
        <v>731</v>
      </c>
      <c r="B208" s="18"/>
      <c r="C208" s="20" t="s">
        <v>732</v>
      </c>
      <c r="D208" s="22" t="s">
        <v>735</v>
      </c>
    </row>
    <row r="209">
      <c r="A209" s="17" t="s">
        <v>736</v>
      </c>
      <c r="B209" s="18"/>
      <c r="C209" s="20" t="s">
        <v>738</v>
      </c>
      <c r="D209" s="22" t="s">
        <v>739</v>
      </c>
    </row>
    <row r="210">
      <c r="A210" s="17" t="s">
        <v>742</v>
      </c>
      <c r="B210" s="18"/>
      <c r="C210" s="20" t="s">
        <v>743</v>
      </c>
      <c r="D210" s="22" t="s">
        <v>744</v>
      </c>
    </row>
    <row r="211">
      <c r="A211" s="17" t="s">
        <v>747</v>
      </c>
      <c r="B211" s="18"/>
      <c r="C211" s="20" t="s">
        <v>749</v>
      </c>
      <c r="D211" s="22" t="s">
        <v>751</v>
      </c>
    </row>
    <row r="212">
      <c r="A212" s="17" t="s">
        <v>752</v>
      </c>
      <c r="B212" s="18"/>
      <c r="C212" s="20" t="s">
        <v>755</v>
      </c>
      <c r="D212" s="22" t="s">
        <v>757</v>
      </c>
    </row>
    <row r="213">
      <c r="A213" s="17" t="s">
        <v>758</v>
      </c>
      <c r="B213" s="18"/>
      <c r="C213" s="20" t="s">
        <v>759</v>
      </c>
      <c r="D213" s="22" t="s">
        <v>761</v>
      </c>
    </row>
    <row r="214">
      <c r="A214" s="17" t="s">
        <v>765</v>
      </c>
      <c r="B214" s="18"/>
      <c r="C214" s="20" t="s">
        <v>767</v>
      </c>
      <c r="D214" s="22" t="s">
        <v>768</v>
      </c>
    </row>
    <row r="215">
      <c r="A215" s="17" t="s">
        <v>771</v>
      </c>
      <c r="B215" s="18"/>
      <c r="C215" s="20" t="s">
        <v>773</v>
      </c>
      <c r="D215" s="22" t="s">
        <v>774</v>
      </c>
    </row>
    <row r="216">
      <c r="A216" s="17" t="s">
        <v>775</v>
      </c>
      <c r="B216" s="18"/>
      <c r="C216" s="20" t="s">
        <v>777</v>
      </c>
      <c r="D216" s="22" t="s">
        <v>778</v>
      </c>
      <c r="E216" s="86"/>
    </row>
    <row r="217">
      <c r="A217" s="17" t="s">
        <v>780</v>
      </c>
      <c r="B217" s="18"/>
      <c r="C217" s="20" t="s">
        <v>782</v>
      </c>
      <c r="D217" s="22" t="s">
        <v>784</v>
      </c>
    </row>
    <row r="218">
      <c r="B218" s="37"/>
    </row>
    <row r="219">
      <c r="A219" s="39" t="s">
        <v>785</v>
      </c>
      <c r="B219" s="41"/>
    </row>
    <row r="220">
      <c r="A220" s="17" t="s">
        <v>787</v>
      </c>
      <c r="B220" s="18"/>
      <c r="C220" s="20" t="s">
        <v>789</v>
      </c>
      <c r="D220" s="22" t="s">
        <v>790</v>
      </c>
    </row>
    <row r="221">
      <c r="A221" s="17" t="s">
        <v>792</v>
      </c>
      <c r="B221" s="18"/>
      <c r="C221" s="20" t="s">
        <v>794</v>
      </c>
      <c r="D221" s="22" t="s">
        <v>795</v>
      </c>
    </row>
    <row r="222">
      <c r="A222" s="17" t="s">
        <v>799</v>
      </c>
      <c r="B222" s="18"/>
      <c r="C222" s="20" t="s">
        <v>801</v>
      </c>
      <c r="D222" s="22" t="s">
        <v>802</v>
      </c>
    </row>
    <row r="223">
      <c r="A223" s="17" t="s">
        <v>804</v>
      </c>
      <c r="B223" s="18"/>
      <c r="C223" s="20" t="s">
        <v>807</v>
      </c>
      <c r="D223" s="22" t="s">
        <v>808</v>
      </c>
      <c r="E223" s="86"/>
    </row>
    <row r="224">
      <c r="A224" s="17" t="s">
        <v>810</v>
      </c>
      <c r="B224" s="18"/>
      <c r="C224" s="20" t="s">
        <v>807</v>
      </c>
      <c r="D224" s="22" t="s">
        <v>812</v>
      </c>
      <c r="E224" s="35" t="s">
        <v>814</v>
      </c>
    </row>
    <row r="225">
      <c r="A225" s="17" t="s">
        <v>815</v>
      </c>
      <c r="B225" s="18"/>
      <c r="C225" s="20" t="s">
        <v>816</v>
      </c>
      <c r="D225" s="22" t="s">
        <v>818</v>
      </c>
    </row>
    <row r="226">
      <c r="A226" s="17" t="s">
        <v>820</v>
      </c>
      <c r="B226" s="18"/>
      <c r="C226" s="20" t="s">
        <v>822</v>
      </c>
      <c r="D226" s="22" t="s">
        <v>823</v>
      </c>
      <c r="E226" s="86"/>
    </row>
    <row r="227">
      <c r="A227" s="17" t="s">
        <v>825</v>
      </c>
      <c r="B227" s="18"/>
      <c r="C227" s="20" t="s">
        <v>827</v>
      </c>
      <c r="D227" s="22" t="s">
        <v>828</v>
      </c>
    </row>
    <row r="228">
      <c r="A228" s="17" t="s">
        <v>829</v>
      </c>
      <c r="B228" s="18"/>
      <c r="C228" s="20" t="s">
        <v>830</v>
      </c>
      <c r="D228" s="22" t="s">
        <v>832</v>
      </c>
      <c r="E228" s="86"/>
    </row>
    <row r="229">
      <c r="A229" s="17" t="s">
        <v>834</v>
      </c>
      <c r="B229" s="18"/>
      <c r="C229" s="20" t="s">
        <v>835</v>
      </c>
      <c r="D229" s="22" t="s">
        <v>836</v>
      </c>
      <c r="E229" s="86"/>
    </row>
    <row r="230">
      <c r="A230" s="17" t="s">
        <v>839</v>
      </c>
      <c r="B230" s="18"/>
      <c r="C230" s="20" t="s">
        <v>841</v>
      </c>
      <c r="D230" s="22" t="s">
        <v>842</v>
      </c>
    </row>
    <row r="231">
      <c r="A231" s="17" t="s">
        <v>845</v>
      </c>
      <c r="B231" s="18"/>
      <c r="C231" s="20" t="s">
        <v>846</v>
      </c>
      <c r="D231" s="22" t="s">
        <v>847</v>
      </c>
    </row>
    <row r="232">
      <c r="A232" s="17" t="s">
        <v>848</v>
      </c>
      <c r="B232" s="18"/>
      <c r="C232" s="20" t="s">
        <v>850</v>
      </c>
      <c r="D232" s="22" t="s">
        <v>851</v>
      </c>
    </row>
    <row r="233">
      <c r="A233" s="17" t="s">
        <v>853</v>
      </c>
      <c r="B233" s="18"/>
      <c r="C233" s="20" t="s">
        <v>854</v>
      </c>
      <c r="D233" s="22" t="s">
        <v>855</v>
      </c>
    </row>
    <row r="234">
      <c r="A234" s="17" t="s">
        <v>858</v>
      </c>
      <c r="B234" s="18"/>
      <c r="C234" s="20" t="s">
        <v>859</v>
      </c>
      <c r="D234" s="22" t="s">
        <v>861</v>
      </c>
    </row>
    <row r="235">
      <c r="A235" s="17" t="s">
        <v>863</v>
      </c>
      <c r="B235" s="18"/>
      <c r="C235" s="20" t="s">
        <v>866</v>
      </c>
      <c r="D235" s="22" t="s">
        <v>867</v>
      </c>
    </row>
    <row r="236">
      <c r="A236" s="17" t="s">
        <v>868</v>
      </c>
      <c r="B236" s="18"/>
      <c r="C236" s="20" t="s">
        <v>871</v>
      </c>
      <c r="D236" s="22" t="s">
        <v>872</v>
      </c>
    </row>
    <row r="237">
      <c r="A237" s="17" t="s">
        <v>875</v>
      </c>
      <c r="B237" s="18"/>
      <c r="C237" s="20" t="s">
        <v>876</v>
      </c>
      <c r="D237" s="22" t="s">
        <v>878</v>
      </c>
      <c r="E237" s="86"/>
    </row>
    <row r="238">
      <c r="A238" s="17" t="s">
        <v>881</v>
      </c>
      <c r="B238" s="18"/>
      <c r="C238" s="20" t="s">
        <v>883</v>
      </c>
      <c r="D238" s="22" t="s">
        <v>885</v>
      </c>
    </row>
    <row r="239">
      <c r="A239" s="17" t="s">
        <v>887</v>
      </c>
      <c r="B239" s="18"/>
      <c r="C239" s="20" t="s">
        <v>890</v>
      </c>
      <c r="D239" s="22" t="s">
        <v>891</v>
      </c>
      <c r="E239" s="35" t="s">
        <v>892</v>
      </c>
    </row>
    <row r="240">
      <c r="A240" s="17" t="s">
        <v>893</v>
      </c>
      <c r="B240" s="18"/>
      <c r="C240" s="20" t="s">
        <v>894</v>
      </c>
      <c r="D240" s="22" t="s">
        <v>895</v>
      </c>
      <c r="E240" s="86"/>
    </row>
    <row r="241">
      <c r="A241" s="17" t="s">
        <v>896</v>
      </c>
      <c r="B241" s="18"/>
      <c r="C241" s="20" t="s">
        <v>898</v>
      </c>
      <c r="D241" s="22" t="s">
        <v>900</v>
      </c>
    </row>
    <row r="242">
      <c r="A242" s="17" t="s">
        <v>901</v>
      </c>
      <c r="B242" s="18"/>
      <c r="C242" s="20" t="s">
        <v>904</v>
      </c>
      <c r="D242" s="22" t="s">
        <v>905</v>
      </c>
    </row>
    <row r="243">
      <c r="A243" s="17" t="s">
        <v>907</v>
      </c>
      <c r="B243" s="18"/>
      <c r="C243" s="20" t="s">
        <v>908</v>
      </c>
      <c r="D243" s="22" t="s">
        <v>910</v>
      </c>
    </row>
    <row r="244">
      <c r="A244" s="17" t="s">
        <v>912</v>
      </c>
      <c r="B244" s="18"/>
      <c r="C244" s="20" t="s">
        <v>914</v>
      </c>
      <c r="D244" s="22" t="s">
        <v>915</v>
      </c>
    </row>
    <row r="245">
      <c r="A245" s="17" t="s">
        <v>917</v>
      </c>
      <c r="B245" s="18"/>
      <c r="C245" s="20" t="s">
        <v>920</v>
      </c>
      <c r="D245" s="22" t="s">
        <v>921</v>
      </c>
      <c r="E245" s="86"/>
    </row>
    <row r="246">
      <c r="A246" s="17" t="s">
        <v>924</v>
      </c>
      <c r="B246" s="18"/>
      <c r="C246" s="20" t="s">
        <v>927</v>
      </c>
      <c r="D246" s="22" t="s">
        <v>928</v>
      </c>
    </row>
    <row r="247">
      <c r="A247" s="17" t="s">
        <v>931</v>
      </c>
      <c r="B247" s="18"/>
      <c r="C247" s="20" t="s">
        <v>933</v>
      </c>
      <c r="D247" s="22" t="s">
        <v>934</v>
      </c>
    </row>
    <row r="248">
      <c r="A248" s="17" t="s">
        <v>935</v>
      </c>
      <c r="B248" s="18"/>
      <c r="C248" s="20" t="s">
        <v>936</v>
      </c>
      <c r="D248" s="22" t="s">
        <v>937</v>
      </c>
    </row>
    <row r="249">
      <c r="A249" s="17" t="s">
        <v>939</v>
      </c>
      <c r="B249" s="18"/>
      <c r="C249" s="20" t="s">
        <v>940</v>
      </c>
      <c r="D249" s="22" t="s">
        <v>942</v>
      </c>
    </row>
    <row r="250">
      <c r="A250" s="17" t="s">
        <v>943</v>
      </c>
      <c r="B250" s="18"/>
      <c r="C250" s="20" t="s">
        <v>951</v>
      </c>
      <c r="D250" s="22" t="s">
        <v>953</v>
      </c>
    </row>
    <row r="251">
      <c r="A251" s="17" t="s">
        <v>956</v>
      </c>
      <c r="B251" s="18"/>
      <c r="C251" s="20" t="s">
        <v>958</v>
      </c>
      <c r="D251" s="22" t="s">
        <v>960</v>
      </c>
    </row>
    <row r="252">
      <c r="A252" s="17" t="s">
        <v>962</v>
      </c>
      <c r="B252" s="18"/>
      <c r="C252" s="20" t="s">
        <v>964</v>
      </c>
      <c r="D252" s="22" t="s">
        <v>965</v>
      </c>
    </row>
    <row r="253">
      <c r="A253" s="17" t="s">
        <v>967</v>
      </c>
      <c r="B253" s="18"/>
      <c r="C253" s="25"/>
      <c r="D253" s="22" t="s">
        <v>968</v>
      </c>
      <c r="E253" s="35" t="s">
        <v>969</v>
      </c>
    </row>
    <row r="254">
      <c r="A254" s="17" t="s">
        <v>971</v>
      </c>
      <c r="B254" s="18"/>
      <c r="C254" s="25"/>
      <c r="D254" s="22" t="s">
        <v>974</v>
      </c>
      <c r="E254" s="35" t="s">
        <v>975</v>
      </c>
    </row>
    <row r="255">
      <c r="A255" s="17" t="s">
        <v>978</v>
      </c>
      <c r="B255" s="18"/>
      <c r="C255" s="20" t="s">
        <v>979</v>
      </c>
      <c r="D255" s="22" t="s">
        <v>980</v>
      </c>
    </row>
    <row r="256">
      <c r="A256" s="17" t="s">
        <v>983</v>
      </c>
      <c r="B256" s="18"/>
      <c r="C256" s="20" t="s">
        <v>985</v>
      </c>
      <c r="D256" s="22" t="s">
        <v>987</v>
      </c>
    </row>
    <row r="257">
      <c r="A257" s="17" t="s">
        <v>989</v>
      </c>
      <c r="B257" s="18"/>
      <c r="C257" s="20" t="s">
        <v>991</v>
      </c>
      <c r="D257" s="22" t="s">
        <v>980</v>
      </c>
    </row>
    <row r="258">
      <c r="A258" s="17" t="s">
        <v>994</v>
      </c>
      <c r="B258" s="18"/>
      <c r="C258" s="20" t="s">
        <v>995</v>
      </c>
      <c r="D258" s="22" t="s">
        <v>997</v>
      </c>
    </row>
    <row r="259">
      <c r="A259" s="17" t="s">
        <v>999</v>
      </c>
      <c r="B259" s="18"/>
      <c r="C259" s="20" t="s">
        <v>1001</v>
      </c>
      <c r="D259" s="22" t="s">
        <v>1002</v>
      </c>
    </row>
    <row r="260">
      <c r="A260" s="17" t="s">
        <v>1004</v>
      </c>
      <c r="B260" s="18"/>
      <c r="C260" s="20" t="s">
        <v>1005</v>
      </c>
      <c r="D260" s="22" t="s">
        <v>1007</v>
      </c>
    </row>
    <row r="261">
      <c r="A261" s="17" t="s">
        <v>1009</v>
      </c>
      <c r="B261" s="18"/>
      <c r="C261" s="20" t="s">
        <v>1010</v>
      </c>
      <c r="D261" s="22" t="s">
        <v>1011</v>
      </c>
    </row>
    <row r="262">
      <c r="A262" s="17" t="s">
        <v>1012</v>
      </c>
      <c r="B262" s="87"/>
      <c r="C262" s="22" t="s">
        <v>1030</v>
      </c>
      <c r="D262" s="22" t="s">
        <v>1032</v>
      </c>
    </row>
    <row r="263">
      <c r="A263" s="17" t="s">
        <v>1034</v>
      </c>
      <c r="B263" s="18"/>
      <c r="C263" s="20" t="s">
        <v>1035</v>
      </c>
      <c r="D263" s="22" t="s">
        <v>1037</v>
      </c>
      <c r="E263" s="86"/>
    </row>
    <row r="264">
      <c r="A264" s="17" t="s">
        <v>1039</v>
      </c>
      <c r="B264" s="18"/>
      <c r="C264" s="20" t="s">
        <v>1041</v>
      </c>
      <c r="D264" s="22" t="s">
        <v>1043</v>
      </c>
    </row>
    <row r="265">
      <c r="A265" s="17" t="s">
        <v>1044</v>
      </c>
      <c r="B265" s="18"/>
      <c r="C265" s="20" t="s">
        <v>1045</v>
      </c>
      <c r="D265" s="22" t="s">
        <v>1047</v>
      </c>
    </row>
    <row r="266">
      <c r="A266" s="17" t="s">
        <v>1049</v>
      </c>
      <c r="B266" s="18"/>
      <c r="C266" s="20" t="s">
        <v>1050</v>
      </c>
      <c r="D266" s="22" t="s">
        <v>1051</v>
      </c>
    </row>
    <row r="267">
      <c r="A267" s="17" t="s">
        <v>1052</v>
      </c>
      <c r="B267" s="18"/>
      <c r="C267" s="20" t="s">
        <v>1055</v>
      </c>
      <c r="D267" s="22" t="s">
        <v>1056</v>
      </c>
    </row>
    <row r="268">
      <c r="A268" s="17" t="s">
        <v>1057</v>
      </c>
      <c r="B268" s="18"/>
      <c r="C268" s="20" t="s">
        <v>1058</v>
      </c>
      <c r="D268" s="22" t="s">
        <v>1059</v>
      </c>
      <c r="E268" s="35" t="s">
        <v>1061</v>
      </c>
    </row>
    <row r="269">
      <c r="A269" s="17" t="s">
        <v>1063</v>
      </c>
      <c r="B269" s="18"/>
      <c r="C269" s="20" t="s">
        <v>1064</v>
      </c>
      <c r="D269" s="22" t="s">
        <v>1065</v>
      </c>
      <c r="E269" s="46" t="s">
        <v>1066</v>
      </c>
    </row>
    <row r="270">
      <c r="A270" s="17" t="s">
        <v>1069</v>
      </c>
      <c r="B270" s="18"/>
      <c r="C270" s="20" t="s">
        <v>1070</v>
      </c>
      <c r="D270" s="22" t="s">
        <v>1071</v>
      </c>
      <c r="E270" s="35" t="s">
        <v>1072</v>
      </c>
    </row>
    <row r="271">
      <c r="A271" s="17" t="s">
        <v>1074</v>
      </c>
      <c r="B271" s="18"/>
      <c r="C271" s="20" t="s">
        <v>1076</v>
      </c>
      <c r="D271" s="22" t="s">
        <v>1077</v>
      </c>
    </row>
    <row r="272">
      <c r="A272" s="17" t="s">
        <v>1078</v>
      </c>
      <c r="B272" s="18"/>
      <c r="C272" s="20" t="s">
        <v>1080</v>
      </c>
      <c r="D272" s="22" t="s">
        <v>1081</v>
      </c>
      <c r="E272" s="35" t="s">
        <v>1082</v>
      </c>
    </row>
    <row r="273">
      <c r="A273" s="17" t="s">
        <v>1083</v>
      </c>
      <c r="B273" s="18"/>
      <c r="C273" s="20" t="s">
        <v>1085</v>
      </c>
      <c r="D273" s="22" t="s">
        <v>1086</v>
      </c>
    </row>
    <row r="274">
      <c r="A274" s="17" t="s">
        <v>1088</v>
      </c>
      <c r="B274" s="18"/>
      <c r="C274" s="20" t="s">
        <v>1090</v>
      </c>
      <c r="D274" s="22" t="s">
        <v>1091</v>
      </c>
    </row>
    <row r="275">
      <c r="A275" s="17" t="s">
        <v>1094</v>
      </c>
      <c r="B275" s="18"/>
      <c r="C275" s="20" t="s">
        <v>1095</v>
      </c>
      <c r="D275" s="22" t="s">
        <v>1098</v>
      </c>
      <c r="E275" s="86"/>
    </row>
    <row r="276">
      <c r="A276" s="17" t="s">
        <v>1102</v>
      </c>
      <c r="B276" s="18"/>
      <c r="C276" s="20" t="s">
        <v>1103</v>
      </c>
      <c r="D276" s="22" t="s">
        <v>1105</v>
      </c>
    </row>
    <row r="277">
      <c r="A277" s="17" t="s">
        <v>1107</v>
      </c>
      <c r="B277" s="18"/>
      <c r="C277" s="20" t="s">
        <v>1110</v>
      </c>
      <c r="D277" s="22" t="s">
        <v>1111</v>
      </c>
    </row>
    <row r="278">
      <c r="A278" s="17" t="s">
        <v>1112</v>
      </c>
      <c r="B278" s="18"/>
      <c r="C278" s="20" t="s">
        <v>1113</v>
      </c>
      <c r="D278" s="22" t="s">
        <v>1114</v>
      </c>
    </row>
    <row r="279">
      <c r="A279" s="17" t="s">
        <v>1115</v>
      </c>
      <c r="B279" s="18"/>
      <c r="C279" s="20" t="s">
        <v>1116</v>
      </c>
      <c r="D279" s="22" t="s">
        <v>1118</v>
      </c>
    </row>
    <row r="280">
      <c r="B280" s="37"/>
    </row>
    <row r="281">
      <c r="A281" s="39" t="s">
        <v>1120</v>
      </c>
      <c r="B281" s="41"/>
    </row>
    <row r="282">
      <c r="A282" s="17" t="s">
        <v>1123</v>
      </c>
      <c r="B282" s="18"/>
      <c r="C282" s="20" t="s">
        <v>1125</v>
      </c>
      <c r="D282" s="22" t="s">
        <v>1127</v>
      </c>
    </row>
    <row r="283">
      <c r="A283" s="17" t="s">
        <v>1128</v>
      </c>
      <c r="B283" s="18"/>
      <c r="C283" s="20" t="s">
        <v>1130</v>
      </c>
      <c r="D283" s="22" t="s">
        <v>1131</v>
      </c>
    </row>
    <row r="284">
      <c r="A284" s="17" t="s">
        <v>1133</v>
      </c>
      <c r="B284" s="18"/>
      <c r="C284" s="20" t="s">
        <v>1134</v>
      </c>
      <c r="D284" s="22" t="s">
        <v>1136</v>
      </c>
    </row>
    <row r="285">
      <c r="A285" s="17" t="s">
        <v>1138</v>
      </c>
      <c r="B285" s="18"/>
      <c r="C285" s="20" t="s">
        <v>1139</v>
      </c>
      <c r="D285" s="22" t="s">
        <v>1140</v>
      </c>
    </row>
    <row r="286">
      <c r="A286" s="17" t="s">
        <v>1141</v>
      </c>
      <c r="B286" s="18"/>
      <c r="C286" s="20" t="s">
        <v>1142</v>
      </c>
      <c r="D286" s="22" t="s">
        <v>1144</v>
      </c>
    </row>
    <row r="287">
      <c r="A287" s="17" t="s">
        <v>1146</v>
      </c>
      <c r="B287" s="18"/>
      <c r="C287" s="20" t="s">
        <v>135</v>
      </c>
      <c r="D287" s="22" t="s">
        <v>1147</v>
      </c>
    </row>
    <row r="288">
      <c r="A288" s="17" t="s">
        <v>1148</v>
      </c>
      <c r="B288" s="18"/>
      <c r="C288" s="20" t="s">
        <v>1150</v>
      </c>
      <c r="D288" s="22" t="s">
        <v>1152</v>
      </c>
    </row>
    <row r="289">
      <c r="A289" s="17" t="s">
        <v>1153</v>
      </c>
      <c r="B289" s="18"/>
      <c r="C289" s="20" t="s">
        <v>1154</v>
      </c>
      <c r="D289" s="22" t="s">
        <v>1155</v>
      </c>
    </row>
    <row r="290">
      <c r="A290" s="17" t="s">
        <v>1156</v>
      </c>
      <c r="B290" s="18"/>
      <c r="C290" s="20" t="s">
        <v>1159</v>
      </c>
      <c r="D290" s="22" t="s">
        <v>1160</v>
      </c>
    </row>
    <row r="291">
      <c r="A291" s="17" t="s">
        <v>1161</v>
      </c>
      <c r="B291" s="18"/>
      <c r="C291" s="20" t="s">
        <v>1163</v>
      </c>
      <c r="D291" s="22" t="s">
        <v>1164</v>
      </c>
    </row>
    <row r="292">
      <c r="A292" s="17" t="s">
        <v>1167</v>
      </c>
      <c r="B292" s="18"/>
      <c r="C292" s="20" t="s">
        <v>1168</v>
      </c>
      <c r="D292" s="22" t="s">
        <v>1170</v>
      </c>
    </row>
    <row r="293">
      <c r="A293" s="17" t="s">
        <v>1172</v>
      </c>
      <c r="B293" s="18"/>
      <c r="C293" s="20" t="s">
        <v>1175</v>
      </c>
      <c r="D293" s="22" t="s">
        <v>1176</v>
      </c>
    </row>
    <row r="294">
      <c r="A294" s="17" t="s">
        <v>1177</v>
      </c>
      <c r="B294" s="18"/>
      <c r="C294" s="20" t="s">
        <v>1178</v>
      </c>
      <c r="D294" s="22" t="s">
        <v>1181</v>
      </c>
    </row>
    <row r="295">
      <c r="A295" s="17" t="s">
        <v>1182</v>
      </c>
      <c r="B295" s="18"/>
      <c r="C295" s="20" t="s">
        <v>1184</v>
      </c>
      <c r="D295" s="22" t="s">
        <v>1186</v>
      </c>
    </row>
    <row r="296">
      <c r="A296" s="17" t="s">
        <v>1188</v>
      </c>
      <c r="B296" s="18"/>
      <c r="C296" s="20" t="s">
        <v>1189</v>
      </c>
      <c r="D296" s="22" t="s">
        <v>1191</v>
      </c>
    </row>
    <row r="297">
      <c r="A297" s="17" t="s">
        <v>1192</v>
      </c>
      <c r="B297" s="18"/>
      <c r="C297" s="20" t="s">
        <v>1195</v>
      </c>
      <c r="D297" s="22" t="s">
        <v>1196</v>
      </c>
      <c r="E297" s="35" t="s">
        <v>1197</v>
      </c>
    </row>
    <row r="298">
      <c r="A298" s="17" t="s">
        <v>1198</v>
      </c>
      <c r="B298" s="18"/>
      <c r="C298" s="20" t="s">
        <v>1199</v>
      </c>
      <c r="D298" s="22" t="s">
        <v>1201</v>
      </c>
      <c r="E298" s="35" t="s">
        <v>1197</v>
      </c>
    </row>
    <row r="299">
      <c r="A299" s="17" t="s">
        <v>1203</v>
      </c>
      <c r="B299" s="18"/>
      <c r="C299" s="20" t="s">
        <v>1205</v>
      </c>
      <c r="D299" s="22" t="s">
        <v>1206</v>
      </c>
    </row>
    <row r="300">
      <c r="A300" s="17" t="s">
        <v>1207</v>
      </c>
      <c r="B300" s="18"/>
      <c r="C300" s="20" t="s">
        <v>1208</v>
      </c>
      <c r="D300" s="22" t="s">
        <v>1211</v>
      </c>
    </row>
    <row r="301">
      <c r="A301" s="17" t="s">
        <v>1213</v>
      </c>
      <c r="B301" s="18"/>
      <c r="C301" s="20" t="s">
        <v>1214</v>
      </c>
      <c r="D301" s="22" t="s">
        <v>1217</v>
      </c>
    </row>
    <row r="302">
      <c r="A302" s="17" t="s">
        <v>1218</v>
      </c>
      <c r="B302" s="18"/>
      <c r="C302" s="20" t="s">
        <v>1219</v>
      </c>
      <c r="D302" s="22" t="s">
        <v>1220</v>
      </c>
    </row>
    <row r="303">
      <c r="A303" s="17" t="s">
        <v>1223</v>
      </c>
      <c r="B303" s="18"/>
      <c r="C303" s="20" t="s">
        <v>1224</v>
      </c>
      <c r="D303" s="22" t="s">
        <v>1226</v>
      </c>
    </row>
    <row r="304">
      <c r="A304" s="17" t="s">
        <v>1228</v>
      </c>
      <c r="B304" s="18"/>
      <c r="C304" s="20" t="s">
        <v>1230</v>
      </c>
      <c r="D304" s="22" t="s">
        <v>1231</v>
      </c>
    </row>
    <row r="305">
      <c r="A305" s="17" t="s">
        <v>1232</v>
      </c>
      <c r="B305" s="18"/>
      <c r="C305" s="20" t="s">
        <v>1234</v>
      </c>
      <c r="D305" s="22" t="s">
        <v>1235</v>
      </c>
    </row>
    <row r="306">
      <c r="A306" s="17" t="s">
        <v>1237</v>
      </c>
      <c r="B306" s="18"/>
      <c r="C306" s="20" t="s">
        <v>1238</v>
      </c>
      <c r="D306" s="22" t="s">
        <v>1239</v>
      </c>
    </row>
    <row r="307">
      <c r="A307" s="17" t="s">
        <v>1240</v>
      </c>
      <c r="B307" s="18"/>
      <c r="C307" s="20" t="s">
        <v>1241</v>
      </c>
      <c r="D307" s="22" t="s">
        <v>1242</v>
      </c>
    </row>
    <row r="308">
      <c r="A308" s="17" t="s">
        <v>1244</v>
      </c>
      <c r="B308" s="18"/>
      <c r="C308" s="20" t="s">
        <v>1245</v>
      </c>
      <c r="D308" s="22" t="s">
        <v>1246</v>
      </c>
    </row>
    <row r="309">
      <c r="A309" s="17" t="s">
        <v>1248</v>
      </c>
      <c r="B309" s="18"/>
      <c r="C309" s="20" t="s">
        <v>1250</v>
      </c>
      <c r="D309" s="22" t="s">
        <v>1251</v>
      </c>
    </row>
    <row r="310">
      <c r="A310" s="17" t="s">
        <v>1253</v>
      </c>
      <c r="B310" s="18"/>
      <c r="C310" s="20" t="s">
        <v>1254</v>
      </c>
      <c r="D310" s="22" t="s">
        <v>1255</v>
      </c>
    </row>
    <row r="311">
      <c r="A311" s="17" t="s">
        <v>1257</v>
      </c>
      <c r="B311" s="18"/>
      <c r="C311" s="20" t="s">
        <v>1258</v>
      </c>
      <c r="D311" s="22" t="s">
        <v>1259</v>
      </c>
    </row>
    <row r="312">
      <c r="A312" s="17" t="s">
        <v>1261</v>
      </c>
      <c r="B312" s="18"/>
      <c r="C312" s="20" t="s">
        <v>1262</v>
      </c>
      <c r="D312" s="22" t="s">
        <v>1263</v>
      </c>
    </row>
    <row r="313">
      <c r="A313" s="17" t="s">
        <v>1264</v>
      </c>
      <c r="B313" s="18"/>
      <c r="C313" s="20" t="s">
        <v>1265</v>
      </c>
      <c r="D313" s="22" t="s">
        <v>1266</v>
      </c>
    </row>
    <row r="314">
      <c r="A314" s="17" t="s">
        <v>1268</v>
      </c>
      <c r="B314" s="18"/>
      <c r="C314" s="20" t="s">
        <v>1270</v>
      </c>
      <c r="D314" s="22" t="s">
        <v>1271</v>
      </c>
    </row>
    <row r="315">
      <c r="A315" s="17" t="s">
        <v>1273</v>
      </c>
      <c r="B315" s="18"/>
      <c r="C315" s="20" t="s">
        <v>1275</v>
      </c>
      <c r="D315" s="22" t="s">
        <v>1276</v>
      </c>
    </row>
    <row r="316">
      <c r="A316" s="17" t="s">
        <v>1278</v>
      </c>
      <c r="B316" s="18"/>
      <c r="C316" s="20" t="s">
        <v>1280</v>
      </c>
      <c r="D316" s="22" t="s">
        <v>1281</v>
      </c>
      <c r="E316" s="35" t="s">
        <v>1282</v>
      </c>
    </row>
    <row r="317">
      <c r="A317" s="17" t="s">
        <v>1284</v>
      </c>
      <c r="B317" s="18"/>
      <c r="C317" s="20" t="s">
        <v>1285</v>
      </c>
      <c r="D317" s="22" t="s">
        <v>1286</v>
      </c>
      <c r="E317" s="35" t="s">
        <v>1287</v>
      </c>
    </row>
    <row r="318">
      <c r="A318" s="17" t="s">
        <v>1288</v>
      </c>
      <c r="B318" s="18"/>
      <c r="C318" s="20" t="s">
        <v>1289</v>
      </c>
      <c r="D318" s="22" t="s">
        <v>1290</v>
      </c>
    </row>
    <row r="319">
      <c r="A319" s="17" t="s">
        <v>1292</v>
      </c>
      <c r="B319" s="18"/>
      <c r="C319" s="20" t="s">
        <v>1293</v>
      </c>
      <c r="D319" s="22" t="s">
        <v>1294</v>
      </c>
    </row>
    <row r="320">
      <c r="A320" s="17" t="s">
        <v>1296</v>
      </c>
      <c r="B320" s="18"/>
      <c r="C320" s="20" t="s">
        <v>1298</v>
      </c>
      <c r="D320" s="22" t="s">
        <v>1299</v>
      </c>
    </row>
    <row r="321">
      <c r="A321" s="17" t="s">
        <v>1301</v>
      </c>
      <c r="B321" s="18"/>
      <c r="C321" s="20" t="s">
        <v>1303</v>
      </c>
      <c r="D321" s="22" t="s">
        <v>1304</v>
      </c>
    </row>
    <row r="322">
      <c r="A322" s="17" t="s">
        <v>1306</v>
      </c>
      <c r="B322" s="18"/>
      <c r="C322" s="20" t="s">
        <v>1307</v>
      </c>
      <c r="D322" s="22" t="s">
        <v>1309</v>
      </c>
    </row>
    <row r="323">
      <c r="A323" s="17" t="s">
        <v>1310</v>
      </c>
      <c r="B323" s="18"/>
      <c r="C323" s="20" t="s">
        <v>1285</v>
      </c>
      <c r="D323" s="22" t="s">
        <v>1312</v>
      </c>
      <c r="E323" s="35" t="s">
        <v>1314</v>
      </c>
    </row>
    <row r="324">
      <c r="A324" s="17" t="s">
        <v>1315</v>
      </c>
      <c r="B324" s="18"/>
      <c r="C324" s="20" t="s">
        <v>1317</v>
      </c>
      <c r="D324" s="22" t="s">
        <v>1318</v>
      </c>
      <c r="E324" s="86"/>
    </row>
    <row r="325">
      <c r="A325" s="17" t="s">
        <v>1321</v>
      </c>
      <c r="B325" s="18"/>
      <c r="C325" s="20" t="s">
        <v>1317</v>
      </c>
      <c r="D325" s="22" t="s">
        <v>1323</v>
      </c>
    </row>
    <row r="326">
      <c r="A326" s="17" t="s">
        <v>1324</v>
      </c>
      <c r="B326" s="18"/>
      <c r="C326" s="20" t="s">
        <v>1317</v>
      </c>
      <c r="D326" s="22" t="s">
        <v>1326</v>
      </c>
    </row>
    <row r="327">
      <c r="A327" s="17" t="s">
        <v>1328</v>
      </c>
      <c r="B327" s="18"/>
      <c r="C327" s="20" t="s">
        <v>1330</v>
      </c>
      <c r="D327" s="22" t="s">
        <v>1331</v>
      </c>
    </row>
    <row r="328">
      <c r="A328" s="17" t="s">
        <v>1332</v>
      </c>
      <c r="B328" s="18"/>
      <c r="C328" s="20" t="s">
        <v>1335</v>
      </c>
      <c r="D328" s="22" t="s">
        <v>1336</v>
      </c>
    </row>
    <row r="329">
      <c r="A329" s="17" t="s">
        <v>1337</v>
      </c>
      <c r="B329" s="18"/>
      <c r="C329" s="20" t="s">
        <v>1340</v>
      </c>
      <c r="D329" s="22" t="s">
        <v>1341</v>
      </c>
    </row>
    <row r="330">
      <c r="A330" s="17" t="s">
        <v>1342</v>
      </c>
      <c r="B330" s="18"/>
      <c r="C330" s="20" t="s">
        <v>1345</v>
      </c>
      <c r="D330" s="22" t="s">
        <v>1347</v>
      </c>
    </row>
    <row r="331">
      <c r="A331" s="17" t="s">
        <v>1349</v>
      </c>
      <c r="B331" s="18"/>
      <c r="C331" s="20" t="s">
        <v>1351</v>
      </c>
      <c r="D331" s="22" t="s">
        <v>1352</v>
      </c>
    </row>
    <row r="332">
      <c r="A332" s="17" t="s">
        <v>1353</v>
      </c>
      <c r="B332" s="18"/>
      <c r="C332" s="20" t="s">
        <v>1355</v>
      </c>
      <c r="D332" s="22" t="s">
        <v>1356</v>
      </c>
    </row>
    <row r="333">
      <c r="A333" s="17" t="s">
        <v>1357</v>
      </c>
      <c r="B333" s="18"/>
      <c r="C333" s="20" t="s">
        <v>1358</v>
      </c>
      <c r="D333" s="22" t="s">
        <v>1359</v>
      </c>
    </row>
    <row r="334">
      <c r="A334" s="17" t="s">
        <v>1361</v>
      </c>
      <c r="B334" s="18"/>
      <c r="C334" s="20" t="s">
        <v>1362</v>
      </c>
      <c r="D334" s="22" t="s">
        <v>1363</v>
      </c>
    </row>
    <row r="335">
      <c r="A335" s="17" t="s">
        <v>1364</v>
      </c>
      <c r="B335" s="18"/>
      <c r="C335" s="20" t="s">
        <v>1366</v>
      </c>
      <c r="D335" s="22" t="s">
        <v>1367</v>
      </c>
    </row>
    <row r="336">
      <c r="A336" s="17" t="s">
        <v>1368</v>
      </c>
      <c r="B336" s="18"/>
      <c r="C336" s="20" t="s">
        <v>1369</v>
      </c>
      <c r="D336" s="22" t="s">
        <v>1370</v>
      </c>
    </row>
    <row r="337">
      <c r="A337" s="17" t="s">
        <v>1371</v>
      </c>
      <c r="B337" s="18"/>
      <c r="C337" s="20" t="s">
        <v>1372</v>
      </c>
      <c r="D337" s="22" t="s">
        <v>1373</v>
      </c>
    </row>
    <row r="338">
      <c r="A338" s="17" t="s">
        <v>1375</v>
      </c>
      <c r="B338" s="18"/>
      <c r="C338" s="20" t="s">
        <v>1377</v>
      </c>
      <c r="D338" s="22" t="s">
        <v>1378</v>
      </c>
    </row>
    <row r="339">
      <c r="A339" s="17" t="s">
        <v>1379</v>
      </c>
      <c r="B339" s="18"/>
      <c r="C339" s="20" t="s">
        <v>1280</v>
      </c>
      <c r="D339" s="22" t="s">
        <v>1380</v>
      </c>
      <c r="E339" s="35" t="s">
        <v>1381</v>
      </c>
    </row>
    <row r="340">
      <c r="A340" s="17" t="s">
        <v>1382</v>
      </c>
      <c r="B340" s="18"/>
      <c r="C340" s="20" t="s">
        <v>1285</v>
      </c>
      <c r="D340" s="22" t="s">
        <v>1383</v>
      </c>
      <c r="E340" s="35" t="s">
        <v>1384</v>
      </c>
    </row>
    <row r="341">
      <c r="A341" s="17" t="s">
        <v>1385</v>
      </c>
      <c r="B341" s="18"/>
      <c r="C341" s="20" t="s">
        <v>1386</v>
      </c>
      <c r="D341" s="22" t="s">
        <v>1387</v>
      </c>
    </row>
    <row r="342">
      <c r="B342" s="37"/>
    </row>
    <row r="343">
      <c r="A343" s="39" t="s">
        <v>1388</v>
      </c>
      <c r="B343" s="41"/>
    </row>
    <row r="344">
      <c r="A344" s="17" t="s">
        <v>1389</v>
      </c>
      <c r="B344" s="18"/>
      <c r="C344" s="20" t="s">
        <v>1390</v>
      </c>
      <c r="D344" s="51" t="s">
        <v>1391</v>
      </c>
    </row>
    <row r="345">
      <c r="A345" s="17" t="s">
        <v>1393</v>
      </c>
      <c r="B345" s="18"/>
      <c r="C345" s="20" t="s">
        <v>1390</v>
      </c>
      <c r="D345" s="51" t="s">
        <v>1394</v>
      </c>
    </row>
    <row r="346">
      <c r="A346" s="17" t="s">
        <v>1395</v>
      </c>
      <c r="B346" s="18"/>
      <c r="C346" s="20" t="s">
        <v>1390</v>
      </c>
      <c r="D346" s="51" t="s">
        <v>1398</v>
      </c>
    </row>
    <row r="347">
      <c r="A347" s="17" t="s">
        <v>1399</v>
      </c>
      <c r="B347" s="18"/>
      <c r="C347" s="20" t="s">
        <v>1390</v>
      </c>
      <c r="D347" s="51" t="s">
        <v>1401</v>
      </c>
    </row>
    <row r="348">
      <c r="A348" s="17" t="s">
        <v>1403</v>
      </c>
      <c r="B348" s="18"/>
      <c r="C348" s="20" t="s">
        <v>1404</v>
      </c>
      <c r="D348" s="51" t="s">
        <v>1405</v>
      </c>
      <c r="E348" s="35" t="s">
        <v>1406</v>
      </c>
    </row>
    <row r="349">
      <c r="A349" s="17" t="s">
        <v>1408</v>
      </c>
      <c r="B349" s="18"/>
      <c r="C349" s="20" t="s">
        <v>1410</v>
      </c>
      <c r="D349" s="51" t="s">
        <v>1411</v>
      </c>
    </row>
    <row r="350">
      <c r="A350" s="17" t="s">
        <v>1413</v>
      </c>
      <c r="B350" s="18"/>
      <c r="C350" s="20" t="s">
        <v>1414</v>
      </c>
      <c r="D350" s="51" t="s">
        <v>1416</v>
      </c>
    </row>
    <row r="351">
      <c r="A351" s="17" t="s">
        <v>1417</v>
      </c>
      <c r="B351" s="18"/>
      <c r="C351" s="20" t="s">
        <v>1420</v>
      </c>
      <c r="D351" s="51" t="s">
        <v>1422</v>
      </c>
      <c r="E351" s="35" t="s">
        <v>1406</v>
      </c>
    </row>
    <row r="352">
      <c r="A352" s="17" t="s">
        <v>1425</v>
      </c>
      <c r="B352" s="18"/>
      <c r="C352" s="20" t="s">
        <v>1426</v>
      </c>
      <c r="D352" s="51" t="s">
        <v>1427</v>
      </c>
    </row>
    <row r="353">
      <c r="A353" s="17" t="s">
        <v>1428</v>
      </c>
      <c r="B353" s="18"/>
      <c r="C353" s="20" t="s">
        <v>1429</v>
      </c>
      <c r="D353" s="22" t="s">
        <v>1430</v>
      </c>
    </row>
    <row r="354">
      <c r="A354" s="17" t="s">
        <v>1431</v>
      </c>
      <c r="B354" s="18"/>
      <c r="C354" s="20" t="s">
        <v>1432</v>
      </c>
      <c r="D354" s="22" t="s">
        <v>1433</v>
      </c>
    </row>
    <row r="355">
      <c r="A355" s="17" t="s">
        <v>1434</v>
      </c>
      <c r="B355" s="18"/>
      <c r="C355" s="20" t="s">
        <v>1435</v>
      </c>
      <c r="D355" s="22" t="s">
        <v>1436</v>
      </c>
    </row>
    <row r="356" ht="22.5" customHeight="1">
      <c r="A356" s="17" t="s">
        <v>1437</v>
      </c>
      <c r="B356" s="9"/>
      <c r="C356" s="25"/>
      <c r="D356" s="22" t="s">
        <v>1438</v>
      </c>
      <c r="E356" s="35" t="s">
        <v>1439</v>
      </c>
    </row>
    <row r="357">
      <c r="A357" s="17" t="s">
        <v>1440</v>
      </c>
      <c r="B357" s="18"/>
      <c r="C357" s="20" t="s">
        <v>1441</v>
      </c>
      <c r="D357" s="22" t="s">
        <v>1442</v>
      </c>
    </row>
    <row r="358">
      <c r="A358" s="17" t="s">
        <v>1443</v>
      </c>
      <c r="B358" s="18"/>
      <c r="C358" s="20" t="s">
        <v>1444</v>
      </c>
      <c r="D358" s="22" t="s">
        <v>1445</v>
      </c>
    </row>
    <row r="359">
      <c r="A359" s="17" t="s">
        <v>1446</v>
      </c>
      <c r="B359" s="18"/>
      <c r="C359" s="20" t="s">
        <v>1447</v>
      </c>
      <c r="D359" s="22" t="s">
        <v>1448</v>
      </c>
    </row>
    <row r="360">
      <c r="A360" s="17" t="s">
        <v>1450</v>
      </c>
      <c r="B360" s="18"/>
      <c r="C360" s="20" t="s">
        <v>1451</v>
      </c>
      <c r="D360" s="22" t="s">
        <v>1452</v>
      </c>
    </row>
    <row r="361">
      <c r="A361" s="17" t="s">
        <v>1454</v>
      </c>
      <c r="B361" s="18"/>
      <c r="C361" s="20" t="s">
        <v>1456</v>
      </c>
      <c r="D361" s="22" t="s">
        <v>1457</v>
      </c>
    </row>
    <row r="362">
      <c r="A362" s="17" t="s">
        <v>1459</v>
      </c>
      <c r="B362" s="18"/>
      <c r="C362" s="20" t="s">
        <v>1460</v>
      </c>
      <c r="D362" s="22" t="s">
        <v>1461</v>
      </c>
    </row>
    <row r="363">
      <c r="A363" s="17" t="s">
        <v>1463</v>
      </c>
      <c r="B363" s="18"/>
      <c r="C363" s="20" t="s">
        <v>1464</v>
      </c>
      <c r="D363" s="22" t="s">
        <v>1465</v>
      </c>
    </row>
    <row r="364">
      <c r="A364" s="17" t="s">
        <v>1466</v>
      </c>
      <c r="B364" s="18"/>
      <c r="C364" s="20" t="s">
        <v>1469</v>
      </c>
      <c r="D364" s="22" t="s">
        <v>1470</v>
      </c>
    </row>
    <row r="365">
      <c r="A365" s="17" t="s">
        <v>1472</v>
      </c>
      <c r="B365" s="18"/>
      <c r="C365" s="20" t="s">
        <v>1473</v>
      </c>
      <c r="D365" s="22" t="s">
        <v>1475</v>
      </c>
    </row>
    <row r="366">
      <c r="A366" s="17" t="s">
        <v>1477</v>
      </c>
      <c r="B366" s="18"/>
      <c r="C366" s="20" t="s">
        <v>1480</v>
      </c>
      <c r="D366" s="22" t="s">
        <v>1481</v>
      </c>
    </row>
    <row r="367">
      <c r="A367" s="17" t="s">
        <v>1484</v>
      </c>
      <c r="B367" s="18"/>
      <c r="C367" s="20" t="s">
        <v>1485</v>
      </c>
      <c r="D367" s="22" t="s">
        <v>1486</v>
      </c>
    </row>
    <row r="368">
      <c r="A368" s="17" t="s">
        <v>1488</v>
      </c>
      <c r="B368" s="18"/>
      <c r="C368" s="20" t="s">
        <v>1489</v>
      </c>
      <c r="D368" s="22" t="s">
        <v>1490</v>
      </c>
    </row>
    <row r="369">
      <c r="A369" s="17" t="s">
        <v>1492</v>
      </c>
      <c r="B369" s="18"/>
      <c r="C369" s="20" t="s">
        <v>1494</v>
      </c>
      <c r="D369" s="22" t="s">
        <v>1497</v>
      </c>
    </row>
    <row r="370">
      <c r="A370" s="17" t="s">
        <v>1498</v>
      </c>
      <c r="B370" s="18"/>
      <c r="C370" s="20" t="s">
        <v>1500</v>
      </c>
      <c r="D370" s="22" t="s">
        <v>1502</v>
      </c>
    </row>
    <row r="371">
      <c r="A371" s="17" t="s">
        <v>1504</v>
      </c>
      <c r="B371" s="18"/>
      <c r="C371" s="20" t="s">
        <v>1505</v>
      </c>
      <c r="D371" s="22" t="s">
        <v>1506</v>
      </c>
    </row>
    <row r="372">
      <c r="A372" s="17" t="s">
        <v>1508</v>
      </c>
      <c r="B372" s="18"/>
      <c r="C372" s="20" t="s">
        <v>1509</v>
      </c>
      <c r="D372" s="22" t="s">
        <v>1511</v>
      </c>
    </row>
    <row r="373">
      <c r="A373" s="17" t="s">
        <v>1514</v>
      </c>
      <c r="B373" s="18"/>
      <c r="C373" s="20" t="s">
        <v>1516</v>
      </c>
      <c r="D373" s="22" t="s">
        <v>1518</v>
      </c>
    </row>
    <row r="374">
      <c r="A374" s="17" t="s">
        <v>1520</v>
      </c>
      <c r="B374" s="18"/>
      <c r="C374" s="20" t="s">
        <v>1521</v>
      </c>
      <c r="D374" s="22" t="s">
        <v>1522</v>
      </c>
    </row>
    <row r="375">
      <c r="A375" s="17" t="s">
        <v>1524</v>
      </c>
      <c r="B375" s="18"/>
      <c r="C375" s="20" t="s">
        <v>1526</v>
      </c>
      <c r="D375" s="22" t="s">
        <v>1527</v>
      </c>
    </row>
    <row r="376">
      <c r="A376" s="17" t="s">
        <v>1529</v>
      </c>
      <c r="B376" s="18"/>
      <c r="C376" s="20" t="s">
        <v>1530</v>
      </c>
      <c r="D376" s="22" t="s">
        <v>1532</v>
      </c>
    </row>
    <row r="377">
      <c r="A377" s="17" t="s">
        <v>1533</v>
      </c>
      <c r="B377" s="18"/>
      <c r="C377" s="20" t="s">
        <v>1534</v>
      </c>
      <c r="D377" s="22" t="s">
        <v>1535</v>
      </c>
    </row>
    <row r="378">
      <c r="A378" s="17" t="s">
        <v>1536</v>
      </c>
      <c r="B378" s="18"/>
      <c r="C378" s="20" t="s">
        <v>1539</v>
      </c>
      <c r="D378" s="22" t="s">
        <v>1542</v>
      </c>
      <c r="E378" s="35" t="s">
        <v>1544</v>
      </c>
    </row>
    <row r="379">
      <c r="A379" s="17" t="s">
        <v>1545</v>
      </c>
      <c r="B379" s="18"/>
      <c r="C379" s="20" t="s">
        <v>1539</v>
      </c>
      <c r="D379" s="22" t="s">
        <v>1547</v>
      </c>
      <c r="E379" s="35" t="s">
        <v>1548</v>
      </c>
    </row>
    <row r="380">
      <c r="A380" s="17" t="s">
        <v>1550</v>
      </c>
      <c r="B380" s="18"/>
      <c r="C380" s="20" t="s">
        <v>1539</v>
      </c>
      <c r="D380" s="22" t="s">
        <v>1553</v>
      </c>
      <c r="E380" s="35" t="s">
        <v>1554</v>
      </c>
    </row>
    <row r="381">
      <c r="A381" s="17" t="s">
        <v>1555</v>
      </c>
      <c r="B381" s="18"/>
      <c r="C381" s="20" t="s">
        <v>1539</v>
      </c>
      <c r="D381" s="22" t="s">
        <v>1557</v>
      </c>
      <c r="E381" s="35" t="s">
        <v>1558</v>
      </c>
    </row>
    <row r="382">
      <c r="A382" s="17" t="s">
        <v>1560</v>
      </c>
      <c r="B382" s="18"/>
      <c r="C382" s="20" t="s">
        <v>1539</v>
      </c>
      <c r="D382" s="22" t="s">
        <v>1563</v>
      </c>
      <c r="E382" s="35" t="s">
        <v>1564</v>
      </c>
    </row>
    <row r="383">
      <c r="A383" s="17" t="s">
        <v>1566</v>
      </c>
      <c r="B383" s="18"/>
      <c r="C383" s="20" t="s">
        <v>1539</v>
      </c>
      <c r="D383" s="22" t="s">
        <v>1567</v>
      </c>
      <c r="E383" s="35" t="s">
        <v>1569</v>
      </c>
    </row>
    <row r="384">
      <c r="A384" s="17" t="s">
        <v>1571</v>
      </c>
      <c r="B384" s="18"/>
      <c r="C384" s="20" t="s">
        <v>1574</v>
      </c>
      <c r="D384" s="22" t="s">
        <v>1575</v>
      </c>
    </row>
    <row r="385">
      <c r="A385" s="17" t="s">
        <v>1578</v>
      </c>
      <c r="B385" s="18"/>
      <c r="C385" s="20" t="s">
        <v>1579</v>
      </c>
      <c r="D385" s="22" t="s">
        <v>1580</v>
      </c>
      <c r="E385" s="35" t="s">
        <v>1582</v>
      </c>
    </row>
    <row r="386">
      <c r="A386" s="17" t="s">
        <v>1584</v>
      </c>
      <c r="B386" s="18"/>
      <c r="C386" s="20" t="s">
        <v>1586</v>
      </c>
      <c r="D386" s="22" t="s">
        <v>1587</v>
      </c>
    </row>
    <row r="387">
      <c r="A387" s="17" t="s">
        <v>1588</v>
      </c>
      <c r="B387" s="18"/>
      <c r="C387" s="20" t="s">
        <v>1595</v>
      </c>
      <c r="D387" s="22" t="s">
        <v>1597</v>
      </c>
    </row>
    <row r="388">
      <c r="A388" s="17" t="s">
        <v>1599</v>
      </c>
      <c r="B388" s="18"/>
      <c r="C388" s="20" t="s">
        <v>1595</v>
      </c>
      <c r="D388" s="22" t="s">
        <v>1602</v>
      </c>
    </row>
    <row r="389">
      <c r="A389" s="17" t="s">
        <v>1605</v>
      </c>
      <c r="B389" s="18"/>
      <c r="C389" s="20" t="s">
        <v>1595</v>
      </c>
      <c r="D389" s="22" t="s">
        <v>1608</v>
      </c>
    </row>
    <row r="390">
      <c r="A390" s="17" t="s">
        <v>1609</v>
      </c>
      <c r="B390" s="18"/>
      <c r="C390" s="20" t="s">
        <v>1610</v>
      </c>
      <c r="D390" s="22" t="s">
        <v>1611</v>
      </c>
    </row>
    <row r="391">
      <c r="A391" s="17" t="s">
        <v>1613</v>
      </c>
      <c r="B391" s="18"/>
      <c r="C391" s="20" t="s">
        <v>1614</v>
      </c>
      <c r="D391" s="22" t="s">
        <v>1615</v>
      </c>
    </row>
    <row r="392">
      <c r="A392" s="17" t="s">
        <v>1616</v>
      </c>
      <c r="B392" s="18"/>
      <c r="C392" s="20" t="s">
        <v>1618</v>
      </c>
      <c r="D392" s="22" t="s">
        <v>1620</v>
      </c>
    </row>
    <row r="393">
      <c r="A393" s="17" t="s">
        <v>1622</v>
      </c>
      <c r="B393" s="18"/>
      <c r="C393" s="20" t="s">
        <v>1618</v>
      </c>
      <c r="D393" s="22" t="s">
        <v>1623</v>
      </c>
    </row>
    <row r="394">
      <c r="A394" s="17" t="s">
        <v>1625</v>
      </c>
      <c r="B394" s="18"/>
      <c r="C394" s="20" t="s">
        <v>1618</v>
      </c>
      <c r="D394" s="22" t="s">
        <v>1626</v>
      </c>
    </row>
    <row r="395">
      <c r="A395" s="17" t="s">
        <v>1628</v>
      </c>
      <c r="B395" s="18"/>
      <c r="C395" s="20" t="s">
        <v>1618</v>
      </c>
      <c r="D395" s="22" t="s">
        <v>1631</v>
      </c>
    </row>
    <row r="396">
      <c r="A396" s="17" t="s">
        <v>1632</v>
      </c>
      <c r="B396" s="18"/>
      <c r="C396" s="20" t="s">
        <v>1618</v>
      </c>
      <c r="D396" s="22" t="s">
        <v>1634</v>
      </c>
    </row>
    <row r="397">
      <c r="A397" s="17" t="s">
        <v>1635</v>
      </c>
      <c r="B397" s="18"/>
      <c r="C397" s="20" t="s">
        <v>1618</v>
      </c>
      <c r="D397" s="22" t="s">
        <v>1637</v>
      </c>
    </row>
    <row r="398">
      <c r="A398" s="17" t="s">
        <v>1638</v>
      </c>
      <c r="B398" s="18"/>
      <c r="C398" s="20" t="s">
        <v>1618</v>
      </c>
      <c r="D398" s="22" t="s">
        <v>1639</v>
      </c>
    </row>
    <row r="399">
      <c r="A399" s="17" t="s">
        <v>1640</v>
      </c>
      <c r="B399" s="18"/>
      <c r="C399" s="20" t="s">
        <v>1618</v>
      </c>
      <c r="D399" s="22" t="s">
        <v>1641</v>
      </c>
    </row>
    <row r="400">
      <c r="A400" s="17" t="s">
        <v>1642</v>
      </c>
      <c r="B400" s="18"/>
      <c r="C400" s="20" t="s">
        <v>1618</v>
      </c>
      <c r="D400" s="22" t="s">
        <v>1643</v>
      </c>
    </row>
    <row r="401">
      <c r="A401" s="17" t="s">
        <v>1644</v>
      </c>
      <c r="B401" s="18"/>
      <c r="C401" s="20" t="s">
        <v>1618</v>
      </c>
      <c r="D401" s="22" t="s">
        <v>1646</v>
      </c>
    </row>
    <row r="402">
      <c r="A402" s="17" t="s">
        <v>1648</v>
      </c>
      <c r="B402" s="18"/>
      <c r="C402" s="20" t="s">
        <v>1618</v>
      </c>
      <c r="D402" s="22" t="s">
        <v>1650</v>
      </c>
    </row>
    <row r="403">
      <c r="A403" s="17" t="s">
        <v>1651</v>
      </c>
      <c r="B403" s="18"/>
      <c r="C403" s="20" t="s">
        <v>1618</v>
      </c>
      <c r="D403" s="22" t="s">
        <v>1652</v>
      </c>
    </row>
    <row r="404">
      <c r="A404" s="17" t="s">
        <v>1653</v>
      </c>
      <c r="B404" s="18"/>
      <c r="C404" s="20" t="s">
        <v>1618</v>
      </c>
      <c r="D404" s="22" t="s">
        <v>1654</v>
      </c>
    </row>
    <row r="405">
      <c r="A405" s="17" t="s">
        <v>1655</v>
      </c>
      <c r="B405" s="18"/>
      <c r="C405" s="20" t="s">
        <v>1618</v>
      </c>
      <c r="D405" s="22" t="s">
        <v>1658</v>
      </c>
    </row>
    <row r="406">
      <c r="A406" s="17" t="s">
        <v>1660</v>
      </c>
      <c r="B406" s="18"/>
      <c r="C406" s="20" t="s">
        <v>1661</v>
      </c>
      <c r="D406" s="22" t="s">
        <v>1664</v>
      </c>
    </row>
    <row r="407">
      <c r="A407" s="17" t="s">
        <v>1665</v>
      </c>
      <c r="B407" s="18"/>
      <c r="C407" s="20" t="s">
        <v>1667</v>
      </c>
      <c r="D407" s="22" t="s">
        <v>1669</v>
      </c>
    </row>
    <row r="408">
      <c r="A408" s="17" t="s">
        <v>1671</v>
      </c>
      <c r="B408" s="18"/>
      <c r="C408" s="20" t="s">
        <v>1667</v>
      </c>
      <c r="D408" s="22" t="s">
        <v>1672</v>
      </c>
    </row>
    <row r="409">
      <c r="A409" s="17" t="s">
        <v>1673</v>
      </c>
      <c r="B409" s="18"/>
      <c r="C409" s="20" t="s">
        <v>1667</v>
      </c>
      <c r="D409" s="22" t="s">
        <v>1674</v>
      </c>
    </row>
    <row r="410">
      <c r="A410" s="17" t="s">
        <v>1675</v>
      </c>
      <c r="B410" s="18"/>
      <c r="C410" s="20" t="s">
        <v>1667</v>
      </c>
      <c r="D410" s="22" t="s">
        <v>1676</v>
      </c>
    </row>
    <row r="411">
      <c r="A411" s="17" t="s">
        <v>1677</v>
      </c>
      <c r="B411" s="18"/>
      <c r="C411" s="20" t="s">
        <v>1667</v>
      </c>
      <c r="D411" s="22" t="s">
        <v>1678</v>
      </c>
    </row>
    <row r="412">
      <c r="A412" s="17" t="s">
        <v>1679</v>
      </c>
      <c r="B412" s="18"/>
      <c r="C412" s="20" t="s">
        <v>1680</v>
      </c>
      <c r="D412" s="22" t="s">
        <v>1681</v>
      </c>
    </row>
    <row r="413">
      <c r="A413" s="17" t="s">
        <v>1682</v>
      </c>
      <c r="B413" s="18"/>
      <c r="C413" s="20" t="s">
        <v>1680</v>
      </c>
      <c r="D413" s="22" t="s">
        <v>1684</v>
      </c>
    </row>
    <row r="414">
      <c r="A414" s="17" t="s">
        <v>1686</v>
      </c>
      <c r="B414" s="18"/>
      <c r="C414" s="20" t="s">
        <v>1680</v>
      </c>
      <c r="D414" s="22" t="s">
        <v>1689</v>
      </c>
    </row>
    <row r="415">
      <c r="A415" s="17" t="s">
        <v>1690</v>
      </c>
      <c r="B415" s="18"/>
      <c r="C415" s="20" t="s">
        <v>1692</v>
      </c>
      <c r="D415" s="22" t="s">
        <v>1694</v>
      </c>
    </row>
    <row r="416">
      <c r="A416" s="17" t="s">
        <v>1696</v>
      </c>
      <c r="B416" s="18"/>
      <c r="C416" s="20" t="s">
        <v>1698</v>
      </c>
      <c r="D416" s="22" t="s">
        <v>1699</v>
      </c>
    </row>
    <row r="417">
      <c r="A417" s="17" t="s">
        <v>1701</v>
      </c>
      <c r="B417" s="18"/>
      <c r="C417" s="20" t="s">
        <v>1703</v>
      </c>
      <c r="D417" s="22" t="s">
        <v>1706</v>
      </c>
    </row>
    <row r="418">
      <c r="A418" s="17" t="s">
        <v>1708</v>
      </c>
      <c r="B418" s="18"/>
      <c r="C418" s="20" t="s">
        <v>1711</v>
      </c>
      <c r="D418" s="22" t="s">
        <v>1712</v>
      </c>
      <c r="E418" s="35" t="s">
        <v>1715</v>
      </c>
    </row>
    <row r="419">
      <c r="A419" s="17" t="s">
        <v>1716</v>
      </c>
      <c r="B419" s="18"/>
      <c r="C419" s="20" t="s">
        <v>1711</v>
      </c>
      <c r="D419" s="22" t="s">
        <v>1718</v>
      </c>
      <c r="E419" s="35" t="s">
        <v>1715</v>
      </c>
    </row>
    <row r="420">
      <c r="A420" s="17" t="s">
        <v>1720</v>
      </c>
      <c r="B420" s="18"/>
      <c r="C420" s="20" t="s">
        <v>1711</v>
      </c>
      <c r="D420" s="22" t="s">
        <v>1723</v>
      </c>
      <c r="E420" s="35" t="s">
        <v>1715</v>
      </c>
    </row>
    <row r="421">
      <c r="A421" s="17" t="s">
        <v>1725</v>
      </c>
      <c r="B421" s="18"/>
      <c r="C421" s="20" t="s">
        <v>1711</v>
      </c>
      <c r="D421" s="22" t="s">
        <v>1727</v>
      </c>
      <c r="E421" s="35" t="s">
        <v>1715</v>
      </c>
    </row>
    <row r="422">
      <c r="A422" s="17" t="s">
        <v>1730</v>
      </c>
      <c r="B422" s="18"/>
      <c r="C422" s="20" t="s">
        <v>1711</v>
      </c>
      <c r="D422" s="22" t="s">
        <v>1731</v>
      </c>
      <c r="E422" s="35" t="s">
        <v>1715</v>
      </c>
    </row>
    <row r="423">
      <c r="A423" s="17" t="s">
        <v>1733</v>
      </c>
      <c r="B423" s="9"/>
      <c r="C423" s="25"/>
    </row>
    <row r="424">
      <c r="A424" s="17" t="s">
        <v>1737</v>
      </c>
      <c r="B424" s="18"/>
      <c r="C424" s="20" t="s">
        <v>1739</v>
      </c>
      <c r="D424" s="22" t="s">
        <v>1741</v>
      </c>
      <c r="E424" s="35" t="s">
        <v>1406</v>
      </c>
    </row>
    <row r="425">
      <c r="A425" s="17" t="s">
        <v>1743</v>
      </c>
      <c r="B425" s="18"/>
      <c r="C425" s="20" t="s">
        <v>1744</v>
      </c>
      <c r="D425" s="22" t="s">
        <v>1746</v>
      </c>
      <c r="E425" s="35" t="s">
        <v>1406</v>
      </c>
    </row>
    <row r="426">
      <c r="A426" s="17" t="s">
        <v>1748</v>
      </c>
      <c r="B426" s="9"/>
      <c r="C426" s="20" t="s">
        <v>1414</v>
      </c>
      <c r="D426" s="22" t="s">
        <v>1750</v>
      </c>
      <c r="E426" s="35" t="s">
        <v>1751</v>
      </c>
    </row>
    <row r="427">
      <c r="A427" s="17" t="s">
        <v>1753</v>
      </c>
      <c r="B427" s="18"/>
      <c r="C427" s="20" t="s">
        <v>1754</v>
      </c>
      <c r="D427" s="22" t="s">
        <v>1755</v>
      </c>
    </row>
    <row r="428">
      <c r="A428" s="17" t="s">
        <v>1758</v>
      </c>
      <c r="B428" s="9"/>
      <c r="C428" s="25"/>
    </row>
    <row r="429">
      <c r="A429" s="17" t="s">
        <v>1760</v>
      </c>
      <c r="B429" s="18"/>
      <c r="C429" s="20" t="s">
        <v>1761</v>
      </c>
      <c r="D429" s="22" t="s">
        <v>1762</v>
      </c>
    </row>
    <row r="430">
      <c r="A430" s="17" t="s">
        <v>1764</v>
      </c>
      <c r="B430" s="9"/>
      <c r="C430" s="20" t="s">
        <v>1765</v>
      </c>
      <c r="D430" s="22" t="s">
        <v>1766</v>
      </c>
      <c r="E430" s="35" t="s">
        <v>1767</v>
      </c>
    </row>
    <row r="431">
      <c r="A431" s="17" t="s">
        <v>1769</v>
      </c>
      <c r="B431" s="18"/>
      <c r="C431" s="20" t="s">
        <v>1770</v>
      </c>
      <c r="D431" s="22" t="s">
        <v>1771</v>
      </c>
      <c r="E431" s="35" t="s">
        <v>1772</v>
      </c>
    </row>
    <row r="432">
      <c r="A432" s="17" t="s">
        <v>1774</v>
      </c>
      <c r="B432" s="18"/>
      <c r="C432" s="20" t="s">
        <v>1775</v>
      </c>
      <c r="D432" s="22" t="s">
        <v>1776</v>
      </c>
    </row>
    <row r="433">
      <c r="A433" s="17" t="s">
        <v>1778</v>
      </c>
      <c r="B433" s="18"/>
      <c r="C433" s="20" t="s">
        <v>1780</v>
      </c>
      <c r="D433" s="22" t="s">
        <v>1782</v>
      </c>
    </row>
    <row r="434">
      <c r="A434" s="17" t="s">
        <v>1783</v>
      </c>
      <c r="B434" s="18"/>
      <c r="C434" s="20" t="s">
        <v>1780</v>
      </c>
      <c r="D434" s="22" t="s">
        <v>1785</v>
      </c>
    </row>
    <row r="435">
      <c r="A435" s="17" t="s">
        <v>1786</v>
      </c>
      <c r="B435" s="18"/>
      <c r="C435" s="20" t="s">
        <v>1780</v>
      </c>
      <c r="D435" s="22" t="s">
        <v>1789</v>
      </c>
    </row>
    <row r="436">
      <c r="A436" s="17" t="s">
        <v>1790</v>
      </c>
      <c r="B436" s="18"/>
      <c r="C436" s="20" t="s">
        <v>1791</v>
      </c>
      <c r="D436" s="22" t="s">
        <v>1794</v>
      </c>
    </row>
    <row r="437">
      <c r="B437" s="37"/>
    </row>
    <row r="438">
      <c r="A438" s="39" t="s">
        <v>1798</v>
      </c>
      <c r="B438" s="41"/>
    </row>
    <row r="439">
      <c r="A439" s="17" t="s">
        <v>1800</v>
      </c>
      <c r="B439" s="9"/>
      <c r="C439" s="25"/>
      <c r="D439" s="22" t="s">
        <v>1802</v>
      </c>
    </row>
    <row r="440">
      <c r="A440" s="17" t="s">
        <v>1804</v>
      </c>
      <c r="B440" s="9"/>
      <c r="C440" s="25"/>
      <c r="D440" s="22" t="s">
        <v>1802</v>
      </c>
    </row>
    <row r="441">
      <c r="A441" s="17" t="s">
        <v>1808</v>
      </c>
      <c r="B441" s="9"/>
      <c r="C441" s="25"/>
      <c r="D441" s="22" t="s">
        <v>1802</v>
      </c>
    </row>
    <row r="442">
      <c r="A442" s="17" t="s">
        <v>1811</v>
      </c>
      <c r="B442" s="9"/>
      <c r="C442" s="25"/>
      <c r="D442" s="22" t="s">
        <v>1813</v>
      </c>
    </row>
    <row r="443">
      <c r="A443" s="17" t="s">
        <v>1815</v>
      </c>
      <c r="B443" s="9"/>
      <c r="C443" s="25"/>
      <c r="D443" s="22" t="s">
        <v>1813</v>
      </c>
    </row>
    <row r="444">
      <c r="A444" s="17" t="s">
        <v>1819</v>
      </c>
      <c r="B444" s="9"/>
      <c r="C444" s="25"/>
      <c r="D444" s="22" t="s">
        <v>1813</v>
      </c>
    </row>
    <row r="445">
      <c r="A445" s="17" t="s">
        <v>1823</v>
      </c>
      <c r="B445" s="9"/>
      <c r="C445" s="25"/>
      <c r="D445" s="22" t="s">
        <v>1824</v>
      </c>
    </row>
    <row r="446">
      <c r="A446" s="17" t="s">
        <v>1826</v>
      </c>
      <c r="B446" s="9"/>
      <c r="C446" s="25"/>
      <c r="D446" s="22" t="s">
        <v>1824</v>
      </c>
    </row>
    <row r="447">
      <c r="A447" s="17" t="s">
        <v>1828</v>
      </c>
      <c r="B447" s="9"/>
      <c r="C447" s="25"/>
      <c r="D447" s="22" t="s">
        <v>1824</v>
      </c>
    </row>
    <row r="448">
      <c r="A448" s="17" t="s">
        <v>1830</v>
      </c>
      <c r="B448" s="9"/>
      <c r="C448" s="25"/>
      <c r="D448" s="22" t="s">
        <v>1831</v>
      </c>
    </row>
    <row r="449">
      <c r="A449" s="17" t="s">
        <v>1832</v>
      </c>
      <c r="B449" s="9"/>
      <c r="C449" s="25"/>
      <c r="D449" s="22" t="s">
        <v>1831</v>
      </c>
    </row>
    <row r="450">
      <c r="A450" s="17" t="s">
        <v>1835</v>
      </c>
      <c r="B450" s="9"/>
      <c r="C450" s="25"/>
      <c r="D450" s="22" t="s">
        <v>1831</v>
      </c>
    </row>
    <row r="451">
      <c r="A451" s="17" t="s">
        <v>1837</v>
      </c>
      <c r="B451" s="9"/>
      <c r="C451" s="25"/>
      <c r="D451" s="22" t="s">
        <v>1838</v>
      </c>
    </row>
    <row r="452">
      <c r="A452" s="17" t="s">
        <v>1842</v>
      </c>
      <c r="B452" s="9"/>
      <c r="C452" s="25"/>
      <c r="D452" s="22" t="s">
        <v>1838</v>
      </c>
    </row>
    <row r="453">
      <c r="A453" s="17" t="s">
        <v>1845</v>
      </c>
      <c r="B453" s="9"/>
      <c r="C453" s="25"/>
      <c r="D453" s="22" t="s">
        <v>1838</v>
      </c>
    </row>
    <row r="454">
      <c r="A454" s="17" t="s">
        <v>1847</v>
      </c>
      <c r="B454" s="9"/>
      <c r="C454" s="25"/>
      <c r="D454" s="22" t="s">
        <v>1849</v>
      </c>
    </row>
    <row r="455">
      <c r="A455" s="17" t="s">
        <v>1851</v>
      </c>
      <c r="B455" s="9"/>
      <c r="C455" s="25"/>
      <c r="D455" s="22" t="s">
        <v>1849</v>
      </c>
    </row>
    <row r="456">
      <c r="A456" s="17" t="s">
        <v>1853</v>
      </c>
      <c r="B456" s="9"/>
      <c r="C456" s="25"/>
      <c r="D456" s="22" t="s">
        <v>1849</v>
      </c>
    </row>
    <row r="457">
      <c r="A457" s="17" t="s">
        <v>1854</v>
      </c>
      <c r="B457" s="9"/>
      <c r="C457" s="25"/>
      <c r="D457" s="22" t="s">
        <v>1856</v>
      </c>
    </row>
    <row r="458">
      <c r="A458" s="17" t="s">
        <v>1858</v>
      </c>
      <c r="B458" s="9"/>
      <c r="C458" s="25"/>
      <c r="D458" s="22" t="s">
        <v>1856</v>
      </c>
    </row>
    <row r="459">
      <c r="A459" s="17" t="s">
        <v>1861</v>
      </c>
      <c r="B459" s="9"/>
      <c r="C459" s="25"/>
      <c r="D459" s="22" t="s">
        <v>1856</v>
      </c>
    </row>
    <row r="460">
      <c r="A460" s="17" t="s">
        <v>1863</v>
      </c>
      <c r="B460" s="9"/>
      <c r="C460" s="25"/>
      <c r="D460" s="22" t="s">
        <v>1865</v>
      </c>
    </row>
    <row r="461">
      <c r="A461" s="17" t="s">
        <v>1868</v>
      </c>
      <c r="B461" s="9"/>
      <c r="C461" s="25"/>
      <c r="D461" s="22" t="s">
        <v>1865</v>
      </c>
    </row>
    <row r="462">
      <c r="A462" s="17" t="s">
        <v>1871</v>
      </c>
      <c r="B462" s="9"/>
      <c r="C462" s="25"/>
      <c r="D462" s="22" t="s">
        <v>1865</v>
      </c>
    </row>
    <row r="463">
      <c r="A463" s="17" t="s">
        <v>1874</v>
      </c>
      <c r="B463" s="9"/>
      <c r="C463" s="25"/>
      <c r="D463" s="22" t="s">
        <v>1876</v>
      </c>
    </row>
    <row r="464">
      <c r="A464" s="17" t="s">
        <v>1877</v>
      </c>
      <c r="B464" s="9"/>
      <c r="C464" s="25"/>
      <c r="D464" s="22" t="s">
        <v>1876</v>
      </c>
    </row>
    <row r="465">
      <c r="A465" s="17" t="s">
        <v>1879</v>
      </c>
      <c r="B465" s="9"/>
      <c r="C465" s="25"/>
      <c r="D465" s="22" t="s">
        <v>1876</v>
      </c>
    </row>
    <row r="466">
      <c r="A466" s="17" t="s">
        <v>1882</v>
      </c>
      <c r="B466" s="9"/>
      <c r="C466" s="25"/>
      <c r="D466" s="22" t="s">
        <v>1884</v>
      </c>
    </row>
    <row r="467">
      <c r="A467" s="17" t="s">
        <v>1885</v>
      </c>
      <c r="B467" s="9"/>
      <c r="C467" s="25"/>
      <c r="D467" s="22" t="s">
        <v>1884</v>
      </c>
    </row>
    <row r="468">
      <c r="A468" s="17" t="s">
        <v>1887</v>
      </c>
      <c r="B468" s="9"/>
      <c r="C468" s="25"/>
      <c r="D468" s="22" t="s">
        <v>1884</v>
      </c>
    </row>
    <row r="469">
      <c r="A469" s="17" t="s">
        <v>1890</v>
      </c>
      <c r="B469" s="9"/>
      <c r="C469" s="25"/>
      <c r="D469" s="22" t="s">
        <v>1892</v>
      </c>
    </row>
    <row r="470">
      <c r="A470" s="17" t="s">
        <v>1893</v>
      </c>
      <c r="B470" s="9"/>
      <c r="C470" s="25"/>
      <c r="D470" s="22" t="s">
        <v>1892</v>
      </c>
    </row>
    <row r="471">
      <c r="A471" s="17" t="s">
        <v>1896</v>
      </c>
      <c r="B471" s="9"/>
      <c r="C471" s="25"/>
      <c r="D471" s="22" t="s">
        <v>1892</v>
      </c>
    </row>
    <row r="472">
      <c r="A472" s="17" t="s">
        <v>1900</v>
      </c>
      <c r="B472" s="9"/>
      <c r="C472" s="25"/>
      <c r="D472" s="22" t="s">
        <v>1902</v>
      </c>
    </row>
    <row r="473">
      <c r="A473" s="17" t="s">
        <v>1903</v>
      </c>
      <c r="B473" s="9"/>
      <c r="C473" s="25"/>
      <c r="D473" s="22" t="s">
        <v>1902</v>
      </c>
    </row>
    <row r="474">
      <c r="A474" s="17" t="s">
        <v>1905</v>
      </c>
      <c r="B474" s="9"/>
      <c r="C474" s="25"/>
      <c r="D474" s="22" t="s">
        <v>1902</v>
      </c>
    </row>
    <row r="475">
      <c r="A475" s="17" t="s">
        <v>1908</v>
      </c>
      <c r="B475" s="9"/>
      <c r="C475" s="25"/>
      <c r="D475" s="22" t="s">
        <v>1909</v>
      </c>
    </row>
    <row r="476">
      <c r="A476" s="17" t="s">
        <v>1911</v>
      </c>
      <c r="B476" s="9"/>
      <c r="C476" s="25"/>
      <c r="D476" s="22" t="s">
        <v>1909</v>
      </c>
    </row>
    <row r="477">
      <c r="A477" s="17" t="s">
        <v>1912</v>
      </c>
      <c r="B477" s="9"/>
      <c r="C477" s="25"/>
      <c r="D477" s="22" t="s">
        <v>1909</v>
      </c>
    </row>
    <row r="478">
      <c r="A478" s="17" t="s">
        <v>1916</v>
      </c>
      <c r="B478" s="9"/>
      <c r="C478" s="25"/>
      <c r="D478" s="22" t="s">
        <v>1917</v>
      </c>
    </row>
    <row r="479">
      <c r="A479" s="17" t="s">
        <v>1919</v>
      </c>
      <c r="B479" s="9"/>
      <c r="C479" s="25"/>
      <c r="D479" s="22" t="s">
        <v>1917</v>
      </c>
    </row>
    <row r="480">
      <c r="A480" s="17" t="s">
        <v>1921</v>
      </c>
      <c r="B480" s="9"/>
      <c r="C480" s="25"/>
      <c r="D480" s="22" t="s">
        <v>1917</v>
      </c>
    </row>
    <row r="481">
      <c r="A481" s="17" t="s">
        <v>1925</v>
      </c>
      <c r="B481" s="9"/>
      <c r="C481" s="25"/>
      <c r="D481" s="22" t="s">
        <v>1926</v>
      </c>
    </row>
    <row r="482">
      <c r="A482" s="17" t="s">
        <v>1928</v>
      </c>
      <c r="B482" s="9"/>
      <c r="C482" s="25"/>
      <c r="D482" s="22" t="s">
        <v>1926</v>
      </c>
    </row>
    <row r="483">
      <c r="A483" s="17" t="s">
        <v>1929</v>
      </c>
      <c r="B483" s="9"/>
      <c r="C483" s="25"/>
      <c r="D483" s="22" t="s">
        <v>1926</v>
      </c>
    </row>
    <row r="484">
      <c r="A484" s="17" t="s">
        <v>1933</v>
      </c>
      <c r="B484" s="9"/>
      <c r="C484" s="25"/>
      <c r="D484" s="22" t="s">
        <v>1934</v>
      </c>
    </row>
    <row r="485">
      <c r="A485" s="17" t="s">
        <v>1936</v>
      </c>
      <c r="B485" s="9"/>
      <c r="C485" s="25"/>
      <c r="D485" s="22" t="s">
        <v>1934</v>
      </c>
    </row>
    <row r="486">
      <c r="A486" s="17" t="s">
        <v>1938</v>
      </c>
      <c r="B486" s="9"/>
      <c r="C486" s="25"/>
      <c r="D486" s="22" t="s">
        <v>1934</v>
      </c>
    </row>
    <row r="487">
      <c r="A487" s="17" t="s">
        <v>1940</v>
      </c>
      <c r="B487" s="9"/>
      <c r="C487" s="25"/>
      <c r="D487" s="22" t="s">
        <v>1941</v>
      </c>
    </row>
    <row r="488">
      <c r="A488" s="17" t="s">
        <v>1943</v>
      </c>
      <c r="B488" s="9"/>
      <c r="C488" s="25"/>
      <c r="D488" s="22" t="s">
        <v>1941</v>
      </c>
    </row>
    <row r="489">
      <c r="A489" s="17" t="s">
        <v>1945</v>
      </c>
      <c r="B489" s="9"/>
      <c r="C489" s="25"/>
      <c r="D489" s="22" t="s">
        <v>1941</v>
      </c>
    </row>
    <row r="490">
      <c r="A490" s="17" t="s">
        <v>1948</v>
      </c>
      <c r="B490" s="9"/>
      <c r="C490" s="25"/>
      <c r="D490" s="22" t="s">
        <v>1949</v>
      </c>
    </row>
    <row r="491">
      <c r="A491" s="17" t="s">
        <v>1951</v>
      </c>
      <c r="B491" s="9"/>
      <c r="C491" s="25"/>
      <c r="D491" s="22" t="s">
        <v>1949</v>
      </c>
    </row>
    <row r="492">
      <c r="A492" s="17" t="s">
        <v>1953</v>
      </c>
      <c r="B492" s="9"/>
      <c r="C492" s="25"/>
      <c r="D492" s="22" t="s">
        <v>1949</v>
      </c>
    </row>
    <row r="493">
      <c r="A493" s="17" t="s">
        <v>1955</v>
      </c>
      <c r="B493" s="9"/>
      <c r="C493" s="25"/>
      <c r="D493" s="22" t="s">
        <v>1956</v>
      </c>
    </row>
    <row r="494">
      <c r="A494" s="17" t="s">
        <v>1958</v>
      </c>
      <c r="B494" s="9"/>
      <c r="C494" s="25"/>
      <c r="D494" s="22" t="s">
        <v>1956</v>
      </c>
    </row>
    <row r="495">
      <c r="A495" s="17" t="s">
        <v>1961</v>
      </c>
      <c r="B495" s="9"/>
      <c r="C495" s="25"/>
      <c r="D495" s="22" t="s">
        <v>1956</v>
      </c>
    </row>
    <row r="496">
      <c r="A496" s="17" t="s">
        <v>1965</v>
      </c>
      <c r="B496" s="9"/>
      <c r="C496" s="25"/>
      <c r="D496" s="22" t="s">
        <v>1967</v>
      </c>
    </row>
    <row r="497">
      <c r="A497" s="17" t="s">
        <v>1968</v>
      </c>
      <c r="B497" s="9"/>
      <c r="C497" s="25"/>
      <c r="D497" s="22" t="s">
        <v>1967</v>
      </c>
    </row>
    <row r="498">
      <c r="A498" s="17" t="s">
        <v>1971</v>
      </c>
      <c r="B498" s="9"/>
      <c r="C498" s="25"/>
      <c r="D498" s="22" t="s">
        <v>1967</v>
      </c>
    </row>
    <row r="499">
      <c r="A499" s="17" t="s">
        <v>1972</v>
      </c>
      <c r="B499" s="9"/>
      <c r="C499" s="25"/>
      <c r="D499" s="22" t="s">
        <v>1974</v>
      </c>
    </row>
    <row r="500">
      <c r="A500" s="17" t="s">
        <v>1975</v>
      </c>
      <c r="B500" s="9"/>
      <c r="C500" s="25"/>
      <c r="D500" s="22" t="s">
        <v>1974</v>
      </c>
    </row>
    <row r="501">
      <c r="A501" s="17" t="s">
        <v>1977</v>
      </c>
      <c r="B501" s="9"/>
      <c r="C501" s="25"/>
      <c r="D501" s="22" t="s">
        <v>1974</v>
      </c>
    </row>
    <row r="502">
      <c r="A502" s="17" t="s">
        <v>1981</v>
      </c>
      <c r="B502" s="9"/>
      <c r="C502" s="25"/>
      <c r="D502" s="22" t="s">
        <v>1982</v>
      </c>
    </row>
    <row r="503">
      <c r="A503" s="17" t="s">
        <v>1983</v>
      </c>
      <c r="B503" s="9"/>
      <c r="C503" s="25"/>
      <c r="D503" s="22" t="s">
        <v>1982</v>
      </c>
    </row>
    <row r="504">
      <c r="A504" s="17" t="s">
        <v>1985</v>
      </c>
      <c r="B504" s="9"/>
      <c r="C504" s="25"/>
      <c r="D504" s="22" t="s">
        <v>1982</v>
      </c>
    </row>
    <row r="505">
      <c r="A505" s="17" t="s">
        <v>1986</v>
      </c>
      <c r="B505" s="9"/>
      <c r="C505" s="20" t="s">
        <v>1390</v>
      </c>
      <c r="D505" s="101" t="s">
        <v>1988</v>
      </c>
    </row>
    <row r="506">
      <c r="A506" s="17" t="s">
        <v>2002</v>
      </c>
      <c r="B506" s="9"/>
      <c r="C506" s="25"/>
      <c r="D506" s="22" t="s">
        <v>2004</v>
      </c>
    </row>
    <row r="507">
      <c r="A507" s="17" t="s">
        <v>2005</v>
      </c>
      <c r="B507" s="9"/>
      <c r="C507" s="25"/>
      <c r="D507" s="22" t="s">
        <v>2004</v>
      </c>
    </row>
    <row r="508">
      <c r="A508" s="17" t="s">
        <v>2008</v>
      </c>
      <c r="B508" s="9"/>
      <c r="C508" s="25"/>
      <c r="D508" s="22" t="s">
        <v>2004</v>
      </c>
    </row>
    <row r="509">
      <c r="A509" s="17" t="s">
        <v>2010</v>
      </c>
      <c r="B509" s="9"/>
      <c r="C509" s="25"/>
      <c r="D509" s="22" t="s">
        <v>2011</v>
      </c>
    </row>
    <row r="510">
      <c r="A510" s="17" t="s">
        <v>2013</v>
      </c>
      <c r="B510" s="9"/>
      <c r="C510" s="25"/>
      <c r="D510" s="22" t="s">
        <v>2011</v>
      </c>
    </row>
    <row r="511">
      <c r="A511" s="17" t="s">
        <v>2016</v>
      </c>
      <c r="B511" s="9"/>
      <c r="C511" s="25"/>
      <c r="D511" s="22" t="s">
        <v>2011</v>
      </c>
    </row>
    <row r="512">
      <c r="A512" s="17" t="s">
        <v>2018</v>
      </c>
      <c r="B512" s="9"/>
      <c r="C512" s="25"/>
      <c r="D512" s="22" t="s">
        <v>2020</v>
      </c>
    </row>
    <row r="513">
      <c r="A513" s="17" t="s">
        <v>2021</v>
      </c>
      <c r="B513" s="9"/>
      <c r="C513" s="25"/>
      <c r="D513" s="22" t="s">
        <v>2020</v>
      </c>
    </row>
    <row r="514">
      <c r="A514" s="17" t="s">
        <v>2024</v>
      </c>
      <c r="B514" s="9"/>
      <c r="C514" s="25"/>
      <c r="D514" s="22" t="s">
        <v>2020</v>
      </c>
    </row>
    <row r="515">
      <c r="A515" s="17" t="s">
        <v>2027</v>
      </c>
      <c r="B515" s="9"/>
      <c r="C515" s="25"/>
      <c r="D515" s="22" t="s">
        <v>2028</v>
      </c>
    </row>
    <row r="516">
      <c r="A516" s="17" t="s">
        <v>2029</v>
      </c>
      <c r="B516" s="9"/>
      <c r="C516" s="25"/>
      <c r="D516" s="22" t="s">
        <v>2028</v>
      </c>
    </row>
    <row r="517">
      <c r="A517" s="17" t="s">
        <v>2033</v>
      </c>
      <c r="B517" s="9"/>
      <c r="C517" s="25"/>
      <c r="D517" s="22" t="s">
        <v>2028</v>
      </c>
    </row>
    <row r="518">
      <c r="A518" s="17" t="s">
        <v>2035</v>
      </c>
      <c r="B518" s="9"/>
      <c r="C518" s="25"/>
      <c r="D518" s="22" t="s">
        <v>2036</v>
      </c>
    </row>
    <row r="519">
      <c r="A519" s="17" t="s">
        <v>2038</v>
      </c>
      <c r="B519" s="9"/>
      <c r="C519" s="25"/>
      <c r="D519" s="22" t="s">
        <v>2036</v>
      </c>
    </row>
    <row r="520">
      <c r="A520" s="17" t="s">
        <v>2042</v>
      </c>
      <c r="B520" s="9"/>
      <c r="C520" s="25"/>
      <c r="D520" s="22" t="s">
        <v>2036</v>
      </c>
    </row>
    <row r="521">
      <c r="A521" s="17" t="s">
        <v>2044</v>
      </c>
      <c r="B521" s="9"/>
      <c r="C521" s="25"/>
      <c r="D521" s="22" t="s">
        <v>2047</v>
      </c>
    </row>
    <row r="522">
      <c r="A522" s="17" t="s">
        <v>2049</v>
      </c>
      <c r="B522" s="9"/>
      <c r="C522" s="25"/>
      <c r="D522" s="22" t="s">
        <v>2047</v>
      </c>
    </row>
    <row r="523">
      <c r="A523" s="17" t="s">
        <v>2051</v>
      </c>
      <c r="B523" s="9"/>
      <c r="C523" s="25"/>
      <c r="D523" s="22" t="s">
        <v>2047</v>
      </c>
    </row>
    <row r="524">
      <c r="A524" s="17" t="s">
        <v>2054</v>
      </c>
      <c r="B524" s="9"/>
      <c r="C524" s="25"/>
      <c r="D524" s="22" t="s">
        <v>2056</v>
      </c>
    </row>
    <row r="525">
      <c r="A525" s="17" t="s">
        <v>2057</v>
      </c>
      <c r="B525" s="9"/>
      <c r="C525" s="25"/>
      <c r="D525" s="22" t="s">
        <v>2056</v>
      </c>
    </row>
    <row r="526">
      <c r="A526" s="17" t="s">
        <v>2061</v>
      </c>
      <c r="B526" s="9"/>
      <c r="C526" s="25"/>
      <c r="D526" s="22" t="s">
        <v>2056</v>
      </c>
    </row>
    <row r="527">
      <c r="A527" s="17" t="s">
        <v>2070</v>
      </c>
      <c r="B527" s="9"/>
      <c r="C527" s="25"/>
      <c r="D527" s="22" t="s">
        <v>2072</v>
      </c>
    </row>
    <row r="528">
      <c r="A528" s="17" t="s">
        <v>2073</v>
      </c>
      <c r="B528" s="9"/>
      <c r="C528" s="25"/>
      <c r="D528" s="22" t="s">
        <v>2072</v>
      </c>
    </row>
    <row r="529">
      <c r="A529" s="17" t="s">
        <v>2076</v>
      </c>
      <c r="B529" s="9"/>
      <c r="C529" s="25"/>
      <c r="D529" s="22" t="s">
        <v>2072</v>
      </c>
    </row>
    <row r="530">
      <c r="A530" s="17" t="s">
        <v>2080</v>
      </c>
      <c r="B530" s="9"/>
      <c r="C530" s="25"/>
      <c r="D530" s="22" t="s">
        <v>2083</v>
      </c>
    </row>
    <row r="531">
      <c r="A531" s="17" t="s">
        <v>2084</v>
      </c>
      <c r="B531" s="9"/>
      <c r="C531" s="25"/>
      <c r="D531" s="22" t="s">
        <v>2083</v>
      </c>
    </row>
    <row r="532">
      <c r="A532" s="17" t="s">
        <v>2088</v>
      </c>
      <c r="B532" s="9"/>
      <c r="C532" s="25"/>
      <c r="D532" s="22" t="s">
        <v>2083</v>
      </c>
    </row>
    <row r="533">
      <c r="A533" s="17" t="s">
        <v>2090</v>
      </c>
      <c r="B533" s="9"/>
      <c r="C533" s="25"/>
      <c r="D533" s="22" t="s">
        <v>2093</v>
      </c>
    </row>
    <row r="534">
      <c r="A534" s="17" t="s">
        <v>2094</v>
      </c>
      <c r="B534" s="9"/>
      <c r="C534" s="25"/>
      <c r="D534" s="22" t="s">
        <v>2093</v>
      </c>
    </row>
    <row r="535">
      <c r="A535" s="17" t="s">
        <v>2098</v>
      </c>
      <c r="B535" s="9"/>
      <c r="C535" s="25"/>
      <c r="D535" s="22" t="s">
        <v>2093</v>
      </c>
    </row>
    <row r="536">
      <c r="A536" s="17" t="s">
        <v>2102</v>
      </c>
      <c r="B536" s="9"/>
      <c r="C536" s="25"/>
      <c r="D536" s="99" t="s">
        <v>2103</v>
      </c>
    </row>
    <row r="537">
      <c r="A537" s="17" t="s">
        <v>2106</v>
      </c>
      <c r="B537" s="9"/>
      <c r="C537" s="25"/>
      <c r="D537" s="99" t="s">
        <v>2103</v>
      </c>
    </row>
    <row r="538">
      <c r="A538" s="17" t="s">
        <v>2107</v>
      </c>
      <c r="B538" s="9"/>
      <c r="C538" s="25"/>
      <c r="D538" s="99" t="s">
        <v>2103</v>
      </c>
    </row>
    <row r="539">
      <c r="A539" s="17" t="s">
        <v>2108</v>
      </c>
      <c r="B539" s="9"/>
      <c r="C539" s="25"/>
      <c r="D539" s="22" t="s">
        <v>2109</v>
      </c>
    </row>
    <row r="540">
      <c r="A540" s="17" t="s">
        <v>2110</v>
      </c>
      <c r="B540" s="9"/>
      <c r="C540" s="25"/>
      <c r="D540" s="22" t="s">
        <v>2109</v>
      </c>
    </row>
    <row r="541">
      <c r="A541" s="17" t="s">
        <v>2111</v>
      </c>
      <c r="B541" s="9"/>
      <c r="C541" s="25"/>
      <c r="D541" s="22" t="s">
        <v>2109</v>
      </c>
    </row>
    <row r="542">
      <c r="A542" s="17" t="s">
        <v>2112</v>
      </c>
      <c r="B542" s="9"/>
      <c r="C542" s="25"/>
      <c r="D542" s="22" t="s">
        <v>2113</v>
      </c>
    </row>
    <row r="543">
      <c r="A543" s="17" t="s">
        <v>2114</v>
      </c>
      <c r="B543" s="9"/>
      <c r="C543" s="25"/>
      <c r="D543" s="22" t="s">
        <v>2113</v>
      </c>
    </row>
    <row r="544">
      <c r="A544" s="17" t="s">
        <v>2117</v>
      </c>
      <c r="B544" s="9"/>
      <c r="C544" s="25"/>
      <c r="D544" s="22" t="s">
        <v>2113</v>
      </c>
    </row>
    <row r="545">
      <c r="A545" s="17" t="s">
        <v>2121</v>
      </c>
      <c r="B545" s="9"/>
      <c r="C545" s="25"/>
      <c r="D545" s="22" t="s">
        <v>2124</v>
      </c>
    </row>
    <row r="546">
      <c r="A546" s="17" t="s">
        <v>2126</v>
      </c>
      <c r="B546" s="9"/>
      <c r="C546" s="25"/>
      <c r="D546" s="22" t="s">
        <v>2124</v>
      </c>
    </row>
    <row r="547">
      <c r="A547" s="17" t="s">
        <v>2129</v>
      </c>
      <c r="B547" s="9"/>
      <c r="C547" s="25"/>
      <c r="D547" s="22" t="s">
        <v>2124</v>
      </c>
    </row>
    <row r="548">
      <c r="A548" s="17" t="s">
        <v>2131</v>
      </c>
      <c r="B548" s="9"/>
      <c r="C548" s="25"/>
      <c r="D548" s="22" t="s">
        <v>2135</v>
      </c>
    </row>
    <row r="549">
      <c r="A549" s="17" t="s">
        <v>2137</v>
      </c>
      <c r="B549" s="9"/>
      <c r="C549" s="25"/>
      <c r="D549" s="22" t="s">
        <v>2135</v>
      </c>
    </row>
    <row r="550">
      <c r="A550" s="17" t="s">
        <v>2141</v>
      </c>
      <c r="B550" s="9"/>
      <c r="C550" s="25"/>
      <c r="D550" s="22" t="s">
        <v>2135</v>
      </c>
    </row>
    <row r="551">
      <c r="A551" s="17" t="s">
        <v>2144</v>
      </c>
      <c r="B551" s="9"/>
      <c r="C551" s="25"/>
      <c r="D551" s="99" t="s">
        <v>2103</v>
      </c>
    </row>
    <row r="552">
      <c r="A552" s="17" t="s">
        <v>2147</v>
      </c>
      <c r="B552" s="9"/>
      <c r="C552" s="25"/>
      <c r="D552" s="99" t="s">
        <v>2103</v>
      </c>
    </row>
    <row r="553">
      <c r="A553" s="17" t="s">
        <v>2149</v>
      </c>
      <c r="B553" s="9"/>
      <c r="C553" s="25"/>
      <c r="D553" s="99" t="s">
        <v>2103</v>
      </c>
    </row>
    <row r="554">
      <c r="A554" s="17" t="s">
        <v>2151</v>
      </c>
      <c r="B554" s="9"/>
      <c r="C554" s="25"/>
      <c r="D554" s="99" t="s">
        <v>2103</v>
      </c>
    </row>
    <row r="555">
      <c r="A555" s="17" t="s">
        <v>2154</v>
      </c>
      <c r="B555" s="9"/>
      <c r="C555" s="25"/>
      <c r="D555" s="99" t="s">
        <v>2103</v>
      </c>
    </row>
    <row r="556">
      <c r="A556" s="17" t="s">
        <v>2156</v>
      </c>
      <c r="B556" s="9"/>
      <c r="C556" s="25"/>
      <c r="D556" s="99" t="s">
        <v>2103</v>
      </c>
    </row>
    <row r="557">
      <c r="A557" s="17" t="s">
        <v>2158</v>
      </c>
      <c r="B557" s="9"/>
      <c r="C557" s="25"/>
      <c r="D557" s="22" t="s">
        <v>2161</v>
      </c>
    </row>
    <row r="558">
      <c r="A558" s="17" t="s">
        <v>2162</v>
      </c>
      <c r="B558" s="9"/>
      <c r="C558" s="25"/>
      <c r="D558" s="22" t="s">
        <v>2161</v>
      </c>
    </row>
    <row r="559">
      <c r="A559" s="17" t="s">
        <v>2165</v>
      </c>
      <c r="B559" s="9"/>
      <c r="C559" s="25"/>
      <c r="D559" s="22" t="s">
        <v>2161</v>
      </c>
    </row>
    <row r="560">
      <c r="A560" s="17" t="s">
        <v>2169</v>
      </c>
      <c r="B560" s="9"/>
      <c r="C560" s="25"/>
      <c r="D560" s="22" t="s">
        <v>2171</v>
      </c>
    </row>
    <row r="561">
      <c r="A561" s="17" t="s">
        <v>2172</v>
      </c>
      <c r="B561" s="9"/>
      <c r="C561" s="25"/>
      <c r="D561" s="22" t="s">
        <v>2171</v>
      </c>
    </row>
    <row r="562">
      <c r="A562" s="17" t="s">
        <v>2174</v>
      </c>
      <c r="B562" s="9"/>
      <c r="C562" s="25"/>
      <c r="D562" s="22" t="s">
        <v>2171</v>
      </c>
    </row>
    <row r="563">
      <c r="A563" s="17" t="s">
        <v>2177</v>
      </c>
      <c r="B563" s="9"/>
      <c r="C563" s="25"/>
      <c r="D563" s="22" t="s">
        <v>2179</v>
      </c>
    </row>
    <row r="564">
      <c r="A564" s="17" t="s">
        <v>2180</v>
      </c>
      <c r="B564" s="9"/>
      <c r="C564" s="25"/>
      <c r="D564" s="22" t="s">
        <v>2179</v>
      </c>
    </row>
    <row r="565">
      <c r="A565" s="17" t="s">
        <v>2182</v>
      </c>
      <c r="B565" s="9"/>
      <c r="C565" s="25"/>
      <c r="D565" s="22" t="s">
        <v>2179</v>
      </c>
    </row>
    <row r="566">
      <c r="A566" s="17" t="s">
        <v>2185</v>
      </c>
      <c r="B566" s="9"/>
      <c r="C566" s="25"/>
      <c r="D566" s="22" t="s">
        <v>2187</v>
      </c>
    </row>
    <row r="567">
      <c r="A567" s="17" t="s">
        <v>2189</v>
      </c>
      <c r="B567" s="9"/>
      <c r="C567" s="25"/>
      <c r="D567" s="22" t="s">
        <v>2187</v>
      </c>
    </row>
    <row r="568">
      <c r="A568" s="17" t="s">
        <v>2191</v>
      </c>
      <c r="B568" s="9"/>
      <c r="C568" s="25"/>
      <c r="D568" s="22" t="s">
        <v>2187</v>
      </c>
    </row>
    <row r="569">
      <c r="A569" s="17" t="s">
        <v>2193</v>
      </c>
      <c r="B569" s="9"/>
      <c r="C569" s="25"/>
      <c r="D569" s="22" t="s">
        <v>2194</v>
      </c>
    </row>
    <row r="570">
      <c r="A570" s="17" t="s">
        <v>2195</v>
      </c>
      <c r="B570" s="9"/>
      <c r="C570" s="25"/>
      <c r="D570" s="22" t="s">
        <v>2194</v>
      </c>
    </row>
    <row r="571">
      <c r="A571" s="17" t="s">
        <v>2197</v>
      </c>
      <c r="B571" s="9"/>
      <c r="C571" s="25"/>
      <c r="D571" s="22" t="s">
        <v>2194</v>
      </c>
    </row>
    <row r="572">
      <c r="A572" s="17" t="s">
        <v>2199</v>
      </c>
      <c r="B572" s="9"/>
      <c r="C572" s="25"/>
      <c r="D572" s="22" t="s">
        <v>2200</v>
      </c>
    </row>
    <row r="573">
      <c r="A573" s="17" t="s">
        <v>2202</v>
      </c>
      <c r="B573" s="9"/>
      <c r="C573" s="25"/>
      <c r="D573" s="22" t="s">
        <v>2200</v>
      </c>
    </row>
    <row r="574">
      <c r="A574" s="17" t="s">
        <v>2204</v>
      </c>
      <c r="B574" s="9"/>
      <c r="C574" s="25"/>
      <c r="D574" s="22" t="s">
        <v>2200</v>
      </c>
    </row>
    <row r="575">
      <c r="A575" s="17" t="s">
        <v>2205</v>
      </c>
      <c r="B575" s="9"/>
      <c r="C575" s="25"/>
      <c r="D575" s="22" t="s">
        <v>2206</v>
      </c>
    </row>
    <row r="576">
      <c r="A576" s="17" t="s">
        <v>2207</v>
      </c>
      <c r="B576" s="9"/>
      <c r="C576" s="25"/>
      <c r="D576" s="22" t="s">
        <v>2206</v>
      </c>
    </row>
    <row r="577">
      <c r="A577" s="17" t="s">
        <v>2208</v>
      </c>
      <c r="B577" s="9"/>
      <c r="C577" s="25"/>
      <c r="D577" s="22" t="s">
        <v>2206</v>
      </c>
    </row>
    <row r="578">
      <c r="A578" s="17" t="s">
        <v>2211</v>
      </c>
      <c r="B578" s="9"/>
      <c r="C578" s="25"/>
      <c r="D578" s="22" t="s">
        <v>2213</v>
      </c>
    </row>
    <row r="579">
      <c r="A579" s="17" t="s">
        <v>2216</v>
      </c>
      <c r="B579" s="9"/>
      <c r="C579" s="25"/>
      <c r="D579" s="22" t="s">
        <v>2213</v>
      </c>
    </row>
    <row r="580">
      <c r="A580" s="17" t="s">
        <v>2219</v>
      </c>
      <c r="B580" s="9"/>
      <c r="C580" s="25"/>
      <c r="D580" s="22" t="s">
        <v>2213</v>
      </c>
    </row>
    <row r="581">
      <c r="A581" s="17" t="s">
        <v>2220</v>
      </c>
      <c r="B581" s="9"/>
      <c r="C581" s="25"/>
      <c r="D581" s="22" t="s">
        <v>2223</v>
      </c>
    </row>
    <row r="582">
      <c r="A582" s="17" t="s">
        <v>2224</v>
      </c>
      <c r="B582" s="9"/>
      <c r="C582" s="25"/>
      <c r="D582" s="22" t="s">
        <v>2223</v>
      </c>
    </row>
    <row r="583">
      <c r="A583" s="17" t="s">
        <v>2226</v>
      </c>
      <c r="B583" s="9"/>
      <c r="C583" s="25"/>
      <c r="D583" s="22" t="s">
        <v>2223</v>
      </c>
    </row>
    <row r="584">
      <c r="A584" s="17" t="s">
        <v>2229</v>
      </c>
      <c r="B584" s="9"/>
      <c r="C584" s="25"/>
      <c r="D584" s="22" t="s">
        <v>2230</v>
      </c>
    </row>
    <row r="585">
      <c r="A585" s="17" t="s">
        <v>2232</v>
      </c>
      <c r="B585" s="9"/>
      <c r="C585" s="25"/>
      <c r="D585" s="22" t="s">
        <v>2230</v>
      </c>
    </row>
    <row r="586">
      <c r="A586" s="17" t="s">
        <v>2236</v>
      </c>
      <c r="B586" s="9"/>
      <c r="C586" s="25"/>
      <c r="D586" s="22" t="s">
        <v>2230</v>
      </c>
    </row>
    <row r="587">
      <c r="A587" s="17" t="s">
        <v>2238</v>
      </c>
      <c r="B587" s="9"/>
      <c r="C587" s="25"/>
      <c r="D587" s="22" t="s">
        <v>2239</v>
      </c>
    </row>
    <row r="588">
      <c r="A588" s="17" t="s">
        <v>2241</v>
      </c>
      <c r="B588" s="9"/>
      <c r="C588" s="25"/>
      <c r="D588" s="22" t="s">
        <v>2239</v>
      </c>
    </row>
    <row r="589">
      <c r="A589" s="17" t="s">
        <v>2243</v>
      </c>
      <c r="B589" s="9"/>
      <c r="C589" s="25"/>
      <c r="D589" s="22" t="s">
        <v>2239</v>
      </c>
    </row>
    <row r="590">
      <c r="A590" s="17" t="s">
        <v>2246</v>
      </c>
      <c r="B590" s="9"/>
      <c r="C590" s="25"/>
      <c r="D590" s="22" t="s">
        <v>2248</v>
      </c>
    </row>
    <row r="591">
      <c r="A591" s="17" t="s">
        <v>2249</v>
      </c>
      <c r="B591" s="9"/>
      <c r="C591" s="25"/>
      <c r="D591" s="22" t="s">
        <v>2248</v>
      </c>
    </row>
    <row r="592">
      <c r="A592" s="17" t="s">
        <v>2252</v>
      </c>
      <c r="B592" s="9"/>
      <c r="C592" s="25"/>
      <c r="D592" s="22" t="s">
        <v>2248</v>
      </c>
    </row>
    <row r="593">
      <c r="A593" s="17" t="s">
        <v>2254</v>
      </c>
      <c r="B593" s="9"/>
      <c r="C593" s="25"/>
      <c r="D593" s="22" t="s">
        <v>2255</v>
      </c>
    </row>
    <row r="594">
      <c r="A594" s="17" t="s">
        <v>2257</v>
      </c>
      <c r="B594" s="9"/>
      <c r="C594" s="25"/>
      <c r="D594" s="22" t="s">
        <v>2255</v>
      </c>
    </row>
    <row r="595">
      <c r="A595" s="17" t="s">
        <v>2261</v>
      </c>
      <c r="B595" s="9"/>
      <c r="C595" s="25"/>
      <c r="D595" s="22" t="s">
        <v>2255</v>
      </c>
    </row>
    <row r="596">
      <c r="A596" s="17" t="s">
        <v>2264</v>
      </c>
      <c r="B596" s="9"/>
      <c r="C596" s="25"/>
      <c r="D596" s="22" t="s">
        <v>2265</v>
      </c>
    </row>
    <row r="597">
      <c r="A597" s="17" t="s">
        <v>2268</v>
      </c>
      <c r="B597" s="9"/>
      <c r="C597" s="25"/>
      <c r="D597" s="22" t="s">
        <v>2265</v>
      </c>
    </row>
    <row r="598">
      <c r="A598" s="17" t="s">
        <v>2269</v>
      </c>
      <c r="B598" s="9"/>
      <c r="C598" s="25"/>
      <c r="D598" s="22" t="s">
        <v>2265</v>
      </c>
    </row>
    <row r="599">
      <c r="A599" s="17" t="s">
        <v>2271</v>
      </c>
      <c r="B599" s="9"/>
      <c r="C599" s="25"/>
      <c r="D599" s="22" t="s">
        <v>2273</v>
      </c>
    </row>
    <row r="600">
      <c r="A600" s="17" t="s">
        <v>2274</v>
      </c>
      <c r="B600" s="9"/>
      <c r="C600" s="25"/>
      <c r="D600" s="22" t="s">
        <v>2273</v>
      </c>
    </row>
    <row r="601">
      <c r="A601" s="17" t="s">
        <v>2276</v>
      </c>
      <c r="B601" s="9"/>
      <c r="C601" s="25"/>
      <c r="D601" s="22" t="s">
        <v>2273</v>
      </c>
    </row>
    <row r="602">
      <c r="A602" s="17" t="s">
        <v>2278</v>
      </c>
      <c r="B602" s="9"/>
      <c r="C602" s="25"/>
      <c r="D602" s="22" t="s">
        <v>2279</v>
      </c>
    </row>
    <row r="603">
      <c r="A603" s="17" t="s">
        <v>2281</v>
      </c>
      <c r="B603" s="9"/>
      <c r="C603" s="25"/>
      <c r="D603" s="22" t="s">
        <v>2279</v>
      </c>
    </row>
    <row r="604">
      <c r="A604" s="17" t="s">
        <v>2284</v>
      </c>
      <c r="B604" s="9"/>
      <c r="C604" s="25"/>
      <c r="D604" s="22" t="s">
        <v>2279</v>
      </c>
    </row>
    <row r="605">
      <c r="A605" s="17" t="s">
        <v>2286</v>
      </c>
      <c r="B605" s="9"/>
      <c r="C605" s="25"/>
      <c r="D605" s="22" t="s">
        <v>2288</v>
      </c>
    </row>
    <row r="606">
      <c r="A606" s="17" t="s">
        <v>2290</v>
      </c>
      <c r="B606" s="9"/>
      <c r="C606" s="25"/>
      <c r="D606" s="22" t="s">
        <v>2288</v>
      </c>
    </row>
    <row r="607">
      <c r="A607" s="17" t="s">
        <v>2293</v>
      </c>
      <c r="B607" s="9"/>
      <c r="C607" s="25"/>
      <c r="D607" s="22" t="s">
        <v>2288</v>
      </c>
    </row>
    <row r="608">
      <c r="A608" s="17" t="s">
        <v>2295</v>
      </c>
      <c r="B608" s="9"/>
      <c r="C608" s="25"/>
      <c r="D608" s="22" t="s">
        <v>2297</v>
      </c>
    </row>
    <row r="609">
      <c r="A609" s="17" t="s">
        <v>2298</v>
      </c>
      <c r="B609" s="9"/>
      <c r="C609" s="25"/>
      <c r="D609" s="22" t="s">
        <v>2297</v>
      </c>
    </row>
    <row r="610">
      <c r="A610" s="17" t="s">
        <v>2300</v>
      </c>
      <c r="B610" s="9"/>
      <c r="C610" s="25"/>
      <c r="D610" s="22" t="s">
        <v>2297</v>
      </c>
    </row>
    <row r="611">
      <c r="A611" s="17" t="s">
        <v>2302</v>
      </c>
      <c r="B611" s="9"/>
      <c r="C611" s="25"/>
      <c r="D611" s="22" t="s">
        <v>2303</v>
      </c>
    </row>
    <row r="612">
      <c r="A612" s="17" t="s">
        <v>2304</v>
      </c>
      <c r="B612" s="9"/>
      <c r="C612" s="25"/>
      <c r="D612" s="22" t="s">
        <v>2303</v>
      </c>
    </row>
    <row r="613">
      <c r="A613" s="17" t="s">
        <v>2306</v>
      </c>
      <c r="B613" s="9"/>
      <c r="C613" s="25"/>
      <c r="D613" s="22" t="s">
        <v>2303</v>
      </c>
    </row>
    <row r="614">
      <c r="A614" s="17" t="s">
        <v>2308</v>
      </c>
      <c r="B614" s="9"/>
      <c r="C614" s="25"/>
      <c r="D614" s="22" t="s">
        <v>2310</v>
      </c>
    </row>
    <row r="615">
      <c r="A615" s="17" t="s">
        <v>2313</v>
      </c>
      <c r="B615" s="9"/>
      <c r="C615" s="25"/>
      <c r="D615" s="22" t="s">
        <v>2310</v>
      </c>
    </row>
    <row r="616">
      <c r="A616" s="17" t="s">
        <v>2317</v>
      </c>
      <c r="B616" s="9"/>
      <c r="C616" s="25"/>
      <c r="D616" s="22" t="s">
        <v>2310</v>
      </c>
    </row>
    <row r="617">
      <c r="A617" s="17" t="s">
        <v>2319</v>
      </c>
      <c r="B617" s="9"/>
      <c r="C617" s="25"/>
      <c r="D617" s="22" t="s">
        <v>2321</v>
      </c>
    </row>
    <row r="618">
      <c r="A618" s="17" t="s">
        <v>2323</v>
      </c>
      <c r="B618" s="9"/>
      <c r="C618" s="25"/>
      <c r="D618" s="22" t="s">
        <v>2321</v>
      </c>
    </row>
    <row r="619">
      <c r="A619" s="17" t="s">
        <v>2324</v>
      </c>
      <c r="B619" s="9"/>
      <c r="C619" s="25"/>
      <c r="D619" s="22" t="s">
        <v>2321</v>
      </c>
    </row>
    <row r="620">
      <c r="A620" s="17" t="s">
        <v>2325</v>
      </c>
      <c r="B620" s="9"/>
      <c r="C620" s="25"/>
      <c r="D620" s="22" t="s">
        <v>2326</v>
      </c>
    </row>
    <row r="621">
      <c r="A621" s="17" t="s">
        <v>2327</v>
      </c>
      <c r="B621" s="9"/>
      <c r="C621" s="25"/>
      <c r="D621" s="22" t="s">
        <v>2326</v>
      </c>
    </row>
    <row r="622">
      <c r="A622" s="17" t="s">
        <v>2328</v>
      </c>
      <c r="B622" s="9"/>
      <c r="C622" s="25"/>
      <c r="D622" s="22" t="s">
        <v>2326</v>
      </c>
    </row>
    <row r="623">
      <c r="A623" s="17" t="s">
        <v>2329</v>
      </c>
      <c r="B623" s="9"/>
      <c r="C623" s="25"/>
      <c r="D623" s="22" t="s">
        <v>2331</v>
      </c>
    </row>
    <row r="624">
      <c r="A624" s="17" t="s">
        <v>2332</v>
      </c>
      <c r="B624" s="9"/>
      <c r="C624" s="25"/>
      <c r="D624" s="22" t="s">
        <v>2331</v>
      </c>
    </row>
    <row r="625">
      <c r="A625" s="17" t="s">
        <v>2334</v>
      </c>
      <c r="B625" s="9"/>
      <c r="C625" s="25"/>
      <c r="D625" s="22" t="s">
        <v>2331</v>
      </c>
    </row>
    <row r="626">
      <c r="A626" s="17" t="s">
        <v>2335</v>
      </c>
      <c r="B626" s="9"/>
      <c r="C626" s="25"/>
      <c r="D626" s="22" t="s">
        <v>2336</v>
      </c>
    </row>
    <row r="627">
      <c r="A627" s="17" t="s">
        <v>2337</v>
      </c>
      <c r="B627" s="9"/>
      <c r="C627" s="25"/>
      <c r="D627" s="22" t="s">
        <v>2336</v>
      </c>
    </row>
    <row r="628">
      <c r="A628" s="17" t="s">
        <v>2338</v>
      </c>
      <c r="B628" s="9"/>
      <c r="C628" s="25"/>
      <c r="D628" s="22" t="s">
        <v>2336</v>
      </c>
    </row>
    <row r="629">
      <c r="A629" s="17" t="s">
        <v>2339</v>
      </c>
      <c r="B629" s="9"/>
      <c r="C629" s="25"/>
      <c r="D629" s="22" t="s">
        <v>2340</v>
      </c>
    </row>
    <row r="630">
      <c r="A630" s="17" t="s">
        <v>2341</v>
      </c>
      <c r="B630" s="9"/>
      <c r="C630" s="25"/>
      <c r="D630" s="22" t="s">
        <v>2340</v>
      </c>
    </row>
    <row r="631">
      <c r="A631" s="17" t="s">
        <v>2342</v>
      </c>
      <c r="B631" s="9"/>
      <c r="C631" s="25"/>
      <c r="D631" s="22" t="s">
        <v>2340</v>
      </c>
    </row>
    <row r="632">
      <c r="A632" s="17" t="s">
        <v>2343</v>
      </c>
      <c r="B632" s="9"/>
      <c r="C632" s="25"/>
      <c r="D632" s="22" t="s">
        <v>2344</v>
      </c>
    </row>
    <row r="633">
      <c r="A633" s="17" t="s">
        <v>2345</v>
      </c>
      <c r="B633" s="9"/>
      <c r="C633" s="25"/>
      <c r="D633" s="22" t="s">
        <v>2344</v>
      </c>
    </row>
    <row r="634">
      <c r="A634" s="17" t="s">
        <v>2346</v>
      </c>
      <c r="B634" s="9"/>
      <c r="C634" s="25"/>
      <c r="D634" s="22" t="s">
        <v>2344</v>
      </c>
    </row>
    <row r="635">
      <c r="A635" s="17" t="s">
        <v>2348</v>
      </c>
      <c r="B635" s="9"/>
      <c r="C635" s="25"/>
      <c r="D635" s="22" t="s">
        <v>2349</v>
      </c>
    </row>
    <row r="636">
      <c r="A636" s="17" t="s">
        <v>2351</v>
      </c>
      <c r="B636" s="9"/>
      <c r="C636" s="25"/>
      <c r="D636" s="22" t="s">
        <v>2349</v>
      </c>
    </row>
    <row r="637">
      <c r="A637" s="17" t="s">
        <v>2352</v>
      </c>
      <c r="B637" s="9"/>
      <c r="C637" s="25"/>
      <c r="D637" s="22" t="s">
        <v>2349</v>
      </c>
    </row>
    <row r="638">
      <c r="A638" s="17" t="s">
        <v>2353</v>
      </c>
      <c r="B638" s="9"/>
      <c r="C638" s="25"/>
      <c r="D638" s="22" t="s">
        <v>2354</v>
      </c>
    </row>
    <row r="639">
      <c r="A639" s="17" t="s">
        <v>2355</v>
      </c>
      <c r="B639" s="9"/>
      <c r="C639" s="25"/>
      <c r="D639" s="22" t="s">
        <v>2354</v>
      </c>
    </row>
    <row r="640">
      <c r="A640" s="17" t="s">
        <v>2356</v>
      </c>
      <c r="B640" s="9"/>
      <c r="C640" s="25"/>
      <c r="D640" s="22" t="s">
        <v>2354</v>
      </c>
    </row>
    <row r="641">
      <c r="A641" s="17" t="s">
        <v>2357</v>
      </c>
      <c r="B641" s="9"/>
      <c r="C641" s="25"/>
      <c r="D641" s="22" t="s">
        <v>2358</v>
      </c>
    </row>
    <row r="642">
      <c r="A642" s="17" t="s">
        <v>2359</v>
      </c>
      <c r="B642" s="9"/>
      <c r="C642" s="25"/>
      <c r="D642" s="22" t="s">
        <v>2358</v>
      </c>
    </row>
    <row r="643">
      <c r="A643" s="17" t="s">
        <v>2360</v>
      </c>
      <c r="B643" s="9"/>
      <c r="C643" s="25"/>
      <c r="D643" s="22" t="s">
        <v>2358</v>
      </c>
    </row>
    <row r="644">
      <c r="A644" s="17" t="s">
        <v>2361</v>
      </c>
      <c r="B644" s="9"/>
      <c r="C644" s="25"/>
      <c r="D644" s="22" t="s">
        <v>2362</v>
      </c>
    </row>
    <row r="645">
      <c r="A645" s="17" t="s">
        <v>2363</v>
      </c>
      <c r="B645" s="9"/>
      <c r="C645" s="25"/>
      <c r="D645" s="22" t="s">
        <v>2362</v>
      </c>
    </row>
    <row r="646">
      <c r="A646" s="17" t="s">
        <v>2364</v>
      </c>
      <c r="B646" s="9"/>
      <c r="C646" s="25"/>
      <c r="D646" s="22" t="s">
        <v>2362</v>
      </c>
    </row>
    <row r="647">
      <c r="A647" s="17" t="s">
        <v>2366</v>
      </c>
      <c r="B647" s="9"/>
      <c r="C647" s="25"/>
      <c r="D647" s="22" t="s">
        <v>2367</v>
      </c>
    </row>
    <row r="648">
      <c r="A648" s="17" t="s">
        <v>2369</v>
      </c>
      <c r="B648" s="9"/>
      <c r="C648" s="25"/>
      <c r="D648" s="22" t="s">
        <v>2367</v>
      </c>
    </row>
    <row r="649">
      <c r="A649" s="17" t="s">
        <v>2370</v>
      </c>
      <c r="B649" s="9"/>
      <c r="C649" s="25"/>
      <c r="D649" s="22" t="s">
        <v>2367</v>
      </c>
    </row>
    <row r="650">
      <c r="A650" s="17" t="s">
        <v>2371</v>
      </c>
      <c r="B650" s="9"/>
      <c r="C650" s="25"/>
      <c r="D650" s="22" t="s">
        <v>2372</v>
      </c>
    </row>
    <row r="651">
      <c r="A651" s="17" t="s">
        <v>2373</v>
      </c>
      <c r="B651" s="9"/>
      <c r="C651" s="25"/>
      <c r="D651" s="22" t="s">
        <v>2372</v>
      </c>
    </row>
    <row r="652">
      <c r="A652" s="17" t="s">
        <v>2374</v>
      </c>
      <c r="B652" s="9"/>
      <c r="C652" s="25"/>
      <c r="D652" s="22" t="s">
        <v>2372</v>
      </c>
    </row>
    <row r="653">
      <c r="A653" s="17" t="s">
        <v>2375</v>
      </c>
      <c r="B653" s="9"/>
      <c r="C653" s="25"/>
      <c r="D653" s="22" t="s">
        <v>2376</v>
      </c>
    </row>
    <row r="654">
      <c r="A654" s="17" t="s">
        <v>2377</v>
      </c>
      <c r="B654" s="9"/>
      <c r="C654" s="25"/>
      <c r="D654" s="22" t="s">
        <v>2376</v>
      </c>
    </row>
    <row r="655">
      <c r="A655" s="17" t="s">
        <v>2378</v>
      </c>
      <c r="B655" s="9"/>
      <c r="C655" s="25"/>
      <c r="D655" s="22" t="s">
        <v>2376</v>
      </c>
    </row>
    <row r="656">
      <c r="A656" s="17" t="s">
        <v>2379</v>
      </c>
      <c r="B656" s="9"/>
      <c r="C656" s="25"/>
      <c r="D656" s="22" t="s">
        <v>2380</v>
      </c>
    </row>
    <row r="657">
      <c r="A657" s="17" t="s">
        <v>2381</v>
      </c>
      <c r="B657" s="9"/>
      <c r="C657" s="25"/>
      <c r="D657" s="22" t="s">
        <v>2380</v>
      </c>
    </row>
    <row r="658">
      <c r="A658" s="17" t="s">
        <v>2382</v>
      </c>
      <c r="B658" s="9"/>
      <c r="C658" s="25"/>
      <c r="D658" s="22" t="s">
        <v>2380</v>
      </c>
    </row>
    <row r="659">
      <c r="A659" s="17" t="s">
        <v>2384</v>
      </c>
      <c r="B659" s="9"/>
      <c r="C659" s="25"/>
      <c r="D659" s="22" t="s">
        <v>2386</v>
      </c>
    </row>
    <row r="660">
      <c r="A660" s="17" t="s">
        <v>2387</v>
      </c>
      <c r="B660" s="9"/>
      <c r="C660" s="25"/>
      <c r="D660" s="22" t="s">
        <v>2386</v>
      </c>
    </row>
    <row r="661">
      <c r="A661" s="17" t="s">
        <v>2388</v>
      </c>
      <c r="B661" s="9"/>
      <c r="C661" s="25"/>
      <c r="D661" s="22" t="s">
        <v>2386</v>
      </c>
    </row>
    <row r="662">
      <c r="A662" s="17" t="s">
        <v>2389</v>
      </c>
      <c r="B662" s="9"/>
      <c r="C662" s="25"/>
      <c r="D662" s="22" t="s">
        <v>2390</v>
      </c>
    </row>
    <row r="663">
      <c r="A663" s="17" t="s">
        <v>2391</v>
      </c>
      <c r="B663" s="9"/>
      <c r="C663" s="25"/>
      <c r="D663" s="22" t="s">
        <v>2390</v>
      </c>
    </row>
    <row r="664">
      <c r="A664" s="17" t="s">
        <v>2392</v>
      </c>
      <c r="B664" s="9"/>
      <c r="C664" s="25"/>
      <c r="D664" s="22" t="s">
        <v>2390</v>
      </c>
    </row>
    <row r="665">
      <c r="A665" s="17" t="s">
        <v>2393</v>
      </c>
      <c r="B665" s="9"/>
      <c r="C665" s="25"/>
      <c r="D665" s="22" t="s">
        <v>2394</v>
      </c>
    </row>
    <row r="666">
      <c r="A666" s="17" t="s">
        <v>2395</v>
      </c>
      <c r="B666" s="9"/>
      <c r="C666" s="25"/>
      <c r="D666" s="22" t="s">
        <v>2394</v>
      </c>
    </row>
    <row r="667">
      <c r="A667" s="17" t="s">
        <v>2396</v>
      </c>
      <c r="B667" s="9"/>
      <c r="C667" s="25"/>
      <c r="D667" s="22" t="s">
        <v>2394</v>
      </c>
    </row>
    <row r="668">
      <c r="A668" s="17" t="s">
        <v>2397</v>
      </c>
      <c r="B668" s="9"/>
      <c r="C668" s="25"/>
      <c r="D668" s="22" t="s">
        <v>2399</v>
      </c>
    </row>
    <row r="669">
      <c r="A669" s="17" t="s">
        <v>2400</v>
      </c>
      <c r="B669" s="9"/>
      <c r="C669" s="25"/>
      <c r="D669" s="22" t="s">
        <v>2399</v>
      </c>
    </row>
    <row r="670">
      <c r="A670" s="17" t="s">
        <v>2402</v>
      </c>
      <c r="B670" s="9"/>
      <c r="C670" s="25"/>
      <c r="D670" s="22" t="s">
        <v>2399</v>
      </c>
    </row>
    <row r="671">
      <c r="A671" s="17" t="s">
        <v>2403</v>
      </c>
      <c r="B671" s="9"/>
      <c r="C671" s="25"/>
      <c r="D671" s="22" t="s">
        <v>2404</v>
      </c>
    </row>
    <row r="672">
      <c r="A672" s="17" t="s">
        <v>2405</v>
      </c>
      <c r="B672" s="9"/>
      <c r="C672" s="25"/>
      <c r="D672" s="22" t="s">
        <v>2404</v>
      </c>
    </row>
    <row r="673">
      <c r="A673" s="17" t="s">
        <v>2406</v>
      </c>
      <c r="B673" s="9"/>
      <c r="C673" s="25"/>
      <c r="D673" s="22" t="s">
        <v>2404</v>
      </c>
    </row>
    <row r="674">
      <c r="A674" s="17" t="s">
        <v>2407</v>
      </c>
      <c r="B674" s="9"/>
      <c r="C674" s="25"/>
      <c r="D674" s="22" t="s">
        <v>2408</v>
      </c>
    </row>
    <row r="675">
      <c r="A675" s="17" t="s">
        <v>2409</v>
      </c>
      <c r="B675" s="9"/>
      <c r="C675" s="25"/>
      <c r="D675" s="22" t="s">
        <v>2408</v>
      </c>
    </row>
    <row r="676">
      <c r="A676" s="17" t="s">
        <v>2410</v>
      </c>
      <c r="B676" s="9"/>
      <c r="C676" s="25"/>
      <c r="D676" s="22" t="s">
        <v>2408</v>
      </c>
    </row>
    <row r="677">
      <c r="A677" s="17" t="s">
        <v>2411</v>
      </c>
      <c r="B677" s="9"/>
      <c r="C677" s="25"/>
      <c r="D677" s="22" t="s">
        <v>2412</v>
      </c>
    </row>
    <row r="678">
      <c r="A678" s="17" t="s">
        <v>2413</v>
      </c>
      <c r="B678" s="9"/>
      <c r="C678" s="25"/>
      <c r="D678" s="22" t="s">
        <v>2412</v>
      </c>
    </row>
    <row r="679">
      <c r="A679" s="17" t="s">
        <v>2414</v>
      </c>
      <c r="B679" s="9"/>
      <c r="C679" s="25"/>
      <c r="D679" s="22" t="s">
        <v>2412</v>
      </c>
    </row>
    <row r="680">
      <c r="A680" s="17" t="s">
        <v>2415</v>
      </c>
      <c r="B680" s="9"/>
      <c r="C680" s="25"/>
      <c r="D680" s="22" t="s">
        <v>2416</v>
      </c>
    </row>
    <row r="681">
      <c r="A681" s="17" t="s">
        <v>2417</v>
      </c>
      <c r="B681" s="9"/>
      <c r="C681" s="25"/>
      <c r="D681" s="22" t="s">
        <v>2416</v>
      </c>
    </row>
    <row r="682">
      <c r="A682" s="17" t="s">
        <v>2418</v>
      </c>
      <c r="B682" s="9"/>
      <c r="C682" s="25"/>
      <c r="D682" s="22" t="s">
        <v>2416</v>
      </c>
    </row>
    <row r="683">
      <c r="A683" s="17" t="s">
        <v>2419</v>
      </c>
      <c r="B683" s="9"/>
      <c r="C683" s="25"/>
      <c r="D683" s="22" t="s">
        <v>2420</v>
      </c>
    </row>
    <row r="684">
      <c r="A684" s="17" t="s">
        <v>2421</v>
      </c>
      <c r="B684" s="9"/>
      <c r="C684" s="25"/>
      <c r="D684" s="22" t="s">
        <v>2420</v>
      </c>
    </row>
    <row r="685">
      <c r="A685" s="17" t="s">
        <v>2422</v>
      </c>
      <c r="B685" s="9"/>
      <c r="C685" s="25"/>
      <c r="D685" s="22" t="s">
        <v>2420</v>
      </c>
    </row>
    <row r="686">
      <c r="A686" s="17" t="s">
        <v>2423</v>
      </c>
      <c r="B686" s="9"/>
      <c r="C686" s="25"/>
      <c r="D686" s="22" t="s">
        <v>2424</v>
      </c>
    </row>
    <row r="687">
      <c r="A687" s="17" t="s">
        <v>2425</v>
      </c>
      <c r="B687" s="9"/>
      <c r="C687" s="25"/>
      <c r="D687" s="22" t="s">
        <v>2424</v>
      </c>
    </row>
    <row r="688">
      <c r="A688" s="17" t="s">
        <v>2426</v>
      </c>
      <c r="B688" s="9"/>
      <c r="C688" s="25"/>
      <c r="D688" s="22" t="s">
        <v>2424</v>
      </c>
    </row>
    <row r="689">
      <c r="A689" s="17" t="s">
        <v>2428</v>
      </c>
      <c r="B689" s="9"/>
      <c r="C689" s="25"/>
      <c r="D689" s="22" t="s">
        <v>2429</v>
      </c>
    </row>
    <row r="690">
      <c r="A690" s="17" t="s">
        <v>2431</v>
      </c>
      <c r="B690" s="9"/>
      <c r="C690" s="25"/>
      <c r="D690" s="22" t="s">
        <v>2429</v>
      </c>
    </row>
    <row r="691">
      <c r="A691" s="17" t="s">
        <v>2432</v>
      </c>
      <c r="B691" s="9"/>
      <c r="C691" s="25"/>
      <c r="D691" s="22" t="s">
        <v>2429</v>
      </c>
    </row>
    <row r="692">
      <c r="A692" s="17" t="s">
        <v>2433</v>
      </c>
      <c r="B692" s="9"/>
      <c r="C692" s="25"/>
      <c r="D692" s="22" t="s">
        <v>2434</v>
      </c>
    </row>
    <row r="693">
      <c r="A693" s="17" t="s">
        <v>2435</v>
      </c>
      <c r="B693" s="9"/>
      <c r="C693" s="25"/>
      <c r="D693" s="22" t="s">
        <v>2434</v>
      </c>
    </row>
    <row r="694">
      <c r="A694" s="17" t="s">
        <v>2436</v>
      </c>
      <c r="B694" s="9"/>
      <c r="C694" s="25"/>
      <c r="D694" s="22" t="s">
        <v>2434</v>
      </c>
    </row>
    <row r="695">
      <c r="A695" s="17" t="s">
        <v>2437</v>
      </c>
      <c r="B695" s="9"/>
      <c r="C695" s="25"/>
      <c r="D695" s="22" t="s">
        <v>2438</v>
      </c>
    </row>
    <row r="696">
      <c r="A696" s="17" t="s">
        <v>2439</v>
      </c>
      <c r="B696" s="9"/>
      <c r="C696" s="25"/>
      <c r="D696" s="22" t="s">
        <v>2438</v>
      </c>
    </row>
    <row r="697">
      <c r="A697" s="17" t="s">
        <v>2440</v>
      </c>
      <c r="B697" s="9"/>
      <c r="C697" s="25"/>
      <c r="D697" s="22" t="s">
        <v>2438</v>
      </c>
    </row>
    <row r="698">
      <c r="A698" s="17" t="s">
        <v>2441</v>
      </c>
      <c r="B698" s="9"/>
      <c r="C698" s="25"/>
      <c r="D698" s="22" t="s">
        <v>2442</v>
      </c>
    </row>
    <row r="699">
      <c r="A699" s="17" t="s">
        <v>2443</v>
      </c>
      <c r="B699" s="9"/>
      <c r="C699" s="25"/>
      <c r="D699" s="22" t="s">
        <v>2442</v>
      </c>
    </row>
    <row r="700">
      <c r="A700" s="17" t="s">
        <v>2444</v>
      </c>
      <c r="B700" s="9"/>
      <c r="C700" s="25"/>
      <c r="D700" s="22" t="s">
        <v>2442</v>
      </c>
    </row>
    <row r="701">
      <c r="A701" s="17" t="s">
        <v>2445</v>
      </c>
      <c r="B701" s="9"/>
      <c r="C701" s="25"/>
      <c r="D701" s="22" t="s">
        <v>2446</v>
      </c>
    </row>
    <row r="702">
      <c r="A702" s="17" t="s">
        <v>2447</v>
      </c>
      <c r="B702" s="9"/>
      <c r="C702" s="25"/>
      <c r="D702" s="22" t="s">
        <v>2446</v>
      </c>
    </row>
    <row r="703">
      <c r="A703" s="17" t="s">
        <v>2448</v>
      </c>
      <c r="B703" s="9"/>
      <c r="C703" s="25"/>
      <c r="D703" s="22" t="s">
        <v>2446</v>
      </c>
    </row>
    <row r="704">
      <c r="A704" s="17" t="s">
        <v>2449</v>
      </c>
      <c r="B704" s="9"/>
      <c r="C704" s="25"/>
      <c r="D704" s="22" t="s">
        <v>2450</v>
      </c>
    </row>
    <row r="705">
      <c r="A705" s="17" t="s">
        <v>2451</v>
      </c>
      <c r="B705" s="9"/>
      <c r="C705" s="25"/>
      <c r="D705" s="22" t="s">
        <v>2450</v>
      </c>
    </row>
    <row r="706">
      <c r="A706" s="17" t="s">
        <v>2452</v>
      </c>
      <c r="B706" s="9"/>
      <c r="C706" s="25"/>
      <c r="D706" s="22" t="s">
        <v>2450</v>
      </c>
    </row>
    <row r="707">
      <c r="A707" s="17" t="s">
        <v>2453</v>
      </c>
      <c r="B707" s="9"/>
      <c r="C707" s="25"/>
      <c r="D707" s="22" t="s">
        <v>2454</v>
      </c>
    </row>
    <row r="708">
      <c r="A708" s="17" t="s">
        <v>2455</v>
      </c>
      <c r="B708" s="9"/>
      <c r="C708" s="25"/>
      <c r="D708" s="22" t="s">
        <v>2454</v>
      </c>
    </row>
    <row r="709">
      <c r="A709" s="17" t="s">
        <v>2458</v>
      </c>
      <c r="B709" s="9"/>
      <c r="C709" s="25"/>
      <c r="D709" s="22" t="s">
        <v>2454</v>
      </c>
    </row>
    <row r="710">
      <c r="A710" s="17" t="s">
        <v>2459</v>
      </c>
      <c r="B710" s="9"/>
      <c r="C710" s="25"/>
      <c r="D710" s="22" t="s">
        <v>2460</v>
      </c>
    </row>
    <row r="711">
      <c r="A711" s="17" t="s">
        <v>2461</v>
      </c>
      <c r="B711" s="9"/>
      <c r="C711" s="25"/>
      <c r="D711" s="22" t="s">
        <v>2460</v>
      </c>
    </row>
    <row r="712">
      <c r="A712" s="17" t="s">
        <v>2462</v>
      </c>
      <c r="B712" s="9"/>
      <c r="C712" s="25"/>
      <c r="D712" s="22" t="s">
        <v>2460</v>
      </c>
    </row>
    <row r="713">
      <c r="A713" s="17" t="s">
        <v>2463</v>
      </c>
      <c r="B713" s="9"/>
      <c r="C713" s="25"/>
      <c r="D713" s="22" t="s">
        <v>2464</v>
      </c>
    </row>
    <row r="714">
      <c r="A714" s="17" t="s">
        <v>2465</v>
      </c>
      <c r="B714" s="9"/>
      <c r="C714" s="25"/>
      <c r="D714" s="22" t="s">
        <v>2464</v>
      </c>
    </row>
    <row r="715">
      <c r="A715" s="17" t="s">
        <v>2467</v>
      </c>
      <c r="B715" s="9"/>
      <c r="C715" s="25"/>
      <c r="D715" s="22" t="s">
        <v>2464</v>
      </c>
    </row>
    <row r="716">
      <c r="A716" s="17" t="s">
        <v>2469</v>
      </c>
      <c r="B716" s="9"/>
      <c r="C716" s="25"/>
      <c r="D716" s="22" t="s">
        <v>2470</v>
      </c>
    </row>
    <row r="717">
      <c r="A717" s="17" t="s">
        <v>2471</v>
      </c>
      <c r="B717" s="9"/>
      <c r="C717" s="25"/>
      <c r="D717" s="22" t="s">
        <v>2470</v>
      </c>
    </row>
    <row r="718">
      <c r="A718" s="17" t="s">
        <v>2472</v>
      </c>
      <c r="B718" s="9"/>
      <c r="C718" s="25"/>
      <c r="D718" s="22" t="s">
        <v>2470</v>
      </c>
    </row>
    <row r="719">
      <c r="A719" s="17" t="s">
        <v>2473</v>
      </c>
      <c r="B719" s="9"/>
      <c r="C719" s="25"/>
      <c r="D719" s="22" t="s">
        <v>2474</v>
      </c>
    </row>
    <row r="720">
      <c r="A720" s="17" t="s">
        <v>2475</v>
      </c>
      <c r="B720" s="9"/>
      <c r="C720" s="25"/>
      <c r="D720" s="22" t="s">
        <v>2474</v>
      </c>
    </row>
    <row r="721">
      <c r="A721" s="17" t="s">
        <v>2476</v>
      </c>
      <c r="B721" s="9"/>
      <c r="C721" s="25"/>
      <c r="D721" s="22" t="s">
        <v>2474</v>
      </c>
    </row>
    <row r="722">
      <c r="A722" s="17" t="s">
        <v>2478</v>
      </c>
      <c r="B722" s="9"/>
      <c r="C722" s="25"/>
      <c r="D722" s="22" t="s">
        <v>2480</v>
      </c>
    </row>
    <row r="723">
      <c r="A723" s="17" t="s">
        <v>2481</v>
      </c>
      <c r="B723" s="9"/>
      <c r="C723" s="25"/>
      <c r="D723" s="22" t="s">
        <v>2480</v>
      </c>
    </row>
    <row r="724">
      <c r="A724" s="17" t="s">
        <v>2482</v>
      </c>
      <c r="B724" s="9"/>
      <c r="C724" s="25"/>
      <c r="D724" s="22" t="s">
        <v>2480</v>
      </c>
    </row>
    <row r="725">
      <c r="A725" s="17" t="s">
        <v>2483</v>
      </c>
      <c r="B725" s="9"/>
      <c r="C725" s="25"/>
      <c r="D725" s="22" t="s">
        <v>2484</v>
      </c>
    </row>
    <row r="726">
      <c r="A726" s="17" t="s">
        <v>2485</v>
      </c>
      <c r="B726" s="9"/>
      <c r="C726" s="25"/>
      <c r="D726" s="22" t="s">
        <v>2484</v>
      </c>
    </row>
    <row r="727">
      <c r="A727" s="17" t="s">
        <v>2486</v>
      </c>
      <c r="B727" s="9"/>
      <c r="C727" s="25"/>
      <c r="D727" s="22" t="s">
        <v>2484</v>
      </c>
    </row>
    <row r="728">
      <c r="A728" s="17" t="s">
        <v>2487</v>
      </c>
      <c r="B728" s="9"/>
      <c r="C728" s="25"/>
      <c r="D728" s="22" t="s">
        <v>2488</v>
      </c>
    </row>
    <row r="729">
      <c r="A729" s="17" t="s">
        <v>2489</v>
      </c>
      <c r="B729" s="9"/>
      <c r="C729" s="25"/>
      <c r="D729" s="22" t="s">
        <v>2488</v>
      </c>
    </row>
    <row r="730">
      <c r="A730" s="17" t="s">
        <v>2490</v>
      </c>
      <c r="B730" s="9"/>
      <c r="C730" s="25"/>
      <c r="D730" s="22" t="s">
        <v>2488</v>
      </c>
    </row>
    <row r="731">
      <c r="A731" s="17" t="s">
        <v>2491</v>
      </c>
      <c r="B731" s="9"/>
      <c r="C731" s="25"/>
      <c r="D731" s="22" t="s">
        <v>2492</v>
      </c>
    </row>
    <row r="732">
      <c r="A732" s="17" t="s">
        <v>2493</v>
      </c>
      <c r="B732" s="9"/>
      <c r="C732" s="25"/>
      <c r="D732" s="22" t="s">
        <v>2492</v>
      </c>
    </row>
    <row r="733">
      <c r="A733" s="17" t="s">
        <v>2494</v>
      </c>
      <c r="B733" s="9"/>
      <c r="C733" s="25"/>
      <c r="D733" s="22" t="s">
        <v>2492</v>
      </c>
    </row>
    <row r="734">
      <c r="A734" s="17" t="s">
        <v>2497</v>
      </c>
      <c r="B734" s="9"/>
      <c r="C734" s="25"/>
      <c r="D734" s="22" t="s">
        <v>2498</v>
      </c>
    </row>
    <row r="735">
      <c r="A735" s="17" t="s">
        <v>2499</v>
      </c>
      <c r="B735" s="9"/>
      <c r="C735" s="25"/>
      <c r="D735" s="22" t="s">
        <v>2498</v>
      </c>
    </row>
    <row r="736">
      <c r="A736" s="17" t="s">
        <v>2500</v>
      </c>
      <c r="B736" s="9"/>
      <c r="C736" s="25"/>
      <c r="D736" s="22" t="s">
        <v>2498</v>
      </c>
    </row>
    <row r="737">
      <c r="A737" s="17" t="s">
        <v>2501</v>
      </c>
      <c r="B737" s="9"/>
      <c r="C737" s="25"/>
      <c r="D737" s="22" t="s">
        <v>2502</v>
      </c>
    </row>
    <row r="738">
      <c r="A738" s="17" t="s">
        <v>2503</v>
      </c>
      <c r="B738" s="9"/>
      <c r="C738" s="25"/>
      <c r="D738" s="22" t="s">
        <v>2502</v>
      </c>
    </row>
    <row r="739">
      <c r="A739" s="17" t="s">
        <v>2504</v>
      </c>
      <c r="B739" s="9"/>
      <c r="C739" s="25"/>
      <c r="D739" s="22" t="s">
        <v>2502</v>
      </c>
    </row>
    <row r="740">
      <c r="A740" s="17" t="s">
        <v>2505</v>
      </c>
      <c r="B740" s="9"/>
      <c r="C740" s="25"/>
      <c r="D740" s="22" t="s">
        <v>2507</v>
      </c>
    </row>
    <row r="741">
      <c r="A741" s="17" t="s">
        <v>2509</v>
      </c>
      <c r="B741" s="9"/>
      <c r="C741" s="25"/>
      <c r="D741" s="22" t="s">
        <v>2507</v>
      </c>
    </row>
    <row r="742">
      <c r="A742" s="17" t="s">
        <v>2510</v>
      </c>
      <c r="B742" s="9"/>
      <c r="C742" s="25"/>
      <c r="D742" s="22" t="s">
        <v>2507</v>
      </c>
    </row>
    <row r="743">
      <c r="A743" s="17" t="s">
        <v>2511</v>
      </c>
      <c r="B743" s="9"/>
      <c r="C743" s="25"/>
      <c r="D743" s="22" t="s">
        <v>2512</v>
      </c>
    </row>
    <row r="744">
      <c r="A744" s="17" t="s">
        <v>2513</v>
      </c>
      <c r="B744" s="9"/>
      <c r="C744" s="25"/>
      <c r="D744" s="22" t="s">
        <v>2512</v>
      </c>
    </row>
    <row r="745">
      <c r="A745" s="17" t="s">
        <v>2514</v>
      </c>
      <c r="B745" s="9"/>
      <c r="C745" s="25"/>
      <c r="D745" s="22" t="s">
        <v>2512</v>
      </c>
    </row>
    <row r="746">
      <c r="A746" s="17" t="s">
        <v>2515</v>
      </c>
      <c r="B746" s="9"/>
      <c r="C746" s="25"/>
      <c r="D746" s="22" t="s">
        <v>2516</v>
      </c>
    </row>
    <row r="747">
      <c r="A747" s="17" t="s">
        <v>2517</v>
      </c>
      <c r="B747" s="9"/>
      <c r="C747" s="25"/>
      <c r="D747" s="22" t="s">
        <v>2516</v>
      </c>
    </row>
    <row r="748">
      <c r="A748" s="17" t="s">
        <v>2518</v>
      </c>
      <c r="B748" s="9"/>
      <c r="C748" s="25"/>
      <c r="D748" s="22" t="s">
        <v>2516</v>
      </c>
    </row>
    <row r="749">
      <c r="A749" s="17" t="s">
        <v>2519</v>
      </c>
      <c r="B749" s="9"/>
      <c r="C749" s="25"/>
      <c r="D749" s="22" t="s">
        <v>2520</v>
      </c>
    </row>
    <row r="750">
      <c r="A750" s="17" t="s">
        <v>2521</v>
      </c>
      <c r="B750" s="9"/>
      <c r="C750" s="25"/>
      <c r="D750" s="22" t="s">
        <v>2520</v>
      </c>
    </row>
    <row r="751">
      <c r="A751" s="17" t="s">
        <v>2522</v>
      </c>
      <c r="B751" s="9"/>
      <c r="C751" s="25"/>
      <c r="D751" s="22" t="s">
        <v>2520</v>
      </c>
    </row>
    <row r="752">
      <c r="A752" s="17" t="s">
        <v>2523</v>
      </c>
      <c r="B752" s="9"/>
      <c r="C752" s="25"/>
      <c r="D752" s="22" t="s">
        <v>2525</v>
      </c>
    </row>
    <row r="753">
      <c r="A753" s="17" t="s">
        <v>2526</v>
      </c>
      <c r="B753" s="9"/>
      <c r="C753" s="25"/>
      <c r="D753" s="22" t="s">
        <v>2525</v>
      </c>
    </row>
    <row r="754">
      <c r="A754" s="17" t="s">
        <v>2527</v>
      </c>
      <c r="B754" s="9"/>
      <c r="C754" s="25"/>
      <c r="D754" s="22" t="s">
        <v>2525</v>
      </c>
    </row>
    <row r="755">
      <c r="A755" s="17" t="s">
        <v>2528</v>
      </c>
      <c r="B755" s="9"/>
      <c r="C755" s="20" t="s">
        <v>1410</v>
      </c>
      <c r="D755" s="101" t="s">
        <v>2529</v>
      </c>
    </row>
    <row r="756">
      <c r="A756" s="17" t="s">
        <v>2530</v>
      </c>
      <c r="B756" s="9"/>
      <c r="C756" s="20" t="s">
        <v>1414</v>
      </c>
      <c r="D756" s="101" t="s">
        <v>2532</v>
      </c>
    </row>
    <row r="757">
      <c r="A757" s="17" t="s">
        <v>2533</v>
      </c>
      <c r="B757" s="9"/>
      <c r="C757" s="25"/>
      <c r="D757" s="22" t="s">
        <v>2535</v>
      </c>
    </row>
    <row r="758">
      <c r="A758" s="17" t="s">
        <v>2536</v>
      </c>
      <c r="B758" s="9"/>
      <c r="C758" s="25"/>
      <c r="D758" s="22" t="s">
        <v>2535</v>
      </c>
    </row>
    <row r="759">
      <c r="A759" s="17" t="s">
        <v>2537</v>
      </c>
      <c r="B759" s="9"/>
      <c r="C759" s="25"/>
      <c r="D759" s="22" t="s">
        <v>2535</v>
      </c>
    </row>
    <row r="760">
      <c r="A760" s="17" t="s">
        <v>2538</v>
      </c>
      <c r="B760" s="9"/>
      <c r="C760" s="25"/>
      <c r="D760" s="22" t="s">
        <v>2539</v>
      </c>
    </row>
    <row r="761">
      <c r="A761" s="17" t="s">
        <v>2540</v>
      </c>
      <c r="B761" s="9"/>
      <c r="C761" s="25"/>
      <c r="D761" s="22" t="s">
        <v>2539</v>
      </c>
    </row>
    <row r="762">
      <c r="A762" s="17" t="s">
        <v>2541</v>
      </c>
      <c r="B762" s="9"/>
      <c r="C762" s="25"/>
      <c r="D762" s="22" t="s">
        <v>2539</v>
      </c>
    </row>
    <row r="763">
      <c r="A763" s="17" t="s">
        <v>2542</v>
      </c>
      <c r="B763" s="9"/>
      <c r="C763" s="25"/>
      <c r="D763" s="22" t="s">
        <v>2543</v>
      </c>
    </row>
    <row r="764">
      <c r="A764" s="17" t="s">
        <v>2544</v>
      </c>
      <c r="B764" s="9"/>
      <c r="C764" s="25"/>
      <c r="D764" s="22" t="s">
        <v>2543</v>
      </c>
    </row>
    <row r="765">
      <c r="A765" s="17" t="s">
        <v>2545</v>
      </c>
      <c r="B765" s="9"/>
      <c r="C765" s="25"/>
      <c r="D765" s="22" t="s">
        <v>2543</v>
      </c>
    </row>
    <row r="766">
      <c r="A766" s="17" t="s">
        <v>2546</v>
      </c>
      <c r="B766" s="9"/>
      <c r="C766" s="25"/>
      <c r="D766" s="22" t="s">
        <v>2547</v>
      </c>
    </row>
    <row r="767">
      <c r="A767" s="17" t="s">
        <v>2548</v>
      </c>
      <c r="B767" s="9"/>
      <c r="C767" s="25"/>
      <c r="D767" s="22" t="s">
        <v>2547</v>
      </c>
    </row>
    <row r="768">
      <c r="A768" s="17" t="s">
        <v>2549</v>
      </c>
      <c r="B768" s="9"/>
      <c r="C768" s="25"/>
      <c r="D768" s="22" t="s">
        <v>2547</v>
      </c>
    </row>
    <row r="769">
      <c r="A769" s="17" t="s">
        <v>2551</v>
      </c>
      <c r="B769" s="9"/>
      <c r="C769" s="25"/>
      <c r="D769" s="22" t="s">
        <v>2553</v>
      </c>
    </row>
    <row r="770">
      <c r="A770" s="17" t="s">
        <v>2554</v>
      </c>
      <c r="B770" s="9"/>
      <c r="C770" s="25"/>
      <c r="D770" s="22" t="s">
        <v>2553</v>
      </c>
    </row>
    <row r="771">
      <c r="A771" s="17" t="s">
        <v>2555</v>
      </c>
      <c r="B771" s="9"/>
      <c r="C771" s="25"/>
      <c r="D771" s="22" t="s">
        <v>2553</v>
      </c>
    </row>
    <row r="772">
      <c r="A772" s="17" t="s">
        <v>2556</v>
      </c>
      <c r="B772" s="9"/>
      <c r="C772" s="25"/>
      <c r="D772" s="22" t="s">
        <v>2557</v>
      </c>
    </row>
    <row r="773">
      <c r="A773" s="17" t="s">
        <v>2558</v>
      </c>
      <c r="B773" s="9"/>
      <c r="C773" s="25"/>
      <c r="D773" s="22" t="s">
        <v>2557</v>
      </c>
    </row>
    <row r="774">
      <c r="A774" s="17" t="s">
        <v>2559</v>
      </c>
      <c r="B774" s="9"/>
      <c r="C774" s="25"/>
      <c r="D774" s="22" t="s">
        <v>2557</v>
      </c>
    </row>
    <row r="775">
      <c r="A775" s="17" t="s">
        <v>2560</v>
      </c>
      <c r="B775" s="9"/>
      <c r="C775" s="25"/>
      <c r="D775" s="22" t="s">
        <v>2561</v>
      </c>
    </row>
    <row r="776">
      <c r="A776" s="17" t="s">
        <v>2562</v>
      </c>
      <c r="B776" s="9"/>
      <c r="C776" s="25"/>
      <c r="D776" s="22" t="s">
        <v>2561</v>
      </c>
    </row>
    <row r="777">
      <c r="A777" s="17" t="s">
        <v>2563</v>
      </c>
      <c r="B777" s="9"/>
      <c r="C777" s="25"/>
      <c r="D777" s="22" t="s">
        <v>2561</v>
      </c>
    </row>
    <row r="778">
      <c r="A778" s="17" t="s">
        <v>2564</v>
      </c>
      <c r="B778" s="9"/>
      <c r="C778" s="25"/>
      <c r="D778" s="22" t="s">
        <v>2565</v>
      </c>
    </row>
    <row r="779">
      <c r="A779" s="17" t="s">
        <v>2566</v>
      </c>
      <c r="B779" s="9"/>
      <c r="C779" s="25"/>
      <c r="D779" s="22" t="s">
        <v>2565</v>
      </c>
    </row>
    <row r="780">
      <c r="A780" s="17" t="s">
        <v>2567</v>
      </c>
      <c r="B780" s="9"/>
      <c r="C780" s="25"/>
      <c r="D780" s="22" t="s">
        <v>2565</v>
      </c>
    </row>
    <row r="781">
      <c r="A781" s="17" t="s">
        <v>2568</v>
      </c>
      <c r="B781" s="9"/>
      <c r="C781" s="25"/>
      <c r="D781" s="22" t="s">
        <v>2569</v>
      </c>
    </row>
    <row r="782">
      <c r="A782" s="17" t="s">
        <v>2570</v>
      </c>
      <c r="B782" s="9"/>
      <c r="C782" s="25"/>
      <c r="D782" s="22" t="s">
        <v>2569</v>
      </c>
    </row>
    <row r="783">
      <c r="A783" s="17" t="s">
        <v>2572</v>
      </c>
      <c r="B783" s="9"/>
      <c r="C783" s="25"/>
      <c r="D783" s="22" t="s">
        <v>2569</v>
      </c>
    </row>
    <row r="784">
      <c r="A784" s="17" t="s">
        <v>2574</v>
      </c>
      <c r="B784" s="9"/>
      <c r="C784" s="25"/>
      <c r="D784" s="22" t="s">
        <v>2575</v>
      </c>
    </row>
    <row r="785">
      <c r="A785" s="17" t="s">
        <v>2576</v>
      </c>
      <c r="B785" s="9"/>
      <c r="C785" s="25"/>
      <c r="D785" s="22" t="s">
        <v>2575</v>
      </c>
    </row>
    <row r="786">
      <c r="A786" s="17" t="s">
        <v>2577</v>
      </c>
      <c r="B786" s="9"/>
      <c r="C786" s="25"/>
      <c r="D786" s="22" t="s">
        <v>2575</v>
      </c>
    </row>
    <row r="787">
      <c r="A787" s="17" t="s">
        <v>2578</v>
      </c>
      <c r="B787" s="9"/>
      <c r="C787" s="25"/>
      <c r="D787" s="22" t="s">
        <v>2579</v>
      </c>
    </row>
    <row r="788">
      <c r="A788" s="17" t="s">
        <v>2580</v>
      </c>
      <c r="B788" s="9"/>
      <c r="C788" s="25"/>
      <c r="D788" s="22" t="s">
        <v>2579</v>
      </c>
    </row>
    <row r="789">
      <c r="A789" s="17" t="s">
        <v>2581</v>
      </c>
      <c r="B789" s="9"/>
      <c r="C789" s="25"/>
      <c r="D789" s="22" t="s">
        <v>2579</v>
      </c>
    </row>
    <row r="790">
      <c r="A790" s="17" t="s">
        <v>2582</v>
      </c>
      <c r="B790" s="9"/>
      <c r="C790" s="25"/>
      <c r="D790" s="22" t="s">
        <v>2583</v>
      </c>
    </row>
    <row r="791">
      <c r="A791" s="17" t="s">
        <v>2584</v>
      </c>
      <c r="B791" s="9"/>
      <c r="C791" s="25"/>
      <c r="D791" s="22" t="s">
        <v>2583</v>
      </c>
    </row>
    <row r="792">
      <c r="A792" s="17" t="s">
        <v>2585</v>
      </c>
      <c r="B792" s="9"/>
      <c r="C792" s="25"/>
      <c r="D792" s="22" t="s">
        <v>2583</v>
      </c>
    </row>
    <row r="793">
      <c r="A793" s="17" t="s">
        <v>2586</v>
      </c>
      <c r="B793" s="9"/>
      <c r="C793" s="25"/>
      <c r="D793" s="22" t="s">
        <v>2587</v>
      </c>
    </row>
    <row r="794">
      <c r="A794" s="17" t="s">
        <v>2588</v>
      </c>
      <c r="B794" s="9"/>
      <c r="C794" s="25"/>
      <c r="D794" s="22" t="s">
        <v>2587</v>
      </c>
    </row>
    <row r="795">
      <c r="A795" s="17" t="s">
        <v>2589</v>
      </c>
      <c r="B795" s="9"/>
      <c r="C795" s="25"/>
      <c r="D795" s="22" t="s">
        <v>2587</v>
      </c>
    </row>
    <row r="796">
      <c r="A796" s="17" t="s">
        <v>2590</v>
      </c>
      <c r="B796" s="9"/>
      <c r="C796" s="25"/>
      <c r="D796" s="22" t="s">
        <v>2591</v>
      </c>
    </row>
    <row r="797">
      <c r="A797" s="17" t="s">
        <v>2593</v>
      </c>
      <c r="B797" s="9"/>
      <c r="C797" s="25"/>
      <c r="D797" s="22" t="s">
        <v>2591</v>
      </c>
    </row>
    <row r="798">
      <c r="A798" s="17" t="s">
        <v>2594</v>
      </c>
      <c r="B798" s="9"/>
      <c r="C798" s="25"/>
      <c r="D798" s="22" t="s">
        <v>2591</v>
      </c>
    </row>
    <row r="799">
      <c r="A799" s="17" t="s">
        <v>2596</v>
      </c>
      <c r="B799" s="9"/>
      <c r="C799" s="25"/>
      <c r="D799" s="22" t="s">
        <v>2597</v>
      </c>
    </row>
    <row r="800">
      <c r="A800" s="17" t="s">
        <v>2598</v>
      </c>
      <c r="B800" s="9"/>
      <c r="C800" s="25"/>
      <c r="D800" s="22" t="s">
        <v>2597</v>
      </c>
    </row>
    <row r="801">
      <c r="A801" s="17" t="s">
        <v>2599</v>
      </c>
      <c r="B801" s="9"/>
      <c r="C801" s="25"/>
      <c r="D801" s="22" t="s">
        <v>2597</v>
      </c>
    </row>
    <row r="802">
      <c r="A802" s="17" t="s">
        <v>2600</v>
      </c>
      <c r="B802" s="9"/>
      <c r="C802" s="25"/>
      <c r="D802" s="22" t="s">
        <v>2601</v>
      </c>
    </row>
    <row r="803">
      <c r="A803" s="17" t="s">
        <v>2602</v>
      </c>
      <c r="B803" s="9"/>
      <c r="C803" s="25"/>
      <c r="D803" s="22" t="s">
        <v>2601</v>
      </c>
    </row>
    <row r="804">
      <c r="A804" s="17" t="s">
        <v>2603</v>
      </c>
      <c r="B804" s="9"/>
      <c r="C804" s="25"/>
      <c r="D804" s="22" t="s">
        <v>2601</v>
      </c>
    </row>
    <row r="805">
      <c r="A805" s="17" t="s">
        <v>2604</v>
      </c>
      <c r="B805" s="9"/>
      <c r="C805" s="25"/>
      <c r="D805" s="22" t="s">
        <v>2605</v>
      </c>
    </row>
    <row r="806">
      <c r="A806" s="17" t="s">
        <v>2606</v>
      </c>
      <c r="B806" s="9"/>
      <c r="C806" s="25"/>
      <c r="D806" s="22" t="s">
        <v>2605</v>
      </c>
    </row>
    <row r="807">
      <c r="A807" s="17" t="s">
        <v>2607</v>
      </c>
      <c r="B807" s="9"/>
      <c r="C807" s="25"/>
      <c r="D807" s="22" t="s">
        <v>2605</v>
      </c>
    </row>
    <row r="808">
      <c r="A808" s="17" t="s">
        <v>2609</v>
      </c>
      <c r="B808" s="9"/>
      <c r="C808" s="25"/>
      <c r="D808" s="22" t="s">
        <v>2610</v>
      </c>
    </row>
    <row r="809">
      <c r="A809" s="17" t="s">
        <v>2612</v>
      </c>
      <c r="B809" s="9"/>
      <c r="C809" s="25"/>
      <c r="D809" s="22" t="s">
        <v>2610</v>
      </c>
    </row>
    <row r="810">
      <c r="A810" s="17" t="s">
        <v>2613</v>
      </c>
      <c r="B810" s="9"/>
      <c r="C810" s="25"/>
      <c r="D810" s="22" t="s">
        <v>2610</v>
      </c>
    </row>
    <row r="811">
      <c r="A811" s="17" t="s">
        <v>2614</v>
      </c>
      <c r="B811" s="9"/>
      <c r="C811" s="25"/>
      <c r="D811" s="99" t="s">
        <v>2103</v>
      </c>
    </row>
    <row r="812">
      <c r="A812" s="17" t="s">
        <v>2615</v>
      </c>
      <c r="B812" s="9"/>
      <c r="C812" s="25"/>
      <c r="D812" s="99" t="s">
        <v>2103</v>
      </c>
    </row>
    <row r="813">
      <c r="A813" s="17" t="s">
        <v>2616</v>
      </c>
      <c r="B813" s="9"/>
      <c r="C813" s="25"/>
      <c r="D813" s="99" t="s">
        <v>2103</v>
      </c>
    </row>
    <row r="814">
      <c r="A814" s="17" t="s">
        <v>2617</v>
      </c>
      <c r="B814" s="9"/>
      <c r="C814" s="25"/>
      <c r="D814" s="22" t="s">
        <v>2618</v>
      </c>
    </row>
    <row r="815">
      <c r="A815" s="17" t="s">
        <v>2619</v>
      </c>
      <c r="B815" s="9"/>
      <c r="C815" s="25"/>
      <c r="D815" s="22" t="s">
        <v>2618</v>
      </c>
    </row>
    <row r="816">
      <c r="A816" s="17" t="s">
        <v>2620</v>
      </c>
      <c r="B816" s="9"/>
      <c r="C816" s="25"/>
      <c r="D816" s="22" t="s">
        <v>2618</v>
      </c>
    </row>
    <row r="817">
      <c r="A817" s="17" t="s">
        <v>2621</v>
      </c>
      <c r="B817" s="9"/>
      <c r="C817" s="25"/>
      <c r="D817" s="22" t="s">
        <v>2622</v>
      </c>
    </row>
    <row r="818">
      <c r="A818" s="17" t="s">
        <v>2623</v>
      </c>
      <c r="B818" s="9"/>
      <c r="C818" s="25"/>
      <c r="D818" s="22" t="s">
        <v>2622</v>
      </c>
    </row>
    <row r="819">
      <c r="A819" s="17" t="s">
        <v>2624</v>
      </c>
      <c r="B819" s="9"/>
      <c r="C819" s="25"/>
      <c r="D819" s="22" t="s">
        <v>2622</v>
      </c>
    </row>
    <row r="820">
      <c r="A820" s="17" t="s">
        <v>2625</v>
      </c>
      <c r="B820" s="9"/>
      <c r="C820" s="25"/>
      <c r="D820" s="22" t="s">
        <v>2626</v>
      </c>
    </row>
    <row r="821">
      <c r="A821" s="17" t="s">
        <v>2627</v>
      </c>
      <c r="B821" s="9"/>
      <c r="C821" s="25"/>
      <c r="D821" s="22" t="s">
        <v>2626</v>
      </c>
    </row>
    <row r="822">
      <c r="A822" s="17" t="s">
        <v>2628</v>
      </c>
      <c r="B822" s="9"/>
      <c r="C822" s="25"/>
      <c r="D822" s="22" t="s">
        <v>2626</v>
      </c>
    </row>
    <row r="823">
      <c r="A823" s="17" t="s">
        <v>2629</v>
      </c>
      <c r="B823" s="9"/>
      <c r="C823" s="25"/>
      <c r="D823" s="22" t="s">
        <v>2630</v>
      </c>
    </row>
    <row r="824">
      <c r="A824" s="17" t="s">
        <v>2631</v>
      </c>
      <c r="B824" s="9"/>
      <c r="C824" s="25"/>
      <c r="D824" s="22" t="s">
        <v>2630</v>
      </c>
    </row>
    <row r="825">
      <c r="A825" s="17" t="s">
        <v>2633</v>
      </c>
      <c r="B825" s="9"/>
      <c r="C825" s="25"/>
      <c r="D825" s="22" t="s">
        <v>2630</v>
      </c>
    </row>
    <row r="826">
      <c r="A826" s="17" t="s">
        <v>2635</v>
      </c>
      <c r="B826" s="9"/>
      <c r="C826" s="25"/>
      <c r="D826" s="22" t="s">
        <v>2636</v>
      </c>
    </row>
    <row r="827">
      <c r="A827" s="17" t="s">
        <v>2637</v>
      </c>
      <c r="B827" s="9"/>
      <c r="C827" s="25"/>
      <c r="D827" s="22" t="s">
        <v>2636</v>
      </c>
    </row>
    <row r="828">
      <c r="A828" s="17" t="s">
        <v>2638</v>
      </c>
      <c r="B828" s="9"/>
      <c r="C828" s="25"/>
      <c r="D828" s="22" t="s">
        <v>2636</v>
      </c>
    </row>
    <row r="829">
      <c r="A829" s="17" t="s">
        <v>2639</v>
      </c>
      <c r="B829" s="9"/>
      <c r="C829" s="25"/>
      <c r="D829" s="22" t="s">
        <v>2640</v>
      </c>
    </row>
    <row r="830">
      <c r="A830" s="17" t="s">
        <v>2641</v>
      </c>
      <c r="B830" s="9"/>
      <c r="C830" s="25"/>
      <c r="D830" s="22" t="s">
        <v>2640</v>
      </c>
    </row>
    <row r="831">
      <c r="A831" s="17" t="s">
        <v>2642</v>
      </c>
      <c r="B831" s="9"/>
      <c r="C831" s="25"/>
      <c r="D831" s="22" t="s">
        <v>2640</v>
      </c>
    </row>
    <row r="832">
      <c r="A832" s="17" t="s">
        <v>2643</v>
      </c>
      <c r="B832" s="9"/>
      <c r="C832" s="25"/>
      <c r="D832" s="22" t="s">
        <v>2644</v>
      </c>
    </row>
    <row r="833">
      <c r="A833" s="17" t="s">
        <v>2645</v>
      </c>
      <c r="B833" s="9"/>
      <c r="C833" s="25"/>
      <c r="D833" s="22" t="s">
        <v>2644</v>
      </c>
    </row>
    <row r="834">
      <c r="A834" s="17" t="s">
        <v>2646</v>
      </c>
      <c r="B834" s="9"/>
      <c r="C834" s="25"/>
      <c r="D834" s="22" t="s">
        <v>2644</v>
      </c>
    </row>
    <row r="835">
      <c r="A835" s="17" t="s">
        <v>2647</v>
      </c>
      <c r="B835" s="9"/>
      <c r="C835" s="25"/>
      <c r="D835" s="22" t="s">
        <v>2648</v>
      </c>
    </row>
    <row r="836">
      <c r="A836" s="17" t="s">
        <v>2650</v>
      </c>
      <c r="B836" s="9"/>
      <c r="C836" s="25"/>
      <c r="D836" s="22" t="s">
        <v>2648</v>
      </c>
    </row>
    <row r="837">
      <c r="A837" s="17" t="s">
        <v>2652</v>
      </c>
      <c r="B837" s="9"/>
      <c r="C837" s="25"/>
      <c r="D837" s="22" t="s">
        <v>2648</v>
      </c>
    </row>
    <row r="838">
      <c r="A838" s="17" t="s">
        <v>2653</v>
      </c>
      <c r="B838" s="9"/>
      <c r="C838" s="25"/>
      <c r="D838" s="22" t="s">
        <v>2654</v>
      </c>
    </row>
    <row r="839">
      <c r="A839" s="17" t="s">
        <v>2655</v>
      </c>
      <c r="B839" s="9"/>
      <c r="C839" s="25"/>
      <c r="D839" s="22" t="s">
        <v>2654</v>
      </c>
    </row>
    <row r="840">
      <c r="A840" s="17" t="s">
        <v>2656</v>
      </c>
      <c r="B840" s="9"/>
      <c r="C840" s="25"/>
      <c r="D840" s="22" t="s">
        <v>2654</v>
      </c>
    </row>
    <row r="841">
      <c r="A841" s="17" t="s">
        <v>2657</v>
      </c>
      <c r="B841" s="9"/>
      <c r="C841" s="25"/>
      <c r="D841" s="22" t="s">
        <v>2658</v>
      </c>
    </row>
    <row r="842">
      <c r="A842" s="17" t="s">
        <v>2659</v>
      </c>
      <c r="B842" s="9"/>
      <c r="C842" s="25"/>
      <c r="D842" s="22" t="s">
        <v>2658</v>
      </c>
    </row>
    <row r="843">
      <c r="A843" s="17" t="s">
        <v>2660</v>
      </c>
      <c r="B843" s="9"/>
      <c r="C843" s="25"/>
      <c r="D843" s="22" t="s">
        <v>2658</v>
      </c>
    </row>
    <row r="844">
      <c r="A844" s="17" t="s">
        <v>2661</v>
      </c>
      <c r="B844" s="9"/>
      <c r="C844" s="25"/>
      <c r="D844" s="22" t="s">
        <v>2662</v>
      </c>
    </row>
    <row r="845">
      <c r="A845" s="17" t="s">
        <v>2663</v>
      </c>
      <c r="B845" s="9"/>
      <c r="C845" s="25"/>
      <c r="D845" s="22" t="s">
        <v>2662</v>
      </c>
    </row>
    <row r="846">
      <c r="A846" s="17" t="s">
        <v>2664</v>
      </c>
      <c r="B846" s="9"/>
      <c r="C846" s="25"/>
      <c r="D846" s="22" t="s">
        <v>2662</v>
      </c>
    </row>
    <row r="847">
      <c r="A847" s="17" t="s">
        <v>2666</v>
      </c>
      <c r="B847" s="9"/>
      <c r="C847" s="25"/>
      <c r="D847" s="22" t="s">
        <v>2668</v>
      </c>
    </row>
    <row r="848">
      <c r="A848" s="17" t="s">
        <v>2669</v>
      </c>
      <c r="B848" s="9"/>
      <c r="C848" s="25"/>
      <c r="D848" s="22" t="s">
        <v>2668</v>
      </c>
    </row>
    <row r="849">
      <c r="A849" s="17" t="s">
        <v>2670</v>
      </c>
      <c r="B849" s="9"/>
      <c r="C849" s="25"/>
      <c r="D849" s="22" t="s">
        <v>2668</v>
      </c>
    </row>
    <row r="850">
      <c r="A850" s="17" t="s">
        <v>2671</v>
      </c>
      <c r="B850" s="9"/>
      <c r="C850" s="25"/>
      <c r="D850" s="22" t="s">
        <v>2672</v>
      </c>
    </row>
    <row r="851">
      <c r="A851" s="17" t="s">
        <v>2673</v>
      </c>
      <c r="B851" s="9"/>
      <c r="C851" s="25"/>
      <c r="D851" s="22" t="s">
        <v>2672</v>
      </c>
    </row>
    <row r="852">
      <c r="A852" s="17" t="s">
        <v>2674</v>
      </c>
      <c r="B852" s="9"/>
      <c r="C852" s="25"/>
      <c r="D852" s="22" t="s">
        <v>2672</v>
      </c>
    </row>
    <row r="853">
      <c r="A853" s="17" t="s">
        <v>2675</v>
      </c>
      <c r="B853" s="9"/>
      <c r="C853" s="25"/>
      <c r="D853" s="22" t="s">
        <v>2676</v>
      </c>
    </row>
    <row r="854">
      <c r="A854" s="17" t="s">
        <v>2677</v>
      </c>
      <c r="B854" s="9"/>
      <c r="C854" s="25"/>
      <c r="D854" s="22" t="s">
        <v>2676</v>
      </c>
    </row>
    <row r="855">
      <c r="A855" s="17" t="s">
        <v>2678</v>
      </c>
      <c r="B855" s="9"/>
      <c r="C855" s="25"/>
      <c r="D855" s="22" t="s">
        <v>2676</v>
      </c>
    </row>
    <row r="856">
      <c r="A856" s="17" t="s">
        <v>2679</v>
      </c>
      <c r="B856" s="9"/>
      <c r="C856" s="25"/>
      <c r="D856" s="22" t="s">
        <v>2680</v>
      </c>
    </row>
    <row r="857">
      <c r="A857" s="17" t="s">
        <v>2681</v>
      </c>
      <c r="B857" s="9"/>
      <c r="C857" s="25"/>
      <c r="D857" s="22" t="s">
        <v>2680</v>
      </c>
    </row>
    <row r="858">
      <c r="A858" s="17" t="s">
        <v>2682</v>
      </c>
      <c r="B858" s="9"/>
      <c r="C858" s="25"/>
      <c r="D858" s="22" t="s">
        <v>2680</v>
      </c>
    </row>
    <row r="859">
      <c r="A859" s="17" t="s">
        <v>2683</v>
      </c>
      <c r="B859" s="9"/>
      <c r="C859" s="25"/>
      <c r="D859" s="22" t="s">
        <v>2684</v>
      </c>
    </row>
    <row r="860">
      <c r="A860" s="17" t="s">
        <v>2685</v>
      </c>
      <c r="B860" s="9"/>
      <c r="C860" s="25"/>
      <c r="D860" s="22" t="s">
        <v>2684</v>
      </c>
    </row>
    <row r="861">
      <c r="A861" s="17" t="s">
        <v>2686</v>
      </c>
      <c r="B861" s="9"/>
      <c r="C861" s="25"/>
      <c r="D861" s="22" t="s">
        <v>2684</v>
      </c>
    </row>
    <row r="862">
      <c r="A862" s="17" t="s">
        <v>2687</v>
      </c>
      <c r="B862" s="9"/>
      <c r="C862" s="25"/>
      <c r="D862" s="22" t="s">
        <v>2688</v>
      </c>
    </row>
    <row r="863">
      <c r="A863" s="17" t="s">
        <v>2689</v>
      </c>
      <c r="B863" s="9"/>
      <c r="C863" s="25"/>
      <c r="D863" s="22" t="s">
        <v>2688</v>
      </c>
    </row>
    <row r="864">
      <c r="A864" s="17" t="s">
        <v>2690</v>
      </c>
      <c r="B864" s="9"/>
      <c r="C864" s="25"/>
      <c r="D864" s="22" t="s">
        <v>2688</v>
      </c>
    </row>
    <row r="865">
      <c r="A865" s="17" t="s">
        <v>2691</v>
      </c>
      <c r="B865" s="9"/>
      <c r="C865" s="25"/>
      <c r="D865" s="22" t="s">
        <v>2693</v>
      </c>
    </row>
    <row r="866">
      <c r="A866" s="17" t="s">
        <v>2694</v>
      </c>
      <c r="B866" s="9"/>
      <c r="C866" s="25"/>
      <c r="D866" s="22" t="s">
        <v>2693</v>
      </c>
    </row>
    <row r="867">
      <c r="A867" s="17" t="s">
        <v>2696</v>
      </c>
      <c r="B867" s="9"/>
      <c r="C867" s="25"/>
      <c r="D867" s="22" t="s">
        <v>2693</v>
      </c>
    </row>
    <row r="868">
      <c r="A868" s="17" t="s">
        <v>2697</v>
      </c>
      <c r="B868" s="9"/>
      <c r="C868" s="25"/>
      <c r="D868" s="22" t="s">
        <v>2698</v>
      </c>
    </row>
    <row r="869">
      <c r="A869" s="17" t="s">
        <v>2699</v>
      </c>
      <c r="B869" s="9"/>
      <c r="C869" s="25"/>
      <c r="D869" s="22" t="s">
        <v>2698</v>
      </c>
    </row>
    <row r="870">
      <c r="A870" s="17" t="s">
        <v>2700</v>
      </c>
      <c r="B870" s="9"/>
      <c r="C870" s="25"/>
      <c r="D870" s="22" t="s">
        <v>2698</v>
      </c>
    </row>
    <row r="871">
      <c r="A871" s="17" t="s">
        <v>2701</v>
      </c>
      <c r="B871" s="9"/>
      <c r="C871" s="25"/>
      <c r="D871" s="22" t="s">
        <v>2702</v>
      </c>
    </row>
    <row r="872">
      <c r="A872" s="17" t="s">
        <v>2703</v>
      </c>
      <c r="B872" s="9"/>
      <c r="C872" s="25"/>
      <c r="D872" s="22" t="s">
        <v>2702</v>
      </c>
    </row>
    <row r="873">
      <c r="A873" s="17" t="s">
        <v>2704</v>
      </c>
      <c r="B873" s="9"/>
      <c r="C873" s="25"/>
      <c r="D873" s="22" t="s">
        <v>2702</v>
      </c>
    </row>
    <row r="874">
      <c r="A874" s="17" t="s">
        <v>2705</v>
      </c>
      <c r="B874" s="9"/>
      <c r="C874" s="25"/>
      <c r="D874" s="22" t="s">
        <v>2706</v>
      </c>
    </row>
    <row r="875">
      <c r="A875" s="17" t="s">
        <v>2707</v>
      </c>
      <c r="B875" s="9"/>
      <c r="C875" s="25"/>
      <c r="D875" s="22" t="s">
        <v>2706</v>
      </c>
    </row>
    <row r="876">
      <c r="A876" s="17" t="s">
        <v>2708</v>
      </c>
      <c r="B876" s="9"/>
      <c r="C876" s="25"/>
      <c r="D876" s="22" t="s">
        <v>2706</v>
      </c>
    </row>
    <row r="877">
      <c r="A877" s="17" t="s">
        <v>2709</v>
      </c>
      <c r="B877" s="9"/>
      <c r="C877" s="25"/>
      <c r="D877" s="22" t="s">
        <v>2710</v>
      </c>
    </row>
    <row r="878">
      <c r="A878" s="17" t="s">
        <v>2711</v>
      </c>
      <c r="B878" s="9"/>
      <c r="C878" s="25"/>
      <c r="D878" s="22" t="s">
        <v>2710</v>
      </c>
    </row>
    <row r="879">
      <c r="A879" s="17" t="s">
        <v>2712</v>
      </c>
      <c r="B879" s="9"/>
      <c r="C879" s="25"/>
      <c r="D879" s="22" t="s">
        <v>2710</v>
      </c>
    </row>
    <row r="880">
      <c r="A880" s="17" t="s">
        <v>2713</v>
      </c>
      <c r="B880" s="9"/>
      <c r="C880" s="25"/>
      <c r="D880" s="22" t="s">
        <v>2714</v>
      </c>
    </row>
    <row r="881">
      <c r="A881" s="17" t="s">
        <v>2715</v>
      </c>
      <c r="B881" s="9"/>
      <c r="C881" s="25"/>
      <c r="D881" s="22" t="s">
        <v>2714</v>
      </c>
    </row>
    <row r="882">
      <c r="A882" s="17" t="s">
        <v>2716</v>
      </c>
      <c r="B882" s="9"/>
      <c r="C882" s="25"/>
      <c r="D882" s="22" t="s">
        <v>2714</v>
      </c>
    </row>
    <row r="883">
      <c r="A883" s="17" t="s">
        <v>2717</v>
      </c>
      <c r="B883" s="9"/>
      <c r="C883" s="25"/>
      <c r="D883" s="22" t="s">
        <v>2718</v>
      </c>
    </row>
    <row r="884">
      <c r="A884" s="17" t="s">
        <v>2719</v>
      </c>
      <c r="B884" s="9"/>
      <c r="C884" s="25"/>
      <c r="D884" s="22" t="s">
        <v>2718</v>
      </c>
    </row>
    <row r="885">
      <c r="A885" s="17" t="s">
        <v>2721</v>
      </c>
      <c r="B885" s="9"/>
      <c r="C885" s="25"/>
      <c r="D885" s="22" t="s">
        <v>2718</v>
      </c>
    </row>
    <row r="886">
      <c r="A886" s="17" t="s">
        <v>2723</v>
      </c>
      <c r="B886" s="9"/>
      <c r="C886" s="25"/>
      <c r="D886" s="22" t="s">
        <v>2724</v>
      </c>
    </row>
    <row r="887">
      <c r="A887" s="17" t="s">
        <v>2725</v>
      </c>
      <c r="B887" s="9"/>
      <c r="C887" s="25"/>
      <c r="D887" s="22" t="s">
        <v>2724</v>
      </c>
    </row>
    <row r="888">
      <c r="A888" s="17" t="s">
        <v>2726</v>
      </c>
      <c r="B888" s="9"/>
      <c r="C888" s="25"/>
      <c r="D888" s="22" t="s">
        <v>2724</v>
      </c>
    </row>
    <row r="889">
      <c r="A889" s="17" t="s">
        <v>2727</v>
      </c>
      <c r="B889" s="9"/>
      <c r="C889" s="25"/>
      <c r="D889" s="22" t="s">
        <v>2728</v>
      </c>
    </row>
    <row r="890">
      <c r="A890" s="17" t="s">
        <v>2729</v>
      </c>
      <c r="B890" s="9"/>
      <c r="C890" s="25"/>
      <c r="D890" s="22" t="s">
        <v>2728</v>
      </c>
    </row>
    <row r="891">
      <c r="A891" s="17" t="s">
        <v>2730</v>
      </c>
      <c r="B891" s="9"/>
      <c r="C891" s="25"/>
      <c r="D891" s="22" t="s">
        <v>2728</v>
      </c>
    </row>
    <row r="892">
      <c r="A892" s="17" t="s">
        <v>2731</v>
      </c>
      <c r="B892" s="9"/>
      <c r="C892" s="25"/>
      <c r="D892" s="22" t="s">
        <v>2732</v>
      </c>
    </row>
    <row r="893">
      <c r="A893" s="17" t="s">
        <v>2733</v>
      </c>
      <c r="B893" s="9"/>
      <c r="C893" s="25"/>
      <c r="D893" s="22" t="s">
        <v>2732</v>
      </c>
    </row>
    <row r="894">
      <c r="A894" s="17" t="s">
        <v>2734</v>
      </c>
      <c r="B894" s="9"/>
      <c r="C894" s="25"/>
      <c r="D894" s="22" t="s">
        <v>2732</v>
      </c>
    </row>
    <row r="895">
      <c r="A895" s="17" t="s">
        <v>2736</v>
      </c>
      <c r="B895" s="9"/>
      <c r="C895" s="25"/>
      <c r="D895" s="22" t="s">
        <v>2738</v>
      </c>
    </row>
    <row r="896">
      <c r="A896" s="17" t="s">
        <v>2739</v>
      </c>
      <c r="B896" s="9"/>
      <c r="C896" s="25"/>
      <c r="D896" s="22" t="s">
        <v>2738</v>
      </c>
    </row>
    <row r="897">
      <c r="A897" s="17" t="s">
        <v>2740</v>
      </c>
      <c r="B897" s="9"/>
      <c r="C897" s="25"/>
      <c r="D897" s="22" t="s">
        <v>2738</v>
      </c>
    </row>
    <row r="898">
      <c r="A898" s="17" t="s">
        <v>2741</v>
      </c>
      <c r="B898" s="9"/>
      <c r="C898" s="25"/>
      <c r="D898" s="22" t="s">
        <v>2742</v>
      </c>
    </row>
    <row r="899">
      <c r="A899" s="17" t="s">
        <v>2743</v>
      </c>
      <c r="B899" s="9"/>
      <c r="C899" s="25"/>
      <c r="D899" s="22" t="s">
        <v>2742</v>
      </c>
    </row>
    <row r="900">
      <c r="A900" s="17" t="s">
        <v>2744</v>
      </c>
      <c r="B900" s="9"/>
      <c r="C900" s="25"/>
      <c r="D900" s="22" t="s">
        <v>2742</v>
      </c>
    </row>
    <row r="901">
      <c r="A901" s="17" t="s">
        <v>2745</v>
      </c>
      <c r="B901" s="9"/>
      <c r="C901" s="25"/>
      <c r="D901" s="22" t="s">
        <v>2746</v>
      </c>
    </row>
    <row r="902">
      <c r="A902" s="17" t="s">
        <v>2747</v>
      </c>
      <c r="B902" s="9"/>
      <c r="C902" s="25"/>
      <c r="D902" s="22" t="s">
        <v>2746</v>
      </c>
    </row>
    <row r="903">
      <c r="A903" s="17" t="s">
        <v>2748</v>
      </c>
      <c r="B903" s="9"/>
      <c r="C903" s="25"/>
      <c r="D903" s="22" t="s">
        <v>2746</v>
      </c>
    </row>
    <row r="904">
      <c r="A904" s="17" t="s">
        <v>2749</v>
      </c>
      <c r="B904" s="9"/>
      <c r="C904" s="25"/>
      <c r="D904" s="22" t="s">
        <v>2750</v>
      </c>
    </row>
    <row r="905">
      <c r="A905" s="17" t="s">
        <v>2751</v>
      </c>
      <c r="B905" s="9"/>
      <c r="C905" s="25"/>
      <c r="D905" s="22" t="s">
        <v>2750</v>
      </c>
    </row>
    <row r="906">
      <c r="A906" s="17" t="s">
        <v>2753</v>
      </c>
      <c r="B906" s="9"/>
      <c r="C906" s="25"/>
      <c r="D906" s="22" t="s">
        <v>2750</v>
      </c>
    </row>
    <row r="907">
      <c r="A907" s="17" t="s">
        <v>2755</v>
      </c>
      <c r="B907" s="9"/>
      <c r="C907" s="25"/>
      <c r="D907" s="22" t="s">
        <v>2757</v>
      </c>
    </row>
    <row r="908">
      <c r="A908" s="17" t="s">
        <v>2758</v>
      </c>
      <c r="B908" s="9"/>
      <c r="C908" s="25"/>
      <c r="D908" s="22" t="s">
        <v>2757</v>
      </c>
    </row>
    <row r="909">
      <c r="A909" s="17" t="s">
        <v>2759</v>
      </c>
      <c r="B909" s="9"/>
      <c r="C909" s="25"/>
      <c r="D909" s="22" t="s">
        <v>2757</v>
      </c>
    </row>
    <row r="910">
      <c r="A910" s="17" t="s">
        <v>2760</v>
      </c>
      <c r="B910" s="9"/>
      <c r="C910" s="25"/>
      <c r="D910" s="22" t="s">
        <v>2761</v>
      </c>
    </row>
    <row r="911">
      <c r="A911" s="17" t="s">
        <v>2762</v>
      </c>
      <c r="B911" s="9"/>
      <c r="C911" s="25"/>
      <c r="D911" s="22" t="s">
        <v>2761</v>
      </c>
    </row>
    <row r="912">
      <c r="A912" s="17" t="s">
        <v>2763</v>
      </c>
      <c r="B912" s="9"/>
      <c r="C912" s="25"/>
      <c r="D912" s="22" t="s">
        <v>2761</v>
      </c>
    </row>
    <row r="913">
      <c r="A913" s="17" t="s">
        <v>2764</v>
      </c>
      <c r="B913" s="9"/>
      <c r="C913" s="25"/>
      <c r="D913" s="22" t="s">
        <v>2765</v>
      </c>
    </row>
    <row r="914">
      <c r="A914" s="17" t="s">
        <v>2766</v>
      </c>
      <c r="B914" s="9"/>
      <c r="C914" s="25"/>
      <c r="D914" s="22" t="s">
        <v>2765</v>
      </c>
    </row>
    <row r="915">
      <c r="A915" s="17" t="s">
        <v>2767</v>
      </c>
      <c r="B915" s="9"/>
      <c r="C915" s="25"/>
      <c r="D915" s="22" t="s">
        <v>2765</v>
      </c>
    </row>
    <row r="916">
      <c r="A916" s="17" t="s">
        <v>2768</v>
      </c>
      <c r="B916" s="9"/>
      <c r="C916" s="25"/>
      <c r="D916" s="22" t="s">
        <v>2769</v>
      </c>
    </row>
    <row r="917">
      <c r="A917" s="17" t="s">
        <v>2770</v>
      </c>
      <c r="B917" s="9"/>
      <c r="C917" s="25"/>
      <c r="D917" s="22" t="s">
        <v>2769</v>
      </c>
    </row>
    <row r="918">
      <c r="A918" s="17" t="s">
        <v>2772</v>
      </c>
      <c r="B918" s="9"/>
      <c r="C918" s="25"/>
      <c r="D918" s="22" t="s">
        <v>2769</v>
      </c>
    </row>
    <row r="919">
      <c r="A919" s="17" t="s">
        <v>2774</v>
      </c>
      <c r="B919" s="9"/>
      <c r="C919" s="25"/>
      <c r="D919" s="22" t="s">
        <v>2776</v>
      </c>
    </row>
    <row r="920">
      <c r="A920" s="17" t="s">
        <v>2777</v>
      </c>
      <c r="B920" s="9"/>
      <c r="C920" s="25"/>
      <c r="D920" s="22" t="s">
        <v>2776</v>
      </c>
    </row>
    <row r="921">
      <c r="A921" s="17" t="s">
        <v>2778</v>
      </c>
      <c r="B921" s="9"/>
      <c r="C921" s="25"/>
      <c r="D921" s="22" t="s">
        <v>2776</v>
      </c>
    </row>
    <row r="922">
      <c r="A922" s="17" t="s">
        <v>2779</v>
      </c>
      <c r="B922" s="9"/>
      <c r="C922" s="25"/>
      <c r="D922" s="22" t="s">
        <v>2780</v>
      </c>
    </row>
    <row r="923">
      <c r="A923" s="17" t="s">
        <v>2781</v>
      </c>
      <c r="B923" s="9"/>
      <c r="C923" s="25"/>
      <c r="D923" s="22" t="s">
        <v>2780</v>
      </c>
    </row>
    <row r="924">
      <c r="A924" s="17" t="s">
        <v>2782</v>
      </c>
      <c r="B924" s="9"/>
      <c r="C924" s="25"/>
      <c r="D924" s="22" t="s">
        <v>2780</v>
      </c>
    </row>
    <row r="925">
      <c r="A925" s="17" t="s">
        <v>2783</v>
      </c>
      <c r="B925" s="9"/>
      <c r="C925" s="25"/>
      <c r="D925" s="22" t="s">
        <v>2784</v>
      </c>
    </row>
    <row r="926">
      <c r="A926" s="17" t="s">
        <v>2785</v>
      </c>
      <c r="B926" s="9"/>
      <c r="C926" s="25"/>
      <c r="D926" s="22" t="s">
        <v>2784</v>
      </c>
    </row>
    <row r="927">
      <c r="A927" s="17" t="s">
        <v>2786</v>
      </c>
      <c r="B927" s="9"/>
      <c r="C927" s="25"/>
      <c r="D927" s="22" t="s">
        <v>2784</v>
      </c>
    </row>
    <row r="928">
      <c r="A928" s="17" t="s">
        <v>2787</v>
      </c>
      <c r="B928" s="9"/>
      <c r="C928" s="25"/>
      <c r="D928" s="22" t="s">
        <v>2788</v>
      </c>
    </row>
    <row r="929">
      <c r="A929" s="17" t="s">
        <v>2789</v>
      </c>
      <c r="B929" s="9"/>
      <c r="C929" s="25"/>
      <c r="D929" s="22" t="s">
        <v>2788</v>
      </c>
    </row>
    <row r="930">
      <c r="A930" s="17" t="s">
        <v>2791</v>
      </c>
      <c r="B930" s="9"/>
      <c r="C930" s="25"/>
      <c r="D930" s="22" t="s">
        <v>2788</v>
      </c>
    </row>
    <row r="931">
      <c r="A931" s="17" t="s">
        <v>2792</v>
      </c>
      <c r="B931" s="9"/>
      <c r="C931" s="25"/>
      <c r="D931" s="22" t="s">
        <v>2794</v>
      </c>
    </row>
    <row r="932">
      <c r="A932" s="17" t="s">
        <v>2795</v>
      </c>
      <c r="B932" s="9"/>
      <c r="C932" s="25"/>
      <c r="D932" s="22" t="s">
        <v>2794</v>
      </c>
    </row>
    <row r="933">
      <c r="A933" s="17" t="s">
        <v>2796</v>
      </c>
      <c r="B933" s="9"/>
      <c r="C933" s="25"/>
      <c r="D933" s="22" t="s">
        <v>2794</v>
      </c>
    </row>
    <row r="934">
      <c r="A934" s="17" t="s">
        <v>2797</v>
      </c>
      <c r="B934" s="9"/>
      <c r="C934" s="25"/>
      <c r="D934" s="22" t="s">
        <v>2798</v>
      </c>
    </row>
    <row r="935">
      <c r="A935" s="17" t="s">
        <v>2799</v>
      </c>
      <c r="B935" s="9"/>
      <c r="C935" s="25"/>
      <c r="D935" s="22" t="s">
        <v>2798</v>
      </c>
    </row>
    <row r="936">
      <c r="A936" s="17" t="s">
        <v>2800</v>
      </c>
      <c r="B936" s="9"/>
      <c r="C936" s="25"/>
      <c r="D936" s="22" t="s">
        <v>2798</v>
      </c>
    </row>
    <row r="937">
      <c r="A937" s="17" t="s">
        <v>2801</v>
      </c>
      <c r="B937" s="9"/>
      <c r="C937" s="25"/>
      <c r="D937" s="22" t="s">
        <v>2802</v>
      </c>
    </row>
    <row r="938">
      <c r="A938" s="17" t="s">
        <v>2803</v>
      </c>
      <c r="B938" s="9"/>
      <c r="C938" s="25"/>
      <c r="D938" s="22" t="s">
        <v>2802</v>
      </c>
    </row>
    <row r="939">
      <c r="A939" s="17" t="s">
        <v>2805</v>
      </c>
      <c r="B939" s="9"/>
      <c r="C939" s="25"/>
      <c r="D939" s="22" t="s">
        <v>2802</v>
      </c>
    </row>
    <row r="940">
      <c r="A940" s="17" t="s">
        <v>2807</v>
      </c>
      <c r="B940" s="9"/>
      <c r="C940" s="25"/>
      <c r="D940" s="22" t="s">
        <v>2809</v>
      </c>
    </row>
    <row r="941">
      <c r="A941" s="17" t="s">
        <v>2810</v>
      </c>
      <c r="B941" s="9"/>
      <c r="C941" s="25"/>
      <c r="D941" s="22" t="s">
        <v>2809</v>
      </c>
    </row>
    <row r="942">
      <c r="A942" s="17" t="s">
        <v>2811</v>
      </c>
      <c r="B942" s="9"/>
      <c r="C942" s="25"/>
      <c r="D942" s="22" t="s">
        <v>2809</v>
      </c>
    </row>
    <row r="943">
      <c r="A943" s="17" t="s">
        <v>2812</v>
      </c>
      <c r="B943" s="9"/>
      <c r="C943" s="25"/>
      <c r="D943" s="22" t="s">
        <v>2813</v>
      </c>
    </row>
    <row r="944">
      <c r="A944" s="17" t="s">
        <v>2814</v>
      </c>
      <c r="B944" s="9"/>
      <c r="C944" s="25"/>
      <c r="D944" s="22" t="s">
        <v>2813</v>
      </c>
    </row>
    <row r="945">
      <c r="A945" s="17" t="s">
        <v>2815</v>
      </c>
      <c r="B945" s="9"/>
      <c r="C945" s="25"/>
      <c r="D945" s="22" t="s">
        <v>2813</v>
      </c>
    </row>
    <row r="946">
      <c r="A946" s="17" t="s">
        <v>2816</v>
      </c>
      <c r="B946" s="9"/>
      <c r="C946" s="25"/>
      <c r="D946" s="22" t="s">
        <v>2817</v>
      </c>
    </row>
    <row r="947">
      <c r="A947" s="17" t="s">
        <v>2818</v>
      </c>
      <c r="B947" s="9"/>
      <c r="C947" s="25"/>
      <c r="D947" s="22" t="s">
        <v>2819</v>
      </c>
    </row>
    <row r="948">
      <c r="A948" s="17" t="s">
        <v>2820</v>
      </c>
      <c r="B948" s="9"/>
      <c r="C948" s="25"/>
      <c r="D948" s="22" t="s">
        <v>2819</v>
      </c>
    </row>
    <row r="949">
      <c r="A949" s="17" t="s">
        <v>2821</v>
      </c>
      <c r="B949" s="9"/>
      <c r="C949" s="25"/>
      <c r="D949" s="22" t="s">
        <v>2819</v>
      </c>
    </row>
    <row r="950">
      <c r="A950" s="17" t="s">
        <v>2822</v>
      </c>
      <c r="B950" s="9"/>
      <c r="C950" s="25"/>
      <c r="D950" s="22" t="s">
        <v>2824</v>
      </c>
    </row>
    <row r="951">
      <c r="A951" s="17" t="s">
        <v>2825</v>
      </c>
      <c r="B951" s="9"/>
      <c r="C951" s="25"/>
      <c r="D951" s="22" t="s">
        <v>2824</v>
      </c>
    </row>
    <row r="952">
      <c r="A952" s="17" t="s">
        <v>2826</v>
      </c>
      <c r="B952" s="9"/>
      <c r="C952" s="25"/>
      <c r="D952" s="22" t="s">
        <v>2824</v>
      </c>
    </row>
    <row r="953">
      <c r="A953" s="17" t="s">
        <v>2827</v>
      </c>
      <c r="B953" s="9"/>
      <c r="C953" s="25"/>
      <c r="D953" s="22" t="s">
        <v>2828</v>
      </c>
    </row>
    <row r="954">
      <c r="A954" s="17" t="s">
        <v>2829</v>
      </c>
      <c r="B954" s="9"/>
      <c r="C954" s="25"/>
      <c r="D954" s="22" t="s">
        <v>2828</v>
      </c>
    </row>
    <row r="955">
      <c r="A955" s="17" t="s">
        <v>2830</v>
      </c>
      <c r="B955" s="9"/>
      <c r="C955" s="25"/>
      <c r="D955" s="22" t="s">
        <v>2828</v>
      </c>
    </row>
    <row r="956">
      <c r="A956" s="17" t="s">
        <v>2831</v>
      </c>
      <c r="B956" s="9"/>
      <c r="C956" s="25"/>
      <c r="D956" s="22" t="s">
        <v>2832</v>
      </c>
    </row>
    <row r="957">
      <c r="A957" s="17" t="s">
        <v>2833</v>
      </c>
      <c r="B957" s="9"/>
      <c r="C957" s="25"/>
      <c r="D957" s="22" t="s">
        <v>2832</v>
      </c>
    </row>
    <row r="958">
      <c r="A958" s="17" t="s">
        <v>2835</v>
      </c>
      <c r="B958" s="9"/>
      <c r="C958" s="25"/>
      <c r="D958" s="22" t="s">
        <v>2832</v>
      </c>
    </row>
    <row r="959">
      <c r="A959" s="17" t="s">
        <v>2836</v>
      </c>
      <c r="B959" s="9"/>
      <c r="C959" s="25"/>
      <c r="D959" s="22" t="s">
        <v>2837</v>
      </c>
    </row>
    <row r="960">
      <c r="A960" s="17" t="s">
        <v>2838</v>
      </c>
      <c r="B960" s="9"/>
      <c r="C960" s="25"/>
      <c r="D960" s="22" t="s">
        <v>2837</v>
      </c>
    </row>
    <row r="961">
      <c r="A961" s="17" t="s">
        <v>2839</v>
      </c>
      <c r="B961" s="9"/>
      <c r="C961" s="25"/>
      <c r="D961" s="22" t="s">
        <v>2837</v>
      </c>
    </row>
    <row r="962">
      <c r="A962" s="17" t="s">
        <v>2841</v>
      </c>
      <c r="B962" s="9"/>
      <c r="C962" s="25"/>
      <c r="D962" s="22" t="s">
        <v>2843</v>
      </c>
    </row>
    <row r="963">
      <c r="A963" s="17" t="s">
        <v>2844</v>
      </c>
      <c r="B963" s="9"/>
      <c r="C963" s="25"/>
      <c r="D963" s="22" t="s">
        <v>2843</v>
      </c>
    </row>
    <row r="964">
      <c r="A964" s="17" t="s">
        <v>2845</v>
      </c>
      <c r="B964" s="9"/>
      <c r="C964" s="25"/>
      <c r="D964" s="22" t="s">
        <v>2843</v>
      </c>
    </row>
    <row r="965">
      <c r="A965" s="17" t="s">
        <v>2846</v>
      </c>
      <c r="B965" s="9"/>
      <c r="C965" s="20" t="s">
        <v>1426</v>
      </c>
      <c r="D965" s="101" t="s">
        <v>2847</v>
      </c>
    </row>
    <row r="966">
      <c r="A966" s="17" t="s">
        <v>2848</v>
      </c>
      <c r="B966" s="9"/>
      <c r="C966" s="25"/>
      <c r="D966" s="22" t="s">
        <v>2849</v>
      </c>
    </row>
    <row r="967">
      <c r="A967" s="17" t="s">
        <v>2850</v>
      </c>
      <c r="B967" s="9"/>
      <c r="C967" s="25"/>
      <c r="D967" s="22" t="s">
        <v>2849</v>
      </c>
    </row>
    <row r="968">
      <c r="A968" s="17" t="s">
        <v>2851</v>
      </c>
      <c r="B968" s="9"/>
      <c r="C968" s="25"/>
      <c r="D968" s="22" t="s">
        <v>2849</v>
      </c>
    </row>
    <row r="969">
      <c r="A969" s="17" t="s">
        <v>2852</v>
      </c>
      <c r="B969" s="9"/>
      <c r="C969" s="25"/>
      <c r="D969" s="22" t="s">
        <v>2854</v>
      </c>
    </row>
    <row r="970">
      <c r="A970" s="17" t="s">
        <v>2856</v>
      </c>
      <c r="B970" s="9"/>
      <c r="C970" s="25"/>
      <c r="D970" s="22" t="s">
        <v>2854</v>
      </c>
    </row>
    <row r="971">
      <c r="A971" s="17" t="s">
        <v>2857</v>
      </c>
      <c r="B971" s="9"/>
      <c r="C971" s="25"/>
      <c r="D971" s="22" t="s">
        <v>2854</v>
      </c>
    </row>
    <row r="972">
      <c r="A972" s="17" t="s">
        <v>2858</v>
      </c>
      <c r="B972" s="9"/>
      <c r="C972" s="25"/>
      <c r="D972" s="22" t="s">
        <v>2859</v>
      </c>
    </row>
    <row r="973">
      <c r="A973" s="17" t="s">
        <v>2860</v>
      </c>
      <c r="B973" s="9"/>
      <c r="C973" s="25"/>
      <c r="D973" s="22" t="s">
        <v>2859</v>
      </c>
    </row>
    <row r="974">
      <c r="A974" s="17" t="s">
        <v>2861</v>
      </c>
      <c r="B974" s="9"/>
      <c r="C974" s="25"/>
      <c r="D974" s="22" t="s">
        <v>2859</v>
      </c>
    </row>
    <row r="975">
      <c r="A975" s="17" t="s">
        <v>2862</v>
      </c>
      <c r="B975" s="9"/>
      <c r="C975" s="25"/>
      <c r="D975" s="22" t="s">
        <v>2863</v>
      </c>
    </row>
    <row r="976">
      <c r="A976" s="17" t="s">
        <v>2864</v>
      </c>
      <c r="B976" s="9"/>
      <c r="C976" s="25"/>
      <c r="D976" s="22" t="s">
        <v>2863</v>
      </c>
    </row>
    <row r="977">
      <c r="A977" s="17" t="s">
        <v>2865</v>
      </c>
      <c r="B977" s="9"/>
      <c r="C977" s="25"/>
      <c r="D977" s="22" t="s">
        <v>2863</v>
      </c>
    </row>
    <row r="978">
      <c r="A978" s="17" t="s">
        <v>2866</v>
      </c>
      <c r="B978" s="9"/>
      <c r="C978" s="25"/>
      <c r="D978" s="22" t="s">
        <v>2867</v>
      </c>
    </row>
    <row r="979">
      <c r="A979" s="17" t="s">
        <v>2869</v>
      </c>
      <c r="B979" s="9"/>
      <c r="C979" s="25"/>
      <c r="D979" s="22" t="s">
        <v>2867</v>
      </c>
    </row>
    <row r="980">
      <c r="A980" s="17" t="s">
        <v>2871</v>
      </c>
      <c r="B980" s="9"/>
      <c r="C980" s="25"/>
      <c r="D980" s="22" t="s">
        <v>2867</v>
      </c>
    </row>
    <row r="981">
      <c r="A981" s="17" t="s">
        <v>2873</v>
      </c>
      <c r="B981" s="9"/>
      <c r="C981" s="25"/>
      <c r="D981" s="22" t="s">
        <v>2874</v>
      </c>
    </row>
    <row r="982">
      <c r="A982" s="17" t="s">
        <v>2875</v>
      </c>
      <c r="B982" s="9"/>
      <c r="C982" s="25"/>
      <c r="D982" s="22" t="s">
        <v>2874</v>
      </c>
    </row>
    <row r="983">
      <c r="A983" s="17" t="s">
        <v>2876</v>
      </c>
      <c r="B983" s="9"/>
      <c r="C983" s="25"/>
      <c r="D983" s="22" t="s">
        <v>2874</v>
      </c>
    </row>
    <row r="984">
      <c r="A984" s="17" t="s">
        <v>2877</v>
      </c>
      <c r="B984" s="9"/>
      <c r="C984" s="25"/>
      <c r="D984" s="22" t="s">
        <v>2878</v>
      </c>
    </row>
    <row r="985">
      <c r="A985" s="17" t="s">
        <v>2879</v>
      </c>
      <c r="B985" s="9"/>
      <c r="C985" s="25"/>
      <c r="D985" s="22" t="s">
        <v>2878</v>
      </c>
    </row>
    <row r="986">
      <c r="A986" s="17" t="s">
        <v>2880</v>
      </c>
      <c r="B986" s="9"/>
      <c r="C986" s="25"/>
      <c r="D986" s="22" t="s">
        <v>2878</v>
      </c>
    </row>
    <row r="987">
      <c r="A987" s="17" t="s">
        <v>2882</v>
      </c>
      <c r="B987" s="9"/>
      <c r="C987" s="25"/>
      <c r="D987" s="22" t="s">
        <v>2883</v>
      </c>
    </row>
    <row r="988">
      <c r="A988" s="17" t="s">
        <v>2884</v>
      </c>
      <c r="B988" s="9"/>
      <c r="C988" s="25"/>
      <c r="D988" s="22" t="s">
        <v>2883</v>
      </c>
    </row>
    <row r="989">
      <c r="A989" s="17" t="s">
        <v>2885</v>
      </c>
      <c r="B989" s="9"/>
      <c r="C989" s="25"/>
      <c r="D989" s="22" t="s">
        <v>2883</v>
      </c>
    </row>
    <row r="990">
      <c r="A990" s="17" t="s">
        <v>2886</v>
      </c>
      <c r="B990" s="9"/>
      <c r="C990" s="25"/>
      <c r="D990" s="22" t="s">
        <v>2887</v>
      </c>
    </row>
    <row r="991">
      <c r="A991" s="17" t="s">
        <v>2888</v>
      </c>
      <c r="B991" s="9"/>
      <c r="C991" s="25"/>
      <c r="D991" s="22" t="s">
        <v>2887</v>
      </c>
    </row>
    <row r="992">
      <c r="A992" s="17" t="s">
        <v>2889</v>
      </c>
      <c r="B992" s="9"/>
      <c r="C992" s="25"/>
      <c r="D992" s="22" t="s">
        <v>2887</v>
      </c>
    </row>
    <row r="993">
      <c r="A993" s="17" t="s">
        <v>2890</v>
      </c>
      <c r="B993" s="9"/>
      <c r="C993" s="25"/>
      <c r="D993" s="22" t="s">
        <v>2892</v>
      </c>
    </row>
    <row r="994">
      <c r="A994" s="17" t="s">
        <v>2893</v>
      </c>
      <c r="B994" s="9"/>
      <c r="C994" s="25"/>
      <c r="D994" s="22" t="s">
        <v>2892</v>
      </c>
    </row>
    <row r="995">
      <c r="A995" s="17" t="s">
        <v>2896</v>
      </c>
      <c r="B995" s="9"/>
      <c r="C995" s="25"/>
      <c r="D995" s="22" t="s">
        <v>2892</v>
      </c>
    </row>
    <row r="996">
      <c r="A996" s="17" t="s">
        <v>2897</v>
      </c>
      <c r="B996" s="9"/>
      <c r="C996" s="25"/>
      <c r="D996" s="22" t="s">
        <v>2898</v>
      </c>
    </row>
    <row r="997">
      <c r="A997" s="17" t="s">
        <v>2899</v>
      </c>
      <c r="B997" s="9"/>
      <c r="C997" s="25"/>
      <c r="D997" s="22" t="s">
        <v>2898</v>
      </c>
    </row>
    <row r="998">
      <c r="A998" s="17" t="s">
        <v>2900</v>
      </c>
      <c r="B998" s="9"/>
      <c r="C998" s="25"/>
      <c r="D998" s="22" t="s">
        <v>2898</v>
      </c>
    </row>
    <row r="999">
      <c r="A999" s="17" t="s">
        <v>2901</v>
      </c>
      <c r="B999" s="9"/>
      <c r="C999" s="25"/>
      <c r="D999" s="22" t="s">
        <v>2902</v>
      </c>
    </row>
    <row r="1000">
      <c r="A1000" s="17" t="s">
        <v>2903</v>
      </c>
      <c r="B1000" s="9"/>
      <c r="C1000" s="25"/>
      <c r="D1000" s="22" t="s">
        <v>2902</v>
      </c>
    </row>
    <row r="1001">
      <c r="A1001" s="17" t="s">
        <v>2904</v>
      </c>
      <c r="B1001" s="9"/>
      <c r="C1001" s="25"/>
      <c r="D1001" s="22" t="s">
        <v>2902</v>
      </c>
    </row>
    <row r="1002">
      <c r="A1002" s="17" t="s">
        <v>2905</v>
      </c>
      <c r="B1002" s="9"/>
      <c r="C1002" s="25"/>
      <c r="D1002" s="22" t="s">
        <v>2906</v>
      </c>
    </row>
    <row r="1003">
      <c r="A1003" s="17" t="s">
        <v>2907</v>
      </c>
      <c r="B1003" s="9"/>
      <c r="C1003" s="25"/>
      <c r="D1003" s="22" t="s">
        <v>2906</v>
      </c>
    </row>
    <row r="1004">
      <c r="A1004" s="17" t="s">
        <v>2908</v>
      </c>
      <c r="B1004" s="9"/>
      <c r="C1004" s="25"/>
      <c r="D1004" s="22" t="s">
        <v>2906</v>
      </c>
    </row>
    <row r="1005">
      <c r="A1005" s="17" t="s">
        <v>2909</v>
      </c>
      <c r="B1005" s="9"/>
      <c r="C1005" s="25"/>
      <c r="D1005" s="22" t="s">
        <v>2910</v>
      </c>
    </row>
    <row r="1006">
      <c r="A1006" s="17" t="s">
        <v>2911</v>
      </c>
      <c r="B1006" s="9"/>
      <c r="C1006" s="25"/>
      <c r="D1006" s="22" t="s">
        <v>2910</v>
      </c>
    </row>
    <row r="1007">
      <c r="A1007" s="17" t="s">
        <v>2912</v>
      </c>
      <c r="B1007" s="9"/>
      <c r="C1007" s="25"/>
      <c r="D1007" s="22" t="s">
        <v>2910</v>
      </c>
    </row>
    <row r="1008">
      <c r="A1008" s="17" t="s">
        <v>2915</v>
      </c>
      <c r="B1008" s="9"/>
      <c r="C1008" s="25"/>
      <c r="D1008" s="22" t="s">
        <v>2916</v>
      </c>
    </row>
    <row r="1009">
      <c r="A1009" s="17" t="s">
        <v>2917</v>
      </c>
      <c r="B1009" s="9"/>
      <c r="C1009" s="25"/>
      <c r="D1009" s="22" t="s">
        <v>2916</v>
      </c>
    </row>
    <row r="1010">
      <c r="A1010" s="17" t="s">
        <v>2918</v>
      </c>
      <c r="B1010" s="9"/>
      <c r="C1010" s="25"/>
      <c r="D1010" s="22" t="s">
        <v>2916</v>
      </c>
    </row>
    <row r="1011">
      <c r="A1011" s="17" t="s">
        <v>2919</v>
      </c>
      <c r="B1011" s="9"/>
      <c r="C1011" s="25"/>
      <c r="D1011" s="22" t="s">
        <v>2920</v>
      </c>
    </row>
    <row r="1012">
      <c r="A1012" s="17" t="s">
        <v>2921</v>
      </c>
      <c r="B1012" s="9"/>
      <c r="C1012" s="25"/>
      <c r="D1012" s="22" t="s">
        <v>2920</v>
      </c>
    </row>
    <row r="1013">
      <c r="A1013" s="17" t="s">
        <v>2922</v>
      </c>
      <c r="B1013" s="9"/>
      <c r="C1013" s="25"/>
      <c r="D1013" s="22" t="s">
        <v>2920</v>
      </c>
    </row>
    <row r="1014">
      <c r="A1014" s="17" t="s">
        <v>2923</v>
      </c>
      <c r="B1014" s="9"/>
      <c r="C1014" s="25"/>
      <c r="D1014" s="22" t="s">
        <v>2924</v>
      </c>
    </row>
    <row r="1015">
      <c r="A1015" s="17" t="s">
        <v>2925</v>
      </c>
      <c r="B1015" s="9"/>
      <c r="C1015" s="25"/>
      <c r="D1015" s="22" t="s">
        <v>2924</v>
      </c>
    </row>
    <row r="1016">
      <c r="A1016" s="17" t="s">
        <v>2926</v>
      </c>
      <c r="B1016" s="9"/>
      <c r="C1016" s="25"/>
      <c r="D1016" s="22" t="s">
        <v>2924</v>
      </c>
    </row>
    <row r="1017">
      <c r="A1017" s="17" t="s">
        <v>2928</v>
      </c>
      <c r="B1017" s="9"/>
      <c r="C1017" s="25"/>
      <c r="D1017" s="99" t="s">
        <v>2103</v>
      </c>
    </row>
    <row r="1018">
      <c r="A1018" s="17" t="s">
        <v>2929</v>
      </c>
      <c r="B1018" s="9"/>
      <c r="C1018" s="25"/>
      <c r="D1018" s="99" t="s">
        <v>2103</v>
      </c>
    </row>
    <row r="1019">
      <c r="A1019" s="17" t="s">
        <v>2930</v>
      </c>
      <c r="B1019" s="9"/>
      <c r="C1019" s="25"/>
      <c r="D1019" s="99" t="s">
        <v>2103</v>
      </c>
    </row>
    <row r="1020">
      <c r="A1020" s="17" t="s">
        <v>2931</v>
      </c>
      <c r="B1020" s="9"/>
      <c r="C1020" s="25"/>
      <c r="D1020" s="99" t="s">
        <v>2103</v>
      </c>
    </row>
    <row r="1021">
      <c r="A1021" s="17" t="s">
        <v>2932</v>
      </c>
      <c r="B1021" s="9"/>
      <c r="C1021" s="25"/>
      <c r="D1021" s="22" t="s">
        <v>2933</v>
      </c>
    </row>
    <row r="1022">
      <c r="A1022" s="17" t="s">
        <v>2934</v>
      </c>
      <c r="B1022" s="9"/>
      <c r="C1022" s="25"/>
      <c r="D1022" s="22" t="s">
        <v>2933</v>
      </c>
    </row>
    <row r="1023">
      <c r="A1023" s="17" t="s">
        <v>2936</v>
      </c>
      <c r="B1023" s="9"/>
      <c r="C1023" s="25"/>
      <c r="D1023" s="22" t="s">
        <v>2933</v>
      </c>
    </row>
    <row r="1024">
      <c r="A1024" s="17" t="s">
        <v>2938</v>
      </c>
      <c r="B1024" s="9"/>
      <c r="C1024" s="20" t="s">
        <v>2939</v>
      </c>
      <c r="D1024" s="99" t="s">
        <v>2941</v>
      </c>
    </row>
    <row r="1025">
      <c r="A1025" s="17" t="s">
        <v>2942</v>
      </c>
      <c r="B1025" s="9"/>
      <c r="C1025" s="20" t="s">
        <v>2943</v>
      </c>
      <c r="D1025" s="99" t="s">
        <v>2941</v>
      </c>
    </row>
    <row r="1026">
      <c r="A1026" s="17" t="s">
        <v>2944</v>
      </c>
      <c r="B1026" s="9"/>
      <c r="C1026" s="25"/>
      <c r="D1026" s="22" t="s">
        <v>2945</v>
      </c>
    </row>
    <row r="1027">
      <c r="A1027" s="17" t="s">
        <v>2946</v>
      </c>
      <c r="B1027" s="9"/>
      <c r="C1027" s="25"/>
      <c r="D1027" s="22" t="s">
        <v>2945</v>
      </c>
    </row>
    <row r="1028">
      <c r="A1028" s="17" t="s">
        <v>2947</v>
      </c>
      <c r="B1028" s="9"/>
      <c r="C1028" s="25"/>
      <c r="D1028" s="22" t="s">
        <v>2945</v>
      </c>
    </row>
    <row r="1029">
      <c r="A1029" s="17" t="s">
        <v>2949</v>
      </c>
      <c r="B1029" s="9"/>
      <c r="C1029" s="25"/>
      <c r="D1029" s="22" t="s">
        <v>2950</v>
      </c>
    </row>
    <row r="1030">
      <c r="A1030" s="17" t="s">
        <v>2951</v>
      </c>
      <c r="B1030" s="9"/>
      <c r="C1030" s="25"/>
      <c r="D1030" s="22" t="s">
        <v>2950</v>
      </c>
    </row>
    <row r="1031">
      <c r="A1031" s="17" t="s">
        <v>2953</v>
      </c>
      <c r="B1031" s="9"/>
      <c r="C1031" s="25"/>
      <c r="D1031" s="22" t="s">
        <v>2950</v>
      </c>
    </row>
    <row r="1032">
      <c r="A1032" s="17" t="s">
        <v>2954</v>
      </c>
      <c r="B1032" s="9"/>
      <c r="C1032" s="25"/>
      <c r="D1032" s="22" t="s">
        <v>2956</v>
      </c>
    </row>
    <row r="1033">
      <c r="A1033" s="17" t="s">
        <v>2957</v>
      </c>
      <c r="B1033" s="9"/>
      <c r="C1033" s="25"/>
      <c r="D1033" s="22" t="s">
        <v>2956</v>
      </c>
    </row>
    <row r="1034">
      <c r="A1034" s="17" t="s">
        <v>2960</v>
      </c>
      <c r="B1034" s="9"/>
      <c r="C1034" s="25"/>
      <c r="D1034" s="22" t="s">
        <v>2956</v>
      </c>
    </row>
    <row r="1035">
      <c r="A1035" s="17" t="s">
        <v>2961</v>
      </c>
      <c r="B1035" s="9"/>
      <c r="C1035" s="25"/>
      <c r="D1035" s="22" t="s">
        <v>2962</v>
      </c>
    </row>
    <row r="1036">
      <c r="A1036" s="17" t="s">
        <v>2963</v>
      </c>
      <c r="B1036" s="9"/>
      <c r="C1036" s="25"/>
      <c r="D1036" s="22" t="s">
        <v>2962</v>
      </c>
    </row>
    <row r="1037">
      <c r="A1037" s="17" t="s">
        <v>2964</v>
      </c>
      <c r="B1037" s="9"/>
      <c r="C1037" s="25"/>
      <c r="D1037" s="22" t="s">
        <v>2962</v>
      </c>
    </row>
    <row r="1038">
      <c r="A1038" s="17" t="s">
        <v>2965</v>
      </c>
      <c r="B1038" s="9"/>
      <c r="C1038" s="25"/>
      <c r="D1038" s="22" t="s">
        <v>2966</v>
      </c>
    </row>
    <row r="1039">
      <c r="A1039" s="17" t="s">
        <v>2968</v>
      </c>
      <c r="B1039" s="9"/>
      <c r="C1039" s="25"/>
      <c r="D1039" s="22" t="s">
        <v>2966</v>
      </c>
    </row>
    <row r="1040">
      <c r="A1040" s="17" t="s">
        <v>2970</v>
      </c>
      <c r="B1040" s="9"/>
      <c r="C1040" s="25"/>
      <c r="D1040" s="22" t="s">
        <v>2966</v>
      </c>
    </row>
    <row r="1041">
      <c r="A1041" s="17" t="s">
        <v>2972</v>
      </c>
      <c r="B1041" s="9"/>
      <c r="C1041" s="25"/>
      <c r="D1041" s="22" t="s">
        <v>2973</v>
      </c>
    </row>
    <row r="1042">
      <c r="A1042" s="17" t="s">
        <v>2974</v>
      </c>
      <c r="B1042" s="9"/>
      <c r="C1042" s="25"/>
      <c r="D1042" s="22" t="s">
        <v>2973</v>
      </c>
    </row>
    <row r="1043">
      <c r="A1043" s="17" t="s">
        <v>2975</v>
      </c>
      <c r="B1043" s="9"/>
      <c r="C1043" s="25"/>
      <c r="D1043" s="22" t="s">
        <v>2973</v>
      </c>
    </row>
    <row r="1044">
      <c r="A1044" s="17" t="s">
        <v>2976</v>
      </c>
      <c r="B1044" s="9"/>
      <c r="C1044" s="25"/>
      <c r="D1044" s="22" t="s">
        <v>2977</v>
      </c>
    </row>
    <row r="1045">
      <c r="A1045" s="17" t="s">
        <v>2978</v>
      </c>
      <c r="B1045" s="9"/>
      <c r="C1045" s="25"/>
      <c r="D1045" s="22" t="s">
        <v>2977</v>
      </c>
    </row>
    <row r="1046">
      <c r="A1046" s="17" t="s">
        <v>2979</v>
      </c>
      <c r="B1046" s="9"/>
      <c r="C1046" s="25"/>
      <c r="D1046" s="22" t="s">
        <v>2977</v>
      </c>
    </row>
    <row r="1047">
      <c r="A1047" s="17" t="s">
        <v>2980</v>
      </c>
      <c r="B1047" s="9"/>
      <c r="C1047" s="25"/>
      <c r="D1047" s="22" t="s">
        <v>2981</v>
      </c>
    </row>
    <row r="1048">
      <c r="A1048" s="17" t="s">
        <v>2982</v>
      </c>
      <c r="B1048" s="9"/>
      <c r="C1048" s="25"/>
      <c r="D1048" s="22" t="s">
        <v>2981</v>
      </c>
    </row>
    <row r="1049">
      <c r="A1049" s="17" t="s">
        <v>2983</v>
      </c>
      <c r="B1049" s="9"/>
      <c r="C1049" s="25"/>
      <c r="D1049" s="22" t="s">
        <v>2981</v>
      </c>
    </row>
    <row r="1050">
      <c r="A1050" s="17" t="s">
        <v>2984</v>
      </c>
      <c r="B1050" s="9"/>
      <c r="C1050" s="25"/>
      <c r="D1050" s="22" t="s">
        <v>2985</v>
      </c>
    </row>
    <row r="1051">
      <c r="A1051" s="17" t="s">
        <v>2986</v>
      </c>
      <c r="B1051" s="9"/>
      <c r="C1051" s="25"/>
      <c r="D1051" s="22" t="s">
        <v>2985</v>
      </c>
    </row>
    <row r="1052">
      <c r="A1052" s="17" t="s">
        <v>2987</v>
      </c>
      <c r="B1052" s="9"/>
      <c r="C1052" s="25"/>
      <c r="D1052" s="22" t="s">
        <v>2985</v>
      </c>
    </row>
    <row r="1053">
      <c r="A1053" s="17" t="s">
        <v>2991</v>
      </c>
      <c r="B1053" s="9"/>
      <c r="C1053" s="25"/>
      <c r="D1053" s="22" t="s">
        <v>2992</v>
      </c>
    </row>
    <row r="1054">
      <c r="A1054" s="17" t="s">
        <v>2994</v>
      </c>
      <c r="B1054" s="9"/>
      <c r="C1054" s="25"/>
      <c r="D1054" s="22" t="s">
        <v>2992</v>
      </c>
    </row>
    <row r="1055">
      <c r="A1055" s="17" t="s">
        <v>2995</v>
      </c>
      <c r="B1055" s="9"/>
      <c r="C1055" s="25"/>
      <c r="D1055" s="22" t="s">
        <v>2992</v>
      </c>
    </row>
    <row r="1056">
      <c r="A1056" s="17" t="s">
        <v>2997</v>
      </c>
      <c r="B1056" s="9"/>
      <c r="C1056" s="25"/>
      <c r="D1056" s="22" t="s">
        <v>2999</v>
      </c>
    </row>
    <row r="1057">
      <c r="A1057" s="17" t="s">
        <v>3000</v>
      </c>
      <c r="B1057" s="9"/>
      <c r="C1057" s="25"/>
      <c r="D1057" s="22" t="s">
        <v>2999</v>
      </c>
    </row>
    <row r="1058">
      <c r="A1058" s="17" t="s">
        <v>3001</v>
      </c>
      <c r="B1058" s="9"/>
      <c r="C1058" s="25"/>
      <c r="D1058" s="22" t="s">
        <v>2999</v>
      </c>
    </row>
    <row r="1059">
      <c r="A1059" s="17" t="s">
        <v>3003</v>
      </c>
      <c r="B1059" s="9"/>
      <c r="C1059" s="25"/>
      <c r="D1059" s="22" t="s">
        <v>3004</v>
      </c>
    </row>
    <row r="1060">
      <c r="A1060" s="17" t="s">
        <v>3006</v>
      </c>
      <c r="B1060" s="9"/>
      <c r="C1060" s="25"/>
      <c r="D1060" s="22" t="s">
        <v>3004</v>
      </c>
    </row>
    <row r="1061">
      <c r="A1061" s="17" t="s">
        <v>3010</v>
      </c>
      <c r="B1061" s="9"/>
      <c r="C1061" s="25"/>
      <c r="D1061" s="22" t="s">
        <v>3004</v>
      </c>
    </row>
    <row r="1062">
      <c r="A1062" s="17" t="s">
        <v>3012</v>
      </c>
      <c r="B1062" s="9"/>
      <c r="C1062" s="25"/>
      <c r="D1062" s="22" t="s">
        <v>3013</v>
      </c>
    </row>
    <row r="1063">
      <c r="A1063" s="17" t="s">
        <v>3014</v>
      </c>
      <c r="B1063" s="9"/>
      <c r="C1063" s="25"/>
      <c r="D1063" s="22" t="s">
        <v>3013</v>
      </c>
    </row>
    <row r="1064">
      <c r="A1064" s="17" t="s">
        <v>3015</v>
      </c>
      <c r="B1064" s="9"/>
      <c r="C1064" s="25"/>
      <c r="D1064" s="22" t="s">
        <v>3013</v>
      </c>
    </row>
    <row r="1065">
      <c r="A1065" s="17" t="s">
        <v>3016</v>
      </c>
      <c r="B1065" s="9"/>
      <c r="C1065" s="25"/>
      <c r="D1065" s="22" t="s">
        <v>3017</v>
      </c>
    </row>
    <row r="1066">
      <c r="A1066" s="17" t="s">
        <v>3018</v>
      </c>
      <c r="B1066" s="9"/>
      <c r="C1066" s="25"/>
      <c r="D1066" s="22" t="s">
        <v>3017</v>
      </c>
    </row>
    <row r="1067">
      <c r="A1067" s="17" t="s">
        <v>3021</v>
      </c>
      <c r="B1067" s="9"/>
      <c r="C1067" s="25"/>
      <c r="D1067" s="22" t="s">
        <v>3017</v>
      </c>
    </row>
    <row r="1068">
      <c r="A1068" s="17" t="s">
        <v>3024</v>
      </c>
      <c r="B1068" s="9"/>
      <c r="C1068" s="25"/>
      <c r="D1068" s="22" t="s">
        <v>3026</v>
      </c>
    </row>
    <row r="1069">
      <c r="A1069" s="17" t="s">
        <v>3027</v>
      </c>
      <c r="B1069" s="9"/>
      <c r="C1069" s="25"/>
      <c r="D1069" s="22" t="s">
        <v>3026</v>
      </c>
    </row>
    <row r="1070">
      <c r="A1070" s="17" t="s">
        <v>3029</v>
      </c>
      <c r="B1070" s="9"/>
      <c r="C1070" s="25"/>
      <c r="D1070" s="22" t="s">
        <v>3026</v>
      </c>
    </row>
    <row r="1071">
      <c r="A1071" s="17" t="s">
        <v>3030</v>
      </c>
      <c r="B1071" s="9"/>
      <c r="C1071" s="25"/>
      <c r="D1071" s="22" t="s">
        <v>3031</v>
      </c>
    </row>
    <row r="1072">
      <c r="A1072" s="17" t="s">
        <v>3032</v>
      </c>
      <c r="B1072" s="9"/>
      <c r="C1072" s="25"/>
      <c r="D1072" s="22" t="s">
        <v>3031</v>
      </c>
    </row>
    <row r="1073">
      <c r="A1073" s="17" t="s">
        <v>3034</v>
      </c>
      <c r="B1073" s="9"/>
      <c r="C1073" s="25"/>
      <c r="D1073" s="22" t="s">
        <v>3031</v>
      </c>
    </row>
    <row r="1074">
      <c r="A1074" s="17" t="s">
        <v>3035</v>
      </c>
      <c r="B1074" s="9"/>
      <c r="C1074" s="25"/>
      <c r="D1074" s="22" t="s">
        <v>3036</v>
      </c>
    </row>
    <row r="1075">
      <c r="A1075" s="17" t="s">
        <v>3038</v>
      </c>
      <c r="B1075" s="9"/>
      <c r="C1075" s="25"/>
      <c r="D1075" s="22" t="s">
        <v>3036</v>
      </c>
    </row>
    <row r="1076">
      <c r="A1076" s="17" t="s">
        <v>3040</v>
      </c>
      <c r="B1076" s="9"/>
      <c r="C1076" s="25"/>
      <c r="D1076" s="22" t="s">
        <v>3036</v>
      </c>
    </row>
    <row r="1077">
      <c r="A1077" s="17" t="s">
        <v>3041</v>
      </c>
      <c r="B1077" s="9"/>
      <c r="C1077" s="25"/>
      <c r="D1077" s="22" t="s">
        <v>3042</v>
      </c>
    </row>
    <row r="1078">
      <c r="A1078" s="17" t="s">
        <v>3043</v>
      </c>
      <c r="B1078" s="9"/>
      <c r="C1078" s="25"/>
      <c r="D1078" s="22" t="s">
        <v>3042</v>
      </c>
    </row>
    <row r="1079">
      <c r="A1079" s="17" t="s">
        <v>3046</v>
      </c>
      <c r="B1079" s="9"/>
      <c r="C1079" s="25"/>
      <c r="D1079" s="22" t="s">
        <v>3042</v>
      </c>
    </row>
    <row r="1080">
      <c r="A1080" s="17" t="s">
        <v>3048</v>
      </c>
      <c r="B1080" s="9"/>
      <c r="C1080" s="25"/>
      <c r="D1080" s="22" t="s">
        <v>3049</v>
      </c>
    </row>
    <row r="1081">
      <c r="A1081" s="17" t="s">
        <v>3050</v>
      </c>
      <c r="B1081" s="9"/>
      <c r="C1081" s="25"/>
      <c r="D1081" s="22" t="s">
        <v>3049</v>
      </c>
    </row>
    <row r="1082">
      <c r="A1082" s="17" t="s">
        <v>3051</v>
      </c>
      <c r="B1082" s="9"/>
      <c r="C1082" s="25"/>
      <c r="D1082" s="22" t="s">
        <v>3049</v>
      </c>
    </row>
    <row r="1083">
      <c r="A1083" s="17" t="s">
        <v>3052</v>
      </c>
      <c r="B1083" s="9"/>
      <c r="C1083" s="25"/>
      <c r="D1083" s="22" t="s">
        <v>3053</v>
      </c>
    </row>
    <row r="1084">
      <c r="A1084" s="17" t="s">
        <v>3054</v>
      </c>
      <c r="B1084" s="9"/>
      <c r="C1084" s="25"/>
      <c r="D1084" s="22" t="s">
        <v>3053</v>
      </c>
    </row>
    <row r="1085">
      <c r="A1085" s="17" t="s">
        <v>3056</v>
      </c>
      <c r="B1085" s="9"/>
      <c r="C1085" s="25"/>
      <c r="D1085" s="22" t="s">
        <v>3053</v>
      </c>
    </row>
    <row r="1086">
      <c r="A1086" s="17" t="s">
        <v>3058</v>
      </c>
      <c r="B1086" s="9"/>
      <c r="C1086" s="25"/>
      <c r="D1086" s="22" t="s">
        <v>3059</v>
      </c>
    </row>
    <row r="1087">
      <c r="A1087" s="17" t="s">
        <v>3060</v>
      </c>
      <c r="B1087" s="9"/>
      <c r="C1087" s="25"/>
      <c r="D1087" s="22" t="s">
        <v>3059</v>
      </c>
    </row>
    <row r="1088">
      <c r="A1088" s="17" t="s">
        <v>3062</v>
      </c>
      <c r="B1088" s="9"/>
      <c r="C1088" s="25"/>
      <c r="D1088" s="22" t="s">
        <v>3059</v>
      </c>
    </row>
    <row r="1089">
      <c r="A1089" s="17" t="s">
        <v>3063</v>
      </c>
      <c r="B1089" s="9"/>
      <c r="C1089" s="25"/>
      <c r="D1089" s="22" t="s">
        <v>3064</v>
      </c>
    </row>
    <row r="1090">
      <c r="A1090" s="17" t="s">
        <v>3065</v>
      </c>
      <c r="B1090" s="9"/>
      <c r="C1090" s="25"/>
      <c r="D1090" s="22" t="s">
        <v>3064</v>
      </c>
    </row>
    <row r="1091">
      <c r="A1091" s="17" t="s">
        <v>3068</v>
      </c>
      <c r="B1091" s="9"/>
      <c r="C1091" s="25"/>
      <c r="D1091" s="22" t="s">
        <v>3064</v>
      </c>
    </row>
    <row r="1092">
      <c r="A1092" s="17" t="s">
        <v>3069</v>
      </c>
      <c r="B1092" s="9"/>
      <c r="C1092" s="25"/>
      <c r="D1092" s="22" t="s">
        <v>3070</v>
      </c>
    </row>
    <row r="1093">
      <c r="A1093" s="17" t="s">
        <v>3071</v>
      </c>
      <c r="B1093" s="9"/>
      <c r="C1093" s="25"/>
      <c r="D1093" s="22" t="s">
        <v>3070</v>
      </c>
    </row>
    <row r="1094">
      <c r="A1094" s="17" t="s">
        <v>3074</v>
      </c>
      <c r="B1094" s="9"/>
      <c r="C1094" s="25"/>
      <c r="D1094" s="22" t="s">
        <v>3070</v>
      </c>
    </row>
    <row r="1095">
      <c r="A1095" s="17" t="s">
        <v>3076</v>
      </c>
      <c r="B1095" s="9"/>
      <c r="C1095" s="25"/>
      <c r="D1095" s="22" t="s">
        <v>3078</v>
      </c>
    </row>
    <row r="1096">
      <c r="A1096" s="17" t="s">
        <v>3079</v>
      </c>
      <c r="B1096" s="9"/>
      <c r="C1096" s="25"/>
      <c r="D1096" s="22" t="s">
        <v>3078</v>
      </c>
    </row>
    <row r="1097">
      <c r="A1097" s="17" t="s">
        <v>3080</v>
      </c>
      <c r="B1097" s="9"/>
      <c r="C1097" s="25"/>
      <c r="D1097" s="22" t="s">
        <v>3078</v>
      </c>
    </row>
    <row r="1098">
      <c r="A1098" s="17" t="s">
        <v>3081</v>
      </c>
      <c r="B1098" s="9"/>
      <c r="C1098" s="25"/>
      <c r="D1098" s="22" t="s">
        <v>3082</v>
      </c>
    </row>
    <row r="1099">
      <c r="A1099" s="17" t="s">
        <v>3083</v>
      </c>
      <c r="B1099" s="9"/>
      <c r="C1099" s="25"/>
      <c r="D1099" s="22" t="s">
        <v>3082</v>
      </c>
    </row>
    <row r="1100">
      <c r="A1100" s="17" t="s">
        <v>3084</v>
      </c>
      <c r="B1100" s="9"/>
      <c r="C1100" s="25"/>
      <c r="D1100" s="22" t="s">
        <v>3082</v>
      </c>
    </row>
    <row r="1101">
      <c r="A1101" s="17" t="s">
        <v>3085</v>
      </c>
      <c r="B1101" s="9"/>
      <c r="C1101" s="25"/>
      <c r="D1101" s="22" t="s">
        <v>3086</v>
      </c>
    </row>
    <row r="1102">
      <c r="A1102" s="17" t="s">
        <v>3087</v>
      </c>
      <c r="B1102" s="9"/>
      <c r="C1102" s="25"/>
      <c r="D1102" s="22" t="s">
        <v>3086</v>
      </c>
    </row>
    <row r="1103">
      <c r="A1103" s="17" t="s">
        <v>3091</v>
      </c>
      <c r="B1103" s="9"/>
      <c r="C1103" s="25"/>
      <c r="D1103" s="22" t="s">
        <v>3086</v>
      </c>
    </row>
    <row r="1104">
      <c r="A1104" s="17" t="s">
        <v>3092</v>
      </c>
      <c r="B1104" s="9"/>
      <c r="C1104" s="25"/>
      <c r="D1104" s="22" t="s">
        <v>3093</v>
      </c>
    </row>
    <row r="1105">
      <c r="A1105" s="17" t="s">
        <v>3095</v>
      </c>
      <c r="B1105" s="9"/>
      <c r="C1105" s="25"/>
      <c r="D1105" s="22" t="s">
        <v>3093</v>
      </c>
    </row>
    <row r="1106">
      <c r="A1106" s="17" t="s">
        <v>3096</v>
      </c>
      <c r="B1106" s="9"/>
      <c r="C1106" s="25"/>
      <c r="D1106" s="22" t="s">
        <v>3093</v>
      </c>
    </row>
    <row r="1107">
      <c r="A1107" s="17" t="s">
        <v>3097</v>
      </c>
      <c r="B1107" s="9"/>
      <c r="C1107" s="25"/>
      <c r="D1107" s="22" t="s">
        <v>3098</v>
      </c>
    </row>
    <row r="1108">
      <c r="A1108" s="17" t="s">
        <v>3099</v>
      </c>
      <c r="B1108" s="9"/>
      <c r="C1108" s="25"/>
      <c r="D1108" s="22" t="s">
        <v>3098</v>
      </c>
    </row>
    <row r="1109">
      <c r="A1109" s="17" t="s">
        <v>3100</v>
      </c>
      <c r="B1109" s="9"/>
      <c r="C1109" s="25"/>
      <c r="D1109" s="22" t="s">
        <v>3098</v>
      </c>
    </row>
    <row r="1110">
      <c r="A1110" s="17" t="s">
        <v>3101</v>
      </c>
      <c r="B1110" s="9"/>
      <c r="C1110" s="25"/>
      <c r="D1110" s="22" t="s">
        <v>3102</v>
      </c>
    </row>
    <row r="1111">
      <c r="A1111" s="17" t="s">
        <v>3104</v>
      </c>
      <c r="B1111" s="9"/>
      <c r="C1111" s="25"/>
      <c r="D1111" s="22" t="s">
        <v>3102</v>
      </c>
    </row>
    <row r="1112">
      <c r="A1112" s="17" t="s">
        <v>3105</v>
      </c>
      <c r="B1112" s="9"/>
      <c r="C1112" s="25"/>
      <c r="D1112" s="22" t="s">
        <v>3102</v>
      </c>
    </row>
    <row r="1113">
      <c r="A1113" s="17" t="s">
        <v>3106</v>
      </c>
      <c r="B1113" s="9"/>
      <c r="C1113" s="25"/>
      <c r="D1113" s="22" t="s">
        <v>3107</v>
      </c>
    </row>
    <row r="1114">
      <c r="A1114" s="17" t="s">
        <v>3108</v>
      </c>
      <c r="B1114" s="9"/>
      <c r="C1114" s="25"/>
      <c r="D1114" s="22" t="s">
        <v>3107</v>
      </c>
    </row>
    <row r="1115">
      <c r="A1115" s="17" t="s">
        <v>3110</v>
      </c>
      <c r="B1115" s="9"/>
      <c r="C1115" s="25"/>
      <c r="D1115" s="22" t="s">
        <v>3107</v>
      </c>
    </row>
    <row r="1116">
      <c r="A1116" s="17" t="s">
        <v>3111</v>
      </c>
      <c r="B1116" s="9"/>
      <c r="C1116" s="25"/>
      <c r="D1116" s="22" t="s">
        <v>3113</v>
      </c>
    </row>
    <row r="1117">
      <c r="A1117" s="17" t="s">
        <v>3114</v>
      </c>
      <c r="B1117" s="9"/>
      <c r="C1117" s="25"/>
      <c r="D1117" s="22" t="s">
        <v>3113</v>
      </c>
    </row>
    <row r="1118">
      <c r="A1118" s="17" t="s">
        <v>3115</v>
      </c>
      <c r="B1118" s="9"/>
      <c r="C1118" s="25"/>
      <c r="D1118" s="22" t="s">
        <v>3113</v>
      </c>
    </row>
    <row r="1119">
      <c r="A1119" s="17" t="s">
        <v>3117</v>
      </c>
      <c r="B1119" s="9"/>
      <c r="C1119" s="25"/>
      <c r="D1119" s="22" t="s">
        <v>3118</v>
      </c>
    </row>
    <row r="1120">
      <c r="A1120" s="17" t="s">
        <v>3119</v>
      </c>
      <c r="B1120" s="9"/>
      <c r="C1120" s="25"/>
      <c r="D1120" s="22" t="s">
        <v>3118</v>
      </c>
    </row>
    <row r="1121">
      <c r="A1121" s="17" t="s">
        <v>3120</v>
      </c>
      <c r="B1121" s="9"/>
      <c r="C1121" s="25"/>
      <c r="D1121" s="22" t="s">
        <v>3118</v>
      </c>
    </row>
    <row r="1122">
      <c r="A1122" s="17" t="s">
        <v>3122</v>
      </c>
      <c r="B1122" s="9"/>
      <c r="C1122" s="25"/>
      <c r="D1122" s="22" t="s">
        <v>3123</v>
      </c>
    </row>
    <row r="1123">
      <c r="A1123" s="17" t="s">
        <v>3124</v>
      </c>
      <c r="B1123" s="9"/>
      <c r="C1123" s="25"/>
      <c r="D1123" s="22" t="s">
        <v>3123</v>
      </c>
    </row>
    <row r="1124">
      <c r="A1124" s="17" t="s">
        <v>3125</v>
      </c>
      <c r="B1124" s="9"/>
      <c r="C1124" s="25"/>
      <c r="D1124" s="22" t="s">
        <v>3123</v>
      </c>
    </row>
    <row r="1125">
      <c r="A1125" s="17" t="s">
        <v>3127</v>
      </c>
      <c r="B1125" s="9"/>
      <c r="C1125" s="25"/>
      <c r="D1125" s="22" t="s">
        <v>3128</v>
      </c>
    </row>
    <row r="1126">
      <c r="A1126" s="17" t="s">
        <v>3129</v>
      </c>
      <c r="B1126" s="9"/>
      <c r="C1126" s="25"/>
      <c r="D1126" s="22" t="s">
        <v>3128</v>
      </c>
    </row>
    <row r="1127">
      <c r="A1127" s="17" t="s">
        <v>3131</v>
      </c>
      <c r="B1127" s="9"/>
      <c r="C1127" s="25"/>
      <c r="D1127" s="22" t="s">
        <v>3128</v>
      </c>
    </row>
    <row r="1128">
      <c r="A1128" s="17" t="s">
        <v>3133</v>
      </c>
      <c r="B1128" s="9"/>
      <c r="C1128" s="25"/>
      <c r="D1128" s="22" t="s">
        <v>3134</v>
      </c>
    </row>
    <row r="1129">
      <c r="A1129" s="17" t="s">
        <v>3135</v>
      </c>
      <c r="B1129" s="9"/>
      <c r="C1129" s="25"/>
      <c r="D1129" s="22" t="s">
        <v>3134</v>
      </c>
    </row>
    <row r="1130">
      <c r="A1130" s="17" t="s">
        <v>3136</v>
      </c>
      <c r="B1130" s="9"/>
      <c r="C1130" s="25"/>
      <c r="D1130" s="22" t="s">
        <v>3134</v>
      </c>
    </row>
    <row r="1131">
      <c r="A1131" s="17" t="s">
        <v>3137</v>
      </c>
      <c r="B1131" s="9"/>
      <c r="C1131" s="25"/>
      <c r="D1131" s="22" t="s">
        <v>3138</v>
      </c>
    </row>
    <row r="1132">
      <c r="A1132" s="17" t="s">
        <v>3140</v>
      </c>
      <c r="B1132" s="9"/>
      <c r="C1132" s="25"/>
      <c r="D1132" s="22" t="s">
        <v>3138</v>
      </c>
    </row>
    <row r="1133">
      <c r="A1133" s="17" t="s">
        <v>3144</v>
      </c>
      <c r="B1133" s="9"/>
      <c r="C1133" s="25"/>
      <c r="D1133" s="22" t="s">
        <v>3138</v>
      </c>
    </row>
    <row r="1134">
      <c r="A1134" s="17" t="s">
        <v>3145</v>
      </c>
      <c r="B1134" s="9"/>
      <c r="C1134" s="25"/>
      <c r="D1134" s="22" t="s">
        <v>3146</v>
      </c>
    </row>
    <row r="1135">
      <c r="A1135" s="17" t="s">
        <v>3147</v>
      </c>
      <c r="B1135" s="9"/>
      <c r="C1135" s="25"/>
      <c r="D1135" s="22" t="s">
        <v>3146</v>
      </c>
    </row>
    <row r="1136">
      <c r="A1136" s="17" t="s">
        <v>3149</v>
      </c>
      <c r="B1136" s="9"/>
      <c r="C1136" s="25"/>
      <c r="D1136" s="22" t="s">
        <v>3146</v>
      </c>
    </row>
    <row r="1137">
      <c r="A1137" s="17" t="s">
        <v>3150</v>
      </c>
      <c r="B1137" s="9"/>
      <c r="C1137" s="25"/>
      <c r="D1137" s="22" t="s">
        <v>3151</v>
      </c>
    </row>
    <row r="1138">
      <c r="A1138" s="17" t="s">
        <v>3152</v>
      </c>
      <c r="B1138" s="9"/>
      <c r="C1138" s="25"/>
      <c r="D1138" s="22" t="s">
        <v>3151</v>
      </c>
    </row>
    <row r="1139">
      <c r="A1139" s="17" t="s">
        <v>3154</v>
      </c>
      <c r="B1139" s="9"/>
      <c r="C1139" s="25"/>
      <c r="D1139" s="22" t="s">
        <v>3151</v>
      </c>
    </row>
    <row r="1140">
      <c r="A1140" s="17" t="s">
        <v>3155</v>
      </c>
      <c r="B1140" s="9"/>
      <c r="C1140" s="25"/>
      <c r="D1140" s="22" t="s">
        <v>3156</v>
      </c>
    </row>
    <row r="1141">
      <c r="A1141" s="17" t="s">
        <v>3158</v>
      </c>
      <c r="B1141" s="9"/>
      <c r="C1141" s="25"/>
      <c r="D1141" s="22" t="s">
        <v>3156</v>
      </c>
    </row>
    <row r="1142">
      <c r="A1142" s="17" t="s">
        <v>3159</v>
      </c>
      <c r="B1142" s="9"/>
      <c r="C1142" s="25"/>
      <c r="D1142" s="22" t="s">
        <v>3156</v>
      </c>
    </row>
    <row r="1143">
      <c r="A1143" s="17" t="s">
        <v>3160</v>
      </c>
      <c r="B1143" s="9"/>
      <c r="C1143" s="25"/>
      <c r="D1143" s="22" t="s">
        <v>3162</v>
      </c>
    </row>
    <row r="1144">
      <c r="A1144" s="17" t="s">
        <v>3163</v>
      </c>
      <c r="B1144" s="9"/>
      <c r="C1144" s="25"/>
      <c r="D1144" s="22" t="s">
        <v>3162</v>
      </c>
    </row>
    <row r="1145">
      <c r="A1145" s="17" t="s">
        <v>3165</v>
      </c>
      <c r="B1145" s="9"/>
      <c r="C1145" s="25"/>
      <c r="D1145" s="22" t="s">
        <v>3162</v>
      </c>
    </row>
    <row r="1146">
      <c r="A1146" s="17" t="s">
        <v>3168</v>
      </c>
      <c r="B1146" s="9"/>
      <c r="C1146" s="25"/>
      <c r="D1146" s="22" t="s">
        <v>3169</v>
      </c>
    </row>
    <row r="1147">
      <c r="A1147" s="17" t="s">
        <v>3170</v>
      </c>
      <c r="B1147" s="9"/>
      <c r="C1147" s="25"/>
      <c r="D1147" s="22" t="s">
        <v>3169</v>
      </c>
    </row>
    <row r="1148">
      <c r="A1148" s="17" t="s">
        <v>3171</v>
      </c>
      <c r="B1148" s="9"/>
      <c r="C1148" s="25"/>
      <c r="D1148" s="22" t="s">
        <v>3169</v>
      </c>
    </row>
    <row r="1149">
      <c r="A1149" s="17" t="s">
        <v>3173</v>
      </c>
      <c r="B1149" s="9"/>
      <c r="C1149" s="25"/>
      <c r="D1149" s="22" t="s">
        <v>3175</v>
      </c>
    </row>
    <row r="1150">
      <c r="A1150" s="17" t="s">
        <v>3176</v>
      </c>
      <c r="B1150" s="9"/>
      <c r="C1150" s="25"/>
      <c r="D1150" s="22" t="s">
        <v>3175</v>
      </c>
    </row>
    <row r="1151">
      <c r="A1151" s="17" t="s">
        <v>3177</v>
      </c>
      <c r="B1151" s="9"/>
      <c r="C1151" s="25"/>
      <c r="D1151" s="22" t="s">
        <v>3175</v>
      </c>
    </row>
    <row r="1152">
      <c r="A1152" s="17" t="s">
        <v>3178</v>
      </c>
      <c r="B1152" s="9"/>
      <c r="C1152" s="25"/>
      <c r="D1152" s="22" t="s">
        <v>3179</v>
      </c>
    </row>
    <row r="1153">
      <c r="A1153" s="17" t="s">
        <v>3180</v>
      </c>
      <c r="B1153" s="9"/>
      <c r="C1153" s="25"/>
      <c r="D1153" s="22" t="s">
        <v>3179</v>
      </c>
    </row>
    <row r="1154">
      <c r="A1154" s="17" t="s">
        <v>3182</v>
      </c>
      <c r="B1154" s="9"/>
      <c r="C1154" s="25"/>
      <c r="D1154" s="22" t="s">
        <v>3179</v>
      </c>
    </row>
    <row r="1155">
      <c r="A1155" s="17" t="s">
        <v>3184</v>
      </c>
      <c r="B1155" s="9"/>
      <c r="C1155" s="25"/>
      <c r="D1155" s="22" t="s">
        <v>3185</v>
      </c>
    </row>
    <row r="1156">
      <c r="A1156" s="17" t="s">
        <v>3186</v>
      </c>
      <c r="B1156" s="9"/>
      <c r="C1156" s="25"/>
      <c r="D1156" s="22" t="s">
        <v>3185</v>
      </c>
    </row>
    <row r="1157">
      <c r="A1157" s="17" t="s">
        <v>3188</v>
      </c>
      <c r="B1157" s="9"/>
      <c r="C1157" s="25"/>
      <c r="D1157" s="22" t="s">
        <v>3185</v>
      </c>
    </row>
    <row r="1158">
      <c r="A1158" s="17" t="s">
        <v>3189</v>
      </c>
      <c r="B1158" s="9"/>
      <c r="C1158" s="25"/>
      <c r="D1158" s="22" t="s">
        <v>3190</v>
      </c>
    </row>
    <row r="1159">
      <c r="A1159" s="17" t="s">
        <v>3191</v>
      </c>
      <c r="B1159" s="9"/>
      <c r="C1159" s="25"/>
      <c r="D1159" s="22" t="s">
        <v>3190</v>
      </c>
    </row>
    <row r="1160">
      <c r="A1160" s="17" t="s">
        <v>3192</v>
      </c>
      <c r="B1160" s="9"/>
      <c r="C1160" s="25"/>
      <c r="D1160" s="22" t="s">
        <v>3190</v>
      </c>
    </row>
    <row r="1161">
      <c r="A1161" s="17" t="s">
        <v>3195</v>
      </c>
      <c r="B1161" s="9"/>
      <c r="C1161" s="25"/>
      <c r="D1161" s="22" t="s">
        <v>3197</v>
      </c>
    </row>
    <row r="1162">
      <c r="A1162" s="17" t="s">
        <v>3198</v>
      </c>
      <c r="B1162" s="9"/>
      <c r="C1162" s="25"/>
      <c r="D1162" s="22" t="s">
        <v>3197</v>
      </c>
    </row>
    <row r="1163">
      <c r="A1163" s="17" t="s">
        <v>3199</v>
      </c>
      <c r="B1163" s="9"/>
      <c r="C1163" s="25"/>
      <c r="D1163" s="22" t="s">
        <v>3197</v>
      </c>
    </row>
    <row r="1164">
      <c r="A1164" s="17" t="s">
        <v>3201</v>
      </c>
      <c r="B1164" s="9"/>
      <c r="C1164" s="25"/>
      <c r="D1164" s="22" t="s">
        <v>3202</v>
      </c>
    </row>
    <row r="1165">
      <c r="A1165" s="17" t="s">
        <v>3203</v>
      </c>
      <c r="B1165" s="9"/>
      <c r="C1165" s="25"/>
      <c r="D1165" s="22" t="s">
        <v>3202</v>
      </c>
    </row>
    <row r="1166">
      <c r="A1166" s="17" t="s">
        <v>3204</v>
      </c>
      <c r="B1166" s="9"/>
      <c r="C1166" s="25"/>
      <c r="D1166" s="22" t="s">
        <v>3202</v>
      </c>
    </row>
    <row r="1167">
      <c r="A1167" s="17" t="s">
        <v>3206</v>
      </c>
      <c r="B1167" s="9"/>
      <c r="C1167" s="25"/>
      <c r="D1167" s="22" t="s">
        <v>3207</v>
      </c>
    </row>
    <row r="1168">
      <c r="A1168" s="17" t="s">
        <v>3208</v>
      </c>
      <c r="B1168" s="9"/>
      <c r="C1168" s="25"/>
      <c r="D1168" s="22" t="s">
        <v>3207</v>
      </c>
    </row>
    <row r="1169">
      <c r="A1169" s="17" t="s">
        <v>3209</v>
      </c>
      <c r="B1169" s="9"/>
      <c r="C1169" s="25"/>
      <c r="D1169" s="22" t="s">
        <v>3207</v>
      </c>
    </row>
    <row r="1170">
      <c r="A1170" s="17" t="s">
        <v>3211</v>
      </c>
      <c r="B1170" s="9"/>
      <c r="C1170" s="25"/>
      <c r="D1170" s="22" t="s">
        <v>3212</v>
      </c>
    </row>
    <row r="1171">
      <c r="A1171" s="17" t="s">
        <v>3213</v>
      </c>
      <c r="B1171" s="9"/>
      <c r="C1171" s="25"/>
      <c r="D1171" s="22" t="s">
        <v>3212</v>
      </c>
    </row>
    <row r="1172">
      <c r="A1172" s="17" t="s">
        <v>3215</v>
      </c>
      <c r="B1172" s="9"/>
      <c r="C1172" s="25"/>
      <c r="D1172" s="22" t="s">
        <v>3212</v>
      </c>
    </row>
    <row r="1173">
      <c r="A1173" s="17" t="s">
        <v>3217</v>
      </c>
      <c r="B1173" s="9"/>
      <c r="C1173" s="25"/>
      <c r="D1173" s="22" t="s">
        <v>3218</v>
      </c>
    </row>
    <row r="1174">
      <c r="A1174" s="17" t="s">
        <v>3219</v>
      </c>
      <c r="B1174" s="9"/>
      <c r="C1174" s="25"/>
      <c r="D1174" s="22" t="s">
        <v>3218</v>
      </c>
    </row>
    <row r="1175">
      <c r="A1175" s="17" t="s">
        <v>3220</v>
      </c>
      <c r="B1175" s="9"/>
      <c r="C1175" s="25"/>
      <c r="D1175" s="22" t="s">
        <v>3218</v>
      </c>
    </row>
    <row r="1176">
      <c r="A1176" s="17" t="s">
        <v>3221</v>
      </c>
      <c r="B1176" s="9"/>
      <c r="C1176" s="25"/>
      <c r="D1176" s="22" t="s">
        <v>3222</v>
      </c>
    </row>
    <row r="1177">
      <c r="A1177" s="17" t="s">
        <v>3223</v>
      </c>
      <c r="B1177" s="9"/>
      <c r="C1177" s="25"/>
      <c r="D1177" s="22" t="s">
        <v>3222</v>
      </c>
    </row>
    <row r="1178">
      <c r="A1178" s="17" t="s">
        <v>3225</v>
      </c>
      <c r="B1178" s="9"/>
      <c r="C1178" s="25"/>
      <c r="D1178" s="22" t="s">
        <v>3222</v>
      </c>
    </row>
    <row r="1179">
      <c r="A1179" s="17" t="s">
        <v>3228</v>
      </c>
      <c r="B1179" s="9"/>
      <c r="C1179" s="25"/>
      <c r="D1179" s="22" t="s">
        <v>3229</v>
      </c>
    </row>
    <row r="1180">
      <c r="A1180" s="17" t="s">
        <v>3230</v>
      </c>
      <c r="B1180" s="9"/>
      <c r="C1180" s="25"/>
      <c r="D1180" s="22" t="s">
        <v>3229</v>
      </c>
    </row>
    <row r="1181">
      <c r="A1181" s="17" t="s">
        <v>3231</v>
      </c>
      <c r="B1181" s="9"/>
      <c r="C1181" s="25"/>
      <c r="D1181" s="22" t="s">
        <v>3229</v>
      </c>
    </row>
    <row r="1182">
      <c r="A1182" s="17" t="s">
        <v>3233</v>
      </c>
      <c r="B1182" s="9"/>
      <c r="C1182" s="25"/>
      <c r="D1182" s="22" t="s">
        <v>3234</v>
      </c>
    </row>
    <row r="1183">
      <c r="A1183" s="17" t="s">
        <v>3235</v>
      </c>
      <c r="B1183" s="9"/>
      <c r="C1183" s="25"/>
      <c r="D1183" s="22" t="s">
        <v>3234</v>
      </c>
    </row>
    <row r="1184">
      <c r="A1184" s="17" t="s">
        <v>3236</v>
      </c>
      <c r="B1184" s="9"/>
      <c r="C1184" s="25"/>
      <c r="D1184" s="22" t="s">
        <v>3234</v>
      </c>
    </row>
    <row r="1185">
      <c r="A1185" s="17" t="s">
        <v>3238</v>
      </c>
      <c r="B1185" s="9"/>
      <c r="C1185" s="25"/>
      <c r="D1185" s="22" t="s">
        <v>3242</v>
      </c>
    </row>
    <row r="1186">
      <c r="A1186" s="17" t="s">
        <v>3243</v>
      </c>
      <c r="B1186" s="9"/>
      <c r="C1186" s="25"/>
      <c r="D1186" s="22" t="s">
        <v>3242</v>
      </c>
    </row>
    <row r="1187">
      <c r="A1187" s="17" t="s">
        <v>3244</v>
      </c>
      <c r="B1187" s="9"/>
      <c r="C1187" s="25"/>
      <c r="D1187" s="22" t="s">
        <v>3242</v>
      </c>
    </row>
    <row r="1188">
      <c r="A1188" s="17" t="s">
        <v>3245</v>
      </c>
      <c r="B1188" s="9"/>
      <c r="C1188" s="25"/>
      <c r="D1188" s="22" t="s">
        <v>3246</v>
      </c>
    </row>
    <row r="1189">
      <c r="A1189" s="17" t="s">
        <v>3247</v>
      </c>
      <c r="B1189" s="9"/>
      <c r="C1189" s="25"/>
      <c r="D1189" s="22" t="s">
        <v>3246</v>
      </c>
    </row>
    <row r="1190">
      <c r="A1190" s="17" t="s">
        <v>3249</v>
      </c>
      <c r="B1190" s="9"/>
      <c r="C1190" s="25"/>
      <c r="D1190" s="22" t="s">
        <v>3246</v>
      </c>
    </row>
    <row r="1191">
      <c r="A1191" s="17" t="s">
        <v>3252</v>
      </c>
      <c r="B1191" s="9"/>
      <c r="C1191" s="25"/>
      <c r="D1191" s="22" t="s">
        <v>3253</v>
      </c>
    </row>
    <row r="1192">
      <c r="A1192" s="17" t="s">
        <v>3254</v>
      </c>
      <c r="B1192" s="9"/>
      <c r="C1192" s="25"/>
      <c r="D1192" s="22" t="s">
        <v>3253</v>
      </c>
    </row>
    <row r="1193">
      <c r="A1193" s="17" t="s">
        <v>3256</v>
      </c>
      <c r="B1193" s="9"/>
      <c r="C1193" s="25"/>
      <c r="D1193" s="22" t="s">
        <v>3253</v>
      </c>
    </row>
    <row r="1194">
      <c r="A1194" s="17" t="s">
        <v>3257</v>
      </c>
      <c r="B1194" s="9"/>
      <c r="C1194" s="25"/>
      <c r="D1194" s="22" t="s">
        <v>3258</v>
      </c>
    </row>
    <row r="1195">
      <c r="A1195" s="17" t="s">
        <v>3259</v>
      </c>
      <c r="B1195" s="9"/>
      <c r="C1195" s="25"/>
      <c r="D1195" s="22" t="s">
        <v>3258</v>
      </c>
    </row>
    <row r="1196">
      <c r="A1196" s="17" t="s">
        <v>3260</v>
      </c>
      <c r="B1196" s="9"/>
      <c r="C1196" s="25"/>
      <c r="D1196" s="22" t="s">
        <v>3258</v>
      </c>
    </row>
    <row r="1197">
      <c r="A1197" s="17" t="s">
        <v>3261</v>
      </c>
      <c r="B1197" s="9"/>
      <c r="C1197" s="25"/>
      <c r="D1197" s="22" t="s">
        <v>3262</v>
      </c>
    </row>
    <row r="1198">
      <c r="A1198" s="17" t="s">
        <v>3263</v>
      </c>
      <c r="B1198" s="9"/>
      <c r="C1198" s="25"/>
      <c r="D1198" s="22" t="s">
        <v>3262</v>
      </c>
    </row>
    <row r="1199">
      <c r="A1199" s="17" t="s">
        <v>3265</v>
      </c>
      <c r="B1199" s="9"/>
      <c r="C1199" s="25"/>
      <c r="D1199" s="22" t="s">
        <v>3262</v>
      </c>
    </row>
    <row r="1200">
      <c r="A1200" s="17" t="s">
        <v>3266</v>
      </c>
      <c r="B1200" s="9"/>
      <c r="C1200" s="25"/>
      <c r="D1200" s="22" t="s">
        <v>3267</v>
      </c>
    </row>
    <row r="1201">
      <c r="A1201" s="17" t="s">
        <v>3270</v>
      </c>
      <c r="B1201" s="9"/>
      <c r="C1201" s="25"/>
      <c r="D1201" s="22" t="s">
        <v>3267</v>
      </c>
    </row>
    <row r="1202">
      <c r="A1202" s="17" t="s">
        <v>3271</v>
      </c>
      <c r="B1202" s="9"/>
      <c r="C1202" s="25"/>
      <c r="D1202" s="22" t="s">
        <v>3267</v>
      </c>
    </row>
    <row r="1203">
      <c r="A1203" s="17" t="s">
        <v>3272</v>
      </c>
      <c r="B1203" s="9"/>
      <c r="C1203" s="25"/>
      <c r="D1203" s="22" t="s">
        <v>3273</v>
      </c>
    </row>
    <row r="1204">
      <c r="A1204" s="17" t="s">
        <v>3274</v>
      </c>
      <c r="B1204" s="9"/>
      <c r="C1204" s="25"/>
      <c r="D1204" s="22" t="s">
        <v>3273</v>
      </c>
    </row>
    <row r="1205">
      <c r="A1205" s="17" t="s">
        <v>3275</v>
      </c>
      <c r="B1205" s="9"/>
      <c r="C1205" s="25"/>
      <c r="D1205" s="22" t="s">
        <v>3273</v>
      </c>
    </row>
    <row r="1206">
      <c r="A1206" s="17" t="s">
        <v>3276</v>
      </c>
      <c r="B1206" s="9"/>
      <c r="C1206" s="25"/>
      <c r="D1206" s="22" t="s">
        <v>3278</v>
      </c>
    </row>
    <row r="1207">
      <c r="A1207" s="17" t="s">
        <v>3280</v>
      </c>
      <c r="B1207" s="9"/>
      <c r="C1207" s="25"/>
      <c r="D1207" s="22" t="s">
        <v>3278</v>
      </c>
    </row>
    <row r="1208">
      <c r="A1208" s="17" t="s">
        <v>3282</v>
      </c>
      <c r="B1208" s="9"/>
      <c r="C1208" s="25"/>
      <c r="D1208" s="22" t="s">
        <v>3278</v>
      </c>
    </row>
    <row r="1209">
      <c r="A1209" s="17" t="s">
        <v>3283</v>
      </c>
      <c r="B1209" s="9"/>
      <c r="C1209" s="25"/>
      <c r="D1209" s="22" t="s">
        <v>3284</v>
      </c>
    </row>
    <row r="1210">
      <c r="A1210" s="17" t="s">
        <v>3286</v>
      </c>
      <c r="B1210" s="9"/>
      <c r="C1210" s="25"/>
      <c r="D1210" s="22" t="s">
        <v>3284</v>
      </c>
    </row>
    <row r="1211">
      <c r="A1211" s="17" t="s">
        <v>3287</v>
      </c>
      <c r="B1211" s="9"/>
      <c r="C1211" s="25"/>
      <c r="D1211" s="22" t="s">
        <v>3284</v>
      </c>
    </row>
    <row r="1212">
      <c r="A1212" s="17" t="s">
        <v>3288</v>
      </c>
      <c r="B1212" s="9"/>
      <c r="C1212" s="25"/>
      <c r="D1212" s="22" t="s">
        <v>3290</v>
      </c>
    </row>
    <row r="1213">
      <c r="A1213" s="17" t="s">
        <v>3291</v>
      </c>
      <c r="B1213" s="9"/>
      <c r="C1213" s="25"/>
      <c r="D1213" s="22" t="s">
        <v>3290</v>
      </c>
    </row>
    <row r="1214">
      <c r="A1214" s="17" t="s">
        <v>3292</v>
      </c>
      <c r="B1214" s="9"/>
      <c r="C1214" s="25"/>
      <c r="D1214" s="22" t="s">
        <v>3290</v>
      </c>
    </row>
    <row r="1215">
      <c r="A1215" s="17" t="s">
        <v>3293</v>
      </c>
      <c r="B1215" s="9"/>
      <c r="C1215" s="25"/>
      <c r="D1215" s="22" t="s">
        <v>3295</v>
      </c>
    </row>
    <row r="1216">
      <c r="A1216" s="17" t="s">
        <v>3296</v>
      </c>
      <c r="B1216" s="9"/>
      <c r="C1216" s="25"/>
      <c r="D1216" s="22" t="s">
        <v>3295</v>
      </c>
    </row>
    <row r="1217">
      <c r="A1217" s="17" t="s">
        <v>3297</v>
      </c>
      <c r="B1217" s="9"/>
      <c r="C1217" s="25"/>
      <c r="D1217" s="22" t="s">
        <v>3295</v>
      </c>
    </row>
    <row r="1218">
      <c r="A1218" s="17" t="s">
        <v>3302</v>
      </c>
      <c r="B1218" s="9"/>
      <c r="C1218" s="25"/>
      <c r="D1218" s="22" t="s">
        <v>3303</v>
      </c>
    </row>
    <row r="1219">
      <c r="A1219" s="17" t="s">
        <v>3304</v>
      </c>
      <c r="B1219" s="9"/>
      <c r="C1219" s="25"/>
      <c r="D1219" s="22" t="s">
        <v>3303</v>
      </c>
    </row>
    <row r="1220">
      <c r="A1220" s="17" t="s">
        <v>3305</v>
      </c>
      <c r="B1220" s="9"/>
      <c r="C1220" s="25"/>
      <c r="D1220" s="22" t="s">
        <v>3303</v>
      </c>
    </row>
    <row r="1221">
      <c r="A1221" s="17" t="s">
        <v>3306</v>
      </c>
      <c r="B1221" s="9"/>
      <c r="C1221" s="25"/>
      <c r="D1221" s="22" t="s">
        <v>3307</v>
      </c>
    </row>
    <row r="1222">
      <c r="A1222" s="17" t="s">
        <v>3308</v>
      </c>
      <c r="B1222" s="9"/>
      <c r="C1222" s="25"/>
      <c r="D1222" s="22" t="s">
        <v>3307</v>
      </c>
    </row>
    <row r="1223">
      <c r="A1223" s="17" t="s">
        <v>3309</v>
      </c>
      <c r="B1223" s="9"/>
      <c r="C1223" s="25"/>
      <c r="D1223" s="22" t="s">
        <v>3307</v>
      </c>
    </row>
    <row r="1224">
      <c r="A1224" s="17" t="s">
        <v>3313</v>
      </c>
      <c r="B1224" s="9"/>
      <c r="C1224" s="25"/>
      <c r="D1224" s="22" t="s">
        <v>3315</v>
      </c>
    </row>
    <row r="1225">
      <c r="A1225" s="17" t="s">
        <v>3316</v>
      </c>
      <c r="B1225" s="9"/>
      <c r="C1225" s="25"/>
      <c r="D1225" s="22" t="s">
        <v>3315</v>
      </c>
    </row>
    <row r="1226">
      <c r="A1226" s="17" t="s">
        <v>3319</v>
      </c>
      <c r="B1226" s="9"/>
      <c r="C1226" s="25"/>
      <c r="D1226" s="22" t="s">
        <v>3315</v>
      </c>
    </row>
    <row r="1227">
      <c r="A1227" s="17" t="s">
        <v>3321</v>
      </c>
      <c r="B1227" s="9"/>
      <c r="C1227" s="25"/>
      <c r="D1227" s="22" t="s">
        <v>3322</v>
      </c>
    </row>
    <row r="1228">
      <c r="A1228" s="17" t="s">
        <v>3323</v>
      </c>
      <c r="B1228" s="9"/>
      <c r="C1228" s="25"/>
      <c r="D1228" s="22" t="s">
        <v>3322</v>
      </c>
    </row>
    <row r="1229">
      <c r="A1229" s="17" t="s">
        <v>3325</v>
      </c>
      <c r="B1229" s="9"/>
      <c r="C1229" s="25"/>
      <c r="D1229" s="22" t="s">
        <v>3322</v>
      </c>
    </row>
    <row r="1230">
      <c r="A1230" s="17" t="s">
        <v>3326</v>
      </c>
      <c r="B1230" s="9"/>
      <c r="C1230" s="25"/>
      <c r="D1230" s="22" t="s">
        <v>3327</v>
      </c>
    </row>
    <row r="1231">
      <c r="A1231" s="17" t="s">
        <v>3328</v>
      </c>
      <c r="B1231" s="9"/>
      <c r="C1231" s="25"/>
      <c r="D1231" s="22" t="s">
        <v>3327</v>
      </c>
    </row>
    <row r="1232">
      <c r="A1232" s="17" t="s">
        <v>3332</v>
      </c>
      <c r="B1232" s="9"/>
      <c r="C1232" s="25"/>
      <c r="D1232" s="22" t="s">
        <v>3327</v>
      </c>
    </row>
    <row r="1233">
      <c r="A1233" s="17" t="s">
        <v>3333</v>
      </c>
      <c r="B1233" s="9"/>
      <c r="C1233" s="25"/>
      <c r="D1233" s="22" t="s">
        <v>3334</v>
      </c>
    </row>
    <row r="1234">
      <c r="A1234" s="17" t="s">
        <v>3335</v>
      </c>
      <c r="B1234" s="9"/>
      <c r="C1234" s="25"/>
      <c r="D1234" s="22" t="s">
        <v>3334</v>
      </c>
    </row>
    <row r="1235">
      <c r="A1235" s="17" t="s">
        <v>3336</v>
      </c>
      <c r="B1235" s="9"/>
      <c r="C1235" s="25"/>
      <c r="D1235" s="22" t="s">
        <v>3334</v>
      </c>
    </row>
    <row r="1236">
      <c r="A1236" s="17" t="s">
        <v>3338</v>
      </c>
      <c r="B1236" s="9"/>
      <c r="C1236" s="25"/>
      <c r="D1236" s="22" t="s">
        <v>3339</v>
      </c>
    </row>
    <row r="1237">
      <c r="A1237" s="17" t="s">
        <v>3340</v>
      </c>
      <c r="B1237" s="9"/>
      <c r="C1237" s="25"/>
      <c r="D1237" s="22" t="s">
        <v>3339</v>
      </c>
    </row>
    <row r="1238">
      <c r="A1238" s="17" t="s">
        <v>3342</v>
      </c>
      <c r="B1238" s="9"/>
      <c r="C1238" s="25"/>
      <c r="D1238" s="22" t="s">
        <v>3339</v>
      </c>
    </row>
    <row r="1239">
      <c r="A1239" s="17" t="s">
        <v>3345</v>
      </c>
      <c r="B1239" s="9"/>
      <c r="C1239" s="25"/>
      <c r="D1239" s="22" t="s">
        <v>3346</v>
      </c>
    </row>
    <row r="1240">
      <c r="A1240" s="17" t="s">
        <v>3347</v>
      </c>
      <c r="B1240" s="9"/>
      <c r="C1240" s="25"/>
      <c r="D1240" s="22" t="s">
        <v>3346</v>
      </c>
    </row>
    <row r="1241">
      <c r="A1241" s="17" t="s">
        <v>3348</v>
      </c>
      <c r="B1241" s="9"/>
      <c r="C1241" s="25"/>
      <c r="D1241" s="22" t="s">
        <v>3346</v>
      </c>
    </row>
    <row r="1242">
      <c r="A1242" s="17" t="s">
        <v>3349</v>
      </c>
      <c r="B1242" s="9"/>
      <c r="C1242" s="25"/>
      <c r="D1242" s="22" t="s">
        <v>3351</v>
      </c>
    </row>
    <row r="1243">
      <c r="A1243" s="17" t="s">
        <v>3352</v>
      </c>
      <c r="B1243" s="9"/>
      <c r="C1243" s="25"/>
      <c r="D1243" s="22" t="s">
        <v>3351</v>
      </c>
    </row>
    <row r="1244">
      <c r="A1244" s="17" t="s">
        <v>3353</v>
      </c>
      <c r="B1244" s="9"/>
      <c r="C1244" s="25"/>
      <c r="D1244" s="22" t="s">
        <v>3351</v>
      </c>
    </row>
    <row r="1245">
      <c r="A1245" s="17" t="s">
        <v>3357</v>
      </c>
      <c r="B1245" s="9"/>
      <c r="C1245" s="25"/>
      <c r="D1245" s="22" t="s">
        <v>3358</v>
      </c>
    </row>
    <row r="1246">
      <c r="A1246" s="17" t="s">
        <v>3359</v>
      </c>
      <c r="B1246" s="9"/>
      <c r="C1246" s="25"/>
      <c r="D1246" s="22" t="s">
        <v>3358</v>
      </c>
    </row>
    <row r="1247">
      <c r="A1247" s="17" t="s">
        <v>3360</v>
      </c>
      <c r="B1247" s="9"/>
      <c r="C1247" s="25"/>
      <c r="D1247" s="22" t="s">
        <v>3358</v>
      </c>
    </row>
    <row r="1248">
      <c r="A1248" s="17" t="s">
        <v>3361</v>
      </c>
      <c r="B1248" s="9"/>
      <c r="C1248" s="25"/>
      <c r="D1248" s="22" t="s">
        <v>3363</v>
      </c>
    </row>
    <row r="1249">
      <c r="A1249" s="17" t="s">
        <v>3365</v>
      </c>
      <c r="B1249" s="9"/>
      <c r="C1249" s="25"/>
      <c r="D1249" s="22" t="s">
        <v>3363</v>
      </c>
    </row>
    <row r="1250">
      <c r="A1250" s="17" t="s">
        <v>3367</v>
      </c>
      <c r="B1250" s="9"/>
      <c r="C1250" s="25"/>
      <c r="D1250" s="22" t="s">
        <v>3363</v>
      </c>
    </row>
    <row r="1251">
      <c r="A1251" s="17" t="s">
        <v>3373</v>
      </c>
      <c r="B1251" s="9"/>
      <c r="C1251" s="25"/>
      <c r="D1251" s="22" t="s">
        <v>3374</v>
      </c>
    </row>
    <row r="1252">
      <c r="A1252" s="17" t="s">
        <v>3376</v>
      </c>
      <c r="B1252" s="9"/>
      <c r="C1252" s="25"/>
      <c r="D1252" s="22" t="s">
        <v>3374</v>
      </c>
    </row>
    <row r="1253">
      <c r="A1253" s="17" t="s">
        <v>3378</v>
      </c>
      <c r="B1253" s="9"/>
      <c r="C1253" s="25"/>
      <c r="D1253" s="22" t="s">
        <v>3374</v>
      </c>
    </row>
    <row r="1254">
      <c r="A1254" s="17" t="s">
        <v>3380</v>
      </c>
      <c r="B1254" s="9"/>
      <c r="C1254" s="25"/>
      <c r="D1254" s="22" t="s">
        <v>3382</v>
      </c>
    </row>
    <row r="1255">
      <c r="A1255" s="17" t="s">
        <v>3383</v>
      </c>
      <c r="B1255" s="9"/>
      <c r="C1255" s="25"/>
      <c r="D1255" s="22" t="s">
        <v>3382</v>
      </c>
    </row>
    <row r="1256">
      <c r="A1256" s="17" t="s">
        <v>3385</v>
      </c>
      <c r="B1256" s="9"/>
      <c r="C1256" s="25"/>
      <c r="D1256" s="22" t="s">
        <v>3382</v>
      </c>
    </row>
    <row r="1257">
      <c r="A1257" s="17" t="s">
        <v>3387</v>
      </c>
      <c r="B1257" s="9"/>
      <c r="C1257" s="25"/>
      <c r="D1257" s="22" t="s">
        <v>3389</v>
      </c>
    </row>
    <row r="1258">
      <c r="A1258" s="17" t="s">
        <v>3391</v>
      </c>
      <c r="B1258" s="9"/>
      <c r="C1258" s="25"/>
      <c r="D1258" s="22" t="s">
        <v>3389</v>
      </c>
    </row>
    <row r="1259">
      <c r="A1259" s="17" t="s">
        <v>3392</v>
      </c>
      <c r="B1259" s="9"/>
      <c r="C1259" s="25"/>
      <c r="D1259" s="22" t="s">
        <v>3389</v>
      </c>
    </row>
    <row r="1260">
      <c r="A1260" s="17" t="s">
        <v>3395</v>
      </c>
      <c r="B1260" s="9"/>
      <c r="C1260" s="25"/>
      <c r="D1260" s="22" t="s">
        <v>3396</v>
      </c>
    </row>
    <row r="1261">
      <c r="A1261" s="17" t="s">
        <v>3397</v>
      </c>
      <c r="B1261" s="9"/>
      <c r="C1261" s="25"/>
      <c r="D1261" s="22" t="s">
        <v>3396</v>
      </c>
    </row>
    <row r="1262">
      <c r="A1262" s="17" t="s">
        <v>3401</v>
      </c>
      <c r="B1262" s="9"/>
      <c r="C1262" s="25"/>
      <c r="D1262" s="22" t="s">
        <v>3396</v>
      </c>
    </row>
    <row r="1263">
      <c r="A1263" s="17" t="s">
        <v>3402</v>
      </c>
      <c r="B1263" s="9"/>
      <c r="C1263" s="25"/>
      <c r="D1263" s="22" t="s">
        <v>3403</v>
      </c>
    </row>
    <row r="1264">
      <c r="A1264" s="17" t="s">
        <v>3404</v>
      </c>
      <c r="B1264" s="9"/>
      <c r="C1264" s="25"/>
      <c r="D1264" s="22" t="s">
        <v>3403</v>
      </c>
    </row>
    <row r="1265">
      <c r="A1265" s="17" t="s">
        <v>3405</v>
      </c>
      <c r="B1265" s="9"/>
      <c r="C1265" s="25"/>
      <c r="D1265" s="22" t="s">
        <v>3403</v>
      </c>
    </row>
    <row r="1266">
      <c r="A1266" s="17" t="s">
        <v>3408</v>
      </c>
      <c r="B1266" s="9"/>
      <c r="C1266" s="25"/>
      <c r="D1266" s="22" t="s">
        <v>3409</v>
      </c>
    </row>
    <row r="1267">
      <c r="A1267" s="17" t="s">
        <v>3411</v>
      </c>
      <c r="B1267" s="9"/>
      <c r="C1267" s="25"/>
      <c r="D1267" s="22" t="s">
        <v>3409</v>
      </c>
    </row>
    <row r="1268">
      <c r="A1268" s="17" t="s">
        <v>3414</v>
      </c>
      <c r="B1268" s="9"/>
      <c r="C1268" s="25"/>
      <c r="D1268" s="22" t="s">
        <v>3409</v>
      </c>
    </row>
    <row r="1269">
      <c r="A1269" s="17" t="s">
        <v>3415</v>
      </c>
      <c r="B1269" s="9"/>
      <c r="C1269" s="25"/>
      <c r="D1269" s="22" t="s">
        <v>3416</v>
      </c>
    </row>
    <row r="1270">
      <c r="A1270" s="17" t="s">
        <v>3417</v>
      </c>
      <c r="B1270" s="9"/>
      <c r="C1270" s="25"/>
      <c r="D1270" s="22" t="s">
        <v>3416</v>
      </c>
    </row>
    <row r="1271">
      <c r="A1271" s="17" t="s">
        <v>3418</v>
      </c>
      <c r="B1271" s="9"/>
      <c r="C1271" s="25"/>
      <c r="D1271" s="22" t="s">
        <v>3416</v>
      </c>
    </row>
    <row r="1272">
      <c r="A1272" s="17" t="s">
        <v>3420</v>
      </c>
      <c r="B1272" s="9"/>
      <c r="C1272" s="25"/>
      <c r="D1272" s="22" t="s">
        <v>3422</v>
      </c>
    </row>
    <row r="1273">
      <c r="A1273" s="17" t="s">
        <v>3424</v>
      </c>
      <c r="B1273" s="9"/>
      <c r="C1273" s="25"/>
      <c r="D1273" s="22" t="s">
        <v>3422</v>
      </c>
    </row>
    <row r="1274">
      <c r="A1274" s="17" t="s">
        <v>3425</v>
      </c>
      <c r="B1274" s="9"/>
      <c r="C1274" s="25"/>
      <c r="D1274" s="22" t="s">
        <v>3422</v>
      </c>
    </row>
    <row r="1275">
      <c r="A1275" s="17" t="s">
        <v>3426</v>
      </c>
      <c r="B1275" s="9"/>
      <c r="C1275" s="25"/>
      <c r="D1275" s="22" t="s">
        <v>3427</v>
      </c>
    </row>
    <row r="1276">
      <c r="A1276" s="17" t="s">
        <v>3428</v>
      </c>
      <c r="B1276" s="9"/>
      <c r="C1276" s="25"/>
      <c r="D1276" s="22" t="s">
        <v>3427</v>
      </c>
    </row>
    <row r="1277">
      <c r="A1277" s="17" t="s">
        <v>3429</v>
      </c>
      <c r="B1277" s="9"/>
      <c r="C1277" s="25"/>
      <c r="D1277" s="22" t="s">
        <v>3427</v>
      </c>
    </row>
    <row r="1278">
      <c r="A1278" s="17" t="s">
        <v>3433</v>
      </c>
      <c r="B1278" s="9"/>
      <c r="C1278" s="25"/>
      <c r="D1278" s="22" t="s">
        <v>3436</v>
      </c>
    </row>
    <row r="1279">
      <c r="A1279" s="17" t="s">
        <v>3437</v>
      </c>
      <c r="B1279" s="9"/>
      <c r="C1279" s="25"/>
      <c r="D1279" s="22" t="s">
        <v>3436</v>
      </c>
    </row>
    <row r="1280">
      <c r="A1280" s="17" t="s">
        <v>3438</v>
      </c>
      <c r="B1280" s="9"/>
      <c r="C1280" s="25"/>
      <c r="D1280" s="22" t="s">
        <v>3436</v>
      </c>
    </row>
    <row r="1281">
      <c r="A1281" s="17" t="s">
        <v>3439</v>
      </c>
      <c r="B1281" s="9"/>
      <c r="C1281" s="25"/>
      <c r="D1281" s="22" t="s">
        <v>3440</v>
      </c>
    </row>
    <row r="1282">
      <c r="A1282" s="17" t="s">
        <v>3441</v>
      </c>
      <c r="B1282" s="9"/>
      <c r="C1282" s="25"/>
      <c r="D1282" s="22" t="s">
        <v>3440</v>
      </c>
    </row>
    <row r="1283">
      <c r="A1283" s="17" t="s">
        <v>3443</v>
      </c>
      <c r="B1283" s="9"/>
      <c r="C1283" s="25"/>
      <c r="D1283" s="22" t="s">
        <v>3440</v>
      </c>
    </row>
    <row r="1284">
      <c r="A1284" s="17" t="s">
        <v>3447</v>
      </c>
      <c r="B1284" s="9"/>
      <c r="C1284" s="25"/>
      <c r="D1284" s="22" t="s">
        <v>3448</v>
      </c>
    </row>
    <row r="1285">
      <c r="A1285" s="17" t="s">
        <v>3449</v>
      </c>
      <c r="B1285" s="9"/>
      <c r="C1285" s="25"/>
      <c r="D1285" s="22" t="s">
        <v>3448</v>
      </c>
    </row>
    <row r="1286">
      <c r="A1286" s="17" t="s">
        <v>3450</v>
      </c>
      <c r="B1286" s="9"/>
      <c r="C1286" s="25"/>
      <c r="D1286" s="22" t="s">
        <v>3448</v>
      </c>
    </row>
    <row r="1287">
      <c r="A1287" s="17" t="s">
        <v>3451</v>
      </c>
      <c r="B1287" s="9"/>
      <c r="C1287" s="25"/>
      <c r="D1287" s="22" t="s">
        <v>3452</v>
      </c>
    </row>
    <row r="1288">
      <c r="A1288" s="17" t="s">
        <v>3453</v>
      </c>
      <c r="B1288" s="9"/>
      <c r="C1288" s="25"/>
      <c r="D1288" s="22" t="s">
        <v>3452</v>
      </c>
    </row>
    <row r="1289">
      <c r="A1289" s="17" t="s">
        <v>3455</v>
      </c>
      <c r="B1289" s="9"/>
      <c r="C1289" s="25"/>
      <c r="D1289" s="22" t="s">
        <v>3452</v>
      </c>
    </row>
    <row r="1290">
      <c r="A1290" s="17" t="s">
        <v>3458</v>
      </c>
      <c r="B1290" s="9"/>
      <c r="C1290" s="25"/>
      <c r="D1290" s="22" t="s">
        <v>3460</v>
      </c>
    </row>
    <row r="1291">
      <c r="A1291" s="17" t="s">
        <v>3461</v>
      </c>
      <c r="B1291" s="9"/>
      <c r="C1291" s="25"/>
      <c r="D1291" s="22" t="s">
        <v>3460</v>
      </c>
    </row>
    <row r="1292">
      <c r="A1292" s="17" t="s">
        <v>3463</v>
      </c>
      <c r="B1292" s="9"/>
      <c r="C1292" s="25"/>
      <c r="D1292" s="22" t="s">
        <v>3460</v>
      </c>
    </row>
    <row r="1293">
      <c r="A1293" s="17" t="s">
        <v>3467</v>
      </c>
      <c r="B1293" s="9"/>
      <c r="C1293" s="25"/>
      <c r="D1293" s="22" t="s">
        <v>3468</v>
      </c>
    </row>
    <row r="1294">
      <c r="A1294" s="17" t="s">
        <v>3469</v>
      </c>
      <c r="B1294" s="9"/>
      <c r="C1294" s="25"/>
      <c r="D1294" s="22" t="s">
        <v>3468</v>
      </c>
    </row>
    <row r="1295">
      <c r="A1295" s="17" t="s">
        <v>3470</v>
      </c>
      <c r="B1295" s="9"/>
      <c r="C1295" s="25"/>
      <c r="D1295" s="22" t="s">
        <v>3468</v>
      </c>
    </row>
    <row r="1296">
      <c r="A1296" s="17" t="s">
        <v>3471</v>
      </c>
      <c r="B1296" s="9"/>
      <c r="C1296" s="25"/>
      <c r="D1296" s="22" t="s">
        <v>3472</v>
      </c>
    </row>
    <row r="1297">
      <c r="A1297" s="17" t="s">
        <v>3473</v>
      </c>
      <c r="B1297" s="9"/>
      <c r="C1297" s="25"/>
      <c r="D1297" s="22" t="s">
        <v>3472</v>
      </c>
    </row>
    <row r="1298">
      <c r="A1298" s="17" t="s">
        <v>3475</v>
      </c>
      <c r="B1298" s="9"/>
      <c r="C1298" s="25"/>
      <c r="D1298" s="22" t="s">
        <v>3472</v>
      </c>
    </row>
    <row r="1299">
      <c r="A1299" s="17" t="s">
        <v>3477</v>
      </c>
      <c r="B1299" s="9"/>
      <c r="C1299" s="25"/>
      <c r="D1299" s="22" t="s">
        <v>3478</v>
      </c>
    </row>
    <row r="1300">
      <c r="A1300" s="17" t="s">
        <v>3479</v>
      </c>
      <c r="B1300" s="9"/>
      <c r="C1300" s="25"/>
      <c r="D1300" s="22" t="s">
        <v>3478</v>
      </c>
    </row>
    <row r="1301">
      <c r="A1301" s="17" t="s">
        <v>3483</v>
      </c>
      <c r="B1301" s="9"/>
      <c r="C1301" s="25"/>
      <c r="D1301" s="22" t="s">
        <v>3478</v>
      </c>
    </row>
    <row r="1302">
      <c r="A1302" s="17" t="s">
        <v>3484</v>
      </c>
      <c r="B1302" s="9"/>
      <c r="C1302" s="25"/>
      <c r="D1302" s="22" t="s">
        <v>3485</v>
      </c>
    </row>
    <row r="1303">
      <c r="A1303" s="17" t="s">
        <v>3486</v>
      </c>
      <c r="B1303" s="9"/>
      <c r="C1303" s="25"/>
      <c r="D1303" s="22" t="s">
        <v>3485</v>
      </c>
    </row>
    <row r="1304">
      <c r="A1304" s="17" t="s">
        <v>3488</v>
      </c>
      <c r="B1304" s="9"/>
      <c r="C1304" s="25"/>
      <c r="D1304" s="22" t="s">
        <v>3485</v>
      </c>
    </row>
    <row r="1305">
      <c r="A1305" s="17" t="s">
        <v>3489</v>
      </c>
      <c r="B1305" s="9"/>
      <c r="C1305" s="25"/>
      <c r="D1305" s="22" t="s">
        <v>3491</v>
      </c>
    </row>
    <row r="1306">
      <c r="A1306" s="17" t="s">
        <v>3492</v>
      </c>
      <c r="B1306" s="9"/>
      <c r="C1306" s="25"/>
      <c r="D1306" s="22" t="s">
        <v>3491</v>
      </c>
    </row>
    <row r="1307">
      <c r="A1307" s="17" t="s">
        <v>3496</v>
      </c>
      <c r="B1307" s="9"/>
      <c r="C1307" s="25"/>
      <c r="D1307" s="22" t="s">
        <v>3491</v>
      </c>
    </row>
    <row r="1308">
      <c r="A1308" s="17" t="s">
        <v>3497</v>
      </c>
      <c r="B1308" s="9"/>
      <c r="C1308" s="25"/>
      <c r="D1308" s="22" t="s">
        <v>3498</v>
      </c>
    </row>
    <row r="1309">
      <c r="A1309" s="17" t="s">
        <v>3500</v>
      </c>
      <c r="B1309" s="9"/>
      <c r="C1309" s="25"/>
      <c r="D1309" s="22" t="s">
        <v>3498</v>
      </c>
    </row>
    <row r="1310">
      <c r="A1310" s="17" t="s">
        <v>3502</v>
      </c>
      <c r="B1310" s="9"/>
      <c r="C1310" s="25"/>
      <c r="D1310" s="22" t="s">
        <v>3498</v>
      </c>
    </row>
    <row r="1311">
      <c r="A1311" s="17" t="s">
        <v>3503</v>
      </c>
      <c r="B1311" s="9"/>
      <c r="C1311" s="25"/>
      <c r="D1311" s="22" t="s">
        <v>3506</v>
      </c>
    </row>
    <row r="1312">
      <c r="A1312" s="17" t="s">
        <v>3508</v>
      </c>
      <c r="B1312" s="9"/>
      <c r="C1312" s="25"/>
      <c r="D1312" s="22" t="s">
        <v>3506</v>
      </c>
    </row>
    <row r="1313">
      <c r="A1313" s="17" t="s">
        <v>3509</v>
      </c>
      <c r="B1313" s="9"/>
      <c r="C1313" s="25"/>
      <c r="D1313" s="22" t="s">
        <v>3506</v>
      </c>
    </row>
    <row r="1314">
      <c r="A1314" s="17" t="s">
        <v>3511</v>
      </c>
      <c r="B1314" s="9"/>
      <c r="C1314" s="25"/>
      <c r="D1314" s="22" t="s">
        <v>3512</v>
      </c>
    </row>
    <row r="1315">
      <c r="A1315" s="17" t="s">
        <v>3513</v>
      </c>
      <c r="B1315" s="9"/>
      <c r="C1315" s="25"/>
      <c r="D1315" s="22" t="s">
        <v>3512</v>
      </c>
    </row>
    <row r="1316">
      <c r="A1316" s="17" t="s">
        <v>3514</v>
      </c>
      <c r="B1316" s="9"/>
      <c r="C1316" s="25"/>
      <c r="D1316" s="22" t="s">
        <v>3512</v>
      </c>
    </row>
    <row r="1317">
      <c r="A1317" s="17" t="s">
        <v>3515</v>
      </c>
      <c r="B1317" s="9"/>
      <c r="C1317" s="25"/>
      <c r="D1317" s="22" t="s">
        <v>3516</v>
      </c>
    </row>
    <row r="1318">
      <c r="A1318" s="17" t="s">
        <v>3518</v>
      </c>
      <c r="B1318" s="9"/>
      <c r="C1318" s="25"/>
      <c r="D1318" s="22" t="s">
        <v>3516</v>
      </c>
    </row>
    <row r="1319">
      <c r="A1319" s="17" t="s">
        <v>3521</v>
      </c>
      <c r="B1319" s="9"/>
      <c r="C1319" s="25"/>
      <c r="D1319" s="22" t="s">
        <v>3516</v>
      </c>
    </row>
    <row r="1320">
      <c r="A1320" s="17" t="s">
        <v>3522</v>
      </c>
      <c r="B1320" s="9"/>
      <c r="C1320" s="25"/>
      <c r="D1320" s="22" t="s">
        <v>3523</v>
      </c>
    </row>
    <row r="1321">
      <c r="A1321" s="17" t="s">
        <v>3524</v>
      </c>
      <c r="B1321" s="9"/>
      <c r="C1321" s="25"/>
      <c r="D1321" s="22" t="s">
        <v>3523</v>
      </c>
    </row>
    <row r="1322">
      <c r="A1322" s="17" t="s">
        <v>3525</v>
      </c>
      <c r="B1322" s="9"/>
      <c r="C1322" s="25"/>
      <c r="D1322" s="22" t="s">
        <v>3523</v>
      </c>
    </row>
    <row r="1323">
      <c r="A1323" s="17" t="s">
        <v>3527</v>
      </c>
      <c r="B1323" s="9"/>
      <c r="C1323" s="25"/>
      <c r="D1323" s="22" t="s">
        <v>3528</v>
      </c>
    </row>
    <row r="1324">
      <c r="A1324" s="17" t="s">
        <v>3530</v>
      </c>
      <c r="B1324" s="9"/>
      <c r="C1324" s="25"/>
      <c r="D1324" s="22" t="s">
        <v>3528</v>
      </c>
    </row>
    <row r="1325">
      <c r="A1325" s="17" t="s">
        <v>3532</v>
      </c>
      <c r="B1325" s="9"/>
      <c r="C1325" s="25"/>
      <c r="D1325" s="22" t="s">
        <v>3528</v>
      </c>
    </row>
    <row r="1326">
      <c r="A1326" s="17" t="s">
        <v>3533</v>
      </c>
      <c r="B1326" s="9"/>
      <c r="C1326" s="25"/>
      <c r="D1326" s="22" t="s">
        <v>3534</v>
      </c>
    </row>
    <row r="1327">
      <c r="A1327" s="17" t="s">
        <v>3535</v>
      </c>
      <c r="B1327" s="9"/>
      <c r="C1327" s="25"/>
      <c r="D1327" s="22" t="s">
        <v>3534</v>
      </c>
    </row>
    <row r="1328">
      <c r="A1328" s="17" t="s">
        <v>3536</v>
      </c>
      <c r="B1328" s="9"/>
      <c r="C1328" s="25"/>
      <c r="D1328" s="22" t="s">
        <v>3534</v>
      </c>
    </row>
    <row r="1329">
      <c r="A1329" s="17" t="s">
        <v>3538</v>
      </c>
      <c r="B1329" s="9"/>
      <c r="C1329" s="25"/>
      <c r="D1329" s="22" t="s">
        <v>3540</v>
      </c>
    </row>
    <row r="1330">
      <c r="A1330" s="17" t="s">
        <v>3542</v>
      </c>
      <c r="B1330" s="9"/>
      <c r="C1330" s="25"/>
      <c r="D1330" s="22" t="s">
        <v>3540</v>
      </c>
    </row>
    <row r="1331">
      <c r="A1331" s="17" t="s">
        <v>3543</v>
      </c>
      <c r="B1331" s="9"/>
      <c r="C1331" s="25"/>
      <c r="D1331" s="22" t="s">
        <v>3540</v>
      </c>
    </row>
    <row r="1332">
      <c r="A1332" s="17" t="s">
        <v>3544</v>
      </c>
      <c r="B1332" s="9"/>
      <c r="C1332" s="25"/>
      <c r="D1332" s="22" t="s">
        <v>3545</v>
      </c>
    </row>
    <row r="1333">
      <c r="A1333" s="17" t="s">
        <v>3546</v>
      </c>
      <c r="B1333" s="9"/>
      <c r="C1333" s="25"/>
      <c r="D1333" s="22" t="s">
        <v>3545</v>
      </c>
    </row>
    <row r="1334">
      <c r="A1334" s="17" t="s">
        <v>3548</v>
      </c>
      <c r="B1334" s="9"/>
      <c r="C1334" s="25"/>
      <c r="D1334" s="22" t="s">
        <v>3545</v>
      </c>
    </row>
    <row r="1335">
      <c r="A1335" s="17" t="s">
        <v>3549</v>
      </c>
      <c r="B1335" s="9"/>
      <c r="C1335" s="25"/>
      <c r="D1335" s="22" t="s">
        <v>3551</v>
      </c>
    </row>
    <row r="1336">
      <c r="A1336" s="17" t="s">
        <v>3553</v>
      </c>
      <c r="B1336" s="9"/>
      <c r="C1336" s="25"/>
      <c r="D1336" s="22" t="s">
        <v>3551</v>
      </c>
    </row>
    <row r="1337">
      <c r="A1337" s="17" t="s">
        <v>3554</v>
      </c>
      <c r="B1337" s="9"/>
      <c r="C1337" s="25"/>
      <c r="D1337" s="22" t="s">
        <v>3551</v>
      </c>
    </row>
    <row r="1338">
      <c r="A1338" s="17" t="s">
        <v>3556</v>
      </c>
      <c r="B1338" s="9"/>
      <c r="C1338" s="25"/>
      <c r="D1338" s="22" t="s">
        <v>3559</v>
      </c>
    </row>
    <row r="1339">
      <c r="A1339" s="17" t="s">
        <v>3560</v>
      </c>
      <c r="B1339" s="9"/>
      <c r="C1339" s="25"/>
      <c r="D1339" s="22" t="s">
        <v>3559</v>
      </c>
    </row>
    <row r="1340">
      <c r="A1340" s="17" t="s">
        <v>3562</v>
      </c>
      <c r="B1340" s="9"/>
      <c r="C1340" s="25"/>
      <c r="D1340" s="22" t="s">
        <v>3559</v>
      </c>
    </row>
    <row r="1341">
      <c r="A1341" s="17" t="s">
        <v>3563</v>
      </c>
      <c r="B1341" s="9"/>
      <c r="C1341" s="25"/>
      <c r="D1341" s="22" t="s">
        <v>3565</v>
      </c>
    </row>
    <row r="1342">
      <c r="A1342" s="17" t="s">
        <v>3569</v>
      </c>
      <c r="B1342" s="9"/>
      <c r="C1342" s="25"/>
      <c r="D1342" s="22" t="s">
        <v>3565</v>
      </c>
    </row>
    <row r="1343">
      <c r="A1343" s="17" t="s">
        <v>3571</v>
      </c>
      <c r="B1343" s="9"/>
      <c r="C1343" s="25"/>
      <c r="D1343" s="22" t="s">
        <v>3565</v>
      </c>
    </row>
    <row r="1344">
      <c r="A1344" s="17" t="s">
        <v>3574</v>
      </c>
      <c r="B1344" s="9"/>
      <c r="C1344" s="25"/>
      <c r="D1344" s="22" t="s">
        <v>3576</v>
      </c>
    </row>
    <row r="1345">
      <c r="A1345" s="17" t="s">
        <v>3577</v>
      </c>
      <c r="B1345" s="9"/>
      <c r="C1345" s="25"/>
      <c r="D1345" s="22" t="s">
        <v>3576</v>
      </c>
    </row>
    <row r="1346">
      <c r="A1346" s="17" t="s">
        <v>3578</v>
      </c>
      <c r="B1346" s="9"/>
      <c r="C1346" s="25"/>
      <c r="D1346" s="22" t="s">
        <v>3576</v>
      </c>
    </row>
    <row r="1347">
      <c r="A1347" s="17" t="s">
        <v>3579</v>
      </c>
      <c r="B1347" s="9"/>
      <c r="C1347" s="25"/>
      <c r="D1347" s="22" t="s">
        <v>3581</v>
      </c>
    </row>
    <row r="1348">
      <c r="A1348" s="17" t="s">
        <v>3582</v>
      </c>
      <c r="B1348" s="9"/>
      <c r="C1348" s="25"/>
      <c r="D1348" s="22" t="s">
        <v>3581</v>
      </c>
    </row>
    <row r="1349">
      <c r="A1349" s="17" t="s">
        <v>3586</v>
      </c>
      <c r="B1349" s="9"/>
      <c r="C1349" s="25"/>
      <c r="D1349" s="22" t="s">
        <v>3581</v>
      </c>
    </row>
    <row r="1350">
      <c r="A1350" s="17" t="s">
        <v>3587</v>
      </c>
      <c r="B1350" s="9"/>
      <c r="C1350" s="25"/>
      <c r="D1350" s="22" t="s">
        <v>3588</v>
      </c>
    </row>
    <row r="1351">
      <c r="A1351" s="17" t="s">
        <v>3589</v>
      </c>
      <c r="B1351" s="9"/>
      <c r="C1351" s="25"/>
      <c r="D1351" s="22" t="s">
        <v>3588</v>
      </c>
    </row>
    <row r="1352">
      <c r="A1352" s="17" t="s">
        <v>3591</v>
      </c>
      <c r="B1352" s="9"/>
      <c r="C1352" s="25"/>
      <c r="D1352" s="22" t="s">
        <v>3588</v>
      </c>
    </row>
    <row r="1353">
      <c r="A1353" s="17" t="s">
        <v>3595</v>
      </c>
      <c r="B1353" s="9"/>
      <c r="C1353" s="25"/>
      <c r="D1353" s="22" t="s">
        <v>3596</v>
      </c>
    </row>
    <row r="1354">
      <c r="A1354" s="17" t="s">
        <v>3597</v>
      </c>
      <c r="B1354" s="9"/>
      <c r="C1354" s="25"/>
      <c r="D1354" s="22" t="s">
        <v>3596</v>
      </c>
    </row>
    <row r="1355">
      <c r="A1355" s="17" t="s">
        <v>3598</v>
      </c>
      <c r="B1355" s="9"/>
      <c r="C1355" s="25"/>
      <c r="D1355" s="22" t="s">
        <v>3596</v>
      </c>
    </row>
    <row r="1356">
      <c r="A1356" s="17" t="s">
        <v>3599</v>
      </c>
      <c r="B1356" s="9"/>
      <c r="C1356" s="25"/>
      <c r="D1356" s="22" t="s">
        <v>3601</v>
      </c>
    </row>
    <row r="1357">
      <c r="A1357" s="17" t="s">
        <v>3603</v>
      </c>
      <c r="B1357" s="9"/>
      <c r="C1357" s="25"/>
      <c r="D1357" s="22" t="s">
        <v>3601</v>
      </c>
    </row>
    <row r="1358">
      <c r="A1358" s="17" t="s">
        <v>3604</v>
      </c>
      <c r="B1358" s="9"/>
      <c r="C1358" s="25"/>
      <c r="D1358" s="22" t="s">
        <v>3601</v>
      </c>
    </row>
    <row r="1359">
      <c r="A1359" s="17" t="s">
        <v>3605</v>
      </c>
      <c r="B1359" s="9"/>
      <c r="C1359" s="25"/>
      <c r="D1359" s="22" t="s">
        <v>3606</v>
      </c>
    </row>
    <row r="1360">
      <c r="A1360" s="17" t="s">
        <v>3607</v>
      </c>
      <c r="B1360" s="9"/>
      <c r="C1360" s="25"/>
      <c r="D1360" s="22" t="s">
        <v>3606</v>
      </c>
    </row>
    <row r="1361">
      <c r="A1361" s="17" t="s">
        <v>3608</v>
      </c>
      <c r="B1361" s="9"/>
      <c r="C1361" s="25"/>
      <c r="D1361" s="22" t="s">
        <v>3606</v>
      </c>
    </row>
    <row r="1362">
      <c r="A1362" s="17" t="s">
        <v>3609</v>
      </c>
      <c r="B1362" s="9"/>
      <c r="C1362" s="25"/>
      <c r="D1362" s="22" t="s">
        <v>3610</v>
      </c>
    </row>
    <row r="1363">
      <c r="A1363" s="17" t="s">
        <v>3613</v>
      </c>
      <c r="B1363" s="9"/>
      <c r="C1363" s="25"/>
      <c r="D1363" s="22" t="s">
        <v>3610</v>
      </c>
    </row>
    <row r="1364">
      <c r="A1364" s="17" t="s">
        <v>3616</v>
      </c>
      <c r="B1364" s="9"/>
      <c r="C1364" s="25"/>
      <c r="D1364" s="22" t="s">
        <v>3610</v>
      </c>
    </row>
    <row r="1365">
      <c r="A1365" s="17" t="s">
        <v>3617</v>
      </c>
      <c r="B1365" s="9"/>
      <c r="C1365" s="25"/>
      <c r="D1365" s="22" t="s">
        <v>3618</v>
      </c>
    </row>
    <row r="1366">
      <c r="A1366" s="17" t="s">
        <v>3619</v>
      </c>
      <c r="B1366" s="9"/>
      <c r="C1366" s="25"/>
      <c r="D1366" s="22" t="s">
        <v>3618</v>
      </c>
    </row>
    <row r="1367">
      <c r="A1367" s="17" t="s">
        <v>3620</v>
      </c>
      <c r="B1367" s="9"/>
      <c r="C1367" s="25"/>
      <c r="D1367" s="22" t="s">
        <v>3618</v>
      </c>
    </row>
    <row r="1368">
      <c r="A1368" s="17" t="s">
        <v>3621</v>
      </c>
      <c r="B1368" s="9"/>
      <c r="C1368" s="25"/>
      <c r="D1368" s="22" t="s">
        <v>3623</v>
      </c>
    </row>
    <row r="1369">
      <c r="A1369" s="17" t="s">
        <v>3625</v>
      </c>
      <c r="B1369" s="9"/>
      <c r="C1369" s="25"/>
      <c r="D1369" s="22" t="s">
        <v>3623</v>
      </c>
    </row>
    <row r="1370">
      <c r="A1370" s="17" t="s">
        <v>3627</v>
      </c>
      <c r="B1370" s="9"/>
      <c r="C1370" s="25"/>
      <c r="D1370" s="22" t="s">
        <v>3623</v>
      </c>
    </row>
    <row r="1371">
      <c r="A1371" s="17" t="s">
        <v>3628</v>
      </c>
      <c r="B1371" s="9"/>
      <c r="C1371" s="25"/>
      <c r="D1371" s="22" t="s">
        <v>3629</v>
      </c>
    </row>
    <row r="1372">
      <c r="A1372" s="17" t="s">
        <v>3630</v>
      </c>
      <c r="B1372" s="9"/>
      <c r="C1372" s="25"/>
      <c r="D1372" s="22" t="s">
        <v>3629</v>
      </c>
    </row>
    <row r="1373">
      <c r="A1373" s="17" t="s">
        <v>3631</v>
      </c>
      <c r="B1373" s="9"/>
      <c r="C1373" s="25"/>
      <c r="D1373" s="22" t="s">
        <v>3629</v>
      </c>
    </row>
    <row r="1374">
      <c r="A1374" s="17" t="s">
        <v>3632</v>
      </c>
      <c r="B1374" s="9"/>
      <c r="C1374" s="25"/>
      <c r="D1374" s="22" t="s">
        <v>3633</v>
      </c>
    </row>
    <row r="1375">
      <c r="A1375" s="17" t="s">
        <v>3635</v>
      </c>
      <c r="B1375" s="9"/>
      <c r="C1375" s="25"/>
      <c r="D1375" s="22" t="s">
        <v>3633</v>
      </c>
    </row>
    <row r="1376">
      <c r="A1376" s="17" t="s">
        <v>3638</v>
      </c>
      <c r="B1376" s="9"/>
      <c r="C1376" s="25"/>
      <c r="D1376" s="22" t="s">
        <v>3633</v>
      </c>
    </row>
    <row r="1377">
      <c r="A1377" s="17" t="s">
        <v>3639</v>
      </c>
      <c r="B1377" s="9"/>
      <c r="C1377" s="25"/>
      <c r="D1377" s="22" t="s">
        <v>3640</v>
      </c>
    </row>
    <row r="1378">
      <c r="A1378" s="17" t="s">
        <v>3641</v>
      </c>
      <c r="B1378" s="9"/>
      <c r="C1378" s="25"/>
      <c r="D1378" s="22" t="s">
        <v>3640</v>
      </c>
    </row>
    <row r="1379">
      <c r="A1379" s="17" t="s">
        <v>3642</v>
      </c>
      <c r="B1379" s="9"/>
      <c r="C1379" s="25"/>
      <c r="D1379" s="22" t="s">
        <v>3640</v>
      </c>
    </row>
    <row r="1380">
      <c r="A1380" s="17" t="s">
        <v>3643</v>
      </c>
      <c r="B1380" s="9"/>
      <c r="C1380" s="25"/>
      <c r="D1380" s="22" t="s">
        <v>3644</v>
      </c>
    </row>
    <row r="1381">
      <c r="A1381" s="17" t="s">
        <v>3646</v>
      </c>
      <c r="B1381" s="9"/>
      <c r="C1381" s="25"/>
      <c r="D1381" s="22" t="s">
        <v>3644</v>
      </c>
    </row>
    <row r="1382">
      <c r="A1382" s="17" t="s">
        <v>3649</v>
      </c>
      <c r="B1382" s="9"/>
      <c r="C1382" s="25"/>
      <c r="D1382" s="22" t="s">
        <v>3644</v>
      </c>
    </row>
    <row r="1383">
      <c r="A1383" s="17" t="s">
        <v>3650</v>
      </c>
      <c r="B1383" s="9"/>
      <c r="C1383" s="25"/>
      <c r="D1383" s="22" t="s">
        <v>3651</v>
      </c>
    </row>
    <row r="1384">
      <c r="A1384" s="17" t="s">
        <v>3652</v>
      </c>
      <c r="B1384" s="9"/>
      <c r="C1384" s="25"/>
      <c r="D1384" s="22" t="s">
        <v>3651</v>
      </c>
    </row>
    <row r="1385">
      <c r="A1385" s="17" t="s">
        <v>3653</v>
      </c>
      <c r="B1385" s="9"/>
      <c r="C1385" s="25"/>
      <c r="D1385" s="22" t="s">
        <v>3651</v>
      </c>
    </row>
    <row r="1386">
      <c r="A1386" s="17" t="s">
        <v>3654</v>
      </c>
      <c r="B1386" s="9"/>
      <c r="C1386" s="25"/>
      <c r="D1386" s="22" t="s">
        <v>3655</v>
      </c>
    </row>
    <row r="1387">
      <c r="A1387" s="17" t="s">
        <v>3657</v>
      </c>
      <c r="B1387" s="9"/>
      <c r="C1387" s="25"/>
      <c r="D1387" s="22" t="s">
        <v>3655</v>
      </c>
    </row>
    <row r="1388">
      <c r="A1388" s="17" t="s">
        <v>3660</v>
      </c>
      <c r="B1388" s="9"/>
      <c r="C1388" s="25"/>
      <c r="D1388" s="22" t="s">
        <v>3655</v>
      </c>
    </row>
    <row r="1389">
      <c r="A1389" s="17" t="s">
        <v>3661</v>
      </c>
      <c r="B1389" s="9"/>
      <c r="C1389" s="25"/>
      <c r="D1389" s="22" t="s">
        <v>3662</v>
      </c>
    </row>
    <row r="1390">
      <c r="A1390" s="17" t="s">
        <v>3663</v>
      </c>
      <c r="B1390" s="9"/>
      <c r="C1390" s="25"/>
      <c r="D1390" s="22" t="s">
        <v>3662</v>
      </c>
    </row>
    <row r="1391">
      <c r="A1391" s="17" t="s">
        <v>3664</v>
      </c>
      <c r="B1391" s="9"/>
      <c r="C1391" s="25"/>
      <c r="D1391" s="22" t="s">
        <v>3662</v>
      </c>
    </row>
    <row r="1392">
      <c r="A1392" s="17" t="s">
        <v>3665</v>
      </c>
      <c r="B1392" s="9"/>
      <c r="C1392" s="25"/>
      <c r="D1392" s="22" t="s">
        <v>3666</v>
      </c>
    </row>
    <row r="1393">
      <c r="A1393" s="17" t="s">
        <v>3667</v>
      </c>
      <c r="B1393" s="9"/>
      <c r="C1393" s="25"/>
      <c r="D1393" s="22" t="s">
        <v>3666</v>
      </c>
    </row>
    <row r="1394">
      <c r="A1394" s="17" t="s">
        <v>3670</v>
      </c>
      <c r="B1394" s="9"/>
      <c r="C1394" s="25"/>
      <c r="D1394" s="22" t="s">
        <v>3666</v>
      </c>
    </row>
    <row r="1395">
      <c r="A1395" s="17" t="s">
        <v>3672</v>
      </c>
      <c r="B1395" s="9"/>
      <c r="C1395" s="25"/>
      <c r="D1395" s="22" t="s">
        <v>3673</v>
      </c>
    </row>
    <row r="1396">
      <c r="A1396" s="17" t="s">
        <v>3674</v>
      </c>
      <c r="B1396" s="9"/>
      <c r="C1396" s="25"/>
      <c r="D1396" s="22" t="s">
        <v>3673</v>
      </c>
    </row>
    <row r="1397">
      <c r="A1397" s="17" t="s">
        <v>3675</v>
      </c>
      <c r="B1397" s="9"/>
      <c r="C1397" s="25"/>
      <c r="D1397" s="22" t="s">
        <v>3673</v>
      </c>
    </row>
    <row r="1398">
      <c r="A1398" s="17" t="s">
        <v>3676</v>
      </c>
      <c r="B1398" s="9"/>
      <c r="C1398" s="25"/>
      <c r="D1398" s="22" t="s">
        <v>3677</v>
      </c>
    </row>
    <row r="1399">
      <c r="A1399" s="17" t="s">
        <v>3678</v>
      </c>
      <c r="B1399" s="9"/>
      <c r="C1399" s="25"/>
      <c r="D1399" s="22" t="s">
        <v>3677</v>
      </c>
    </row>
    <row r="1400">
      <c r="A1400" s="17" t="s">
        <v>3680</v>
      </c>
      <c r="B1400" s="9"/>
      <c r="C1400" s="25"/>
      <c r="D1400" s="22" t="s">
        <v>3677</v>
      </c>
    </row>
    <row r="1401">
      <c r="A1401" s="17" t="s">
        <v>3682</v>
      </c>
      <c r="B1401" s="9"/>
      <c r="C1401" s="25"/>
      <c r="D1401" s="22" t="s">
        <v>3683</v>
      </c>
    </row>
    <row r="1402">
      <c r="A1402" s="17" t="s">
        <v>3684</v>
      </c>
      <c r="B1402" s="9"/>
      <c r="C1402" s="25"/>
      <c r="D1402" s="22" t="s">
        <v>3683</v>
      </c>
    </row>
    <row r="1403">
      <c r="A1403" s="17" t="s">
        <v>3685</v>
      </c>
      <c r="B1403" s="9"/>
      <c r="C1403" s="25"/>
      <c r="D1403" s="22" t="s">
        <v>3683</v>
      </c>
    </row>
    <row r="1404">
      <c r="A1404" s="17" t="s">
        <v>3686</v>
      </c>
      <c r="B1404" s="9"/>
      <c r="C1404" s="25"/>
      <c r="D1404" s="22" t="s">
        <v>3687</v>
      </c>
    </row>
    <row r="1405">
      <c r="A1405" s="17" t="s">
        <v>3688</v>
      </c>
      <c r="B1405" s="9"/>
      <c r="C1405" s="25"/>
      <c r="D1405" s="22" t="s">
        <v>3687</v>
      </c>
    </row>
    <row r="1406">
      <c r="A1406" s="17" t="s">
        <v>3691</v>
      </c>
      <c r="B1406" s="9"/>
      <c r="C1406" s="25"/>
      <c r="D1406" s="22" t="s">
        <v>3687</v>
      </c>
    </row>
    <row r="1407">
      <c r="A1407" s="17" t="s">
        <v>3695</v>
      </c>
      <c r="B1407" s="9"/>
      <c r="C1407" s="25"/>
      <c r="D1407" s="22" t="s">
        <v>3696</v>
      </c>
    </row>
    <row r="1408">
      <c r="A1408" s="17" t="s">
        <v>3697</v>
      </c>
      <c r="B1408" s="9"/>
      <c r="C1408" s="25"/>
      <c r="D1408" s="22" t="s">
        <v>3696</v>
      </c>
    </row>
    <row r="1409">
      <c r="A1409" s="17" t="s">
        <v>3700</v>
      </c>
      <c r="B1409" s="9"/>
      <c r="C1409" s="25"/>
      <c r="D1409" s="22" t="s">
        <v>3696</v>
      </c>
    </row>
    <row r="1410">
      <c r="A1410" s="17" t="s">
        <v>3702</v>
      </c>
      <c r="B1410" s="9"/>
      <c r="C1410" s="25"/>
      <c r="D1410" s="22" t="s">
        <v>3704</v>
      </c>
    </row>
    <row r="1411">
      <c r="A1411" s="17" t="s">
        <v>3705</v>
      </c>
      <c r="B1411" s="9"/>
      <c r="C1411" s="25"/>
      <c r="D1411" s="22" t="s">
        <v>3704</v>
      </c>
    </row>
    <row r="1412">
      <c r="A1412" s="17" t="s">
        <v>3708</v>
      </c>
      <c r="B1412" s="9"/>
      <c r="C1412" s="25"/>
      <c r="D1412" s="22" t="s">
        <v>3704</v>
      </c>
    </row>
    <row r="1413">
      <c r="A1413" s="17" t="s">
        <v>3710</v>
      </c>
      <c r="B1413" s="9"/>
      <c r="C1413" s="25"/>
      <c r="D1413" s="22" t="s">
        <v>3713</v>
      </c>
    </row>
    <row r="1414">
      <c r="A1414" s="17" t="s">
        <v>3714</v>
      </c>
      <c r="B1414" s="9"/>
      <c r="C1414" s="25"/>
      <c r="D1414" s="22" t="s">
        <v>3713</v>
      </c>
    </row>
    <row r="1415">
      <c r="A1415" s="17" t="s">
        <v>3716</v>
      </c>
      <c r="B1415" s="9"/>
      <c r="C1415" s="25"/>
      <c r="D1415" s="22" t="s">
        <v>3713</v>
      </c>
    </row>
    <row r="1416">
      <c r="A1416" s="17" t="s">
        <v>3718</v>
      </c>
      <c r="B1416" s="9"/>
      <c r="C1416" s="25"/>
      <c r="D1416" s="22" t="s">
        <v>3719</v>
      </c>
    </row>
    <row r="1417">
      <c r="A1417" s="17" t="s">
        <v>3720</v>
      </c>
      <c r="B1417" s="9"/>
      <c r="C1417" s="25"/>
      <c r="D1417" s="22" t="s">
        <v>3719</v>
      </c>
    </row>
    <row r="1418">
      <c r="A1418" s="17" t="s">
        <v>3722</v>
      </c>
      <c r="B1418" s="9"/>
      <c r="C1418" s="25"/>
      <c r="D1418" s="22" t="s">
        <v>3719</v>
      </c>
    </row>
    <row r="1419">
      <c r="A1419" s="17" t="s">
        <v>3724</v>
      </c>
      <c r="B1419" s="9"/>
      <c r="C1419" s="25"/>
      <c r="D1419" s="22" t="s">
        <v>3726</v>
      </c>
    </row>
    <row r="1420">
      <c r="A1420" s="17" t="s">
        <v>3727</v>
      </c>
      <c r="B1420" s="9"/>
      <c r="C1420" s="25"/>
      <c r="D1420" s="22" t="s">
        <v>3726</v>
      </c>
    </row>
    <row r="1421">
      <c r="A1421" s="17" t="s">
        <v>3729</v>
      </c>
      <c r="B1421" s="9"/>
      <c r="C1421" s="25"/>
      <c r="D1421" s="22" t="s">
        <v>3726</v>
      </c>
    </row>
    <row r="1422">
      <c r="A1422" s="17" t="s">
        <v>3730</v>
      </c>
      <c r="B1422" s="9"/>
      <c r="C1422" s="25"/>
      <c r="D1422" s="22" t="s">
        <v>3731</v>
      </c>
    </row>
    <row r="1423">
      <c r="A1423" s="17" t="s">
        <v>3732</v>
      </c>
      <c r="B1423" s="9"/>
      <c r="C1423" s="25"/>
      <c r="D1423" s="22" t="s">
        <v>3731</v>
      </c>
    </row>
    <row r="1424">
      <c r="A1424" s="17" t="s">
        <v>3733</v>
      </c>
      <c r="B1424" s="9"/>
      <c r="C1424" s="25"/>
      <c r="D1424" s="22" t="s">
        <v>3731</v>
      </c>
    </row>
    <row r="1425">
      <c r="A1425" s="17" t="s">
        <v>3734</v>
      </c>
      <c r="B1425" s="9"/>
      <c r="C1425" s="25"/>
      <c r="D1425" s="22" t="s">
        <v>3737</v>
      </c>
    </row>
    <row r="1426">
      <c r="A1426" s="17" t="s">
        <v>3738</v>
      </c>
      <c r="B1426" s="9"/>
      <c r="C1426" s="25"/>
      <c r="D1426" s="22" t="s">
        <v>3737</v>
      </c>
    </row>
    <row r="1427">
      <c r="A1427" s="17" t="s">
        <v>3739</v>
      </c>
      <c r="B1427" s="9"/>
      <c r="C1427" s="25"/>
      <c r="D1427" s="22" t="s">
        <v>3737</v>
      </c>
    </row>
    <row r="1428">
      <c r="A1428" s="17" t="s">
        <v>3740</v>
      </c>
      <c r="B1428" s="9"/>
      <c r="C1428" s="25"/>
      <c r="D1428" s="22" t="s">
        <v>3741</v>
      </c>
    </row>
    <row r="1429">
      <c r="A1429" s="17" t="s">
        <v>3742</v>
      </c>
      <c r="B1429" s="9"/>
      <c r="C1429" s="25"/>
      <c r="D1429" s="22" t="s">
        <v>3741</v>
      </c>
    </row>
    <row r="1430">
      <c r="A1430" s="17" t="s">
        <v>3743</v>
      </c>
      <c r="B1430" s="9"/>
      <c r="C1430" s="25"/>
      <c r="D1430" s="22" t="s">
        <v>3741</v>
      </c>
    </row>
    <row r="1431">
      <c r="A1431" s="17" t="s">
        <v>3744</v>
      </c>
      <c r="B1431" s="9"/>
      <c r="C1431" s="25"/>
      <c r="D1431" s="22" t="s">
        <v>3748</v>
      </c>
    </row>
    <row r="1432">
      <c r="A1432" s="17" t="s">
        <v>3750</v>
      </c>
      <c r="B1432" s="9"/>
      <c r="C1432" s="25"/>
      <c r="D1432" s="22" t="s">
        <v>3748</v>
      </c>
    </row>
    <row r="1433">
      <c r="A1433" s="17" t="s">
        <v>3751</v>
      </c>
      <c r="B1433" s="9"/>
      <c r="C1433" s="25"/>
      <c r="D1433" s="22" t="s">
        <v>3748</v>
      </c>
    </row>
    <row r="1434">
      <c r="A1434" s="17" t="s">
        <v>3752</v>
      </c>
      <c r="B1434" s="9"/>
      <c r="C1434" s="25"/>
      <c r="D1434" s="22" t="s">
        <v>3753</v>
      </c>
    </row>
    <row r="1435">
      <c r="A1435" s="17" t="s">
        <v>3754</v>
      </c>
      <c r="B1435" s="9"/>
      <c r="C1435" s="25"/>
      <c r="D1435" s="22" t="s">
        <v>3753</v>
      </c>
    </row>
    <row r="1436">
      <c r="A1436" s="17" t="s">
        <v>3755</v>
      </c>
      <c r="B1436" s="9"/>
      <c r="C1436" s="25"/>
      <c r="D1436" s="22" t="s">
        <v>3753</v>
      </c>
    </row>
    <row r="1437">
      <c r="A1437" s="17" t="s">
        <v>3757</v>
      </c>
      <c r="B1437" s="9"/>
      <c r="C1437" s="25"/>
      <c r="D1437" s="22" t="s">
        <v>3758</v>
      </c>
    </row>
    <row r="1438">
      <c r="A1438" s="17" t="s">
        <v>3760</v>
      </c>
      <c r="B1438" s="9"/>
      <c r="C1438" s="25"/>
      <c r="D1438" s="22" t="s">
        <v>3758</v>
      </c>
    </row>
    <row r="1439">
      <c r="A1439" s="17" t="s">
        <v>3761</v>
      </c>
      <c r="B1439" s="9"/>
      <c r="C1439" s="25"/>
      <c r="D1439" s="22" t="s">
        <v>3758</v>
      </c>
    </row>
    <row r="1440">
      <c r="A1440" s="17" t="s">
        <v>3762</v>
      </c>
      <c r="B1440" s="9"/>
      <c r="C1440" s="25"/>
      <c r="D1440" s="22" t="s">
        <v>3763</v>
      </c>
    </row>
    <row r="1441">
      <c r="A1441" s="17" t="s">
        <v>3764</v>
      </c>
      <c r="B1441" s="9"/>
      <c r="C1441" s="25"/>
      <c r="D1441" s="22" t="s">
        <v>3763</v>
      </c>
    </row>
    <row r="1442">
      <c r="A1442" s="17" t="s">
        <v>3765</v>
      </c>
      <c r="B1442" s="9"/>
      <c r="C1442" s="25"/>
      <c r="D1442" s="22" t="s">
        <v>3763</v>
      </c>
    </row>
    <row r="1443">
      <c r="A1443" s="17" t="s">
        <v>3766</v>
      </c>
      <c r="B1443" s="9"/>
      <c r="C1443" s="25"/>
      <c r="D1443" s="22" t="s">
        <v>3770</v>
      </c>
    </row>
    <row r="1444">
      <c r="A1444" s="17" t="s">
        <v>3772</v>
      </c>
      <c r="B1444" s="9"/>
      <c r="C1444" s="25"/>
      <c r="D1444" s="22" t="s">
        <v>3770</v>
      </c>
    </row>
    <row r="1445">
      <c r="A1445" s="17" t="s">
        <v>3773</v>
      </c>
      <c r="B1445" s="9"/>
      <c r="C1445" s="25"/>
      <c r="D1445" s="22" t="s">
        <v>3770</v>
      </c>
    </row>
    <row r="1446">
      <c r="A1446" s="17" t="s">
        <v>3774</v>
      </c>
      <c r="B1446" s="9"/>
      <c r="C1446" s="25"/>
      <c r="D1446" s="22" t="s">
        <v>3775</v>
      </c>
    </row>
    <row r="1447">
      <c r="A1447" s="17" t="s">
        <v>3776</v>
      </c>
      <c r="B1447" s="9"/>
      <c r="C1447" s="25"/>
      <c r="D1447" s="22" t="s">
        <v>3775</v>
      </c>
    </row>
    <row r="1448">
      <c r="A1448" s="17" t="s">
        <v>3777</v>
      </c>
      <c r="B1448" s="9"/>
      <c r="C1448" s="25"/>
      <c r="D1448" s="22" t="s">
        <v>3775</v>
      </c>
    </row>
    <row r="1449">
      <c r="A1449" s="17" t="s">
        <v>3780</v>
      </c>
      <c r="B1449" s="9"/>
      <c r="C1449" s="25"/>
      <c r="D1449" s="22" t="s">
        <v>3781</v>
      </c>
    </row>
    <row r="1450">
      <c r="A1450" s="17" t="s">
        <v>3782</v>
      </c>
      <c r="B1450" s="9"/>
      <c r="C1450" s="25"/>
      <c r="D1450" s="22" t="s">
        <v>3781</v>
      </c>
    </row>
    <row r="1451">
      <c r="A1451" s="17" t="s">
        <v>3783</v>
      </c>
      <c r="B1451" s="9"/>
      <c r="C1451" s="25"/>
      <c r="D1451" s="22" t="s">
        <v>3781</v>
      </c>
    </row>
    <row r="1452">
      <c r="A1452" s="17" t="s">
        <v>3784</v>
      </c>
      <c r="B1452" s="9"/>
      <c r="C1452" s="25"/>
      <c r="D1452" s="22" t="s">
        <v>3785</v>
      </c>
    </row>
    <row r="1453">
      <c r="A1453" s="17" t="s">
        <v>3786</v>
      </c>
      <c r="B1453" s="9"/>
      <c r="C1453" s="25"/>
      <c r="D1453" s="22" t="s">
        <v>3785</v>
      </c>
    </row>
    <row r="1454">
      <c r="A1454" s="17" t="s">
        <v>3787</v>
      </c>
      <c r="B1454" s="9"/>
      <c r="C1454" s="25"/>
      <c r="D1454" s="22" t="s">
        <v>3785</v>
      </c>
    </row>
    <row r="1455">
      <c r="A1455" s="17" t="s">
        <v>3789</v>
      </c>
      <c r="B1455" s="9"/>
      <c r="C1455" s="25"/>
      <c r="D1455" s="22" t="s">
        <v>3792</v>
      </c>
    </row>
    <row r="1456">
      <c r="A1456" s="17" t="s">
        <v>3793</v>
      </c>
      <c r="B1456" s="9"/>
      <c r="C1456" s="25"/>
      <c r="D1456" s="22" t="s">
        <v>3792</v>
      </c>
    </row>
    <row r="1457">
      <c r="A1457" s="17" t="s">
        <v>3794</v>
      </c>
      <c r="B1457" s="9"/>
      <c r="C1457" s="25"/>
      <c r="D1457" s="22" t="s">
        <v>3792</v>
      </c>
    </row>
    <row r="1458">
      <c r="A1458" s="17" t="s">
        <v>3795</v>
      </c>
      <c r="B1458" s="9"/>
      <c r="C1458" s="25"/>
      <c r="D1458" s="22" t="s">
        <v>3796</v>
      </c>
    </row>
    <row r="1459">
      <c r="A1459" s="17" t="s">
        <v>3797</v>
      </c>
      <c r="B1459" s="9"/>
      <c r="C1459" s="25"/>
      <c r="D1459" s="22" t="s">
        <v>3796</v>
      </c>
    </row>
    <row r="1460">
      <c r="A1460" s="17" t="s">
        <v>3798</v>
      </c>
      <c r="B1460" s="9"/>
      <c r="C1460" s="25"/>
      <c r="D1460" s="22" t="s">
        <v>3796</v>
      </c>
    </row>
    <row r="1461">
      <c r="A1461" s="17" t="s">
        <v>3801</v>
      </c>
      <c r="B1461" s="9"/>
      <c r="C1461" s="25"/>
      <c r="D1461" s="99" t="s">
        <v>3802</v>
      </c>
    </row>
    <row r="1462">
      <c r="A1462" s="17" t="s">
        <v>3803</v>
      </c>
      <c r="B1462" s="9"/>
      <c r="C1462" s="25"/>
      <c r="D1462" s="99" t="s">
        <v>3802</v>
      </c>
    </row>
    <row r="1463">
      <c r="A1463" s="17" t="s">
        <v>3804</v>
      </c>
      <c r="B1463" s="9"/>
      <c r="C1463" s="25"/>
      <c r="D1463" s="99" t="s">
        <v>3802</v>
      </c>
    </row>
    <row r="1464">
      <c r="A1464" s="17" t="s">
        <v>3805</v>
      </c>
      <c r="B1464" s="9"/>
      <c r="C1464" s="25"/>
      <c r="D1464" s="22" t="s">
        <v>3806</v>
      </c>
    </row>
    <row r="1465">
      <c r="A1465" s="17" t="s">
        <v>3807</v>
      </c>
      <c r="B1465" s="9"/>
      <c r="C1465" s="25"/>
      <c r="D1465" s="22" t="s">
        <v>3806</v>
      </c>
    </row>
    <row r="1466">
      <c r="A1466" s="17" t="s">
        <v>3808</v>
      </c>
      <c r="B1466" s="9"/>
      <c r="C1466" s="25"/>
      <c r="D1466" s="22" t="s">
        <v>3806</v>
      </c>
    </row>
    <row r="1467">
      <c r="A1467" s="17" t="s">
        <v>3812</v>
      </c>
      <c r="B1467" s="9"/>
      <c r="C1467" s="25"/>
      <c r="D1467" s="22" t="s">
        <v>3813</v>
      </c>
    </row>
    <row r="1468">
      <c r="A1468" s="17" t="s">
        <v>3814</v>
      </c>
      <c r="B1468" s="9"/>
      <c r="C1468" s="25"/>
      <c r="D1468" s="22" t="s">
        <v>3813</v>
      </c>
    </row>
    <row r="1469">
      <c r="A1469" s="17" t="s">
        <v>3815</v>
      </c>
      <c r="B1469" s="9"/>
      <c r="C1469" s="25"/>
      <c r="D1469" s="22" t="s">
        <v>3813</v>
      </c>
    </row>
    <row r="1470">
      <c r="A1470" s="17" t="s">
        <v>3816</v>
      </c>
      <c r="B1470" s="9"/>
      <c r="C1470" s="25"/>
      <c r="D1470" s="22" t="s">
        <v>3817</v>
      </c>
    </row>
    <row r="1471">
      <c r="A1471" s="17" t="s">
        <v>3818</v>
      </c>
      <c r="B1471" s="9"/>
      <c r="C1471" s="25"/>
      <c r="D1471" s="22" t="s">
        <v>3817</v>
      </c>
    </row>
    <row r="1472">
      <c r="A1472" s="17" t="s">
        <v>3820</v>
      </c>
      <c r="B1472" s="9"/>
      <c r="C1472" s="25"/>
      <c r="D1472" s="22" t="s">
        <v>3817</v>
      </c>
    </row>
    <row r="1473">
      <c r="A1473" s="17" t="s">
        <v>3822</v>
      </c>
      <c r="B1473" s="9"/>
      <c r="C1473" s="25"/>
      <c r="D1473" s="22" t="s">
        <v>3823</v>
      </c>
    </row>
    <row r="1474">
      <c r="A1474" s="17" t="s">
        <v>3824</v>
      </c>
      <c r="B1474" s="9"/>
      <c r="C1474" s="25"/>
      <c r="D1474" s="22" t="s">
        <v>3823</v>
      </c>
    </row>
    <row r="1475">
      <c r="A1475" s="17" t="s">
        <v>3825</v>
      </c>
      <c r="B1475" s="9"/>
      <c r="C1475" s="25"/>
      <c r="D1475" s="22" t="s">
        <v>3823</v>
      </c>
    </row>
    <row r="1476">
      <c r="A1476" s="17" t="s">
        <v>3826</v>
      </c>
      <c r="B1476" s="9"/>
      <c r="C1476" s="25"/>
      <c r="D1476" s="22" t="s">
        <v>3827</v>
      </c>
    </row>
    <row r="1477">
      <c r="A1477" s="17" t="s">
        <v>3828</v>
      </c>
      <c r="B1477" s="9"/>
      <c r="C1477" s="25"/>
      <c r="D1477" s="22" t="s">
        <v>3827</v>
      </c>
    </row>
    <row r="1478">
      <c r="A1478" s="17" t="s">
        <v>3830</v>
      </c>
      <c r="B1478" s="9"/>
      <c r="C1478" s="25"/>
      <c r="D1478" s="22" t="s">
        <v>3827</v>
      </c>
    </row>
    <row r="1479">
      <c r="A1479" s="17" t="s">
        <v>3832</v>
      </c>
      <c r="B1479" s="9"/>
      <c r="C1479" s="25"/>
      <c r="D1479" s="22" t="s">
        <v>3833</v>
      </c>
    </row>
    <row r="1480">
      <c r="A1480" s="17" t="s">
        <v>3834</v>
      </c>
      <c r="B1480" s="9"/>
      <c r="C1480" s="25"/>
      <c r="D1480" s="22" t="s">
        <v>3833</v>
      </c>
    </row>
    <row r="1481">
      <c r="A1481" s="17" t="s">
        <v>3835</v>
      </c>
      <c r="B1481" s="9"/>
      <c r="C1481" s="25"/>
      <c r="D1481" s="22" t="s">
        <v>3833</v>
      </c>
    </row>
    <row r="1482">
      <c r="A1482" s="17" t="s">
        <v>3836</v>
      </c>
      <c r="B1482" s="9"/>
      <c r="C1482" s="25"/>
      <c r="D1482" s="22" t="s">
        <v>3837</v>
      </c>
    </row>
    <row r="1483">
      <c r="A1483" s="17" t="s">
        <v>3838</v>
      </c>
      <c r="B1483" s="9"/>
      <c r="C1483" s="25"/>
      <c r="D1483" s="22" t="s">
        <v>3837</v>
      </c>
    </row>
    <row r="1484">
      <c r="A1484" s="17" t="s">
        <v>3840</v>
      </c>
      <c r="B1484" s="9"/>
      <c r="C1484" s="25"/>
      <c r="D1484" s="22" t="s">
        <v>3837</v>
      </c>
    </row>
    <row r="1485">
      <c r="A1485" s="17" t="s">
        <v>3843</v>
      </c>
      <c r="B1485" s="9"/>
      <c r="C1485" s="25"/>
      <c r="D1485" s="22" t="s">
        <v>3844</v>
      </c>
    </row>
    <row r="1486">
      <c r="A1486" s="17" t="s">
        <v>3845</v>
      </c>
      <c r="B1486" s="9"/>
      <c r="C1486" s="25"/>
      <c r="D1486" s="22" t="s">
        <v>3844</v>
      </c>
    </row>
    <row r="1487">
      <c r="A1487" s="17" t="s">
        <v>3846</v>
      </c>
      <c r="B1487" s="9"/>
      <c r="C1487" s="25"/>
      <c r="D1487" s="22" t="s">
        <v>3844</v>
      </c>
    </row>
    <row r="1488">
      <c r="A1488" s="17" t="s">
        <v>3847</v>
      </c>
      <c r="B1488" s="9"/>
      <c r="C1488" s="25"/>
      <c r="D1488" s="22" t="s">
        <v>3848</v>
      </c>
    </row>
    <row r="1489">
      <c r="A1489" s="17" t="s">
        <v>3849</v>
      </c>
      <c r="B1489" s="9"/>
      <c r="C1489" s="25"/>
      <c r="D1489" s="22" t="s">
        <v>3848</v>
      </c>
    </row>
    <row r="1490">
      <c r="A1490" s="17" t="s">
        <v>3850</v>
      </c>
      <c r="B1490" s="9"/>
      <c r="C1490" s="25"/>
      <c r="D1490" s="22" t="s">
        <v>3848</v>
      </c>
    </row>
    <row r="1491">
      <c r="A1491" s="17" t="s">
        <v>3854</v>
      </c>
      <c r="B1491" s="9"/>
      <c r="C1491" s="25"/>
      <c r="D1491" s="22" t="s">
        <v>3855</v>
      </c>
    </row>
    <row r="1492">
      <c r="A1492" s="17" t="s">
        <v>3856</v>
      </c>
      <c r="B1492" s="9"/>
      <c r="C1492" s="25"/>
      <c r="D1492" s="22" t="s">
        <v>3855</v>
      </c>
    </row>
    <row r="1493">
      <c r="A1493" s="17" t="s">
        <v>3857</v>
      </c>
      <c r="B1493" s="9"/>
      <c r="C1493" s="25"/>
      <c r="D1493" s="22" t="s">
        <v>3855</v>
      </c>
    </row>
    <row r="1494">
      <c r="A1494" s="17" t="s">
        <v>3858</v>
      </c>
      <c r="B1494" s="9"/>
      <c r="C1494" s="25"/>
      <c r="D1494" s="22" t="s">
        <v>3859</v>
      </c>
    </row>
    <row r="1495">
      <c r="A1495" s="17" t="s">
        <v>3860</v>
      </c>
      <c r="B1495" s="9"/>
      <c r="C1495" s="25"/>
      <c r="D1495" s="22" t="s">
        <v>3859</v>
      </c>
    </row>
    <row r="1496">
      <c r="A1496" s="17" t="s">
        <v>3862</v>
      </c>
      <c r="B1496" s="9"/>
      <c r="C1496" s="25"/>
      <c r="D1496" s="22" t="s">
        <v>3859</v>
      </c>
    </row>
    <row r="1497">
      <c r="A1497" s="17" t="s">
        <v>3864</v>
      </c>
      <c r="B1497" s="9"/>
      <c r="C1497" s="25"/>
      <c r="D1497" s="22" t="s">
        <v>3865</v>
      </c>
    </row>
    <row r="1498">
      <c r="A1498" s="17" t="s">
        <v>3866</v>
      </c>
      <c r="B1498" s="9"/>
      <c r="C1498" s="25"/>
      <c r="D1498" s="22" t="s">
        <v>3865</v>
      </c>
    </row>
    <row r="1499">
      <c r="A1499" s="17" t="s">
        <v>3867</v>
      </c>
      <c r="B1499" s="9"/>
      <c r="C1499" s="25"/>
      <c r="D1499" s="22" t="s">
        <v>3865</v>
      </c>
    </row>
    <row r="1500">
      <c r="A1500" s="17" t="s">
        <v>3868</v>
      </c>
      <c r="B1500" s="9"/>
      <c r="C1500" s="25"/>
      <c r="D1500" s="22" t="s">
        <v>3869</v>
      </c>
    </row>
    <row r="1501">
      <c r="A1501" s="17" t="s">
        <v>3870</v>
      </c>
      <c r="B1501" s="9"/>
      <c r="C1501" s="25"/>
      <c r="D1501" s="22" t="s">
        <v>3869</v>
      </c>
    </row>
    <row r="1502">
      <c r="A1502" s="17" t="s">
        <v>3871</v>
      </c>
      <c r="B1502" s="9"/>
      <c r="C1502" s="25"/>
      <c r="D1502" s="22" t="s">
        <v>3869</v>
      </c>
    </row>
    <row r="1503">
      <c r="A1503" s="17" t="s">
        <v>3876</v>
      </c>
      <c r="B1503" s="9"/>
      <c r="C1503" s="25"/>
      <c r="D1503" s="22" t="s">
        <v>3877</v>
      </c>
    </row>
    <row r="1504">
      <c r="A1504" s="17" t="s">
        <v>3878</v>
      </c>
      <c r="B1504" s="9"/>
      <c r="C1504" s="25"/>
      <c r="D1504" s="22" t="s">
        <v>3877</v>
      </c>
    </row>
    <row r="1505">
      <c r="A1505" s="17" t="s">
        <v>3879</v>
      </c>
      <c r="B1505" s="9"/>
      <c r="C1505" s="25"/>
      <c r="D1505" s="22" t="s">
        <v>3877</v>
      </c>
    </row>
    <row r="1506">
      <c r="A1506" s="17" t="s">
        <v>3880</v>
      </c>
      <c r="B1506" s="9"/>
      <c r="C1506" s="25"/>
      <c r="D1506" s="22" t="s">
        <v>3881</v>
      </c>
    </row>
    <row r="1507">
      <c r="A1507" s="17" t="s">
        <v>3882</v>
      </c>
      <c r="B1507" s="9"/>
      <c r="C1507" s="25"/>
      <c r="D1507" s="22" t="s">
        <v>3881</v>
      </c>
    </row>
    <row r="1508">
      <c r="A1508" s="17" t="s">
        <v>3883</v>
      </c>
      <c r="B1508" s="9"/>
      <c r="C1508" s="25"/>
      <c r="D1508" s="22" t="s">
        <v>3881</v>
      </c>
    </row>
    <row r="1509">
      <c r="A1509" s="17" t="s">
        <v>3887</v>
      </c>
      <c r="B1509" s="9"/>
      <c r="C1509" s="25"/>
      <c r="D1509" s="22" t="s">
        <v>3889</v>
      </c>
    </row>
    <row r="1510">
      <c r="A1510" s="17" t="s">
        <v>3890</v>
      </c>
      <c r="B1510" s="9"/>
      <c r="C1510" s="25"/>
      <c r="D1510" s="22" t="s">
        <v>3889</v>
      </c>
    </row>
    <row r="1511">
      <c r="A1511" s="17" t="s">
        <v>3891</v>
      </c>
      <c r="B1511" s="9"/>
      <c r="C1511" s="25"/>
      <c r="D1511" s="22" t="s">
        <v>3889</v>
      </c>
    </row>
    <row r="1512">
      <c r="A1512" s="17" t="s">
        <v>3895</v>
      </c>
      <c r="B1512" s="9"/>
      <c r="C1512" s="25"/>
      <c r="D1512" s="22" t="s">
        <v>3896</v>
      </c>
    </row>
    <row r="1513">
      <c r="A1513" s="17" t="s">
        <v>3897</v>
      </c>
      <c r="B1513" s="9"/>
      <c r="C1513" s="25"/>
      <c r="D1513" s="22" t="s">
        <v>3896</v>
      </c>
    </row>
    <row r="1514">
      <c r="A1514" s="17" t="s">
        <v>3899</v>
      </c>
      <c r="B1514" s="9"/>
      <c r="C1514" s="25"/>
      <c r="D1514" s="22" t="s">
        <v>3896</v>
      </c>
    </row>
    <row r="1515">
      <c r="A1515" s="17" t="s">
        <v>3901</v>
      </c>
      <c r="B1515" s="9"/>
      <c r="C1515" s="25"/>
      <c r="D1515" s="22" t="s">
        <v>3902</v>
      </c>
    </row>
    <row r="1516">
      <c r="A1516" s="17" t="s">
        <v>3903</v>
      </c>
      <c r="B1516" s="9"/>
      <c r="C1516" s="25"/>
      <c r="D1516" s="22" t="s">
        <v>3902</v>
      </c>
    </row>
    <row r="1517">
      <c r="A1517" s="17" t="s">
        <v>3904</v>
      </c>
      <c r="B1517" s="9"/>
      <c r="C1517" s="25"/>
      <c r="D1517" s="22" t="s">
        <v>3902</v>
      </c>
    </row>
    <row r="1518">
      <c r="A1518" s="17" t="s">
        <v>3908</v>
      </c>
      <c r="B1518" s="9"/>
      <c r="C1518" s="25"/>
      <c r="D1518" s="22" t="s">
        <v>3909</v>
      </c>
    </row>
    <row r="1519">
      <c r="A1519" s="17" t="s">
        <v>3910</v>
      </c>
      <c r="B1519" s="9"/>
      <c r="C1519" s="25"/>
      <c r="D1519" s="22" t="s">
        <v>3909</v>
      </c>
    </row>
    <row r="1520">
      <c r="A1520" s="17" t="s">
        <v>3913</v>
      </c>
      <c r="B1520" s="9"/>
      <c r="C1520" s="25"/>
      <c r="D1520" s="22" t="s">
        <v>3909</v>
      </c>
    </row>
    <row r="1521">
      <c r="A1521" s="17" t="s">
        <v>3916</v>
      </c>
      <c r="B1521" s="9"/>
      <c r="C1521" s="20" t="s">
        <v>1754</v>
      </c>
      <c r="D1521" s="99" t="s">
        <v>3802</v>
      </c>
    </row>
    <row r="1522">
      <c r="A1522" s="17" t="s">
        <v>3917</v>
      </c>
      <c r="B1522" s="9"/>
      <c r="C1522" s="25"/>
      <c r="D1522" s="22" t="s">
        <v>3918</v>
      </c>
    </row>
    <row r="1523">
      <c r="A1523" s="17" t="s">
        <v>3919</v>
      </c>
      <c r="B1523" s="9"/>
      <c r="C1523" s="25"/>
      <c r="D1523" s="22" t="s">
        <v>3918</v>
      </c>
    </row>
    <row r="1524">
      <c r="A1524" s="17" t="s">
        <v>3920</v>
      </c>
      <c r="B1524" s="9"/>
      <c r="C1524" s="25"/>
      <c r="D1524" s="22" t="s">
        <v>3918</v>
      </c>
    </row>
    <row r="1525">
      <c r="A1525" s="17" t="s">
        <v>3921</v>
      </c>
      <c r="B1525" s="9"/>
      <c r="C1525" s="25"/>
      <c r="D1525" s="22" t="s">
        <v>3925</v>
      </c>
    </row>
    <row r="1526">
      <c r="A1526" s="17" t="s">
        <v>3926</v>
      </c>
      <c r="B1526" s="9"/>
      <c r="C1526" s="25"/>
      <c r="D1526" s="22" t="s">
        <v>3925</v>
      </c>
    </row>
    <row r="1527">
      <c r="A1527" s="17" t="s">
        <v>3928</v>
      </c>
      <c r="B1527" s="9"/>
      <c r="C1527" s="25"/>
      <c r="D1527" s="22" t="s">
        <v>3925</v>
      </c>
    </row>
    <row r="1528">
      <c r="A1528" s="17" t="s">
        <v>3929</v>
      </c>
      <c r="B1528" s="9"/>
      <c r="C1528" s="25"/>
      <c r="D1528" s="22" t="s">
        <v>3930</v>
      </c>
    </row>
    <row r="1529">
      <c r="A1529" s="17" t="s">
        <v>3931</v>
      </c>
      <c r="B1529" s="9"/>
      <c r="C1529" s="25"/>
      <c r="D1529" s="22" t="s">
        <v>3930</v>
      </c>
    </row>
    <row r="1530">
      <c r="A1530" s="17" t="s">
        <v>3932</v>
      </c>
      <c r="B1530" s="9"/>
      <c r="C1530" s="25"/>
      <c r="D1530" s="22" t="s">
        <v>3930</v>
      </c>
    </row>
    <row r="1531">
      <c r="A1531" s="17" t="s">
        <v>3935</v>
      </c>
      <c r="B1531" s="9"/>
      <c r="C1531" s="25"/>
      <c r="D1531" s="22" t="s">
        <v>3937</v>
      </c>
    </row>
    <row r="1532">
      <c r="A1532" s="17" t="s">
        <v>3938</v>
      </c>
      <c r="B1532" s="9"/>
      <c r="C1532" s="25"/>
      <c r="D1532" s="22" t="s">
        <v>3937</v>
      </c>
    </row>
    <row r="1533">
      <c r="A1533" s="17" t="s">
        <v>3939</v>
      </c>
      <c r="B1533" s="9"/>
      <c r="C1533" s="25"/>
      <c r="D1533" s="22" t="s">
        <v>3937</v>
      </c>
    </row>
    <row r="1534">
      <c r="A1534" s="17" t="s">
        <v>3940</v>
      </c>
      <c r="B1534" s="9"/>
      <c r="C1534" s="25"/>
      <c r="D1534" s="22" t="s">
        <v>3941</v>
      </c>
    </row>
    <row r="1535">
      <c r="A1535" s="17" t="s">
        <v>3942</v>
      </c>
      <c r="B1535" s="9"/>
      <c r="C1535" s="25"/>
      <c r="D1535" s="22" t="s">
        <v>3941</v>
      </c>
    </row>
    <row r="1536">
      <c r="A1536" s="17" t="s">
        <v>3944</v>
      </c>
      <c r="B1536" s="9"/>
      <c r="C1536" s="25"/>
      <c r="D1536" s="22" t="s">
        <v>3941</v>
      </c>
    </row>
    <row r="1537">
      <c r="A1537" s="17" t="s">
        <v>3947</v>
      </c>
      <c r="B1537" s="9"/>
      <c r="C1537" s="25"/>
      <c r="D1537" s="22" t="s">
        <v>3949</v>
      </c>
    </row>
    <row r="1538">
      <c r="A1538" s="17" t="s">
        <v>3950</v>
      </c>
      <c r="B1538" s="9"/>
      <c r="C1538" s="25"/>
      <c r="D1538" s="22" t="s">
        <v>3949</v>
      </c>
    </row>
    <row r="1539">
      <c r="A1539" s="17" t="s">
        <v>3951</v>
      </c>
      <c r="B1539" s="9"/>
      <c r="C1539" s="25"/>
      <c r="D1539" s="22" t="s">
        <v>3949</v>
      </c>
    </row>
    <row r="1540">
      <c r="A1540" s="17" t="s">
        <v>3952</v>
      </c>
      <c r="B1540" s="9"/>
      <c r="C1540" s="25"/>
      <c r="D1540" s="22" t="s">
        <v>3953</v>
      </c>
    </row>
    <row r="1541">
      <c r="A1541" s="17" t="s">
        <v>3954</v>
      </c>
      <c r="B1541" s="9"/>
      <c r="C1541" s="25"/>
      <c r="D1541" s="22" t="s">
        <v>3953</v>
      </c>
    </row>
    <row r="1542">
      <c r="A1542" s="17" t="s">
        <v>3955</v>
      </c>
      <c r="B1542" s="9"/>
      <c r="C1542" s="25"/>
      <c r="D1542" s="22" t="s">
        <v>3953</v>
      </c>
    </row>
    <row r="1543">
      <c r="A1543" s="17" t="s">
        <v>3956</v>
      </c>
      <c r="B1543" s="9"/>
      <c r="C1543" s="25"/>
      <c r="D1543" s="22" t="s">
        <v>3957</v>
      </c>
    </row>
    <row r="1544">
      <c r="A1544" s="17" t="s">
        <v>3958</v>
      </c>
      <c r="B1544" s="9"/>
      <c r="C1544" s="25"/>
      <c r="D1544" s="22" t="s">
        <v>3957</v>
      </c>
    </row>
    <row r="1545">
      <c r="A1545" s="17" t="s">
        <v>3962</v>
      </c>
      <c r="B1545" s="9"/>
      <c r="C1545" s="25"/>
      <c r="D1545" s="22" t="s">
        <v>3957</v>
      </c>
    </row>
    <row r="1546">
      <c r="A1546" s="17" t="s">
        <v>3964</v>
      </c>
      <c r="B1546" s="9"/>
      <c r="C1546" s="25"/>
      <c r="D1546" s="22" t="s">
        <v>3965</v>
      </c>
    </row>
    <row r="1547">
      <c r="A1547" s="17" t="s">
        <v>3966</v>
      </c>
      <c r="B1547" s="9"/>
      <c r="C1547" s="25"/>
      <c r="D1547" s="22" t="s">
        <v>3965</v>
      </c>
    </row>
    <row r="1548">
      <c r="A1548" s="17" t="s">
        <v>3967</v>
      </c>
      <c r="B1548" s="9"/>
      <c r="C1548" s="25"/>
      <c r="D1548" s="22" t="s">
        <v>3965</v>
      </c>
    </row>
    <row r="1549">
      <c r="A1549" s="17" t="s">
        <v>3968</v>
      </c>
      <c r="B1549" s="9"/>
      <c r="C1549" s="25"/>
      <c r="D1549" s="22" t="s">
        <v>3969</v>
      </c>
    </row>
    <row r="1550">
      <c r="A1550" s="17" t="s">
        <v>3970</v>
      </c>
      <c r="B1550" s="9"/>
      <c r="C1550" s="25"/>
      <c r="D1550" s="22" t="s">
        <v>3969</v>
      </c>
    </row>
    <row r="1551">
      <c r="A1551" s="17" t="s">
        <v>3972</v>
      </c>
      <c r="B1551" s="9"/>
      <c r="C1551" s="25"/>
      <c r="D1551" s="22" t="s">
        <v>3969</v>
      </c>
    </row>
    <row r="1552">
      <c r="A1552" s="17" t="s">
        <v>3974</v>
      </c>
      <c r="B1552" s="9"/>
      <c r="C1552" s="25"/>
      <c r="D1552" s="22" t="s">
        <v>3976</v>
      </c>
    </row>
    <row r="1553">
      <c r="A1553" s="17" t="s">
        <v>3977</v>
      </c>
      <c r="B1553" s="9"/>
      <c r="C1553" s="25"/>
      <c r="D1553" s="22" t="s">
        <v>3976</v>
      </c>
    </row>
    <row r="1554">
      <c r="A1554" s="17" t="s">
        <v>3979</v>
      </c>
      <c r="B1554" s="9"/>
      <c r="C1554" s="25"/>
      <c r="D1554" s="22" t="s">
        <v>3976</v>
      </c>
    </row>
    <row r="1555">
      <c r="A1555" s="17" t="s">
        <v>3982</v>
      </c>
      <c r="B1555" s="9"/>
      <c r="C1555" s="25"/>
      <c r="D1555" s="22" t="s">
        <v>3983</v>
      </c>
    </row>
    <row r="1556">
      <c r="A1556" s="17" t="s">
        <v>3984</v>
      </c>
      <c r="B1556" s="9"/>
      <c r="C1556" s="25"/>
      <c r="D1556" s="22" t="s">
        <v>3983</v>
      </c>
    </row>
    <row r="1557">
      <c r="A1557" s="17" t="s">
        <v>3985</v>
      </c>
      <c r="B1557" s="9"/>
      <c r="C1557" s="25"/>
      <c r="D1557" s="22" t="s">
        <v>3983</v>
      </c>
    </row>
    <row r="1558">
      <c r="A1558" s="17" t="s">
        <v>3986</v>
      </c>
      <c r="B1558" s="9"/>
      <c r="C1558" s="25"/>
      <c r="D1558" s="22" t="s">
        <v>3988</v>
      </c>
    </row>
    <row r="1559">
      <c r="A1559" s="17" t="s">
        <v>3989</v>
      </c>
      <c r="B1559" s="9"/>
      <c r="C1559" s="25"/>
      <c r="D1559" s="22" t="s">
        <v>3988</v>
      </c>
    </row>
    <row r="1560">
      <c r="A1560" s="17" t="s">
        <v>3992</v>
      </c>
      <c r="B1560" s="9"/>
      <c r="C1560" s="25"/>
      <c r="D1560" s="22" t="s">
        <v>3988</v>
      </c>
    </row>
    <row r="1561">
      <c r="A1561" s="17" t="s">
        <v>3994</v>
      </c>
      <c r="B1561" s="9"/>
      <c r="C1561" s="25"/>
      <c r="D1561" s="22" t="s">
        <v>3995</v>
      </c>
    </row>
    <row r="1562">
      <c r="A1562" s="17" t="s">
        <v>4000</v>
      </c>
      <c r="B1562" s="9"/>
      <c r="C1562" s="25"/>
      <c r="D1562" s="22" t="s">
        <v>3995</v>
      </c>
    </row>
    <row r="1563">
      <c r="A1563" s="17" t="s">
        <v>4001</v>
      </c>
      <c r="B1563" s="9"/>
      <c r="C1563" s="25"/>
      <c r="D1563" s="22" t="s">
        <v>3995</v>
      </c>
    </row>
    <row r="1564">
      <c r="A1564" s="17" t="s">
        <v>4003</v>
      </c>
      <c r="B1564" s="9"/>
      <c r="C1564" s="25"/>
      <c r="D1564" s="22" t="s">
        <v>4005</v>
      </c>
    </row>
    <row r="1565">
      <c r="A1565" s="17" t="s">
        <v>4006</v>
      </c>
      <c r="B1565" s="9"/>
      <c r="C1565" s="25"/>
      <c r="D1565" s="22" t="s">
        <v>4005</v>
      </c>
    </row>
    <row r="1566">
      <c r="A1566" s="17" t="s">
        <v>4007</v>
      </c>
      <c r="B1566" s="9"/>
      <c r="C1566" s="25"/>
      <c r="D1566" s="22" t="s">
        <v>4005</v>
      </c>
    </row>
    <row r="1567">
      <c r="A1567" s="17" t="s">
        <v>4008</v>
      </c>
      <c r="B1567" s="9"/>
      <c r="C1567" s="25"/>
      <c r="D1567" s="22" t="s">
        <v>4009</v>
      </c>
    </row>
    <row r="1568">
      <c r="A1568" s="17" t="s">
        <v>4010</v>
      </c>
      <c r="B1568" s="9"/>
      <c r="C1568" s="25"/>
      <c r="D1568" s="22" t="s">
        <v>4009</v>
      </c>
    </row>
    <row r="1569">
      <c r="A1569" s="17" t="s">
        <v>4013</v>
      </c>
      <c r="B1569" s="9"/>
      <c r="C1569" s="25"/>
      <c r="D1569" s="22" t="s">
        <v>4009</v>
      </c>
    </row>
    <row r="1570">
      <c r="A1570" s="17" t="s">
        <v>4016</v>
      </c>
      <c r="B1570" s="9"/>
      <c r="C1570" s="25"/>
      <c r="D1570" s="22" t="s">
        <v>4017</v>
      </c>
    </row>
    <row r="1571">
      <c r="A1571" s="17" t="s">
        <v>4018</v>
      </c>
      <c r="B1571" s="9"/>
      <c r="C1571" s="25"/>
      <c r="D1571" s="22" t="s">
        <v>4017</v>
      </c>
    </row>
    <row r="1572">
      <c r="A1572" s="17" t="s">
        <v>4021</v>
      </c>
      <c r="B1572" s="9"/>
      <c r="C1572" s="25"/>
      <c r="D1572" s="22" t="s">
        <v>4017</v>
      </c>
    </row>
    <row r="1573">
      <c r="A1573" s="17" t="s">
        <v>4023</v>
      </c>
      <c r="B1573" s="9"/>
      <c r="C1573" s="25"/>
      <c r="D1573" s="22" t="s">
        <v>4025</v>
      </c>
    </row>
    <row r="1574">
      <c r="A1574" s="17" t="s">
        <v>4026</v>
      </c>
      <c r="B1574" s="9"/>
      <c r="C1574" s="25"/>
      <c r="D1574" s="22" t="s">
        <v>4025</v>
      </c>
    </row>
    <row r="1575">
      <c r="A1575" s="17" t="s">
        <v>4031</v>
      </c>
      <c r="B1575" s="9"/>
      <c r="C1575" s="25"/>
      <c r="D1575" s="22" t="s">
        <v>4025</v>
      </c>
    </row>
    <row r="1576">
      <c r="A1576" s="17" t="s">
        <v>4032</v>
      </c>
      <c r="B1576" s="9"/>
      <c r="C1576" s="25"/>
      <c r="D1576" s="22" t="s">
        <v>4035</v>
      </c>
    </row>
    <row r="1577">
      <c r="A1577" s="17" t="s">
        <v>4036</v>
      </c>
      <c r="B1577" s="9"/>
      <c r="C1577" s="25"/>
      <c r="D1577" s="22" t="s">
        <v>4035</v>
      </c>
    </row>
    <row r="1578">
      <c r="A1578" s="17" t="s">
        <v>4038</v>
      </c>
      <c r="B1578" s="9"/>
      <c r="C1578" s="25"/>
      <c r="D1578" s="22" t="s">
        <v>4035</v>
      </c>
    </row>
    <row r="1579">
      <c r="A1579" s="17" t="s">
        <v>4040</v>
      </c>
      <c r="B1579" s="9"/>
      <c r="C1579" s="25"/>
      <c r="D1579" s="22" t="s">
        <v>4042</v>
      </c>
    </row>
    <row r="1580">
      <c r="A1580" s="17" t="s">
        <v>4043</v>
      </c>
      <c r="B1580" s="9"/>
      <c r="C1580" s="25"/>
      <c r="D1580" s="22" t="s">
        <v>4042</v>
      </c>
    </row>
    <row r="1581">
      <c r="A1581" s="17" t="s">
        <v>4047</v>
      </c>
      <c r="B1581" s="9"/>
      <c r="C1581" s="25"/>
      <c r="D1581" s="22" t="s">
        <v>4042</v>
      </c>
    </row>
    <row r="1582">
      <c r="A1582" s="17" t="s">
        <v>4048</v>
      </c>
      <c r="B1582" s="9"/>
      <c r="C1582" s="25"/>
      <c r="D1582" s="22" t="s">
        <v>4049</v>
      </c>
    </row>
    <row r="1583">
      <c r="A1583" s="17" t="s">
        <v>4050</v>
      </c>
      <c r="B1583" s="9"/>
      <c r="C1583" s="25"/>
      <c r="D1583" s="22" t="s">
        <v>4049</v>
      </c>
    </row>
    <row r="1584">
      <c r="A1584" s="17" t="s">
        <v>4051</v>
      </c>
      <c r="B1584" s="9"/>
      <c r="C1584" s="25"/>
      <c r="D1584" s="22" t="s">
        <v>4049</v>
      </c>
    </row>
    <row r="1585">
      <c r="A1585" s="17" t="s">
        <v>4053</v>
      </c>
      <c r="B1585" s="9"/>
      <c r="C1585" s="25"/>
      <c r="D1585" s="22" t="s">
        <v>4055</v>
      </c>
    </row>
    <row r="1586">
      <c r="A1586" s="17" t="s">
        <v>4058</v>
      </c>
      <c r="B1586" s="9"/>
      <c r="C1586" s="25"/>
      <c r="D1586" s="22" t="s">
        <v>4055</v>
      </c>
    </row>
    <row r="1587">
      <c r="A1587" s="17" t="s">
        <v>4059</v>
      </c>
      <c r="B1587" s="9"/>
      <c r="C1587" s="25"/>
      <c r="D1587" s="22" t="s">
        <v>4055</v>
      </c>
    </row>
    <row r="1588">
      <c r="A1588" s="17" t="s">
        <v>4060</v>
      </c>
      <c r="B1588" s="9"/>
      <c r="C1588" s="25"/>
      <c r="D1588" s="22" t="s">
        <v>4061</v>
      </c>
    </row>
    <row r="1589">
      <c r="A1589" s="17" t="s">
        <v>4062</v>
      </c>
      <c r="B1589" s="9"/>
      <c r="C1589" s="25"/>
      <c r="D1589" s="22" t="s">
        <v>4061</v>
      </c>
    </row>
    <row r="1590">
      <c r="A1590" s="17" t="s">
        <v>4063</v>
      </c>
      <c r="B1590" s="9"/>
      <c r="C1590" s="25"/>
      <c r="D1590" s="22" t="s">
        <v>4061</v>
      </c>
    </row>
    <row r="1591">
      <c r="A1591" s="17" t="s">
        <v>4064</v>
      </c>
      <c r="B1591" s="9"/>
      <c r="C1591" s="25"/>
      <c r="D1591" s="22" t="s">
        <v>4067</v>
      </c>
    </row>
    <row r="1592">
      <c r="A1592" s="17" t="s">
        <v>4068</v>
      </c>
      <c r="B1592" s="9"/>
      <c r="C1592" s="25"/>
      <c r="D1592" s="22" t="s">
        <v>4067</v>
      </c>
    </row>
    <row r="1593">
      <c r="A1593" s="17" t="s">
        <v>4069</v>
      </c>
      <c r="B1593" s="9"/>
      <c r="C1593" s="25"/>
      <c r="D1593" s="22" t="s">
        <v>4067</v>
      </c>
    </row>
    <row r="1594">
      <c r="A1594" s="17" t="s">
        <v>4070</v>
      </c>
      <c r="B1594" s="9"/>
      <c r="C1594" s="25"/>
      <c r="D1594" s="22" t="s">
        <v>4071</v>
      </c>
    </row>
    <row r="1595">
      <c r="A1595" s="17" t="s">
        <v>4072</v>
      </c>
      <c r="B1595" s="9"/>
      <c r="C1595" s="25"/>
      <c r="D1595" s="22" t="s">
        <v>4071</v>
      </c>
    </row>
    <row r="1596">
      <c r="A1596" s="17" t="s">
        <v>4073</v>
      </c>
      <c r="B1596" s="9"/>
      <c r="C1596" s="25"/>
      <c r="D1596" s="22" t="s">
        <v>4071</v>
      </c>
    </row>
    <row r="1597">
      <c r="A1597" s="17" t="s">
        <v>4075</v>
      </c>
      <c r="B1597" s="9"/>
      <c r="C1597" s="25"/>
      <c r="D1597" s="22" t="s">
        <v>4077</v>
      </c>
    </row>
    <row r="1598">
      <c r="A1598" s="17" t="s">
        <v>4078</v>
      </c>
      <c r="B1598" s="9"/>
      <c r="C1598" s="25"/>
      <c r="D1598" s="22" t="s">
        <v>4077</v>
      </c>
    </row>
    <row r="1599">
      <c r="A1599" s="17" t="s">
        <v>4079</v>
      </c>
      <c r="B1599" s="9"/>
      <c r="C1599" s="25"/>
      <c r="D1599" s="22" t="s">
        <v>4077</v>
      </c>
    </row>
    <row r="1600">
      <c r="A1600" s="17" t="s">
        <v>4080</v>
      </c>
      <c r="B1600" s="9"/>
      <c r="C1600" s="25"/>
      <c r="D1600" s="22" t="s">
        <v>4081</v>
      </c>
    </row>
    <row r="1601">
      <c r="A1601" s="17" t="s">
        <v>4082</v>
      </c>
      <c r="B1601" s="9"/>
      <c r="C1601" s="25"/>
      <c r="D1601" s="22" t="s">
        <v>4081</v>
      </c>
    </row>
    <row r="1602">
      <c r="A1602" s="17" t="s">
        <v>4085</v>
      </c>
      <c r="B1602" s="9"/>
      <c r="C1602" s="25"/>
      <c r="D1602" s="22" t="s">
        <v>4081</v>
      </c>
    </row>
    <row r="1603">
      <c r="A1603" s="17" t="s">
        <v>4087</v>
      </c>
      <c r="B1603" s="9"/>
      <c r="C1603" s="25"/>
      <c r="D1603" s="22" t="s">
        <v>4088</v>
      </c>
    </row>
    <row r="1604">
      <c r="A1604" s="17" t="s">
        <v>4089</v>
      </c>
      <c r="B1604" s="9"/>
      <c r="C1604" s="25"/>
      <c r="D1604" s="22" t="s">
        <v>4088</v>
      </c>
    </row>
    <row r="1605">
      <c r="A1605" s="17" t="s">
        <v>4090</v>
      </c>
      <c r="B1605" s="9"/>
      <c r="C1605" s="25"/>
      <c r="D1605" s="22" t="s">
        <v>4088</v>
      </c>
    </row>
    <row r="1606">
      <c r="A1606" s="17" t="s">
        <v>4091</v>
      </c>
      <c r="B1606" s="9"/>
      <c r="C1606" s="25"/>
      <c r="D1606" s="22" t="s">
        <v>4092</v>
      </c>
    </row>
    <row r="1607">
      <c r="A1607" s="17" t="s">
        <v>4093</v>
      </c>
      <c r="B1607" s="9"/>
      <c r="C1607" s="25"/>
      <c r="D1607" s="22" t="s">
        <v>4092</v>
      </c>
    </row>
    <row r="1608">
      <c r="A1608" s="17" t="s">
        <v>4097</v>
      </c>
      <c r="B1608" s="9"/>
      <c r="C1608" s="25"/>
      <c r="D1608" s="22" t="s">
        <v>4092</v>
      </c>
    </row>
    <row r="1609">
      <c r="A1609" s="17" t="s">
        <v>4099</v>
      </c>
      <c r="B1609" s="9"/>
      <c r="C1609" s="25"/>
      <c r="D1609" s="22" t="s">
        <v>4100</v>
      </c>
    </row>
    <row r="1610">
      <c r="A1610" s="17" t="s">
        <v>4101</v>
      </c>
      <c r="B1610" s="9"/>
      <c r="C1610" s="25"/>
      <c r="D1610" s="22" t="s">
        <v>4100</v>
      </c>
    </row>
    <row r="1611">
      <c r="A1611" s="17" t="s">
        <v>4102</v>
      </c>
      <c r="B1611" s="9"/>
      <c r="C1611" s="25"/>
      <c r="D1611" s="22" t="s">
        <v>4100</v>
      </c>
    </row>
    <row r="1612">
      <c r="A1612" s="17" t="s">
        <v>4103</v>
      </c>
      <c r="B1612" s="9"/>
      <c r="C1612" s="25"/>
      <c r="D1612" s="22" t="s">
        <v>4104</v>
      </c>
    </row>
    <row r="1613">
      <c r="A1613" s="17" t="s">
        <v>4105</v>
      </c>
      <c r="B1613" s="9"/>
      <c r="C1613" s="25"/>
      <c r="D1613" s="22" t="s">
        <v>4104</v>
      </c>
    </row>
    <row r="1614">
      <c r="A1614" s="17" t="s">
        <v>4108</v>
      </c>
      <c r="B1614" s="9"/>
      <c r="C1614" s="25"/>
      <c r="D1614" s="22" t="s">
        <v>4104</v>
      </c>
    </row>
    <row r="1615">
      <c r="A1615" s="17" t="s">
        <v>4111</v>
      </c>
      <c r="B1615" s="9"/>
      <c r="C1615" s="25"/>
      <c r="D1615" s="22" t="s">
        <v>4112</v>
      </c>
    </row>
    <row r="1616">
      <c r="A1616" s="17" t="s">
        <v>4113</v>
      </c>
      <c r="B1616" s="9"/>
      <c r="C1616" s="25"/>
      <c r="D1616" s="22" t="s">
        <v>4112</v>
      </c>
    </row>
    <row r="1617">
      <c r="A1617" s="17" t="s">
        <v>4114</v>
      </c>
      <c r="B1617" s="9"/>
      <c r="C1617" s="25"/>
      <c r="D1617" s="22" t="s">
        <v>4112</v>
      </c>
    </row>
    <row r="1618">
      <c r="A1618" s="17" t="s">
        <v>4115</v>
      </c>
      <c r="B1618" s="9"/>
      <c r="C1618" s="25"/>
      <c r="D1618" s="22" t="s">
        <v>4116</v>
      </c>
    </row>
    <row r="1619">
      <c r="A1619" s="17" t="s">
        <v>4117</v>
      </c>
      <c r="B1619" s="9"/>
      <c r="C1619" s="25"/>
      <c r="D1619" s="22" t="s">
        <v>4116</v>
      </c>
    </row>
    <row r="1620">
      <c r="A1620" s="17" t="s">
        <v>4121</v>
      </c>
      <c r="B1620" s="9"/>
      <c r="C1620" s="25"/>
      <c r="D1620" s="22" t="s">
        <v>4116</v>
      </c>
    </row>
    <row r="1621">
      <c r="A1621" s="17" t="s">
        <v>4123</v>
      </c>
      <c r="B1621" s="9"/>
      <c r="C1621" s="25"/>
      <c r="D1621" s="22" t="s">
        <v>4126</v>
      </c>
    </row>
    <row r="1622">
      <c r="A1622" s="17" t="s">
        <v>4127</v>
      </c>
      <c r="B1622" s="9"/>
      <c r="C1622" s="25"/>
      <c r="D1622" s="22" t="s">
        <v>4126</v>
      </c>
    </row>
    <row r="1623">
      <c r="A1623" s="17" t="s">
        <v>4128</v>
      </c>
      <c r="B1623" s="9"/>
      <c r="C1623" s="25"/>
      <c r="D1623" s="22" t="s">
        <v>4126</v>
      </c>
    </row>
    <row r="1624">
      <c r="A1624" s="17" t="s">
        <v>4129</v>
      </c>
      <c r="B1624" s="9"/>
      <c r="C1624" s="25"/>
      <c r="D1624" s="22" t="s">
        <v>4130</v>
      </c>
    </row>
    <row r="1625">
      <c r="A1625" s="17" t="s">
        <v>4131</v>
      </c>
      <c r="B1625" s="9"/>
      <c r="C1625" s="25"/>
      <c r="D1625" s="22" t="s">
        <v>4130</v>
      </c>
    </row>
    <row r="1626">
      <c r="A1626" s="17" t="s">
        <v>4133</v>
      </c>
      <c r="B1626" s="9"/>
      <c r="C1626" s="25"/>
      <c r="D1626" s="22" t="s">
        <v>4130</v>
      </c>
    </row>
    <row r="1627">
      <c r="A1627" s="17" t="s">
        <v>4135</v>
      </c>
      <c r="B1627" s="9"/>
      <c r="C1627" s="25"/>
      <c r="D1627" s="22" t="s">
        <v>4137</v>
      </c>
    </row>
    <row r="1628">
      <c r="A1628" s="17" t="s">
        <v>4138</v>
      </c>
      <c r="B1628" s="9"/>
      <c r="C1628" s="25"/>
      <c r="D1628" s="22" t="s">
        <v>4137</v>
      </c>
    </row>
    <row r="1629">
      <c r="A1629" s="17" t="s">
        <v>4139</v>
      </c>
      <c r="B1629" s="9"/>
      <c r="C1629" s="25"/>
      <c r="D1629" s="22" t="s">
        <v>4137</v>
      </c>
    </row>
    <row r="1630">
      <c r="A1630" s="17" t="s">
        <v>4140</v>
      </c>
      <c r="B1630" s="9"/>
      <c r="C1630" s="25"/>
      <c r="D1630" s="22" t="s">
        <v>4141</v>
      </c>
    </row>
    <row r="1631">
      <c r="A1631" s="17" t="s">
        <v>4142</v>
      </c>
      <c r="B1631" s="9"/>
      <c r="C1631" s="25"/>
      <c r="D1631" s="22" t="s">
        <v>4141</v>
      </c>
    </row>
    <row r="1632">
      <c r="A1632" s="17" t="s">
        <v>4145</v>
      </c>
      <c r="B1632" s="9"/>
      <c r="C1632" s="25"/>
      <c r="D1632" s="22" t="s">
        <v>4141</v>
      </c>
    </row>
    <row r="1633">
      <c r="A1633" s="17" t="s">
        <v>4147</v>
      </c>
      <c r="B1633" s="9"/>
      <c r="C1633" s="25"/>
      <c r="D1633" s="22" t="s">
        <v>4148</v>
      </c>
    </row>
    <row r="1634">
      <c r="A1634" s="17" t="s">
        <v>4149</v>
      </c>
      <c r="B1634" s="9"/>
      <c r="C1634" s="25"/>
      <c r="D1634" s="22" t="s">
        <v>4148</v>
      </c>
    </row>
    <row r="1635">
      <c r="A1635" s="17" t="s">
        <v>4150</v>
      </c>
      <c r="B1635" s="9"/>
      <c r="C1635" s="25"/>
      <c r="D1635" s="22" t="s">
        <v>4148</v>
      </c>
    </row>
    <row r="1636">
      <c r="A1636" s="17" t="s">
        <v>4151</v>
      </c>
      <c r="B1636" s="9"/>
      <c r="C1636" s="25"/>
      <c r="D1636" s="22" t="s">
        <v>4152</v>
      </c>
    </row>
    <row r="1637">
      <c r="A1637" s="17" t="s">
        <v>4153</v>
      </c>
      <c r="B1637" s="9"/>
      <c r="C1637" s="25"/>
      <c r="D1637" s="22" t="s">
        <v>4152</v>
      </c>
    </row>
    <row r="1638">
      <c r="A1638" s="17" t="s">
        <v>4157</v>
      </c>
      <c r="B1638" s="9"/>
      <c r="C1638" s="25"/>
      <c r="D1638" s="22" t="s">
        <v>4152</v>
      </c>
    </row>
    <row r="1639">
      <c r="A1639" s="17" t="s">
        <v>4158</v>
      </c>
      <c r="B1639" s="9"/>
      <c r="C1639" s="25"/>
      <c r="D1639" s="22" t="s">
        <v>4159</v>
      </c>
    </row>
    <row r="1640">
      <c r="A1640" s="17" t="s">
        <v>4160</v>
      </c>
      <c r="B1640" s="9"/>
      <c r="C1640" s="25"/>
      <c r="D1640" s="22" t="s">
        <v>4159</v>
      </c>
    </row>
    <row r="1641">
      <c r="A1641" s="17" t="s">
        <v>4161</v>
      </c>
      <c r="B1641" s="9"/>
      <c r="C1641" s="25"/>
      <c r="D1641" s="22" t="s">
        <v>4159</v>
      </c>
    </row>
    <row r="1642">
      <c r="A1642" s="17" t="s">
        <v>4162</v>
      </c>
      <c r="B1642" s="9"/>
      <c r="C1642" s="25"/>
      <c r="D1642" s="22" t="s">
        <v>4163</v>
      </c>
    </row>
    <row r="1643">
      <c r="A1643" s="17" t="s">
        <v>4164</v>
      </c>
      <c r="B1643" s="9"/>
      <c r="C1643" s="25"/>
      <c r="D1643" s="22" t="s">
        <v>4163</v>
      </c>
    </row>
    <row r="1644">
      <c r="A1644" s="17" t="s">
        <v>4168</v>
      </c>
      <c r="B1644" s="9"/>
      <c r="C1644" s="25"/>
      <c r="D1644" s="22" t="s">
        <v>4163</v>
      </c>
    </row>
    <row r="1645">
      <c r="A1645" s="17" t="s">
        <v>4169</v>
      </c>
      <c r="B1645" s="9"/>
      <c r="C1645" s="25"/>
      <c r="D1645" s="22" t="s">
        <v>4170</v>
      </c>
    </row>
    <row r="1646">
      <c r="A1646" s="17" t="s">
        <v>4172</v>
      </c>
      <c r="B1646" s="9"/>
      <c r="C1646" s="25"/>
      <c r="D1646" s="22" t="s">
        <v>4170</v>
      </c>
    </row>
    <row r="1647">
      <c r="A1647" s="17" t="s">
        <v>4174</v>
      </c>
      <c r="B1647" s="9"/>
      <c r="C1647" s="25"/>
      <c r="D1647" s="22" t="s">
        <v>4170</v>
      </c>
    </row>
    <row r="1648">
      <c r="A1648" s="17" t="s">
        <v>4175</v>
      </c>
      <c r="B1648" s="9"/>
      <c r="C1648" s="25"/>
      <c r="D1648" s="22" t="s">
        <v>4176</v>
      </c>
    </row>
    <row r="1649">
      <c r="A1649" s="17" t="s">
        <v>4178</v>
      </c>
      <c r="B1649" s="9"/>
      <c r="C1649" s="25"/>
      <c r="D1649" s="22" t="s">
        <v>4176</v>
      </c>
    </row>
    <row r="1650">
      <c r="A1650" s="17" t="s">
        <v>4179</v>
      </c>
      <c r="B1650" s="9"/>
      <c r="C1650" s="25"/>
      <c r="D1650" s="22" t="s">
        <v>4176</v>
      </c>
    </row>
    <row r="1651">
      <c r="A1651" s="17" t="s">
        <v>4180</v>
      </c>
      <c r="B1651" s="9"/>
      <c r="C1651" s="25"/>
      <c r="D1651" s="22" t="s">
        <v>4182</v>
      </c>
    </row>
    <row r="1652">
      <c r="A1652" s="17" t="s">
        <v>4183</v>
      </c>
      <c r="B1652" s="9"/>
      <c r="C1652" s="25"/>
      <c r="D1652" s="22" t="s">
        <v>4182</v>
      </c>
    </row>
    <row r="1653">
      <c r="A1653" s="17" t="s">
        <v>4187</v>
      </c>
      <c r="B1653" s="9"/>
      <c r="C1653" s="25"/>
      <c r="D1653" s="22" t="s">
        <v>4182</v>
      </c>
    </row>
    <row r="1654">
      <c r="A1654" s="17" t="s">
        <v>4189</v>
      </c>
      <c r="B1654" s="9"/>
      <c r="C1654" s="25"/>
      <c r="D1654" s="22" t="s">
        <v>4192</v>
      </c>
    </row>
    <row r="1655">
      <c r="A1655" s="17" t="s">
        <v>4193</v>
      </c>
      <c r="B1655" s="9"/>
      <c r="C1655" s="25"/>
      <c r="D1655" s="22" t="s">
        <v>4192</v>
      </c>
    </row>
    <row r="1656">
      <c r="A1656" s="17" t="s">
        <v>4195</v>
      </c>
      <c r="B1656" s="9"/>
      <c r="C1656" s="25"/>
      <c r="D1656" s="22" t="s">
        <v>4192</v>
      </c>
    </row>
    <row r="1657">
      <c r="A1657" s="17" t="s">
        <v>4198</v>
      </c>
      <c r="B1657" s="9"/>
      <c r="C1657" s="25"/>
      <c r="D1657" s="22" t="s">
        <v>4199</v>
      </c>
    </row>
    <row r="1658">
      <c r="A1658" s="17" t="s">
        <v>4200</v>
      </c>
      <c r="B1658" s="9"/>
      <c r="C1658" s="25"/>
      <c r="D1658" s="22" t="s">
        <v>4199</v>
      </c>
    </row>
    <row r="1659">
      <c r="A1659" s="17" t="s">
        <v>4201</v>
      </c>
      <c r="B1659" s="9"/>
      <c r="C1659" s="25"/>
      <c r="D1659" s="22" t="s">
        <v>4199</v>
      </c>
    </row>
    <row r="1660">
      <c r="A1660" s="17" t="s">
        <v>4204</v>
      </c>
      <c r="B1660" s="9"/>
      <c r="C1660" s="25"/>
      <c r="D1660" s="22" t="s">
        <v>4205</v>
      </c>
    </row>
    <row r="1661">
      <c r="A1661" s="17" t="s">
        <v>4206</v>
      </c>
      <c r="B1661" s="9"/>
      <c r="C1661" s="25"/>
      <c r="D1661" s="22" t="s">
        <v>4205</v>
      </c>
    </row>
    <row r="1662">
      <c r="A1662" s="17" t="s">
        <v>4207</v>
      </c>
      <c r="B1662" s="9"/>
      <c r="C1662" s="25"/>
      <c r="D1662" s="22" t="s">
        <v>4205</v>
      </c>
    </row>
    <row r="1663">
      <c r="A1663" s="17" t="s">
        <v>4211</v>
      </c>
      <c r="B1663" s="9"/>
      <c r="C1663" s="25"/>
      <c r="D1663" s="22" t="s">
        <v>4212</v>
      </c>
    </row>
    <row r="1664">
      <c r="A1664" s="17" t="s">
        <v>4213</v>
      </c>
      <c r="B1664" s="9"/>
      <c r="C1664" s="25"/>
      <c r="D1664" s="22" t="s">
        <v>4212</v>
      </c>
    </row>
    <row r="1665">
      <c r="A1665" s="17" t="s">
        <v>4216</v>
      </c>
      <c r="B1665" s="9"/>
      <c r="C1665" s="25"/>
      <c r="D1665" s="22" t="s">
        <v>4212</v>
      </c>
    </row>
    <row r="1666">
      <c r="A1666" s="17" t="s">
        <v>4219</v>
      </c>
      <c r="B1666" s="9"/>
      <c r="C1666" s="25"/>
      <c r="D1666" s="22" t="s">
        <v>4220</v>
      </c>
    </row>
    <row r="1667">
      <c r="A1667" s="17" t="s">
        <v>4221</v>
      </c>
      <c r="B1667" s="9"/>
      <c r="C1667" s="25"/>
      <c r="D1667" s="22" t="s">
        <v>4220</v>
      </c>
    </row>
    <row r="1668">
      <c r="A1668" s="17" t="s">
        <v>4222</v>
      </c>
      <c r="B1668" s="9"/>
      <c r="C1668" s="25"/>
      <c r="D1668" s="22" t="s">
        <v>4220</v>
      </c>
    </row>
    <row r="1669">
      <c r="A1669" s="17" t="s">
        <v>4223</v>
      </c>
      <c r="B1669" s="9"/>
      <c r="C1669" s="25"/>
      <c r="D1669" s="22" t="s">
        <v>4224</v>
      </c>
    </row>
    <row r="1670">
      <c r="A1670" s="17" t="s">
        <v>4225</v>
      </c>
      <c r="B1670" s="9"/>
      <c r="C1670" s="25"/>
      <c r="D1670" s="22" t="s">
        <v>4224</v>
      </c>
    </row>
    <row r="1671">
      <c r="A1671" s="17" t="s">
        <v>4230</v>
      </c>
      <c r="B1671" s="9"/>
      <c r="C1671" s="25"/>
      <c r="D1671" s="22" t="s">
        <v>4224</v>
      </c>
    </row>
    <row r="1672">
      <c r="A1672" s="17" t="s">
        <v>4232</v>
      </c>
      <c r="B1672" s="9"/>
      <c r="C1672" s="25"/>
      <c r="D1672" s="22" t="s">
        <v>4233</v>
      </c>
    </row>
    <row r="1673">
      <c r="A1673" s="17" t="s">
        <v>4234</v>
      </c>
      <c r="B1673" s="9"/>
      <c r="C1673" s="25"/>
      <c r="D1673" s="22" t="s">
        <v>4233</v>
      </c>
    </row>
    <row r="1674">
      <c r="A1674" s="17" t="s">
        <v>4235</v>
      </c>
      <c r="B1674" s="9"/>
      <c r="C1674" s="25"/>
      <c r="D1674" s="22" t="s">
        <v>4233</v>
      </c>
    </row>
    <row r="1675">
      <c r="A1675" s="17" t="s">
        <v>4236</v>
      </c>
      <c r="B1675" s="9"/>
      <c r="C1675" s="25"/>
      <c r="D1675" s="99" t="s">
        <v>2103</v>
      </c>
    </row>
    <row r="1676">
      <c r="A1676" s="17" t="s">
        <v>4237</v>
      </c>
      <c r="B1676" s="9"/>
      <c r="C1676" s="25"/>
      <c r="D1676" s="99" t="s">
        <v>2103</v>
      </c>
    </row>
    <row r="1677">
      <c r="A1677" s="17" t="s">
        <v>4238</v>
      </c>
      <c r="B1677" s="9"/>
      <c r="C1677" s="25"/>
      <c r="D1677" s="99" t="s">
        <v>2103</v>
      </c>
    </row>
    <row r="1678">
      <c r="A1678" s="17" t="s">
        <v>4242</v>
      </c>
      <c r="B1678" s="9"/>
      <c r="C1678" s="25"/>
      <c r="D1678" s="22" t="s">
        <v>4243</v>
      </c>
    </row>
    <row r="1679">
      <c r="A1679" s="17" t="s">
        <v>4244</v>
      </c>
      <c r="B1679" s="9"/>
      <c r="C1679" s="25"/>
      <c r="D1679" s="22" t="s">
        <v>4243</v>
      </c>
    </row>
    <row r="1680">
      <c r="A1680" s="17" t="s">
        <v>4245</v>
      </c>
      <c r="B1680" s="9"/>
      <c r="C1680" s="25"/>
      <c r="D1680" s="22" t="s">
        <v>4243</v>
      </c>
    </row>
    <row r="1681">
      <c r="A1681" s="17" t="s">
        <v>4247</v>
      </c>
      <c r="B1681" s="9"/>
      <c r="C1681" s="25"/>
      <c r="D1681" s="22" t="s">
        <v>4248</v>
      </c>
    </row>
    <row r="1682">
      <c r="A1682" s="17" t="s">
        <v>4249</v>
      </c>
      <c r="B1682" s="9"/>
      <c r="C1682" s="25"/>
      <c r="D1682" s="22" t="s">
        <v>4248</v>
      </c>
    </row>
    <row r="1683">
      <c r="A1683" s="17" t="s">
        <v>4250</v>
      </c>
      <c r="B1683" s="9"/>
      <c r="C1683" s="25"/>
      <c r="D1683" s="22" t="s">
        <v>4248</v>
      </c>
    </row>
    <row r="1684">
      <c r="A1684" s="17" t="s">
        <v>4253</v>
      </c>
      <c r="B1684" s="9"/>
      <c r="C1684" s="25"/>
      <c r="D1684" s="22" t="s">
        <v>4255</v>
      </c>
    </row>
    <row r="1685">
      <c r="A1685" s="17" t="s">
        <v>4256</v>
      </c>
      <c r="B1685" s="9"/>
      <c r="C1685" s="25"/>
      <c r="D1685" s="22" t="s">
        <v>4255</v>
      </c>
    </row>
    <row r="1686">
      <c r="A1686" s="17" t="s">
        <v>4257</v>
      </c>
      <c r="B1686" s="9"/>
      <c r="C1686" s="25"/>
      <c r="D1686" s="22" t="s">
        <v>4255</v>
      </c>
    </row>
    <row r="1687">
      <c r="A1687" s="17" t="s">
        <v>4260</v>
      </c>
      <c r="B1687" s="9"/>
      <c r="C1687" s="25"/>
      <c r="D1687" s="22" t="s">
        <v>4261</v>
      </c>
    </row>
    <row r="1688">
      <c r="A1688" s="17" t="s">
        <v>4262</v>
      </c>
      <c r="B1688" s="9"/>
      <c r="C1688" s="25"/>
      <c r="D1688" s="22" t="s">
        <v>4261</v>
      </c>
    </row>
    <row r="1689">
      <c r="A1689" s="17" t="s">
        <v>4266</v>
      </c>
      <c r="B1689" s="9"/>
      <c r="C1689" s="25"/>
      <c r="D1689" s="22" t="s">
        <v>4261</v>
      </c>
    </row>
    <row r="1690">
      <c r="A1690" s="17" t="s">
        <v>4267</v>
      </c>
      <c r="B1690" s="9"/>
      <c r="C1690" s="25"/>
      <c r="D1690" s="22" t="s">
        <v>4269</v>
      </c>
    </row>
    <row r="1691">
      <c r="A1691" s="17" t="s">
        <v>4270</v>
      </c>
      <c r="B1691" s="9"/>
      <c r="C1691" s="25"/>
      <c r="D1691" s="22" t="s">
        <v>4269</v>
      </c>
    </row>
    <row r="1692">
      <c r="A1692" s="17" t="s">
        <v>4271</v>
      </c>
      <c r="B1692" s="9"/>
      <c r="C1692" s="25"/>
      <c r="D1692" s="22" t="s">
        <v>4269</v>
      </c>
    </row>
    <row r="1693">
      <c r="A1693" s="17" t="s">
        <v>4272</v>
      </c>
      <c r="B1693" s="9"/>
      <c r="C1693" s="25"/>
      <c r="D1693" s="22" t="s">
        <v>4273</v>
      </c>
    </row>
    <row r="1694">
      <c r="A1694" s="17" t="s">
        <v>4275</v>
      </c>
      <c r="B1694" s="9"/>
      <c r="C1694" s="25"/>
      <c r="D1694" s="22" t="s">
        <v>4273</v>
      </c>
    </row>
    <row r="1695">
      <c r="A1695" s="17" t="s">
        <v>4277</v>
      </c>
      <c r="B1695" s="9"/>
      <c r="C1695" s="25"/>
      <c r="D1695" s="22" t="s">
        <v>4273</v>
      </c>
    </row>
    <row r="1696">
      <c r="A1696" s="17" t="s">
        <v>4279</v>
      </c>
      <c r="B1696" s="9"/>
      <c r="C1696" s="25"/>
      <c r="D1696" s="22" t="s">
        <v>4281</v>
      </c>
    </row>
    <row r="1697">
      <c r="A1697" s="17" t="s">
        <v>4282</v>
      </c>
      <c r="B1697" s="9"/>
      <c r="C1697" s="25"/>
      <c r="D1697" s="22" t="s">
        <v>4281</v>
      </c>
    </row>
    <row r="1698">
      <c r="A1698" s="17" t="s">
        <v>4283</v>
      </c>
      <c r="B1698" s="9"/>
      <c r="C1698" s="25"/>
      <c r="D1698" s="22" t="s">
        <v>4281</v>
      </c>
    </row>
    <row r="1699">
      <c r="A1699" s="17" t="s">
        <v>4284</v>
      </c>
      <c r="B1699" s="9"/>
      <c r="C1699" s="25"/>
      <c r="D1699" s="22" t="s">
        <v>4285</v>
      </c>
    </row>
    <row r="1700">
      <c r="A1700" s="17" t="s">
        <v>4287</v>
      </c>
      <c r="B1700" s="9"/>
      <c r="C1700" s="25"/>
      <c r="D1700" s="22" t="s">
        <v>4285</v>
      </c>
    </row>
    <row r="1701">
      <c r="A1701" s="17" t="s">
        <v>4291</v>
      </c>
      <c r="B1701" s="9"/>
      <c r="C1701" s="25"/>
      <c r="D1701" s="22" t="s">
        <v>4285</v>
      </c>
    </row>
    <row r="1702">
      <c r="A1702" s="17" t="s">
        <v>4292</v>
      </c>
      <c r="B1702" s="9"/>
      <c r="C1702" s="25"/>
      <c r="D1702" s="22" t="s">
        <v>4293</v>
      </c>
    </row>
    <row r="1703">
      <c r="A1703" s="17" t="s">
        <v>4294</v>
      </c>
      <c r="B1703" s="9"/>
      <c r="C1703" s="25"/>
      <c r="D1703" s="22" t="s">
        <v>4293</v>
      </c>
    </row>
    <row r="1704">
      <c r="A1704" s="17" t="s">
        <v>4295</v>
      </c>
      <c r="B1704" s="9"/>
      <c r="C1704" s="25"/>
      <c r="D1704" s="22" t="s">
        <v>4293</v>
      </c>
    </row>
    <row r="1705">
      <c r="A1705" s="17" t="s">
        <v>4296</v>
      </c>
      <c r="B1705" s="9"/>
      <c r="C1705" s="25"/>
      <c r="D1705" s="22" t="s">
        <v>4298</v>
      </c>
    </row>
    <row r="1706">
      <c r="A1706" s="17" t="s">
        <v>4300</v>
      </c>
      <c r="B1706" s="9"/>
      <c r="C1706" s="25"/>
      <c r="D1706" s="22" t="s">
        <v>4298</v>
      </c>
    </row>
    <row r="1707">
      <c r="A1707" s="17" t="s">
        <v>4303</v>
      </c>
      <c r="B1707" s="9"/>
      <c r="C1707" s="25"/>
      <c r="D1707" s="22" t="s">
        <v>4298</v>
      </c>
    </row>
    <row r="1708">
      <c r="A1708" s="17" t="s">
        <v>4305</v>
      </c>
      <c r="B1708" s="9"/>
      <c r="C1708" s="25"/>
      <c r="D1708" s="22" t="s">
        <v>4307</v>
      </c>
    </row>
    <row r="1709">
      <c r="A1709" s="17" t="s">
        <v>4308</v>
      </c>
      <c r="B1709" s="9"/>
      <c r="C1709" s="25"/>
      <c r="D1709" s="22" t="s">
        <v>4307</v>
      </c>
    </row>
    <row r="1710">
      <c r="A1710" s="17" t="s">
        <v>4309</v>
      </c>
      <c r="B1710" s="9"/>
      <c r="C1710" s="25"/>
      <c r="D1710" s="22" t="s">
        <v>4307</v>
      </c>
    </row>
    <row r="1711">
      <c r="A1711" s="17" t="s">
        <v>4310</v>
      </c>
      <c r="B1711" s="9"/>
      <c r="C1711" s="25"/>
      <c r="D1711" s="22" t="s">
        <v>4312</v>
      </c>
    </row>
    <row r="1712">
      <c r="A1712" s="17" t="s">
        <v>4314</v>
      </c>
      <c r="B1712" s="9"/>
      <c r="C1712" s="25"/>
      <c r="D1712" s="22" t="s">
        <v>4312</v>
      </c>
    </row>
    <row r="1713">
      <c r="A1713" s="17" t="s">
        <v>4315</v>
      </c>
      <c r="B1713" s="9"/>
      <c r="C1713" s="25"/>
      <c r="D1713" s="22" t="s">
        <v>4312</v>
      </c>
    </row>
    <row r="1714">
      <c r="A1714" s="17" t="s">
        <v>4318</v>
      </c>
      <c r="B1714" s="9"/>
      <c r="C1714" s="25"/>
      <c r="D1714" s="22" t="s">
        <v>4319</v>
      </c>
    </row>
    <row r="1715">
      <c r="A1715" s="17" t="s">
        <v>4320</v>
      </c>
      <c r="B1715" s="9"/>
      <c r="C1715" s="25"/>
      <c r="D1715" s="22" t="s">
        <v>4319</v>
      </c>
    </row>
    <row r="1716">
      <c r="A1716" s="17" t="s">
        <v>4321</v>
      </c>
      <c r="B1716" s="9"/>
      <c r="C1716" s="25"/>
      <c r="D1716" s="22" t="s">
        <v>4319</v>
      </c>
    </row>
    <row r="1717">
      <c r="A1717" s="17" t="s">
        <v>4322</v>
      </c>
      <c r="B1717" s="9"/>
      <c r="C1717" s="25"/>
      <c r="D1717" s="22" t="s">
        <v>4324</v>
      </c>
    </row>
    <row r="1718">
      <c r="A1718" s="17" t="s">
        <v>4326</v>
      </c>
      <c r="B1718" s="9"/>
      <c r="C1718" s="25"/>
      <c r="D1718" s="22" t="s">
        <v>4324</v>
      </c>
    </row>
    <row r="1719">
      <c r="A1719" s="17" t="s">
        <v>4327</v>
      </c>
      <c r="B1719" s="9"/>
      <c r="C1719" s="25"/>
      <c r="D1719" s="22" t="s">
        <v>4324</v>
      </c>
    </row>
    <row r="1720">
      <c r="A1720" s="17" t="s">
        <v>4328</v>
      </c>
      <c r="B1720" s="9"/>
      <c r="C1720" s="25"/>
      <c r="D1720" s="22" t="s">
        <v>4330</v>
      </c>
    </row>
    <row r="1721">
      <c r="A1721" s="17" t="s">
        <v>4331</v>
      </c>
      <c r="B1721" s="9"/>
      <c r="C1721" s="25"/>
      <c r="D1721" s="22" t="s">
        <v>4330</v>
      </c>
    </row>
    <row r="1722">
      <c r="A1722" s="17" t="s">
        <v>4332</v>
      </c>
      <c r="B1722" s="9"/>
      <c r="C1722" s="25"/>
      <c r="D1722" s="22" t="s">
        <v>4330</v>
      </c>
    </row>
    <row r="1723">
      <c r="A1723" s="17" t="s">
        <v>4333</v>
      </c>
      <c r="B1723" s="9"/>
      <c r="C1723" s="25"/>
      <c r="D1723" s="22" t="s">
        <v>4336</v>
      </c>
    </row>
    <row r="1724">
      <c r="A1724" s="17" t="s">
        <v>4337</v>
      </c>
      <c r="B1724" s="9"/>
      <c r="C1724" s="25"/>
      <c r="D1724" s="22" t="s">
        <v>4336</v>
      </c>
    </row>
    <row r="1725">
      <c r="A1725" s="17" t="s">
        <v>4338</v>
      </c>
      <c r="B1725" s="9"/>
      <c r="C1725" s="25"/>
      <c r="D1725" s="22" t="s">
        <v>4336</v>
      </c>
    </row>
    <row r="1726">
      <c r="A1726" s="17" t="s">
        <v>4340</v>
      </c>
      <c r="B1726" s="9"/>
      <c r="C1726" s="25"/>
      <c r="D1726" s="22" t="s">
        <v>4342</v>
      </c>
    </row>
    <row r="1727">
      <c r="A1727" s="17" t="s">
        <v>4343</v>
      </c>
      <c r="B1727" s="9"/>
      <c r="C1727" s="25"/>
      <c r="D1727" s="22" t="s">
        <v>4342</v>
      </c>
    </row>
    <row r="1728">
      <c r="A1728" s="17" t="s">
        <v>4344</v>
      </c>
      <c r="B1728" s="9"/>
      <c r="C1728" s="25"/>
      <c r="D1728" s="22" t="s">
        <v>4342</v>
      </c>
    </row>
    <row r="1729">
      <c r="A1729" s="17" t="s">
        <v>4346</v>
      </c>
      <c r="B1729" s="9"/>
      <c r="C1729" s="25"/>
      <c r="D1729" s="22" t="s">
        <v>4348</v>
      </c>
    </row>
    <row r="1730">
      <c r="A1730" s="17" t="s">
        <v>4349</v>
      </c>
      <c r="B1730" s="9"/>
      <c r="C1730" s="25"/>
      <c r="D1730" s="22" t="s">
        <v>4348</v>
      </c>
    </row>
    <row r="1731">
      <c r="A1731" s="17" t="s">
        <v>4350</v>
      </c>
      <c r="B1731" s="9"/>
      <c r="C1731" s="25"/>
      <c r="D1731" s="22" t="s">
        <v>4348</v>
      </c>
    </row>
    <row r="1732">
      <c r="A1732" s="17" t="s">
        <v>4352</v>
      </c>
      <c r="B1732" s="9"/>
      <c r="C1732" s="25"/>
      <c r="D1732" s="22" t="s">
        <v>4353</v>
      </c>
    </row>
    <row r="1733">
      <c r="A1733" s="17" t="s">
        <v>4354</v>
      </c>
      <c r="B1733" s="9"/>
      <c r="C1733" s="25"/>
      <c r="D1733" s="22" t="s">
        <v>4353</v>
      </c>
    </row>
    <row r="1734">
      <c r="A1734" s="17" t="s">
        <v>4355</v>
      </c>
      <c r="B1734" s="9"/>
      <c r="C1734" s="25"/>
      <c r="D1734" s="22" t="s">
        <v>4353</v>
      </c>
    </row>
    <row r="1735">
      <c r="A1735" s="17" t="s">
        <v>4359</v>
      </c>
      <c r="B1735" s="9"/>
      <c r="C1735" s="25"/>
      <c r="D1735" s="22" t="s">
        <v>4360</v>
      </c>
    </row>
    <row r="1736">
      <c r="A1736" s="17" t="s">
        <v>4361</v>
      </c>
      <c r="B1736" s="9"/>
      <c r="C1736" s="25"/>
      <c r="D1736" s="22" t="s">
        <v>4360</v>
      </c>
    </row>
    <row r="1737">
      <c r="A1737" s="17" t="s">
        <v>4363</v>
      </c>
      <c r="B1737" s="9"/>
      <c r="C1737" s="25"/>
      <c r="D1737" s="22" t="s">
        <v>4360</v>
      </c>
    </row>
    <row r="1738">
      <c r="A1738" s="17" t="s">
        <v>4364</v>
      </c>
      <c r="B1738" s="9"/>
      <c r="C1738" s="25"/>
      <c r="D1738" s="22" t="s">
        <v>4365</v>
      </c>
    </row>
    <row r="1739">
      <c r="A1739" s="17" t="s">
        <v>4366</v>
      </c>
      <c r="B1739" s="9"/>
      <c r="C1739" s="25"/>
      <c r="D1739" s="22" t="s">
        <v>4365</v>
      </c>
    </row>
    <row r="1740">
      <c r="A1740" s="17" t="s">
        <v>4367</v>
      </c>
      <c r="B1740" s="9"/>
      <c r="C1740" s="25"/>
      <c r="D1740" s="22" t="s">
        <v>4365</v>
      </c>
    </row>
    <row r="1741">
      <c r="A1741" s="17" t="s">
        <v>4368</v>
      </c>
      <c r="B1741" s="9"/>
      <c r="C1741" s="25"/>
      <c r="D1741" s="22" t="s">
        <v>4369</v>
      </c>
    </row>
    <row r="1742">
      <c r="A1742" s="17" t="s">
        <v>4370</v>
      </c>
      <c r="B1742" s="9"/>
      <c r="C1742" s="25"/>
      <c r="D1742" s="22" t="s">
        <v>4369</v>
      </c>
    </row>
    <row r="1743">
      <c r="A1743" s="17" t="s">
        <v>4374</v>
      </c>
      <c r="B1743" s="9"/>
      <c r="C1743" s="25"/>
      <c r="D1743" s="22" t="s">
        <v>4369</v>
      </c>
    </row>
    <row r="1744">
      <c r="A1744" s="17" t="s">
        <v>4376</v>
      </c>
      <c r="B1744" s="9"/>
      <c r="C1744" s="25"/>
      <c r="D1744" s="22" t="s">
        <v>4377</v>
      </c>
    </row>
    <row r="1745">
      <c r="A1745" s="17" t="s">
        <v>4378</v>
      </c>
      <c r="B1745" s="9"/>
      <c r="C1745" s="25"/>
      <c r="D1745" s="22" t="s">
        <v>4377</v>
      </c>
    </row>
    <row r="1746">
      <c r="A1746" s="17" t="s">
        <v>4379</v>
      </c>
      <c r="B1746" s="9"/>
      <c r="C1746" s="25"/>
      <c r="D1746" s="22" t="s">
        <v>4377</v>
      </c>
    </row>
    <row r="1747">
      <c r="A1747" s="17" t="s">
        <v>4380</v>
      </c>
      <c r="B1747" s="9"/>
      <c r="C1747" s="25"/>
      <c r="D1747" s="22" t="s">
        <v>4381</v>
      </c>
    </row>
    <row r="1748">
      <c r="A1748" s="17" t="s">
        <v>4382</v>
      </c>
      <c r="B1748" s="9"/>
      <c r="C1748" s="25"/>
      <c r="D1748" s="22" t="s">
        <v>4381</v>
      </c>
    </row>
    <row r="1749">
      <c r="A1749" s="17" t="s">
        <v>4384</v>
      </c>
      <c r="B1749" s="9"/>
      <c r="C1749" s="25"/>
      <c r="D1749" s="22" t="s">
        <v>4381</v>
      </c>
    </row>
    <row r="1750">
      <c r="A1750" s="17" t="s">
        <v>4387</v>
      </c>
      <c r="B1750" s="9"/>
      <c r="C1750" s="25"/>
      <c r="D1750" s="22" t="s">
        <v>4388</v>
      </c>
    </row>
    <row r="1751">
      <c r="A1751" s="17" t="s">
        <v>4389</v>
      </c>
      <c r="B1751" s="9"/>
      <c r="C1751" s="25"/>
      <c r="D1751" s="22" t="s">
        <v>4388</v>
      </c>
    </row>
    <row r="1752">
      <c r="A1752" s="17" t="s">
        <v>4390</v>
      </c>
      <c r="B1752" s="9"/>
      <c r="C1752" s="25"/>
      <c r="D1752" s="22" t="s">
        <v>4388</v>
      </c>
    </row>
    <row r="1753">
      <c r="A1753" s="17" t="s">
        <v>4391</v>
      </c>
      <c r="B1753" s="9"/>
      <c r="C1753" s="25"/>
      <c r="D1753" s="22" t="s">
        <v>4392</v>
      </c>
    </row>
    <row r="1754">
      <c r="A1754" s="17" t="s">
        <v>4393</v>
      </c>
      <c r="B1754" s="9"/>
      <c r="C1754" s="25"/>
      <c r="D1754" s="22" t="s">
        <v>4392</v>
      </c>
    </row>
    <row r="1755">
      <c r="A1755" s="17" t="s">
        <v>4397</v>
      </c>
      <c r="B1755" s="9"/>
      <c r="C1755" s="25"/>
      <c r="D1755" s="22" t="s">
        <v>4392</v>
      </c>
    </row>
    <row r="1756">
      <c r="A1756" s="17" t="s">
        <v>4399</v>
      </c>
      <c r="B1756" s="9"/>
      <c r="C1756" s="25"/>
      <c r="D1756" s="22" t="s">
        <v>4400</v>
      </c>
    </row>
    <row r="1757">
      <c r="A1757" s="17" t="s">
        <v>4401</v>
      </c>
      <c r="B1757" s="9"/>
      <c r="C1757" s="25"/>
      <c r="D1757" s="22" t="s">
        <v>4400</v>
      </c>
    </row>
    <row r="1758">
      <c r="A1758" s="17" t="s">
        <v>4402</v>
      </c>
      <c r="B1758" s="9"/>
      <c r="C1758" s="25"/>
      <c r="D1758" s="22" t="s">
        <v>4400</v>
      </c>
    </row>
    <row r="1759">
      <c r="A1759" s="17" t="s">
        <v>4403</v>
      </c>
      <c r="B1759" s="9"/>
      <c r="C1759" s="25"/>
      <c r="D1759" s="22" t="s">
        <v>4404</v>
      </c>
    </row>
    <row r="1760">
      <c r="A1760" s="17" t="s">
        <v>4406</v>
      </c>
      <c r="B1760" s="9"/>
      <c r="C1760" s="25"/>
      <c r="D1760" s="22" t="s">
        <v>4404</v>
      </c>
    </row>
    <row r="1761">
      <c r="A1761" s="17" t="s">
        <v>4409</v>
      </c>
      <c r="B1761" s="9"/>
      <c r="C1761" s="25"/>
      <c r="D1761" s="22" t="s">
        <v>4404</v>
      </c>
    </row>
    <row r="1762">
      <c r="A1762" s="17" t="s">
        <v>4410</v>
      </c>
      <c r="B1762" s="9"/>
      <c r="C1762" s="25"/>
      <c r="D1762" s="22" t="s">
        <v>4411</v>
      </c>
    </row>
    <row r="1763">
      <c r="A1763" s="17" t="s">
        <v>4412</v>
      </c>
      <c r="B1763" s="9"/>
      <c r="C1763" s="25"/>
      <c r="D1763" s="22" t="s">
        <v>4411</v>
      </c>
    </row>
    <row r="1764">
      <c r="A1764" s="17" t="s">
        <v>4413</v>
      </c>
      <c r="B1764" s="9"/>
      <c r="C1764" s="25"/>
      <c r="D1764" s="22" t="s">
        <v>4411</v>
      </c>
    </row>
    <row r="1765">
      <c r="A1765" s="17" t="s">
        <v>4414</v>
      </c>
      <c r="B1765" s="9"/>
      <c r="C1765" s="25"/>
      <c r="D1765" s="22" t="s">
        <v>4415</v>
      </c>
    </row>
    <row r="1766">
      <c r="A1766" s="17" t="s">
        <v>4417</v>
      </c>
      <c r="B1766" s="9"/>
      <c r="C1766" s="25"/>
      <c r="D1766" s="22" t="s">
        <v>4415</v>
      </c>
    </row>
    <row r="1767">
      <c r="A1767" s="17" t="s">
        <v>4420</v>
      </c>
      <c r="B1767" s="9"/>
      <c r="C1767" s="25"/>
      <c r="D1767" s="22" t="s">
        <v>4415</v>
      </c>
    </row>
    <row r="1768">
      <c r="A1768" s="17" t="s">
        <v>4421</v>
      </c>
      <c r="B1768" s="9"/>
      <c r="C1768" s="25"/>
      <c r="D1768" s="22" t="s">
        <v>4422</v>
      </c>
    </row>
    <row r="1769">
      <c r="A1769" s="17" t="s">
        <v>4423</v>
      </c>
      <c r="B1769" s="9"/>
      <c r="C1769" s="25"/>
      <c r="D1769" s="22" t="s">
        <v>4422</v>
      </c>
    </row>
    <row r="1770">
      <c r="A1770" s="17" t="s">
        <v>4424</v>
      </c>
      <c r="B1770" s="9"/>
      <c r="C1770" s="25"/>
      <c r="D1770" s="22" t="s">
        <v>4422</v>
      </c>
    </row>
    <row r="1771">
      <c r="A1771" s="17" t="s">
        <v>4425</v>
      </c>
      <c r="B1771" s="9"/>
      <c r="C1771" s="25"/>
      <c r="D1771" s="22" t="s">
        <v>4428</v>
      </c>
    </row>
    <row r="1772">
      <c r="A1772" s="17" t="s">
        <v>4430</v>
      </c>
      <c r="B1772" s="9"/>
      <c r="C1772" s="25"/>
      <c r="D1772" s="22" t="s">
        <v>4428</v>
      </c>
    </row>
    <row r="1773">
      <c r="A1773" s="17" t="s">
        <v>4431</v>
      </c>
      <c r="B1773" s="9"/>
      <c r="C1773" s="25"/>
      <c r="D1773" s="22" t="s">
        <v>4428</v>
      </c>
    </row>
    <row r="1774">
      <c r="A1774" s="17" t="s">
        <v>4432</v>
      </c>
      <c r="B1774" s="9"/>
      <c r="C1774" s="25"/>
      <c r="D1774" s="22" t="s">
        <v>4433</v>
      </c>
    </row>
    <row r="1775">
      <c r="A1775" s="17" t="s">
        <v>4434</v>
      </c>
      <c r="B1775" s="9"/>
      <c r="C1775" s="25"/>
      <c r="D1775" s="22" t="s">
        <v>4433</v>
      </c>
    </row>
    <row r="1776">
      <c r="A1776" s="17" t="s">
        <v>4435</v>
      </c>
      <c r="B1776" s="9"/>
      <c r="C1776" s="25"/>
      <c r="D1776" s="22" t="s">
        <v>4433</v>
      </c>
    </row>
    <row r="1777">
      <c r="A1777" s="17" t="s">
        <v>4437</v>
      </c>
      <c r="B1777" s="9"/>
      <c r="C1777" s="25"/>
      <c r="D1777" s="22" t="s">
        <v>4440</v>
      </c>
    </row>
    <row r="1778">
      <c r="A1778" s="17" t="s">
        <v>4442</v>
      </c>
      <c r="B1778" s="9"/>
      <c r="C1778" s="25"/>
      <c r="D1778" s="22" t="s">
        <v>4440</v>
      </c>
    </row>
    <row r="1779">
      <c r="A1779" s="17" t="s">
        <v>4443</v>
      </c>
      <c r="B1779" s="9"/>
      <c r="C1779" s="25"/>
      <c r="D1779" s="22" t="s">
        <v>4440</v>
      </c>
    </row>
    <row r="1780">
      <c r="A1780" s="17" t="s">
        <v>4444</v>
      </c>
      <c r="B1780" s="9"/>
      <c r="C1780" s="25"/>
      <c r="D1780" s="22" t="s">
        <v>4445</v>
      </c>
    </row>
    <row r="1781">
      <c r="A1781" s="17" t="s">
        <v>4446</v>
      </c>
      <c r="B1781" s="9"/>
      <c r="C1781" s="25"/>
      <c r="D1781" s="22" t="s">
        <v>4445</v>
      </c>
    </row>
    <row r="1782">
      <c r="A1782" s="17" t="s">
        <v>4447</v>
      </c>
      <c r="B1782" s="9"/>
      <c r="C1782" s="25"/>
      <c r="D1782" s="22" t="s">
        <v>4445</v>
      </c>
    </row>
    <row r="1783">
      <c r="A1783" s="17" t="s">
        <v>4450</v>
      </c>
      <c r="B1783" s="9"/>
      <c r="C1783" s="25"/>
      <c r="D1783" s="22" t="s">
        <v>4451</v>
      </c>
    </row>
    <row r="1784">
      <c r="A1784" s="17" t="s">
        <v>4453</v>
      </c>
      <c r="B1784" s="9"/>
      <c r="C1784" s="25"/>
      <c r="D1784" s="22" t="s">
        <v>4451</v>
      </c>
    </row>
    <row r="1785">
      <c r="A1785" s="17" t="s">
        <v>4454</v>
      </c>
      <c r="B1785" s="9"/>
      <c r="C1785" s="25"/>
      <c r="D1785" s="22" t="s">
        <v>4451</v>
      </c>
    </row>
    <row r="1786">
      <c r="A1786" s="17" t="s">
        <v>4457</v>
      </c>
      <c r="B1786" s="9"/>
      <c r="C1786" s="25"/>
      <c r="D1786" s="22" t="s">
        <v>4459</v>
      </c>
    </row>
    <row r="1787">
      <c r="A1787" s="17" t="s">
        <v>4460</v>
      </c>
      <c r="B1787" s="9"/>
      <c r="C1787" s="25"/>
      <c r="D1787" s="22" t="s">
        <v>4459</v>
      </c>
    </row>
    <row r="1788">
      <c r="A1788" s="17" t="s">
        <v>4462</v>
      </c>
      <c r="B1788" s="9"/>
      <c r="C1788" s="25"/>
      <c r="D1788" s="22" t="s">
        <v>4459</v>
      </c>
    </row>
    <row r="1789">
      <c r="A1789" s="17" t="s">
        <v>4463</v>
      </c>
      <c r="B1789" s="9"/>
      <c r="C1789" s="25"/>
      <c r="D1789" s="22" t="s">
        <v>4464</v>
      </c>
    </row>
    <row r="1790">
      <c r="A1790" s="17" t="s">
        <v>4465</v>
      </c>
      <c r="B1790" s="9"/>
      <c r="C1790" s="25"/>
      <c r="D1790" s="22" t="s">
        <v>4464</v>
      </c>
    </row>
    <row r="1791">
      <c r="A1791" s="17" t="s">
        <v>4466</v>
      </c>
      <c r="B1791" s="9"/>
      <c r="C1791" s="25"/>
      <c r="D1791" s="22" t="s">
        <v>4464</v>
      </c>
    </row>
    <row r="1792">
      <c r="A1792" s="17" t="s">
        <v>4469</v>
      </c>
      <c r="B1792" s="9"/>
      <c r="C1792" s="25"/>
      <c r="D1792" s="22" t="s">
        <v>4471</v>
      </c>
    </row>
    <row r="1793">
      <c r="A1793" s="17" t="s">
        <v>4472</v>
      </c>
      <c r="B1793" s="9"/>
      <c r="C1793" s="25"/>
      <c r="D1793" s="22" t="s">
        <v>4471</v>
      </c>
    </row>
    <row r="1794">
      <c r="A1794" s="17" t="s">
        <v>4474</v>
      </c>
      <c r="B1794" s="9"/>
      <c r="C1794" s="25"/>
      <c r="D1794" s="22" t="s">
        <v>4471</v>
      </c>
    </row>
    <row r="1795">
      <c r="A1795" s="17" t="s">
        <v>4478</v>
      </c>
      <c r="B1795" s="9"/>
      <c r="C1795" s="25"/>
      <c r="D1795" s="22" t="s">
        <v>4479</v>
      </c>
    </row>
    <row r="1796">
      <c r="A1796" s="17" t="s">
        <v>4480</v>
      </c>
      <c r="B1796" s="9"/>
      <c r="C1796" s="25"/>
      <c r="D1796" s="22" t="s">
        <v>4479</v>
      </c>
    </row>
    <row r="1797">
      <c r="A1797" s="17" t="s">
        <v>4481</v>
      </c>
      <c r="B1797" s="9"/>
      <c r="C1797" s="25"/>
      <c r="D1797" s="22" t="s">
        <v>4479</v>
      </c>
    </row>
    <row r="1798">
      <c r="A1798" s="17" t="s">
        <v>4482</v>
      </c>
      <c r="B1798" s="9"/>
      <c r="C1798" s="25"/>
      <c r="D1798" s="22" t="s">
        <v>4483</v>
      </c>
    </row>
    <row r="1799">
      <c r="A1799" s="17" t="s">
        <v>4485</v>
      </c>
      <c r="B1799" s="9"/>
      <c r="C1799" s="25"/>
      <c r="D1799" s="22" t="s">
        <v>4483</v>
      </c>
    </row>
    <row r="1800">
      <c r="A1800" s="17" t="s">
        <v>4486</v>
      </c>
      <c r="B1800" s="9"/>
      <c r="C1800" s="25"/>
      <c r="D1800" s="22" t="s">
        <v>4483</v>
      </c>
    </row>
    <row r="1801">
      <c r="A1801" s="17" t="s">
        <v>4490</v>
      </c>
      <c r="B1801" s="9"/>
      <c r="C1801" s="25"/>
      <c r="D1801" s="22" t="s">
        <v>4491</v>
      </c>
    </row>
    <row r="1802">
      <c r="A1802" s="17" t="s">
        <v>4492</v>
      </c>
      <c r="B1802" s="9"/>
      <c r="C1802" s="25"/>
      <c r="D1802" s="22" t="s">
        <v>4491</v>
      </c>
    </row>
    <row r="1803">
      <c r="A1803" s="17" t="s">
        <v>4493</v>
      </c>
      <c r="B1803" s="9"/>
      <c r="C1803" s="25"/>
      <c r="D1803" s="22" t="s">
        <v>4491</v>
      </c>
    </row>
    <row r="1804">
      <c r="A1804" s="17" t="s">
        <v>4494</v>
      </c>
      <c r="B1804" s="9"/>
      <c r="C1804" s="25"/>
      <c r="D1804" s="22" t="s">
        <v>4495</v>
      </c>
    </row>
    <row r="1805">
      <c r="A1805" s="17" t="s">
        <v>4497</v>
      </c>
      <c r="B1805" s="9"/>
      <c r="C1805" s="25"/>
      <c r="D1805" s="22" t="s">
        <v>4495</v>
      </c>
    </row>
    <row r="1806">
      <c r="A1806" s="17" t="s">
        <v>4500</v>
      </c>
      <c r="B1806" s="9"/>
      <c r="C1806" s="25"/>
      <c r="D1806" s="22" t="s">
        <v>4495</v>
      </c>
    </row>
    <row r="1807">
      <c r="A1807" s="17" t="s">
        <v>4501</v>
      </c>
      <c r="B1807" s="9"/>
      <c r="C1807" s="25"/>
      <c r="D1807" s="22" t="s">
        <v>4502</v>
      </c>
    </row>
    <row r="1808">
      <c r="A1808" s="17" t="s">
        <v>4503</v>
      </c>
      <c r="B1808" s="9"/>
      <c r="C1808" s="25"/>
      <c r="D1808" s="22" t="s">
        <v>4502</v>
      </c>
    </row>
    <row r="1809">
      <c r="A1809" s="17" t="s">
        <v>4504</v>
      </c>
      <c r="B1809" s="9"/>
      <c r="C1809" s="25"/>
      <c r="D1809" s="22" t="s">
        <v>4502</v>
      </c>
    </row>
    <row r="1810">
      <c r="A1810" s="17" t="s">
        <v>4505</v>
      </c>
      <c r="B1810" s="9"/>
      <c r="C1810" s="25"/>
      <c r="D1810" s="22" t="s">
        <v>4506</v>
      </c>
    </row>
    <row r="1811">
      <c r="A1811" s="17" t="s">
        <v>4507</v>
      </c>
      <c r="B1811" s="9"/>
      <c r="C1811" s="25"/>
      <c r="D1811" s="22" t="s">
        <v>4506</v>
      </c>
    </row>
    <row r="1812">
      <c r="A1812" s="17" t="s">
        <v>4510</v>
      </c>
      <c r="B1812" s="9"/>
      <c r="C1812" s="25"/>
      <c r="D1812" s="22" t="s">
        <v>4506</v>
      </c>
    </row>
    <row r="1813">
      <c r="A1813" s="17" t="s">
        <v>4511</v>
      </c>
      <c r="B1813" s="9"/>
      <c r="C1813" s="25"/>
      <c r="D1813" s="22" t="s">
        <v>4512</v>
      </c>
    </row>
    <row r="1814">
      <c r="A1814" s="17" t="s">
        <v>4513</v>
      </c>
      <c r="B1814" s="9"/>
      <c r="C1814" s="25"/>
      <c r="D1814" s="22" t="s">
        <v>4512</v>
      </c>
    </row>
    <row r="1815">
      <c r="A1815" s="17" t="s">
        <v>4514</v>
      </c>
      <c r="B1815" s="9"/>
      <c r="C1815" s="25"/>
      <c r="D1815" s="22" t="s">
        <v>4512</v>
      </c>
    </row>
    <row r="1816">
      <c r="A1816" s="17" t="s">
        <v>4516</v>
      </c>
      <c r="B1816" s="9"/>
      <c r="C1816" s="25"/>
      <c r="D1816" s="22" t="s">
        <v>4519</v>
      </c>
    </row>
    <row r="1817">
      <c r="A1817" s="17" t="s">
        <v>4520</v>
      </c>
      <c r="B1817" s="9"/>
      <c r="C1817" s="25"/>
      <c r="D1817" s="22" t="s">
        <v>4519</v>
      </c>
    </row>
    <row r="1818">
      <c r="A1818" s="17" t="s">
        <v>4521</v>
      </c>
      <c r="B1818" s="9"/>
      <c r="C1818" s="25"/>
      <c r="D1818" s="22" t="s">
        <v>4519</v>
      </c>
    </row>
    <row r="1819">
      <c r="A1819" s="17" t="s">
        <v>4522</v>
      </c>
      <c r="B1819" s="9"/>
      <c r="C1819" s="25"/>
      <c r="D1819" s="22" t="s">
        <v>4523</v>
      </c>
    </row>
    <row r="1820">
      <c r="A1820" s="17" t="s">
        <v>4524</v>
      </c>
      <c r="B1820" s="9"/>
      <c r="C1820" s="25"/>
      <c r="D1820" s="22" t="s">
        <v>4523</v>
      </c>
    </row>
    <row r="1821">
      <c r="A1821" s="17" t="s">
        <v>4525</v>
      </c>
      <c r="B1821" s="9"/>
      <c r="C1821" s="25"/>
      <c r="D1821" s="22" t="s">
        <v>4523</v>
      </c>
    </row>
    <row r="1822">
      <c r="A1822" s="17" t="s">
        <v>4528</v>
      </c>
      <c r="B1822" s="9"/>
      <c r="C1822" s="25"/>
      <c r="D1822" s="22" t="s">
        <v>4530</v>
      </c>
    </row>
    <row r="1823">
      <c r="A1823" s="17" t="s">
        <v>4531</v>
      </c>
      <c r="B1823" s="9"/>
      <c r="C1823" s="25"/>
      <c r="D1823" s="22" t="s">
        <v>4530</v>
      </c>
    </row>
    <row r="1824">
      <c r="A1824" s="17" t="s">
        <v>4532</v>
      </c>
      <c r="B1824" s="9"/>
      <c r="C1824" s="25"/>
      <c r="D1824" s="22" t="s">
        <v>4530</v>
      </c>
    </row>
    <row r="1825">
      <c r="A1825" s="17" t="s">
        <v>4533</v>
      </c>
      <c r="B1825" s="9"/>
      <c r="C1825" s="25"/>
      <c r="D1825" s="22" t="s">
        <v>4534</v>
      </c>
    </row>
    <row r="1826">
      <c r="A1826" s="17" t="s">
        <v>4535</v>
      </c>
      <c r="B1826" s="9"/>
      <c r="C1826" s="25"/>
      <c r="D1826" s="22" t="s">
        <v>4534</v>
      </c>
    </row>
    <row r="1827">
      <c r="A1827" s="17" t="s">
        <v>4536</v>
      </c>
      <c r="B1827" s="9"/>
      <c r="C1827" s="25"/>
      <c r="D1827" s="22" t="s">
        <v>4534</v>
      </c>
    </row>
    <row r="1828">
      <c r="A1828" s="17" t="s">
        <v>4538</v>
      </c>
      <c r="B1828" s="9"/>
      <c r="C1828" s="25"/>
      <c r="D1828" s="22" t="s">
        <v>4540</v>
      </c>
    </row>
    <row r="1829">
      <c r="A1829" s="17" t="s">
        <v>4542</v>
      </c>
      <c r="B1829" s="9"/>
      <c r="C1829" s="25"/>
      <c r="D1829" s="22" t="s">
        <v>4540</v>
      </c>
    </row>
    <row r="1830">
      <c r="A1830" s="17" t="s">
        <v>4544</v>
      </c>
      <c r="B1830" s="9"/>
      <c r="C1830" s="25"/>
      <c r="D1830" s="22" t="s">
        <v>4540</v>
      </c>
    </row>
    <row r="1831">
      <c r="A1831" s="17" t="s">
        <v>4545</v>
      </c>
      <c r="B1831" s="9"/>
      <c r="C1831" s="25"/>
      <c r="D1831" s="22" t="s">
        <v>4546</v>
      </c>
    </row>
    <row r="1832">
      <c r="A1832" s="17" t="s">
        <v>4547</v>
      </c>
      <c r="B1832" s="9"/>
      <c r="C1832" s="25"/>
      <c r="D1832" s="22" t="s">
        <v>4546</v>
      </c>
    </row>
    <row r="1833">
      <c r="A1833" s="17" t="s">
        <v>4548</v>
      </c>
      <c r="B1833" s="9"/>
      <c r="C1833" s="25"/>
      <c r="D1833" s="22" t="s">
        <v>4546</v>
      </c>
    </row>
    <row r="1834">
      <c r="A1834" s="17" t="s">
        <v>4549</v>
      </c>
      <c r="B1834" s="9"/>
      <c r="C1834" s="25"/>
      <c r="D1834" s="22" t="s">
        <v>4551</v>
      </c>
    </row>
    <row r="1835">
      <c r="A1835" s="17" t="s">
        <v>4553</v>
      </c>
      <c r="B1835" s="9"/>
      <c r="C1835" s="25"/>
      <c r="D1835" s="22" t="s">
        <v>4551</v>
      </c>
    </row>
    <row r="1836">
      <c r="A1836" s="17" t="s">
        <v>4555</v>
      </c>
      <c r="B1836" s="9"/>
      <c r="C1836" s="25"/>
      <c r="D1836" s="22" t="s">
        <v>4551</v>
      </c>
    </row>
    <row r="1837">
      <c r="A1837" s="17" t="s">
        <v>4556</v>
      </c>
      <c r="B1837" s="9"/>
      <c r="C1837" s="25"/>
      <c r="D1837" s="22" t="s">
        <v>4557</v>
      </c>
    </row>
    <row r="1838">
      <c r="A1838" s="17" t="s">
        <v>4558</v>
      </c>
      <c r="B1838" s="9"/>
      <c r="C1838" s="25"/>
      <c r="D1838" s="22" t="s">
        <v>4557</v>
      </c>
    </row>
    <row r="1839">
      <c r="A1839" s="17" t="s">
        <v>4559</v>
      </c>
      <c r="B1839" s="9"/>
      <c r="C1839" s="25"/>
      <c r="D1839" s="22" t="s">
        <v>4557</v>
      </c>
    </row>
    <row r="1840">
      <c r="A1840" s="17" t="s">
        <v>4560</v>
      </c>
      <c r="B1840" s="9"/>
      <c r="C1840" s="25"/>
      <c r="D1840" s="22" t="s">
        <v>4562</v>
      </c>
    </row>
    <row r="1841">
      <c r="A1841" s="17" t="s">
        <v>4564</v>
      </c>
      <c r="B1841" s="9"/>
      <c r="C1841" s="25"/>
      <c r="D1841" s="22" t="s">
        <v>4562</v>
      </c>
    </row>
    <row r="1842">
      <c r="A1842" s="17" t="s">
        <v>4566</v>
      </c>
      <c r="B1842" s="9"/>
      <c r="C1842" s="25"/>
      <c r="D1842" s="22" t="s">
        <v>4562</v>
      </c>
    </row>
    <row r="1843">
      <c r="A1843" s="17" t="s">
        <v>4567</v>
      </c>
      <c r="B1843" s="9"/>
      <c r="C1843" s="25"/>
      <c r="D1843" s="22" t="s">
        <v>4568</v>
      </c>
    </row>
    <row r="1844">
      <c r="A1844" s="17" t="s">
        <v>4569</v>
      </c>
      <c r="B1844" s="9"/>
      <c r="C1844" s="25"/>
      <c r="D1844" s="22" t="s">
        <v>4568</v>
      </c>
    </row>
    <row r="1845">
      <c r="A1845" s="17" t="s">
        <v>4570</v>
      </c>
      <c r="B1845" s="9"/>
      <c r="C1845" s="25"/>
      <c r="D1845" s="22" t="s">
        <v>4568</v>
      </c>
    </row>
    <row r="1846">
      <c r="A1846" s="17" t="s">
        <v>4571</v>
      </c>
      <c r="B1846" s="9"/>
      <c r="C1846" s="25"/>
      <c r="D1846" s="22" t="s">
        <v>4573</v>
      </c>
    </row>
    <row r="1847">
      <c r="A1847" s="17" t="s">
        <v>4574</v>
      </c>
      <c r="B1847" s="9"/>
      <c r="C1847" s="25"/>
      <c r="D1847" s="22" t="s">
        <v>4573</v>
      </c>
    </row>
    <row r="1848">
      <c r="A1848" s="17" t="s">
        <v>4575</v>
      </c>
      <c r="B1848" s="9"/>
      <c r="C1848" s="25"/>
      <c r="D1848" s="22" t="s">
        <v>4573</v>
      </c>
    </row>
    <row r="1849">
      <c r="A1849" s="17" t="s">
        <v>4576</v>
      </c>
      <c r="B1849" s="9"/>
      <c r="C1849" s="25"/>
      <c r="D1849" s="22" t="s">
        <v>4577</v>
      </c>
    </row>
    <row r="1850">
      <c r="A1850" s="17" t="s">
        <v>4578</v>
      </c>
      <c r="B1850" s="9"/>
      <c r="C1850" s="25"/>
      <c r="D1850" s="22" t="s">
        <v>4577</v>
      </c>
    </row>
    <row r="1851">
      <c r="A1851" s="17" t="s">
        <v>4580</v>
      </c>
      <c r="B1851" s="9"/>
      <c r="C1851" s="25"/>
      <c r="D1851" s="22" t="s">
        <v>4577</v>
      </c>
    </row>
    <row r="1852">
      <c r="A1852" s="17" t="s">
        <v>4581</v>
      </c>
      <c r="B1852" s="9"/>
      <c r="C1852" s="25"/>
      <c r="D1852" s="22" t="s">
        <v>4583</v>
      </c>
    </row>
    <row r="1853">
      <c r="A1853" s="17" t="s">
        <v>4584</v>
      </c>
      <c r="B1853" s="9"/>
      <c r="C1853" s="25"/>
      <c r="D1853" s="22" t="s">
        <v>4583</v>
      </c>
    </row>
    <row r="1854">
      <c r="A1854" s="17" t="s">
        <v>4585</v>
      </c>
      <c r="B1854" s="9"/>
      <c r="C1854" s="25"/>
      <c r="D1854" s="22" t="s">
        <v>4583</v>
      </c>
    </row>
    <row r="1855">
      <c r="A1855" s="17" t="s">
        <v>4586</v>
      </c>
      <c r="B1855" s="9"/>
      <c r="C1855" s="25"/>
      <c r="D1855" s="22" t="s">
        <v>4587</v>
      </c>
    </row>
    <row r="1856">
      <c r="A1856" s="17" t="s">
        <v>4588</v>
      </c>
      <c r="B1856" s="9"/>
      <c r="C1856" s="25"/>
      <c r="D1856" s="22" t="s">
        <v>4587</v>
      </c>
    </row>
    <row r="1857">
      <c r="A1857" s="17" t="s">
        <v>4590</v>
      </c>
      <c r="B1857" s="9"/>
      <c r="C1857" s="25"/>
      <c r="D1857" s="22" t="s">
        <v>4587</v>
      </c>
    </row>
    <row r="1858">
      <c r="A1858" s="17" t="s">
        <v>4592</v>
      </c>
      <c r="B1858" s="9"/>
      <c r="C1858" s="25"/>
      <c r="D1858" s="22" t="s">
        <v>4593</v>
      </c>
    </row>
    <row r="1859">
      <c r="A1859" s="17" t="s">
        <v>4594</v>
      </c>
      <c r="B1859" s="9"/>
      <c r="C1859" s="25"/>
      <c r="D1859" s="22" t="s">
        <v>4593</v>
      </c>
    </row>
    <row r="1860">
      <c r="A1860" s="17" t="s">
        <v>4595</v>
      </c>
      <c r="B1860" s="9"/>
      <c r="C1860" s="25"/>
      <c r="D1860" s="22" t="s">
        <v>4593</v>
      </c>
    </row>
    <row r="1861">
      <c r="A1861" s="17" t="s">
        <v>4596</v>
      </c>
      <c r="B1861" s="9"/>
      <c r="C1861" s="25"/>
      <c r="D1861" s="22" t="s">
        <v>4597</v>
      </c>
    </row>
    <row r="1862">
      <c r="A1862" s="17" t="s">
        <v>4598</v>
      </c>
      <c r="B1862" s="9"/>
      <c r="C1862" s="25"/>
      <c r="D1862" s="22" t="s">
        <v>4597</v>
      </c>
    </row>
    <row r="1863">
      <c r="A1863" s="17" t="s">
        <v>4602</v>
      </c>
      <c r="B1863" s="9"/>
      <c r="C1863" s="25"/>
      <c r="D1863" s="22" t="s">
        <v>4597</v>
      </c>
    </row>
    <row r="1864">
      <c r="A1864" s="17" t="s">
        <v>4603</v>
      </c>
      <c r="B1864" s="9"/>
      <c r="C1864" s="25"/>
      <c r="D1864" s="22" t="s">
        <v>4604</v>
      </c>
    </row>
    <row r="1865">
      <c r="A1865" s="17" t="s">
        <v>4605</v>
      </c>
      <c r="B1865" s="9"/>
      <c r="C1865" s="25"/>
      <c r="D1865" s="22" t="s">
        <v>4604</v>
      </c>
    </row>
    <row r="1866">
      <c r="A1866" s="17" t="s">
        <v>4606</v>
      </c>
      <c r="B1866" s="9"/>
      <c r="C1866" s="25"/>
      <c r="D1866" s="22" t="s">
        <v>4604</v>
      </c>
    </row>
    <row r="1867">
      <c r="A1867" s="17" t="s">
        <v>4607</v>
      </c>
      <c r="B1867" s="9"/>
      <c r="C1867" s="25"/>
      <c r="D1867" s="22" t="s">
        <v>4608</v>
      </c>
    </row>
    <row r="1868">
      <c r="A1868" s="17" t="s">
        <v>4609</v>
      </c>
      <c r="B1868" s="9"/>
      <c r="C1868" s="25"/>
      <c r="D1868" s="22" t="s">
        <v>4608</v>
      </c>
    </row>
    <row r="1869">
      <c r="A1869" s="17" t="s">
        <v>4612</v>
      </c>
      <c r="B1869" s="9"/>
      <c r="C1869" s="25"/>
      <c r="D1869" s="22" t="s">
        <v>4608</v>
      </c>
    </row>
    <row r="1870">
      <c r="A1870" s="17" t="s">
        <v>4614</v>
      </c>
      <c r="B1870" s="9"/>
      <c r="C1870" s="25"/>
      <c r="D1870" s="22" t="s">
        <v>4615</v>
      </c>
    </row>
    <row r="1871">
      <c r="A1871" s="17" t="s">
        <v>4616</v>
      </c>
      <c r="B1871" s="9"/>
      <c r="C1871" s="25"/>
      <c r="D1871" s="22" t="s">
        <v>4615</v>
      </c>
    </row>
    <row r="1872">
      <c r="A1872" s="17" t="s">
        <v>4617</v>
      </c>
      <c r="B1872" s="9"/>
      <c r="C1872" s="25"/>
      <c r="D1872" s="22" t="s">
        <v>4615</v>
      </c>
    </row>
    <row r="1873">
      <c r="A1873" s="17" t="s">
        <v>4618</v>
      </c>
      <c r="B1873" s="9"/>
      <c r="C1873" s="25"/>
      <c r="D1873" s="22" t="s">
        <v>4619</v>
      </c>
    </row>
    <row r="1874">
      <c r="A1874" s="17" t="s">
        <v>4620</v>
      </c>
      <c r="B1874" s="9"/>
      <c r="C1874" s="25"/>
      <c r="D1874" s="22" t="s">
        <v>4619</v>
      </c>
    </row>
    <row r="1875">
      <c r="A1875" s="17" t="s">
        <v>4621</v>
      </c>
      <c r="B1875" s="9"/>
      <c r="C1875" s="25"/>
      <c r="D1875" s="22" t="s">
        <v>4619</v>
      </c>
    </row>
    <row r="1876">
      <c r="A1876" s="17" t="s">
        <v>4625</v>
      </c>
      <c r="B1876" s="9"/>
      <c r="C1876" s="25"/>
      <c r="D1876" s="22" t="s">
        <v>4626</v>
      </c>
    </row>
    <row r="1877">
      <c r="A1877" s="17" t="s">
        <v>4627</v>
      </c>
      <c r="B1877" s="9"/>
      <c r="C1877" s="25"/>
      <c r="D1877" s="22" t="s">
        <v>4626</v>
      </c>
    </row>
    <row r="1878">
      <c r="A1878" s="17" t="s">
        <v>4628</v>
      </c>
      <c r="B1878" s="9"/>
      <c r="C1878" s="25"/>
      <c r="D1878" s="22" t="s">
        <v>4626</v>
      </c>
    </row>
    <row r="1879">
      <c r="A1879" s="17" t="s">
        <v>4629</v>
      </c>
      <c r="B1879" s="9"/>
      <c r="C1879" s="25"/>
      <c r="D1879" s="22" t="s">
        <v>4630</v>
      </c>
    </row>
    <row r="1880">
      <c r="A1880" s="17" t="s">
        <v>4631</v>
      </c>
      <c r="B1880" s="9"/>
      <c r="C1880" s="25"/>
      <c r="D1880" s="22" t="s">
        <v>4630</v>
      </c>
    </row>
    <row r="1881">
      <c r="A1881" s="17" t="s">
        <v>4633</v>
      </c>
      <c r="B1881" s="9"/>
      <c r="C1881" s="25"/>
      <c r="D1881" s="22" t="s">
        <v>4630</v>
      </c>
    </row>
    <row r="1882">
      <c r="A1882" s="17" t="s">
        <v>4636</v>
      </c>
      <c r="B1882" s="9"/>
      <c r="C1882" s="25"/>
      <c r="D1882" s="22" t="s">
        <v>4637</v>
      </c>
    </row>
    <row r="1883">
      <c r="A1883" s="17" t="s">
        <v>4638</v>
      </c>
      <c r="B1883" s="9"/>
      <c r="C1883" s="25"/>
      <c r="D1883" s="22" t="s">
        <v>4637</v>
      </c>
    </row>
    <row r="1884">
      <c r="A1884" s="17" t="s">
        <v>4639</v>
      </c>
      <c r="B1884" s="9"/>
      <c r="C1884" s="25"/>
      <c r="D1884" s="22" t="s">
        <v>4637</v>
      </c>
    </row>
    <row r="1885">
      <c r="A1885" s="17" t="s">
        <v>4640</v>
      </c>
      <c r="B1885" s="9"/>
      <c r="C1885" s="25"/>
      <c r="D1885" s="22" t="s">
        <v>4641</v>
      </c>
    </row>
    <row r="1886">
      <c r="A1886" s="17" t="s">
        <v>4642</v>
      </c>
      <c r="B1886" s="9"/>
      <c r="C1886" s="25"/>
      <c r="D1886" s="22" t="s">
        <v>4641</v>
      </c>
    </row>
    <row r="1887">
      <c r="A1887" s="17" t="s">
        <v>4645</v>
      </c>
      <c r="B1887" s="9"/>
      <c r="C1887" s="25"/>
      <c r="D1887" s="22" t="s">
        <v>4641</v>
      </c>
    </row>
    <row r="1888">
      <c r="A1888" s="17" t="s">
        <v>4648</v>
      </c>
      <c r="B1888" s="9"/>
      <c r="C1888" s="25"/>
      <c r="D1888" s="22" t="s">
        <v>4649</v>
      </c>
    </row>
    <row r="1889">
      <c r="A1889" s="17" t="s">
        <v>4650</v>
      </c>
      <c r="B1889" s="9"/>
      <c r="C1889" s="25"/>
      <c r="D1889" s="22" t="s">
        <v>4649</v>
      </c>
    </row>
    <row r="1890">
      <c r="A1890" s="17" t="s">
        <v>4651</v>
      </c>
      <c r="B1890" s="9"/>
      <c r="C1890" s="25"/>
      <c r="D1890" s="22" t="s">
        <v>4649</v>
      </c>
    </row>
    <row r="1891">
      <c r="A1891" s="17" t="s">
        <v>4652</v>
      </c>
      <c r="B1891" s="9"/>
      <c r="C1891" s="25"/>
      <c r="D1891" s="22" t="s">
        <v>4653</v>
      </c>
    </row>
    <row r="1892">
      <c r="A1892" s="17" t="s">
        <v>4654</v>
      </c>
      <c r="B1892" s="9"/>
      <c r="C1892" s="25"/>
      <c r="D1892" s="22" t="s">
        <v>4653</v>
      </c>
    </row>
    <row r="1893">
      <c r="A1893" s="17" t="s">
        <v>4655</v>
      </c>
      <c r="B1893" s="9"/>
      <c r="C1893" s="25"/>
      <c r="D1893" s="22" t="s">
        <v>4653</v>
      </c>
    </row>
    <row r="1894">
      <c r="A1894" s="17" t="s">
        <v>4660</v>
      </c>
      <c r="B1894" s="9"/>
      <c r="C1894" s="25"/>
      <c r="D1894" s="22" t="s">
        <v>4661</v>
      </c>
    </row>
    <row r="1895">
      <c r="A1895" s="17" t="s">
        <v>4662</v>
      </c>
      <c r="B1895" s="9"/>
      <c r="C1895" s="25"/>
      <c r="D1895" s="22" t="s">
        <v>4661</v>
      </c>
    </row>
    <row r="1896">
      <c r="A1896" s="17" t="s">
        <v>4663</v>
      </c>
      <c r="B1896" s="9"/>
      <c r="C1896" s="25"/>
      <c r="D1896" s="22" t="s">
        <v>4661</v>
      </c>
    </row>
    <row r="1897">
      <c r="A1897" s="17" t="s">
        <v>4664</v>
      </c>
      <c r="B1897" s="9"/>
      <c r="C1897" s="25"/>
      <c r="D1897" s="22" t="s">
        <v>4665</v>
      </c>
    </row>
    <row r="1898">
      <c r="A1898" s="17" t="s">
        <v>4666</v>
      </c>
      <c r="B1898" s="9"/>
      <c r="C1898" s="25"/>
      <c r="D1898" s="22" t="s">
        <v>4665</v>
      </c>
    </row>
    <row r="1899">
      <c r="A1899" s="17" t="s">
        <v>4667</v>
      </c>
      <c r="B1899" s="9"/>
      <c r="C1899" s="25"/>
      <c r="D1899" s="22" t="s">
        <v>4665</v>
      </c>
    </row>
    <row r="1900">
      <c r="A1900" s="17" t="s">
        <v>4671</v>
      </c>
      <c r="B1900" s="9"/>
      <c r="C1900" s="25"/>
      <c r="D1900" s="22" t="s">
        <v>4672</v>
      </c>
    </row>
    <row r="1901">
      <c r="A1901" s="17" t="s">
        <v>4673</v>
      </c>
      <c r="B1901" s="9"/>
      <c r="C1901" s="25"/>
      <c r="D1901" s="22" t="s">
        <v>4672</v>
      </c>
    </row>
    <row r="1902">
      <c r="A1902" s="17" t="s">
        <v>4674</v>
      </c>
      <c r="B1902" s="9"/>
      <c r="C1902" s="25"/>
      <c r="D1902" s="22" t="s">
        <v>4672</v>
      </c>
    </row>
    <row r="1903">
      <c r="A1903" s="17" t="s">
        <v>4675</v>
      </c>
      <c r="B1903" s="9"/>
      <c r="C1903" s="25"/>
      <c r="D1903" s="22" t="s">
        <v>4676</v>
      </c>
    </row>
    <row r="1904">
      <c r="A1904" s="17" t="s">
        <v>4677</v>
      </c>
      <c r="B1904" s="9"/>
      <c r="C1904" s="25"/>
      <c r="D1904" s="22" t="s">
        <v>4676</v>
      </c>
    </row>
    <row r="1905">
      <c r="A1905" s="17" t="s">
        <v>4678</v>
      </c>
      <c r="B1905" s="9"/>
      <c r="C1905" s="25"/>
      <c r="D1905" s="22" t="s">
        <v>4676</v>
      </c>
    </row>
    <row r="1906">
      <c r="A1906" s="17" t="s">
        <v>4680</v>
      </c>
      <c r="B1906" s="9"/>
      <c r="C1906" s="25"/>
      <c r="D1906" s="22" t="s">
        <v>4681</v>
      </c>
    </row>
    <row r="1907">
      <c r="A1907" s="17" t="s">
        <v>4682</v>
      </c>
      <c r="B1907" s="9"/>
      <c r="C1907" s="25"/>
      <c r="D1907" s="22" t="s">
        <v>4681</v>
      </c>
    </row>
    <row r="1908">
      <c r="A1908" s="17" t="s">
        <v>4684</v>
      </c>
      <c r="B1908" s="9"/>
      <c r="C1908" s="25"/>
      <c r="D1908" s="22" t="s">
        <v>4681</v>
      </c>
    </row>
    <row r="1909">
      <c r="A1909" s="17" t="s">
        <v>4686</v>
      </c>
      <c r="B1909" s="9"/>
      <c r="C1909" s="25"/>
      <c r="D1909" s="22" t="s">
        <v>4687</v>
      </c>
    </row>
    <row r="1910">
      <c r="A1910" s="17" t="s">
        <v>4688</v>
      </c>
      <c r="B1910" s="9"/>
      <c r="C1910" s="25"/>
      <c r="D1910" s="22" t="s">
        <v>4687</v>
      </c>
    </row>
    <row r="1911">
      <c r="A1911" s="17" t="s">
        <v>4689</v>
      </c>
      <c r="B1911" s="9"/>
      <c r="C1911" s="25"/>
      <c r="D1911" s="22" t="s">
        <v>4687</v>
      </c>
    </row>
    <row r="1912">
      <c r="A1912" s="17" t="s">
        <v>4690</v>
      </c>
      <c r="B1912" s="9"/>
      <c r="C1912" s="25"/>
      <c r="D1912" s="22" t="s">
        <v>4692</v>
      </c>
    </row>
    <row r="1913">
      <c r="A1913" s="17" t="s">
        <v>4693</v>
      </c>
      <c r="B1913" s="9"/>
      <c r="C1913" s="25"/>
      <c r="D1913" s="22" t="s">
        <v>4692</v>
      </c>
    </row>
    <row r="1914">
      <c r="A1914" s="17" t="s">
        <v>4695</v>
      </c>
      <c r="B1914" s="9"/>
      <c r="C1914" s="25"/>
      <c r="D1914" s="22" t="s">
        <v>4692</v>
      </c>
    </row>
    <row r="1915">
      <c r="A1915" s="17" t="s">
        <v>4698</v>
      </c>
      <c r="B1915" s="9"/>
      <c r="C1915" s="25"/>
      <c r="D1915" s="22" t="s">
        <v>4699</v>
      </c>
    </row>
    <row r="1916">
      <c r="A1916" s="17" t="s">
        <v>4700</v>
      </c>
      <c r="B1916" s="9"/>
      <c r="C1916" s="25"/>
      <c r="D1916" s="22" t="s">
        <v>4699</v>
      </c>
    </row>
    <row r="1917">
      <c r="A1917" s="17" t="s">
        <v>4701</v>
      </c>
      <c r="B1917" s="9"/>
      <c r="C1917" s="25"/>
      <c r="D1917" s="22" t="s">
        <v>4699</v>
      </c>
    </row>
    <row r="1918">
      <c r="A1918" s="17" t="s">
        <v>4703</v>
      </c>
      <c r="B1918" s="9"/>
      <c r="C1918" s="25"/>
      <c r="D1918" s="22" t="s">
        <v>4704</v>
      </c>
    </row>
    <row r="1919">
      <c r="A1919" s="17" t="s">
        <v>4705</v>
      </c>
      <c r="B1919" s="9"/>
      <c r="C1919" s="25"/>
      <c r="D1919" s="22" t="s">
        <v>4704</v>
      </c>
    </row>
    <row r="1920">
      <c r="A1920" s="17" t="s">
        <v>4708</v>
      </c>
      <c r="B1920" s="9"/>
      <c r="C1920" s="25"/>
      <c r="D1920" s="22" t="s">
        <v>4704</v>
      </c>
    </row>
    <row r="1921">
      <c r="A1921" s="17" t="s">
        <v>4710</v>
      </c>
      <c r="B1921" s="9"/>
      <c r="C1921" s="25"/>
      <c r="D1921" s="22" t="s">
        <v>4711</v>
      </c>
    </row>
    <row r="1922">
      <c r="A1922" s="17" t="s">
        <v>4712</v>
      </c>
      <c r="B1922" s="9"/>
      <c r="C1922" s="25"/>
      <c r="D1922" s="22" t="s">
        <v>4711</v>
      </c>
    </row>
    <row r="1923">
      <c r="A1923" s="17" t="s">
        <v>4713</v>
      </c>
      <c r="B1923" s="9"/>
      <c r="C1923" s="25"/>
      <c r="D1923" s="22" t="s">
        <v>4711</v>
      </c>
    </row>
    <row r="1924">
      <c r="A1924" s="17" t="s">
        <v>4715</v>
      </c>
      <c r="B1924" s="9"/>
      <c r="C1924" s="25"/>
      <c r="D1924" s="22" t="s">
        <v>4716</v>
      </c>
    </row>
    <row r="1925">
      <c r="A1925" s="17" t="s">
        <v>4717</v>
      </c>
      <c r="B1925" s="9"/>
      <c r="C1925" s="25"/>
      <c r="D1925" s="22" t="s">
        <v>4716</v>
      </c>
    </row>
    <row r="1926">
      <c r="A1926" s="17" t="s">
        <v>4721</v>
      </c>
      <c r="B1926" s="9"/>
      <c r="C1926" s="25"/>
      <c r="D1926" s="22" t="s">
        <v>4716</v>
      </c>
    </row>
    <row r="1927">
      <c r="A1927" s="17" t="s">
        <v>4722</v>
      </c>
      <c r="B1927" s="9"/>
      <c r="C1927" s="25"/>
      <c r="D1927" s="22" t="s">
        <v>4723</v>
      </c>
    </row>
    <row r="1928">
      <c r="A1928" s="17" t="s">
        <v>4724</v>
      </c>
      <c r="B1928" s="9"/>
      <c r="C1928" s="25"/>
      <c r="D1928" s="22" t="s">
        <v>4723</v>
      </c>
    </row>
    <row r="1929">
      <c r="A1929" s="17" t="s">
        <v>4726</v>
      </c>
      <c r="B1929" s="9"/>
      <c r="C1929" s="25"/>
      <c r="D1929" s="22" t="s">
        <v>4723</v>
      </c>
    </row>
    <row r="1930">
      <c r="A1930" s="17" t="s">
        <v>4727</v>
      </c>
      <c r="B1930" s="9"/>
      <c r="C1930" s="25"/>
      <c r="D1930" s="22" t="s">
        <v>4728</v>
      </c>
    </row>
    <row r="1931">
      <c r="A1931" s="17" t="s">
        <v>4729</v>
      </c>
      <c r="B1931" s="9"/>
      <c r="C1931" s="25"/>
      <c r="D1931" s="22" t="s">
        <v>4728</v>
      </c>
    </row>
    <row r="1932">
      <c r="A1932" s="17" t="s">
        <v>4730</v>
      </c>
      <c r="B1932" s="9"/>
      <c r="C1932" s="25"/>
      <c r="D1932" s="22" t="s">
        <v>4728</v>
      </c>
    </row>
    <row r="1933">
      <c r="A1933" s="17" t="s">
        <v>4734</v>
      </c>
      <c r="B1933" s="9"/>
      <c r="C1933" s="25"/>
      <c r="D1933" s="22" t="s">
        <v>4735</v>
      </c>
    </row>
    <row r="1934">
      <c r="A1934" s="17" t="s">
        <v>4737</v>
      </c>
      <c r="B1934" s="9"/>
      <c r="C1934" s="25"/>
      <c r="D1934" s="22" t="s">
        <v>4735</v>
      </c>
    </row>
    <row r="1935">
      <c r="A1935" s="17" t="s">
        <v>4738</v>
      </c>
      <c r="B1935" s="9"/>
      <c r="C1935" s="25"/>
      <c r="D1935" s="22" t="s">
        <v>4735</v>
      </c>
    </row>
    <row r="1936">
      <c r="A1936" s="17" t="s">
        <v>4739</v>
      </c>
      <c r="B1936" s="9"/>
      <c r="C1936" s="25"/>
      <c r="D1936" s="22" t="s">
        <v>4740</v>
      </c>
    </row>
    <row r="1937">
      <c r="A1937" s="17" t="s">
        <v>4741</v>
      </c>
      <c r="B1937" s="9"/>
      <c r="C1937" s="25"/>
      <c r="D1937" s="22" t="s">
        <v>4740</v>
      </c>
    </row>
    <row r="1938">
      <c r="A1938" s="17" t="s">
        <v>4742</v>
      </c>
      <c r="B1938" s="9"/>
      <c r="C1938" s="25"/>
      <c r="D1938" s="22" t="s">
        <v>4740</v>
      </c>
    </row>
    <row r="1939">
      <c r="A1939" s="17" t="s">
        <v>4743</v>
      </c>
      <c r="B1939" s="9"/>
      <c r="C1939" s="25"/>
      <c r="D1939" s="22" t="s">
        <v>4746</v>
      </c>
    </row>
    <row r="1940">
      <c r="A1940" s="17" t="s">
        <v>4748</v>
      </c>
      <c r="B1940" s="9"/>
      <c r="C1940" s="25"/>
      <c r="D1940" s="22" t="s">
        <v>4746</v>
      </c>
    </row>
    <row r="1941">
      <c r="A1941" s="17" t="s">
        <v>4750</v>
      </c>
      <c r="B1941" s="9"/>
      <c r="C1941" s="25"/>
      <c r="D1941" s="22" t="s">
        <v>4746</v>
      </c>
    </row>
    <row r="1942">
      <c r="A1942" s="17" t="s">
        <v>4751</v>
      </c>
      <c r="B1942" s="9"/>
      <c r="C1942" s="25"/>
      <c r="D1942" s="22" t="s">
        <v>4752</v>
      </c>
    </row>
    <row r="1943">
      <c r="A1943" s="17" t="s">
        <v>4753</v>
      </c>
      <c r="B1943" s="9"/>
      <c r="C1943" s="25"/>
      <c r="D1943" s="22" t="s">
        <v>4752</v>
      </c>
    </row>
    <row r="1944">
      <c r="A1944" s="17" t="s">
        <v>4754</v>
      </c>
      <c r="B1944" s="9"/>
      <c r="C1944" s="25"/>
      <c r="D1944" s="22" t="s">
        <v>4752</v>
      </c>
    </row>
    <row r="1945">
      <c r="A1945" s="17" t="s">
        <v>4756</v>
      </c>
      <c r="B1945" s="9"/>
      <c r="C1945" s="25"/>
      <c r="D1945" s="22" t="s">
        <v>4758</v>
      </c>
    </row>
    <row r="1946">
      <c r="A1946" s="17" t="s">
        <v>4759</v>
      </c>
      <c r="B1946" s="9"/>
      <c r="C1946" s="25"/>
      <c r="D1946" s="22" t="s">
        <v>4758</v>
      </c>
    </row>
    <row r="1947">
      <c r="A1947" s="17" t="s">
        <v>4760</v>
      </c>
      <c r="B1947" s="9"/>
      <c r="C1947" s="25"/>
      <c r="D1947" s="22" t="s">
        <v>4758</v>
      </c>
    </row>
    <row r="1948">
      <c r="A1948" s="17" t="s">
        <v>4761</v>
      </c>
      <c r="B1948" s="9"/>
      <c r="C1948" s="25"/>
      <c r="D1948" s="22" t="s">
        <v>4762</v>
      </c>
    </row>
    <row r="1949">
      <c r="A1949" s="17" t="s">
        <v>4763</v>
      </c>
      <c r="B1949" s="9"/>
      <c r="C1949" s="25"/>
      <c r="D1949" s="22" t="s">
        <v>4762</v>
      </c>
    </row>
    <row r="1950">
      <c r="A1950" s="17" t="s">
        <v>4766</v>
      </c>
      <c r="B1950" s="9"/>
      <c r="C1950" s="25"/>
      <c r="D1950" s="22" t="s">
        <v>4762</v>
      </c>
    </row>
    <row r="1951">
      <c r="A1951" s="17" t="s">
        <v>4768</v>
      </c>
      <c r="B1951" s="9"/>
      <c r="C1951" s="25"/>
      <c r="D1951" s="22" t="s">
        <v>4769</v>
      </c>
    </row>
    <row r="1952">
      <c r="A1952" s="17" t="s">
        <v>4770</v>
      </c>
      <c r="B1952" s="9"/>
      <c r="C1952" s="25"/>
      <c r="D1952" s="22" t="s">
        <v>4769</v>
      </c>
    </row>
    <row r="1953">
      <c r="A1953" s="17" t="s">
        <v>4771</v>
      </c>
      <c r="B1953" s="9"/>
      <c r="C1953" s="25"/>
      <c r="D1953" s="22" t="s">
        <v>4769</v>
      </c>
    </row>
    <row r="1954">
      <c r="A1954" s="17" t="s">
        <v>4772</v>
      </c>
      <c r="B1954" s="9"/>
      <c r="C1954" s="25"/>
      <c r="D1954" s="22" t="s">
        <v>4773</v>
      </c>
    </row>
    <row r="1955">
      <c r="A1955" s="17" t="s">
        <v>4774</v>
      </c>
      <c r="B1955" s="9"/>
      <c r="C1955" s="25"/>
      <c r="D1955" s="22" t="s">
        <v>4773</v>
      </c>
    </row>
    <row r="1956">
      <c r="A1956" s="17" t="s">
        <v>4777</v>
      </c>
      <c r="B1956" s="9"/>
      <c r="C1956" s="25"/>
      <c r="D1956" s="22" t="s">
        <v>4773</v>
      </c>
    </row>
    <row r="1957">
      <c r="A1957" s="17" t="s">
        <v>4779</v>
      </c>
      <c r="B1957" s="9"/>
      <c r="C1957" s="25"/>
      <c r="D1957" s="22" t="s">
        <v>4780</v>
      </c>
    </row>
    <row r="1958">
      <c r="A1958" s="17" t="s">
        <v>4781</v>
      </c>
      <c r="B1958" s="9"/>
      <c r="C1958" s="25"/>
      <c r="D1958" s="22" t="s">
        <v>4780</v>
      </c>
    </row>
    <row r="1959">
      <c r="A1959" s="17" t="s">
        <v>4782</v>
      </c>
      <c r="B1959" s="9"/>
      <c r="C1959" s="25"/>
      <c r="D1959" s="22" t="s">
        <v>4780</v>
      </c>
    </row>
    <row r="1960">
      <c r="A1960" s="17" t="s">
        <v>4783</v>
      </c>
      <c r="B1960" s="9"/>
      <c r="C1960" s="25"/>
      <c r="D1960" s="22" t="s">
        <v>4784</v>
      </c>
    </row>
    <row r="1961">
      <c r="A1961" s="17" t="s">
        <v>4786</v>
      </c>
      <c r="B1961" s="9"/>
      <c r="C1961" s="25"/>
      <c r="D1961" s="22" t="s">
        <v>4784</v>
      </c>
    </row>
    <row r="1962">
      <c r="A1962" s="17" t="s">
        <v>4789</v>
      </c>
      <c r="B1962" s="9"/>
      <c r="C1962" s="25"/>
      <c r="D1962" s="22" t="s">
        <v>4784</v>
      </c>
    </row>
    <row r="1963">
      <c r="A1963" s="17" t="s">
        <v>4790</v>
      </c>
      <c r="B1963" s="9"/>
      <c r="C1963" s="25"/>
      <c r="D1963" s="22" t="s">
        <v>4791</v>
      </c>
    </row>
    <row r="1964">
      <c r="A1964" s="17" t="s">
        <v>4792</v>
      </c>
      <c r="B1964" s="9"/>
      <c r="C1964" s="25"/>
      <c r="D1964" s="22" t="s">
        <v>4791</v>
      </c>
    </row>
    <row r="1965">
      <c r="A1965" s="17" t="s">
        <v>4793</v>
      </c>
      <c r="B1965" s="9"/>
      <c r="C1965" s="25"/>
      <c r="D1965" s="22" t="s">
        <v>4791</v>
      </c>
    </row>
    <row r="1966">
      <c r="A1966" s="17" t="s">
        <v>4795</v>
      </c>
      <c r="B1966" s="9"/>
      <c r="C1966" s="25"/>
      <c r="D1966" s="22" t="s">
        <v>4796</v>
      </c>
    </row>
    <row r="1967">
      <c r="A1967" s="17" t="s">
        <v>4798</v>
      </c>
      <c r="B1967" s="9"/>
      <c r="C1967" s="25"/>
      <c r="D1967" s="22" t="s">
        <v>4796</v>
      </c>
    </row>
    <row r="1968">
      <c r="A1968" s="17" t="s">
        <v>4800</v>
      </c>
      <c r="B1968" s="9"/>
      <c r="C1968" s="25"/>
      <c r="D1968" s="22" t="s">
        <v>4796</v>
      </c>
    </row>
    <row r="1969">
      <c r="A1969" s="17" t="s">
        <v>4801</v>
      </c>
      <c r="B1969" s="9"/>
      <c r="C1969" s="25"/>
      <c r="D1969" s="22" t="s">
        <v>4802</v>
      </c>
    </row>
    <row r="1970">
      <c r="A1970" s="17" t="s">
        <v>4803</v>
      </c>
      <c r="B1970" s="9"/>
      <c r="C1970" s="25"/>
      <c r="D1970" s="22" t="s">
        <v>4802</v>
      </c>
    </row>
    <row r="1971">
      <c r="A1971" s="17" t="s">
        <v>4804</v>
      </c>
      <c r="B1971" s="9"/>
      <c r="C1971" s="25"/>
      <c r="D1971" s="22" t="s">
        <v>4802</v>
      </c>
    </row>
    <row r="1972">
      <c r="A1972" s="17" t="s">
        <v>4806</v>
      </c>
      <c r="B1972" s="9"/>
      <c r="C1972" s="25"/>
      <c r="D1972" s="22" t="s">
        <v>4807</v>
      </c>
    </row>
    <row r="1973">
      <c r="A1973" s="17" t="s">
        <v>4809</v>
      </c>
      <c r="B1973" s="9"/>
      <c r="C1973" s="25"/>
      <c r="D1973" s="22" t="s">
        <v>4807</v>
      </c>
    </row>
    <row r="1974">
      <c r="A1974" s="17" t="s">
        <v>4810</v>
      </c>
      <c r="B1974" s="9"/>
      <c r="C1974" s="25"/>
      <c r="D1974" s="22" t="s">
        <v>4807</v>
      </c>
    </row>
    <row r="1975">
      <c r="A1975" s="17" t="s">
        <v>4811</v>
      </c>
      <c r="B1975" s="9"/>
      <c r="C1975" s="25"/>
      <c r="D1975" s="22" t="s">
        <v>4812</v>
      </c>
    </row>
    <row r="1976">
      <c r="A1976" s="17" t="s">
        <v>4813</v>
      </c>
      <c r="B1976" s="9"/>
      <c r="C1976" s="25"/>
      <c r="D1976" s="22" t="s">
        <v>4812</v>
      </c>
    </row>
    <row r="1977">
      <c r="A1977" s="17" t="s">
        <v>4814</v>
      </c>
      <c r="B1977" s="9"/>
      <c r="C1977" s="25"/>
      <c r="D1977" s="22" t="s">
        <v>4812</v>
      </c>
    </row>
    <row r="1978">
      <c r="A1978" s="17" t="s">
        <v>4816</v>
      </c>
      <c r="B1978" s="9"/>
      <c r="C1978" s="25"/>
      <c r="D1978" s="22" t="s">
        <v>4818</v>
      </c>
    </row>
    <row r="1979">
      <c r="A1979" s="17" t="s">
        <v>4819</v>
      </c>
      <c r="B1979" s="9"/>
      <c r="C1979" s="25"/>
      <c r="D1979" s="22" t="s">
        <v>4818</v>
      </c>
    </row>
    <row r="1980">
      <c r="A1980" s="17" t="s">
        <v>4821</v>
      </c>
      <c r="B1980" s="9"/>
      <c r="C1980" s="25"/>
      <c r="D1980" s="22" t="s">
        <v>4818</v>
      </c>
    </row>
    <row r="1981">
      <c r="A1981" s="17" t="s">
        <v>4822</v>
      </c>
      <c r="B1981" s="9"/>
      <c r="C1981" s="25"/>
      <c r="D1981" s="22" t="s">
        <v>4823</v>
      </c>
    </row>
    <row r="1982">
      <c r="A1982" s="17" t="s">
        <v>4824</v>
      </c>
      <c r="B1982" s="9"/>
      <c r="C1982" s="25"/>
      <c r="D1982" s="22" t="s">
        <v>4823</v>
      </c>
    </row>
    <row r="1983">
      <c r="A1983" s="17" t="s">
        <v>4825</v>
      </c>
      <c r="B1983" s="9"/>
      <c r="C1983" s="25"/>
      <c r="D1983" s="22" t="s">
        <v>4823</v>
      </c>
    </row>
    <row r="1984">
      <c r="A1984" s="17" t="s">
        <v>4828</v>
      </c>
      <c r="B1984" s="9"/>
      <c r="C1984" s="25"/>
      <c r="D1984" s="22" t="s">
        <v>4830</v>
      </c>
    </row>
    <row r="1985">
      <c r="A1985" s="17" t="s">
        <v>4832</v>
      </c>
      <c r="B1985" s="9"/>
      <c r="C1985" s="25"/>
      <c r="D1985" s="22" t="s">
        <v>4830</v>
      </c>
    </row>
    <row r="1986">
      <c r="A1986" s="17" t="s">
        <v>4833</v>
      </c>
      <c r="B1986" s="9"/>
      <c r="C1986" s="25"/>
      <c r="D1986" s="22" t="s">
        <v>4830</v>
      </c>
    </row>
    <row r="1987">
      <c r="A1987" s="17" t="s">
        <v>4834</v>
      </c>
      <c r="B1987" s="9"/>
      <c r="C1987" s="25"/>
      <c r="D1987" s="22" t="s">
        <v>4835</v>
      </c>
    </row>
    <row r="1988">
      <c r="A1988" s="17" t="s">
        <v>4836</v>
      </c>
      <c r="B1988" s="9"/>
      <c r="C1988" s="25"/>
      <c r="D1988" s="22" t="s">
        <v>4835</v>
      </c>
    </row>
    <row r="1989">
      <c r="A1989" s="17" t="s">
        <v>4838</v>
      </c>
      <c r="B1989" s="9"/>
      <c r="C1989" s="25"/>
      <c r="D1989" s="22" t="s">
        <v>4835</v>
      </c>
    </row>
    <row r="1990">
      <c r="A1990" s="17" t="s">
        <v>4840</v>
      </c>
      <c r="B1990" s="9"/>
      <c r="C1990" s="25"/>
      <c r="D1990" s="22" t="s">
        <v>4842</v>
      </c>
    </row>
    <row r="1991">
      <c r="A1991" s="17" t="s">
        <v>4843</v>
      </c>
      <c r="B1991" s="9"/>
      <c r="C1991" s="25"/>
      <c r="D1991" s="22" t="s">
        <v>4842</v>
      </c>
    </row>
    <row r="1992">
      <c r="A1992" s="17" t="s">
        <v>4844</v>
      </c>
      <c r="B1992" s="9"/>
      <c r="C1992" s="25"/>
      <c r="D1992" s="22" t="s">
        <v>4842</v>
      </c>
    </row>
    <row r="1993">
      <c r="A1993" s="17" t="s">
        <v>4848</v>
      </c>
      <c r="B1993" s="9"/>
      <c r="C1993" s="25"/>
      <c r="D1993" s="22" t="s">
        <v>4849</v>
      </c>
    </row>
    <row r="1994">
      <c r="A1994" s="17" t="s">
        <v>4851</v>
      </c>
      <c r="B1994" s="9"/>
      <c r="C1994" s="25"/>
      <c r="D1994" s="22" t="s">
        <v>4849</v>
      </c>
    </row>
    <row r="1995">
      <c r="A1995" s="17" t="s">
        <v>4853</v>
      </c>
      <c r="B1995" s="9"/>
      <c r="C1995" s="25"/>
      <c r="D1995" s="22" t="s">
        <v>4849</v>
      </c>
    </row>
    <row r="1996">
      <c r="A1996" s="17" t="s">
        <v>4854</v>
      </c>
      <c r="B1996" s="9"/>
      <c r="C1996" s="25"/>
      <c r="D1996" s="22" t="s">
        <v>4855</v>
      </c>
    </row>
    <row r="1997">
      <c r="A1997" s="17" t="s">
        <v>4856</v>
      </c>
      <c r="B1997" s="9"/>
      <c r="C1997" s="25"/>
      <c r="D1997" s="22" t="s">
        <v>4855</v>
      </c>
    </row>
    <row r="1998">
      <c r="A1998" s="17" t="s">
        <v>4858</v>
      </c>
      <c r="B1998" s="9"/>
      <c r="C1998" s="25"/>
      <c r="D1998" s="22" t="s">
        <v>4855</v>
      </c>
    </row>
    <row r="1999">
      <c r="A1999" s="17" t="s">
        <v>4860</v>
      </c>
      <c r="B1999" s="9"/>
      <c r="C1999" s="25"/>
      <c r="D1999" s="22" t="s">
        <v>4864</v>
      </c>
    </row>
    <row r="2000">
      <c r="A2000" s="17" t="s">
        <v>4865</v>
      </c>
      <c r="B2000" s="9"/>
      <c r="C2000" s="25"/>
      <c r="D2000" s="22" t="s">
        <v>4864</v>
      </c>
    </row>
    <row r="2001">
      <c r="A2001" s="17" t="s">
        <v>4866</v>
      </c>
      <c r="B2001" s="9"/>
      <c r="C2001" s="25"/>
      <c r="D2001" s="22" t="s">
        <v>4864</v>
      </c>
    </row>
    <row r="2002">
      <c r="A2002" s="17" t="s">
        <v>4867</v>
      </c>
      <c r="B2002" s="9"/>
      <c r="C2002" s="25"/>
      <c r="D2002" s="22" t="s">
        <v>4869</v>
      </c>
    </row>
    <row r="2003">
      <c r="A2003" s="17" t="s">
        <v>4871</v>
      </c>
      <c r="B2003" s="9"/>
      <c r="C2003" s="25"/>
      <c r="D2003" s="22" t="s">
        <v>4869</v>
      </c>
    </row>
    <row r="2004">
      <c r="A2004" s="17" t="s">
        <v>4872</v>
      </c>
      <c r="B2004" s="9"/>
      <c r="C2004" s="25"/>
      <c r="D2004" s="22" t="s">
        <v>4869</v>
      </c>
    </row>
    <row r="2005">
      <c r="A2005" s="17" t="s">
        <v>4873</v>
      </c>
      <c r="B2005" s="9"/>
      <c r="C2005" s="25"/>
      <c r="D2005" s="22" t="s">
        <v>4875</v>
      </c>
    </row>
    <row r="2006">
      <c r="A2006" s="17" t="s">
        <v>4877</v>
      </c>
      <c r="B2006" s="9"/>
      <c r="C2006" s="25"/>
      <c r="D2006" s="22" t="s">
        <v>4875</v>
      </c>
    </row>
    <row r="2007">
      <c r="A2007" s="17" t="s">
        <v>4878</v>
      </c>
      <c r="B2007" s="9"/>
      <c r="C2007" s="25"/>
      <c r="D2007" s="22" t="s">
        <v>4875</v>
      </c>
    </row>
    <row r="2008">
      <c r="A2008" s="17" t="s">
        <v>4881</v>
      </c>
      <c r="B2008" s="9"/>
      <c r="C2008" s="25"/>
      <c r="D2008" s="22" t="s">
        <v>4884</v>
      </c>
    </row>
    <row r="2009">
      <c r="A2009" s="17" t="s">
        <v>4886</v>
      </c>
      <c r="B2009" s="9"/>
      <c r="C2009" s="25"/>
      <c r="D2009" s="22" t="s">
        <v>4884</v>
      </c>
    </row>
    <row r="2010">
      <c r="A2010" s="17" t="s">
        <v>4887</v>
      </c>
      <c r="B2010" s="9"/>
      <c r="C2010" s="25"/>
      <c r="D2010" s="22" t="s">
        <v>4884</v>
      </c>
    </row>
    <row r="2011">
      <c r="A2011" s="17" t="s">
        <v>4888</v>
      </c>
      <c r="B2011" s="9"/>
      <c r="C2011" s="25"/>
      <c r="D2011" s="22" t="s">
        <v>4889</v>
      </c>
    </row>
    <row r="2012">
      <c r="A2012" s="17" t="s">
        <v>4890</v>
      </c>
      <c r="B2012" s="9"/>
      <c r="C2012" s="25"/>
      <c r="D2012" s="22" t="s">
        <v>4889</v>
      </c>
    </row>
    <row r="2013">
      <c r="A2013" s="17" t="s">
        <v>4892</v>
      </c>
      <c r="B2013" s="9"/>
      <c r="C2013" s="25"/>
      <c r="D2013" s="22" t="s">
        <v>4889</v>
      </c>
    </row>
    <row r="2014">
      <c r="A2014" s="17" t="s">
        <v>4895</v>
      </c>
      <c r="B2014" s="9"/>
      <c r="C2014" s="25"/>
      <c r="D2014" s="22" t="s">
        <v>4897</v>
      </c>
    </row>
    <row r="2015">
      <c r="A2015" s="17" t="s">
        <v>4898</v>
      </c>
      <c r="B2015" s="9"/>
      <c r="C2015" s="25"/>
      <c r="D2015" s="22" t="s">
        <v>4897</v>
      </c>
    </row>
    <row r="2016">
      <c r="A2016" s="17" t="s">
        <v>4899</v>
      </c>
      <c r="B2016" s="9"/>
      <c r="C2016" s="25"/>
      <c r="D2016" s="22" t="s">
        <v>4897</v>
      </c>
    </row>
    <row r="2017">
      <c r="A2017" s="17" t="s">
        <v>4900</v>
      </c>
      <c r="B2017" s="9"/>
      <c r="C2017" s="25"/>
      <c r="D2017" s="22" t="s">
        <v>4901</v>
      </c>
    </row>
    <row r="2018">
      <c r="A2018" s="17" t="s">
        <v>4902</v>
      </c>
      <c r="B2018" s="9"/>
      <c r="C2018" s="25"/>
      <c r="D2018" s="22" t="s">
        <v>4901</v>
      </c>
    </row>
    <row r="2019">
      <c r="A2019" s="17" t="s">
        <v>4906</v>
      </c>
      <c r="B2019" s="9"/>
      <c r="C2019" s="25"/>
      <c r="D2019" s="22" t="s">
        <v>4901</v>
      </c>
    </row>
    <row r="2020">
      <c r="A2020" s="17" t="s">
        <v>4907</v>
      </c>
      <c r="B2020" s="9"/>
      <c r="C2020" s="25"/>
      <c r="D2020" s="22" t="s">
        <v>4908</v>
      </c>
    </row>
    <row r="2021">
      <c r="A2021" s="17" t="s">
        <v>4909</v>
      </c>
      <c r="B2021" s="9"/>
      <c r="C2021" s="25"/>
      <c r="D2021" s="22" t="s">
        <v>4908</v>
      </c>
    </row>
    <row r="2022">
      <c r="A2022" s="17" t="s">
        <v>4910</v>
      </c>
      <c r="B2022" s="9"/>
      <c r="C2022" s="25"/>
      <c r="D2022" s="22" t="s">
        <v>4908</v>
      </c>
    </row>
    <row r="2023">
      <c r="A2023" s="17" t="s">
        <v>4911</v>
      </c>
      <c r="B2023" s="9"/>
      <c r="C2023" s="25"/>
      <c r="D2023" s="22" t="s">
        <v>4912</v>
      </c>
    </row>
    <row r="2024">
      <c r="A2024" s="17" t="s">
        <v>4914</v>
      </c>
      <c r="B2024" s="9"/>
      <c r="C2024" s="25"/>
      <c r="D2024" s="22" t="s">
        <v>4912</v>
      </c>
    </row>
    <row r="2025">
      <c r="A2025" s="17" t="s">
        <v>4918</v>
      </c>
      <c r="B2025" s="9"/>
      <c r="C2025" s="25"/>
      <c r="D2025" s="22" t="s">
        <v>4912</v>
      </c>
    </row>
    <row r="2026">
      <c r="A2026" s="17" t="s">
        <v>4919</v>
      </c>
      <c r="B2026" s="9"/>
      <c r="C2026" s="25"/>
      <c r="D2026" s="22" t="s">
        <v>4920</v>
      </c>
    </row>
    <row r="2027">
      <c r="A2027" s="17" t="s">
        <v>4921</v>
      </c>
      <c r="B2027" s="9"/>
      <c r="C2027" s="25"/>
      <c r="D2027" s="22" t="s">
        <v>4920</v>
      </c>
    </row>
    <row r="2028">
      <c r="A2028" s="17" t="s">
        <v>4922</v>
      </c>
      <c r="B2028" s="9"/>
      <c r="C2028" s="25"/>
      <c r="D2028" s="22" t="s">
        <v>4920</v>
      </c>
    </row>
    <row r="2029">
      <c r="A2029" s="17" t="s">
        <v>4925</v>
      </c>
      <c r="B2029" s="9"/>
      <c r="C2029" s="25"/>
      <c r="D2029" s="22" t="s">
        <v>4928</v>
      </c>
    </row>
    <row r="2030">
      <c r="A2030" s="17" t="s">
        <v>4929</v>
      </c>
      <c r="B2030" s="9"/>
      <c r="C2030" s="25"/>
      <c r="D2030" s="22" t="s">
        <v>4928</v>
      </c>
    </row>
    <row r="2031">
      <c r="A2031" s="17" t="s">
        <v>4930</v>
      </c>
      <c r="B2031" s="9"/>
      <c r="C2031" s="25"/>
      <c r="D2031" s="22" t="s">
        <v>4928</v>
      </c>
    </row>
    <row r="2032">
      <c r="A2032" s="17" t="s">
        <v>4931</v>
      </c>
      <c r="B2032" s="9"/>
      <c r="C2032" s="25"/>
      <c r="D2032" s="22" t="s">
        <v>4932</v>
      </c>
    </row>
    <row r="2033">
      <c r="A2033" s="17" t="s">
        <v>4933</v>
      </c>
      <c r="B2033" s="9"/>
      <c r="C2033" s="25"/>
      <c r="D2033" s="22" t="s">
        <v>4932</v>
      </c>
    </row>
    <row r="2034">
      <c r="A2034" s="17" t="s">
        <v>4934</v>
      </c>
      <c r="B2034" s="9"/>
      <c r="C2034" s="25"/>
      <c r="D2034" s="22" t="s">
        <v>4932</v>
      </c>
    </row>
    <row r="2035">
      <c r="A2035" s="17" t="s">
        <v>4939</v>
      </c>
      <c r="B2035" s="9"/>
      <c r="C2035" s="25"/>
      <c r="D2035" s="22" t="s">
        <v>4940</v>
      </c>
    </row>
    <row r="2036">
      <c r="A2036" s="17" t="s">
        <v>4941</v>
      </c>
      <c r="B2036" s="9"/>
      <c r="C2036" s="25"/>
      <c r="D2036" s="22" t="s">
        <v>4940</v>
      </c>
    </row>
    <row r="2037">
      <c r="A2037" s="17" t="s">
        <v>4942</v>
      </c>
      <c r="B2037" s="9"/>
      <c r="C2037" s="25"/>
      <c r="D2037" s="22" t="s">
        <v>4940</v>
      </c>
    </row>
    <row r="2038">
      <c r="A2038" s="17" t="s">
        <v>4943</v>
      </c>
      <c r="B2038" s="9"/>
      <c r="C2038" s="25"/>
      <c r="D2038" s="22" t="s">
        <v>4944</v>
      </c>
    </row>
    <row r="2039">
      <c r="A2039" s="17" t="s">
        <v>4945</v>
      </c>
      <c r="B2039" s="9"/>
      <c r="C2039" s="25"/>
      <c r="D2039" s="22" t="s">
        <v>4944</v>
      </c>
    </row>
    <row r="2040">
      <c r="A2040" s="17" t="s">
        <v>4947</v>
      </c>
      <c r="B2040" s="9"/>
      <c r="C2040" s="25"/>
      <c r="D2040" s="22" t="s">
        <v>4944</v>
      </c>
    </row>
    <row r="2041">
      <c r="A2041" s="17" t="s">
        <v>4950</v>
      </c>
      <c r="B2041" s="9"/>
      <c r="C2041" s="25"/>
      <c r="D2041" s="22" t="s">
        <v>4951</v>
      </c>
    </row>
    <row r="2042">
      <c r="A2042" s="17" t="s">
        <v>4952</v>
      </c>
      <c r="B2042" s="9"/>
      <c r="C2042" s="25"/>
      <c r="D2042" s="22" t="s">
        <v>4951</v>
      </c>
    </row>
    <row r="2043">
      <c r="A2043" s="17" t="s">
        <v>4953</v>
      </c>
      <c r="B2043" s="9"/>
      <c r="C2043" s="25"/>
      <c r="D2043" s="22" t="s">
        <v>4951</v>
      </c>
    </row>
    <row r="2044">
      <c r="A2044" s="17" t="s">
        <v>4954</v>
      </c>
      <c r="B2044" s="9"/>
      <c r="C2044" s="25"/>
      <c r="D2044" s="22" t="s">
        <v>4955</v>
      </c>
    </row>
    <row r="2045">
      <c r="A2045" s="17" t="s">
        <v>4956</v>
      </c>
      <c r="B2045" s="9"/>
      <c r="C2045" s="25"/>
      <c r="D2045" s="22" t="s">
        <v>4955</v>
      </c>
    </row>
    <row r="2046">
      <c r="A2046" s="17" t="s">
        <v>4960</v>
      </c>
      <c r="B2046" s="9"/>
      <c r="C2046" s="25"/>
      <c r="D2046" s="22" t="s">
        <v>4955</v>
      </c>
    </row>
    <row r="2047">
      <c r="A2047" s="17" t="s">
        <v>4962</v>
      </c>
      <c r="B2047" s="9"/>
      <c r="C2047" s="25"/>
      <c r="D2047" s="22" t="s">
        <v>4963</v>
      </c>
    </row>
    <row r="2048">
      <c r="A2048" s="17" t="s">
        <v>4964</v>
      </c>
      <c r="B2048" s="9"/>
      <c r="C2048" s="25"/>
      <c r="D2048" s="22" t="s">
        <v>4963</v>
      </c>
    </row>
    <row r="2049">
      <c r="A2049" s="17" t="s">
        <v>4965</v>
      </c>
      <c r="B2049" s="9"/>
      <c r="C2049" s="25"/>
      <c r="D2049" s="22" t="s">
        <v>4963</v>
      </c>
    </row>
    <row r="2050">
      <c r="A2050" s="17" t="s">
        <v>4966</v>
      </c>
      <c r="B2050" s="9"/>
      <c r="C2050" s="25"/>
      <c r="D2050" s="22" t="s">
        <v>4967</v>
      </c>
    </row>
    <row r="2051">
      <c r="A2051" s="17" t="s">
        <v>4968</v>
      </c>
      <c r="B2051" s="9"/>
      <c r="C2051" s="25"/>
      <c r="D2051" s="22" t="s">
        <v>4967</v>
      </c>
    </row>
    <row r="2052">
      <c r="A2052" s="17" t="s">
        <v>4971</v>
      </c>
      <c r="B2052" s="9"/>
      <c r="C2052" s="25"/>
      <c r="D2052" s="22" t="s">
        <v>4967</v>
      </c>
    </row>
    <row r="2053">
      <c r="A2053" s="17" t="s">
        <v>4973</v>
      </c>
      <c r="B2053" s="9"/>
      <c r="C2053" s="25"/>
      <c r="D2053" s="22" t="s">
        <v>4974</v>
      </c>
    </row>
    <row r="2054">
      <c r="A2054" s="17" t="s">
        <v>4975</v>
      </c>
      <c r="B2054" s="9"/>
      <c r="C2054" s="25"/>
      <c r="D2054" s="22" t="s">
        <v>4974</v>
      </c>
    </row>
    <row r="2055">
      <c r="A2055" s="17" t="s">
        <v>4976</v>
      </c>
      <c r="B2055" s="9"/>
      <c r="C2055" s="25"/>
      <c r="D2055" s="22" t="s">
        <v>4974</v>
      </c>
    </row>
    <row r="2056">
      <c r="A2056" s="17" t="s">
        <v>4977</v>
      </c>
      <c r="B2056" s="9"/>
      <c r="C2056" s="25"/>
      <c r="D2056" s="22" t="s">
        <v>4978</v>
      </c>
    </row>
    <row r="2057">
      <c r="A2057" s="17" t="s">
        <v>4979</v>
      </c>
      <c r="B2057" s="9"/>
      <c r="C2057" s="25"/>
      <c r="D2057" s="22" t="s">
        <v>4978</v>
      </c>
    </row>
    <row r="2058">
      <c r="A2058" s="17" t="s">
        <v>4984</v>
      </c>
      <c r="B2058" s="9"/>
      <c r="C2058" s="25"/>
      <c r="D2058" s="22" t="s">
        <v>4978</v>
      </c>
    </row>
    <row r="2059">
      <c r="A2059" s="17" t="s">
        <v>4985</v>
      </c>
      <c r="B2059" s="9"/>
      <c r="C2059" s="25"/>
      <c r="D2059" s="22" t="s">
        <v>4986</v>
      </c>
    </row>
    <row r="2060">
      <c r="A2060" s="17" t="s">
        <v>4987</v>
      </c>
      <c r="B2060" s="9"/>
      <c r="C2060" s="25"/>
      <c r="D2060" s="22" t="s">
        <v>4986</v>
      </c>
    </row>
    <row r="2061">
      <c r="A2061" s="17" t="s">
        <v>4988</v>
      </c>
      <c r="B2061" s="9"/>
      <c r="C2061" s="25"/>
      <c r="D2061" s="22" t="s">
        <v>4986</v>
      </c>
    </row>
    <row r="2062">
      <c r="A2062" s="17" t="s">
        <v>4992</v>
      </c>
      <c r="B2062" s="9"/>
      <c r="C2062" s="25"/>
      <c r="D2062" s="22" t="s">
        <v>4993</v>
      </c>
    </row>
    <row r="2063">
      <c r="A2063" s="17" t="s">
        <v>4994</v>
      </c>
      <c r="B2063" s="9"/>
      <c r="C2063" s="25"/>
      <c r="D2063" s="22" t="s">
        <v>4993</v>
      </c>
    </row>
    <row r="2064">
      <c r="A2064" s="17" t="s">
        <v>4995</v>
      </c>
      <c r="B2064" s="9"/>
      <c r="C2064" s="25"/>
      <c r="D2064" s="22" t="s">
        <v>4993</v>
      </c>
    </row>
    <row r="2065">
      <c r="A2065" s="17" t="s">
        <v>4996</v>
      </c>
      <c r="B2065" s="9"/>
      <c r="C2065" s="25"/>
      <c r="D2065" s="22" t="s">
        <v>4997</v>
      </c>
    </row>
    <row r="2066">
      <c r="A2066" s="17" t="s">
        <v>4998</v>
      </c>
      <c r="B2066" s="9"/>
      <c r="C2066" s="25"/>
      <c r="D2066" s="22" t="s">
        <v>4997</v>
      </c>
    </row>
    <row r="2067">
      <c r="A2067" s="17" t="s">
        <v>5000</v>
      </c>
      <c r="B2067" s="9"/>
      <c r="C2067" s="25"/>
      <c r="D2067" s="22" t="s">
        <v>4997</v>
      </c>
    </row>
    <row r="2068">
      <c r="A2068" s="17" t="s">
        <v>5004</v>
      </c>
      <c r="B2068" s="9"/>
      <c r="C2068" s="25"/>
      <c r="D2068" s="22" t="s">
        <v>5005</v>
      </c>
    </row>
    <row r="2069">
      <c r="A2069" s="17" t="s">
        <v>5006</v>
      </c>
      <c r="B2069" s="9"/>
      <c r="C2069" s="25"/>
      <c r="D2069" s="22" t="s">
        <v>5005</v>
      </c>
    </row>
    <row r="2070">
      <c r="A2070" s="17" t="s">
        <v>5007</v>
      </c>
      <c r="B2070" s="9"/>
      <c r="C2070" s="25"/>
      <c r="D2070" s="22" t="s">
        <v>5005</v>
      </c>
    </row>
    <row r="2071">
      <c r="A2071" s="17" t="s">
        <v>5008</v>
      </c>
      <c r="B2071" s="9"/>
      <c r="C2071" s="25"/>
      <c r="D2071" s="99" t="s">
        <v>2103</v>
      </c>
    </row>
    <row r="2072">
      <c r="A2072" s="17" t="s">
        <v>5012</v>
      </c>
      <c r="B2072" s="9"/>
      <c r="C2072" s="25"/>
      <c r="D2072" s="99" t="s">
        <v>2103</v>
      </c>
    </row>
    <row r="2073">
      <c r="A2073" s="17" t="s">
        <v>5013</v>
      </c>
      <c r="B2073" s="9"/>
      <c r="C2073" s="25"/>
      <c r="D2073" s="99" t="s">
        <v>2103</v>
      </c>
    </row>
    <row r="2074">
      <c r="A2074" s="17" t="s">
        <v>5014</v>
      </c>
      <c r="B2074" s="9"/>
      <c r="C2074" s="25"/>
      <c r="D2074" s="22" t="s">
        <v>5015</v>
      </c>
    </row>
    <row r="2075">
      <c r="A2075" s="17" t="s">
        <v>5016</v>
      </c>
      <c r="B2075" s="9"/>
      <c r="C2075" s="25"/>
      <c r="D2075" s="22" t="s">
        <v>5015</v>
      </c>
    </row>
    <row r="2076">
      <c r="A2076" s="17" t="s">
        <v>5017</v>
      </c>
      <c r="B2076" s="9"/>
      <c r="C2076" s="25"/>
      <c r="D2076" s="22" t="s">
        <v>5015</v>
      </c>
    </row>
    <row r="2077">
      <c r="A2077" s="17" t="s">
        <v>5022</v>
      </c>
      <c r="B2077" s="9"/>
      <c r="C2077" s="25"/>
      <c r="D2077" s="99" t="s">
        <v>2103</v>
      </c>
    </row>
    <row r="2078">
      <c r="A2078" s="17" t="s">
        <v>5023</v>
      </c>
      <c r="B2078" s="9"/>
      <c r="C2078" s="25"/>
      <c r="D2078" s="99" t="s">
        <v>2103</v>
      </c>
    </row>
    <row r="2079">
      <c r="A2079" s="17" t="s">
        <v>5024</v>
      </c>
      <c r="B2079" s="9"/>
      <c r="C2079" s="25"/>
      <c r="D2079" s="99" t="s">
        <v>2103</v>
      </c>
    </row>
    <row r="2080">
      <c r="A2080" s="17" t="s">
        <v>5029</v>
      </c>
      <c r="B2080" s="9"/>
      <c r="C2080" s="25"/>
      <c r="D2080" s="22" t="s">
        <v>5030</v>
      </c>
    </row>
    <row r="2081">
      <c r="A2081" s="17" t="s">
        <v>5031</v>
      </c>
      <c r="B2081" s="9"/>
      <c r="C2081" s="25"/>
      <c r="D2081" s="22" t="s">
        <v>5030</v>
      </c>
    </row>
    <row r="2082">
      <c r="A2082" s="17" t="s">
        <v>5032</v>
      </c>
      <c r="B2082" s="9"/>
      <c r="C2082" s="25"/>
      <c r="D2082" s="22" t="s">
        <v>5030</v>
      </c>
    </row>
    <row r="2083">
      <c r="A2083" s="17" t="s">
        <v>5033</v>
      </c>
      <c r="B2083" s="9"/>
      <c r="C2083" s="25"/>
      <c r="D2083" s="22" t="s">
        <v>5034</v>
      </c>
    </row>
    <row r="2084">
      <c r="A2084" s="17" t="s">
        <v>5037</v>
      </c>
      <c r="B2084" s="9"/>
      <c r="C2084" s="25"/>
      <c r="D2084" s="22" t="s">
        <v>5034</v>
      </c>
    </row>
    <row r="2085">
      <c r="A2085" s="17" t="s">
        <v>5039</v>
      </c>
      <c r="B2085" s="9"/>
      <c r="C2085" s="25"/>
      <c r="D2085" s="22" t="s">
        <v>5034</v>
      </c>
    </row>
    <row r="2086">
      <c r="A2086" s="17" t="s">
        <v>5040</v>
      </c>
      <c r="B2086" s="9"/>
      <c r="C2086" s="25"/>
      <c r="D2086" s="22" t="s">
        <v>5041</v>
      </c>
    </row>
    <row r="2087">
      <c r="A2087" s="17" t="s">
        <v>5042</v>
      </c>
      <c r="B2087" s="9"/>
      <c r="C2087" s="25"/>
      <c r="D2087" s="22" t="s">
        <v>5041</v>
      </c>
    </row>
    <row r="2088">
      <c r="A2088" s="17" t="s">
        <v>5043</v>
      </c>
      <c r="B2088" s="9"/>
      <c r="C2088" s="25"/>
      <c r="D2088" s="22" t="s">
        <v>5041</v>
      </c>
    </row>
    <row r="2089">
      <c r="A2089" s="17" t="s">
        <v>5044</v>
      </c>
      <c r="B2089" s="9"/>
      <c r="C2089" s="25"/>
      <c r="D2089" s="99" t="s">
        <v>2103</v>
      </c>
    </row>
    <row r="2090">
      <c r="A2090" s="17" t="s">
        <v>5047</v>
      </c>
      <c r="B2090" s="9"/>
      <c r="C2090" s="25"/>
      <c r="D2090" s="99" t="s">
        <v>2103</v>
      </c>
    </row>
    <row r="2091">
      <c r="A2091" s="17" t="s">
        <v>5049</v>
      </c>
      <c r="B2091" s="9"/>
      <c r="C2091" s="25"/>
      <c r="D2091" s="99" t="s">
        <v>2103</v>
      </c>
    </row>
    <row r="2092">
      <c r="A2092" s="17" t="s">
        <v>5050</v>
      </c>
      <c r="B2092" s="9"/>
      <c r="C2092" s="25"/>
      <c r="D2092" s="99" t="s">
        <v>2103</v>
      </c>
    </row>
    <row r="2093">
      <c r="A2093" s="17" t="s">
        <v>5051</v>
      </c>
      <c r="B2093" s="9"/>
      <c r="C2093" s="25"/>
      <c r="D2093" s="99" t="s">
        <v>2103</v>
      </c>
    </row>
    <row r="2094">
      <c r="A2094" s="17" t="s">
        <v>5052</v>
      </c>
      <c r="B2094" s="9"/>
      <c r="C2094" s="25"/>
      <c r="D2094" s="99" t="s">
        <v>2103</v>
      </c>
    </row>
    <row r="2095">
      <c r="A2095" s="17" t="s">
        <v>5054</v>
      </c>
      <c r="B2095" s="9"/>
      <c r="C2095" s="25"/>
      <c r="D2095" s="22" t="s">
        <v>5056</v>
      </c>
    </row>
    <row r="2096">
      <c r="A2096" s="17" t="s">
        <v>5058</v>
      </c>
      <c r="B2096" s="9"/>
      <c r="C2096" s="25"/>
      <c r="D2096" s="22" t="s">
        <v>5056</v>
      </c>
    </row>
    <row r="2097">
      <c r="A2097" s="17" t="s">
        <v>5059</v>
      </c>
      <c r="B2097" s="9"/>
      <c r="C2097" s="25"/>
      <c r="D2097" s="22" t="s">
        <v>5056</v>
      </c>
    </row>
    <row r="2098">
      <c r="A2098" s="17" t="s">
        <v>5060</v>
      </c>
      <c r="B2098" s="9"/>
      <c r="C2098" s="25"/>
      <c r="D2098" s="22" t="s">
        <v>5061</v>
      </c>
    </row>
    <row r="2099">
      <c r="A2099" s="17" t="s">
        <v>5062</v>
      </c>
      <c r="B2099" s="9"/>
      <c r="C2099" s="25"/>
      <c r="D2099" s="22" t="s">
        <v>5061</v>
      </c>
    </row>
    <row r="2100">
      <c r="A2100" s="17" t="s">
        <v>5064</v>
      </c>
      <c r="B2100" s="9"/>
      <c r="C2100" s="25"/>
      <c r="D2100" s="22" t="s">
        <v>5061</v>
      </c>
    </row>
    <row r="2101">
      <c r="A2101" s="17" t="s">
        <v>5065</v>
      </c>
      <c r="B2101" s="9"/>
      <c r="C2101" s="25"/>
      <c r="D2101" s="22" t="s">
        <v>5066</v>
      </c>
    </row>
    <row r="2102">
      <c r="A2102" s="17" t="s">
        <v>5067</v>
      </c>
      <c r="B2102" s="9"/>
      <c r="C2102" s="25"/>
      <c r="D2102" s="22" t="s">
        <v>5066</v>
      </c>
    </row>
    <row r="2103">
      <c r="A2103" s="17" t="s">
        <v>5069</v>
      </c>
      <c r="B2103" s="9"/>
      <c r="C2103" s="25"/>
      <c r="D2103" s="22" t="s">
        <v>5066</v>
      </c>
    </row>
    <row r="2104">
      <c r="A2104" s="17" t="s">
        <v>5071</v>
      </c>
      <c r="B2104" s="9"/>
      <c r="C2104" s="25"/>
      <c r="D2104" s="22" t="s">
        <v>5072</v>
      </c>
    </row>
    <row r="2105">
      <c r="A2105" s="17" t="s">
        <v>5073</v>
      </c>
      <c r="B2105" s="9"/>
      <c r="C2105" s="25"/>
      <c r="D2105" s="22" t="s">
        <v>5072</v>
      </c>
    </row>
    <row r="2106">
      <c r="A2106" s="17" t="s">
        <v>5074</v>
      </c>
      <c r="B2106" s="9"/>
      <c r="C2106" s="25"/>
      <c r="D2106" s="22" t="s">
        <v>5072</v>
      </c>
    </row>
    <row r="2107">
      <c r="A2107" s="17" t="s">
        <v>5075</v>
      </c>
      <c r="B2107" s="9"/>
      <c r="C2107" s="25"/>
      <c r="D2107" s="22" t="s">
        <v>5076</v>
      </c>
    </row>
    <row r="2108">
      <c r="A2108" s="17" t="s">
        <v>5078</v>
      </c>
      <c r="B2108" s="9"/>
      <c r="C2108" s="25"/>
      <c r="D2108" s="22" t="s">
        <v>5076</v>
      </c>
    </row>
    <row r="2109">
      <c r="A2109" s="17" t="s">
        <v>5079</v>
      </c>
      <c r="B2109" s="9"/>
      <c r="C2109" s="25"/>
      <c r="D2109" s="22" t="s">
        <v>5076</v>
      </c>
    </row>
    <row r="2110">
      <c r="A2110" s="17" t="s">
        <v>5082</v>
      </c>
      <c r="B2110" s="9"/>
      <c r="C2110" s="25"/>
      <c r="D2110" s="22" t="s">
        <v>5083</v>
      </c>
    </row>
    <row r="2111">
      <c r="A2111" s="17" t="s">
        <v>5084</v>
      </c>
      <c r="B2111" s="9"/>
      <c r="C2111" s="25"/>
      <c r="D2111" s="22" t="s">
        <v>5083</v>
      </c>
    </row>
    <row r="2112">
      <c r="A2112" s="17" t="s">
        <v>5085</v>
      </c>
      <c r="B2112" s="9"/>
      <c r="C2112" s="25"/>
      <c r="D2112" s="22" t="s">
        <v>5083</v>
      </c>
    </row>
    <row r="2113">
      <c r="A2113" s="17" t="s">
        <v>5086</v>
      </c>
      <c r="B2113" s="9"/>
      <c r="C2113" s="25"/>
      <c r="D2113" s="22" t="s">
        <v>5088</v>
      </c>
    </row>
    <row r="2114">
      <c r="A2114" s="17" t="s">
        <v>5089</v>
      </c>
      <c r="B2114" s="9"/>
      <c r="C2114" s="25"/>
      <c r="D2114" s="22" t="s">
        <v>5088</v>
      </c>
    </row>
    <row r="2115">
      <c r="A2115" s="17" t="s">
        <v>5090</v>
      </c>
      <c r="B2115" s="9"/>
      <c r="C2115" s="25"/>
      <c r="D2115" s="22" t="s">
        <v>5088</v>
      </c>
    </row>
    <row r="2116">
      <c r="A2116" s="17" t="s">
        <v>5093</v>
      </c>
      <c r="B2116" s="9"/>
      <c r="C2116" s="25"/>
      <c r="D2116" s="22" t="s">
        <v>5094</v>
      </c>
    </row>
    <row r="2117">
      <c r="A2117" s="17" t="s">
        <v>5095</v>
      </c>
      <c r="B2117" s="9"/>
      <c r="C2117" s="25"/>
      <c r="D2117" s="22" t="s">
        <v>5094</v>
      </c>
    </row>
    <row r="2118">
      <c r="A2118" s="17" t="s">
        <v>5096</v>
      </c>
      <c r="B2118" s="9"/>
      <c r="C2118" s="25"/>
      <c r="D2118" s="22" t="s">
        <v>5094</v>
      </c>
    </row>
    <row r="2119">
      <c r="A2119" s="17" t="s">
        <v>5097</v>
      </c>
      <c r="B2119" s="9"/>
      <c r="C2119" s="25"/>
      <c r="D2119" s="101" t="s">
        <v>5098</v>
      </c>
    </row>
    <row r="2120">
      <c r="A2120" s="17" t="s">
        <v>5100</v>
      </c>
      <c r="B2120" s="9"/>
      <c r="C2120" s="25"/>
      <c r="D2120" s="101" t="s">
        <v>5098</v>
      </c>
    </row>
    <row r="2121">
      <c r="A2121" s="17" t="s">
        <v>5103</v>
      </c>
      <c r="B2121" s="9"/>
      <c r="C2121" s="25"/>
      <c r="D2121" s="101" t="s">
        <v>5098</v>
      </c>
    </row>
    <row r="2122">
      <c r="A2122" s="17" t="s">
        <v>5107</v>
      </c>
      <c r="B2122" s="9"/>
      <c r="C2122" s="25"/>
      <c r="D2122" s="101" t="s">
        <v>5109</v>
      </c>
    </row>
    <row r="2123">
      <c r="A2123" s="17" t="s">
        <v>5110</v>
      </c>
      <c r="B2123" s="9"/>
      <c r="C2123" s="25"/>
      <c r="D2123" s="101" t="s">
        <v>5109</v>
      </c>
    </row>
    <row r="2124">
      <c r="A2124" s="17" t="s">
        <v>5111</v>
      </c>
      <c r="B2124" s="9"/>
      <c r="C2124" s="25"/>
      <c r="D2124" s="101" t="s">
        <v>5109</v>
      </c>
    </row>
    <row r="2125">
      <c r="A2125" s="17" t="s">
        <v>5116</v>
      </c>
      <c r="B2125" s="9"/>
      <c r="C2125" s="25"/>
      <c r="D2125" s="101" t="s">
        <v>5117</v>
      </c>
    </row>
    <row r="2126">
      <c r="A2126" s="17" t="s">
        <v>5118</v>
      </c>
      <c r="B2126" s="9"/>
      <c r="C2126" s="25"/>
      <c r="D2126" s="101" t="s">
        <v>5117</v>
      </c>
    </row>
    <row r="2127">
      <c r="A2127" s="17" t="s">
        <v>5119</v>
      </c>
      <c r="B2127" s="9"/>
      <c r="C2127" s="25"/>
      <c r="D2127" s="101" t="s">
        <v>5117</v>
      </c>
    </row>
    <row r="2128">
      <c r="A2128" s="17" t="s">
        <v>5120</v>
      </c>
      <c r="B2128" s="9"/>
      <c r="C2128" s="25"/>
      <c r="D2128" s="101" t="s">
        <v>5121</v>
      </c>
    </row>
    <row r="2129">
      <c r="A2129" s="17" t="s">
        <v>5122</v>
      </c>
      <c r="B2129" s="9"/>
      <c r="C2129" s="25"/>
      <c r="D2129" s="101" t="s">
        <v>5121</v>
      </c>
    </row>
    <row r="2130">
      <c r="A2130" s="17" t="s">
        <v>5125</v>
      </c>
      <c r="B2130" s="9"/>
      <c r="C2130" s="25"/>
      <c r="D2130" s="101" t="s">
        <v>5121</v>
      </c>
    </row>
    <row r="2131">
      <c r="A2131" s="17" t="s">
        <v>5127</v>
      </c>
      <c r="B2131" s="9"/>
      <c r="C2131" s="25"/>
      <c r="D2131" s="99" t="s">
        <v>2103</v>
      </c>
    </row>
    <row r="2132">
      <c r="A2132" s="17" t="s">
        <v>5128</v>
      </c>
      <c r="B2132" s="9"/>
      <c r="C2132" s="25"/>
      <c r="D2132" s="99" t="s">
        <v>2103</v>
      </c>
    </row>
    <row r="2133">
      <c r="A2133" s="17" t="s">
        <v>5129</v>
      </c>
      <c r="B2133" s="9"/>
      <c r="C2133" s="25"/>
      <c r="D2133" s="99" t="s">
        <v>2103</v>
      </c>
    </row>
    <row r="2134">
      <c r="A2134" s="17" t="s">
        <v>5130</v>
      </c>
      <c r="B2134" s="9"/>
      <c r="C2134" s="25"/>
      <c r="D2134" s="22" t="s">
        <v>5131</v>
      </c>
    </row>
    <row r="2135">
      <c r="A2135" s="17" t="s">
        <v>5132</v>
      </c>
      <c r="B2135" s="9"/>
      <c r="C2135" s="25"/>
      <c r="D2135" s="22" t="s">
        <v>5131</v>
      </c>
    </row>
    <row r="2136">
      <c r="A2136" s="17" t="s">
        <v>5137</v>
      </c>
      <c r="B2136" s="9"/>
      <c r="C2136" s="25"/>
      <c r="D2136" s="22" t="s">
        <v>5131</v>
      </c>
    </row>
    <row r="2137">
      <c r="A2137" s="17" t="s">
        <v>5139</v>
      </c>
      <c r="B2137" s="9"/>
      <c r="C2137" s="25"/>
      <c r="D2137" s="22" t="s">
        <v>5141</v>
      </c>
    </row>
    <row r="2138">
      <c r="A2138" s="17" t="s">
        <v>5142</v>
      </c>
      <c r="B2138" s="9"/>
      <c r="C2138" s="25"/>
      <c r="D2138" s="22" t="s">
        <v>5141</v>
      </c>
    </row>
    <row r="2139">
      <c r="A2139" s="17" t="s">
        <v>5143</v>
      </c>
      <c r="B2139" s="9"/>
      <c r="C2139" s="25"/>
      <c r="D2139" s="22" t="s">
        <v>5141</v>
      </c>
    </row>
    <row r="2140">
      <c r="A2140" s="17" t="s">
        <v>5148</v>
      </c>
      <c r="B2140" s="9"/>
      <c r="C2140" s="25"/>
      <c r="D2140" s="22" t="s">
        <v>5149</v>
      </c>
    </row>
    <row r="2141">
      <c r="A2141" s="17" t="s">
        <v>5150</v>
      </c>
      <c r="B2141" s="9"/>
      <c r="C2141" s="25"/>
      <c r="D2141" s="22" t="s">
        <v>5149</v>
      </c>
    </row>
    <row r="2142">
      <c r="A2142" s="17" t="s">
        <v>5151</v>
      </c>
      <c r="B2142" s="9"/>
      <c r="C2142" s="25"/>
      <c r="D2142" s="22" t="s">
        <v>5149</v>
      </c>
    </row>
    <row r="2143">
      <c r="A2143" s="17" t="s">
        <v>5152</v>
      </c>
      <c r="B2143" s="9"/>
      <c r="C2143" s="25"/>
      <c r="D2143" s="22" t="s">
        <v>5153</v>
      </c>
    </row>
    <row r="2144">
      <c r="A2144" s="17" t="s">
        <v>5154</v>
      </c>
      <c r="B2144" s="9"/>
      <c r="C2144" s="25"/>
      <c r="D2144" s="22" t="s">
        <v>5153</v>
      </c>
    </row>
    <row r="2145">
      <c r="A2145" s="17" t="s">
        <v>5157</v>
      </c>
      <c r="B2145" s="9"/>
      <c r="C2145" s="25"/>
      <c r="D2145" s="22" t="s">
        <v>5153</v>
      </c>
    </row>
    <row r="2146">
      <c r="A2146" s="17" t="s">
        <v>5159</v>
      </c>
      <c r="B2146" s="9"/>
      <c r="C2146" s="25"/>
      <c r="D2146" s="22" t="s">
        <v>5160</v>
      </c>
    </row>
    <row r="2147">
      <c r="A2147" s="17" t="s">
        <v>5161</v>
      </c>
      <c r="B2147" s="9"/>
      <c r="C2147" s="25"/>
      <c r="D2147" s="22" t="s">
        <v>5160</v>
      </c>
    </row>
    <row r="2148">
      <c r="A2148" s="17" t="s">
        <v>5162</v>
      </c>
      <c r="B2148" s="9"/>
      <c r="C2148" s="25"/>
      <c r="D2148" s="22" t="s">
        <v>5160</v>
      </c>
    </row>
    <row r="2149">
      <c r="A2149" s="17" t="s">
        <v>5163</v>
      </c>
      <c r="B2149" s="9"/>
      <c r="C2149" s="25"/>
      <c r="D2149" s="22" t="s">
        <v>5164</v>
      </c>
    </row>
    <row r="2150">
      <c r="A2150" s="17" t="s">
        <v>5165</v>
      </c>
      <c r="B2150" s="9"/>
      <c r="C2150" s="25"/>
      <c r="D2150" s="22" t="s">
        <v>5164</v>
      </c>
    </row>
    <row r="2151">
      <c r="A2151" s="17" t="s">
        <v>5167</v>
      </c>
      <c r="B2151" s="9"/>
      <c r="C2151" s="25"/>
      <c r="D2151" s="22" t="s">
        <v>5164</v>
      </c>
    </row>
    <row r="2152">
      <c r="A2152" s="17" t="s">
        <v>5169</v>
      </c>
      <c r="B2152" s="9"/>
      <c r="C2152" s="25"/>
      <c r="D2152" s="22" t="s">
        <v>5170</v>
      </c>
    </row>
    <row r="2153">
      <c r="A2153" s="17" t="s">
        <v>5171</v>
      </c>
      <c r="B2153" s="9"/>
      <c r="C2153" s="25"/>
      <c r="D2153" s="22" t="s">
        <v>5170</v>
      </c>
    </row>
    <row r="2154">
      <c r="A2154" s="17" t="s">
        <v>5173</v>
      </c>
      <c r="B2154" s="9"/>
      <c r="C2154" s="25"/>
      <c r="D2154" s="22" t="s">
        <v>5170</v>
      </c>
    </row>
    <row r="2155">
      <c r="A2155" s="17" t="s">
        <v>5175</v>
      </c>
      <c r="B2155" s="9"/>
      <c r="C2155" s="25"/>
      <c r="D2155" s="22" t="s">
        <v>5176</v>
      </c>
    </row>
    <row r="2156">
      <c r="A2156" s="17" t="s">
        <v>5177</v>
      </c>
      <c r="B2156" s="9"/>
      <c r="C2156" s="25"/>
      <c r="D2156" s="22" t="s">
        <v>5176</v>
      </c>
    </row>
    <row r="2157">
      <c r="A2157" s="17" t="s">
        <v>5180</v>
      </c>
      <c r="B2157" s="9"/>
      <c r="C2157" s="25"/>
      <c r="D2157" s="22" t="s">
        <v>5176</v>
      </c>
    </row>
    <row r="2158">
      <c r="A2158" s="17" t="s">
        <v>5183</v>
      </c>
      <c r="B2158" s="9"/>
      <c r="C2158" s="25"/>
      <c r="D2158" s="22" t="s">
        <v>5184</v>
      </c>
    </row>
    <row r="2159">
      <c r="A2159" s="17" t="s">
        <v>5185</v>
      </c>
      <c r="B2159" s="9"/>
      <c r="C2159" s="25"/>
      <c r="D2159" s="22" t="s">
        <v>5184</v>
      </c>
    </row>
    <row r="2160">
      <c r="A2160" s="17" t="s">
        <v>5186</v>
      </c>
      <c r="B2160" s="9"/>
      <c r="C2160" s="25"/>
      <c r="D2160" s="22" t="s">
        <v>5184</v>
      </c>
    </row>
    <row r="2161">
      <c r="A2161" s="17" t="s">
        <v>5187</v>
      </c>
      <c r="B2161" s="9"/>
      <c r="C2161" s="25"/>
      <c r="D2161" s="22" t="s">
        <v>5188</v>
      </c>
    </row>
    <row r="2162">
      <c r="A2162" s="17" t="s">
        <v>5189</v>
      </c>
      <c r="B2162" s="9"/>
      <c r="C2162" s="25"/>
      <c r="D2162" s="22" t="s">
        <v>5188</v>
      </c>
    </row>
    <row r="2163">
      <c r="A2163" s="17" t="s">
        <v>5193</v>
      </c>
      <c r="B2163" s="9"/>
      <c r="C2163" s="25"/>
      <c r="D2163" s="22" t="s">
        <v>5188</v>
      </c>
    </row>
    <row r="2164">
      <c r="A2164" s="17" t="s">
        <v>5195</v>
      </c>
      <c r="B2164" s="9"/>
      <c r="C2164" s="25"/>
      <c r="D2164" s="22" t="s">
        <v>5196</v>
      </c>
    </row>
    <row r="2165">
      <c r="A2165" s="17" t="s">
        <v>5197</v>
      </c>
      <c r="B2165" s="9"/>
      <c r="C2165" s="25"/>
      <c r="D2165" s="22" t="s">
        <v>5196</v>
      </c>
    </row>
    <row r="2166">
      <c r="A2166" s="17" t="s">
        <v>5198</v>
      </c>
      <c r="B2166" s="9"/>
      <c r="C2166" s="25"/>
      <c r="D2166" s="22" t="s">
        <v>5196</v>
      </c>
    </row>
    <row r="2167">
      <c r="A2167" s="17" t="s">
        <v>5199</v>
      </c>
      <c r="B2167" s="9"/>
      <c r="C2167" s="25"/>
      <c r="D2167" s="22" t="s">
        <v>5200</v>
      </c>
    </row>
    <row r="2168">
      <c r="A2168" s="17" t="s">
        <v>5201</v>
      </c>
      <c r="B2168" s="9"/>
      <c r="C2168" s="25"/>
      <c r="D2168" s="22" t="s">
        <v>5200</v>
      </c>
    </row>
    <row r="2169">
      <c r="A2169" s="17" t="s">
        <v>5204</v>
      </c>
      <c r="B2169" s="9"/>
      <c r="C2169" s="25"/>
      <c r="D2169" s="22" t="s">
        <v>5200</v>
      </c>
    </row>
    <row r="2170">
      <c r="A2170" s="17" t="s">
        <v>5206</v>
      </c>
      <c r="B2170" s="9"/>
      <c r="C2170" s="25"/>
      <c r="D2170" s="22" t="s">
        <v>5208</v>
      </c>
    </row>
    <row r="2171">
      <c r="A2171" s="17" t="s">
        <v>5209</v>
      </c>
      <c r="B2171" s="9"/>
      <c r="C2171" s="25"/>
      <c r="D2171" s="22" t="s">
        <v>5208</v>
      </c>
    </row>
    <row r="2172">
      <c r="A2172" s="17" t="s">
        <v>5211</v>
      </c>
      <c r="B2172" s="9"/>
      <c r="C2172" s="25"/>
      <c r="D2172" s="22" t="s">
        <v>5208</v>
      </c>
    </row>
    <row r="2173">
      <c r="A2173" s="17" t="s">
        <v>5212</v>
      </c>
      <c r="B2173" s="9"/>
      <c r="C2173" s="25"/>
      <c r="D2173" s="22" t="s">
        <v>5213</v>
      </c>
    </row>
    <row r="2174">
      <c r="A2174" s="17" t="s">
        <v>5214</v>
      </c>
      <c r="B2174" s="9"/>
      <c r="C2174" s="25"/>
      <c r="D2174" s="22" t="s">
        <v>5213</v>
      </c>
    </row>
    <row r="2175">
      <c r="A2175" s="17" t="s">
        <v>5215</v>
      </c>
      <c r="B2175" s="9"/>
      <c r="C2175" s="25"/>
      <c r="D2175" s="22" t="s">
        <v>5213</v>
      </c>
    </row>
    <row r="2176">
      <c r="A2176" s="17" t="s">
        <v>5217</v>
      </c>
      <c r="B2176" s="9"/>
      <c r="C2176" s="25"/>
      <c r="D2176" s="101" t="s">
        <v>5219</v>
      </c>
    </row>
    <row r="2177">
      <c r="A2177" s="17" t="s">
        <v>5221</v>
      </c>
      <c r="B2177" s="9"/>
      <c r="C2177" s="25"/>
      <c r="D2177" s="22" t="s">
        <v>5224</v>
      </c>
    </row>
    <row r="2178">
      <c r="A2178" s="17" t="s">
        <v>5226</v>
      </c>
      <c r="B2178" s="9"/>
      <c r="C2178" s="25"/>
      <c r="D2178" s="22" t="s">
        <v>5224</v>
      </c>
    </row>
    <row r="2179">
      <c r="A2179" s="17" t="s">
        <v>5228</v>
      </c>
      <c r="B2179" s="9"/>
      <c r="C2179" s="25"/>
      <c r="D2179" s="22" t="s">
        <v>5224</v>
      </c>
    </row>
    <row r="2180">
      <c r="A2180" s="17" t="s">
        <v>5229</v>
      </c>
      <c r="B2180" s="9"/>
      <c r="C2180" s="25"/>
      <c r="D2180" s="22" t="s">
        <v>5230</v>
      </c>
    </row>
    <row r="2181">
      <c r="A2181" s="17" t="s">
        <v>5231</v>
      </c>
      <c r="B2181" s="9"/>
      <c r="C2181" s="25"/>
      <c r="D2181" s="22" t="s">
        <v>5230</v>
      </c>
    </row>
    <row r="2182">
      <c r="A2182" s="17" t="s">
        <v>5233</v>
      </c>
      <c r="B2182" s="9"/>
      <c r="C2182" s="25"/>
      <c r="D2182" s="22" t="s">
        <v>5230</v>
      </c>
    </row>
    <row r="2183">
      <c r="A2183" s="17" t="s">
        <v>5235</v>
      </c>
      <c r="B2183" s="9"/>
      <c r="C2183" s="25"/>
      <c r="D2183" s="22" t="s">
        <v>5236</v>
      </c>
    </row>
    <row r="2184">
      <c r="A2184" s="17" t="s">
        <v>5237</v>
      </c>
      <c r="B2184" s="9"/>
      <c r="C2184" s="25"/>
      <c r="D2184" s="22" t="s">
        <v>5236</v>
      </c>
    </row>
    <row r="2185">
      <c r="A2185" s="17" t="s">
        <v>5240</v>
      </c>
      <c r="B2185" s="9"/>
      <c r="C2185" s="25"/>
      <c r="D2185" s="22" t="s">
        <v>5236</v>
      </c>
    </row>
    <row r="2186">
      <c r="A2186" s="17" t="s">
        <v>5241</v>
      </c>
      <c r="B2186" s="9"/>
      <c r="C2186" s="25"/>
      <c r="D2186" s="22" t="s">
        <v>5242</v>
      </c>
    </row>
    <row r="2187">
      <c r="A2187" s="17" t="s">
        <v>5243</v>
      </c>
      <c r="B2187" s="9"/>
      <c r="C2187" s="25"/>
      <c r="D2187" s="22" t="s">
        <v>5242</v>
      </c>
    </row>
    <row r="2188">
      <c r="A2188" s="17" t="s">
        <v>5245</v>
      </c>
      <c r="B2188" s="9"/>
      <c r="C2188" s="25"/>
      <c r="D2188" s="22" t="s">
        <v>5242</v>
      </c>
    </row>
    <row r="2189">
      <c r="A2189" s="17" t="s">
        <v>5247</v>
      </c>
      <c r="B2189" s="9"/>
      <c r="C2189" s="25"/>
      <c r="D2189" s="22" t="s">
        <v>5249</v>
      </c>
    </row>
    <row r="2190">
      <c r="A2190" s="17" t="s">
        <v>5250</v>
      </c>
      <c r="B2190" s="9"/>
      <c r="C2190" s="25"/>
      <c r="D2190" s="22" t="s">
        <v>5249</v>
      </c>
    </row>
    <row r="2191">
      <c r="A2191" s="17" t="s">
        <v>5251</v>
      </c>
      <c r="B2191" s="9"/>
      <c r="C2191" s="25"/>
      <c r="D2191" s="22" t="s">
        <v>5249</v>
      </c>
    </row>
    <row r="2192">
      <c r="A2192" s="17" t="s">
        <v>5252</v>
      </c>
      <c r="B2192" s="9"/>
      <c r="C2192" s="25"/>
      <c r="D2192" s="22" t="s">
        <v>5253</v>
      </c>
    </row>
    <row r="2193">
      <c r="A2193" s="17" t="s">
        <v>5254</v>
      </c>
      <c r="B2193" s="9"/>
      <c r="C2193" s="25"/>
      <c r="D2193" s="22" t="s">
        <v>5253</v>
      </c>
    </row>
    <row r="2194">
      <c r="A2194" s="17" t="s">
        <v>5258</v>
      </c>
      <c r="B2194" s="9"/>
      <c r="C2194" s="25"/>
      <c r="D2194" s="22" t="s">
        <v>5253</v>
      </c>
    </row>
    <row r="2195">
      <c r="A2195" s="17" t="s">
        <v>5260</v>
      </c>
      <c r="B2195" s="9"/>
      <c r="C2195" s="25"/>
      <c r="D2195" s="22" t="s">
        <v>5261</v>
      </c>
    </row>
    <row r="2196">
      <c r="A2196" s="17" t="s">
        <v>5263</v>
      </c>
      <c r="B2196" s="9"/>
      <c r="C2196" s="25"/>
      <c r="D2196" s="22" t="s">
        <v>5261</v>
      </c>
    </row>
    <row r="2197">
      <c r="A2197" s="17" t="s">
        <v>5265</v>
      </c>
      <c r="B2197" s="9"/>
      <c r="C2197" s="25"/>
      <c r="D2197" s="22" t="s">
        <v>5261</v>
      </c>
    </row>
    <row r="2198">
      <c r="A2198" s="17" t="s">
        <v>5266</v>
      </c>
      <c r="B2198" s="9"/>
      <c r="C2198" s="25"/>
      <c r="D2198" s="22" t="s">
        <v>5267</v>
      </c>
    </row>
    <row r="2199">
      <c r="A2199" s="17" t="s">
        <v>5268</v>
      </c>
      <c r="B2199" s="9"/>
      <c r="C2199" s="25"/>
      <c r="D2199" s="22" t="s">
        <v>5267</v>
      </c>
    </row>
    <row r="2200">
      <c r="A2200" s="17" t="s">
        <v>5270</v>
      </c>
      <c r="B2200" s="9"/>
      <c r="C2200" s="25"/>
      <c r="D2200" s="22" t="s">
        <v>5267</v>
      </c>
    </row>
    <row r="2201">
      <c r="A2201" s="17" t="s">
        <v>5272</v>
      </c>
      <c r="B2201" s="9"/>
      <c r="C2201" s="25"/>
      <c r="D2201" s="22" t="s">
        <v>5273</v>
      </c>
    </row>
    <row r="2202">
      <c r="A2202" s="17" t="s">
        <v>5274</v>
      </c>
      <c r="B2202" s="9"/>
      <c r="C2202" s="25"/>
      <c r="D2202" s="22" t="s">
        <v>5273</v>
      </c>
    </row>
    <row r="2203">
      <c r="A2203" s="17" t="s">
        <v>5277</v>
      </c>
      <c r="B2203" s="9"/>
      <c r="C2203" s="25"/>
      <c r="D2203" s="22" t="s">
        <v>5273</v>
      </c>
    </row>
    <row r="2204">
      <c r="A2204" s="17" t="s">
        <v>5278</v>
      </c>
      <c r="B2204" s="9"/>
      <c r="C2204" s="25"/>
      <c r="D2204" s="22" t="s">
        <v>5279</v>
      </c>
    </row>
    <row r="2205">
      <c r="A2205" s="17" t="s">
        <v>5280</v>
      </c>
      <c r="B2205" s="9"/>
      <c r="C2205" s="25"/>
      <c r="D2205" s="22" t="s">
        <v>5279</v>
      </c>
    </row>
    <row r="2206">
      <c r="A2206" s="17" t="s">
        <v>5281</v>
      </c>
      <c r="B2206" s="9"/>
      <c r="C2206" s="25"/>
      <c r="D2206" s="22" t="s">
        <v>5279</v>
      </c>
    </row>
    <row r="2207">
      <c r="A2207" s="17" t="s">
        <v>5282</v>
      </c>
      <c r="B2207" s="9"/>
      <c r="C2207" s="25"/>
      <c r="D2207" s="22" t="s">
        <v>5283</v>
      </c>
    </row>
    <row r="2208">
      <c r="A2208" s="17" t="s">
        <v>5284</v>
      </c>
      <c r="B2208" s="9"/>
      <c r="C2208" s="25"/>
      <c r="D2208" s="22" t="s">
        <v>5283</v>
      </c>
    </row>
    <row r="2209">
      <c r="A2209" s="17" t="s">
        <v>5286</v>
      </c>
      <c r="B2209" s="9"/>
      <c r="C2209" s="25"/>
      <c r="D2209" s="22" t="s">
        <v>5283</v>
      </c>
    </row>
    <row r="2210">
      <c r="A2210" s="17" t="s">
        <v>5288</v>
      </c>
      <c r="B2210" s="9"/>
      <c r="C2210" s="25"/>
      <c r="D2210" s="22" t="s">
        <v>5290</v>
      </c>
    </row>
    <row r="2211">
      <c r="A2211" s="17" t="s">
        <v>5291</v>
      </c>
      <c r="B2211" s="9"/>
      <c r="C2211" s="25"/>
      <c r="D2211" s="22" t="s">
        <v>5290</v>
      </c>
    </row>
    <row r="2212">
      <c r="A2212" s="17" t="s">
        <v>5292</v>
      </c>
      <c r="B2212" s="9"/>
      <c r="C2212" s="25"/>
      <c r="D2212" s="22" t="s">
        <v>5290</v>
      </c>
    </row>
    <row r="2213">
      <c r="A2213" s="17" t="s">
        <v>5293</v>
      </c>
      <c r="B2213" s="9"/>
      <c r="C2213" s="25"/>
      <c r="D2213" s="22" t="s">
        <v>5294</v>
      </c>
    </row>
    <row r="2214">
      <c r="A2214" s="17" t="s">
        <v>5295</v>
      </c>
      <c r="B2214" s="9"/>
      <c r="C2214" s="25"/>
      <c r="D2214" s="22" t="s">
        <v>5294</v>
      </c>
    </row>
    <row r="2215">
      <c r="A2215" s="17" t="s">
        <v>5296</v>
      </c>
      <c r="B2215" s="9"/>
      <c r="C2215" s="25"/>
      <c r="D2215" s="22" t="s">
        <v>5294</v>
      </c>
    </row>
    <row r="2216">
      <c r="A2216" s="17" t="s">
        <v>5297</v>
      </c>
      <c r="B2216" s="9"/>
      <c r="C2216" s="25"/>
      <c r="D2216" s="22" t="s">
        <v>5298</v>
      </c>
    </row>
    <row r="2217">
      <c r="A2217" s="17" t="s">
        <v>5299</v>
      </c>
      <c r="B2217" s="9"/>
      <c r="C2217" s="25"/>
      <c r="D2217" s="22" t="s">
        <v>5298</v>
      </c>
    </row>
    <row r="2218">
      <c r="A2218" s="17" t="s">
        <v>5300</v>
      </c>
      <c r="B2218" s="9"/>
      <c r="C2218" s="25"/>
      <c r="D2218" s="22" t="s">
        <v>5298</v>
      </c>
    </row>
    <row r="2219">
      <c r="A2219" s="17" t="s">
        <v>5303</v>
      </c>
      <c r="B2219" s="9"/>
      <c r="C2219" s="25"/>
      <c r="D2219" s="22" t="s">
        <v>5305</v>
      </c>
    </row>
    <row r="2220">
      <c r="A2220" s="17" t="s">
        <v>5307</v>
      </c>
      <c r="B2220" s="9"/>
      <c r="C2220" s="25"/>
      <c r="D2220" s="22" t="s">
        <v>5305</v>
      </c>
    </row>
    <row r="2221">
      <c r="A2221" s="17" t="s">
        <v>5308</v>
      </c>
      <c r="B2221" s="9"/>
      <c r="C2221" s="25"/>
      <c r="D2221" s="22" t="s">
        <v>5305</v>
      </c>
    </row>
    <row r="2222">
      <c r="A2222" s="17" t="s">
        <v>5310</v>
      </c>
      <c r="B2222" s="9"/>
      <c r="C2222" s="25"/>
      <c r="D2222" s="22" t="s">
        <v>5312</v>
      </c>
    </row>
    <row r="2223">
      <c r="A2223" s="17" t="s">
        <v>5313</v>
      </c>
      <c r="B2223" s="9"/>
      <c r="C2223" s="25"/>
      <c r="D2223" s="22" t="s">
        <v>5312</v>
      </c>
    </row>
    <row r="2224">
      <c r="A2224" s="17" t="s">
        <v>5314</v>
      </c>
      <c r="B2224" s="9"/>
      <c r="C2224" s="25"/>
      <c r="D2224" s="22" t="s">
        <v>5312</v>
      </c>
    </row>
    <row r="2225">
      <c r="A2225" s="17" t="s">
        <v>5315</v>
      </c>
      <c r="B2225" s="9"/>
      <c r="C2225" s="25"/>
      <c r="D2225" s="22" t="s">
        <v>5316</v>
      </c>
    </row>
    <row r="2226">
      <c r="A2226" s="17" t="s">
        <v>5317</v>
      </c>
      <c r="B2226" s="9"/>
      <c r="C2226" s="25"/>
      <c r="D2226" s="22" t="s">
        <v>5316</v>
      </c>
    </row>
    <row r="2227">
      <c r="A2227" s="17" t="s">
        <v>5318</v>
      </c>
      <c r="B2227" s="9"/>
      <c r="C2227" s="25"/>
      <c r="D2227" s="22" t="s">
        <v>5316</v>
      </c>
    </row>
    <row r="2228">
      <c r="A2228" s="17" t="s">
        <v>5319</v>
      </c>
      <c r="B2228" s="9"/>
      <c r="C2228" s="25"/>
      <c r="D2228" s="22" t="s">
        <v>5320</v>
      </c>
    </row>
    <row r="2229">
      <c r="A2229" s="17" t="s">
        <v>5322</v>
      </c>
      <c r="B2229" s="9"/>
      <c r="C2229" s="25"/>
      <c r="D2229" s="22" t="s">
        <v>5320</v>
      </c>
    </row>
    <row r="2230">
      <c r="A2230" s="17" t="s">
        <v>5325</v>
      </c>
      <c r="B2230" s="9"/>
      <c r="C2230" s="25"/>
      <c r="D2230" s="22" t="s">
        <v>5320</v>
      </c>
    </row>
    <row r="2231">
      <c r="A2231" s="17" t="s">
        <v>5327</v>
      </c>
      <c r="B2231" s="9"/>
      <c r="C2231" s="25"/>
      <c r="D2231" s="22" t="s">
        <v>5328</v>
      </c>
    </row>
    <row r="2232">
      <c r="A2232" s="17" t="s">
        <v>5329</v>
      </c>
      <c r="B2232" s="9"/>
      <c r="C2232" s="25"/>
      <c r="D2232" s="22" t="s">
        <v>5328</v>
      </c>
    </row>
    <row r="2233">
      <c r="A2233" s="17" t="s">
        <v>5330</v>
      </c>
      <c r="B2233" s="9"/>
      <c r="C2233" s="25"/>
      <c r="D2233" s="22" t="s">
        <v>5328</v>
      </c>
    </row>
    <row r="2234">
      <c r="A2234" s="17" t="s">
        <v>5331</v>
      </c>
      <c r="B2234" s="9"/>
      <c r="C2234" s="25"/>
      <c r="D2234" s="22" t="s">
        <v>5332</v>
      </c>
    </row>
    <row r="2235">
      <c r="A2235" s="17" t="s">
        <v>5333</v>
      </c>
      <c r="B2235" s="9"/>
      <c r="C2235" s="25"/>
      <c r="D2235" s="22" t="s">
        <v>5332</v>
      </c>
    </row>
    <row r="2236">
      <c r="A2236" s="17" t="s">
        <v>5334</v>
      </c>
      <c r="B2236" s="9"/>
      <c r="C2236" s="25"/>
      <c r="D2236" s="22" t="s">
        <v>5332</v>
      </c>
    </row>
    <row r="2237">
      <c r="A2237" s="17" t="s">
        <v>5335</v>
      </c>
      <c r="B2237" s="9"/>
      <c r="C2237" s="25"/>
      <c r="D2237" s="22" t="s">
        <v>5336</v>
      </c>
    </row>
    <row r="2238">
      <c r="A2238" s="17" t="s">
        <v>5337</v>
      </c>
      <c r="B2238" s="9"/>
      <c r="C2238" s="25"/>
      <c r="D2238" s="22" t="s">
        <v>5336</v>
      </c>
    </row>
    <row r="2239">
      <c r="A2239" s="17" t="s">
        <v>5340</v>
      </c>
      <c r="B2239" s="9"/>
      <c r="C2239" s="25"/>
      <c r="D2239" s="22" t="s">
        <v>5336</v>
      </c>
    </row>
    <row r="2240">
      <c r="A2240" s="17" t="s">
        <v>5342</v>
      </c>
      <c r="B2240" s="9"/>
      <c r="C2240" s="25"/>
      <c r="D2240" s="22" t="s">
        <v>5343</v>
      </c>
    </row>
    <row r="2241">
      <c r="A2241" s="17" t="s">
        <v>5344</v>
      </c>
      <c r="B2241" s="9"/>
      <c r="C2241" s="25"/>
      <c r="D2241" s="22" t="s">
        <v>5343</v>
      </c>
    </row>
    <row r="2242">
      <c r="A2242" s="17" t="s">
        <v>5345</v>
      </c>
      <c r="B2242" s="9"/>
      <c r="C2242" s="25"/>
      <c r="D2242" s="22" t="s">
        <v>5343</v>
      </c>
    </row>
    <row r="2243">
      <c r="A2243" s="17" t="s">
        <v>5346</v>
      </c>
      <c r="B2243" s="9"/>
      <c r="C2243" s="25"/>
      <c r="D2243" s="22" t="s">
        <v>5347</v>
      </c>
    </row>
    <row r="2244">
      <c r="A2244" s="17" t="s">
        <v>5348</v>
      </c>
      <c r="B2244" s="9"/>
      <c r="C2244" s="25"/>
      <c r="D2244" s="22" t="s">
        <v>5347</v>
      </c>
    </row>
    <row r="2245">
      <c r="A2245" s="17" t="s">
        <v>5349</v>
      </c>
      <c r="B2245" s="9"/>
      <c r="C2245" s="25"/>
      <c r="D2245" s="22" t="s">
        <v>5347</v>
      </c>
    </row>
    <row r="2246">
      <c r="A2246" s="17" t="s">
        <v>5350</v>
      </c>
      <c r="B2246" s="9"/>
      <c r="C2246" s="25"/>
      <c r="D2246" s="22" t="s">
        <v>5351</v>
      </c>
    </row>
    <row r="2247">
      <c r="A2247" s="17" t="s">
        <v>5352</v>
      </c>
      <c r="B2247" s="9"/>
      <c r="C2247" s="25"/>
      <c r="D2247" s="22" t="s">
        <v>5351</v>
      </c>
    </row>
    <row r="2248">
      <c r="A2248" s="17" t="s">
        <v>5355</v>
      </c>
      <c r="B2248" s="9"/>
      <c r="C2248" s="25"/>
      <c r="D2248" s="22" t="s">
        <v>5351</v>
      </c>
    </row>
    <row r="2249">
      <c r="A2249" s="17" t="s">
        <v>5358</v>
      </c>
      <c r="B2249" s="9"/>
      <c r="C2249" s="25"/>
      <c r="D2249" s="22" t="s">
        <v>5359</v>
      </c>
    </row>
    <row r="2250">
      <c r="A2250" s="17" t="s">
        <v>5360</v>
      </c>
      <c r="B2250" s="9"/>
      <c r="C2250" s="25"/>
      <c r="D2250" s="22" t="s">
        <v>5359</v>
      </c>
    </row>
    <row r="2251">
      <c r="A2251" s="17" t="s">
        <v>5361</v>
      </c>
      <c r="B2251" s="9"/>
      <c r="C2251" s="25"/>
      <c r="D2251" s="22" t="s">
        <v>5359</v>
      </c>
    </row>
    <row r="2252">
      <c r="A2252" s="17" t="s">
        <v>5363</v>
      </c>
      <c r="B2252" s="9"/>
      <c r="C2252" s="25"/>
      <c r="D2252" s="22" t="s">
        <v>5364</v>
      </c>
    </row>
    <row r="2253">
      <c r="A2253" s="17" t="s">
        <v>5365</v>
      </c>
      <c r="B2253" s="9"/>
      <c r="C2253" s="25"/>
      <c r="D2253" s="22" t="s">
        <v>5364</v>
      </c>
    </row>
    <row r="2254">
      <c r="A2254" s="17" t="s">
        <v>5367</v>
      </c>
      <c r="B2254" s="9"/>
      <c r="C2254" s="25"/>
      <c r="D2254" s="22" t="s">
        <v>5364</v>
      </c>
    </row>
    <row r="2255">
      <c r="A2255" s="17" t="s">
        <v>5369</v>
      </c>
      <c r="B2255" s="9"/>
      <c r="C2255" s="25"/>
      <c r="D2255" s="22" t="s">
        <v>5370</v>
      </c>
    </row>
    <row r="2256">
      <c r="A2256" s="17" t="s">
        <v>5371</v>
      </c>
      <c r="B2256" s="9"/>
      <c r="C2256" s="25"/>
      <c r="D2256" s="22" t="s">
        <v>5370</v>
      </c>
    </row>
    <row r="2257">
      <c r="A2257" s="17" t="s">
        <v>5373</v>
      </c>
      <c r="B2257" s="9"/>
      <c r="C2257" s="25"/>
      <c r="D2257" s="22" t="s">
        <v>5370</v>
      </c>
    </row>
    <row r="2258">
      <c r="A2258" s="17" t="s">
        <v>5374</v>
      </c>
      <c r="B2258" s="9"/>
      <c r="C2258" s="25"/>
      <c r="D2258" s="22" t="s">
        <v>5375</v>
      </c>
    </row>
    <row r="2259">
      <c r="A2259" s="17" t="s">
        <v>5376</v>
      </c>
      <c r="B2259" s="9"/>
      <c r="C2259" s="25"/>
      <c r="D2259" s="22" t="s">
        <v>5375</v>
      </c>
    </row>
    <row r="2260">
      <c r="A2260" s="17" t="s">
        <v>5377</v>
      </c>
      <c r="B2260" s="9"/>
      <c r="C2260" s="25"/>
      <c r="D2260" s="22" t="s">
        <v>5375</v>
      </c>
    </row>
    <row r="2261">
      <c r="A2261" s="17" t="s">
        <v>5378</v>
      </c>
      <c r="B2261" s="9"/>
      <c r="C2261" s="25"/>
      <c r="D2261" s="22" t="s">
        <v>5379</v>
      </c>
    </row>
    <row r="2262">
      <c r="A2262" s="17" t="s">
        <v>5380</v>
      </c>
      <c r="B2262" s="9"/>
      <c r="C2262" s="25"/>
      <c r="D2262" s="22" t="s">
        <v>5379</v>
      </c>
    </row>
    <row r="2263">
      <c r="A2263" s="17" t="s">
        <v>5382</v>
      </c>
      <c r="B2263" s="9"/>
      <c r="C2263" s="25"/>
      <c r="D2263" s="22" t="s">
        <v>5379</v>
      </c>
    </row>
    <row r="2264">
      <c r="A2264" s="17" t="s">
        <v>5384</v>
      </c>
      <c r="B2264" s="9"/>
      <c r="C2264" s="25"/>
      <c r="D2264" s="22" t="s">
        <v>5385</v>
      </c>
    </row>
    <row r="2265">
      <c r="A2265" s="17" t="s">
        <v>5386</v>
      </c>
      <c r="B2265" s="9"/>
      <c r="C2265" s="25"/>
      <c r="D2265" s="22" t="s">
        <v>5385</v>
      </c>
    </row>
    <row r="2266">
      <c r="A2266" s="17" t="s">
        <v>5387</v>
      </c>
      <c r="B2266" s="9"/>
      <c r="C2266" s="25"/>
      <c r="D2266" s="22" t="s">
        <v>5385</v>
      </c>
    </row>
    <row r="2267">
      <c r="A2267" s="17" t="s">
        <v>5388</v>
      </c>
      <c r="B2267" s="9"/>
      <c r="C2267" s="25"/>
      <c r="D2267" s="22" t="s">
        <v>5389</v>
      </c>
    </row>
    <row r="2268">
      <c r="A2268" s="17" t="s">
        <v>5390</v>
      </c>
      <c r="B2268" s="9"/>
      <c r="C2268" s="25"/>
      <c r="D2268" s="22" t="s">
        <v>5389</v>
      </c>
    </row>
    <row r="2269">
      <c r="A2269" s="17" t="s">
        <v>5391</v>
      </c>
      <c r="B2269" s="9"/>
      <c r="C2269" s="25"/>
      <c r="D2269" s="22" t="s">
        <v>5389</v>
      </c>
    </row>
    <row r="2270">
      <c r="A2270" s="17" t="s">
        <v>5392</v>
      </c>
      <c r="B2270" s="9"/>
      <c r="C2270" s="25"/>
      <c r="D2270" s="22" t="s">
        <v>5393</v>
      </c>
    </row>
    <row r="2271">
      <c r="A2271" s="17" t="s">
        <v>5394</v>
      </c>
      <c r="B2271" s="9"/>
      <c r="C2271" s="25"/>
      <c r="D2271" s="22" t="s">
        <v>5393</v>
      </c>
    </row>
    <row r="2272">
      <c r="A2272" s="17" t="s">
        <v>5395</v>
      </c>
      <c r="B2272" s="9"/>
      <c r="C2272" s="25"/>
      <c r="D2272" s="22" t="s">
        <v>5393</v>
      </c>
    </row>
    <row r="2273">
      <c r="A2273" s="17" t="s">
        <v>5398</v>
      </c>
      <c r="B2273" s="9"/>
      <c r="C2273" s="25"/>
      <c r="D2273" s="22" t="s">
        <v>5399</v>
      </c>
    </row>
    <row r="2274">
      <c r="A2274" s="17" t="s">
        <v>5400</v>
      </c>
      <c r="B2274" s="9"/>
      <c r="C2274" s="25"/>
      <c r="D2274" s="22" t="s">
        <v>5399</v>
      </c>
    </row>
    <row r="2275">
      <c r="A2275" s="17" t="s">
        <v>5401</v>
      </c>
      <c r="B2275" s="9"/>
      <c r="C2275" s="25"/>
      <c r="D2275" s="22" t="s">
        <v>5399</v>
      </c>
    </row>
    <row r="2276">
      <c r="A2276" s="17" t="s">
        <v>5402</v>
      </c>
      <c r="B2276" s="9"/>
      <c r="C2276" s="25"/>
      <c r="D2276" s="22" t="s">
        <v>5403</v>
      </c>
    </row>
    <row r="2277">
      <c r="A2277" s="17" t="s">
        <v>5404</v>
      </c>
      <c r="B2277" s="9"/>
      <c r="C2277" s="25"/>
      <c r="D2277" s="22" t="s">
        <v>5403</v>
      </c>
    </row>
    <row r="2278">
      <c r="A2278" s="17" t="s">
        <v>5406</v>
      </c>
      <c r="B2278" s="9"/>
      <c r="C2278" s="25"/>
      <c r="D2278" s="22" t="s">
        <v>5403</v>
      </c>
    </row>
    <row r="2279">
      <c r="A2279" s="17" t="s">
        <v>5409</v>
      </c>
      <c r="B2279" s="9"/>
      <c r="C2279" s="25"/>
      <c r="D2279" s="22" t="s">
        <v>5410</v>
      </c>
    </row>
    <row r="2280">
      <c r="A2280" s="17" t="s">
        <v>5412</v>
      </c>
      <c r="B2280" s="9"/>
      <c r="C2280" s="25"/>
      <c r="D2280" s="22" t="s">
        <v>5410</v>
      </c>
    </row>
    <row r="2281">
      <c r="A2281" s="17" t="s">
        <v>5414</v>
      </c>
      <c r="B2281" s="9"/>
      <c r="C2281" s="25"/>
      <c r="D2281" s="22" t="s">
        <v>5410</v>
      </c>
    </row>
    <row r="2282">
      <c r="A2282" s="17" t="s">
        <v>5415</v>
      </c>
      <c r="B2282" s="9"/>
      <c r="C2282" s="25"/>
      <c r="D2282" s="22" t="s">
        <v>5416</v>
      </c>
    </row>
    <row r="2283">
      <c r="A2283" s="17" t="s">
        <v>5417</v>
      </c>
      <c r="B2283" s="9"/>
      <c r="C2283" s="25"/>
      <c r="D2283" s="22" t="s">
        <v>5416</v>
      </c>
    </row>
    <row r="2284">
      <c r="A2284" s="17" t="s">
        <v>5420</v>
      </c>
      <c r="B2284" s="9"/>
      <c r="C2284" s="25"/>
      <c r="D2284" s="22" t="s">
        <v>5416</v>
      </c>
    </row>
    <row r="2285">
      <c r="A2285" s="17" t="s">
        <v>5423</v>
      </c>
      <c r="B2285" s="9"/>
      <c r="C2285" s="25"/>
      <c r="D2285" s="22" t="s">
        <v>5425</v>
      </c>
    </row>
    <row r="2286">
      <c r="A2286" s="17" t="s">
        <v>5426</v>
      </c>
      <c r="B2286" s="9"/>
      <c r="C2286" s="25"/>
      <c r="D2286" s="22" t="s">
        <v>5425</v>
      </c>
    </row>
    <row r="2287">
      <c r="A2287" s="17" t="s">
        <v>5427</v>
      </c>
      <c r="B2287" s="9"/>
      <c r="C2287" s="25"/>
      <c r="D2287" s="22" t="s">
        <v>5425</v>
      </c>
    </row>
    <row r="2288">
      <c r="A2288" s="17" t="s">
        <v>5428</v>
      </c>
      <c r="B2288" s="9"/>
      <c r="C2288" s="25"/>
      <c r="D2288" s="22" t="s">
        <v>5429</v>
      </c>
    </row>
    <row r="2289">
      <c r="A2289" s="17" t="s">
        <v>5430</v>
      </c>
      <c r="B2289" s="9"/>
      <c r="C2289" s="25"/>
      <c r="D2289" s="22" t="s">
        <v>5429</v>
      </c>
    </row>
    <row r="2290">
      <c r="A2290" s="17" t="s">
        <v>5431</v>
      </c>
      <c r="B2290" s="9"/>
      <c r="C2290" s="25"/>
      <c r="D2290" s="22" t="s">
        <v>5429</v>
      </c>
    </row>
    <row r="2291">
      <c r="A2291" s="17" t="s">
        <v>5433</v>
      </c>
      <c r="B2291" s="9"/>
      <c r="C2291" s="25"/>
      <c r="D2291" s="22" t="s">
        <v>5434</v>
      </c>
    </row>
    <row r="2292">
      <c r="A2292" s="17" t="s">
        <v>5435</v>
      </c>
      <c r="B2292" s="9"/>
      <c r="C2292" s="25"/>
      <c r="D2292" s="22" t="s">
        <v>5434</v>
      </c>
    </row>
    <row r="2293">
      <c r="A2293" s="17" t="s">
        <v>5436</v>
      </c>
      <c r="B2293" s="9"/>
      <c r="C2293" s="25"/>
      <c r="D2293" s="22" t="s">
        <v>5434</v>
      </c>
    </row>
    <row r="2294">
      <c r="A2294" s="17" t="s">
        <v>5438</v>
      </c>
      <c r="B2294" s="9"/>
      <c r="C2294" s="25"/>
      <c r="D2294" s="22" t="s">
        <v>5440</v>
      </c>
    </row>
    <row r="2295">
      <c r="A2295" s="17" t="s">
        <v>5441</v>
      </c>
      <c r="B2295" s="9"/>
      <c r="C2295" s="25"/>
      <c r="D2295" s="22" t="s">
        <v>5440</v>
      </c>
    </row>
    <row r="2296">
      <c r="A2296" s="17" t="s">
        <v>5442</v>
      </c>
      <c r="B2296" s="9"/>
      <c r="C2296" s="25"/>
      <c r="D2296" s="22" t="s">
        <v>5440</v>
      </c>
    </row>
    <row r="2297">
      <c r="A2297" s="17" t="s">
        <v>5444</v>
      </c>
      <c r="B2297" s="9"/>
      <c r="C2297" s="25"/>
      <c r="D2297" s="22" t="s">
        <v>5446</v>
      </c>
    </row>
    <row r="2298">
      <c r="A2298" s="17" t="s">
        <v>5447</v>
      </c>
      <c r="B2298" s="9"/>
      <c r="C2298" s="25"/>
      <c r="D2298" s="22" t="s">
        <v>5446</v>
      </c>
    </row>
    <row r="2299">
      <c r="A2299" s="17" t="s">
        <v>5448</v>
      </c>
      <c r="B2299" s="9"/>
      <c r="C2299" s="25"/>
      <c r="D2299" s="22" t="s">
        <v>5446</v>
      </c>
    </row>
    <row r="2300">
      <c r="A2300" s="17" t="s">
        <v>5450</v>
      </c>
      <c r="B2300" s="9"/>
      <c r="C2300" s="25"/>
      <c r="D2300" s="22" t="s">
        <v>5452</v>
      </c>
    </row>
    <row r="2301">
      <c r="A2301" s="17" t="s">
        <v>5453</v>
      </c>
      <c r="B2301" s="9"/>
      <c r="C2301" s="25"/>
      <c r="D2301" s="22" t="s">
        <v>5452</v>
      </c>
    </row>
    <row r="2302">
      <c r="A2302" s="17" t="s">
        <v>5454</v>
      </c>
      <c r="B2302" s="9"/>
      <c r="C2302" s="25"/>
      <c r="D2302" s="22" t="s">
        <v>5452</v>
      </c>
    </row>
    <row r="2303">
      <c r="A2303" s="17" t="s">
        <v>5456</v>
      </c>
      <c r="B2303" s="9"/>
      <c r="C2303" s="25"/>
      <c r="D2303" s="22" t="s">
        <v>5457</v>
      </c>
    </row>
    <row r="2304">
      <c r="A2304" s="17" t="s">
        <v>5458</v>
      </c>
      <c r="B2304" s="9"/>
      <c r="C2304" s="25"/>
      <c r="D2304" s="22" t="s">
        <v>5457</v>
      </c>
    </row>
    <row r="2305">
      <c r="A2305" s="17" t="s">
        <v>5460</v>
      </c>
      <c r="B2305" s="9"/>
      <c r="C2305" s="25"/>
      <c r="D2305" s="22" t="s">
        <v>5457</v>
      </c>
    </row>
    <row r="2306">
      <c r="A2306" s="17" t="s">
        <v>5461</v>
      </c>
      <c r="B2306" s="9"/>
      <c r="C2306" s="25"/>
      <c r="D2306" s="22" t="s">
        <v>5462</v>
      </c>
    </row>
    <row r="2307">
      <c r="A2307" s="17" t="s">
        <v>5463</v>
      </c>
      <c r="B2307" s="9"/>
      <c r="C2307" s="25"/>
      <c r="D2307" s="22" t="s">
        <v>5462</v>
      </c>
    </row>
    <row r="2308">
      <c r="A2308" s="17" t="s">
        <v>5464</v>
      </c>
      <c r="B2308" s="9"/>
      <c r="C2308" s="25"/>
      <c r="D2308" s="22" t="s">
        <v>5462</v>
      </c>
    </row>
    <row r="2309">
      <c r="A2309" s="17" t="s">
        <v>5466</v>
      </c>
      <c r="B2309" s="9"/>
      <c r="C2309" s="25"/>
      <c r="D2309" s="22" t="s">
        <v>5468</v>
      </c>
    </row>
    <row r="2310">
      <c r="A2310" s="17" t="s">
        <v>5469</v>
      </c>
      <c r="B2310" s="9"/>
      <c r="C2310" s="25"/>
      <c r="D2310" s="22" t="s">
        <v>5468</v>
      </c>
    </row>
    <row r="2311">
      <c r="A2311" s="17" t="s">
        <v>5471</v>
      </c>
      <c r="B2311" s="9"/>
      <c r="C2311" s="25"/>
      <c r="D2311" s="22" t="s">
        <v>5468</v>
      </c>
    </row>
    <row r="2312">
      <c r="A2312" s="17" t="s">
        <v>5472</v>
      </c>
      <c r="B2312" s="9"/>
      <c r="C2312" s="25"/>
      <c r="D2312" s="22" t="s">
        <v>5473</v>
      </c>
    </row>
    <row r="2313">
      <c r="A2313" s="17" t="s">
        <v>5474</v>
      </c>
      <c r="B2313" s="9"/>
      <c r="C2313" s="25"/>
      <c r="D2313" s="22" t="s">
        <v>5473</v>
      </c>
    </row>
    <row r="2314">
      <c r="A2314" s="17" t="s">
        <v>5475</v>
      </c>
      <c r="B2314" s="9"/>
      <c r="C2314" s="25"/>
      <c r="D2314" s="22" t="s">
        <v>5473</v>
      </c>
    </row>
    <row r="2315">
      <c r="A2315" s="17" t="s">
        <v>5477</v>
      </c>
      <c r="B2315" s="9"/>
      <c r="C2315" s="25"/>
      <c r="D2315" s="22" t="s">
        <v>5478</v>
      </c>
    </row>
    <row r="2316">
      <c r="A2316" s="17" t="s">
        <v>5479</v>
      </c>
      <c r="B2316" s="9"/>
      <c r="C2316" s="25"/>
      <c r="D2316" s="22" t="s">
        <v>5478</v>
      </c>
    </row>
    <row r="2317">
      <c r="A2317" s="17" t="s">
        <v>5480</v>
      </c>
      <c r="B2317" s="9"/>
      <c r="C2317" s="25"/>
      <c r="D2317" s="22" t="s">
        <v>5478</v>
      </c>
    </row>
    <row r="2318">
      <c r="A2318" s="17" t="s">
        <v>5482</v>
      </c>
      <c r="B2318" s="9"/>
      <c r="C2318" s="25"/>
      <c r="D2318" s="22" t="s">
        <v>5483</v>
      </c>
    </row>
    <row r="2319">
      <c r="A2319" s="17" t="s">
        <v>5484</v>
      </c>
      <c r="B2319" s="9"/>
      <c r="C2319" s="25"/>
      <c r="D2319" s="22" t="s">
        <v>5483</v>
      </c>
    </row>
    <row r="2320">
      <c r="A2320" s="17" t="s">
        <v>5485</v>
      </c>
      <c r="B2320" s="9"/>
      <c r="C2320" s="25"/>
      <c r="D2320" s="22" t="s">
        <v>5483</v>
      </c>
    </row>
    <row r="2321">
      <c r="A2321" s="17" t="s">
        <v>5486</v>
      </c>
      <c r="B2321" s="9"/>
      <c r="C2321" s="25"/>
      <c r="D2321" s="22" t="s">
        <v>5487</v>
      </c>
    </row>
    <row r="2322">
      <c r="A2322" s="17" t="s">
        <v>5488</v>
      </c>
      <c r="B2322" s="9"/>
      <c r="C2322" s="25"/>
      <c r="D2322" s="22" t="s">
        <v>5487</v>
      </c>
    </row>
    <row r="2323">
      <c r="A2323" s="17" t="s">
        <v>5490</v>
      </c>
      <c r="B2323" s="9"/>
      <c r="C2323" s="25"/>
      <c r="D2323" s="22" t="s">
        <v>5487</v>
      </c>
    </row>
    <row r="2324">
      <c r="A2324" s="17" t="s">
        <v>5492</v>
      </c>
      <c r="B2324" s="9"/>
      <c r="C2324" s="25"/>
      <c r="D2324" s="22" t="s">
        <v>5493</v>
      </c>
    </row>
    <row r="2325">
      <c r="A2325" s="17" t="s">
        <v>5494</v>
      </c>
      <c r="B2325" s="9"/>
      <c r="C2325" s="25"/>
      <c r="D2325" s="22" t="s">
        <v>5493</v>
      </c>
    </row>
    <row r="2326">
      <c r="A2326" s="17" t="s">
        <v>5496</v>
      </c>
      <c r="B2326" s="9"/>
      <c r="C2326" s="25"/>
      <c r="D2326" s="22" t="s">
        <v>5493</v>
      </c>
    </row>
    <row r="2327">
      <c r="A2327" s="17" t="s">
        <v>5498</v>
      </c>
      <c r="B2327" s="9"/>
      <c r="C2327" s="25"/>
      <c r="D2327" s="22" t="s">
        <v>5499</v>
      </c>
    </row>
    <row r="2328">
      <c r="A2328" s="17" t="s">
        <v>5500</v>
      </c>
      <c r="B2328" s="9"/>
      <c r="C2328" s="25"/>
      <c r="D2328" s="22" t="s">
        <v>5499</v>
      </c>
    </row>
    <row r="2329">
      <c r="A2329" s="17" t="s">
        <v>5501</v>
      </c>
      <c r="B2329" s="9"/>
      <c r="C2329" s="25"/>
      <c r="D2329" s="22" t="s">
        <v>5499</v>
      </c>
    </row>
    <row r="2330">
      <c r="A2330" s="17" t="s">
        <v>5502</v>
      </c>
      <c r="B2330" s="9"/>
      <c r="C2330" s="25"/>
      <c r="D2330" s="22" t="s">
        <v>5503</v>
      </c>
    </row>
    <row r="2331">
      <c r="A2331" s="17" t="s">
        <v>5504</v>
      </c>
      <c r="B2331" s="9"/>
      <c r="C2331" s="25"/>
      <c r="D2331" s="22" t="s">
        <v>5503</v>
      </c>
    </row>
    <row r="2332">
      <c r="A2332" s="17" t="s">
        <v>5506</v>
      </c>
      <c r="B2332" s="9"/>
      <c r="C2332" s="25"/>
      <c r="D2332" s="22" t="s">
        <v>5503</v>
      </c>
    </row>
    <row r="2333">
      <c r="A2333" s="17" t="s">
        <v>5507</v>
      </c>
      <c r="B2333" s="9"/>
      <c r="C2333" s="25"/>
      <c r="D2333" s="22" t="s">
        <v>5508</v>
      </c>
    </row>
    <row r="2334">
      <c r="A2334" s="17" t="s">
        <v>5509</v>
      </c>
      <c r="B2334" s="9"/>
      <c r="C2334" s="25"/>
      <c r="D2334" s="22" t="s">
        <v>5508</v>
      </c>
    </row>
    <row r="2335">
      <c r="A2335" s="17" t="s">
        <v>5511</v>
      </c>
      <c r="B2335" s="9"/>
      <c r="C2335" s="25"/>
      <c r="D2335" s="22" t="s">
        <v>5508</v>
      </c>
    </row>
    <row r="2336">
      <c r="A2336" s="17" t="s">
        <v>5512</v>
      </c>
      <c r="B2336" s="9"/>
      <c r="C2336" s="25"/>
      <c r="D2336" s="22" t="s">
        <v>5513</v>
      </c>
    </row>
    <row r="2337">
      <c r="A2337" s="17" t="s">
        <v>5514</v>
      </c>
      <c r="B2337" s="9"/>
      <c r="C2337" s="25"/>
      <c r="D2337" s="22" t="s">
        <v>5513</v>
      </c>
    </row>
    <row r="2338">
      <c r="A2338" s="17" t="s">
        <v>5516</v>
      </c>
      <c r="B2338" s="9"/>
      <c r="C2338" s="25"/>
      <c r="D2338" s="22" t="s">
        <v>5513</v>
      </c>
    </row>
    <row r="2339">
      <c r="A2339" s="17" t="s">
        <v>5517</v>
      </c>
      <c r="B2339" s="9"/>
      <c r="C2339" s="25"/>
      <c r="D2339" s="22" t="s">
        <v>5518</v>
      </c>
    </row>
    <row r="2340">
      <c r="A2340" s="17" t="s">
        <v>5520</v>
      </c>
      <c r="B2340" s="9"/>
      <c r="C2340" s="25"/>
      <c r="D2340" s="22" t="s">
        <v>5518</v>
      </c>
    </row>
    <row r="2341">
      <c r="A2341" s="17" t="s">
        <v>5522</v>
      </c>
      <c r="B2341" s="9"/>
      <c r="C2341" s="25"/>
      <c r="D2341" s="22" t="s">
        <v>5518</v>
      </c>
    </row>
    <row r="2342">
      <c r="A2342" s="17" t="s">
        <v>5523</v>
      </c>
      <c r="B2342" s="9"/>
      <c r="C2342" s="25"/>
      <c r="D2342" s="22" t="s">
        <v>5524</v>
      </c>
    </row>
    <row r="2343">
      <c r="A2343" s="17" t="s">
        <v>5525</v>
      </c>
      <c r="B2343" s="9"/>
      <c r="C2343" s="25"/>
      <c r="D2343" s="22" t="s">
        <v>5524</v>
      </c>
    </row>
    <row r="2344">
      <c r="A2344" s="17" t="s">
        <v>5528</v>
      </c>
      <c r="B2344" s="9"/>
      <c r="C2344" s="25"/>
      <c r="D2344" s="22" t="s">
        <v>5524</v>
      </c>
    </row>
    <row r="2345">
      <c r="A2345" s="17" t="s">
        <v>5529</v>
      </c>
      <c r="B2345" s="9"/>
      <c r="C2345" s="25"/>
      <c r="D2345" s="22" t="s">
        <v>5531</v>
      </c>
    </row>
    <row r="2346">
      <c r="A2346" s="17" t="s">
        <v>5532</v>
      </c>
      <c r="B2346" s="9"/>
      <c r="C2346" s="25"/>
      <c r="D2346" s="22" t="s">
        <v>5531</v>
      </c>
    </row>
    <row r="2347">
      <c r="A2347" s="17" t="s">
        <v>5533</v>
      </c>
      <c r="B2347" s="9"/>
      <c r="C2347" s="25"/>
      <c r="D2347" s="22" t="s">
        <v>5531</v>
      </c>
    </row>
    <row r="2348">
      <c r="A2348" s="17" t="s">
        <v>5534</v>
      </c>
      <c r="B2348" s="9"/>
      <c r="C2348" s="25"/>
      <c r="D2348" s="22" t="s">
        <v>5535</v>
      </c>
    </row>
    <row r="2349">
      <c r="A2349" s="17" t="s">
        <v>5536</v>
      </c>
      <c r="B2349" s="9"/>
      <c r="C2349" s="25"/>
      <c r="D2349" s="22" t="s">
        <v>5535</v>
      </c>
    </row>
    <row r="2350">
      <c r="A2350" s="17" t="s">
        <v>5538</v>
      </c>
      <c r="B2350" s="9"/>
      <c r="C2350" s="25"/>
      <c r="D2350" s="22" t="s">
        <v>5535</v>
      </c>
    </row>
    <row r="2351">
      <c r="A2351" s="17" t="s">
        <v>5540</v>
      </c>
      <c r="B2351" s="9"/>
      <c r="C2351" s="25"/>
      <c r="D2351" s="22" t="s">
        <v>5542</v>
      </c>
    </row>
    <row r="2352">
      <c r="A2352" s="17" t="s">
        <v>5544</v>
      </c>
      <c r="B2352" s="9"/>
      <c r="C2352" s="25"/>
      <c r="D2352" s="22" t="s">
        <v>5542</v>
      </c>
    </row>
    <row r="2353">
      <c r="A2353" s="17" t="s">
        <v>5545</v>
      </c>
      <c r="B2353" s="9"/>
      <c r="C2353" s="25"/>
      <c r="D2353" s="22" t="s">
        <v>5542</v>
      </c>
    </row>
    <row r="2354">
      <c r="A2354" s="17" t="s">
        <v>5546</v>
      </c>
      <c r="B2354" s="9"/>
      <c r="C2354" s="25"/>
      <c r="D2354" s="22" t="s">
        <v>5547</v>
      </c>
    </row>
    <row r="2355">
      <c r="A2355" s="17" t="s">
        <v>5549</v>
      </c>
      <c r="B2355" s="9"/>
      <c r="C2355" s="25"/>
      <c r="D2355" s="22" t="s">
        <v>5547</v>
      </c>
    </row>
    <row r="2356">
      <c r="A2356" s="17" t="s">
        <v>5552</v>
      </c>
      <c r="B2356" s="9"/>
      <c r="C2356" s="25"/>
      <c r="D2356" s="22" t="s">
        <v>5547</v>
      </c>
    </row>
    <row r="2357">
      <c r="A2357" s="17" t="s">
        <v>5553</v>
      </c>
      <c r="B2357" s="9"/>
      <c r="C2357" s="25"/>
      <c r="D2357" s="22" t="s">
        <v>5554</v>
      </c>
    </row>
    <row r="2358">
      <c r="A2358" s="17" t="s">
        <v>5555</v>
      </c>
      <c r="B2358" s="9"/>
      <c r="C2358" s="25"/>
      <c r="D2358" s="22" t="s">
        <v>5554</v>
      </c>
    </row>
    <row r="2359">
      <c r="A2359" s="17" t="s">
        <v>5556</v>
      </c>
      <c r="B2359" s="9"/>
      <c r="C2359" s="25"/>
      <c r="D2359" s="22" t="s">
        <v>5554</v>
      </c>
    </row>
    <row r="2360">
      <c r="A2360" s="17" t="s">
        <v>5557</v>
      </c>
      <c r="B2360" s="9"/>
      <c r="C2360" s="25"/>
      <c r="D2360" s="22" t="s">
        <v>5560</v>
      </c>
    </row>
    <row r="2361">
      <c r="A2361" s="17" t="s">
        <v>5562</v>
      </c>
      <c r="B2361" s="9"/>
      <c r="C2361" s="25"/>
      <c r="D2361" s="22" t="s">
        <v>5560</v>
      </c>
    </row>
    <row r="2362">
      <c r="A2362" s="17" t="s">
        <v>5563</v>
      </c>
      <c r="B2362" s="9"/>
      <c r="C2362" s="25"/>
      <c r="D2362" s="22" t="s">
        <v>5560</v>
      </c>
    </row>
    <row r="2363">
      <c r="A2363" s="17" t="s">
        <v>5564</v>
      </c>
      <c r="B2363" s="9"/>
      <c r="C2363" s="25"/>
      <c r="D2363" s="22" t="s">
        <v>5565</v>
      </c>
    </row>
    <row r="2364">
      <c r="A2364" s="17" t="s">
        <v>5566</v>
      </c>
      <c r="B2364" s="9"/>
      <c r="C2364" s="25"/>
      <c r="D2364" s="22" t="s">
        <v>5565</v>
      </c>
    </row>
    <row r="2365">
      <c r="A2365" s="17" t="s">
        <v>5567</v>
      </c>
      <c r="B2365" s="9"/>
      <c r="C2365" s="25"/>
      <c r="D2365" s="22" t="s">
        <v>5565</v>
      </c>
    </row>
    <row r="2366">
      <c r="A2366" s="17" t="s">
        <v>5568</v>
      </c>
      <c r="B2366" s="9"/>
      <c r="C2366" s="25"/>
      <c r="D2366" s="22" t="s">
        <v>5569</v>
      </c>
    </row>
    <row r="2367">
      <c r="A2367" s="17" t="s">
        <v>5572</v>
      </c>
      <c r="B2367" s="9"/>
      <c r="C2367" s="25"/>
      <c r="D2367" s="22" t="s">
        <v>5569</v>
      </c>
    </row>
    <row r="2368">
      <c r="A2368" s="17" t="s">
        <v>5574</v>
      </c>
      <c r="B2368" s="9"/>
      <c r="C2368" s="25"/>
      <c r="D2368" s="22" t="s">
        <v>5569</v>
      </c>
    </row>
    <row r="2369">
      <c r="A2369" s="17" t="s">
        <v>5575</v>
      </c>
      <c r="B2369" s="9"/>
      <c r="C2369" s="25"/>
      <c r="D2369" s="22" t="s">
        <v>5577</v>
      </c>
    </row>
    <row r="2370">
      <c r="A2370" s="17" t="s">
        <v>5578</v>
      </c>
      <c r="B2370" s="9"/>
      <c r="C2370" s="25"/>
      <c r="D2370" s="22" t="s">
        <v>5577</v>
      </c>
    </row>
    <row r="2371">
      <c r="A2371" s="17" t="s">
        <v>5580</v>
      </c>
      <c r="B2371" s="9"/>
      <c r="C2371" s="25"/>
      <c r="D2371" s="22" t="s">
        <v>5577</v>
      </c>
    </row>
    <row r="2372">
      <c r="A2372" s="17" t="s">
        <v>5581</v>
      </c>
      <c r="B2372" s="9"/>
      <c r="C2372" s="25"/>
      <c r="D2372" s="22" t="s">
        <v>5582</v>
      </c>
    </row>
    <row r="2373">
      <c r="A2373" s="17" t="s">
        <v>5584</v>
      </c>
      <c r="B2373" s="9"/>
      <c r="C2373" s="25"/>
      <c r="D2373" s="22" t="s">
        <v>5582</v>
      </c>
    </row>
    <row r="2374">
      <c r="A2374" s="17" t="s">
        <v>5585</v>
      </c>
      <c r="B2374" s="9"/>
      <c r="C2374" s="25"/>
      <c r="D2374" s="22" t="s">
        <v>5582</v>
      </c>
    </row>
    <row r="2375">
      <c r="A2375" s="17" t="s">
        <v>5586</v>
      </c>
      <c r="B2375" s="9"/>
      <c r="C2375" s="25"/>
      <c r="D2375" s="22" t="s">
        <v>5587</v>
      </c>
    </row>
    <row r="2376">
      <c r="A2376" s="17" t="s">
        <v>5588</v>
      </c>
      <c r="B2376" s="9"/>
      <c r="C2376" s="25"/>
      <c r="D2376" s="22" t="s">
        <v>5587</v>
      </c>
    </row>
    <row r="2377">
      <c r="A2377" s="17" t="s">
        <v>5591</v>
      </c>
      <c r="B2377" s="9"/>
      <c r="C2377" s="25"/>
      <c r="D2377" s="22" t="s">
        <v>5587</v>
      </c>
    </row>
    <row r="2378">
      <c r="A2378" s="17" t="s">
        <v>5592</v>
      </c>
      <c r="B2378" s="9"/>
      <c r="C2378" s="25"/>
      <c r="D2378" s="22" t="s">
        <v>5593</v>
      </c>
    </row>
    <row r="2379">
      <c r="A2379" s="17" t="s">
        <v>5597</v>
      </c>
      <c r="B2379" s="9"/>
      <c r="C2379" s="25"/>
      <c r="D2379" s="22" t="s">
        <v>5593</v>
      </c>
    </row>
    <row r="2380">
      <c r="A2380" s="17" t="s">
        <v>5598</v>
      </c>
      <c r="B2380" s="9"/>
      <c r="C2380" s="25"/>
      <c r="D2380" s="22" t="s">
        <v>5593</v>
      </c>
    </row>
    <row r="2381">
      <c r="A2381" s="17" t="s">
        <v>5599</v>
      </c>
      <c r="B2381" s="9"/>
      <c r="C2381" s="25"/>
      <c r="D2381" s="22" t="s">
        <v>5600</v>
      </c>
    </row>
    <row r="2382">
      <c r="A2382" s="17" t="s">
        <v>5601</v>
      </c>
      <c r="B2382" s="9"/>
      <c r="C2382" s="25"/>
      <c r="D2382" s="22" t="s">
        <v>5600</v>
      </c>
    </row>
    <row r="2383">
      <c r="A2383" s="17" t="s">
        <v>5602</v>
      </c>
      <c r="B2383" s="9"/>
      <c r="C2383" s="25"/>
      <c r="D2383" s="22" t="s">
        <v>5600</v>
      </c>
    </row>
    <row r="2384">
      <c r="A2384" s="17" t="s">
        <v>5603</v>
      </c>
      <c r="B2384" s="9"/>
      <c r="C2384" s="25"/>
      <c r="D2384" s="22" t="s">
        <v>5604</v>
      </c>
    </row>
    <row r="2385">
      <c r="A2385" s="17" t="s">
        <v>5607</v>
      </c>
      <c r="B2385" s="9"/>
      <c r="C2385" s="25"/>
      <c r="D2385" s="22" t="s">
        <v>5604</v>
      </c>
    </row>
    <row r="2386">
      <c r="A2386" s="17" t="s">
        <v>5609</v>
      </c>
      <c r="B2386" s="9"/>
      <c r="C2386" s="25"/>
      <c r="D2386" s="22" t="s">
        <v>5604</v>
      </c>
    </row>
    <row r="2387">
      <c r="A2387" s="17" t="s">
        <v>5611</v>
      </c>
      <c r="B2387" s="9"/>
      <c r="C2387" s="25"/>
      <c r="D2387" s="22" t="s">
        <v>5613</v>
      </c>
    </row>
    <row r="2388">
      <c r="A2388" s="17" t="s">
        <v>5614</v>
      </c>
      <c r="B2388" s="9"/>
      <c r="C2388" s="25"/>
      <c r="D2388" s="22" t="s">
        <v>5613</v>
      </c>
    </row>
    <row r="2389">
      <c r="A2389" s="17" t="s">
        <v>5615</v>
      </c>
      <c r="B2389" s="9"/>
      <c r="C2389" s="25"/>
      <c r="D2389" s="22" t="s">
        <v>5613</v>
      </c>
    </row>
    <row r="2390">
      <c r="A2390" s="17" t="s">
        <v>5616</v>
      </c>
      <c r="B2390" s="9"/>
      <c r="C2390" s="25"/>
      <c r="D2390" s="22" t="s">
        <v>5617</v>
      </c>
    </row>
    <row r="2391">
      <c r="A2391" s="17" t="s">
        <v>5618</v>
      </c>
      <c r="B2391" s="9"/>
      <c r="C2391" s="25"/>
      <c r="D2391" s="22" t="s">
        <v>5617</v>
      </c>
    </row>
    <row r="2392">
      <c r="A2392" s="17" t="s">
        <v>5619</v>
      </c>
      <c r="B2392" s="9"/>
      <c r="C2392" s="25"/>
      <c r="D2392" s="22" t="s">
        <v>5617</v>
      </c>
    </row>
    <row r="2393">
      <c r="A2393" s="17" t="s">
        <v>5620</v>
      </c>
      <c r="B2393" s="9"/>
      <c r="C2393" s="25"/>
      <c r="D2393" s="22" t="s">
        <v>5622</v>
      </c>
    </row>
    <row r="2394">
      <c r="A2394" s="17" t="s">
        <v>5625</v>
      </c>
      <c r="B2394" s="9"/>
      <c r="C2394" s="25"/>
      <c r="D2394" s="22" t="s">
        <v>5622</v>
      </c>
    </row>
    <row r="2395">
      <c r="A2395" s="17" t="s">
        <v>5627</v>
      </c>
      <c r="B2395" s="9"/>
      <c r="C2395" s="25"/>
      <c r="D2395" s="22" t="s">
        <v>5622</v>
      </c>
    </row>
    <row r="2396">
      <c r="A2396" s="17" t="s">
        <v>5628</v>
      </c>
      <c r="B2396" s="9"/>
      <c r="C2396" s="25"/>
      <c r="D2396" s="22" t="s">
        <v>5629</v>
      </c>
    </row>
    <row r="2397">
      <c r="A2397" s="17" t="s">
        <v>5630</v>
      </c>
      <c r="B2397" s="9"/>
      <c r="C2397" s="25"/>
      <c r="D2397" s="22" t="s">
        <v>5629</v>
      </c>
    </row>
    <row r="2398">
      <c r="A2398" s="17" t="s">
        <v>5631</v>
      </c>
      <c r="B2398" s="9"/>
      <c r="C2398" s="25"/>
      <c r="D2398" s="22" t="s">
        <v>5629</v>
      </c>
    </row>
    <row r="2399">
      <c r="A2399" s="17" t="s">
        <v>5632</v>
      </c>
      <c r="B2399" s="9"/>
      <c r="C2399" s="25"/>
      <c r="D2399" s="22" t="s">
        <v>5634</v>
      </c>
    </row>
    <row r="2400">
      <c r="A2400" s="17" t="s">
        <v>5637</v>
      </c>
      <c r="B2400" s="9"/>
      <c r="C2400" s="25"/>
      <c r="D2400" s="22" t="s">
        <v>5634</v>
      </c>
    </row>
    <row r="2401">
      <c r="A2401" s="17" t="s">
        <v>5638</v>
      </c>
      <c r="B2401" s="9"/>
      <c r="C2401" s="25"/>
      <c r="D2401" s="22" t="s">
        <v>5634</v>
      </c>
    </row>
    <row r="2402">
      <c r="A2402" s="17" t="s">
        <v>5639</v>
      </c>
      <c r="B2402" s="9"/>
      <c r="C2402" s="25"/>
      <c r="D2402" s="22" t="s">
        <v>5640</v>
      </c>
    </row>
    <row r="2403">
      <c r="A2403" s="17" t="s">
        <v>5641</v>
      </c>
      <c r="B2403" s="9"/>
      <c r="C2403" s="25"/>
      <c r="D2403" s="22" t="s">
        <v>5640</v>
      </c>
    </row>
    <row r="2404">
      <c r="A2404" s="17" t="s">
        <v>5642</v>
      </c>
      <c r="B2404" s="9"/>
      <c r="C2404" s="25"/>
      <c r="D2404" s="22" t="s">
        <v>5640</v>
      </c>
    </row>
    <row r="2405">
      <c r="A2405" s="17" t="s">
        <v>5644</v>
      </c>
      <c r="B2405" s="9"/>
      <c r="C2405" s="25"/>
      <c r="D2405" s="22" t="s">
        <v>5647</v>
      </c>
    </row>
    <row r="2406">
      <c r="A2406" s="17" t="s">
        <v>5649</v>
      </c>
      <c r="B2406" s="9"/>
      <c r="C2406" s="25"/>
      <c r="D2406" s="22" t="s">
        <v>5647</v>
      </c>
    </row>
    <row r="2407">
      <c r="A2407" s="17" t="s">
        <v>5650</v>
      </c>
      <c r="B2407" s="9"/>
      <c r="C2407" s="25"/>
      <c r="D2407" s="22" t="s">
        <v>5647</v>
      </c>
    </row>
    <row r="2408">
      <c r="A2408" s="17" t="s">
        <v>5651</v>
      </c>
      <c r="B2408" s="9"/>
      <c r="C2408" s="25"/>
      <c r="D2408" s="99" t="s">
        <v>2103</v>
      </c>
    </row>
    <row r="2409">
      <c r="A2409" s="17" t="s">
        <v>5652</v>
      </c>
      <c r="B2409" s="9"/>
      <c r="C2409" s="25"/>
      <c r="D2409" s="99" t="s">
        <v>2103</v>
      </c>
    </row>
    <row r="2410">
      <c r="A2410" s="17" t="s">
        <v>5653</v>
      </c>
      <c r="B2410" s="9"/>
      <c r="C2410" s="25"/>
      <c r="D2410" s="99" t="s">
        <v>2103</v>
      </c>
    </row>
    <row r="2411">
      <c r="A2411" s="17" t="s">
        <v>5655</v>
      </c>
      <c r="B2411" s="9"/>
      <c r="C2411" s="25"/>
      <c r="D2411" s="22" t="s">
        <v>5659</v>
      </c>
    </row>
    <row r="2412">
      <c r="A2412" s="17" t="s">
        <v>5660</v>
      </c>
      <c r="B2412" s="9"/>
      <c r="C2412" s="25"/>
      <c r="D2412" s="22" t="s">
        <v>5661</v>
      </c>
    </row>
    <row r="2413">
      <c r="A2413" s="17" t="s">
        <v>5662</v>
      </c>
      <c r="B2413" s="9"/>
      <c r="C2413" s="25"/>
      <c r="D2413" s="22" t="s">
        <v>5661</v>
      </c>
    </row>
    <row r="2414">
      <c r="A2414" s="17" t="s">
        <v>5663</v>
      </c>
      <c r="B2414" s="9"/>
      <c r="C2414" s="25"/>
      <c r="D2414" s="22" t="s">
        <v>5661</v>
      </c>
    </row>
    <row r="2415">
      <c r="A2415" s="17" t="s">
        <v>5664</v>
      </c>
      <c r="B2415" s="9"/>
      <c r="C2415" s="25"/>
      <c r="D2415" s="22" t="s">
        <v>5665</v>
      </c>
    </row>
    <row r="2416">
      <c r="A2416" s="17" t="s">
        <v>5666</v>
      </c>
      <c r="B2416" s="9"/>
      <c r="C2416" s="25"/>
      <c r="D2416" s="22" t="s">
        <v>5665</v>
      </c>
    </row>
    <row r="2417">
      <c r="A2417" s="17" t="s">
        <v>5667</v>
      </c>
      <c r="B2417" s="9"/>
      <c r="C2417" s="25"/>
      <c r="D2417" s="22" t="s">
        <v>5665</v>
      </c>
    </row>
    <row r="2418">
      <c r="A2418" s="17" t="s">
        <v>5670</v>
      </c>
      <c r="B2418" s="9"/>
      <c r="C2418" s="25"/>
      <c r="D2418" s="22" t="s">
        <v>5671</v>
      </c>
    </row>
    <row r="2419">
      <c r="A2419" s="17" t="s">
        <v>5674</v>
      </c>
      <c r="B2419" s="9"/>
      <c r="C2419" s="25"/>
      <c r="D2419" s="22" t="s">
        <v>5671</v>
      </c>
    </row>
    <row r="2420">
      <c r="A2420" s="17" t="s">
        <v>5677</v>
      </c>
      <c r="B2420" s="9"/>
      <c r="C2420" s="25"/>
      <c r="D2420" s="22" t="s">
        <v>5671</v>
      </c>
    </row>
    <row r="2421">
      <c r="A2421" s="17" t="s">
        <v>5678</v>
      </c>
      <c r="B2421" s="9"/>
      <c r="C2421" s="25"/>
      <c r="D2421" s="22" t="s">
        <v>5679</v>
      </c>
    </row>
    <row r="2422">
      <c r="A2422" s="17" t="s">
        <v>5680</v>
      </c>
      <c r="B2422" s="9"/>
      <c r="C2422" s="25"/>
      <c r="D2422" s="22" t="s">
        <v>5679</v>
      </c>
    </row>
    <row r="2423">
      <c r="A2423" s="17" t="s">
        <v>5681</v>
      </c>
      <c r="B2423" s="9"/>
      <c r="C2423" s="25"/>
      <c r="D2423" s="22" t="s">
        <v>5679</v>
      </c>
    </row>
    <row r="2424">
      <c r="A2424" s="17" t="s">
        <v>5682</v>
      </c>
      <c r="B2424" s="9"/>
      <c r="C2424" s="25"/>
      <c r="D2424" s="22" t="s">
        <v>5683</v>
      </c>
    </row>
    <row r="2425">
      <c r="A2425" s="17" t="s">
        <v>5686</v>
      </c>
      <c r="B2425" s="9"/>
      <c r="C2425" s="25"/>
      <c r="D2425" s="22" t="s">
        <v>5683</v>
      </c>
    </row>
    <row r="2426">
      <c r="A2426" s="17" t="s">
        <v>5689</v>
      </c>
      <c r="B2426" s="9"/>
      <c r="C2426" s="25"/>
      <c r="D2426" s="22" t="s">
        <v>5683</v>
      </c>
    </row>
    <row r="2427">
      <c r="A2427" s="17" t="s">
        <v>5690</v>
      </c>
      <c r="B2427" s="9"/>
      <c r="C2427" s="25"/>
      <c r="D2427" s="22" t="s">
        <v>5691</v>
      </c>
    </row>
    <row r="2428">
      <c r="A2428" s="17" t="s">
        <v>5692</v>
      </c>
      <c r="B2428" s="9"/>
      <c r="C2428" s="25"/>
      <c r="D2428" s="22" t="s">
        <v>5691</v>
      </c>
    </row>
    <row r="2429">
      <c r="A2429" s="17" t="s">
        <v>5693</v>
      </c>
      <c r="B2429" s="9"/>
      <c r="C2429" s="25"/>
      <c r="D2429" s="22" t="s">
        <v>5691</v>
      </c>
    </row>
    <row r="2430">
      <c r="A2430" s="17" t="s">
        <v>5694</v>
      </c>
      <c r="B2430" s="9"/>
      <c r="C2430" s="25"/>
      <c r="D2430" s="99" t="s">
        <v>2103</v>
      </c>
    </row>
    <row r="2431">
      <c r="A2431" s="17" t="s">
        <v>5696</v>
      </c>
      <c r="B2431" s="9"/>
      <c r="C2431" s="25"/>
      <c r="D2431" s="99" t="s">
        <v>2103</v>
      </c>
    </row>
    <row r="2432">
      <c r="A2432" s="17" t="s">
        <v>5699</v>
      </c>
      <c r="B2432" s="9"/>
      <c r="C2432" s="25"/>
      <c r="D2432" s="99" t="s">
        <v>2103</v>
      </c>
    </row>
    <row r="2433">
      <c r="A2433" s="17" t="s">
        <v>5700</v>
      </c>
      <c r="B2433" s="9"/>
      <c r="C2433" s="25"/>
      <c r="D2433" s="22" t="s">
        <v>5701</v>
      </c>
    </row>
    <row r="2434">
      <c r="A2434" s="17" t="s">
        <v>5702</v>
      </c>
      <c r="B2434" s="9"/>
      <c r="C2434" s="25"/>
      <c r="D2434" s="22" t="s">
        <v>5701</v>
      </c>
    </row>
    <row r="2435">
      <c r="A2435" s="17" t="s">
        <v>5703</v>
      </c>
      <c r="B2435" s="9"/>
      <c r="C2435" s="25"/>
      <c r="D2435" s="22" t="s">
        <v>5701</v>
      </c>
    </row>
    <row r="2436">
      <c r="A2436" s="17" t="s">
        <v>5704</v>
      </c>
      <c r="B2436" s="9"/>
      <c r="C2436" s="25"/>
      <c r="D2436" s="22" t="s">
        <v>5705</v>
      </c>
    </row>
    <row r="2437">
      <c r="A2437" s="17" t="s">
        <v>5707</v>
      </c>
      <c r="B2437" s="9"/>
      <c r="C2437" s="25"/>
      <c r="D2437" s="22" t="s">
        <v>5705</v>
      </c>
    </row>
    <row r="2438">
      <c r="A2438" s="17" t="s">
        <v>5709</v>
      </c>
      <c r="B2438" s="9"/>
      <c r="C2438" s="25"/>
      <c r="D2438" s="22" t="s">
        <v>5705</v>
      </c>
    </row>
    <row r="2439">
      <c r="A2439" s="17" t="s">
        <v>5710</v>
      </c>
      <c r="B2439" s="9"/>
      <c r="C2439" s="25"/>
      <c r="D2439" s="22" t="s">
        <v>5712</v>
      </c>
    </row>
    <row r="2440">
      <c r="A2440" s="17" t="s">
        <v>5713</v>
      </c>
      <c r="B2440" s="9"/>
      <c r="C2440" s="25"/>
      <c r="D2440" s="22" t="s">
        <v>5712</v>
      </c>
    </row>
    <row r="2441">
      <c r="A2441" s="17" t="s">
        <v>5715</v>
      </c>
      <c r="B2441" s="9"/>
      <c r="C2441" s="25"/>
      <c r="D2441" s="22" t="s">
        <v>5712</v>
      </c>
    </row>
    <row r="2442">
      <c r="A2442" s="17" t="s">
        <v>5717</v>
      </c>
      <c r="B2442" s="9"/>
      <c r="C2442" s="25"/>
      <c r="D2442" s="22" t="s">
        <v>5718</v>
      </c>
    </row>
    <row r="2443">
      <c r="A2443" s="17" t="s">
        <v>5719</v>
      </c>
      <c r="B2443" s="9"/>
      <c r="C2443" s="25"/>
      <c r="D2443" s="22" t="s">
        <v>5718</v>
      </c>
    </row>
    <row r="2444">
      <c r="A2444" s="17" t="s">
        <v>5720</v>
      </c>
      <c r="B2444" s="9"/>
      <c r="C2444" s="25"/>
      <c r="D2444" s="22" t="s">
        <v>5718</v>
      </c>
    </row>
    <row r="2445">
      <c r="A2445" s="17" t="s">
        <v>5721</v>
      </c>
      <c r="B2445" s="9"/>
      <c r="C2445" s="25"/>
      <c r="D2445" s="22" t="s">
        <v>5722</v>
      </c>
    </row>
    <row r="2446">
      <c r="A2446" s="17" t="s">
        <v>5725</v>
      </c>
      <c r="B2446" s="9"/>
      <c r="C2446" s="25"/>
      <c r="D2446" s="22" t="s">
        <v>5722</v>
      </c>
    </row>
    <row r="2447">
      <c r="A2447" s="17" t="s">
        <v>5726</v>
      </c>
      <c r="B2447" s="9"/>
      <c r="C2447" s="25"/>
      <c r="D2447" s="22" t="s">
        <v>5722</v>
      </c>
    </row>
    <row r="2448">
      <c r="A2448" s="17" t="s">
        <v>5729</v>
      </c>
      <c r="B2448" s="9"/>
      <c r="C2448" s="25"/>
      <c r="D2448" s="22" t="s">
        <v>5732</v>
      </c>
    </row>
    <row r="2449">
      <c r="A2449" s="17" t="s">
        <v>5733</v>
      </c>
      <c r="B2449" s="9"/>
      <c r="C2449" s="25"/>
      <c r="D2449" s="22" t="s">
        <v>5732</v>
      </c>
    </row>
    <row r="2450">
      <c r="A2450" s="17" t="s">
        <v>5734</v>
      </c>
      <c r="B2450" s="9"/>
      <c r="C2450" s="25"/>
      <c r="D2450" s="22" t="s">
        <v>5732</v>
      </c>
    </row>
    <row r="2451">
      <c r="A2451" s="17" t="s">
        <v>5735</v>
      </c>
      <c r="B2451" s="9"/>
      <c r="C2451" s="25"/>
      <c r="D2451" s="22" t="s">
        <v>5736</v>
      </c>
    </row>
    <row r="2452">
      <c r="A2452" s="17" t="s">
        <v>5737</v>
      </c>
      <c r="B2452" s="9"/>
      <c r="C2452" s="25"/>
      <c r="D2452" s="22" t="s">
        <v>5736</v>
      </c>
    </row>
    <row r="2453">
      <c r="A2453" s="17" t="s">
        <v>5739</v>
      </c>
      <c r="B2453" s="9"/>
      <c r="C2453" s="25"/>
      <c r="D2453" s="22" t="s">
        <v>5736</v>
      </c>
    </row>
    <row r="2454">
      <c r="A2454" s="17" t="s">
        <v>5742</v>
      </c>
      <c r="B2454" s="9"/>
      <c r="C2454" s="25"/>
      <c r="D2454" s="22" t="s">
        <v>5743</v>
      </c>
    </row>
    <row r="2455">
      <c r="A2455" s="17" t="s">
        <v>5744</v>
      </c>
      <c r="B2455" s="9"/>
      <c r="C2455" s="25"/>
      <c r="D2455" s="22" t="s">
        <v>5743</v>
      </c>
    </row>
    <row r="2456">
      <c r="A2456" s="17" t="s">
        <v>5745</v>
      </c>
      <c r="B2456" s="9"/>
      <c r="C2456" s="25"/>
      <c r="D2456" s="22" t="s">
        <v>5743</v>
      </c>
    </row>
    <row r="2457">
      <c r="A2457" s="17" t="s">
        <v>5746</v>
      </c>
      <c r="B2457" s="9"/>
      <c r="C2457" s="25"/>
      <c r="D2457" s="22" t="s">
        <v>5747</v>
      </c>
    </row>
    <row r="2458">
      <c r="A2458" s="17" t="s">
        <v>5748</v>
      </c>
      <c r="B2458" s="9"/>
      <c r="C2458" s="25"/>
      <c r="D2458" s="22" t="s">
        <v>5747</v>
      </c>
    </row>
    <row r="2459">
      <c r="A2459" s="17" t="s">
        <v>5751</v>
      </c>
      <c r="B2459" s="9"/>
      <c r="C2459" s="25"/>
      <c r="D2459" s="22" t="s">
        <v>5747</v>
      </c>
    </row>
    <row r="2460">
      <c r="A2460" s="17" t="s">
        <v>5753</v>
      </c>
      <c r="B2460" s="9"/>
      <c r="C2460" s="25"/>
      <c r="D2460" s="22" t="s">
        <v>5754</v>
      </c>
    </row>
    <row r="2461">
      <c r="A2461" s="17" t="s">
        <v>5755</v>
      </c>
      <c r="B2461" s="9"/>
      <c r="C2461" s="25"/>
      <c r="D2461" s="22" t="s">
        <v>5754</v>
      </c>
    </row>
    <row r="2462">
      <c r="A2462" s="17" t="s">
        <v>5756</v>
      </c>
      <c r="B2462" s="9"/>
      <c r="C2462" s="25"/>
      <c r="D2462" s="22" t="s">
        <v>5754</v>
      </c>
    </row>
    <row r="2463">
      <c r="A2463" s="17" t="s">
        <v>5757</v>
      </c>
      <c r="B2463" s="9"/>
      <c r="C2463" s="25"/>
      <c r="D2463" s="22" t="s">
        <v>5758</v>
      </c>
    </row>
    <row r="2464">
      <c r="A2464" s="17" t="s">
        <v>5759</v>
      </c>
      <c r="B2464" s="9"/>
      <c r="C2464" s="25"/>
      <c r="D2464" s="22" t="s">
        <v>5758</v>
      </c>
    </row>
    <row r="2465">
      <c r="A2465" s="17" t="s">
        <v>5763</v>
      </c>
      <c r="B2465" s="9"/>
      <c r="C2465" s="25"/>
      <c r="D2465" s="22" t="s">
        <v>5758</v>
      </c>
    </row>
    <row r="2466">
      <c r="A2466" s="17" t="s">
        <v>5765</v>
      </c>
      <c r="B2466" s="9"/>
      <c r="C2466" s="25"/>
      <c r="D2466" s="22" t="s">
        <v>5766</v>
      </c>
    </row>
    <row r="2467">
      <c r="A2467" s="17" t="s">
        <v>5767</v>
      </c>
      <c r="B2467" s="9"/>
      <c r="C2467" s="25"/>
      <c r="D2467" s="22" t="s">
        <v>5766</v>
      </c>
    </row>
    <row r="2468">
      <c r="A2468" s="17" t="s">
        <v>5768</v>
      </c>
      <c r="B2468" s="9"/>
      <c r="C2468" s="25"/>
      <c r="D2468" s="22" t="s">
        <v>5766</v>
      </c>
    </row>
    <row r="2469">
      <c r="A2469" s="17" t="s">
        <v>5769</v>
      </c>
      <c r="B2469" s="9"/>
      <c r="C2469" s="25"/>
      <c r="D2469" s="22" t="s">
        <v>5770</v>
      </c>
    </row>
    <row r="2470">
      <c r="A2470" s="17" t="s">
        <v>5771</v>
      </c>
      <c r="B2470" s="9"/>
      <c r="C2470" s="25"/>
      <c r="D2470" s="22" t="s">
        <v>5770</v>
      </c>
    </row>
    <row r="2471">
      <c r="A2471" s="17" t="s">
        <v>5776</v>
      </c>
      <c r="B2471" s="9"/>
      <c r="C2471" s="25"/>
      <c r="D2471" s="22" t="s">
        <v>5770</v>
      </c>
    </row>
    <row r="2472">
      <c r="A2472" s="17" t="s">
        <v>5777</v>
      </c>
      <c r="B2472" s="9"/>
      <c r="C2472" s="25"/>
      <c r="D2472" s="22" t="s">
        <v>5778</v>
      </c>
    </row>
    <row r="2473">
      <c r="A2473" s="17" t="s">
        <v>5779</v>
      </c>
      <c r="B2473" s="9"/>
      <c r="C2473" s="25"/>
      <c r="D2473" s="22" t="s">
        <v>5778</v>
      </c>
    </row>
    <row r="2474">
      <c r="A2474" s="17" t="s">
        <v>5782</v>
      </c>
      <c r="B2474" s="9"/>
      <c r="C2474" s="25"/>
      <c r="D2474" s="22" t="s">
        <v>5778</v>
      </c>
    </row>
    <row r="2475">
      <c r="A2475" s="17" t="s">
        <v>5783</v>
      </c>
      <c r="B2475" s="9"/>
      <c r="C2475" s="25"/>
      <c r="D2475" s="22" t="s">
        <v>5784</v>
      </c>
    </row>
    <row r="2476">
      <c r="A2476" s="17" t="s">
        <v>5785</v>
      </c>
      <c r="B2476" s="9"/>
      <c r="C2476" s="25"/>
      <c r="D2476" s="22" t="s">
        <v>5784</v>
      </c>
    </row>
    <row r="2477">
      <c r="A2477" s="17" t="s">
        <v>5786</v>
      </c>
      <c r="B2477" s="9"/>
      <c r="C2477" s="25"/>
      <c r="D2477" s="22" t="s">
        <v>5784</v>
      </c>
    </row>
    <row r="2478">
      <c r="A2478" s="17" t="s">
        <v>5787</v>
      </c>
      <c r="B2478" s="9"/>
      <c r="C2478" s="25"/>
      <c r="D2478" s="22" t="s">
        <v>5788</v>
      </c>
    </row>
    <row r="2479">
      <c r="A2479" s="17" t="s">
        <v>5789</v>
      </c>
      <c r="B2479" s="9"/>
      <c r="C2479" s="25"/>
      <c r="D2479" s="22" t="s">
        <v>5788</v>
      </c>
    </row>
    <row r="2480">
      <c r="A2480" s="17" t="s">
        <v>5792</v>
      </c>
      <c r="B2480" s="9"/>
      <c r="C2480" s="25"/>
      <c r="D2480" s="22" t="s">
        <v>5788</v>
      </c>
    </row>
    <row r="2481">
      <c r="A2481" s="17" t="s">
        <v>5795</v>
      </c>
      <c r="B2481" s="9"/>
      <c r="C2481" s="25"/>
      <c r="D2481" s="22" t="s">
        <v>5796</v>
      </c>
    </row>
    <row r="2482">
      <c r="A2482" s="17" t="s">
        <v>5797</v>
      </c>
      <c r="B2482" s="9"/>
      <c r="C2482" s="25"/>
      <c r="D2482" s="22" t="s">
        <v>5796</v>
      </c>
    </row>
    <row r="2483">
      <c r="A2483" s="17" t="s">
        <v>5798</v>
      </c>
      <c r="B2483" s="9"/>
      <c r="C2483" s="25"/>
      <c r="D2483" s="22" t="s">
        <v>5796</v>
      </c>
    </row>
    <row r="2484">
      <c r="A2484" s="17" t="s">
        <v>5799</v>
      </c>
      <c r="B2484" s="9"/>
      <c r="C2484" s="25"/>
      <c r="D2484" s="22" t="s">
        <v>5800</v>
      </c>
    </row>
    <row r="2485">
      <c r="A2485" s="17" t="s">
        <v>5803</v>
      </c>
      <c r="B2485" s="9"/>
      <c r="C2485" s="25"/>
      <c r="D2485" s="22" t="s">
        <v>5800</v>
      </c>
    </row>
    <row r="2486">
      <c r="A2486" s="17" t="s">
        <v>5805</v>
      </c>
      <c r="B2486" s="9"/>
      <c r="C2486" s="25"/>
      <c r="D2486" s="22" t="s">
        <v>5800</v>
      </c>
    </row>
    <row r="2487">
      <c r="A2487" s="17" t="s">
        <v>5806</v>
      </c>
      <c r="B2487" s="9"/>
      <c r="C2487" s="25"/>
      <c r="D2487" s="22" t="s">
        <v>5807</v>
      </c>
    </row>
    <row r="2488">
      <c r="A2488" s="17" t="s">
        <v>5808</v>
      </c>
      <c r="B2488" s="9"/>
      <c r="C2488" s="25"/>
      <c r="D2488" s="22" t="s">
        <v>5807</v>
      </c>
    </row>
    <row r="2489">
      <c r="A2489" s="17" t="s">
        <v>5809</v>
      </c>
      <c r="B2489" s="9"/>
      <c r="C2489" s="25"/>
      <c r="D2489" s="22" t="s">
        <v>5807</v>
      </c>
    </row>
    <row r="2490">
      <c r="A2490" s="17" t="s">
        <v>5812</v>
      </c>
      <c r="B2490" s="9"/>
      <c r="C2490" s="25"/>
      <c r="D2490" s="22" t="s">
        <v>5814</v>
      </c>
    </row>
    <row r="2491">
      <c r="A2491" s="17" t="s">
        <v>5816</v>
      </c>
      <c r="B2491" s="9"/>
      <c r="C2491" s="25"/>
      <c r="D2491" s="22" t="s">
        <v>5814</v>
      </c>
    </row>
    <row r="2492">
      <c r="A2492" s="17" t="s">
        <v>5817</v>
      </c>
      <c r="B2492" s="9"/>
      <c r="C2492" s="25"/>
      <c r="D2492" s="22" t="s">
        <v>5814</v>
      </c>
    </row>
    <row r="2493">
      <c r="A2493" s="17" t="s">
        <v>5818</v>
      </c>
      <c r="B2493" s="9"/>
      <c r="C2493" s="25"/>
      <c r="D2493" s="22" t="s">
        <v>5819</v>
      </c>
    </row>
    <row r="2494">
      <c r="A2494" s="17" t="s">
        <v>5820</v>
      </c>
      <c r="B2494" s="9"/>
      <c r="C2494" s="25"/>
      <c r="D2494" s="22" t="s">
        <v>5819</v>
      </c>
    </row>
    <row r="2495">
      <c r="A2495" s="17" t="s">
        <v>5821</v>
      </c>
      <c r="B2495" s="9"/>
      <c r="C2495" s="25"/>
      <c r="D2495" s="22" t="s">
        <v>5819</v>
      </c>
    </row>
    <row r="2496">
      <c r="A2496" s="17" t="s">
        <v>5825</v>
      </c>
      <c r="B2496" s="9"/>
      <c r="C2496" s="25"/>
      <c r="D2496" s="22" t="s">
        <v>5826</v>
      </c>
    </row>
    <row r="2497">
      <c r="A2497" s="17" t="s">
        <v>5827</v>
      </c>
      <c r="B2497" s="9"/>
      <c r="C2497" s="25"/>
      <c r="D2497" s="22" t="s">
        <v>5826</v>
      </c>
    </row>
    <row r="2498">
      <c r="A2498" s="17" t="s">
        <v>5828</v>
      </c>
      <c r="B2498" s="9"/>
      <c r="C2498" s="25"/>
      <c r="D2498" s="22" t="s">
        <v>5826</v>
      </c>
    </row>
    <row r="2499">
      <c r="A2499" s="17" t="s">
        <v>5829</v>
      </c>
      <c r="B2499" s="9"/>
      <c r="C2499" s="25"/>
      <c r="D2499" s="22" t="s">
        <v>5830</v>
      </c>
    </row>
    <row r="2500">
      <c r="A2500" s="17" t="s">
        <v>5831</v>
      </c>
      <c r="B2500" s="9"/>
      <c r="C2500" s="25"/>
      <c r="D2500" s="22" t="s">
        <v>5830</v>
      </c>
    </row>
    <row r="2501">
      <c r="A2501" s="17" t="s">
        <v>5833</v>
      </c>
      <c r="B2501" s="9"/>
      <c r="C2501" s="25"/>
      <c r="D2501" s="22" t="s">
        <v>5830</v>
      </c>
    </row>
    <row r="2502">
      <c r="A2502" s="17" t="s">
        <v>5835</v>
      </c>
      <c r="B2502" s="9"/>
      <c r="C2502" s="25"/>
      <c r="D2502" s="22" t="s">
        <v>5836</v>
      </c>
    </row>
    <row r="2503">
      <c r="A2503" s="17" t="s">
        <v>5837</v>
      </c>
      <c r="B2503" s="9"/>
      <c r="C2503" s="25"/>
      <c r="D2503" s="22" t="s">
        <v>5836</v>
      </c>
    </row>
    <row r="2504">
      <c r="A2504" s="17" t="s">
        <v>5840</v>
      </c>
      <c r="B2504" s="9"/>
      <c r="C2504" s="25"/>
      <c r="D2504" s="22" t="s">
        <v>5836</v>
      </c>
    </row>
    <row r="2505">
      <c r="A2505" s="17" t="s">
        <v>5841</v>
      </c>
      <c r="B2505" s="9"/>
      <c r="C2505" s="25"/>
      <c r="D2505" s="22" t="s">
        <v>5842</v>
      </c>
    </row>
    <row r="2506">
      <c r="A2506" s="17" t="s">
        <v>5843</v>
      </c>
      <c r="B2506" s="9"/>
      <c r="C2506" s="25"/>
      <c r="D2506" s="22" t="s">
        <v>5842</v>
      </c>
    </row>
    <row r="2507">
      <c r="A2507" s="17" t="s">
        <v>5845</v>
      </c>
      <c r="B2507" s="9"/>
      <c r="C2507" s="25"/>
      <c r="D2507" s="22" t="s">
        <v>5842</v>
      </c>
    </row>
    <row r="2508">
      <c r="A2508" s="17" t="s">
        <v>5846</v>
      </c>
      <c r="B2508" s="9"/>
      <c r="C2508" s="25"/>
      <c r="D2508" s="22" t="s">
        <v>5848</v>
      </c>
    </row>
    <row r="2509">
      <c r="A2509" s="17" t="s">
        <v>5850</v>
      </c>
      <c r="B2509" s="9"/>
      <c r="C2509" s="25"/>
      <c r="D2509" s="22" t="s">
        <v>5848</v>
      </c>
    </row>
    <row r="2510">
      <c r="A2510" s="17" t="s">
        <v>5851</v>
      </c>
      <c r="B2510" s="9"/>
      <c r="C2510" s="25"/>
      <c r="D2510" s="22" t="s">
        <v>5848</v>
      </c>
    </row>
    <row r="2511">
      <c r="A2511" s="17" t="s">
        <v>5852</v>
      </c>
      <c r="B2511" s="9"/>
      <c r="C2511" s="25"/>
      <c r="D2511" s="22" t="s">
        <v>5853</v>
      </c>
    </row>
    <row r="2512">
      <c r="A2512" s="17" t="s">
        <v>5854</v>
      </c>
      <c r="B2512" s="9"/>
      <c r="C2512" s="25"/>
      <c r="D2512" s="22" t="s">
        <v>5853</v>
      </c>
    </row>
    <row r="2513">
      <c r="A2513" s="17" t="s">
        <v>5862</v>
      </c>
      <c r="B2513" s="9"/>
      <c r="C2513" s="25"/>
      <c r="D2513" s="22" t="s">
        <v>5853</v>
      </c>
    </row>
    <row r="2514">
      <c r="A2514" s="17" t="s">
        <v>5863</v>
      </c>
      <c r="B2514" s="9"/>
      <c r="C2514" s="25"/>
      <c r="D2514" s="22" t="s">
        <v>5864</v>
      </c>
    </row>
    <row r="2515">
      <c r="A2515" s="17" t="s">
        <v>5865</v>
      </c>
      <c r="B2515" s="9"/>
      <c r="C2515" s="25"/>
      <c r="D2515" s="22" t="s">
        <v>5864</v>
      </c>
    </row>
    <row r="2516">
      <c r="A2516" s="17" t="s">
        <v>5870</v>
      </c>
      <c r="B2516" s="9"/>
      <c r="C2516" s="25"/>
      <c r="D2516" s="22" t="s">
        <v>5864</v>
      </c>
    </row>
    <row r="2517">
      <c r="A2517" s="17" t="s">
        <v>5871</v>
      </c>
      <c r="B2517" s="9"/>
      <c r="C2517" s="25"/>
      <c r="D2517" s="22" t="s">
        <v>5872</v>
      </c>
    </row>
    <row r="2518">
      <c r="A2518" s="17" t="s">
        <v>5873</v>
      </c>
      <c r="B2518" s="9"/>
      <c r="C2518" s="25"/>
      <c r="D2518" s="22" t="s">
        <v>5872</v>
      </c>
    </row>
    <row r="2519">
      <c r="A2519" s="17" t="s">
        <v>5874</v>
      </c>
      <c r="B2519" s="9"/>
      <c r="C2519" s="25"/>
      <c r="D2519" s="22" t="s">
        <v>5872</v>
      </c>
    </row>
    <row r="2520">
      <c r="A2520" s="17" t="s">
        <v>5875</v>
      </c>
      <c r="B2520" s="9"/>
      <c r="C2520" s="25"/>
      <c r="D2520" s="22" t="s">
        <v>5877</v>
      </c>
    </row>
    <row r="2521">
      <c r="A2521" s="17" t="s">
        <v>5879</v>
      </c>
      <c r="B2521" s="9"/>
      <c r="C2521" s="25"/>
      <c r="D2521" s="22" t="s">
        <v>5877</v>
      </c>
    </row>
    <row r="2522">
      <c r="A2522" s="17" t="s">
        <v>5881</v>
      </c>
      <c r="B2522" s="9"/>
      <c r="C2522" s="25"/>
      <c r="D2522" s="22" t="s">
        <v>5877</v>
      </c>
    </row>
    <row r="2523">
      <c r="A2523" s="17" t="s">
        <v>5882</v>
      </c>
      <c r="B2523" s="9"/>
      <c r="C2523" s="25"/>
      <c r="D2523" s="22" t="s">
        <v>5883</v>
      </c>
    </row>
    <row r="2524">
      <c r="A2524" s="17" t="s">
        <v>5884</v>
      </c>
      <c r="B2524" s="9"/>
      <c r="C2524" s="25"/>
      <c r="D2524" s="22" t="s">
        <v>5885</v>
      </c>
    </row>
    <row r="2525">
      <c r="A2525" s="17" t="s">
        <v>5886</v>
      </c>
      <c r="B2525" s="9"/>
      <c r="C2525" s="25"/>
      <c r="D2525" s="22" t="s">
        <v>5885</v>
      </c>
    </row>
    <row r="2526">
      <c r="A2526" s="17" t="s">
        <v>5888</v>
      </c>
      <c r="B2526" s="9"/>
      <c r="C2526" s="25"/>
      <c r="D2526" s="22" t="s">
        <v>5885</v>
      </c>
    </row>
    <row r="2527">
      <c r="A2527" s="17" t="s">
        <v>5893</v>
      </c>
      <c r="B2527" s="9"/>
      <c r="C2527" s="25"/>
      <c r="D2527" s="22" t="s">
        <v>5894</v>
      </c>
    </row>
    <row r="2528">
      <c r="A2528" s="17" t="s">
        <v>5895</v>
      </c>
      <c r="B2528" s="9"/>
      <c r="C2528" s="25"/>
      <c r="D2528" s="22" t="s">
        <v>5894</v>
      </c>
    </row>
    <row r="2529">
      <c r="A2529" s="17" t="s">
        <v>5896</v>
      </c>
      <c r="B2529" s="9"/>
      <c r="C2529" s="25"/>
      <c r="D2529" s="22" t="s">
        <v>5894</v>
      </c>
    </row>
    <row r="2530">
      <c r="A2530" s="17" t="s">
        <v>5897</v>
      </c>
      <c r="B2530" s="9"/>
      <c r="C2530" s="25"/>
      <c r="D2530" s="22" t="s">
        <v>5898</v>
      </c>
    </row>
    <row r="2531">
      <c r="A2531" s="17" t="s">
        <v>5899</v>
      </c>
      <c r="B2531" s="9"/>
      <c r="C2531" s="25"/>
      <c r="D2531" s="22" t="s">
        <v>5898</v>
      </c>
    </row>
    <row r="2532">
      <c r="A2532" s="17" t="s">
        <v>5900</v>
      </c>
      <c r="B2532" s="9"/>
      <c r="C2532" s="25"/>
      <c r="D2532" s="22" t="s">
        <v>5898</v>
      </c>
    </row>
    <row r="2533">
      <c r="A2533" s="17" t="s">
        <v>5903</v>
      </c>
      <c r="B2533" s="9"/>
      <c r="C2533" s="25"/>
      <c r="D2533" s="22" t="s">
        <v>5906</v>
      </c>
    </row>
    <row r="2534">
      <c r="A2534" s="17" t="s">
        <v>5907</v>
      </c>
      <c r="B2534" s="9"/>
      <c r="C2534" s="25"/>
      <c r="D2534" s="22" t="s">
        <v>5906</v>
      </c>
    </row>
    <row r="2535">
      <c r="A2535" s="17" t="s">
        <v>5908</v>
      </c>
      <c r="B2535" s="9"/>
      <c r="C2535" s="25"/>
      <c r="D2535" s="22" t="s">
        <v>5906</v>
      </c>
    </row>
    <row r="2536">
      <c r="A2536" s="17" t="s">
        <v>5909</v>
      </c>
      <c r="B2536" s="9"/>
      <c r="C2536" s="25"/>
      <c r="D2536" s="99" t="s">
        <v>2103</v>
      </c>
    </row>
    <row r="2537">
      <c r="A2537" s="17" t="s">
        <v>5910</v>
      </c>
      <c r="B2537" s="9"/>
      <c r="C2537" s="25"/>
      <c r="D2537" s="99" t="s">
        <v>2103</v>
      </c>
    </row>
    <row r="2538">
      <c r="A2538" s="17" t="s">
        <v>5911</v>
      </c>
      <c r="B2538" s="9"/>
      <c r="C2538" s="25"/>
      <c r="D2538" s="99" t="s">
        <v>2103</v>
      </c>
    </row>
    <row r="2539">
      <c r="A2539" s="17" t="s">
        <v>5916</v>
      </c>
      <c r="B2539" s="9"/>
      <c r="C2539" s="25"/>
      <c r="D2539" s="99" t="s">
        <v>2103</v>
      </c>
    </row>
    <row r="2540">
      <c r="A2540" s="17" t="s">
        <v>5917</v>
      </c>
      <c r="B2540" s="9"/>
      <c r="C2540" s="25"/>
      <c r="D2540" s="99" t="s">
        <v>2103</v>
      </c>
    </row>
    <row r="2541">
      <c r="A2541" s="17" t="s">
        <v>5918</v>
      </c>
      <c r="B2541" s="9"/>
      <c r="C2541" s="25"/>
      <c r="D2541" s="99" t="s">
        <v>2103</v>
      </c>
    </row>
    <row r="2542">
      <c r="A2542" s="17" t="s">
        <v>5919</v>
      </c>
      <c r="B2542" s="9"/>
      <c r="C2542" s="25"/>
      <c r="D2542" s="22" t="s">
        <v>5920</v>
      </c>
    </row>
    <row r="2543">
      <c r="A2543" s="17" t="s">
        <v>5921</v>
      </c>
      <c r="B2543" s="9"/>
      <c r="C2543" s="25"/>
      <c r="D2543" s="22" t="s">
        <v>5920</v>
      </c>
    </row>
    <row r="2544">
      <c r="A2544" s="17" t="s">
        <v>5923</v>
      </c>
      <c r="B2544" s="9"/>
      <c r="C2544" s="25"/>
      <c r="D2544" s="22" t="s">
        <v>5920</v>
      </c>
    </row>
    <row r="2545">
      <c r="A2545" s="17" t="s">
        <v>5927</v>
      </c>
      <c r="B2545" s="9"/>
      <c r="C2545" s="25"/>
      <c r="D2545" s="22" t="s">
        <v>5928</v>
      </c>
    </row>
    <row r="2546">
      <c r="A2546" s="17" t="s">
        <v>5929</v>
      </c>
      <c r="B2546" s="9"/>
      <c r="C2546" s="25"/>
      <c r="D2546" s="22" t="s">
        <v>5928</v>
      </c>
    </row>
    <row r="2547">
      <c r="A2547" s="17" t="s">
        <v>5930</v>
      </c>
      <c r="B2547" s="9"/>
      <c r="C2547" s="25"/>
      <c r="D2547" s="22" t="s">
        <v>5928</v>
      </c>
    </row>
    <row r="2548">
      <c r="A2548" s="17" t="s">
        <v>5931</v>
      </c>
      <c r="B2548" s="9"/>
      <c r="C2548" s="25"/>
      <c r="D2548" s="99" t="s">
        <v>2103</v>
      </c>
      <c r="E2548" s="35" t="s">
        <v>5932</v>
      </c>
    </row>
    <row r="2549">
      <c r="A2549" s="17" t="s">
        <v>5934</v>
      </c>
      <c r="B2549" s="9"/>
      <c r="C2549" s="25"/>
      <c r="D2549" s="99" t="s">
        <v>2103</v>
      </c>
    </row>
    <row r="2550">
      <c r="A2550" s="17" t="s">
        <v>5938</v>
      </c>
      <c r="B2550" s="9"/>
      <c r="C2550" s="25"/>
      <c r="D2550" s="99" t="s">
        <v>2103</v>
      </c>
    </row>
    <row r="2551">
      <c r="A2551" s="17" t="s">
        <v>5941</v>
      </c>
      <c r="B2551" s="9"/>
      <c r="C2551" s="25"/>
      <c r="D2551" s="99" t="s">
        <v>2103</v>
      </c>
    </row>
    <row r="2552">
      <c r="A2552" s="17" t="s">
        <v>5942</v>
      </c>
      <c r="B2552" s="9"/>
      <c r="C2552" s="25"/>
      <c r="D2552" s="99" t="s">
        <v>2103</v>
      </c>
    </row>
    <row r="2553">
      <c r="A2553" s="17" t="s">
        <v>5943</v>
      </c>
      <c r="B2553" s="9"/>
      <c r="C2553" s="25"/>
      <c r="D2553" s="99" t="s">
        <v>2103</v>
      </c>
    </row>
    <row r="2554">
      <c r="A2554" s="17" t="s">
        <v>5944</v>
      </c>
      <c r="B2554" s="9"/>
      <c r="C2554" s="25"/>
      <c r="D2554" s="99" t="s">
        <v>2103</v>
      </c>
    </row>
    <row r="2555">
      <c r="A2555" s="17" t="s">
        <v>5945</v>
      </c>
      <c r="B2555" s="9"/>
      <c r="C2555" s="25"/>
      <c r="D2555" s="99" t="s">
        <v>2103</v>
      </c>
    </row>
    <row r="2556">
      <c r="A2556" s="17" t="s">
        <v>5949</v>
      </c>
      <c r="B2556" s="9"/>
      <c r="C2556" s="25"/>
      <c r="D2556" s="99" t="s">
        <v>2103</v>
      </c>
    </row>
    <row r="2557">
      <c r="A2557" s="17" t="s">
        <v>5951</v>
      </c>
      <c r="B2557" s="9"/>
      <c r="C2557" s="25"/>
      <c r="D2557" s="99" t="s">
        <v>2103</v>
      </c>
    </row>
    <row r="2558">
      <c r="A2558" s="17" t="s">
        <v>5952</v>
      </c>
      <c r="B2558" s="9"/>
      <c r="C2558" s="25"/>
      <c r="D2558" s="99" t="s">
        <v>2103</v>
      </c>
    </row>
    <row r="2559">
      <c r="A2559" s="17" t="s">
        <v>5953</v>
      </c>
      <c r="B2559" s="9"/>
      <c r="C2559" s="25"/>
      <c r="D2559" s="99" t="s">
        <v>2103</v>
      </c>
    </row>
    <row r="2560">
      <c r="A2560" s="17" t="s">
        <v>5954</v>
      </c>
      <c r="B2560" s="9"/>
      <c r="C2560" s="25"/>
      <c r="D2560" s="99" t="s">
        <v>2103</v>
      </c>
    </row>
    <row r="2561">
      <c r="A2561" s="17" t="s">
        <v>5955</v>
      </c>
      <c r="B2561" s="9"/>
      <c r="C2561" s="25"/>
      <c r="D2561" s="99" t="s">
        <v>2103</v>
      </c>
    </row>
    <row r="2562">
      <c r="A2562" s="17" t="s">
        <v>5959</v>
      </c>
      <c r="B2562" s="9"/>
      <c r="C2562" s="25"/>
      <c r="D2562" s="99" t="s">
        <v>2103</v>
      </c>
    </row>
    <row r="2563">
      <c r="A2563" s="17" t="s">
        <v>5960</v>
      </c>
      <c r="B2563" s="9"/>
      <c r="C2563" s="25"/>
      <c r="D2563" s="99" t="s">
        <v>2103</v>
      </c>
    </row>
    <row r="2564">
      <c r="A2564" s="17" t="s">
        <v>5961</v>
      </c>
      <c r="B2564" s="9"/>
      <c r="C2564" s="25"/>
      <c r="D2564" s="99" t="s">
        <v>2103</v>
      </c>
    </row>
    <row r="2565">
      <c r="A2565" s="17" t="s">
        <v>5962</v>
      </c>
      <c r="B2565" s="9"/>
      <c r="C2565" s="25"/>
      <c r="D2565" s="99" t="s">
        <v>2103</v>
      </c>
    </row>
    <row r="2566">
      <c r="A2566" s="17" t="s">
        <v>5963</v>
      </c>
      <c r="B2566" s="9"/>
      <c r="C2566" s="25"/>
      <c r="D2566" s="99" t="s">
        <v>2103</v>
      </c>
    </row>
    <row r="2567">
      <c r="A2567" s="17" t="s">
        <v>5964</v>
      </c>
      <c r="B2567" s="9"/>
      <c r="C2567" s="25"/>
      <c r="D2567" s="99" t="s">
        <v>2103</v>
      </c>
    </row>
    <row r="2568">
      <c r="A2568" s="17" t="s">
        <v>5970</v>
      </c>
      <c r="B2568" s="9"/>
      <c r="C2568" s="25"/>
      <c r="D2568" s="99" t="s">
        <v>2103</v>
      </c>
    </row>
    <row r="2569">
      <c r="A2569" s="17" t="s">
        <v>5972</v>
      </c>
      <c r="B2569" s="9"/>
      <c r="C2569" s="25"/>
      <c r="D2569" s="99" t="s">
        <v>2103</v>
      </c>
    </row>
    <row r="2570">
      <c r="A2570" s="17" t="s">
        <v>5974</v>
      </c>
      <c r="B2570" s="9"/>
      <c r="C2570" s="25"/>
      <c r="D2570" s="99" t="s">
        <v>2103</v>
      </c>
    </row>
    <row r="2571">
      <c r="A2571" s="17" t="s">
        <v>5975</v>
      </c>
      <c r="B2571" s="9"/>
      <c r="C2571" s="25"/>
      <c r="D2571" s="99" t="s">
        <v>2103</v>
      </c>
    </row>
    <row r="2572">
      <c r="A2572" s="17" t="s">
        <v>5976</v>
      </c>
      <c r="B2572" s="9"/>
      <c r="C2572" s="25"/>
      <c r="D2572" s="99" t="s">
        <v>2103</v>
      </c>
    </row>
    <row r="2573">
      <c r="A2573" s="17" t="s">
        <v>5977</v>
      </c>
      <c r="B2573" s="9"/>
      <c r="C2573" s="25"/>
      <c r="D2573" s="99" t="s">
        <v>2103</v>
      </c>
    </row>
    <row r="2574">
      <c r="A2574" s="17" t="s">
        <v>5980</v>
      </c>
      <c r="B2574" s="9"/>
      <c r="C2574" s="25"/>
      <c r="D2574" s="99" t="s">
        <v>2103</v>
      </c>
    </row>
    <row r="2575">
      <c r="A2575" s="17" t="s">
        <v>5983</v>
      </c>
      <c r="B2575" s="9"/>
      <c r="C2575" s="25"/>
      <c r="D2575" s="99" t="s">
        <v>2103</v>
      </c>
    </row>
    <row r="2576">
      <c r="A2576" s="17" t="s">
        <v>5984</v>
      </c>
      <c r="B2576" s="9"/>
      <c r="C2576" s="25"/>
      <c r="D2576" s="99" t="s">
        <v>2103</v>
      </c>
    </row>
    <row r="2577">
      <c r="A2577" s="17" t="s">
        <v>5985</v>
      </c>
      <c r="B2577" s="9"/>
      <c r="C2577" s="25"/>
      <c r="D2577" s="99" t="s">
        <v>2103</v>
      </c>
    </row>
    <row r="2578">
      <c r="A2578" s="17" t="s">
        <v>5986</v>
      </c>
      <c r="B2578" s="9"/>
      <c r="C2578" s="25"/>
      <c r="D2578" s="99" t="s">
        <v>2103</v>
      </c>
    </row>
    <row r="2579">
      <c r="A2579" s="17" t="s">
        <v>5987</v>
      </c>
      <c r="B2579" s="9"/>
      <c r="C2579" s="25"/>
      <c r="D2579" s="99" t="s">
        <v>2103</v>
      </c>
    </row>
    <row r="2580">
      <c r="A2580" s="17" t="s">
        <v>5990</v>
      </c>
      <c r="B2580" s="9"/>
      <c r="C2580" s="25"/>
      <c r="D2580" s="99" t="s">
        <v>2103</v>
      </c>
    </row>
    <row r="2581">
      <c r="A2581" s="17" t="s">
        <v>5991</v>
      </c>
      <c r="B2581" s="9"/>
      <c r="C2581" s="25"/>
      <c r="D2581" s="99" t="s">
        <v>2103</v>
      </c>
    </row>
    <row r="2582">
      <c r="A2582" s="17" t="s">
        <v>5994</v>
      </c>
      <c r="B2582" s="9"/>
      <c r="C2582" s="25"/>
      <c r="D2582" s="99" t="s">
        <v>2103</v>
      </c>
    </row>
    <row r="2583">
      <c r="A2583" s="17" t="s">
        <v>5996</v>
      </c>
      <c r="B2583" s="9"/>
      <c r="C2583" s="25"/>
      <c r="D2583" s="99" t="s">
        <v>2103</v>
      </c>
    </row>
    <row r="2584">
      <c r="A2584" s="17" t="s">
        <v>5997</v>
      </c>
      <c r="B2584" s="9"/>
      <c r="C2584" s="25"/>
      <c r="D2584" s="99" t="s">
        <v>2103</v>
      </c>
    </row>
    <row r="2585">
      <c r="A2585" s="17" t="s">
        <v>5999</v>
      </c>
      <c r="B2585" s="9"/>
      <c r="C2585" s="25"/>
      <c r="D2585" s="99" t="s">
        <v>2103</v>
      </c>
    </row>
    <row r="2586">
      <c r="A2586" s="17" t="s">
        <v>6001</v>
      </c>
      <c r="B2586" s="9"/>
      <c r="C2586" s="25"/>
      <c r="D2586" s="99" t="s">
        <v>2103</v>
      </c>
    </row>
    <row r="2587">
      <c r="A2587" s="17" t="s">
        <v>6002</v>
      </c>
      <c r="B2587" s="9"/>
      <c r="C2587" s="25"/>
      <c r="D2587" s="99" t="s">
        <v>2103</v>
      </c>
    </row>
    <row r="2588">
      <c r="A2588" s="17" t="s">
        <v>6005</v>
      </c>
      <c r="B2588" s="9"/>
      <c r="C2588" s="25"/>
      <c r="D2588" s="99" t="s">
        <v>2103</v>
      </c>
    </row>
    <row r="2589">
      <c r="A2589" s="17" t="s">
        <v>6007</v>
      </c>
      <c r="B2589" s="9"/>
      <c r="C2589" s="25"/>
      <c r="D2589" s="99" t="s">
        <v>2103</v>
      </c>
    </row>
    <row r="2590">
      <c r="A2590" s="17" t="s">
        <v>6008</v>
      </c>
      <c r="B2590" s="9"/>
      <c r="C2590" s="25"/>
      <c r="D2590" s="99" t="s">
        <v>2103</v>
      </c>
    </row>
    <row r="2591">
      <c r="A2591" s="17" t="s">
        <v>6012</v>
      </c>
      <c r="B2591" s="9"/>
      <c r="C2591" s="25"/>
      <c r="D2591" s="99" t="s">
        <v>2103</v>
      </c>
    </row>
    <row r="2592">
      <c r="A2592" s="17" t="s">
        <v>6013</v>
      </c>
      <c r="B2592" s="9"/>
      <c r="C2592" s="25"/>
      <c r="D2592" s="99" t="s">
        <v>2103</v>
      </c>
    </row>
    <row r="2593">
      <c r="A2593" s="17" t="s">
        <v>6014</v>
      </c>
      <c r="B2593" s="9"/>
      <c r="C2593" s="25"/>
      <c r="D2593" s="99" t="s">
        <v>2103</v>
      </c>
    </row>
    <row r="2594">
      <c r="A2594" s="17" t="s">
        <v>6015</v>
      </c>
      <c r="B2594" s="9"/>
      <c r="C2594" s="25"/>
      <c r="D2594" s="99" t="s">
        <v>2103</v>
      </c>
    </row>
    <row r="2595">
      <c r="A2595" s="17" t="s">
        <v>6016</v>
      </c>
      <c r="B2595" s="9"/>
      <c r="C2595" s="25"/>
      <c r="D2595" s="99" t="s">
        <v>2103</v>
      </c>
    </row>
    <row r="2596">
      <c r="A2596" s="17" t="s">
        <v>6020</v>
      </c>
      <c r="B2596" s="9"/>
      <c r="C2596" s="25"/>
      <c r="D2596" s="99" t="s">
        <v>2103</v>
      </c>
    </row>
    <row r="2597">
      <c r="A2597" s="17" t="s">
        <v>6023</v>
      </c>
      <c r="B2597" s="9"/>
      <c r="C2597" s="25"/>
      <c r="D2597" s="99" t="s">
        <v>2103</v>
      </c>
    </row>
    <row r="2598">
      <c r="A2598" s="17" t="s">
        <v>6024</v>
      </c>
      <c r="B2598" s="9"/>
      <c r="C2598" s="25"/>
      <c r="D2598" s="99" t="s">
        <v>2103</v>
      </c>
    </row>
    <row r="2599">
      <c r="A2599" s="17" t="s">
        <v>6025</v>
      </c>
      <c r="B2599" s="9"/>
      <c r="C2599" s="25"/>
      <c r="D2599" s="99" t="s">
        <v>2103</v>
      </c>
    </row>
    <row r="2600">
      <c r="A2600" s="17" t="s">
        <v>6026</v>
      </c>
      <c r="B2600" s="9"/>
      <c r="C2600" s="25"/>
      <c r="D2600" s="99" t="s">
        <v>2103</v>
      </c>
    </row>
    <row r="2601">
      <c r="A2601" s="17" t="s">
        <v>6028</v>
      </c>
      <c r="B2601" s="9"/>
      <c r="C2601" s="25"/>
      <c r="D2601" s="99" t="s">
        <v>2103</v>
      </c>
    </row>
    <row r="2602">
      <c r="A2602" s="17" t="s">
        <v>6032</v>
      </c>
      <c r="B2602" s="9"/>
      <c r="C2602" s="25"/>
      <c r="D2602" s="99" t="s">
        <v>2103</v>
      </c>
    </row>
    <row r="2603">
      <c r="A2603" s="17" t="s">
        <v>6034</v>
      </c>
      <c r="B2603" s="9"/>
      <c r="C2603" s="25"/>
      <c r="D2603" s="99" t="s">
        <v>2103</v>
      </c>
    </row>
    <row r="2604">
      <c r="A2604" s="17" t="s">
        <v>6035</v>
      </c>
      <c r="B2604" s="9"/>
      <c r="C2604" s="25"/>
      <c r="D2604" s="99" t="s">
        <v>2103</v>
      </c>
    </row>
    <row r="2605">
      <c r="A2605" s="17" t="s">
        <v>6036</v>
      </c>
      <c r="B2605" s="9"/>
      <c r="C2605" s="25"/>
      <c r="D2605" s="99" t="s">
        <v>2103</v>
      </c>
    </row>
    <row r="2606">
      <c r="A2606" s="17" t="s">
        <v>6037</v>
      </c>
      <c r="B2606" s="9"/>
      <c r="C2606" s="25"/>
      <c r="D2606" s="99" t="s">
        <v>2103</v>
      </c>
    </row>
    <row r="2607">
      <c r="A2607" s="17" t="s">
        <v>6040</v>
      </c>
      <c r="B2607" s="9"/>
      <c r="C2607" s="25"/>
      <c r="D2607" s="99" t="s">
        <v>2103</v>
      </c>
    </row>
    <row r="2608">
      <c r="A2608" s="17" t="s">
        <v>6042</v>
      </c>
      <c r="B2608" s="9"/>
      <c r="C2608" s="25"/>
      <c r="D2608" s="99" t="s">
        <v>2103</v>
      </c>
    </row>
    <row r="2609">
      <c r="A2609" s="17" t="s">
        <v>6043</v>
      </c>
      <c r="B2609" s="9"/>
      <c r="C2609" s="25"/>
      <c r="D2609" s="99" t="s">
        <v>2103</v>
      </c>
    </row>
    <row r="2610">
      <c r="A2610" s="17" t="s">
        <v>6044</v>
      </c>
      <c r="B2610" s="9"/>
      <c r="C2610" s="25"/>
      <c r="D2610" s="99" t="s">
        <v>2103</v>
      </c>
    </row>
    <row r="2611">
      <c r="A2611" s="17" t="s">
        <v>6045</v>
      </c>
      <c r="B2611" s="9"/>
      <c r="C2611" s="25"/>
      <c r="D2611" s="99" t="s">
        <v>2103</v>
      </c>
    </row>
    <row r="2612">
      <c r="A2612" s="17" t="s">
        <v>6046</v>
      </c>
      <c r="B2612" s="9"/>
      <c r="C2612" s="25"/>
      <c r="D2612" s="99" t="s">
        <v>2103</v>
      </c>
    </row>
    <row r="2613">
      <c r="A2613" s="17" t="s">
        <v>6049</v>
      </c>
      <c r="B2613" s="9"/>
      <c r="C2613" s="25"/>
      <c r="D2613" s="99" t="s">
        <v>2103</v>
      </c>
    </row>
    <row r="2614">
      <c r="A2614" s="17" t="s">
        <v>6051</v>
      </c>
      <c r="B2614" s="9"/>
      <c r="C2614" s="25"/>
      <c r="D2614" s="99" t="s">
        <v>2103</v>
      </c>
    </row>
    <row r="2615">
      <c r="A2615" s="17" t="s">
        <v>6052</v>
      </c>
      <c r="B2615" s="9"/>
      <c r="C2615" s="25"/>
      <c r="D2615" s="99" t="s">
        <v>2103</v>
      </c>
    </row>
    <row r="2616">
      <c r="A2616" s="17" t="s">
        <v>6053</v>
      </c>
      <c r="B2616" s="9"/>
      <c r="C2616" s="25"/>
      <c r="D2616" s="99" t="s">
        <v>2103</v>
      </c>
    </row>
    <row r="2617">
      <c r="A2617" s="17" t="s">
        <v>6054</v>
      </c>
      <c r="B2617" s="9"/>
      <c r="C2617" s="25"/>
      <c r="D2617" s="99" t="s">
        <v>2103</v>
      </c>
    </row>
    <row r="2618">
      <c r="A2618" s="17" t="s">
        <v>6058</v>
      </c>
      <c r="B2618" s="9"/>
      <c r="C2618" s="25"/>
      <c r="D2618" s="99" t="s">
        <v>2103</v>
      </c>
    </row>
    <row r="2619">
      <c r="A2619" s="17" t="s">
        <v>6059</v>
      </c>
      <c r="B2619" s="9"/>
      <c r="C2619" s="25"/>
      <c r="D2619" s="99" t="s">
        <v>2103</v>
      </c>
    </row>
    <row r="2620">
      <c r="A2620" s="17" t="s">
        <v>6060</v>
      </c>
      <c r="B2620" s="9"/>
      <c r="C2620" s="25"/>
      <c r="D2620" s="99" t="s">
        <v>2103</v>
      </c>
    </row>
    <row r="2621">
      <c r="A2621" s="17" t="s">
        <v>6062</v>
      </c>
      <c r="B2621" s="9"/>
      <c r="C2621" s="25"/>
      <c r="D2621" s="99" t="s">
        <v>2103</v>
      </c>
    </row>
    <row r="2622">
      <c r="A2622" s="17" t="s">
        <v>6066</v>
      </c>
      <c r="B2622" s="9"/>
      <c r="C2622" s="25"/>
      <c r="D2622" s="99" t="s">
        <v>2103</v>
      </c>
    </row>
    <row r="2623">
      <c r="A2623" s="17" t="s">
        <v>6068</v>
      </c>
      <c r="B2623" s="9"/>
      <c r="C2623" s="25"/>
      <c r="D2623" s="99" t="s">
        <v>2103</v>
      </c>
    </row>
    <row r="2624">
      <c r="A2624" s="17" t="s">
        <v>6070</v>
      </c>
      <c r="B2624" s="9"/>
      <c r="C2624" s="25"/>
      <c r="D2624" s="99" t="s">
        <v>2103</v>
      </c>
    </row>
    <row r="2625">
      <c r="A2625" s="17" t="s">
        <v>6071</v>
      </c>
      <c r="B2625" s="9"/>
      <c r="C2625" s="25"/>
      <c r="D2625" s="99" t="s">
        <v>2103</v>
      </c>
    </row>
    <row r="2626">
      <c r="A2626" s="17" t="s">
        <v>6072</v>
      </c>
      <c r="B2626" s="9"/>
      <c r="C2626" s="25"/>
      <c r="D2626" s="99" t="s">
        <v>2103</v>
      </c>
    </row>
    <row r="2627">
      <c r="A2627" s="17" t="s">
        <v>6073</v>
      </c>
      <c r="B2627" s="9"/>
      <c r="C2627" s="25"/>
      <c r="D2627" s="99" t="s">
        <v>2103</v>
      </c>
    </row>
    <row r="2628">
      <c r="A2628" s="17" t="s">
        <v>6074</v>
      </c>
      <c r="B2628" s="9"/>
      <c r="C2628" s="25"/>
      <c r="D2628" s="99" t="s">
        <v>2103</v>
      </c>
    </row>
    <row r="2629">
      <c r="A2629" s="17" t="s">
        <v>6078</v>
      </c>
      <c r="B2629" s="9"/>
      <c r="C2629" s="25"/>
      <c r="D2629" s="99" t="s">
        <v>2103</v>
      </c>
    </row>
    <row r="2630">
      <c r="A2630" s="17" t="s">
        <v>6080</v>
      </c>
      <c r="B2630" s="9"/>
      <c r="C2630" s="25"/>
      <c r="D2630" s="99" t="s">
        <v>2103</v>
      </c>
    </row>
    <row r="2631">
      <c r="A2631" s="17" t="s">
        <v>6081</v>
      </c>
      <c r="B2631" s="9"/>
      <c r="C2631" s="25"/>
      <c r="D2631" s="99" t="s">
        <v>2103</v>
      </c>
    </row>
    <row r="2632">
      <c r="A2632" s="17" t="s">
        <v>6082</v>
      </c>
      <c r="B2632" s="9"/>
      <c r="C2632" s="25"/>
      <c r="D2632" s="99" t="s">
        <v>2103</v>
      </c>
    </row>
    <row r="2633">
      <c r="A2633" s="17" t="s">
        <v>6083</v>
      </c>
      <c r="B2633" s="9"/>
      <c r="C2633" s="25"/>
      <c r="D2633" s="99" t="s">
        <v>2103</v>
      </c>
    </row>
    <row r="2634">
      <c r="A2634" s="17" t="s">
        <v>6084</v>
      </c>
      <c r="B2634" s="9"/>
      <c r="C2634" s="25"/>
      <c r="D2634" s="99" t="s">
        <v>2103</v>
      </c>
    </row>
    <row r="2635">
      <c r="A2635" s="17" t="s">
        <v>6085</v>
      </c>
      <c r="B2635" s="9"/>
      <c r="C2635" s="25"/>
      <c r="D2635" s="99" t="s">
        <v>2103</v>
      </c>
    </row>
    <row r="2636">
      <c r="A2636" s="17" t="s">
        <v>6089</v>
      </c>
      <c r="B2636" s="9"/>
      <c r="C2636" s="25"/>
      <c r="D2636" s="99" t="s">
        <v>2103</v>
      </c>
    </row>
    <row r="2637">
      <c r="A2637" s="17" t="s">
        <v>6090</v>
      </c>
      <c r="B2637" s="9"/>
      <c r="C2637" s="25"/>
      <c r="D2637" s="99" t="s">
        <v>2103</v>
      </c>
    </row>
    <row r="2638">
      <c r="A2638" s="17" t="s">
        <v>6091</v>
      </c>
      <c r="B2638" s="9"/>
      <c r="C2638" s="25"/>
      <c r="D2638" s="99" t="s">
        <v>2103</v>
      </c>
    </row>
    <row r="2639">
      <c r="A2639" s="17" t="s">
        <v>6092</v>
      </c>
      <c r="B2639" s="9"/>
      <c r="C2639" s="25"/>
      <c r="D2639" s="99" t="s">
        <v>2103</v>
      </c>
    </row>
    <row r="2640">
      <c r="A2640" s="17" t="s">
        <v>6093</v>
      </c>
      <c r="B2640" s="9"/>
      <c r="C2640" s="25"/>
      <c r="D2640" s="99" t="s">
        <v>2103</v>
      </c>
    </row>
    <row r="2641">
      <c r="A2641" s="17" t="s">
        <v>6094</v>
      </c>
      <c r="B2641" s="9"/>
      <c r="C2641" s="25"/>
      <c r="D2641" s="99" t="s">
        <v>2103</v>
      </c>
    </row>
    <row r="2642">
      <c r="A2642" s="17" t="s">
        <v>6097</v>
      </c>
      <c r="B2642" s="9"/>
      <c r="C2642" s="25"/>
      <c r="D2642" s="99" t="s">
        <v>2103</v>
      </c>
    </row>
    <row r="2643">
      <c r="A2643" s="17" t="s">
        <v>6099</v>
      </c>
      <c r="B2643" s="9"/>
      <c r="C2643" s="25"/>
      <c r="D2643" s="99" t="s">
        <v>2103</v>
      </c>
    </row>
    <row r="2644">
      <c r="A2644" s="17" t="s">
        <v>6100</v>
      </c>
      <c r="B2644" s="9"/>
      <c r="C2644" s="25"/>
      <c r="D2644" s="99" t="s">
        <v>2103</v>
      </c>
    </row>
    <row r="2645">
      <c r="A2645" s="17" t="s">
        <v>6101</v>
      </c>
      <c r="B2645" s="9"/>
      <c r="C2645" s="25"/>
      <c r="D2645" s="99" t="s">
        <v>2103</v>
      </c>
    </row>
    <row r="2646">
      <c r="A2646" s="17" t="s">
        <v>6102</v>
      </c>
      <c r="B2646" s="9"/>
      <c r="C2646" s="25"/>
      <c r="D2646" s="99" t="s">
        <v>2103</v>
      </c>
    </row>
    <row r="2647">
      <c r="A2647" s="17" t="s">
        <v>6103</v>
      </c>
      <c r="B2647" s="9"/>
      <c r="C2647" s="25"/>
      <c r="D2647" s="99" t="s">
        <v>2103</v>
      </c>
    </row>
    <row r="2648">
      <c r="A2648" s="17" t="s">
        <v>6104</v>
      </c>
      <c r="B2648" s="9"/>
      <c r="C2648" s="25"/>
      <c r="D2648" s="99" t="s">
        <v>2103</v>
      </c>
    </row>
    <row r="2649">
      <c r="A2649" s="17" t="s">
        <v>6107</v>
      </c>
      <c r="B2649" s="9"/>
      <c r="C2649" s="25"/>
      <c r="D2649" s="99" t="s">
        <v>2103</v>
      </c>
    </row>
    <row r="2650">
      <c r="A2650" s="17" t="s">
        <v>6109</v>
      </c>
      <c r="B2650" s="9"/>
      <c r="C2650" s="25"/>
      <c r="D2650" s="99" t="s">
        <v>2103</v>
      </c>
    </row>
    <row r="2651">
      <c r="A2651" s="17" t="s">
        <v>6110</v>
      </c>
      <c r="B2651" s="9"/>
      <c r="C2651" s="25"/>
      <c r="D2651" s="99" t="s">
        <v>2103</v>
      </c>
    </row>
    <row r="2652">
      <c r="A2652" s="17" t="s">
        <v>6111</v>
      </c>
      <c r="B2652" s="9"/>
      <c r="C2652" s="25"/>
      <c r="D2652" s="99" t="s">
        <v>2103</v>
      </c>
    </row>
    <row r="2653">
      <c r="A2653" s="17" t="s">
        <v>6112</v>
      </c>
      <c r="B2653" s="9"/>
      <c r="C2653" s="25"/>
      <c r="D2653" s="99" t="s">
        <v>2103</v>
      </c>
    </row>
    <row r="2654">
      <c r="A2654" s="17" t="s">
        <v>6113</v>
      </c>
      <c r="B2654" s="9"/>
      <c r="C2654" s="25"/>
      <c r="D2654" s="99" t="s">
        <v>2103</v>
      </c>
    </row>
    <row r="2655">
      <c r="A2655" s="17" t="s">
        <v>6116</v>
      </c>
      <c r="B2655" s="9"/>
      <c r="C2655" s="25"/>
      <c r="D2655" s="99" t="s">
        <v>2103</v>
      </c>
    </row>
    <row r="2656">
      <c r="A2656" s="17" t="s">
        <v>6117</v>
      </c>
      <c r="B2656" s="9"/>
      <c r="C2656" s="25"/>
      <c r="D2656" s="99" t="s">
        <v>2103</v>
      </c>
    </row>
    <row r="2657">
      <c r="A2657" s="17" t="s">
        <v>6118</v>
      </c>
      <c r="B2657" s="9"/>
      <c r="C2657" s="25"/>
      <c r="D2657" s="99" t="s">
        <v>2103</v>
      </c>
    </row>
    <row r="2658">
      <c r="A2658" s="17" t="s">
        <v>6119</v>
      </c>
      <c r="B2658" s="9"/>
      <c r="C2658" s="25"/>
      <c r="D2658" s="99" t="s">
        <v>2103</v>
      </c>
    </row>
    <row r="2659">
      <c r="A2659" s="17" t="s">
        <v>6120</v>
      </c>
      <c r="B2659" s="9"/>
      <c r="C2659" s="25"/>
      <c r="D2659" s="99" t="s">
        <v>2103</v>
      </c>
    </row>
    <row r="2660">
      <c r="A2660" s="17" t="s">
        <v>6121</v>
      </c>
      <c r="B2660" s="9"/>
      <c r="C2660" s="25"/>
      <c r="D2660" s="99" t="s">
        <v>2103</v>
      </c>
    </row>
    <row r="2661">
      <c r="A2661" s="17" t="s">
        <v>6122</v>
      </c>
      <c r="B2661" s="9"/>
      <c r="C2661" s="25"/>
      <c r="D2661" s="99" t="s">
        <v>2103</v>
      </c>
    </row>
    <row r="2662">
      <c r="A2662" s="17" t="s">
        <v>6123</v>
      </c>
      <c r="B2662" s="9"/>
      <c r="C2662" s="25"/>
      <c r="D2662" s="99" t="s">
        <v>2103</v>
      </c>
    </row>
    <row r="2663">
      <c r="A2663" s="17" t="s">
        <v>6126</v>
      </c>
      <c r="B2663" s="9"/>
      <c r="C2663" s="25"/>
      <c r="D2663" s="99" t="s">
        <v>2103</v>
      </c>
    </row>
    <row r="2664">
      <c r="A2664" s="17" t="s">
        <v>6127</v>
      </c>
      <c r="B2664" s="9"/>
      <c r="C2664" s="25"/>
      <c r="D2664" s="99" t="s">
        <v>2103</v>
      </c>
    </row>
    <row r="2665">
      <c r="A2665" s="17" t="s">
        <v>6128</v>
      </c>
      <c r="B2665" s="9"/>
      <c r="C2665" s="25"/>
      <c r="D2665" s="99" t="s">
        <v>2103</v>
      </c>
    </row>
    <row r="2666">
      <c r="A2666" s="17" t="s">
        <v>6129</v>
      </c>
      <c r="B2666" s="9"/>
      <c r="C2666" s="25"/>
      <c r="D2666" s="99" t="s">
        <v>2103</v>
      </c>
    </row>
    <row r="2667">
      <c r="A2667" s="17" t="s">
        <v>6130</v>
      </c>
      <c r="B2667" s="9"/>
      <c r="C2667" s="25"/>
      <c r="D2667" s="99" t="s">
        <v>2103</v>
      </c>
    </row>
    <row r="2668">
      <c r="A2668" s="17" t="s">
        <v>6131</v>
      </c>
      <c r="B2668" s="9"/>
      <c r="C2668" s="25"/>
      <c r="D2668" s="99" t="s">
        <v>2103</v>
      </c>
    </row>
    <row r="2669">
      <c r="A2669" s="17" t="s">
        <v>6134</v>
      </c>
      <c r="B2669" s="9"/>
      <c r="C2669" s="25"/>
      <c r="D2669" s="99" t="s">
        <v>2103</v>
      </c>
    </row>
    <row r="2670">
      <c r="A2670" s="17" t="s">
        <v>6135</v>
      </c>
      <c r="B2670" s="9"/>
      <c r="C2670" s="25"/>
      <c r="D2670" s="99" t="s">
        <v>2103</v>
      </c>
    </row>
    <row r="2671">
      <c r="A2671" s="17" t="s">
        <v>6136</v>
      </c>
      <c r="B2671" s="9"/>
      <c r="C2671" s="25"/>
      <c r="D2671" s="99" t="s">
        <v>2103</v>
      </c>
    </row>
    <row r="2672">
      <c r="A2672" s="17" t="s">
        <v>6137</v>
      </c>
      <c r="B2672" s="9"/>
      <c r="C2672" s="25"/>
      <c r="D2672" s="99" t="s">
        <v>2103</v>
      </c>
    </row>
    <row r="2673">
      <c r="A2673" s="17" t="s">
        <v>6138</v>
      </c>
      <c r="B2673" s="9"/>
      <c r="C2673" s="25"/>
      <c r="D2673" s="99" t="s">
        <v>2103</v>
      </c>
    </row>
    <row r="2674">
      <c r="A2674" s="17" t="s">
        <v>6139</v>
      </c>
      <c r="B2674" s="9"/>
      <c r="C2674" s="25"/>
      <c r="D2674" s="99" t="s">
        <v>2103</v>
      </c>
    </row>
    <row r="2675">
      <c r="A2675" s="17" t="s">
        <v>6140</v>
      </c>
      <c r="B2675" s="9"/>
      <c r="C2675" s="25"/>
      <c r="D2675" s="99" t="s">
        <v>2103</v>
      </c>
    </row>
    <row r="2676">
      <c r="A2676" s="17" t="s">
        <v>6143</v>
      </c>
      <c r="B2676" s="9"/>
      <c r="C2676" s="25"/>
      <c r="D2676" s="99" t="s">
        <v>2103</v>
      </c>
    </row>
    <row r="2677">
      <c r="A2677" s="17" t="s">
        <v>6144</v>
      </c>
      <c r="B2677" s="9"/>
      <c r="C2677" s="25"/>
      <c r="D2677" s="99" t="s">
        <v>2103</v>
      </c>
    </row>
    <row r="2678">
      <c r="A2678" s="17" t="s">
        <v>6146</v>
      </c>
      <c r="B2678" s="9"/>
      <c r="C2678" s="25"/>
      <c r="D2678" s="99" t="s">
        <v>2103</v>
      </c>
    </row>
    <row r="2679">
      <c r="A2679" s="17" t="s">
        <v>6147</v>
      </c>
      <c r="B2679" s="9"/>
      <c r="C2679" s="25"/>
      <c r="D2679" s="99" t="s">
        <v>2103</v>
      </c>
    </row>
    <row r="2680">
      <c r="A2680" s="17" t="s">
        <v>6151</v>
      </c>
      <c r="B2680" s="9"/>
      <c r="C2680" s="25"/>
      <c r="D2680" s="99" t="s">
        <v>2103</v>
      </c>
    </row>
    <row r="2681">
      <c r="A2681" s="17" t="s">
        <v>6152</v>
      </c>
      <c r="B2681" s="9"/>
      <c r="C2681" s="25"/>
      <c r="D2681" s="99" t="s">
        <v>2103</v>
      </c>
    </row>
    <row r="2682">
      <c r="A2682" s="17" t="s">
        <v>6154</v>
      </c>
      <c r="B2682" s="9"/>
      <c r="C2682" s="25"/>
      <c r="D2682" s="99" t="s">
        <v>2103</v>
      </c>
    </row>
    <row r="2683">
      <c r="A2683" s="17" t="s">
        <v>6155</v>
      </c>
      <c r="B2683" s="9"/>
      <c r="C2683" s="25"/>
      <c r="D2683" s="99" t="s">
        <v>2103</v>
      </c>
    </row>
    <row r="2684">
      <c r="A2684" s="17" t="s">
        <v>6156</v>
      </c>
      <c r="B2684" s="9"/>
      <c r="C2684" s="25"/>
      <c r="D2684" s="99" t="s">
        <v>2103</v>
      </c>
    </row>
    <row r="2685">
      <c r="A2685" s="17" t="s">
        <v>6158</v>
      </c>
      <c r="B2685" s="9"/>
      <c r="C2685" s="25"/>
      <c r="D2685" s="99" t="s">
        <v>2103</v>
      </c>
    </row>
    <row r="2686">
      <c r="A2686" s="17" t="s">
        <v>6159</v>
      </c>
      <c r="B2686" s="9"/>
      <c r="C2686" s="25"/>
      <c r="D2686" s="99" t="s">
        <v>2103</v>
      </c>
    </row>
    <row r="2687">
      <c r="A2687" s="17" t="s">
        <v>6160</v>
      </c>
      <c r="B2687" s="9"/>
      <c r="C2687" s="25"/>
      <c r="D2687" s="99" t="s">
        <v>2103</v>
      </c>
    </row>
    <row r="2688">
      <c r="A2688" s="17" t="s">
        <v>6163</v>
      </c>
      <c r="B2688" s="9"/>
      <c r="C2688" s="25"/>
      <c r="D2688" s="99" t="s">
        <v>2103</v>
      </c>
    </row>
    <row r="2689">
      <c r="A2689" s="17" t="s">
        <v>6164</v>
      </c>
      <c r="B2689" s="9"/>
      <c r="C2689" s="25"/>
      <c r="D2689" s="99" t="s">
        <v>2103</v>
      </c>
    </row>
    <row r="2690">
      <c r="A2690" s="17" t="s">
        <v>6165</v>
      </c>
      <c r="B2690" s="9"/>
      <c r="C2690" s="25"/>
      <c r="D2690" s="99" t="s">
        <v>2103</v>
      </c>
    </row>
    <row r="2691">
      <c r="A2691" s="17" t="s">
        <v>6166</v>
      </c>
      <c r="B2691" s="9"/>
      <c r="C2691" s="25"/>
      <c r="D2691" s="99" t="s">
        <v>2103</v>
      </c>
    </row>
    <row r="2692">
      <c r="A2692" s="17" t="s">
        <v>6167</v>
      </c>
      <c r="B2692" s="9"/>
      <c r="C2692" s="25"/>
      <c r="D2692" s="99" t="s">
        <v>2103</v>
      </c>
    </row>
    <row r="2693">
      <c r="A2693" s="17" t="s">
        <v>6168</v>
      </c>
      <c r="B2693" s="9"/>
      <c r="C2693" s="25"/>
      <c r="D2693" s="99" t="s">
        <v>2103</v>
      </c>
    </row>
    <row r="2694">
      <c r="A2694" s="17" t="s">
        <v>6169</v>
      </c>
      <c r="B2694" s="9"/>
      <c r="C2694" s="25"/>
      <c r="D2694" s="99" t="s">
        <v>2103</v>
      </c>
    </row>
    <row r="2695">
      <c r="A2695" s="17" t="s">
        <v>6171</v>
      </c>
      <c r="B2695" s="9"/>
      <c r="C2695" s="25"/>
      <c r="D2695" s="99" t="s">
        <v>2103</v>
      </c>
    </row>
    <row r="2696">
      <c r="A2696" s="17" t="s">
        <v>6173</v>
      </c>
      <c r="B2696" s="9"/>
      <c r="C2696" s="25"/>
      <c r="D2696" s="99" t="s">
        <v>2103</v>
      </c>
    </row>
    <row r="2697">
      <c r="A2697" s="17" t="s">
        <v>6175</v>
      </c>
      <c r="B2697" s="9"/>
      <c r="C2697" s="25"/>
      <c r="D2697" s="99" t="s">
        <v>2103</v>
      </c>
    </row>
    <row r="2698">
      <c r="A2698" s="17" t="s">
        <v>6176</v>
      </c>
      <c r="B2698" s="9"/>
      <c r="C2698" s="25"/>
      <c r="D2698" s="99" t="s">
        <v>2103</v>
      </c>
    </row>
    <row r="2699">
      <c r="A2699" s="17" t="s">
        <v>6177</v>
      </c>
      <c r="B2699" s="9"/>
      <c r="C2699" s="25"/>
      <c r="D2699" s="99" t="s">
        <v>2103</v>
      </c>
    </row>
    <row r="2700">
      <c r="A2700" s="17" t="s">
        <v>6178</v>
      </c>
      <c r="B2700" s="9"/>
      <c r="C2700" s="25"/>
      <c r="D2700" s="99" t="s">
        <v>2103</v>
      </c>
    </row>
    <row r="2701">
      <c r="A2701" s="17" t="s">
        <v>6179</v>
      </c>
      <c r="B2701" s="9"/>
      <c r="C2701" s="25"/>
      <c r="D2701" s="99" t="s">
        <v>2103</v>
      </c>
    </row>
    <row r="2702">
      <c r="A2702" s="17" t="s">
        <v>6181</v>
      </c>
      <c r="B2702" s="9"/>
      <c r="C2702" s="25"/>
      <c r="D2702" s="99" t="s">
        <v>2103</v>
      </c>
    </row>
    <row r="2703">
      <c r="A2703" s="17" t="s">
        <v>6184</v>
      </c>
      <c r="B2703" s="9"/>
      <c r="C2703" s="25"/>
      <c r="D2703" s="99" t="s">
        <v>2103</v>
      </c>
    </row>
    <row r="2704">
      <c r="A2704" s="17" t="s">
        <v>6186</v>
      </c>
      <c r="B2704" s="9"/>
      <c r="C2704" s="25"/>
      <c r="D2704" s="99" t="s">
        <v>2103</v>
      </c>
    </row>
    <row r="2705">
      <c r="A2705" s="17" t="s">
        <v>6189</v>
      </c>
      <c r="B2705" s="9"/>
      <c r="C2705" s="25"/>
      <c r="D2705" s="99" t="s">
        <v>2103</v>
      </c>
    </row>
    <row r="2706">
      <c r="A2706" s="17" t="s">
        <v>6190</v>
      </c>
      <c r="B2706" s="9"/>
      <c r="C2706" s="25"/>
      <c r="D2706" s="99" t="s">
        <v>2103</v>
      </c>
    </row>
    <row r="2707">
      <c r="A2707" s="17" t="s">
        <v>6191</v>
      </c>
      <c r="B2707" s="9"/>
      <c r="C2707" s="25"/>
      <c r="D2707" s="99" t="s">
        <v>2103</v>
      </c>
    </row>
    <row r="2708">
      <c r="A2708" s="17" t="s">
        <v>6192</v>
      </c>
      <c r="B2708" s="9"/>
      <c r="C2708" s="25"/>
      <c r="D2708" s="99" t="s">
        <v>2103</v>
      </c>
    </row>
    <row r="2709">
      <c r="A2709" s="17" t="s">
        <v>6193</v>
      </c>
      <c r="B2709" s="9"/>
      <c r="C2709" s="25"/>
      <c r="D2709" s="99" t="s">
        <v>2103</v>
      </c>
    </row>
    <row r="2710">
      <c r="A2710" s="17" t="s">
        <v>6194</v>
      </c>
      <c r="B2710" s="9"/>
      <c r="C2710" s="25"/>
      <c r="D2710" s="99" t="s">
        <v>2103</v>
      </c>
    </row>
    <row r="2711">
      <c r="A2711" s="17" t="s">
        <v>6199</v>
      </c>
      <c r="B2711" s="9"/>
      <c r="C2711" s="25"/>
      <c r="D2711" s="99" t="s">
        <v>2103</v>
      </c>
    </row>
    <row r="2712">
      <c r="A2712" s="17" t="s">
        <v>6200</v>
      </c>
      <c r="B2712" s="9"/>
      <c r="C2712" s="25"/>
      <c r="D2712" s="99" t="s">
        <v>2103</v>
      </c>
    </row>
    <row r="2713">
      <c r="A2713" s="17" t="s">
        <v>6201</v>
      </c>
      <c r="B2713" s="9"/>
      <c r="C2713" s="25"/>
      <c r="D2713" s="99" t="s">
        <v>2103</v>
      </c>
    </row>
    <row r="2714">
      <c r="A2714" s="17" t="s">
        <v>6202</v>
      </c>
      <c r="B2714" s="9"/>
      <c r="C2714" s="25"/>
      <c r="D2714" s="99" t="s">
        <v>2103</v>
      </c>
    </row>
    <row r="2715">
      <c r="A2715" s="17" t="s">
        <v>6203</v>
      </c>
      <c r="B2715" s="9"/>
      <c r="C2715" s="25"/>
      <c r="D2715" s="99" t="s">
        <v>2103</v>
      </c>
    </row>
    <row r="2716">
      <c r="A2716" s="17" t="s">
        <v>6204</v>
      </c>
      <c r="B2716" s="9"/>
      <c r="C2716" s="25"/>
      <c r="D2716" s="99" t="s">
        <v>2103</v>
      </c>
    </row>
    <row r="2717">
      <c r="A2717" s="17" t="s">
        <v>6206</v>
      </c>
      <c r="B2717" s="9"/>
      <c r="C2717" s="25"/>
      <c r="D2717" s="99" t="s">
        <v>2103</v>
      </c>
    </row>
    <row r="2718">
      <c r="A2718" s="17" t="s">
        <v>6209</v>
      </c>
      <c r="B2718" s="9"/>
      <c r="C2718" s="25"/>
      <c r="D2718" s="99" t="s">
        <v>2103</v>
      </c>
    </row>
    <row r="2719">
      <c r="A2719" s="17" t="s">
        <v>6210</v>
      </c>
      <c r="B2719" s="9"/>
      <c r="C2719" s="25"/>
      <c r="D2719" s="99" t="s">
        <v>2103</v>
      </c>
    </row>
    <row r="2720">
      <c r="A2720" s="17" t="s">
        <v>6211</v>
      </c>
      <c r="B2720" s="9"/>
      <c r="C2720" s="25"/>
      <c r="D2720" s="99" t="s">
        <v>2103</v>
      </c>
    </row>
    <row r="2721">
      <c r="A2721" s="17" t="s">
        <v>6212</v>
      </c>
      <c r="B2721" s="9"/>
      <c r="C2721" s="25"/>
      <c r="D2721" s="99" t="s">
        <v>2103</v>
      </c>
    </row>
    <row r="2722">
      <c r="A2722" s="17" t="s">
        <v>6213</v>
      </c>
      <c r="B2722" s="9"/>
      <c r="C2722" s="25"/>
      <c r="D2722" s="99" t="s">
        <v>2103</v>
      </c>
    </row>
    <row r="2723">
      <c r="A2723" s="17" t="s">
        <v>6214</v>
      </c>
      <c r="B2723" s="9"/>
      <c r="C2723" s="25"/>
      <c r="D2723" s="99" t="s">
        <v>2103</v>
      </c>
    </row>
    <row r="2724">
      <c r="A2724" s="17" t="s">
        <v>6216</v>
      </c>
      <c r="B2724" s="9"/>
      <c r="C2724" s="25"/>
      <c r="D2724" s="99" t="s">
        <v>2103</v>
      </c>
    </row>
    <row r="2725">
      <c r="A2725" s="17" t="s">
        <v>6220</v>
      </c>
      <c r="B2725" s="9"/>
      <c r="C2725" s="25"/>
      <c r="D2725" s="99" t="s">
        <v>2103</v>
      </c>
    </row>
    <row r="2726">
      <c r="A2726" s="17" t="s">
        <v>6222</v>
      </c>
      <c r="B2726" s="9"/>
      <c r="C2726" s="25"/>
      <c r="D2726" s="99" t="s">
        <v>2103</v>
      </c>
    </row>
    <row r="2727">
      <c r="A2727" s="17" t="s">
        <v>6224</v>
      </c>
      <c r="B2727" s="9"/>
      <c r="C2727" s="25"/>
      <c r="D2727" s="99" t="s">
        <v>2103</v>
      </c>
    </row>
    <row r="2728">
      <c r="A2728" s="17" t="s">
        <v>6225</v>
      </c>
      <c r="B2728" s="9"/>
      <c r="C2728" s="25"/>
      <c r="D2728" s="99" t="s">
        <v>2103</v>
      </c>
    </row>
    <row r="2729">
      <c r="A2729" s="17" t="s">
        <v>6226</v>
      </c>
      <c r="B2729" s="9"/>
      <c r="C2729" s="25"/>
      <c r="D2729" s="99" t="s">
        <v>2103</v>
      </c>
    </row>
    <row r="2730">
      <c r="A2730" s="17" t="s">
        <v>6227</v>
      </c>
      <c r="B2730" s="9"/>
      <c r="C2730" s="25"/>
      <c r="D2730" s="99" t="s">
        <v>2103</v>
      </c>
    </row>
    <row r="2731">
      <c r="A2731" s="17" t="s">
        <v>6228</v>
      </c>
      <c r="B2731" s="9"/>
      <c r="C2731" s="25"/>
      <c r="D2731" s="99" t="s">
        <v>2103</v>
      </c>
    </row>
    <row r="2732">
      <c r="A2732" s="17" t="s">
        <v>6229</v>
      </c>
      <c r="B2732" s="9"/>
      <c r="C2732" s="25"/>
      <c r="D2732" s="99" t="s">
        <v>2103</v>
      </c>
    </row>
    <row r="2733">
      <c r="A2733" s="17" t="s">
        <v>6231</v>
      </c>
      <c r="B2733" s="9"/>
      <c r="C2733" s="25"/>
      <c r="D2733" s="99" t="s">
        <v>2103</v>
      </c>
    </row>
    <row r="2734">
      <c r="A2734" s="17" t="s">
        <v>6233</v>
      </c>
      <c r="B2734" s="9"/>
      <c r="C2734" s="25"/>
      <c r="D2734" s="99" t="s">
        <v>2103</v>
      </c>
    </row>
    <row r="2735">
      <c r="A2735" s="17" t="s">
        <v>6234</v>
      </c>
      <c r="B2735" s="9"/>
      <c r="C2735" s="25"/>
      <c r="D2735" s="99" t="s">
        <v>2103</v>
      </c>
    </row>
    <row r="2736">
      <c r="A2736" s="17" t="s">
        <v>6236</v>
      </c>
      <c r="B2736" s="9"/>
      <c r="C2736" s="25"/>
      <c r="D2736" s="99" t="s">
        <v>2103</v>
      </c>
    </row>
    <row r="2737">
      <c r="A2737" s="17" t="s">
        <v>6238</v>
      </c>
      <c r="B2737" s="9"/>
      <c r="C2737" s="25"/>
      <c r="D2737" s="99" t="s">
        <v>2103</v>
      </c>
    </row>
    <row r="2738">
      <c r="A2738" s="17" t="s">
        <v>6239</v>
      </c>
      <c r="B2738" s="9"/>
      <c r="C2738" s="25"/>
      <c r="D2738" s="99" t="s">
        <v>2103</v>
      </c>
    </row>
    <row r="2739">
      <c r="A2739" s="17" t="s">
        <v>6240</v>
      </c>
      <c r="B2739" s="9"/>
      <c r="C2739" s="25"/>
      <c r="D2739" s="99" t="s">
        <v>2103</v>
      </c>
    </row>
    <row r="2740">
      <c r="A2740" s="17" t="s">
        <v>6241</v>
      </c>
      <c r="B2740" s="9"/>
      <c r="C2740" s="25"/>
      <c r="D2740" s="22" t="s">
        <v>6243</v>
      </c>
    </row>
    <row r="2741">
      <c r="A2741" s="17" t="s">
        <v>6244</v>
      </c>
      <c r="B2741" s="9"/>
      <c r="C2741" s="25"/>
      <c r="D2741" s="22" t="s">
        <v>6243</v>
      </c>
    </row>
    <row r="2742">
      <c r="A2742" s="17" t="s">
        <v>6245</v>
      </c>
      <c r="B2742" s="9"/>
      <c r="C2742" s="25"/>
      <c r="D2742" s="22" t="s">
        <v>6243</v>
      </c>
    </row>
    <row r="2743">
      <c r="A2743" s="17" t="s">
        <v>6247</v>
      </c>
      <c r="B2743" s="9"/>
      <c r="C2743" s="25"/>
      <c r="D2743" s="22" t="s">
        <v>6249</v>
      </c>
    </row>
    <row r="2744">
      <c r="A2744" s="17" t="s">
        <v>6250</v>
      </c>
      <c r="B2744" s="9"/>
      <c r="C2744" s="25"/>
      <c r="D2744" s="22" t="s">
        <v>6249</v>
      </c>
    </row>
    <row r="2745">
      <c r="A2745" s="17" t="s">
        <v>6251</v>
      </c>
      <c r="B2745" s="9"/>
      <c r="C2745" s="25"/>
      <c r="D2745" s="22" t="s">
        <v>6249</v>
      </c>
    </row>
    <row r="2746">
      <c r="A2746" s="17" t="s">
        <v>6252</v>
      </c>
      <c r="B2746" s="9"/>
      <c r="C2746" s="25"/>
      <c r="D2746" s="22" t="s">
        <v>6253</v>
      </c>
    </row>
    <row r="2747">
      <c r="A2747" s="17" t="s">
        <v>6254</v>
      </c>
      <c r="B2747" s="9"/>
      <c r="C2747" s="25"/>
      <c r="D2747" s="22" t="s">
        <v>6253</v>
      </c>
    </row>
    <row r="2748">
      <c r="A2748" s="17" t="s">
        <v>6255</v>
      </c>
      <c r="B2748" s="9"/>
      <c r="C2748" s="25"/>
      <c r="D2748" s="22" t="s">
        <v>6253</v>
      </c>
    </row>
    <row r="2749">
      <c r="A2749" s="17" t="s">
        <v>6256</v>
      </c>
      <c r="B2749" s="9"/>
      <c r="C2749" s="25"/>
      <c r="D2749" s="22" t="s">
        <v>6258</v>
      </c>
    </row>
    <row r="2750">
      <c r="A2750" s="17" t="s">
        <v>6261</v>
      </c>
      <c r="B2750" s="9"/>
      <c r="C2750" s="25"/>
      <c r="D2750" s="22" t="s">
        <v>6258</v>
      </c>
    </row>
    <row r="2751">
      <c r="A2751" s="17" t="s">
        <v>6263</v>
      </c>
      <c r="B2751" s="9"/>
      <c r="C2751" s="25"/>
      <c r="D2751" s="22" t="s">
        <v>6258</v>
      </c>
    </row>
    <row r="2752">
      <c r="A2752" s="17" t="s">
        <v>6266</v>
      </c>
      <c r="B2752" s="9"/>
      <c r="C2752" s="25"/>
      <c r="D2752" s="22" t="s">
        <v>6267</v>
      </c>
    </row>
    <row r="2753">
      <c r="A2753" s="17" t="s">
        <v>6268</v>
      </c>
      <c r="B2753" s="9"/>
      <c r="C2753" s="25"/>
      <c r="D2753" s="22" t="s">
        <v>6267</v>
      </c>
    </row>
    <row r="2754">
      <c r="A2754" s="17" t="s">
        <v>6269</v>
      </c>
      <c r="B2754" s="9"/>
      <c r="C2754" s="25"/>
      <c r="D2754" s="22" t="s">
        <v>6267</v>
      </c>
    </row>
    <row r="2755">
      <c r="A2755" s="17" t="s">
        <v>6270</v>
      </c>
      <c r="B2755" s="9"/>
      <c r="C2755" s="25"/>
      <c r="D2755" s="22" t="s">
        <v>6271</v>
      </c>
    </row>
    <row r="2756">
      <c r="A2756" s="17" t="s">
        <v>6272</v>
      </c>
      <c r="B2756" s="9"/>
      <c r="C2756" s="25"/>
      <c r="D2756" s="22" t="s">
        <v>6271</v>
      </c>
    </row>
    <row r="2757">
      <c r="A2757" s="17" t="s">
        <v>6276</v>
      </c>
      <c r="B2757" s="9"/>
      <c r="C2757" s="25"/>
      <c r="D2757" s="22" t="s">
        <v>6271</v>
      </c>
    </row>
    <row r="2758">
      <c r="A2758" s="17" t="s">
        <v>6278</v>
      </c>
      <c r="B2758" s="9"/>
      <c r="C2758" s="25"/>
      <c r="D2758" s="22" t="s">
        <v>6279</v>
      </c>
    </row>
    <row r="2759">
      <c r="A2759" s="17" t="s">
        <v>6280</v>
      </c>
      <c r="B2759" s="9"/>
      <c r="C2759" s="25"/>
      <c r="D2759" s="22" t="s">
        <v>6279</v>
      </c>
    </row>
    <row r="2760">
      <c r="A2760" s="17" t="s">
        <v>6281</v>
      </c>
      <c r="B2760" s="9"/>
      <c r="C2760" s="25"/>
      <c r="D2760" s="22" t="s">
        <v>6279</v>
      </c>
    </row>
    <row r="2761">
      <c r="A2761" s="17" t="s">
        <v>6282</v>
      </c>
      <c r="B2761" s="9"/>
      <c r="C2761" s="25"/>
      <c r="D2761" s="22" t="s">
        <v>6283</v>
      </c>
    </row>
    <row r="2762">
      <c r="A2762" s="17" t="s">
        <v>6284</v>
      </c>
      <c r="B2762" s="9"/>
      <c r="C2762" s="25"/>
      <c r="D2762" s="22" t="s">
        <v>6287</v>
      </c>
    </row>
    <row r="2763">
      <c r="A2763" s="17" t="s">
        <v>6289</v>
      </c>
      <c r="B2763" s="9"/>
      <c r="C2763" s="25"/>
      <c r="D2763" s="22" t="s">
        <v>6287</v>
      </c>
    </row>
    <row r="2764">
      <c r="A2764" s="17" t="s">
        <v>6290</v>
      </c>
      <c r="B2764" s="9"/>
      <c r="C2764" s="25"/>
      <c r="D2764" s="22" t="s">
        <v>6287</v>
      </c>
    </row>
    <row r="2765">
      <c r="A2765" s="17" t="s">
        <v>6291</v>
      </c>
      <c r="B2765" s="9"/>
      <c r="C2765" s="25"/>
      <c r="D2765" s="22" t="s">
        <v>6292</v>
      </c>
    </row>
    <row r="2766">
      <c r="A2766" s="17" t="s">
        <v>6293</v>
      </c>
      <c r="B2766" s="9"/>
      <c r="C2766" s="25"/>
      <c r="D2766" s="22" t="s">
        <v>6292</v>
      </c>
    </row>
    <row r="2767">
      <c r="A2767" s="17" t="s">
        <v>6294</v>
      </c>
      <c r="B2767" s="9"/>
      <c r="C2767" s="25"/>
      <c r="D2767" s="22" t="s">
        <v>6292</v>
      </c>
    </row>
    <row r="2768">
      <c r="A2768" s="17" t="s">
        <v>6295</v>
      </c>
      <c r="B2768" s="9"/>
      <c r="C2768" s="25"/>
      <c r="D2768" s="22" t="s">
        <v>6297</v>
      </c>
    </row>
    <row r="2769">
      <c r="A2769" s="17" t="s">
        <v>6300</v>
      </c>
      <c r="B2769" s="9"/>
      <c r="C2769" s="25"/>
      <c r="D2769" s="22" t="s">
        <v>6297</v>
      </c>
    </row>
    <row r="2770">
      <c r="A2770" s="17" t="s">
        <v>6302</v>
      </c>
      <c r="B2770" s="9"/>
      <c r="C2770" s="25"/>
      <c r="D2770" s="22" t="s">
        <v>6297</v>
      </c>
    </row>
    <row r="2771">
      <c r="A2771" s="17" t="s">
        <v>6303</v>
      </c>
      <c r="B2771" s="9"/>
      <c r="C2771" s="25"/>
      <c r="D2771" s="22" t="s">
        <v>6304</v>
      </c>
    </row>
    <row r="2772">
      <c r="A2772" s="17" t="s">
        <v>6305</v>
      </c>
      <c r="B2772" s="9"/>
      <c r="C2772" s="25"/>
      <c r="D2772" s="22" t="s">
        <v>6304</v>
      </c>
    </row>
    <row r="2773">
      <c r="A2773" s="17" t="s">
        <v>6306</v>
      </c>
      <c r="B2773" s="9"/>
      <c r="C2773" s="25"/>
      <c r="D2773" s="22" t="s">
        <v>6304</v>
      </c>
    </row>
    <row r="2774">
      <c r="A2774" s="17" t="s">
        <v>6307</v>
      </c>
      <c r="B2774" s="9"/>
      <c r="C2774" s="25"/>
      <c r="D2774" s="22" t="s">
        <v>6308</v>
      </c>
    </row>
    <row r="2775">
      <c r="A2775" s="17" t="s">
        <v>6311</v>
      </c>
      <c r="B2775" s="9"/>
      <c r="C2775" s="25"/>
      <c r="D2775" s="22" t="s">
        <v>6308</v>
      </c>
    </row>
    <row r="2776">
      <c r="A2776" s="17" t="s">
        <v>6313</v>
      </c>
      <c r="B2776" s="9"/>
      <c r="C2776" s="25"/>
      <c r="D2776" s="22" t="s">
        <v>6308</v>
      </c>
    </row>
    <row r="2777">
      <c r="A2777" s="17" t="s">
        <v>6314</v>
      </c>
      <c r="B2777" s="9"/>
      <c r="C2777" s="25"/>
      <c r="D2777" s="22" t="s">
        <v>6315</v>
      </c>
    </row>
    <row r="2778">
      <c r="A2778" s="17" t="s">
        <v>6316</v>
      </c>
      <c r="B2778" s="9"/>
      <c r="C2778" s="25"/>
      <c r="D2778" s="22" t="s">
        <v>6315</v>
      </c>
    </row>
    <row r="2779">
      <c r="A2779" s="17" t="s">
        <v>6317</v>
      </c>
      <c r="B2779" s="9"/>
      <c r="C2779" s="25"/>
      <c r="D2779" s="22" t="s">
        <v>6315</v>
      </c>
    </row>
    <row r="2780">
      <c r="A2780" s="17" t="s">
        <v>6318</v>
      </c>
      <c r="B2780" s="9"/>
      <c r="C2780" s="25"/>
      <c r="D2780" s="22" t="s">
        <v>6319</v>
      </c>
    </row>
    <row r="2781">
      <c r="A2781" s="17" t="s">
        <v>6322</v>
      </c>
      <c r="B2781" s="9"/>
      <c r="C2781" s="25"/>
      <c r="D2781" s="22" t="s">
        <v>6319</v>
      </c>
    </row>
    <row r="2782">
      <c r="A2782" s="17" t="s">
        <v>6325</v>
      </c>
      <c r="B2782" s="9"/>
      <c r="C2782" s="25"/>
      <c r="D2782" s="22" t="s">
        <v>6319</v>
      </c>
    </row>
    <row r="2783">
      <c r="A2783" s="17" t="s">
        <v>6326</v>
      </c>
      <c r="B2783" s="9"/>
      <c r="C2783" s="25"/>
      <c r="D2783" s="22" t="s">
        <v>6327</v>
      </c>
    </row>
    <row r="2784">
      <c r="A2784" s="17" t="s">
        <v>6328</v>
      </c>
      <c r="B2784" s="9"/>
      <c r="C2784" s="25"/>
      <c r="D2784" s="22" t="s">
        <v>6327</v>
      </c>
    </row>
    <row r="2785">
      <c r="A2785" s="17" t="s">
        <v>6329</v>
      </c>
      <c r="B2785" s="9"/>
      <c r="C2785" s="25"/>
      <c r="D2785" s="22" t="s">
        <v>6327</v>
      </c>
    </row>
    <row r="2786">
      <c r="A2786" s="17" t="s">
        <v>6330</v>
      </c>
      <c r="B2786" s="9"/>
      <c r="C2786" s="25"/>
      <c r="D2786" s="22" t="s">
        <v>6331</v>
      </c>
    </row>
    <row r="2787">
      <c r="A2787" s="17" t="s">
        <v>6333</v>
      </c>
      <c r="B2787" s="9"/>
      <c r="C2787" s="25"/>
      <c r="D2787" s="22" t="s">
        <v>6331</v>
      </c>
    </row>
    <row r="2788">
      <c r="A2788" s="17" t="s">
        <v>6335</v>
      </c>
      <c r="B2788" s="9"/>
      <c r="C2788" s="25"/>
      <c r="D2788" s="22" t="s">
        <v>6331</v>
      </c>
    </row>
    <row r="2789">
      <c r="A2789" s="17" t="s">
        <v>6336</v>
      </c>
      <c r="B2789" s="9"/>
      <c r="C2789" s="25"/>
      <c r="D2789" s="22" t="s">
        <v>6337</v>
      </c>
    </row>
    <row r="2790">
      <c r="A2790" s="17" t="s">
        <v>6339</v>
      </c>
      <c r="B2790" s="9"/>
      <c r="C2790" s="25"/>
      <c r="D2790" s="22" t="s">
        <v>6337</v>
      </c>
    </row>
    <row r="2791">
      <c r="A2791" s="17" t="s">
        <v>6341</v>
      </c>
      <c r="B2791" s="9"/>
      <c r="C2791" s="25"/>
      <c r="D2791" s="22" t="s">
        <v>6337</v>
      </c>
    </row>
    <row r="2792">
      <c r="A2792" s="17" t="s">
        <v>6342</v>
      </c>
      <c r="B2792" s="9"/>
      <c r="C2792" s="25"/>
      <c r="D2792" s="22" t="s">
        <v>6343</v>
      </c>
    </row>
    <row r="2793">
      <c r="A2793" s="17" t="s">
        <v>6344</v>
      </c>
      <c r="B2793" s="9"/>
      <c r="C2793" s="25"/>
      <c r="D2793" s="22" t="s">
        <v>6346</v>
      </c>
    </row>
    <row r="2794">
      <c r="A2794" s="17" t="s">
        <v>6347</v>
      </c>
      <c r="B2794" s="9"/>
      <c r="C2794" s="25"/>
      <c r="D2794" s="22" t="s">
        <v>6346</v>
      </c>
    </row>
    <row r="2795">
      <c r="A2795" s="17" t="s">
        <v>6349</v>
      </c>
      <c r="B2795" s="9"/>
      <c r="C2795" s="25"/>
      <c r="D2795" s="22" t="s">
        <v>6350</v>
      </c>
    </row>
    <row r="2796">
      <c r="A2796" s="17" t="s">
        <v>6351</v>
      </c>
      <c r="B2796" s="9"/>
      <c r="C2796" s="25"/>
      <c r="D2796" s="22" t="s">
        <v>6350</v>
      </c>
    </row>
    <row r="2797">
      <c r="A2797" s="17" t="s">
        <v>6352</v>
      </c>
      <c r="B2797" s="9"/>
      <c r="C2797" s="25"/>
      <c r="D2797" s="22" t="s">
        <v>6350</v>
      </c>
    </row>
    <row r="2798">
      <c r="A2798" s="17" t="s">
        <v>6354</v>
      </c>
      <c r="B2798" s="9"/>
      <c r="C2798" s="25"/>
      <c r="D2798" s="22" t="s">
        <v>6356</v>
      </c>
    </row>
    <row r="2799">
      <c r="A2799" s="17" t="s">
        <v>6357</v>
      </c>
      <c r="B2799" s="9"/>
      <c r="C2799" s="25"/>
      <c r="D2799" s="22" t="s">
        <v>6356</v>
      </c>
    </row>
    <row r="2800">
      <c r="A2800" s="17" t="s">
        <v>6359</v>
      </c>
      <c r="B2800" s="9"/>
      <c r="C2800" s="25"/>
      <c r="D2800" s="22" t="s">
        <v>6356</v>
      </c>
    </row>
    <row r="2801">
      <c r="A2801" s="17" t="s">
        <v>6362</v>
      </c>
      <c r="B2801" s="9"/>
      <c r="C2801" s="25"/>
      <c r="D2801" s="22" t="s">
        <v>6363</v>
      </c>
    </row>
    <row r="2802">
      <c r="A2802" s="17" t="s">
        <v>6364</v>
      </c>
      <c r="B2802" s="9"/>
      <c r="C2802" s="25"/>
      <c r="D2802" s="22" t="s">
        <v>6363</v>
      </c>
    </row>
    <row r="2803">
      <c r="A2803" s="17" t="s">
        <v>6365</v>
      </c>
      <c r="B2803" s="9"/>
      <c r="C2803" s="25"/>
      <c r="D2803" s="22" t="s">
        <v>6363</v>
      </c>
    </row>
    <row r="2804">
      <c r="A2804" s="17" t="s">
        <v>6366</v>
      </c>
      <c r="B2804" s="9"/>
      <c r="C2804" s="25"/>
      <c r="D2804" s="22" t="s">
        <v>6367</v>
      </c>
    </row>
    <row r="2805">
      <c r="A2805" s="17" t="s">
        <v>6368</v>
      </c>
      <c r="B2805" s="9"/>
      <c r="C2805" s="25"/>
      <c r="D2805" s="22" t="s">
        <v>6367</v>
      </c>
    </row>
    <row r="2806">
      <c r="A2806" s="17" t="s">
        <v>6369</v>
      </c>
      <c r="B2806" s="9"/>
      <c r="C2806" s="25"/>
      <c r="D2806" s="22" t="s">
        <v>6367</v>
      </c>
    </row>
    <row r="2807">
      <c r="A2807" s="17" t="s">
        <v>6372</v>
      </c>
      <c r="B2807" s="9"/>
      <c r="C2807" s="25"/>
      <c r="D2807" s="22" t="s">
        <v>6374</v>
      </c>
    </row>
    <row r="2808">
      <c r="A2808" s="17" t="s">
        <v>6375</v>
      </c>
      <c r="B2808" s="9"/>
      <c r="C2808" s="25"/>
      <c r="D2808" s="22" t="s">
        <v>6374</v>
      </c>
    </row>
    <row r="2809">
      <c r="A2809" s="17" t="s">
        <v>6376</v>
      </c>
      <c r="B2809" s="9"/>
      <c r="C2809" s="25"/>
      <c r="D2809" s="22" t="s">
        <v>6374</v>
      </c>
    </row>
    <row r="2810">
      <c r="A2810" s="17" t="s">
        <v>6377</v>
      </c>
      <c r="B2810" s="9"/>
      <c r="C2810" s="25"/>
      <c r="D2810" s="22" t="s">
        <v>6378</v>
      </c>
    </row>
    <row r="2811">
      <c r="A2811" s="17" t="s">
        <v>6379</v>
      </c>
      <c r="B2811" s="9"/>
      <c r="C2811" s="25"/>
      <c r="D2811" s="22" t="s">
        <v>6378</v>
      </c>
    </row>
    <row r="2812">
      <c r="A2812" s="17" t="s">
        <v>6380</v>
      </c>
      <c r="B2812" s="9"/>
      <c r="C2812" s="25"/>
      <c r="D2812" s="22" t="s">
        <v>6378</v>
      </c>
    </row>
    <row r="2813">
      <c r="A2813" s="126"/>
      <c r="B2813" s="9"/>
      <c r="C2813" s="25"/>
    </row>
    <row r="2814">
      <c r="A2814" s="17" t="s">
        <v>6388</v>
      </c>
      <c r="B2814" s="9"/>
      <c r="C2814" s="25"/>
    </row>
    <row r="2815">
      <c r="A2815" s="17" t="s">
        <v>946</v>
      </c>
      <c r="B2815" s="9"/>
      <c r="C2815" s="25"/>
      <c r="D2815" s="22" t="s">
        <v>6392</v>
      </c>
    </row>
    <row r="2816">
      <c r="A2816" s="17" t="s">
        <v>954</v>
      </c>
      <c r="B2816" s="9"/>
      <c r="C2816" s="25"/>
      <c r="D2816" s="22" t="s">
        <v>6393</v>
      </c>
    </row>
    <row r="2817">
      <c r="A2817" s="17" t="s">
        <v>6394</v>
      </c>
      <c r="B2817" s="9"/>
      <c r="C2817" s="25"/>
    </row>
    <row r="2818">
      <c r="A2818" s="126"/>
      <c r="B2818" s="9"/>
      <c r="C2818" s="25"/>
    </row>
    <row r="2819">
      <c r="A2819" s="17" t="s">
        <v>6395</v>
      </c>
      <c r="B2819" s="9"/>
      <c r="C2819" s="25"/>
    </row>
    <row r="2820">
      <c r="A2820" s="17" t="s">
        <v>6396</v>
      </c>
      <c r="B2820" s="9"/>
      <c r="C2820" s="25"/>
    </row>
    <row r="2821">
      <c r="A2821" s="17" t="s">
        <v>6397</v>
      </c>
      <c r="B2821" s="9"/>
      <c r="C2821" s="25"/>
    </row>
    <row r="2822">
      <c r="A2822" s="17" t="s">
        <v>6399</v>
      </c>
      <c r="B2822" s="9"/>
      <c r="C2822" s="25"/>
    </row>
    <row r="2823">
      <c r="A2823" s="17" t="s">
        <v>6403</v>
      </c>
      <c r="B2823" s="9"/>
      <c r="C2823" s="25"/>
    </row>
    <row r="2824">
      <c r="A2824" s="17" t="s">
        <v>6404</v>
      </c>
      <c r="B2824" s="9"/>
      <c r="C2824" s="25"/>
    </row>
    <row r="2825">
      <c r="A2825" s="17" t="s">
        <v>6405</v>
      </c>
      <c r="B2825" s="9"/>
      <c r="C2825" s="25"/>
    </row>
    <row r="2826">
      <c r="A2826" s="17" t="s">
        <v>6406</v>
      </c>
      <c r="B2826" s="9"/>
      <c r="C2826" s="25"/>
    </row>
    <row r="2827">
      <c r="A2827" s="17" t="s">
        <v>6407</v>
      </c>
      <c r="B2827" s="9"/>
      <c r="C2827" s="25"/>
    </row>
    <row r="2828">
      <c r="A2828" s="17" t="s">
        <v>6408</v>
      </c>
      <c r="B2828" s="9"/>
      <c r="C2828" s="25"/>
    </row>
    <row r="2829">
      <c r="A2829" s="17" t="s">
        <v>6409</v>
      </c>
      <c r="B2829" s="9"/>
      <c r="C2829" s="25"/>
    </row>
    <row r="2830">
      <c r="A2830" s="17" t="s">
        <v>6410</v>
      </c>
      <c r="B2830" s="9"/>
      <c r="C2830" s="25"/>
    </row>
    <row r="2831">
      <c r="A2831" s="17" t="s">
        <v>6413</v>
      </c>
      <c r="B2831" s="9"/>
      <c r="C2831" s="25"/>
    </row>
    <row r="2832">
      <c r="A2832" s="17" t="s">
        <v>6414</v>
      </c>
      <c r="B2832" s="9"/>
      <c r="C2832" s="25"/>
    </row>
    <row r="2833">
      <c r="A2833" s="17" t="s">
        <v>6415</v>
      </c>
      <c r="B2833" s="9"/>
      <c r="C2833" s="25"/>
    </row>
    <row r="2834">
      <c r="A2834" s="17" t="s">
        <v>6416</v>
      </c>
      <c r="B2834" s="9"/>
      <c r="C2834" s="25"/>
    </row>
    <row r="2835">
      <c r="A2835" s="17" t="s">
        <v>6417</v>
      </c>
      <c r="B2835" s="9"/>
      <c r="C2835" s="25"/>
    </row>
    <row r="2836">
      <c r="A2836" s="17" t="s">
        <v>6418</v>
      </c>
      <c r="B2836" s="9"/>
      <c r="C2836" s="25"/>
    </row>
    <row r="2837">
      <c r="A2837" s="17" t="s">
        <v>6419</v>
      </c>
      <c r="B2837" s="9"/>
      <c r="C2837" s="25"/>
    </row>
    <row r="2838">
      <c r="A2838" s="17" t="s">
        <v>6420</v>
      </c>
      <c r="B2838" s="9"/>
      <c r="C2838" s="25"/>
    </row>
    <row r="2839">
      <c r="A2839" s="17" t="s">
        <v>6422</v>
      </c>
      <c r="B2839" s="9"/>
      <c r="C2839" s="25"/>
    </row>
    <row r="2840">
      <c r="A2840" s="17" t="s">
        <v>6425</v>
      </c>
      <c r="B2840" s="9"/>
      <c r="C2840" s="25"/>
    </row>
    <row r="2841">
      <c r="A2841" s="17" t="s">
        <v>6427</v>
      </c>
      <c r="B2841" s="9"/>
      <c r="C2841" s="25"/>
    </row>
    <row r="2842">
      <c r="A2842" s="17" t="s">
        <v>6428</v>
      </c>
      <c r="B2842" s="9"/>
      <c r="C2842" s="25"/>
    </row>
    <row r="2843">
      <c r="A2843" s="17" t="s">
        <v>6429</v>
      </c>
      <c r="B2843" s="9"/>
      <c r="C2843" s="25"/>
    </row>
    <row r="2844">
      <c r="A2844" s="17" t="s">
        <v>6430</v>
      </c>
      <c r="B2844" s="9"/>
      <c r="C2844" s="25"/>
    </row>
    <row r="2845">
      <c r="A2845" s="17" t="s">
        <v>6431</v>
      </c>
      <c r="B2845" s="9"/>
      <c r="C2845" s="25"/>
    </row>
    <row r="2846">
      <c r="A2846" s="17" t="s">
        <v>6432</v>
      </c>
      <c r="B2846" s="9"/>
      <c r="C2846" s="25"/>
    </row>
    <row r="2847">
      <c r="A2847" s="17" t="s">
        <v>6434</v>
      </c>
      <c r="B2847" s="9"/>
      <c r="C2847" s="25"/>
    </row>
    <row r="2848">
      <c r="A2848" s="17" t="s">
        <v>6436</v>
      </c>
      <c r="B2848" s="9"/>
      <c r="C2848" s="25"/>
    </row>
    <row r="2849">
      <c r="A2849" s="17" t="s">
        <v>6438</v>
      </c>
      <c r="B2849" s="9"/>
      <c r="C2849" s="25"/>
    </row>
    <row r="2850">
      <c r="A2850" s="17" t="s">
        <v>6439</v>
      </c>
      <c r="B2850" s="9"/>
      <c r="C2850" s="25"/>
    </row>
    <row r="2851">
      <c r="A2851" s="17" t="s">
        <v>6440</v>
      </c>
      <c r="B2851" s="9"/>
      <c r="C2851" s="25"/>
    </row>
    <row r="2852">
      <c r="A2852" s="17" t="s">
        <v>6441</v>
      </c>
      <c r="B2852" s="9"/>
      <c r="C2852" s="25"/>
    </row>
    <row r="2853">
      <c r="A2853" s="17" t="s">
        <v>6442</v>
      </c>
      <c r="B2853" s="9"/>
      <c r="C2853" s="25"/>
    </row>
    <row r="2854">
      <c r="A2854" s="17" t="s">
        <v>6443</v>
      </c>
      <c r="B2854" s="9"/>
      <c r="C2854" s="25"/>
    </row>
    <row r="2855">
      <c r="A2855" s="17" t="s">
        <v>6445</v>
      </c>
      <c r="B2855" s="9"/>
      <c r="C2855" s="25"/>
    </row>
    <row r="2856">
      <c r="A2856" s="17" t="s">
        <v>6448</v>
      </c>
      <c r="B2856" s="9"/>
      <c r="C2856" s="25"/>
    </row>
    <row r="2857">
      <c r="A2857" s="17" t="s">
        <v>6450</v>
      </c>
      <c r="B2857" s="9"/>
      <c r="C2857" s="25"/>
    </row>
    <row r="2858">
      <c r="A2858" s="17" t="s">
        <v>6453</v>
      </c>
      <c r="B2858" s="9"/>
      <c r="C2858" s="25"/>
    </row>
    <row r="2859">
      <c r="A2859" s="17" t="s">
        <v>6454</v>
      </c>
      <c r="B2859" s="9"/>
      <c r="C2859" s="25"/>
    </row>
    <row r="2860">
      <c r="A2860" s="17" t="s">
        <v>6455</v>
      </c>
      <c r="B2860" s="9"/>
      <c r="C2860" s="25"/>
    </row>
    <row r="2861">
      <c r="A2861" s="17" t="s">
        <v>6456</v>
      </c>
      <c r="B2861" s="9"/>
      <c r="C2861" s="25"/>
    </row>
    <row r="2862">
      <c r="A2862" s="17" t="s">
        <v>6457</v>
      </c>
      <c r="B2862" s="9"/>
      <c r="C2862" s="25"/>
    </row>
    <row r="2863">
      <c r="A2863" s="17" t="s">
        <v>6458</v>
      </c>
      <c r="B2863" s="9"/>
      <c r="C2863" s="25"/>
    </row>
    <row r="2864">
      <c r="A2864" s="17" t="s">
        <v>6460</v>
      </c>
      <c r="B2864" s="9"/>
      <c r="C2864" s="25"/>
    </row>
    <row r="2865">
      <c r="A2865" s="17" t="s">
        <v>6462</v>
      </c>
      <c r="B2865" s="9"/>
      <c r="C2865" s="25"/>
    </row>
    <row r="2866">
      <c r="A2866" s="17" t="s">
        <v>6465</v>
      </c>
      <c r="B2866" s="9"/>
      <c r="C2866" s="25"/>
    </row>
    <row r="2867">
      <c r="A2867" s="17" t="s">
        <v>6466</v>
      </c>
      <c r="B2867" s="9"/>
      <c r="C2867" s="25"/>
    </row>
    <row r="2868">
      <c r="A2868" s="17" t="s">
        <v>6467</v>
      </c>
      <c r="B2868" s="9"/>
      <c r="C2868" s="25"/>
    </row>
    <row r="2869">
      <c r="A2869" s="17" t="s">
        <v>6468</v>
      </c>
      <c r="B2869" s="9"/>
      <c r="C2869" s="25"/>
    </row>
    <row r="2870">
      <c r="A2870" s="17" t="s">
        <v>6469</v>
      </c>
      <c r="B2870" s="9"/>
      <c r="C2870" s="25"/>
    </row>
    <row r="2871">
      <c r="A2871" s="17" t="s">
        <v>6470</v>
      </c>
      <c r="B2871" s="9"/>
      <c r="C2871" s="25"/>
    </row>
    <row r="2872">
      <c r="A2872" s="17" t="s">
        <v>6472</v>
      </c>
      <c r="B2872" s="9"/>
      <c r="C2872" s="25"/>
    </row>
    <row r="2873">
      <c r="A2873" s="17" t="s">
        <v>6475</v>
      </c>
      <c r="B2873" s="9"/>
      <c r="C2873" s="25"/>
    </row>
    <row r="2874">
      <c r="A2874" s="17" t="s">
        <v>6476</v>
      </c>
      <c r="B2874" s="9"/>
      <c r="C2874" s="25"/>
    </row>
    <row r="2875">
      <c r="A2875" s="17" t="s">
        <v>6477</v>
      </c>
      <c r="B2875" s="9"/>
      <c r="C2875" s="25"/>
    </row>
    <row r="2876">
      <c r="A2876" s="17" t="s">
        <v>6478</v>
      </c>
      <c r="B2876" s="9"/>
      <c r="C2876" s="25"/>
    </row>
    <row r="2877">
      <c r="A2877" s="17" t="s">
        <v>6479</v>
      </c>
      <c r="B2877" s="9"/>
      <c r="C2877" s="25"/>
    </row>
    <row r="2878">
      <c r="A2878" s="17" t="s">
        <v>6480</v>
      </c>
      <c r="B2878" s="9"/>
      <c r="C2878" s="25"/>
    </row>
    <row r="2879">
      <c r="A2879" s="17" t="s">
        <v>6481</v>
      </c>
      <c r="B2879" s="9"/>
      <c r="C2879" s="25"/>
    </row>
    <row r="2880">
      <c r="A2880" s="17" t="s">
        <v>6482</v>
      </c>
      <c r="B2880" s="9"/>
      <c r="C2880" s="25"/>
    </row>
    <row r="2881">
      <c r="A2881" s="17" t="s">
        <v>6487</v>
      </c>
      <c r="B2881" s="9"/>
      <c r="C2881" s="25"/>
    </row>
    <row r="2882">
      <c r="A2882" s="17" t="s">
        <v>6488</v>
      </c>
      <c r="B2882" s="9"/>
      <c r="C2882" s="25"/>
    </row>
    <row r="2883">
      <c r="A2883" s="17" t="s">
        <v>6489</v>
      </c>
      <c r="B2883" s="9"/>
      <c r="C2883" s="25"/>
    </row>
    <row r="2884">
      <c r="A2884" s="17" t="s">
        <v>6490</v>
      </c>
      <c r="B2884" s="9"/>
      <c r="C2884" s="25"/>
    </row>
    <row r="2885">
      <c r="A2885" s="17" t="s">
        <v>6491</v>
      </c>
      <c r="B2885" s="9"/>
      <c r="C2885" s="25"/>
    </row>
    <row r="2886">
      <c r="A2886" s="17" t="s">
        <v>6492</v>
      </c>
      <c r="B2886" s="9"/>
      <c r="C2886" s="25"/>
    </row>
    <row r="2887">
      <c r="A2887" s="17" t="s">
        <v>6493</v>
      </c>
      <c r="B2887" s="9"/>
      <c r="C2887" s="25"/>
    </row>
    <row r="2888">
      <c r="A2888" s="17" t="s">
        <v>6494</v>
      </c>
      <c r="B2888" s="9"/>
      <c r="C2888" s="25"/>
    </row>
    <row r="2889">
      <c r="A2889" s="17" t="s">
        <v>6497</v>
      </c>
      <c r="B2889" s="9"/>
      <c r="C2889" s="25"/>
    </row>
    <row r="2890">
      <c r="A2890" s="17" t="s">
        <v>6499</v>
      </c>
      <c r="B2890" s="9"/>
      <c r="C2890" s="25"/>
    </row>
    <row r="2891">
      <c r="A2891" s="17" t="s">
        <v>6500</v>
      </c>
      <c r="B2891" s="9"/>
      <c r="C2891" s="25"/>
    </row>
    <row r="2892">
      <c r="A2892" s="17" t="s">
        <v>6501</v>
      </c>
      <c r="B2892" s="9"/>
      <c r="C2892" s="25"/>
    </row>
    <row r="2893">
      <c r="A2893" s="17" t="s">
        <v>6502</v>
      </c>
      <c r="B2893" s="9"/>
      <c r="C2893" s="25"/>
    </row>
    <row r="2894">
      <c r="A2894" s="17" t="s">
        <v>6503</v>
      </c>
      <c r="B2894" s="9"/>
      <c r="C2894" s="25"/>
    </row>
    <row r="2895">
      <c r="A2895" s="17" t="s">
        <v>6504</v>
      </c>
      <c r="B2895" s="9"/>
      <c r="C2895" s="25"/>
    </row>
    <row r="2896">
      <c r="A2896" s="17" t="s">
        <v>6505</v>
      </c>
      <c r="B2896" s="9"/>
      <c r="C2896" s="25"/>
    </row>
    <row r="2897">
      <c r="A2897" s="17" t="s">
        <v>6506</v>
      </c>
      <c r="B2897" s="9"/>
      <c r="C2897" s="25"/>
    </row>
    <row r="2898">
      <c r="A2898" s="17" t="s">
        <v>6507</v>
      </c>
      <c r="B2898" s="9"/>
      <c r="C2898" s="25"/>
    </row>
    <row r="2899">
      <c r="A2899" s="17" t="s">
        <v>6508</v>
      </c>
      <c r="B2899" s="9"/>
      <c r="C2899" s="25"/>
    </row>
    <row r="2900">
      <c r="A2900" s="17" t="s">
        <v>6510</v>
      </c>
      <c r="B2900" s="9"/>
      <c r="C2900" s="25"/>
    </row>
    <row r="2901">
      <c r="A2901" s="17" t="s">
        <v>6512</v>
      </c>
      <c r="B2901" s="9"/>
      <c r="C2901" s="25"/>
    </row>
    <row r="2902">
      <c r="A2902" s="17" t="s">
        <v>6513</v>
      </c>
      <c r="B2902" s="9"/>
      <c r="C2902" s="25"/>
    </row>
    <row r="2903">
      <c r="A2903" s="17" t="s">
        <v>6516</v>
      </c>
      <c r="B2903" s="9"/>
      <c r="C2903" s="25"/>
    </row>
    <row r="2904">
      <c r="A2904" s="17" t="s">
        <v>6518</v>
      </c>
      <c r="B2904" s="9"/>
      <c r="C2904" s="25"/>
    </row>
    <row r="2905">
      <c r="A2905" s="17" t="s">
        <v>6519</v>
      </c>
      <c r="B2905" s="9"/>
      <c r="C2905" s="25"/>
    </row>
    <row r="2906">
      <c r="A2906" s="17" t="s">
        <v>6520</v>
      </c>
      <c r="B2906" s="9"/>
      <c r="C2906" s="25"/>
    </row>
    <row r="2907">
      <c r="A2907" s="17" t="s">
        <v>6521</v>
      </c>
      <c r="B2907" s="9"/>
      <c r="C2907" s="25"/>
    </row>
    <row r="2908">
      <c r="A2908" s="17" t="s">
        <v>6522</v>
      </c>
      <c r="B2908" s="9"/>
      <c r="C2908" s="25"/>
    </row>
    <row r="2909">
      <c r="A2909" s="17" t="s">
        <v>6523</v>
      </c>
      <c r="B2909" s="9"/>
      <c r="C2909" s="25"/>
    </row>
    <row r="2910">
      <c r="A2910" s="17" t="s">
        <v>6524</v>
      </c>
      <c r="B2910" s="9"/>
      <c r="C2910" s="25"/>
    </row>
    <row r="2911">
      <c r="A2911" s="17" t="s">
        <v>6525</v>
      </c>
      <c r="B2911" s="9"/>
      <c r="C2911" s="25"/>
    </row>
    <row r="2912">
      <c r="A2912" s="17" t="s">
        <v>6527</v>
      </c>
      <c r="B2912" s="9"/>
      <c r="C2912" s="25"/>
    </row>
    <row r="2913">
      <c r="A2913" s="17" t="s">
        <v>6529</v>
      </c>
      <c r="B2913" s="9"/>
      <c r="C2913" s="25"/>
    </row>
    <row r="2914">
      <c r="A2914" s="17" t="s">
        <v>6530</v>
      </c>
      <c r="B2914" s="9"/>
      <c r="C2914" s="25"/>
    </row>
    <row r="2915">
      <c r="A2915" s="17" t="s">
        <v>6531</v>
      </c>
      <c r="B2915" s="9"/>
      <c r="C2915" s="25"/>
    </row>
    <row r="2916">
      <c r="A2916" s="17" t="s">
        <v>6532</v>
      </c>
      <c r="B2916" s="9"/>
      <c r="C2916" s="25"/>
    </row>
    <row r="2917">
      <c r="A2917" s="17" t="s">
        <v>6533</v>
      </c>
      <c r="B2917" s="9"/>
      <c r="C2917" s="25"/>
    </row>
    <row r="2918">
      <c r="A2918" s="17" t="s">
        <v>6534</v>
      </c>
      <c r="B2918" s="9"/>
      <c r="C2918" s="25"/>
    </row>
    <row r="2919">
      <c r="A2919" s="17" t="s">
        <v>6535</v>
      </c>
      <c r="B2919" s="9"/>
      <c r="C2919" s="25"/>
    </row>
    <row r="2920">
      <c r="A2920" s="17" t="s">
        <v>6536</v>
      </c>
      <c r="B2920" s="9"/>
      <c r="C2920" s="25"/>
    </row>
    <row r="2921">
      <c r="A2921" s="17" t="s">
        <v>6540</v>
      </c>
      <c r="B2921" s="9"/>
      <c r="C2921" s="25"/>
    </row>
    <row r="2922">
      <c r="A2922" s="17" t="s">
        <v>6541</v>
      </c>
      <c r="B2922" s="9"/>
      <c r="C2922" s="25"/>
    </row>
    <row r="2923">
      <c r="A2923" s="17" t="s">
        <v>6542</v>
      </c>
      <c r="B2923" s="9"/>
      <c r="C2923" s="25"/>
    </row>
    <row r="2924">
      <c r="A2924" s="17" t="s">
        <v>6543</v>
      </c>
      <c r="B2924" s="9"/>
      <c r="C2924" s="25"/>
    </row>
    <row r="2925">
      <c r="A2925" s="17" t="s">
        <v>6544</v>
      </c>
      <c r="B2925" s="9"/>
      <c r="C2925" s="25"/>
    </row>
    <row r="2926">
      <c r="A2926" s="17" t="s">
        <v>6545</v>
      </c>
      <c r="B2926" s="9"/>
      <c r="C2926" s="25"/>
    </row>
    <row r="2927">
      <c r="A2927" s="17" t="s">
        <v>6546</v>
      </c>
      <c r="B2927" s="9"/>
      <c r="C2927" s="25"/>
    </row>
    <row r="2928">
      <c r="A2928" s="17" t="s">
        <v>6547</v>
      </c>
      <c r="B2928" s="9"/>
      <c r="C2928" s="25"/>
    </row>
    <row r="2929">
      <c r="A2929" s="17" t="s">
        <v>6549</v>
      </c>
      <c r="B2929" s="9"/>
      <c r="C2929" s="25"/>
    </row>
    <row r="2930">
      <c r="A2930" s="17" t="s">
        <v>6550</v>
      </c>
      <c r="B2930" s="9"/>
      <c r="C2930" s="25"/>
    </row>
    <row r="2931">
      <c r="A2931" s="17" t="s">
        <v>6551</v>
      </c>
      <c r="B2931" s="9"/>
      <c r="C2931" s="25"/>
    </row>
    <row r="2932">
      <c r="A2932" s="17" t="s">
        <v>6552</v>
      </c>
      <c r="B2932" s="9"/>
      <c r="C2932" s="25"/>
    </row>
    <row r="2933">
      <c r="A2933" s="17" t="s">
        <v>6554</v>
      </c>
      <c r="B2933" s="9"/>
      <c r="C2933" s="25"/>
    </row>
    <row r="2934">
      <c r="A2934" s="17" t="s">
        <v>6555</v>
      </c>
      <c r="B2934" s="9"/>
      <c r="C2934" s="25"/>
    </row>
    <row r="2935">
      <c r="A2935" s="17" t="s">
        <v>6556</v>
      </c>
      <c r="B2935" s="9"/>
      <c r="C2935" s="25"/>
    </row>
    <row r="2936">
      <c r="A2936" s="17" t="s">
        <v>6558</v>
      </c>
      <c r="B2936" s="9"/>
      <c r="C2936" s="25"/>
    </row>
    <row r="2937">
      <c r="A2937" s="17" t="s">
        <v>6559</v>
      </c>
      <c r="B2937" s="9"/>
      <c r="C2937" s="25"/>
    </row>
    <row r="2938">
      <c r="A2938" s="17" t="s">
        <v>6560</v>
      </c>
      <c r="B2938" s="9"/>
      <c r="C2938" s="25"/>
    </row>
    <row r="2939">
      <c r="A2939" s="17" t="s">
        <v>6561</v>
      </c>
      <c r="B2939" s="9"/>
      <c r="C2939" s="25"/>
    </row>
    <row r="2940">
      <c r="A2940" s="17" t="s">
        <v>6562</v>
      </c>
      <c r="B2940" s="9"/>
      <c r="C2940" s="25"/>
    </row>
    <row r="2941">
      <c r="A2941" s="17" t="s">
        <v>6564</v>
      </c>
      <c r="B2941" s="9"/>
      <c r="C2941" s="25"/>
    </row>
    <row r="2942">
      <c r="A2942" s="17" t="s">
        <v>6565</v>
      </c>
      <c r="B2942" s="9"/>
      <c r="C2942" s="25"/>
    </row>
    <row r="2943">
      <c r="A2943" s="17" t="s">
        <v>6566</v>
      </c>
      <c r="B2943" s="9"/>
      <c r="C2943" s="25"/>
    </row>
    <row r="2944">
      <c r="A2944" s="17" t="s">
        <v>6568</v>
      </c>
      <c r="B2944" s="9"/>
      <c r="C2944" s="25"/>
    </row>
    <row r="2945">
      <c r="A2945" s="17" t="s">
        <v>6569</v>
      </c>
      <c r="B2945" s="9"/>
      <c r="C2945" s="25"/>
    </row>
    <row r="2946">
      <c r="A2946" s="17" t="s">
        <v>6570</v>
      </c>
      <c r="B2946" s="9"/>
      <c r="C2946" s="25"/>
    </row>
    <row r="2947">
      <c r="A2947" s="17" t="s">
        <v>6571</v>
      </c>
      <c r="B2947" s="9"/>
      <c r="C2947" s="25"/>
    </row>
    <row r="2948">
      <c r="A2948" s="17" t="s">
        <v>6572</v>
      </c>
      <c r="B2948" s="9"/>
      <c r="C2948" s="25"/>
    </row>
    <row r="2949">
      <c r="A2949" s="17" t="s">
        <v>6573</v>
      </c>
      <c r="B2949" s="9"/>
      <c r="C2949" s="25"/>
    </row>
    <row r="2950">
      <c r="A2950" s="17" t="s">
        <v>6575</v>
      </c>
      <c r="B2950" s="9"/>
      <c r="C2950" s="25"/>
    </row>
    <row r="2951">
      <c r="A2951" s="17" t="s">
        <v>6576</v>
      </c>
      <c r="B2951" s="9"/>
      <c r="C2951" s="25"/>
    </row>
    <row r="2952">
      <c r="A2952" s="17" t="s">
        <v>6578</v>
      </c>
      <c r="B2952" s="9"/>
      <c r="C2952" s="25"/>
    </row>
    <row r="2953">
      <c r="A2953" s="17" t="s">
        <v>6579</v>
      </c>
      <c r="B2953" s="9"/>
      <c r="C2953" s="25"/>
    </row>
    <row r="2954">
      <c r="A2954" s="17" t="s">
        <v>6580</v>
      </c>
      <c r="B2954" s="9"/>
      <c r="C2954" s="25"/>
    </row>
    <row r="2955">
      <c r="A2955" s="17" t="s">
        <v>6581</v>
      </c>
      <c r="B2955" s="9"/>
      <c r="C2955" s="25"/>
    </row>
    <row r="2956">
      <c r="A2956" s="17" t="s">
        <v>6582</v>
      </c>
      <c r="B2956" s="9"/>
      <c r="C2956" s="25"/>
    </row>
    <row r="2957">
      <c r="A2957" s="17" t="s">
        <v>6584</v>
      </c>
      <c r="B2957" s="9"/>
      <c r="C2957" s="25"/>
    </row>
    <row r="2958">
      <c r="A2958" s="17" t="s">
        <v>6586</v>
      </c>
      <c r="B2958" s="9"/>
      <c r="C2958" s="25"/>
    </row>
    <row r="2959">
      <c r="A2959" s="17" t="s">
        <v>6587</v>
      </c>
      <c r="B2959" s="9"/>
      <c r="C2959" s="25"/>
    </row>
    <row r="2960">
      <c r="A2960" s="17" t="s">
        <v>6589</v>
      </c>
      <c r="B2960" s="9"/>
      <c r="C2960" s="25"/>
    </row>
    <row r="2961">
      <c r="A2961" s="17" t="s">
        <v>6590</v>
      </c>
      <c r="B2961" s="9"/>
      <c r="C2961" s="25"/>
    </row>
    <row r="2962">
      <c r="A2962" s="17" t="s">
        <v>6591</v>
      </c>
      <c r="B2962" s="9"/>
      <c r="C2962" s="25"/>
    </row>
    <row r="2963">
      <c r="A2963" s="17" t="s">
        <v>6592</v>
      </c>
      <c r="B2963" s="9"/>
      <c r="C2963" s="25"/>
    </row>
    <row r="2964">
      <c r="A2964" s="17" t="s">
        <v>6593</v>
      </c>
      <c r="B2964" s="9"/>
      <c r="C2964" s="25"/>
    </row>
    <row r="2965">
      <c r="A2965" s="17" t="s">
        <v>6594</v>
      </c>
      <c r="B2965" s="9"/>
      <c r="C2965" s="25"/>
    </row>
    <row r="2966">
      <c r="A2966" s="17" t="s">
        <v>6596</v>
      </c>
      <c r="B2966" s="9"/>
      <c r="C2966" s="25"/>
    </row>
    <row r="2967">
      <c r="A2967" s="17" t="s">
        <v>6597</v>
      </c>
      <c r="B2967" s="9"/>
      <c r="C2967" s="25"/>
    </row>
    <row r="2968">
      <c r="A2968" s="17" t="s">
        <v>6599</v>
      </c>
      <c r="B2968" s="9"/>
      <c r="C2968" s="25"/>
    </row>
    <row r="2969">
      <c r="A2969" s="17" t="s">
        <v>6601</v>
      </c>
      <c r="B2969" s="9"/>
      <c r="C2969" s="25"/>
    </row>
    <row r="2970">
      <c r="A2970" s="17" t="s">
        <v>6602</v>
      </c>
      <c r="B2970" s="9"/>
      <c r="C2970" s="25"/>
    </row>
    <row r="2971">
      <c r="A2971" s="17" t="s">
        <v>6606</v>
      </c>
      <c r="B2971" s="9"/>
      <c r="C2971" s="25"/>
    </row>
    <row r="2972">
      <c r="A2972" s="17" t="s">
        <v>6607</v>
      </c>
      <c r="B2972" s="9"/>
      <c r="C2972" s="25"/>
    </row>
    <row r="2973">
      <c r="A2973" s="17" t="s">
        <v>6608</v>
      </c>
      <c r="B2973" s="9"/>
      <c r="C2973" s="25"/>
    </row>
    <row r="2974">
      <c r="A2974" s="17" t="s">
        <v>6609</v>
      </c>
      <c r="B2974" s="9"/>
      <c r="C2974" s="25"/>
    </row>
    <row r="2975">
      <c r="A2975" s="17" t="s">
        <v>6613</v>
      </c>
      <c r="B2975" s="9"/>
      <c r="C2975" s="25"/>
    </row>
    <row r="2976">
      <c r="A2976" s="17" t="s">
        <v>6615</v>
      </c>
      <c r="B2976" s="9"/>
      <c r="C2976" s="25"/>
    </row>
    <row r="2977">
      <c r="A2977" s="17" t="s">
        <v>6616</v>
      </c>
      <c r="B2977" s="9"/>
      <c r="C2977" s="25"/>
    </row>
    <row r="2978">
      <c r="A2978" s="17" t="s">
        <v>6617</v>
      </c>
      <c r="B2978" s="9"/>
      <c r="C2978" s="25"/>
    </row>
    <row r="2979">
      <c r="A2979" s="17" t="s">
        <v>6618</v>
      </c>
      <c r="B2979" s="9"/>
      <c r="C2979" s="25"/>
    </row>
    <row r="2980">
      <c r="A2980" s="17" t="s">
        <v>6619</v>
      </c>
      <c r="B2980" s="9"/>
      <c r="C2980" s="25"/>
    </row>
    <row r="2981">
      <c r="A2981" s="17" t="s">
        <v>6620</v>
      </c>
      <c r="B2981" s="9"/>
      <c r="C2981" s="25"/>
    </row>
    <row r="2982">
      <c r="A2982" s="17" t="s">
        <v>6621</v>
      </c>
      <c r="B2982" s="9"/>
      <c r="C2982" s="25"/>
    </row>
    <row r="2983">
      <c r="A2983" s="17" t="s">
        <v>6623</v>
      </c>
      <c r="B2983" s="9"/>
      <c r="C2983" s="25"/>
    </row>
    <row r="2984">
      <c r="A2984" s="17" t="s">
        <v>6625</v>
      </c>
      <c r="B2984" s="9"/>
      <c r="C2984" s="25"/>
    </row>
    <row r="2985">
      <c r="A2985" s="17" t="s">
        <v>6628</v>
      </c>
      <c r="B2985" s="9"/>
      <c r="C2985" s="25"/>
    </row>
    <row r="2986">
      <c r="A2986" s="17" t="s">
        <v>6630</v>
      </c>
      <c r="B2986" s="9"/>
      <c r="C2986" s="25"/>
    </row>
    <row r="2987">
      <c r="A2987" s="17" t="s">
        <v>6631</v>
      </c>
      <c r="B2987" s="9"/>
      <c r="C2987" s="25"/>
    </row>
    <row r="2988">
      <c r="A2988" s="17" t="s">
        <v>6632</v>
      </c>
      <c r="B2988" s="9"/>
      <c r="C2988" s="25"/>
    </row>
    <row r="2989">
      <c r="A2989" s="17" t="s">
        <v>6634</v>
      </c>
      <c r="B2989" s="9"/>
      <c r="C2989" s="25"/>
    </row>
    <row r="2990">
      <c r="A2990" s="17" t="s">
        <v>6635</v>
      </c>
      <c r="B2990" s="9"/>
      <c r="C2990" s="25"/>
    </row>
    <row r="2991">
      <c r="A2991" s="17" t="s">
        <v>6636</v>
      </c>
      <c r="B2991" s="9"/>
      <c r="C2991" s="25"/>
    </row>
    <row r="2992">
      <c r="A2992" s="17" t="s">
        <v>6637</v>
      </c>
      <c r="B2992" s="9"/>
      <c r="C2992" s="25"/>
    </row>
    <row r="2993">
      <c r="A2993" s="17" t="s">
        <v>6639</v>
      </c>
      <c r="B2993" s="9"/>
      <c r="C2993" s="25"/>
    </row>
    <row r="2994">
      <c r="A2994" s="17" t="s">
        <v>6640</v>
      </c>
      <c r="B2994" s="9"/>
      <c r="C2994" s="25"/>
    </row>
    <row r="2995">
      <c r="A2995" s="17" t="s">
        <v>6641</v>
      </c>
      <c r="B2995" s="9"/>
      <c r="C2995" s="25"/>
    </row>
    <row r="2996">
      <c r="A2996" s="17" t="s">
        <v>6643</v>
      </c>
      <c r="B2996" s="9"/>
      <c r="C2996" s="25"/>
    </row>
    <row r="2997">
      <c r="A2997" s="17" t="s">
        <v>6644</v>
      </c>
      <c r="B2997" s="9"/>
      <c r="C2997" s="25"/>
    </row>
    <row r="2998">
      <c r="A2998" s="17" t="s">
        <v>6645</v>
      </c>
      <c r="B2998" s="9"/>
      <c r="C2998" s="25"/>
    </row>
    <row r="2999">
      <c r="A2999" s="17" t="s">
        <v>6646</v>
      </c>
      <c r="B2999" s="9"/>
      <c r="C2999" s="25"/>
    </row>
    <row r="3000">
      <c r="A3000" s="17" t="s">
        <v>6647</v>
      </c>
      <c r="B3000" s="9"/>
      <c r="C3000" s="25"/>
    </row>
    <row r="3001">
      <c r="A3001" s="17" t="s">
        <v>6649</v>
      </c>
      <c r="B3001" s="9"/>
      <c r="C3001" s="25"/>
    </row>
    <row r="3002">
      <c r="A3002" s="17" t="s">
        <v>6651</v>
      </c>
      <c r="B3002" s="9"/>
      <c r="C3002" s="25"/>
    </row>
    <row r="3003">
      <c r="A3003" s="17" t="s">
        <v>6652</v>
      </c>
      <c r="B3003" s="9"/>
      <c r="C3003" s="25"/>
    </row>
    <row r="3004">
      <c r="A3004" s="17" t="s">
        <v>6656</v>
      </c>
      <c r="B3004" s="9"/>
      <c r="C3004" s="25"/>
    </row>
    <row r="3005">
      <c r="A3005" s="17" t="s">
        <v>6658</v>
      </c>
      <c r="B3005" s="9"/>
      <c r="C3005" s="25"/>
    </row>
    <row r="3006">
      <c r="A3006" s="17" t="s">
        <v>6659</v>
      </c>
      <c r="B3006" s="9"/>
      <c r="C3006" s="25"/>
    </row>
    <row r="3007">
      <c r="A3007" s="17" t="s">
        <v>6660</v>
      </c>
      <c r="B3007" s="9"/>
      <c r="C3007" s="25"/>
    </row>
    <row r="3008">
      <c r="A3008" s="17" t="s">
        <v>6661</v>
      </c>
      <c r="B3008" s="9"/>
      <c r="C3008" s="25"/>
    </row>
    <row r="3009">
      <c r="A3009" s="17" t="s">
        <v>6662</v>
      </c>
      <c r="B3009" s="9"/>
      <c r="C3009" s="25"/>
    </row>
    <row r="3010">
      <c r="A3010" s="17" t="s">
        <v>6664</v>
      </c>
      <c r="B3010" s="9"/>
      <c r="C3010" s="25"/>
    </row>
    <row r="3011">
      <c r="A3011" s="17" t="s">
        <v>6669</v>
      </c>
      <c r="B3011" s="9"/>
      <c r="C3011" s="25"/>
    </row>
    <row r="3012">
      <c r="A3012" s="17" t="s">
        <v>6670</v>
      </c>
      <c r="B3012" s="9"/>
      <c r="C3012" s="25"/>
    </row>
    <row r="3013">
      <c r="A3013" s="17" t="s">
        <v>6671</v>
      </c>
      <c r="B3013" s="9"/>
      <c r="C3013" s="25"/>
    </row>
    <row r="3014">
      <c r="A3014" s="17" t="s">
        <v>6672</v>
      </c>
      <c r="B3014" s="9"/>
      <c r="C3014" s="25"/>
    </row>
    <row r="3015">
      <c r="A3015" s="17" t="s">
        <v>6673</v>
      </c>
      <c r="B3015" s="9"/>
      <c r="C3015" s="25"/>
    </row>
    <row r="3016">
      <c r="A3016" s="17" t="s">
        <v>6674</v>
      </c>
      <c r="B3016" s="9"/>
      <c r="C3016" s="25"/>
    </row>
    <row r="3017">
      <c r="A3017" s="17" t="s">
        <v>6675</v>
      </c>
      <c r="B3017" s="9"/>
      <c r="C3017" s="25"/>
    </row>
    <row r="3018">
      <c r="A3018" s="17" t="s">
        <v>6676</v>
      </c>
      <c r="B3018" s="9"/>
      <c r="C3018" s="25"/>
    </row>
    <row r="3019">
      <c r="A3019" s="17" t="s">
        <v>6680</v>
      </c>
      <c r="B3019" s="9"/>
      <c r="C3019" s="25"/>
    </row>
    <row r="3020">
      <c r="A3020" s="17" t="s">
        <v>6682</v>
      </c>
      <c r="B3020" s="9"/>
      <c r="C3020" s="25"/>
    </row>
    <row r="3021">
      <c r="A3021" s="17" t="s">
        <v>6683</v>
      </c>
      <c r="B3021" s="9"/>
      <c r="C3021" s="25"/>
    </row>
    <row r="3022">
      <c r="A3022" s="17" t="s">
        <v>6684</v>
      </c>
      <c r="B3022" s="9"/>
      <c r="C3022" s="25"/>
    </row>
    <row r="3023">
      <c r="A3023" s="17" t="s">
        <v>6685</v>
      </c>
      <c r="B3023" s="9"/>
      <c r="C3023" s="25"/>
    </row>
    <row r="3024">
      <c r="A3024" s="17" t="s">
        <v>6686</v>
      </c>
      <c r="B3024" s="9"/>
      <c r="C3024" s="25"/>
    </row>
    <row r="3025">
      <c r="A3025" s="17" t="s">
        <v>6687</v>
      </c>
      <c r="B3025" s="9"/>
      <c r="C3025" s="25"/>
    </row>
    <row r="3026">
      <c r="A3026" s="17" t="s">
        <v>6689</v>
      </c>
      <c r="B3026" s="9"/>
      <c r="C3026" s="25"/>
    </row>
    <row r="3027">
      <c r="A3027" s="17" t="s">
        <v>6693</v>
      </c>
      <c r="B3027" s="9"/>
      <c r="C3027" s="25"/>
    </row>
    <row r="3028">
      <c r="A3028" s="17" t="s">
        <v>6694</v>
      </c>
      <c r="B3028" s="9"/>
      <c r="C3028" s="25"/>
    </row>
    <row r="3029">
      <c r="A3029" s="17" t="s">
        <v>6697</v>
      </c>
      <c r="B3029" s="9"/>
      <c r="C3029" s="25"/>
    </row>
    <row r="3030">
      <c r="A3030" s="17" t="s">
        <v>6698</v>
      </c>
      <c r="B3030" s="9"/>
      <c r="C3030" s="25"/>
    </row>
    <row r="3031">
      <c r="A3031" s="17" t="s">
        <v>6699</v>
      </c>
      <c r="B3031" s="9"/>
      <c r="C3031" s="25"/>
    </row>
    <row r="3032">
      <c r="A3032" s="17" t="s">
        <v>6700</v>
      </c>
      <c r="B3032" s="9"/>
      <c r="C3032" s="25"/>
    </row>
    <row r="3033">
      <c r="A3033" s="17" t="s">
        <v>6701</v>
      </c>
      <c r="B3033" s="9"/>
      <c r="C3033" s="25"/>
    </row>
    <row r="3034">
      <c r="A3034" s="17" t="s">
        <v>6702</v>
      </c>
      <c r="B3034" s="9"/>
      <c r="C3034" s="25"/>
    </row>
    <row r="3035">
      <c r="A3035" s="17" t="s">
        <v>6704</v>
      </c>
      <c r="B3035" s="9"/>
      <c r="C3035" s="25"/>
    </row>
    <row r="3036">
      <c r="A3036" s="17" t="s">
        <v>6708</v>
      </c>
      <c r="B3036" s="9"/>
      <c r="C3036" s="25"/>
    </row>
    <row r="3037">
      <c r="A3037" s="17" t="s">
        <v>6709</v>
      </c>
      <c r="B3037" s="9"/>
      <c r="C3037" s="25"/>
    </row>
    <row r="3038">
      <c r="A3038" s="17" t="s">
        <v>6710</v>
      </c>
      <c r="B3038" s="9"/>
      <c r="C3038" s="25"/>
    </row>
    <row r="3039">
      <c r="A3039" s="17" t="s">
        <v>6711</v>
      </c>
      <c r="B3039" s="9"/>
      <c r="C3039" s="25"/>
    </row>
    <row r="3040">
      <c r="A3040" s="17" t="s">
        <v>6712</v>
      </c>
      <c r="B3040" s="9"/>
      <c r="C3040" s="25"/>
    </row>
    <row r="3041">
      <c r="A3041" s="17" t="s">
        <v>6713</v>
      </c>
      <c r="B3041" s="9"/>
      <c r="C3041" s="25"/>
    </row>
    <row r="3042">
      <c r="A3042" s="17" t="s">
        <v>6714</v>
      </c>
      <c r="B3042" s="9"/>
      <c r="C3042" s="25"/>
    </row>
    <row r="3043">
      <c r="A3043" s="17" t="s">
        <v>6716</v>
      </c>
      <c r="B3043" s="9"/>
      <c r="C3043" s="25"/>
    </row>
    <row r="3044">
      <c r="A3044" s="17" t="s">
        <v>6718</v>
      </c>
      <c r="B3044" s="9"/>
      <c r="C3044" s="25"/>
    </row>
    <row r="3045">
      <c r="A3045" s="17" t="s">
        <v>6720</v>
      </c>
      <c r="B3045" s="9"/>
      <c r="C3045" s="25"/>
    </row>
    <row r="3046">
      <c r="A3046" s="17" t="s">
        <v>6721</v>
      </c>
      <c r="B3046" s="9"/>
      <c r="C3046" s="25"/>
    </row>
    <row r="3047">
      <c r="A3047" s="17" t="s">
        <v>6722</v>
      </c>
      <c r="B3047" s="9"/>
      <c r="C3047" s="25"/>
    </row>
    <row r="3048">
      <c r="A3048" s="17" t="s">
        <v>6723</v>
      </c>
      <c r="B3048" s="9"/>
      <c r="C3048" s="25"/>
    </row>
    <row r="3049">
      <c r="A3049" s="17" t="s">
        <v>6724</v>
      </c>
      <c r="B3049" s="9"/>
      <c r="C3049" s="25"/>
    </row>
    <row r="3050">
      <c r="A3050" s="17" t="s">
        <v>6725</v>
      </c>
      <c r="B3050" s="9"/>
      <c r="C3050" s="25"/>
    </row>
    <row r="3051">
      <c r="A3051" s="17" t="s">
        <v>6727</v>
      </c>
      <c r="B3051" s="9"/>
      <c r="C3051" s="25"/>
    </row>
    <row r="3052">
      <c r="A3052" s="17" t="s">
        <v>6731</v>
      </c>
      <c r="B3052" s="9"/>
      <c r="C3052" s="25"/>
    </row>
    <row r="3053">
      <c r="A3053" s="17" t="s">
        <v>6732</v>
      </c>
      <c r="B3053" s="9"/>
      <c r="C3053" s="25"/>
    </row>
    <row r="3054">
      <c r="A3054" s="17" t="s">
        <v>6734</v>
      </c>
      <c r="B3054" s="9"/>
      <c r="C3054" s="25"/>
    </row>
    <row r="3055">
      <c r="A3055" s="17" t="s">
        <v>6736</v>
      </c>
      <c r="B3055" s="9"/>
      <c r="C3055" s="25"/>
    </row>
    <row r="3056">
      <c r="A3056" s="17" t="s">
        <v>6737</v>
      </c>
      <c r="B3056" s="9"/>
      <c r="C3056" s="25"/>
    </row>
    <row r="3057">
      <c r="A3057" s="17" t="s">
        <v>6738</v>
      </c>
      <c r="B3057" s="9"/>
      <c r="C3057" s="25"/>
    </row>
    <row r="3058">
      <c r="A3058" s="17" t="s">
        <v>6739</v>
      </c>
      <c r="B3058" s="9"/>
      <c r="C3058" s="25"/>
    </row>
    <row r="3059">
      <c r="A3059" s="17" t="s">
        <v>6740</v>
      </c>
      <c r="B3059" s="9"/>
      <c r="C3059" s="25"/>
    </row>
    <row r="3060">
      <c r="A3060" s="17" t="s">
        <v>6742</v>
      </c>
      <c r="B3060" s="9"/>
      <c r="C3060" s="25"/>
    </row>
    <row r="3061">
      <c r="A3061" s="17" t="s">
        <v>6743</v>
      </c>
      <c r="B3061" s="9"/>
      <c r="C3061" s="25"/>
    </row>
    <row r="3062">
      <c r="A3062" s="17" t="s">
        <v>6746</v>
      </c>
      <c r="B3062" s="9"/>
      <c r="C3062" s="25"/>
    </row>
    <row r="3063">
      <c r="A3063" s="17" t="s">
        <v>6747</v>
      </c>
      <c r="B3063" s="9"/>
      <c r="C3063" s="25"/>
    </row>
    <row r="3064">
      <c r="A3064" s="17" t="s">
        <v>6748</v>
      </c>
      <c r="B3064" s="9"/>
      <c r="C3064" s="25"/>
    </row>
    <row r="3065">
      <c r="A3065" s="17" t="s">
        <v>6749</v>
      </c>
      <c r="B3065" s="9"/>
      <c r="C3065" s="25"/>
    </row>
    <row r="3066">
      <c r="A3066" s="17" t="s">
        <v>6750</v>
      </c>
      <c r="B3066" s="9"/>
      <c r="C3066" s="25"/>
    </row>
    <row r="3067">
      <c r="A3067" s="17" t="s">
        <v>6751</v>
      </c>
      <c r="B3067" s="9"/>
      <c r="C3067" s="25"/>
    </row>
    <row r="3068">
      <c r="A3068" s="17" t="s">
        <v>6752</v>
      </c>
      <c r="B3068" s="9"/>
      <c r="C3068" s="25"/>
    </row>
    <row r="3069">
      <c r="A3069" s="17" t="s">
        <v>6753</v>
      </c>
      <c r="B3069" s="9"/>
      <c r="C3069" s="25"/>
    </row>
    <row r="3070">
      <c r="A3070" s="17" t="s">
        <v>6755</v>
      </c>
      <c r="B3070" s="9"/>
      <c r="C3070" s="25"/>
    </row>
    <row r="3071">
      <c r="A3071" s="17" t="s">
        <v>6757</v>
      </c>
      <c r="B3071" s="9"/>
      <c r="C3071" s="25"/>
    </row>
    <row r="3072">
      <c r="A3072" s="17" t="s">
        <v>6759</v>
      </c>
      <c r="B3072" s="9"/>
      <c r="C3072" s="25"/>
    </row>
    <row r="3073">
      <c r="A3073" s="17" t="s">
        <v>6760</v>
      </c>
      <c r="B3073" s="9"/>
      <c r="C3073" s="25"/>
    </row>
    <row r="3074">
      <c r="A3074" s="17" t="s">
        <v>6761</v>
      </c>
      <c r="B3074" s="9"/>
      <c r="C3074" s="25"/>
    </row>
    <row r="3075">
      <c r="A3075" s="17" t="s">
        <v>6762</v>
      </c>
      <c r="B3075" s="9"/>
      <c r="C3075" s="25"/>
    </row>
    <row r="3076">
      <c r="A3076" s="17" t="s">
        <v>6763</v>
      </c>
      <c r="B3076" s="9"/>
      <c r="C3076" s="25"/>
    </row>
    <row r="3077">
      <c r="A3077" s="17" t="s">
        <v>6764</v>
      </c>
      <c r="B3077" s="9"/>
      <c r="C3077" s="25"/>
    </row>
    <row r="3078">
      <c r="A3078" s="17" t="s">
        <v>6765</v>
      </c>
      <c r="B3078" s="9"/>
      <c r="C3078" s="25"/>
    </row>
    <row r="3079">
      <c r="A3079" s="17" t="s">
        <v>6768</v>
      </c>
      <c r="B3079" s="9"/>
      <c r="C3079" s="25"/>
    </row>
    <row r="3080">
      <c r="A3080" s="17" t="s">
        <v>6772</v>
      </c>
      <c r="B3080" s="9"/>
      <c r="C3080" s="25"/>
    </row>
    <row r="3081">
      <c r="A3081" s="17" t="s">
        <v>6773</v>
      </c>
      <c r="B3081" s="9"/>
      <c r="C3081" s="25"/>
    </row>
    <row r="3082">
      <c r="A3082" s="17" t="s">
        <v>6774</v>
      </c>
      <c r="B3082" s="9"/>
      <c r="C3082" s="25"/>
    </row>
    <row r="3083">
      <c r="A3083" s="17" t="s">
        <v>6775</v>
      </c>
      <c r="B3083" s="9"/>
      <c r="C3083" s="25"/>
    </row>
    <row r="3084">
      <c r="A3084" s="17" t="s">
        <v>6776</v>
      </c>
      <c r="B3084" s="9"/>
      <c r="C3084" s="25"/>
    </row>
    <row r="3085">
      <c r="A3085" s="17" t="s">
        <v>6777</v>
      </c>
      <c r="B3085" s="9"/>
      <c r="C3085" s="25"/>
    </row>
    <row r="3086">
      <c r="A3086" s="17" t="s">
        <v>6778</v>
      </c>
      <c r="B3086" s="9"/>
      <c r="C3086" s="25"/>
    </row>
    <row r="3087">
      <c r="A3087" s="17" t="s">
        <v>6779</v>
      </c>
      <c r="B3087" s="9"/>
      <c r="C3087" s="25"/>
    </row>
    <row r="3088">
      <c r="A3088" s="17" t="s">
        <v>6780</v>
      </c>
      <c r="B3088" s="9"/>
      <c r="C3088" s="25"/>
    </row>
    <row r="3089">
      <c r="A3089" s="17" t="s">
        <v>6782</v>
      </c>
      <c r="B3089" s="9"/>
      <c r="C3089" s="25"/>
    </row>
    <row r="3090">
      <c r="A3090" s="17" t="s">
        <v>6785</v>
      </c>
      <c r="B3090" s="9"/>
      <c r="C3090" s="25"/>
    </row>
    <row r="3091">
      <c r="A3091" s="17" t="s">
        <v>6786</v>
      </c>
      <c r="B3091" s="9"/>
      <c r="C3091" s="25"/>
    </row>
    <row r="3092">
      <c r="A3092" s="17" t="s">
        <v>6788</v>
      </c>
      <c r="B3092" s="9"/>
      <c r="C3092" s="25"/>
    </row>
    <row r="3093">
      <c r="A3093" s="17" t="s">
        <v>6791</v>
      </c>
      <c r="B3093" s="9"/>
      <c r="C3093" s="25"/>
    </row>
    <row r="3094">
      <c r="A3094" s="17" t="s">
        <v>6792</v>
      </c>
      <c r="B3094" s="9"/>
      <c r="C3094" s="25"/>
    </row>
    <row r="3095">
      <c r="A3095" s="17" t="s">
        <v>6793</v>
      </c>
      <c r="B3095" s="9"/>
      <c r="C3095" s="25"/>
    </row>
    <row r="3096">
      <c r="A3096" s="17" t="s">
        <v>6794</v>
      </c>
      <c r="B3096" s="9"/>
      <c r="C3096" s="25"/>
    </row>
    <row r="3097">
      <c r="A3097" s="17" t="s">
        <v>6795</v>
      </c>
      <c r="B3097" s="9"/>
      <c r="C3097" s="25"/>
    </row>
    <row r="3098">
      <c r="A3098" s="17" t="s">
        <v>6796</v>
      </c>
      <c r="B3098" s="9"/>
      <c r="C3098" s="25"/>
    </row>
    <row r="3099">
      <c r="A3099" s="17" t="s">
        <v>6799</v>
      </c>
      <c r="B3099" s="9"/>
      <c r="C3099" s="25"/>
    </row>
    <row r="3100">
      <c r="A3100" s="17" t="s">
        <v>6800</v>
      </c>
      <c r="B3100" s="9"/>
      <c r="C3100" s="25"/>
    </row>
    <row r="3101">
      <c r="A3101" s="17" t="s">
        <v>6804</v>
      </c>
      <c r="B3101" s="9"/>
      <c r="C3101" s="25"/>
    </row>
    <row r="3102">
      <c r="A3102" s="17" t="s">
        <v>6805</v>
      </c>
      <c r="B3102" s="9"/>
      <c r="C3102" s="25"/>
    </row>
    <row r="3103">
      <c r="A3103" s="17" t="s">
        <v>6807</v>
      </c>
      <c r="B3103" s="9"/>
      <c r="C3103" s="25"/>
    </row>
    <row r="3104">
      <c r="A3104" s="17" t="s">
        <v>6810</v>
      </c>
      <c r="B3104" s="9"/>
      <c r="C3104" s="25"/>
    </row>
    <row r="3105">
      <c r="A3105" s="17" t="s">
        <v>6811</v>
      </c>
      <c r="B3105" s="9"/>
      <c r="C3105" s="25"/>
    </row>
    <row r="3106">
      <c r="A3106" s="17" t="s">
        <v>6812</v>
      </c>
      <c r="B3106" s="9"/>
      <c r="C3106" s="25"/>
    </row>
    <row r="3107">
      <c r="A3107" s="17" t="s">
        <v>6813</v>
      </c>
      <c r="B3107" s="9"/>
      <c r="C3107" s="25"/>
    </row>
    <row r="3108">
      <c r="A3108" s="17" t="s">
        <v>6815</v>
      </c>
      <c r="B3108" s="9"/>
      <c r="C3108" s="25"/>
    </row>
    <row r="3109">
      <c r="A3109" s="17" t="s">
        <v>6818</v>
      </c>
      <c r="B3109" s="9"/>
      <c r="C3109" s="25"/>
    </row>
    <row r="3110">
      <c r="A3110" s="17" t="s">
        <v>6820</v>
      </c>
      <c r="B3110" s="9"/>
      <c r="C3110" s="25"/>
    </row>
    <row r="3111">
      <c r="A3111" s="17" t="s">
        <v>6821</v>
      </c>
      <c r="B3111" s="9"/>
      <c r="C3111" s="25"/>
    </row>
    <row r="3112">
      <c r="A3112" s="17" t="s">
        <v>6824</v>
      </c>
      <c r="B3112" s="9"/>
      <c r="C3112" s="25"/>
    </row>
    <row r="3113">
      <c r="A3113" s="17" t="s">
        <v>6825</v>
      </c>
      <c r="B3113" s="9"/>
      <c r="C3113" s="25"/>
    </row>
    <row r="3114">
      <c r="A3114" s="17" t="s">
        <v>6826</v>
      </c>
      <c r="B3114" s="9"/>
      <c r="C3114" s="25"/>
    </row>
    <row r="3115">
      <c r="A3115" s="17" t="s">
        <v>6827</v>
      </c>
      <c r="B3115" s="9"/>
      <c r="C3115" s="25"/>
    </row>
    <row r="3116">
      <c r="A3116" s="17" t="s">
        <v>6828</v>
      </c>
      <c r="B3116" s="9"/>
      <c r="C3116" s="25"/>
    </row>
    <row r="3117">
      <c r="A3117" s="17" t="s">
        <v>6832</v>
      </c>
      <c r="B3117" s="9"/>
      <c r="C3117" s="25"/>
    </row>
    <row r="3118">
      <c r="A3118" s="17" t="s">
        <v>6833</v>
      </c>
      <c r="B3118" s="9"/>
      <c r="C3118" s="25"/>
    </row>
    <row r="3119">
      <c r="A3119" s="17" t="s">
        <v>6834</v>
      </c>
      <c r="B3119" s="9"/>
      <c r="C3119" s="25"/>
    </row>
    <row r="3120">
      <c r="A3120" s="17" t="s">
        <v>6837</v>
      </c>
      <c r="B3120" s="9"/>
      <c r="C3120" s="25"/>
    </row>
    <row r="3121">
      <c r="A3121" s="17" t="s">
        <v>6838</v>
      </c>
      <c r="B3121" s="9"/>
      <c r="C3121" s="25"/>
    </row>
    <row r="3122">
      <c r="A3122" s="17" t="s">
        <v>6839</v>
      </c>
      <c r="B3122" s="9"/>
      <c r="C3122" s="25"/>
    </row>
    <row r="3123">
      <c r="A3123" s="17" t="s">
        <v>6840</v>
      </c>
      <c r="B3123" s="9"/>
      <c r="C3123" s="25"/>
    </row>
    <row r="3124">
      <c r="A3124" s="17" t="s">
        <v>6841</v>
      </c>
      <c r="B3124" s="9"/>
      <c r="C3124" s="25"/>
    </row>
    <row r="3125">
      <c r="A3125" s="17" t="s">
        <v>6843</v>
      </c>
      <c r="B3125" s="9"/>
      <c r="C3125" s="25"/>
    </row>
    <row r="3126">
      <c r="A3126" s="17" t="s">
        <v>6845</v>
      </c>
      <c r="B3126" s="9"/>
      <c r="C3126" s="25"/>
    </row>
    <row r="3127">
      <c r="A3127" s="17" t="s">
        <v>6847</v>
      </c>
      <c r="B3127" s="9"/>
      <c r="C3127" s="25"/>
    </row>
    <row r="3128">
      <c r="A3128" s="17" t="s">
        <v>6848</v>
      </c>
      <c r="B3128" s="9"/>
      <c r="C3128" s="25"/>
    </row>
    <row r="3129">
      <c r="A3129" s="17" t="s">
        <v>6849</v>
      </c>
      <c r="B3129" s="9"/>
      <c r="C3129" s="25"/>
    </row>
    <row r="3130">
      <c r="A3130" s="17" t="s">
        <v>6850</v>
      </c>
      <c r="B3130" s="9"/>
      <c r="C3130" s="25"/>
    </row>
    <row r="3131">
      <c r="A3131" s="17" t="s">
        <v>6851</v>
      </c>
      <c r="B3131" s="9"/>
      <c r="C3131" s="25"/>
    </row>
    <row r="3132">
      <c r="A3132" s="17" t="s">
        <v>6852</v>
      </c>
      <c r="B3132" s="9"/>
      <c r="C3132" s="25"/>
    </row>
    <row r="3133">
      <c r="A3133" s="17" t="s">
        <v>6854</v>
      </c>
      <c r="B3133" s="9"/>
      <c r="C3133" s="25"/>
    </row>
    <row r="3134">
      <c r="A3134" s="17" t="s">
        <v>6856</v>
      </c>
      <c r="B3134" s="9"/>
      <c r="C3134" s="25"/>
    </row>
    <row r="3135">
      <c r="A3135" s="17" t="s">
        <v>6858</v>
      </c>
      <c r="B3135" s="9"/>
      <c r="C3135" s="25"/>
    </row>
    <row r="3136">
      <c r="A3136" s="17" t="s">
        <v>6860</v>
      </c>
      <c r="B3136" s="9"/>
      <c r="C3136" s="25"/>
    </row>
    <row r="3137">
      <c r="A3137" s="17" t="s">
        <v>6861</v>
      </c>
      <c r="B3137" s="9"/>
      <c r="C3137" s="25"/>
    </row>
    <row r="3138">
      <c r="A3138" s="126"/>
      <c r="B3138" s="9"/>
      <c r="C3138" s="25"/>
    </row>
    <row r="3139">
      <c r="A3139" s="17" t="s">
        <v>6862</v>
      </c>
      <c r="B3139" s="9"/>
      <c r="C3139" s="25"/>
    </row>
    <row r="3140">
      <c r="A3140" s="17" t="s">
        <v>6863</v>
      </c>
      <c r="B3140" s="18"/>
      <c r="C3140" s="20" t="s">
        <v>6864</v>
      </c>
    </row>
    <row r="3141">
      <c r="A3141" s="17" t="s">
        <v>6866</v>
      </c>
      <c r="B3141" s="9"/>
      <c r="C3141" s="25"/>
    </row>
    <row r="3142">
      <c r="A3142" s="17" t="s">
        <v>6869</v>
      </c>
      <c r="B3142" s="18"/>
      <c r="C3142" s="20" t="s">
        <v>6870</v>
      </c>
    </row>
    <row r="3143">
      <c r="A3143" s="17" t="s">
        <v>6871</v>
      </c>
      <c r="B3143" s="9"/>
      <c r="C3143" s="25"/>
    </row>
    <row r="3144">
      <c r="A3144" s="17" t="s">
        <v>6872</v>
      </c>
      <c r="B3144" s="18"/>
      <c r="C3144" s="20" t="s">
        <v>6875</v>
      </c>
    </row>
    <row r="3145">
      <c r="A3145" s="17" t="s">
        <v>6878</v>
      </c>
      <c r="B3145" s="18"/>
      <c r="C3145" s="20" t="s">
        <v>6879</v>
      </c>
    </row>
    <row r="3146">
      <c r="A3146" s="17" t="s">
        <v>6880</v>
      </c>
      <c r="B3146" s="18"/>
      <c r="C3146" s="20" t="s">
        <v>6881</v>
      </c>
    </row>
    <row r="3147">
      <c r="A3147" s="17" t="s">
        <v>6882</v>
      </c>
      <c r="B3147" s="9"/>
      <c r="C3147" s="25"/>
    </row>
    <row r="3148">
      <c r="A3148" s="17" t="s">
        <v>6883</v>
      </c>
      <c r="B3148" s="18"/>
      <c r="C3148" s="20" t="s">
        <v>6884</v>
      </c>
    </row>
    <row r="3149">
      <c r="A3149" s="17" t="s">
        <v>6885</v>
      </c>
      <c r="B3149" s="9"/>
      <c r="C3149" s="25"/>
    </row>
    <row r="3150">
      <c r="A3150" s="17" t="s">
        <v>6886</v>
      </c>
      <c r="B3150" s="9"/>
      <c r="C3150" s="25"/>
    </row>
    <row r="3151">
      <c r="A3151" s="17" t="s">
        <v>6887</v>
      </c>
      <c r="B3151" s="9"/>
      <c r="C3151" s="25"/>
    </row>
    <row r="3152">
      <c r="A3152" s="17" t="s">
        <v>6888</v>
      </c>
      <c r="B3152" s="9"/>
      <c r="C3152" s="25"/>
    </row>
    <row r="3153">
      <c r="A3153" s="17" t="s">
        <v>6891</v>
      </c>
      <c r="B3153" s="18"/>
      <c r="C3153" s="20" t="s">
        <v>6893</v>
      </c>
    </row>
    <row r="3154">
      <c r="A3154" s="17" t="s">
        <v>6894</v>
      </c>
      <c r="B3154" s="9"/>
      <c r="C3154" s="25"/>
      <c r="E3154" s="35" t="s">
        <v>6895</v>
      </c>
    </row>
    <row r="3155">
      <c r="A3155" s="17" t="s">
        <v>6896</v>
      </c>
      <c r="B3155" s="9"/>
      <c r="C3155" s="25"/>
    </row>
    <row r="3156">
      <c r="A3156" s="17" t="s">
        <v>6897</v>
      </c>
      <c r="B3156" s="9"/>
      <c r="C3156" s="25"/>
    </row>
    <row r="3157">
      <c r="A3157" s="17" t="s">
        <v>6898</v>
      </c>
      <c r="B3157" s="9"/>
      <c r="C3157" s="25"/>
    </row>
    <row r="3158">
      <c r="A3158" s="17" t="s">
        <v>6899</v>
      </c>
      <c r="B3158" s="18"/>
      <c r="C3158" s="20" t="s">
        <v>6900</v>
      </c>
    </row>
    <row r="3159">
      <c r="A3159" s="17" t="s">
        <v>6901</v>
      </c>
      <c r="B3159" s="18"/>
      <c r="C3159" s="20" t="s">
        <v>6903</v>
      </c>
    </row>
    <row r="3160">
      <c r="A3160" s="17" t="s">
        <v>6905</v>
      </c>
      <c r="B3160" s="18"/>
      <c r="C3160" s="20" t="s">
        <v>6907</v>
      </c>
    </row>
    <row r="3161">
      <c r="A3161" s="17" t="s">
        <v>6908</v>
      </c>
      <c r="B3161" s="9"/>
      <c r="C3161" s="25"/>
    </row>
    <row r="3162">
      <c r="A3162" s="17" t="s">
        <v>6909</v>
      </c>
      <c r="B3162" s="9"/>
      <c r="C3162" s="25"/>
    </row>
    <row r="3163">
      <c r="A3163" s="17" t="s">
        <v>6910</v>
      </c>
      <c r="B3163" s="9"/>
      <c r="C3163" s="25"/>
    </row>
    <row r="3164">
      <c r="A3164" s="17" t="s">
        <v>6911</v>
      </c>
      <c r="B3164" s="18"/>
      <c r="C3164" s="33" t="s">
        <v>6912</v>
      </c>
    </row>
    <row r="3165">
      <c r="A3165" s="17" t="s">
        <v>6913</v>
      </c>
      <c r="B3165" s="18"/>
      <c r="C3165" s="33" t="s">
        <v>6914</v>
      </c>
    </row>
    <row r="3166">
      <c r="A3166" s="126"/>
      <c r="B3166" s="9"/>
      <c r="C3166" s="25"/>
    </row>
    <row r="3167">
      <c r="A3167" s="17" t="s">
        <v>6915</v>
      </c>
      <c r="B3167" s="9"/>
      <c r="C3167" s="25"/>
    </row>
    <row r="3168">
      <c r="A3168" s="17" t="s">
        <v>6917</v>
      </c>
      <c r="B3168" s="9"/>
      <c r="C3168" s="25"/>
    </row>
    <row r="3169">
      <c r="A3169" s="17" t="s">
        <v>6920</v>
      </c>
      <c r="B3169" s="9"/>
      <c r="C3169" s="25"/>
    </row>
    <row r="3170">
      <c r="A3170" s="17" t="s">
        <v>6921</v>
      </c>
      <c r="B3170" s="9"/>
      <c r="C3170" s="25"/>
    </row>
    <row r="3171">
      <c r="A3171" s="17" t="s">
        <v>6922</v>
      </c>
      <c r="B3171" s="9"/>
      <c r="C3171" s="25"/>
    </row>
    <row r="3172">
      <c r="A3172" s="17" t="s">
        <v>6923</v>
      </c>
      <c r="B3172" s="9"/>
      <c r="C3172" s="25"/>
    </row>
    <row r="3173">
      <c r="A3173" s="17" t="s">
        <v>6924</v>
      </c>
      <c r="B3173" s="9"/>
      <c r="C3173" s="25"/>
    </row>
    <row r="3174">
      <c r="A3174" s="17" t="s">
        <v>6925</v>
      </c>
      <c r="B3174" s="9"/>
      <c r="C3174" s="25"/>
    </row>
    <row r="3175">
      <c r="A3175" s="17" t="s">
        <v>6926</v>
      </c>
      <c r="B3175" s="9"/>
      <c r="C3175" s="25"/>
    </row>
    <row r="3176">
      <c r="A3176" s="17" t="s">
        <v>6928</v>
      </c>
      <c r="B3176" s="9"/>
      <c r="C3176" s="25"/>
    </row>
    <row r="3177">
      <c r="A3177" s="17" t="s">
        <v>6932</v>
      </c>
      <c r="B3177" s="9"/>
      <c r="C3177" s="25"/>
    </row>
    <row r="3178">
      <c r="A3178" s="17" t="s">
        <v>6933</v>
      </c>
      <c r="B3178" s="9"/>
      <c r="C3178" s="25"/>
    </row>
    <row r="3179">
      <c r="A3179" s="17" t="s">
        <v>6934</v>
      </c>
      <c r="B3179" s="9"/>
      <c r="C3179" s="25"/>
    </row>
    <row r="3180">
      <c r="A3180" s="17" t="s">
        <v>6935</v>
      </c>
      <c r="B3180" s="9"/>
      <c r="C3180" s="25"/>
    </row>
    <row r="3181">
      <c r="A3181" s="17" t="s">
        <v>6936</v>
      </c>
      <c r="B3181" s="9"/>
      <c r="C3181" s="25"/>
    </row>
    <row r="3182">
      <c r="A3182" s="17" t="s">
        <v>6937</v>
      </c>
      <c r="B3182" s="9"/>
      <c r="C3182" s="25"/>
    </row>
    <row r="3183">
      <c r="A3183" s="17" t="s">
        <v>6938</v>
      </c>
      <c r="B3183" s="9"/>
      <c r="C3183" s="25"/>
    </row>
    <row r="3184">
      <c r="A3184" s="17" t="s">
        <v>6942</v>
      </c>
      <c r="B3184" s="9"/>
      <c r="C3184" s="25"/>
    </row>
    <row r="3185">
      <c r="A3185" s="17" t="s">
        <v>6943</v>
      </c>
      <c r="B3185" s="9"/>
      <c r="C3185" s="25"/>
    </row>
    <row r="3186">
      <c r="A3186" s="17" t="s">
        <v>6944</v>
      </c>
      <c r="B3186" s="9"/>
      <c r="C3186" s="25"/>
    </row>
    <row r="3187">
      <c r="A3187" s="17" t="s">
        <v>6945</v>
      </c>
      <c r="B3187" s="9"/>
      <c r="C3187" s="25"/>
    </row>
    <row r="3188">
      <c r="A3188" s="17" t="s">
        <v>6946</v>
      </c>
      <c r="B3188" s="9"/>
      <c r="C3188" s="25"/>
    </row>
    <row r="3189">
      <c r="A3189" s="17" t="s">
        <v>6947</v>
      </c>
      <c r="B3189" s="9"/>
      <c r="C3189" s="25"/>
    </row>
    <row r="3190">
      <c r="A3190" s="17" t="s">
        <v>6948</v>
      </c>
      <c r="B3190" s="9"/>
      <c r="C3190" s="25"/>
    </row>
    <row r="3191">
      <c r="A3191" s="17" t="s">
        <v>6952</v>
      </c>
      <c r="B3191" s="9"/>
      <c r="C3191" s="25"/>
    </row>
    <row r="3192">
      <c r="A3192" s="17" t="s">
        <v>6953</v>
      </c>
      <c r="B3192" s="18"/>
      <c r="C3192" s="20" t="s">
        <v>6954</v>
      </c>
      <c r="D3192" s="22" t="s">
        <v>6955</v>
      </c>
    </row>
    <row r="3193">
      <c r="A3193" s="17" t="s">
        <v>6956</v>
      </c>
      <c r="B3193" s="18"/>
      <c r="C3193" s="20" t="s">
        <v>6957</v>
      </c>
      <c r="D3193" s="22" t="s">
        <v>6958</v>
      </c>
    </row>
    <row r="3194">
      <c r="A3194" s="17" t="s">
        <v>6959</v>
      </c>
      <c r="B3194" s="9"/>
      <c r="C3194" s="25"/>
    </row>
    <row r="3195">
      <c r="A3195" s="17" t="s">
        <v>6960</v>
      </c>
      <c r="B3195" s="9"/>
      <c r="C3195" s="25"/>
    </row>
    <row r="3196">
      <c r="A3196" s="17" t="s">
        <v>6961</v>
      </c>
      <c r="B3196" s="9"/>
      <c r="C3196" s="25"/>
    </row>
    <row r="3197">
      <c r="A3197" s="17" t="s">
        <v>6964</v>
      </c>
      <c r="B3197" s="9"/>
      <c r="C3197" s="25"/>
    </row>
    <row r="3198">
      <c r="A3198" s="17" t="s">
        <v>6966</v>
      </c>
      <c r="B3198" s="9"/>
      <c r="C3198" s="25"/>
    </row>
    <row r="3199">
      <c r="A3199" s="17" t="s">
        <v>6967</v>
      </c>
      <c r="B3199" s="9"/>
      <c r="C3199" s="25"/>
    </row>
    <row r="3200">
      <c r="A3200" s="17" t="s">
        <v>6968</v>
      </c>
      <c r="B3200" s="9"/>
      <c r="C3200" s="25"/>
    </row>
    <row r="3201">
      <c r="A3201" s="17" t="s">
        <v>6969</v>
      </c>
      <c r="B3201" s="9"/>
      <c r="C3201" s="25"/>
    </row>
    <row r="3202">
      <c r="A3202" s="17" t="s">
        <v>6970</v>
      </c>
      <c r="B3202" s="9"/>
      <c r="C3202" s="25"/>
    </row>
    <row r="3203">
      <c r="A3203" s="17" t="s">
        <v>6971</v>
      </c>
      <c r="B3203" s="9"/>
      <c r="C3203" s="25"/>
    </row>
    <row r="3204">
      <c r="A3204" s="17" t="s">
        <v>6972</v>
      </c>
      <c r="B3204" s="9"/>
      <c r="C3204" s="25"/>
    </row>
    <row r="3205">
      <c r="A3205" s="17" t="s">
        <v>6975</v>
      </c>
      <c r="B3205" s="9"/>
      <c r="C3205" s="25"/>
    </row>
    <row r="3206">
      <c r="A3206" s="126"/>
      <c r="B3206" s="9"/>
      <c r="C3206" s="25"/>
    </row>
    <row r="3207">
      <c r="A3207" s="17" t="s">
        <v>6978</v>
      </c>
      <c r="B3207" s="9"/>
      <c r="C3207" s="25"/>
    </row>
    <row r="3208">
      <c r="A3208" s="17" t="s">
        <v>6979</v>
      </c>
      <c r="B3208" s="9"/>
      <c r="C3208" s="25"/>
    </row>
    <row r="3209">
      <c r="A3209" s="17" t="s">
        <v>6980</v>
      </c>
      <c r="B3209" s="9"/>
      <c r="C3209" s="25"/>
    </row>
    <row r="3210">
      <c r="A3210" s="126"/>
      <c r="B3210" s="9"/>
      <c r="C3210" s="25"/>
    </row>
    <row r="3211">
      <c r="A3211" s="17" t="s">
        <v>6981</v>
      </c>
      <c r="B3211" s="9"/>
      <c r="C3211" s="25"/>
    </row>
    <row r="3212">
      <c r="A3212" s="17" t="s">
        <v>1397</v>
      </c>
      <c r="B3212" s="50"/>
      <c r="C3212" s="20" t="s">
        <v>6984</v>
      </c>
      <c r="D3212" s="22" t="s">
        <v>1392</v>
      </c>
      <c r="H3212" s="39">
        <v>1.0</v>
      </c>
    </row>
    <row r="3213">
      <c r="A3213" s="17" t="s">
        <v>1409</v>
      </c>
      <c r="B3213" s="18"/>
      <c r="C3213" s="25"/>
      <c r="D3213" s="51" t="s">
        <v>1402</v>
      </c>
      <c r="H3213" s="39">
        <v>1.0</v>
      </c>
    </row>
    <row r="3214">
      <c r="A3214" s="17" t="s">
        <v>1421</v>
      </c>
      <c r="B3214" s="18"/>
      <c r="C3214" s="25"/>
      <c r="D3214" s="22" t="s">
        <v>1415</v>
      </c>
      <c r="H3214" s="39">
        <v>1.0</v>
      </c>
    </row>
    <row r="3215">
      <c r="A3215" s="17" t="s">
        <v>1455</v>
      </c>
      <c r="B3215" s="18"/>
      <c r="C3215" s="25"/>
      <c r="D3215" s="22" t="s">
        <v>1449</v>
      </c>
      <c r="H3215" s="39">
        <v>123.0</v>
      </c>
    </row>
    <row r="3216">
      <c r="A3216" s="17" t="s">
        <v>1468</v>
      </c>
      <c r="B3216" s="18"/>
      <c r="C3216" s="25"/>
      <c r="D3216" s="22" t="s">
        <v>1462</v>
      </c>
      <c r="H3216" s="39">
        <v>1.0</v>
      </c>
    </row>
    <row r="3217">
      <c r="A3217" s="17" t="s">
        <v>1482</v>
      </c>
      <c r="B3217" s="18"/>
      <c r="C3217" s="25"/>
      <c r="D3217" s="22" t="s">
        <v>1476</v>
      </c>
      <c r="H3217" s="39">
        <v>123.0</v>
      </c>
    </row>
    <row r="3218">
      <c r="A3218" s="17" t="s">
        <v>1493</v>
      </c>
      <c r="B3218" s="18"/>
      <c r="C3218" s="25"/>
      <c r="D3218" s="22" t="s">
        <v>1487</v>
      </c>
      <c r="H3218" s="39">
        <v>1.0</v>
      </c>
    </row>
    <row r="3219">
      <c r="A3219" s="17" t="s">
        <v>1591</v>
      </c>
      <c r="B3219" s="18"/>
      <c r="C3219" s="25"/>
      <c r="D3219" s="22" t="s">
        <v>1589</v>
      </c>
      <c r="H3219" s="39">
        <v>2.0</v>
      </c>
    </row>
    <row r="3220">
      <c r="A3220" s="17" t="s">
        <v>1596</v>
      </c>
      <c r="B3220" s="18"/>
      <c r="C3220" s="25"/>
      <c r="D3220" s="22" t="s">
        <v>1593</v>
      </c>
      <c r="H3220" s="39">
        <v>2.0</v>
      </c>
    </row>
    <row r="3221">
      <c r="A3221" s="17" t="s">
        <v>1606</v>
      </c>
      <c r="B3221" s="18"/>
      <c r="C3221" s="25"/>
      <c r="D3221" s="22" t="s">
        <v>1593</v>
      </c>
      <c r="H3221" s="39">
        <v>2.0</v>
      </c>
    </row>
    <row r="3222">
      <c r="A3222" s="17" t="s">
        <v>1501</v>
      </c>
      <c r="B3222" s="18"/>
      <c r="C3222" s="25"/>
      <c r="D3222" s="22" t="s">
        <v>1496</v>
      </c>
      <c r="H3222" s="39">
        <v>2.0</v>
      </c>
    </row>
    <row r="3223">
      <c r="A3223" s="17" t="s">
        <v>1512</v>
      </c>
      <c r="B3223" s="18"/>
      <c r="C3223" s="25"/>
      <c r="D3223" s="22" t="s">
        <v>1507</v>
      </c>
      <c r="H3223" s="39">
        <v>2.0</v>
      </c>
    </row>
    <row r="3224">
      <c r="A3224" s="17" t="s">
        <v>1525</v>
      </c>
      <c r="B3224" s="18"/>
      <c r="C3224" s="25"/>
      <c r="D3224" s="22" t="s">
        <v>1519</v>
      </c>
      <c r="H3224" s="39">
        <v>2.0</v>
      </c>
    </row>
    <row r="3225">
      <c r="A3225" s="17" t="s">
        <v>1541</v>
      </c>
      <c r="B3225" s="18"/>
      <c r="C3225" s="25"/>
      <c r="D3225" s="22" t="s">
        <v>1531</v>
      </c>
      <c r="H3225" s="39">
        <v>2.0</v>
      </c>
    </row>
    <row r="3226">
      <c r="A3226" s="17" t="s">
        <v>1551</v>
      </c>
      <c r="B3226" s="18"/>
      <c r="C3226" s="25"/>
      <c r="D3226" s="22" t="s">
        <v>1546</v>
      </c>
      <c r="H3226" s="39">
        <v>2.0</v>
      </c>
    </row>
    <row r="3227">
      <c r="A3227" s="17" t="s">
        <v>1561</v>
      </c>
      <c r="B3227" s="18"/>
      <c r="C3227" s="25"/>
      <c r="D3227" s="22" t="s">
        <v>1556</v>
      </c>
      <c r="H3227" s="39">
        <v>2.0</v>
      </c>
    </row>
    <row r="3228">
      <c r="A3228" s="17" t="s">
        <v>1570</v>
      </c>
      <c r="B3228" s="18"/>
      <c r="C3228" s="25"/>
      <c r="D3228" s="22" t="s">
        <v>1565</v>
      </c>
      <c r="H3228" s="39">
        <v>2.0</v>
      </c>
    </row>
    <row r="3229">
      <c r="A3229" s="17" t="s">
        <v>1583</v>
      </c>
      <c r="B3229" s="18"/>
      <c r="C3229" s="25"/>
      <c r="D3229" s="22" t="s">
        <v>1577</v>
      </c>
      <c r="H3229" s="39">
        <v>1.0</v>
      </c>
    </row>
    <row r="3230">
      <c r="A3230" s="17" t="s">
        <v>6997</v>
      </c>
      <c r="B3230" s="9"/>
      <c r="C3230" s="25"/>
      <c r="H3230" s="39">
        <v>123.0</v>
      </c>
    </row>
    <row r="3231">
      <c r="A3231" s="17" t="s">
        <v>6998</v>
      </c>
      <c r="B3231" s="9"/>
      <c r="C3231" s="25"/>
      <c r="H3231" s="39">
        <v>123.0</v>
      </c>
    </row>
    <row r="3232">
      <c r="A3232" s="17" t="s">
        <v>6999</v>
      </c>
      <c r="B3232" s="9"/>
      <c r="C3232" s="25"/>
      <c r="H3232" s="39">
        <v>123.0</v>
      </c>
    </row>
    <row r="3233">
      <c r="A3233" s="17" t="s">
        <v>7001</v>
      </c>
      <c r="B3233" s="9"/>
      <c r="C3233" s="25"/>
      <c r="H3233" s="39">
        <v>123.0</v>
      </c>
    </row>
    <row r="3234">
      <c r="A3234" s="17" t="s">
        <v>7003</v>
      </c>
      <c r="B3234" s="9"/>
      <c r="C3234" s="25"/>
      <c r="H3234" s="39">
        <v>123.0</v>
      </c>
    </row>
    <row r="3235">
      <c r="A3235" s="17" t="s">
        <v>7004</v>
      </c>
      <c r="B3235" s="9"/>
      <c r="C3235" s="25"/>
      <c r="H3235" s="39">
        <v>123.0</v>
      </c>
    </row>
    <row r="3236">
      <c r="A3236" s="17" t="s">
        <v>7005</v>
      </c>
      <c r="B3236" s="9"/>
      <c r="C3236" s="25"/>
      <c r="H3236" s="39">
        <v>123.0</v>
      </c>
    </row>
    <row r="3237">
      <c r="A3237" s="17" t="s">
        <v>7010</v>
      </c>
      <c r="B3237" s="9"/>
      <c r="C3237" s="25"/>
      <c r="H3237" s="39">
        <v>123.0</v>
      </c>
    </row>
    <row r="3238">
      <c r="A3238" s="17" t="s">
        <v>7011</v>
      </c>
      <c r="B3238" s="9"/>
      <c r="C3238" s="25"/>
      <c r="H3238" s="39">
        <v>123.0</v>
      </c>
    </row>
    <row r="3239">
      <c r="A3239" s="17" t="s">
        <v>1619</v>
      </c>
      <c r="B3239" s="18"/>
      <c r="C3239" s="25"/>
      <c r="D3239" s="22" t="s">
        <v>1612</v>
      </c>
      <c r="H3239" s="39">
        <v>123.0</v>
      </c>
    </row>
    <row r="3240">
      <c r="A3240" s="17" t="s">
        <v>1629</v>
      </c>
      <c r="B3240" s="18"/>
      <c r="C3240" s="25"/>
      <c r="D3240" s="22" t="s">
        <v>1624</v>
      </c>
      <c r="H3240" s="39">
        <v>123.0</v>
      </c>
    </row>
    <row r="3241">
      <c r="A3241" s="17" t="s">
        <v>7013</v>
      </c>
      <c r="B3241" s="9"/>
      <c r="C3241" s="25"/>
      <c r="H3241" s="39">
        <v>123.0</v>
      </c>
    </row>
    <row r="3242">
      <c r="A3242" s="17" t="s">
        <v>7014</v>
      </c>
      <c r="B3242" s="9"/>
      <c r="C3242" s="25"/>
      <c r="H3242" s="39">
        <v>123.0</v>
      </c>
    </row>
    <row r="3243">
      <c r="A3243" s="17" t="s">
        <v>7016</v>
      </c>
      <c r="B3243" s="9"/>
      <c r="C3243" s="25"/>
      <c r="H3243" s="39">
        <v>123.0</v>
      </c>
    </row>
    <row r="3244">
      <c r="A3244" s="17" t="s">
        <v>1645</v>
      </c>
      <c r="B3244" s="18"/>
      <c r="C3244" s="25"/>
      <c r="D3244" s="22" t="s">
        <v>1633</v>
      </c>
      <c r="H3244" s="39">
        <v>2.0</v>
      </c>
    </row>
    <row r="3245">
      <c r="A3245" s="17" t="s">
        <v>1657</v>
      </c>
      <c r="B3245" s="50"/>
      <c r="C3245" s="20" t="s">
        <v>1656</v>
      </c>
      <c r="D3245" s="22" t="s">
        <v>1649</v>
      </c>
      <c r="H3245" s="39">
        <v>1.0</v>
      </c>
    </row>
    <row r="3246">
      <c r="A3246" s="17" t="s">
        <v>1687</v>
      </c>
      <c r="B3246" s="18"/>
      <c r="C3246" s="25"/>
      <c r="D3246" s="22" t="s">
        <v>1683</v>
      </c>
      <c r="H3246" s="39">
        <v>3.0</v>
      </c>
    </row>
    <row r="3247">
      <c r="A3247" s="17" t="s">
        <v>1695</v>
      </c>
      <c r="B3247" s="18"/>
      <c r="C3247" s="25"/>
      <c r="D3247" s="22" t="s">
        <v>1691</v>
      </c>
      <c r="H3247" s="39">
        <v>3.0</v>
      </c>
    </row>
    <row r="3248">
      <c r="A3248" s="17" t="s">
        <v>1704</v>
      </c>
      <c r="B3248" s="18"/>
      <c r="C3248" s="25"/>
      <c r="D3248" s="22" t="s">
        <v>1700</v>
      </c>
      <c r="H3248" s="39">
        <v>3.0</v>
      </c>
    </row>
    <row r="3249">
      <c r="A3249" s="17" t="s">
        <v>1721</v>
      </c>
      <c r="B3249" s="18"/>
      <c r="C3249" s="25"/>
      <c r="D3249" s="22" t="s">
        <v>1717</v>
      </c>
      <c r="H3249" s="39">
        <v>1.0</v>
      </c>
    </row>
    <row r="3250">
      <c r="A3250" s="17" t="s">
        <v>1728</v>
      </c>
      <c r="B3250" s="50"/>
      <c r="C3250" s="20" t="s">
        <v>1726</v>
      </c>
      <c r="D3250" s="22" t="s">
        <v>1724</v>
      </c>
      <c r="H3250" s="39">
        <v>3.0</v>
      </c>
    </row>
    <row r="3251">
      <c r="A3251" s="17" t="s">
        <v>1736</v>
      </c>
      <c r="B3251" s="18"/>
      <c r="C3251" s="25"/>
      <c r="D3251" s="22" t="s">
        <v>1732</v>
      </c>
      <c r="H3251" s="39">
        <v>2.0</v>
      </c>
    </row>
    <row r="3252">
      <c r="A3252" s="17" t="s">
        <v>1747</v>
      </c>
      <c r="B3252" s="18"/>
      <c r="C3252" s="25"/>
      <c r="D3252" s="22" t="s">
        <v>1742</v>
      </c>
      <c r="H3252" s="39">
        <v>2.0</v>
      </c>
    </row>
    <row r="3253">
      <c r="A3253" s="17" t="s">
        <v>7021</v>
      </c>
      <c r="B3253" s="18"/>
      <c r="C3253" s="25"/>
      <c r="D3253" s="22" t="s">
        <v>1365</v>
      </c>
      <c r="H3253" s="39">
        <v>2.0</v>
      </c>
    </row>
    <row r="3254">
      <c r="A3254" s="17" t="s">
        <v>7023</v>
      </c>
      <c r="B3254" s="81"/>
      <c r="C3254" s="25"/>
      <c r="D3254" s="22" t="s">
        <v>1752</v>
      </c>
      <c r="H3254" s="39">
        <v>123.0</v>
      </c>
    </row>
    <row r="3255">
      <c r="A3255" s="17" t="s">
        <v>7024</v>
      </c>
      <c r="B3255" s="9"/>
      <c r="C3255" s="25"/>
      <c r="D3255" s="101" t="s">
        <v>7025</v>
      </c>
      <c r="E3255" s="35" t="s">
        <v>7026</v>
      </c>
      <c r="H3255" s="39">
        <v>123.0</v>
      </c>
    </row>
    <row r="3256">
      <c r="A3256" s="17" t="s">
        <v>1779</v>
      </c>
      <c r="B3256" s="50"/>
      <c r="C3256" s="20" t="s">
        <v>1777</v>
      </c>
      <c r="D3256" s="22" t="s">
        <v>1773</v>
      </c>
      <c r="H3256" s="39">
        <v>1.0</v>
      </c>
    </row>
    <row r="3257">
      <c r="A3257" s="17" t="s">
        <v>7029</v>
      </c>
      <c r="B3257" s="9"/>
      <c r="C3257" s="25"/>
      <c r="H3257" s="39">
        <v>2.0</v>
      </c>
    </row>
    <row r="3258">
      <c r="A3258" s="17" t="s">
        <v>7030</v>
      </c>
      <c r="B3258" s="9"/>
      <c r="C3258" s="25"/>
      <c r="H3258" s="39">
        <v>2.0</v>
      </c>
    </row>
    <row r="3259">
      <c r="A3259" s="17" t="s">
        <v>7031</v>
      </c>
      <c r="B3259" s="9"/>
      <c r="C3259" s="25"/>
      <c r="H3259" s="39">
        <v>2.0</v>
      </c>
    </row>
    <row r="3260">
      <c r="A3260" s="17" t="s">
        <v>7032</v>
      </c>
      <c r="B3260" s="9"/>
      <c r="C3260" s="25"/>
      <c r="H3260" s="39">
        <v>2.0</v>
      </c>
    </row>
    <row r="3261">
      <c r="A3261" s="17" t="s">
        <v>7033</v>
      </c>
      <c r="B3261" s="9"/>
      <c r="C3261" s="25"/>
      <c r="H3261" s="39">
        <v>2.0</v>
      </c>
    </row>
    <row r="3262">
      <c r="A3262" s="17" t="s">
        <v>1788</v>
      </c>
      <c r="B3262" s="18"/>
      <c r="C3262" s="25"/>
      <c r="D3262" s="22" t="s">
        <v>1784</v>
      </c>
      <c r="H3262" s="39">
        <v>2.0</v>
      </c>
    </row>
    <row r="3263">
      <c r="A3263" s="17" t="s">
        <v>1797</v>
      </c>
      <c r="B3263" s="18"/>
      <c r="C3263" s="25"/>
      <c r="D3263" s="22" t="s">
        <v>1793</v>
      </c>
      <c r="H3263" s="39">
        <v>1.0</v>
      </c>
    </row>
    <row r="3264">
      <c r="A3264" s="17" t="s">
        <v>1805</v>
      </c>
      <c r="B3264" s="18"/>
      <c r="C3264" s="25"/>
      <c r="D3264" s="127" t="s">
        <v>7040</v>
      </c>
      <c r="H3264" s="39">
        <v>13.0</v>
      </c>
    </row>
    <row r="3265">
      <c r="A3265" s="17" t="s">
        <v>1810</v>
      </c>
      <c r="B3265" s="18"/>
      <c r="C3265" s="25"/>
      <c r="D3265" s="127" t="s">
        <v>7057</v>
      </c>
      <c r="H3265" s="39">
        <v>13.0</v>
      </c>
    </row>
    <row r="3266">
      <c r="A3266" s="17" t="s">
        <v>1818</v>
      </c>
      <c r="B3266" s="18"/>
      <c r="C3266" s="25"/>
      <c r="D3266" s="127" t="s">
        <v>7065</v>
      </c>
      <c r="H3266" s="39">
        <v>13.0</v>
      </c>
    </row>
    <row r="3267">
      <c r="A3267" s="17" t="s">
        <v>1827</v>
      </c>
      <c r="B3267" s="18"/>
      <c r="C3267" s="25"/>
      <c r="D3267" s="127" t="s">
        <v>7075</v>
      </c>
      <c r="H3267" s="39">
        <v>13.0</v>
      </c>
    </row>
    <row r="3268">
      <c r="A3268" s="17" t="s">
        <v>1833</v>
      </c>
      <c r="B3268" s="18"/>
      <c r="C3268" s="25"/>
      <c r="D3268" s="127" t="s">
        <v>7083</v>
      </c>
      <c r="H3268" s="39">
        <v>13.0</v>
      </c>
    </row>
    <row r="3269">
      <c r="A3269" s="17" t="s">
        <v>1841</v>
      </c>
      <c r="B3269" s="18"/>
      <c r="C3269" s="25"/>
      <c r="D3269" s="127" t="s">
        <v>7089</v>
      </c>
      <c r="H3269" s="39">
        <v>1.0</v>
      </c>
    </row>
    <row r="3270">
      <c r="A3270" s="17" t="s">
        <v>1850</v>
      </c>
      <c r="B3270" s="18"/>
      <c r="C3270" s="25"/>
      <c r="D3270" s="127" t="s">
        <v>7095</v>
      </c>
      <c r="H3270" s="39">
        <v>1.0</v>
      </c>
    </row>
    <row r="3271">
      <c r="A3271" s="17" t="s">
        <v>1857</v>
      </c>
      <c r="B3271" s="18"/>
      <c r="C3271" s="25"/>
      <c r="D3271" s="22" t="s">
        <v>1852</v>
      </c>
      <c r="H3271" s="39">
        <v>2.0</v>
      </c>
    </row>
    <row r="3272">
      <c r="A3272" s="17" t="s">
        <v>1864</v>
      </c>
      <c r="B3272" s="18"/>
      <c r="C3272" s="25"/>
      <c r="D3272" s="22" t="s">
        <v>1860</v>
      </c>
      <c r="H3272" s="39">
        <v>1.0</v>
      </c>
    </row>
    <row r="3273">
      <c r="A3273" s="17" t="s">
        <v>1873</v>
      </c>
      <c r="B3273" s="18"/>
      <c r="C3273" s="25"/>
      <c r="D3273" s="22" t="s">
        <v>1869</v>
      </c>
      <c r="H3273" s="39">
        <v>2.0</v>
      </c>
    </row>
    <row r="3274">
      <c r="A3274" s="17" t="s">
        <v>1881</v>
      </c>
      <c r="B3274" s="18"/>
      <c r="C3274" s="25"/>
      <c r="D3274" s="22" t="s">
        <v>1878</v>
      </c>
      <c r="H3274" s="39">
        <v>2.0</v>
      </c>
    </row>
    <row r="3275">
      <c r="A3275" s="17" t="s">
        <v>1889</v>
      </c>
      <c r="B3275" s="18"/>
      <c r="C3275" s="25"/>
      <c r="D3275" s="22" t="s">
        <v>1886</v>
      </c>
      <c r="H3275" s="39">
        <v>1.0</v>
      </c>
    </row>
    <row r="3276">
      <c r="A3276" s="17" t="s">
        <v>1899</v>
      </c>
      <c r="B3276" s="18"/>
      <c r="C3276" s="25"/>
      <c r="D3276" s="22" t="s">
        <v>1895</v>
      </c>
      <c r="H3276" s="39">
        <v>1.0</v>
      </c>
    </row>
    <row r="3277">
      <c r="A3277" s="17" t="s">
        <v>1907</v>
      </c>
      <c r="B3277" s="18"/>
      <c r="C3277" s="25"/>
      <c r="D3277" s="22" t="s">
        <v>1904</v>
      </c>
      <c r="H3277" s="39">
        <v>1.0</v>
      </c>
    </row>
    <row r="3278">
      <c r="A3278" s="17" t="s">
        <v>1914</v>
      </c>
      <c r="B3278" s="18"/>
      <c r="C3278" s="25"/>
      <c r="D3278" s="22" t="s">
        <v>1910</v>
      </c>
      <c r="H3278" s="39">
        <v>123.0</v>
      </c>
    </row>
    <row r="3279">
      <c r="A3279" s="17" t="s">
        <v>1924</v>
      </c>
      <c r="B3279" s="18"/>
      <c r="C3279" s="25"/>
      <c r="D3279" s="22" t="s">
        <v>1918</v>
      </c>
      <c r="H3279" s="39">
        <v>123.0</v>
      </c>
    </row>
    <row r="3280">
      <c r="A3280" s="17" t="s">
        <v>1931</v>
      </c>
      <c r="B3280" s="18"/>
      <c r="C3280" s="25"/>
      <c r="D3280" s="22" t="s">
        <v>1927</v>
      </c>
      <c r="H3280" s="39">
        <v>123.0</v>
      </c>
    </row>
    <row r="3281">
      <c r="A3281" s="17" t="s">
        <v>1939</v>
      </c>
      <c r="B3281" s="18"/>
      <c r="C3281" s="25"/>
      <c r="D3281" s="22" t="s">
        <v>1935</v>
      </c>
      <c r="H3281" s="39">
        <v>123.0</v>
      </c>
    </row>
    <row r="3282">
      <c r="A3282" s="17" t="s">
        <v>1946</v>
      </c>
      <c r="B3282" s="18"/>
      <c r="C3282" s="25"/>
      <c r="D3282" s="22" t="s">
        <v>1942</v>
      </c>
      <c r="H3282" s="39">
        <v>123.0</v>
      </c>
    </row>
    <row r="3283">
      <c r="A3283" s="17" t="s">
        <v>1954</v>
      </c>
      <c r="B3283" s="18"/>
      <c r="C3283" s="25"/>
      <c r="D3283" s="22" t="s">
        <v>1950</v>
      </c>
      <c r="H3283" s="39">
        <v>123.0</v>
      </c>
    </row>
    <row r="3284">
      <c r="A3284" s="17" t="s">
        <v>1962</v>
      </c>
      <c r="B3284" s="18"/>
      <c r="C3284" s="25"/>
      <c r="D3284" s="22" t="s">
        <v>1957</v>
      </c>
      <c r="H3284" s="39">
        <v>1.0</v>
      </c>
    </row>
    <row r="3285">
      <c r="A3285" s="17" t="s">
        <v>1970</v>
      </c>
      <c r="B3285" s="18"/>
      <c r="C3285" s="25"/>
      <c r="D3285" s="22" t="s">
        <v>1966</v>
      </c>
      <c r="H3285" s="39">
        <v>2.0</v>
      </c>
    </row>
    <row r="3286">
      <c r="A3286" s="17" t="s">
        <v>7111</v>
      </c>
      <c r="B3286" s="81"/>
      <c r="C3286" s="25"/>
      <c r="D3286" s="101" t="s">
        <v>7114</v>
      </c>
      <c r="H3286" s="39">
        <v>3.0</v>
      </c>
    </row>
    <row r="3287">
      <c r="A3287" s="17" t="s">
        <v>7116</v>
      </c>
      <c r="B3287" s="81"/>
      <c r="C3287" s="25"/>
      <c r="D3287" s="101" t="s">
        <v>7117</v>
      </c>
      <c r="H3287" s="39">
        <v>3.0</v>
      </c>
    </row>
    <row r="3288">
      <c r="A3288" s="17" t="s">
        <v>1990</v>
      </c>
      <c r="B3288" s="18"/>
      <c r="C3288" s="25"/>
      <c r="D3288" s="22" t="s">
        <v>1987</v>
      </c>
      <c r="H3288" s="39">
        <v>3.0</v>
      </c>
    </row>
    <row r="3289">
      <c r="A3289" s="17" t="s">
        <v>1994</v>
      </c>
      <c r="B3289" s="18"/>
      <c r="C3289" s="25"/>
      <c r="D3289" s="22" t="s">
        <v>1992</v>
      </c>
      <c r="H3289" s="39">
        <v>3.0</v>
      </c>
    </row>
    <row r="3290">
      <c r="A3290" s="17" t="s">
        <v>2000</v>
      </c>
      <c r="B3290" s="18"/>
      <c r="C3290" s="25"/>
      <c r="D3290" s="22" t="s">
        <v>1998</v>
      </c>
      <c r="H3290" s="39">
        <v>3.0</v>
      </c>
    </row>
    <row r="3291">
      <c r="A3291" s="17" t="s">
        <v>2007</v>
      </c>
      <c r="B3291" s="18"/>
      <c r="C3291" s="25"/>
      <c r="D3291" s="22" t="s">
        <v>2003</v>
      </c>
      <c r="H3291" s="39">
        <v>2.0</v>
      </c>
    </row>
    <row r="3292">
      <c r="A3292" s="17" t="s">
        <v>2014</v>
      </c>
      <c r="B3292" s="18"/>
      <c r="C3292" s="25"/>
      <c r="D3292" s="22" t="s">
        <v>2009</v>
      </c>
      <c r="H3292" s="39">
        <v>2.0</v>
      </c>
    </row>
    <row r="3293">
      <c r="A3293" s="17" t="s">
        <v>2023</v>
      </c>
      <c r="B3293" s="18"/>
      <c r="C3293" s="25"/>
      <c r="D3293" s="22" t="s">
        <v>2019</v>
      </c>
      <c r="H3293" s="39">
        <v>1.0</v>
      </c>
    </row>
    <row r="3294">
      <c r="A3294" s="17" t="s">
        <v>2031</v>
      </c>
      <c r="B3294" s="18"/>
      <c r="C3294" s="25"/>
      <c r="D3294" s="22" t="s">
        <v>2026</v>
      </c>
      <c r="H3294" s="39">
        <v>2.0</v>
      </c>
    </row>
    <row r="3295">
      <c r="A3295" s="17" t="s">
        <v>2039</v>
      </c>
      <c r="B3295" s="18"/>
      <c r="C3295" s="25"/>
      <c r="D3295" s="22" t="s">
        <v>2034</v>
      </c>
      <c r="H3295" s="39">
        <v>2.0</v>
      </c>
    </row>
    <row r="3296">
      <c r="A3296" s="17" t="s">
        <v>2046</v>
      </c>
      <c r="B3296" s="18"/>
      <c r="C3296" s="25"/>
      <c r="D3296" s="22" t="s">
        <v>2043</v>
      </c>
      <c r="H3296" s="39">
        <v>1.0</v>
      </c>
    </row>
    <row r="3297">
      <c r="A3297" s="17" t="s">
        <v>2053</v>
      </c>
      <c r="B3297" s="18"/>
      <c r="C3297" s="25"/>
      <c r="D3297" s="22" t="s">
        <v>2050</v>
      </c>
      <c r="H3297" s="39">
        <v>1.0</v>
      </c>
    </row>
    <row r="3298">
      <c r="A3298" s="17" t="s">
        <v>2059</v>
      </c>
      <c r="B3298" s="18"/>
      <c r="C3298" s="25"/>
      <c r="D3298" s="22" t="s">
        <v>2055</v>
      </c>
      <c r="H3298" s="39">
        <v>1.0</v>
      </c>
    </row>
    <row r="3299">
      <c r="A3299" s="17" t="s">
        <v>2069</v>
      </c>
      <c r="B3299" s="18"/>
      <c r="C3299" s="25"/>
      <c r="D3299" s="22" t="s">
        <v>2067</v>
      </c>
      <c r="H3299" s="39">
        <v>1.0</v>
      </c>
    </row>
    <row r="3300">
      <c r="A3300" s="17" t="s">
        <v>2075</v>
      </c>
      <c r="B3300" s="18"/>
      <c r="C3300" s="25"/>
      <c r="D3300" s="22" t="s">
        <v>2071</v>
      </c>
      <c r="H3300" s="39">
        <v>1.0</v>
      </c>
    </row>
    <row r="3301">
      <c r="A3301" s="17" t="s">
        <v>2081</v>
      </c>
      <c r="B3301" s="18"/>
      <c r="C3301" s="25"/>
      <c r="D3301" s="22" t="s">
        <v>2077</v>
      </c>
      <c r="H3301" s="39">
        <v>1.0</v>
      </c>
    </row>
    <row r="3302">
      <c r="A3302" s="17" t="s">
        <v>2087</v>
      </c>
      <c r="B3302" s="18"/>
      <c r="C3302" s="25"/>
      <c r="D3302" s="22" t="s">
        <v>2085</v>
      </c>
      <c r="H3302" s="39">
        <v>1.0</v>
      </c>
    </row>
    <row r="3303">
      <c r="A3303" s="17" t="s">
        <v>2092</v>
      </c>
      <c r="B3303" s="18"/>
      <c r="C3303" s="25"/>
      <c r="D3303" s="22" t="s">
        <v>2089</v>
      </c>
      <c r="H3303" s="39">
        <v>1.0</v>
      </c>
    </row>
    <row r="3304">
      <c r="A3304" s="17" t="s">
        <v>2097</v>
      </c>
      <c r="B3304" s="18"/>
      <c r="C3304" s="25"/>
      <c r="D3304" s="22" t="s">
        <v>2095</v>
      </c>
      <c r="H3304" s="39">
        <v>2.0</v>
      </c>
    </row>
    <row r="3305">
      <c r="A3305" s="17" t="s">
        <v>2105</v>
      </c>
      <c r="B3305" s="18"/>
      <c r="C3305" s="25"/>
      <c r="D3305" s="22" t="s">
        <v>2101</v>
      </c>
      <c r="H3305" s="39">
        <v>2.0</v>
      </c>
    </row>
    <row r="3306">
      <c r="A3306" s="17" t="s">
        <v>7130</v>
      </c>
      <c r="B3306" s="9"/>
      <c r="C3306" s="25"/>
      <c r="H3306" s="39">
        <v>123.0</v>
      </c>
    </row>
    <row r="3307">
      <c r="A3307" s="17" t="s">
        <v>2120</v>
      </c>
      <c r="B3307" s="18"/>
      <c r="C3307" s="25"/>
      <c r="D3307" s="22" t="s">
        <v>2115</v>
      </c>
      <c r="H3307" s="39">
        <v>1.0</v>
      </c>
    </row>
    <row r="3308">
      <c r="A3308" s="17" t="s">
        <v>2127</v>
      </c>
      <c r="B3308" s="18"/>
      <c r="C3308" s="25"/>
      <c r="D3308" s="22" t="s">
        <v>2123</v>
      </c>
      <c r="H3308" s="39">
        <v>1.0</v>
      </c>
    </row>
    <row r="3309">
      <c r="A3309" s="17" t="s">
        <v>7133</v>
      </c>
      <c r="B3309" s="9"/>
      <c r="C3309" s="25"/>
      <c r="H3309" s="39">
        <v>123.0</v>
      </c>
    </row>
    <row r="3310">
      <c r="A3310" s="17" t="s">
        <v>2133</v>
      </c>
      <c r="B3310" s="18"/>
      <c r="C3310" s="25"/>
      <c r="D3310" s="22" t="s">
        <v>2130</v>
      </c>
      <c r="H3310" s="39">
        <v>1.0</v>
      </c>
    </row>
    <row r="3311">
      <c r="A3311" s="17" t="s">
        <v>7134</v>
      </c>
      <c r="B3311" s="9"/>
      <c r="C3311" s="25"/>
      <c r="H3311" s="39">
        <v>123.0</v>
      </c>
    </row>
    <row r="3312">
      <c r="A3312" s="17" t="s">
        <v>7135</v>
      </c>
      <c r="B3312" s="9"/>
      <c r="C3312" s="25"/>
      <c r="H3312" s="39">
        <v>123.0</v>
      </c>
    </row>
    <row r="3313">
      <c r="A3313" s="17" t="s">
        <v>1758</v>
      </c>
      <c r="B3313" s="9"/>
      <c r="C3313" s="25"/>
      <c r="H3313" s="39">
        <v>123.0</v>
      </c>
    </row>
    <row r="3314">
      <c r="A3314" s="17" t="s">
        <v>2140</v>
      </c>
      <c r="B3314" s="18"/>
      <c r="C3314" s="25"/>
      <c r="D3314" s="22" t="s">
        <v>2136</v>
      </c>
      <c r="H3314" s="39">
        <v>2.0</v>
      </c>
    </row>
    <row r="3315">
      <c r="A3315" s="17" t="s">
        <v>2146</v>
      </c>
      <c r="B3315" s="18"/>
      <c r="C3315" s="25"/>
      <c r="D3315" s="22" t="s">
        <v>2143</v>
      </c>
      <c r="H3315" s="39">
        <v>2.0</v>
      </c>
    </row>
    <row r="3316">
      <c r="A3316" s="17" t="s">
        <v>2153</v>
      </c>
      <c r="B3316" s="18"/>
      <c r="C3316" s="25"/>
      <c r="D3316" s="22" t="s">
        <v>2150</v>
      </c>
      <c r="H3316" s="39">
        <v>1.0</v>
      </c>
    </row>
    <row r="3317">
      <c r="A3317" s="17" t="s">
        <v>2159</v>
      </c>
      <c r="B3317" s="18"/>
      <c r="C3317" s="25"/>
      <c r="D3317" s="22" t="s">
        <v>2181</v>
      </c>
      <c r="H3317" s="39">
        <v>1.0</v>
      </c>
    </row>
    <row r="3318">
      <c r="A3318" s="17" t="s">
        <v>2168</v>
      </c>
      <c r="B3318" s="18"/>
      <c r="C3318" s="25"/>
      <c r="D3318" s="22" t="s">
        <v>2155</v>
      </c>
      <c r="H3318" s="39">
        <v>2.0</v>
      </c>
    </row>
    <row r="3319">
      <c r="A3319" s="17" t="s">
        <v>2176</v>
      </c>
      <c r="B3319" s="18"/>
      <c r="C3319" s="25"/>
      <c r="D3319" s="22" t="s">
        <v>2163</v>
      </c>
      <c r="H3319" s="39">
        <v>2.0</v>
      </c>
    </row>
    <row r="3320">
      <c r="A3320" s="17" t="s">
        <v>2184</v>
      </c>
      <c r="B3320" s="18"/>
      <c r="C3320" s="25"/>
      <c r="D3320" s="22" t="s">
        <v>2173</v>
      </c>
      <c r="H3320" s="39">
        <v>2.0</v>
      </c>
    </row>
    <row r="3321">
      <c r="A3321" s="17" t="s">
        <v>2192</v>
      </c>
      <c r="B3321" s="18"/>
      <c r="C3321" s="25"/>
      <c r="D3321" s="22" t="s">
        <v>2188</v>
      </c>
      <c r="H3321" s="39">
        <v>1.0</v>
      </c>
    </row>
    <row r="3322">
      <c r="A3322" s="17" t="s">
        <v>2209</v>
      </c>
      <c r="B3322" s="18"/>
      <c r="C3322" s="25"/>
      <c r="D3322" s="22" t="s">
        <v>2196</v>
      </c>
      <c r="H3322" s="39">
        <v>1.0</v>
      </c>
    </row>
    <row r="3323">
      <c r="A3323" s="17" t="s">
        <v>2215</v>
      </c>
      <c r="B3323" s="18"/>
      <c r="C3323" s="25"/>
      <c r="D3323" s="22" t="s">
        <v>2212</v>
      </c>
      <c r="H3323" s="39">
        <v>1.0</v>
      </c>
    </row>
    <row r="3324">
      <c r="A3324" s="17" t="s">
        <v>7152</v>
      </c>
      <c r="B3324" s="9"/>
      <c r="C3324" s="25"/>
      <c r="H3324" s="39">
        <v>123.0</v>
      </c>
    </row>
    <row r="3325">
      <c r="A3325" s="17" t="s">
        <v>7155</v>
      </c>
      <c r="B3325" s="9"/>
      <c r="C3325" s="25"/>
      <c r="H3325" s="39">
        <v>123.0</v>
      </c>
    </row>
    <row r="3326">
      <c r="A3326" s="17" t="s">
        <v>2228</v>
      </c>
      <c r="B3326" s="18"/>
      <c r="C3326" s="25"/>
      <c r="D3326" s="22" t="s">
        <v>2225</v>
      </c>
      <c r="H3326" s="39">
        <v>123.0</v>
      </c>
    </row>
    <row r="3327">
      <c r="A3327" s="17" t="s">
        <v>2237</v>
      </c>
      <c r="B3327" s="18"/>
      <c r="C3327" s="25"/>
      <c r="D3327" s="22" t="s">
        <v>2233</v>
      </c>
      <c r="H3327" s="39">
        <v>123.0</v>
      </c>
    </row>
    <row r="3328">
      <c r="A3328" s="17" t="s">
        <v>2244</v>
      </c>
      <c r="B3328" s="18"/>
      <c r="C3328" s="25"/>
      <c r="D3328" s="22" t="s">
        <v>2240</v>
      </c>
      <c r="H3328" s="39">
        <v>2.0</v>
      </c>
    </row>
    <row r="3329">
      <c r="A3329" s="17" t="s">
        <v>2251</v>
      </c>
      <c r="B3329" s="18"/>
      <c r="C3329" s="25"/>
      <c r="D3329" s="22" t="s">
        <v>2247</v>
      </c>
      <c r="H3329" s="39">
        <v>2.0</v>
      </c>
    </row>
    <row r="3330">
      <c r="A3330" s="17" t="s">
        <v>2258</v>
      </c>
      <c r="B3330" s="18"/>
      <c r="C3330" s="25"/>
      <c r="D3330" s="22" t="s">
        <v>2253</v>
      </c>
      <c r="H3330" s="39">
        <v>2.0</v>
      </c>
    </row>
    <row r="3331">
      <c r="A3331" s="17" t="s">
        <v>2267</v>
      </c>
      <c r="B3331" s="18"/>
      <c r="C3331" s="25"/>
      <c r="D3331" s="22" t="s">
        <v>2262</v>
      </c>
      <c r="H3331" s="39">
        <v>2.0</v>
      </c>
    </row>
    <row r="3332">
      <c r="A3332" s="17" t="s">
        <v>2275</v>
      </c>
      <c r="B3332" s="18"/>
      <c r="C3332" s="25"/>
      <c r="D3332" s="22" t="s">
        <v>2270</v>
      </c>
      <c r="H3332" s="39">
        <v>2.0</v>
      </c>
    </row>
    <row r="3333">
      <c r="A3333" s="17" t="s">
        <v>2282</v>
      </c>
      <c r="B3333" s="18"/>
      <c r="C3333" s="25"/>
      <c r="D3333" s="22" t="s">
        <v>2277</v>
      </c>
      <c r="H3333" s="39">
        <v>2.0</v>
      </c>
    </row>
    <row r="3334">
      <c r="A3334" s="17" t="s">
        <v>2292</v>
      </c>
      <c r="B3334" s="18"/>
      <c r="C3334" s="25"/>
      <c r="D3334" s="22" t="s">
        <v>2287</v>
      </c>
      <c r="H3334" s="39">
        <v>2.0</v>
      </c>
    </row>
    <row r="3335">
      <c r="A3335" s="17" t="s">
        <v>7161</v>
      </c>
      <c r="B3335" s="9"/>
      <c r="C3335" s="25"/>
      <c r="D3335" s="101" t="s">
        <v>7162</v>
      </c>
      <c r="H3335" s="39">
        <v>23.0</v>
      </c>
    </row>
    <row r="3336">
      <c r="A3336" s="17" t="s">
        <v>2309</v>
      </c>
      <c r="B3336" s="18"/>
      <c r="C3336" s="25"/>
      <c r="D3336" s="22" t="s">
        <v>2305</v>
      </c>
      <c r="H3336" s="39">
        <v>2.0</v>
      </c>
    </row>
    <row r="3337">
      <c r="A3337" s="17" t="s">
        <v>2316</v>
      </c>
      <c r="B3337" s="18"/>
      <c r="C3337" s="25"/>
      <c r="D3337" s="22" t="s">
        <v>2311</v>
      </c>
      <c r="H3337" s="39">
        <v>2.0</v>
      </c>
    </row>
    <row r="3338">
      <c r="A3338" s="17" t="s">
        <v>2322</v>
      </c>
      <c r="B3338" s="18"/>
      <c r="C3338" s="25"/>
      <c r="D3338" s="22" t="s">
        <v>2318</v>
      </c>
      <c r="H3338" s="39">
        <v>2.0</v>
      </c>
    </row>
    <row r="3339">
      <c r="A3339" s="126"/>
      <c r="B3339" s="9"/>
      <c r="C3339" s="25"/>
    </row>
    <row r="3340">
      <c r="A3340" s="17" t="s">
        <v>7166</v>
      </c>
      <c r="B3340" s="9"/>
      <c r="C3340" s="25"/>
      <c r="H3340" s="39">
        <v>3.0</v>
      </c>
    </row>
    <row r="3341">
      <c r="A3341" s="17" t="s">
        <v>7167</v>
      </c>
      <c r="B3341" s="9"/>
      <c r="C3341" s="25"/>
      <c r="H3341" s="39">
        <v>3.0</v>
      </c>
    </row>
    <row r="3342">
      <c r="A3342" s="17" t="s">
        <v>7168</v>
      </c>
      <c r="B3342" s="9"/>
      <c r="C3342" s="25"/>
      <c r="H3342" s="39">
        <v>3.0</v>
      </c>
    </row>
    <row r="3343">
      <c r="A3343" s="17" t="s">
        <v>7169</v>
      </c>
      <c r="B3343" s="9"/>
      <c r="C3343" s="25"/>
      <c r="H3343" s="39">
        <v>3.0</v>
      </c>
    </row>
    <row r="3344">
      <c r="A3344" s="17" t="s">
        <v>7173</v>
      </c>
      <c r="B3344" s="9"/>
      <c r="C3344" s="25"/>
      <c r="H3344" s="39">
        <v>3.0</v>
      </c>
    </row>
    <row r="3345">
      <c r="A3345" s="17" t="s">
        <v>7174</v>
      </c>
      <c r="B3345" s="9"/>
      <c r="C3345" s="25"/>
      <c r="H3345" s="39">
        <v>3.0</v>
      </c>
    </row>
    <row r="3346">
      <c r="A3346" s="17" t="s">
        <v>7175</v>
      </c>
      <c r="B3346" s="9"/>
      <c r="C3346" s="25"/>
      <c r="H3346" s="39">
        <v>3.0</v>
      </c>
    </row>
    <row r="3347">
      <c r="A3347" s="17" t="s">
        <v>7176</v>
      </c>
      <c r="B3347" s="9"/>
      <c r="C3347" s="25"/>
      <c r="H3347" s="39">
        <v>3.0</v>
      </c>
    </row>
    <row r="3348">
      <c r="A3348" s="17" t="s">
        <v>7177</v>
      </c>
      <c r="B3348" s="9"/>
      <c r="C3348" s="25"/>
      <c r="H3348" s="39">
        <v>3.0</v>
      </c>
    </row>
    <row r="3349">
      <c r="A3349" s="17" t="s">
        <v>7178</v>
      </c>
      <c r="B3349" s="9"/>
      <c r="C3349" s="25"/>
      <c r="H3349" s="39">
        <v>3.0</v>
      </c>
    </row>
    <row r="3350">
      <c r="A3350" s="17" t="s">
        <v>7180</v>
      </c>
      <c r="B3350" s="9"/>
      <c r="C3350" s="25"/>
      <c r="H3350" s="39">
        <v>3.0</v>
      </c>
    </row>
    <row r="3351">
      <c r="A3351" s="17" t="s">
        <v>7181</v>
      </c>
      <c r="B3351" s="9"/>
      <c r="C3351" s="25"/>
      <c r="H3351" s="39">
        <v>3.0</v>
      </c>
    </row>
    <row r="3352">
      <c r="A3352" s="17" t="s">
        <v>7182</v>
      </c>
      <c r="B3352" s="9"/>
      <c r="C3352" s="25"/>
      <c r="H3352" s="39">
        <v>3.0</v>
      </c>
    </row>
    <row r="3353">
      <c r="A3353" s="17" t="s">
        <v>7184</v>
      </c>
      <c r="B3353" s="9"/>
      <c r="C3353" s="25"/>
      <c r="H3353" s="39">
        <v>3.0</v>
      </c>
    </row>
    <row r="3354">
      <c r="A3354" s="17" t="s">
        <v>7185</v>
      </c>
      <c r="B3354" s="9"/>
      <c r="C3354" s="25"/>
      <c r="H3354" s="39">
        <v>3.0</v>
      </c>
    </row>
    <row r="3355">
      <c r="A3355" s="17" t="s">
        <v>7186</v>
      </c>
      <c r="B3355" s="9"/>
      <c r="C3355" s="25"/>
      <c r="H3355" s="39">
        <v>3.0</v>
      </c>
    </row>
    <row r="3356">
      <c r="A3356" s="17" t="s">
        <v>7187</v>
      </c>
      <c r="B3356" s="9"/>
      <c r="C3356" s="25"/>
      <c r="H3356" s="39">
        <v>3.0</v>
      </c>
    </row>
    <row r="3357">
      <c r="A3357" s="17" t="s">
        <v>7188</v>
      </c>
      <c r="B3357" s="9"/>
      <c r="C3357" s="25"/>
      <c r="H3357" s="39">
        <v>3.0</v>
      </c>
    </row>
    <row r="3358">
      <c r="A3358" s="77"/>
      <c r="B3358" s="9"/>
      <c r="C3358" s="25"/>
    </row>
    <row r="3359">
      <c r="A3359" s="17" t="s">
        <v>7193</v>
      </c>
      <c r="B3359" s="9"/>
      <c r="C3359" s="25"/>
    </row>
    <row r="3360">
      <c r="A3360" s="17" t="s">
        <v>7195</v>
      </c>
      <c r="B3360" s="9"/>
      <c r="C3360" s="25"/>
    </row>
    <row r="3361">
      <c r="A3361" s="17" t="s">
        <v>7196</v>
      </c>
      <c r="B3361" s="9"/>
      <c r="C3361" s="25"/>
    </row>
    <row r="3362">
      <c r="A3362" s="17" t="s">
        <v>7197</v>
      </c>
      <c r="B3362" s="9"/>
      <c r="C3362" s="25"/>
    </row>
    <row r="3363">
      <c r="A3363" s="17" t="s">
        <v>7198</v>
      </c>
      <c r="B3363" s="9"/>
      <c r="C3363" s="25"/>
    </row>
    <row r="3364">
      <c r="A3364" s="17" t="s">
        <v>7199</v>
      </c>
      <c r="B3364" s="9"/>
      <c r="C3364" s="25"/>
    </row>
    <row r="3365">
      <c r="A3365" s="126"/>
      <c r="B3365" s="9"/>
      <c r="C3365" s="25"/>
    </row>
    <row r="3366">
      <c r="A3366" s="17" t="s">
        <v>7200</v>
      </c>
      <c r="B3366" s="9"/>
      <c r="C3366" s="25"/>
    </row>
    <row r="3367">
      <c r="A3367" s="17" t="s">
        <v>721</v>
      </c>
      <c r="B3367" s="9"/>
      <c r="C3367" s="20" t="s">
        <v>718</v>
      </c>
      <c r="D3367" s="22" t="s">
        <v>7204</v>
      </c>
      <c r="E3367" s="73" t="s">
        <v>7205</v>
      </c>
    </row>
    <row r="3368">
      <c r="A3368" s="17" t="s">
        <v>729</v>
      </c>
      <c r="B3368" s="9"/>
      <c r="C3368" s="20" t="s">
        <v>718</v>
      </c>
      <c r="D3368" s="22" t="s">
        <v>7206</v>
      </c>
      <c r="E3368" s="73" t="s">
        <v>7205</v>
      </c>
    </row>
    <row r="3369">
      <c r="A3369" s="17" t="s">
        <v>737</v>
      </c>
      <c r="B3369" s="9"/>
      <c r="C3369" s="20" t="s">
        <v>718</v>
      </c>
      <c r="D3369" s="22" t="s">
        <v>7207</v>
      </c>
      <c r="E3369" s="73" t="s">
        <v>7205</v>
      </c>
    </row>
    <row r="3370">
      <c r="A3370" s="17" t="s">
        <v>7208</v>
      </c>
      <c r="B3370" s="9"/>
      <c r="C3370" s="25"/>
    </row>
    <row r="3371">
      <c r="A3371" s="17" t="s">
        <v>7210</v>
      </c>
      <c r="B3371" s="9"/>
      <c r="C3371" s="25"/>
    </row>
    <row r="3372">
      <c r="A3372" s="17" t="s">
        <v>7212</v>
      </c>
      <c r="B3372" s="9"/>
      <c r="C3372" s="25"/>
    </row>
    <row r="3373">
      <c r="A3373" s="17" t="s">
        <v>7213</v>
      </c>
      <c r="B3373" s="9"/>
      <c r="C3373" s="25"/>
    </row>
    <row r="3374">
      <c r="A3374" s="17" t="s">
        <v>7214</v>
      </c>
      <c r="B3374" s="9"/>
      <c r="C3374" s="25"/>
    </row>
    <row r="3375">
      <c r="A3375" s="17" t="s">
        <v>7215</v>
      </c>
      <c r="B3375" s="9"/>
      <c r="C3375" s="25"/>
    </row>
    <row r="3376">
      <c r="A3376" s="17" t="s">
        <v>7216</v>
      </c>
      <c r="B3376" s="9"/>
      <c r="C3376" s="25"/>
    </row>
    <row r="3377">
      <c r="A3377" s="17" t="s">
        <v>7217</v>
      </c>
      <c r="B3377" s="9"/>
      <c r="C3377" s="25"/>
    </row>
    <row r="3378">
      <c r="A3378" s="17" t="s">
        <v>7219</v>
      </c>
      <c r="B3378" s="9"/>
      <c r="C3378" s="25"/>
    </row>
    <row r="3379">
      <c r="A3379" s="17" t="s">
        <v>7221</v>
      </c>
      <c r="B3379" s="9"/>
      <c r="C3379" s="25"/>
    </row>
    <row r="3380">
      <c r="A3380" s="17" t="s">
        <v>7222</v>
      </c>
      <c r="B3380" s="9"/>
      <c r="C3380" s="25"/>
    </row>
    <row r="3381">
      <c r="A3381" s="17" t="s">
        <v>7223</v>
      </c>
      <c r="B3381" s="9"/>
      <c r="C3381" s="25"/>
    </row>
    <row r="3382">
      <c r="A3382" s="17" t="s">
        <v>7224</v>
      </c>
      <c r="B3382" s="9"/>
      <c r="C3382" s="25"/>
    </row>
    <row r="3383">
      <c r="A3383" s="17" t="s">
        <v>7225</v>
      </c>
      <c r="B3383" s="9"/>
      <c r="C3383" s="25"/>
    </row>
    <row r="3384">
      <c r="A3384" s="17" t="s">
        <v>7226</v>
      </c>
      <c r="B3384" s="9"/>
      <c r="C3384" s="25"/>
    </row>
    <row r="3385">
      <c r="A3385" s="17" t="s">
        <v>7227</v>
      </c>
      <c r="B3385" s="9"/>
      <c r="C3385" s="25"/>
    </row>
    <row r="3386">
      <c r="A3386" s="17" t="s">
        <v>7230</v>
      </c>
      <c r="B3386" s="9"/>
      <c r="C3386" s="25"/>
    </row>
    <row r="3387">
      <c r="A3387" s="17" t="s">
        <v>7231</v>
      </c>
      <c r="B3387" s="9"/>
      <c r="C3387" s="25"/>
    </row>
    <row r="3388">
      <c r="A3388" s="17" t="s">
        <v>7232</v>
      </c>
      <c r="B3388" s="9"/>
      <c r="C3388" s="25"/>
    </row>
    <row r="3389">
      <c r="A3389" s="17" t="s">
        <v>7233</v>
      </c>
      <c r="B3389" s="9"/>
      <c r="C3389" s="25"/>
    </row>
    <row r="3390">
      <c r="A3390" s="17" t="s">
        <v>7234</v>
      </c>
      <c r="B3390" s="9"/>
      <c r="C3390" s="25"/>
    </row>
    <row r="3391">
      <c r="A3391" s="17" t="s">
        <v>7235</v>
      </c>
      <c r="B3391" s="9"/>
      <c r="C3391" s="25"/>
    </row>
    <row r="3392">
      <c r="A3392" s="17" t="s">
        <v>7236</v>
      </c>
      <c r="B3392" s="9"/>
      <c r="C3392" s="25"/>
    </row>
    <row r="3393">
      <c r="A3393" s="17" t="s">
        <v>7239</v>
      </c>
      <c r="B3393" s="9"/>
      <c r="C3393" s="25"/>
    </row>
    <row r="3394">
      <c r="A3394" s="17" t="s">
        <v>7240</v>
      </c>
      <c r="B3394" s="9"/>
      <c r="C3394" s="25"/>
    </row>
    <row r="3395">
      <c r="A3395" s="17" t="s">
        <v>7242</v>
      </c>
      <c r="B3395" s="9"/>
      <c r="C3395" s="25"/>
    </row>
    <row r="3396">
      <c r="A3396" s="17" t="s">
        <v>7244</v>
      </c>
      <c r="B3396" s="9"/>
      <c r="C3396" s="25"/>
    </row>
    <row r="3397">
      <c r="A3397" s="17" t="s">
        <v>7245</v>
      </c>
      <c r="B3397" s="9"/>
      <c r="C3397" s="25"/>
    </row>
    <row r="3398">
      <c r="A3398" s="17" t="s">
        <v>7246</v>
      </c>
      <c r="B3398" s="9"/>
      <c r="C3398" s="25"/>
    </row>
    <row r="3399">
      <c r="A3399" s="17" t="s">
        <v>7247</v>
      </c>
      <c r="B3399" s="9"/>
      <c r="C3399" s="25"/>
    </row>
    <row r="3400">
      <c r="A3400" s="17" t="s">
        <v>7248</v>
      </c>
      <c r="B3400" s="9"/>
      <c r="C3400" s="25"/>
    </row>
    <row r="3401">
      <c r="A3401" s="17" t="s">
        <v>7250</v>
      </c>
      <c r="B3401" s="9"/>
      <c r="C3401" s="25"/>
    </row>
    <row r="3402">
      <c r="A3402" s="17" t="s">
        <v>7251</v>
      </c>
      <c r="B3402" s="9"/>
      <c r="C3402" s="25"/>
    </row>
    <row r="3403">
      <c r="A3403" s="17" t="s">
        <v>7253</v>
      </c>
      <c r="B3403" s="9"/>
      <c r="C3403" s="25"/>
    </row>
    <row r="3404">
      <c r="A3404" s="17" t="s">
        <v>7255</v>
      </c>
      <c r="B3404" s="9"/>
      <c r="C3404" s="25"/>
    </row>
    <row r="3405">
      <c r="A3405" s="17" t="s">
        <v>7256</v>
      </c>
      <c r="B3405" s="9"/>
      <c r="C3405" s="25"/>
    </row>
    <row r="3406">
      <c r="A3406" s="17" t="s">
        <v>7259</v>
      </c>
      <c r="B3406" s="9"/>
      <c r="C3406" s="25"/>
    </row>
    <row r="3407">
      <c r="A3407" s="17" t="s">
        <v>7260</v>
      </c>
      <c r="B3407" s="9"/>
      <c r="C3407" s="25"/>
    </row>
    <row r="3408">
      <c r="A3408" s="17" t="s">
        <v>7262</v>
      </c>
      <c r="B3408" s="9"/>
      <c r="C3408" s="25"/>
    </row>
    <row r="3409">
      <c r="A3409" s="17" t="s">
        <v>7264</v>
      </c>
      <c r="B3409" s="9"/>
      <c r="C3409" s="25"/>
    </row>
    <row r="3410">
      <c r="A3410" s="17" t="s">
        <v>7265</v>
      </c>
      <c r="B3410" s="9"/>
      <c r="C3410" s="25"/>
    </row>
    <row r="3411">
      <c r="A3411" s="17" t="s">
        <v>7266</v>
      </c>
      <c r="B3411" s="9"/>
      <c r="C3411" s="25"/>
    </row>
    <row r="3412">
      <c r="A3412" s="17" t="s">
        <v>7267</v>
      </c>
      <c r="B3412" s="9"/>
      <c r="C3412" s="25"/>
    </row>
    <row r="3413">
      <c r="A3413" s="17" t="s">
        <v>7269</v>
      </c>
      <c r="B3413" s="9"/>
      <c r="C3413" s="25"/>
    </row>
    <row r="3414">
      <c r="A3414" s="17" t="s">
        <v>7271</v>
      </c>
      <c r="B3414" s="9"/>
      <c r="C3414" s="25"/>
    </row>
    <row r="3415">
      <c r="A3415" s="17" t="s">
        <v>7273</v>
      </c>
      <c r="B3415" s="9"/>
      <c r="C3415" s="25"/>
    </row>
    <row r="3416">
      <c r="A3416" s="17" t="s">
        <v>7274</v>
      </c>
      <c r="B3416" s="9"/>
      <c r="C3416" s="25"/>
    </row>
    <row r="3417">
      <c r="A3417" s="17" t="s">
        <v>7275</v>
      </c>
      <c r="B3417" s="9"/>
      <c r="C3417" s="25"/>
    </row>
    <row r="3418">
      <c r="A3418" s="17" t="s">
        <v>7276</v>
      </c>
      <c r="B3418" s="9"/>
      <c r="C3418" s="25"/>
    </row>
    <row r="3419">
      <c r="A3419" s="17" t="s">
        <v>7277</v>
      </c>
      <c r="B3419" s="9"/>
      <c r="C3419" s="25"/>
    </row>
    <row r="3420">
      <c r="A3420" s="126"/>
      <c r="B3420" s="9"/>
      <c r="C3420" s="25"/>
    </row>
    <row r="3421">
      <c r="A3421" s="17" t="s">
        <v>7279</v>
      </c>
      <c r="B3421" s="9"/>
      <c r="C3421" s="25"/>
    </row>
    <row r="3422">
      <c r="A3422" s="17" t="s">
        <v>7282</v>
      </c>
      <c r="B3422" s="9"/>
      <c r="C3422" s="25"/>
    </row>
    <row r="3423">
      <c r="A3423" s="17" t="s">
        <v>7283</v>
      </c>
      <c r="B3423" s="9"/>
      <c r="C3423" s="25"/>
    </row>
    <row r="3424">
      <c r="A3424" s="17" t="s">
        <v>7284</v>
      </c>
      <c r="B3424" s="9"/>
      <c r="C3424" s="25"/>
    </row>
    <row r="3425">
      <c r="A3425" s="17" t="s">
        <v>7285</v>
      </c>
      <c r="B3425" s="9"/>
      <c r="C3425" s="25"/>
    </row>
    <row r="3426">
      <c r="A3426" s="17" t="s">
        <v>7286</v>
      </c>
      <c r="B3426" s="9"/>
      <c r="C3426" s="25"/>
    </row>
    <row r="3427">
      <c r="A3427" s="17" t="s">
        <v>7287</v>
      </c>
      <c r="B3427" s="9"/>
      <c r="C3427" s="25"/>
    </row>
    <row r="3428">
      <c r="A3428" s="17" t="s">
        <v>7289</v>
      </c>
      <c r="B3428" s="9"/>
      <c r="C3428" s="25"/>
    </row>
    <row r="3429">
      <c r="A3429" s="17" t="s">
        <v>7291</v>
      </c>
      <c r="B3429" s="9"/>
      <c r="C3429" s="25"/>
    </row>
    <row r="3430">
      <c r="A3430" s="17" t="s">
        <v>7292</v>
      </c>
      <c r="B3430" s="9"/>
      <c r="C3430" s="25"/>
    </row>
    <row r="3431">
      <c r="A3431" s="17" t="s">
        <v>7293</v>
      </c>
      <c r="B3431" s="9"/>
      <c r="C3431" s="25"/>
    </row>
    <row r="3432">
      <c r="A3432" s="17" t="s">
        <v>7294</v>
      </c>
      <c r="B3432" s="9"/>
      <c r="C3432" s="25"/>
    </row>
    <row r="3433">
      <c r="A3433" s="17" t="s">
        <v>7295</v>
      </c>
      <c r="B3433" s="9"/>
      <c r="C3433" s="25"/>
    </row>
    <row r="3434">
      <c r="A3434" s="17" t="s">
        <v>7296</v>
      </c>
      <c r="B3434" s="9"/>
      <c r="C3434" s="25"/>
    </row>
    <row r="3435">
      <c r="A3435" s="17" t="s">
        <v>7298</v>
      </c>
      <c r="B3435" s="9"/>
      <c r="C3435" s="25"/>
    </row>
    <row r="3436">
      <c r="A3436" s="17" t="s">
        <v>7302</v>
      </c>
      <c r="B3436" s="9"/>
      <c r="C3436" s="25"/>
    </row>
    <row r="3437">
      <c r="A3437" s="17" t="s">
        <v>7303</v>
      </c>
      <c r="B3437" s="9"/>
      <c r="C3437" s="25"/>
    </row>
    <row r="3438">
      <c r="A3438" s="17" t="s">
        <v>7304</v>
      </c>
      <c r="B3438" s="9"/>
      <c r="C3438" s="25"/>
    </row>
    <row r="3439">
      <c r="A3439" s="17" t="s">
        <v>7305</v>
      </c>
      <c r="B3439" s="9"/>
      <c r="C3439" s="25"/>
    </row>
    <row r="3440">
      <c r="A3440" s="17" t="s">
        <v>7306</v>
      </c>
      <c r="B3440" s="9"/>
      <c r="C3440" s="25"/>
    </row>
    <row r="3441">
      <c r="A3441" s="17" t="s">
        <v>7307</v>
      </c>
      <c r="B3441" s="9"/>
      <c r="C3441" s="25"/>
    </row>
    <row r="3442">
      <c r="A3442" s="17" t="s">
        <v>7309</v>
      </c>
      <c r="B3442" s="9"/>
      <c r="C3442" s="25"/>
    </row>
    <row r="3443">
      <c r="A3443" s="17" t="s">
        <v>7310</v>
      </c>
      <c r="B3443" s="9"/>
      <c r="C3443" s="25"/>
    </row>
    <row r="3444">
      <c r="A3444" s="17" t="s">
        <v>7312</v>
      </c>
      <c r="B3444" s="9"/>
      <c r="C3444" s="25"/>
    </row>
    <row r="3445">
      <c r="A3445" s="17" t="s">
        <v>7313</v>
      </c>
      <c r="B3445" s="9"/>
      <c r="C3445" s="25"/>
    </row>
    <row r="3446">
      <c r="A3446" s="17" t="s">
        <v>7314</v>
      </c>
      <c r="B3446" s="9"/>
      <c r="C3446" s="25"/>
    </row>
    <row r="3447">
      <c r="A3447" s="17" t="s">
        <v>7315</v>
      </c>
      <c r="B3447" s="9"/>
      <c r="C3447" s="25"/>
    </row>
    <row r="3448">
      <c r="A3448" s="17" t="s">
        <v>7316</v>
      </c>
      <c r="B3448" s="9"/>
      <c r="C3448" s="25"/>
    </row>
    <row r="3449">
      <c r="A3449" s="17" t="s">
        <v>7317</v>
      </c>
      <c r="B3449" s="9"/>
      <c r="C3449" s="25"/>
    </row>
    <row r="3450">
      <c r="A3450" s="17" t="s">
        <v>7319</v>
      </c>
      <c r="B3450" s="9"/>
      <c r="C3450" s="25"/>
    </row>
    <row r="3451">
      <c r="A3451" s="17" t="s">
        <v>7320</v>
      </c>
      <c r="B3451" s="9"/>
      <c r="C3451" s="25"/>
    </row>
    <row r="3452">
      <c r="A3452" s="17" t="s">
        <v>7323</v>
      </c>
      <c r="B3452" s="9"/>
      <c r="C3452" s="25"/>
    </row>
    <row r="3453">
      <c r="A3453" s="17" t="s">
        <v>7324</v>
      </c>
      <c r="B3453" s="9"/>
      <c r="C3453" s="25"/>
    </row>
    <row r="3454">
      <c r="A3454" s="17" t="s">
        <v>7325</v>
      </c>
      <c r="B3454" s="9"/>
      <c r="C3454" s="25"/>
    </row>
    <row r="3455">
      <c r="A3455" s="17" t="s">
        <v>7326</v>
      </c>
      <c r="B3455" s="9"/>
      <c r="C3455" s="25"/>
    </row>
    <row r="3456">
      <c r="A3456" s="17" t="s">
        <v>7327</v>
      </c>
      <c r="B3456" s="9"/>
      <c r="C3456" s="25"/>
    </row>
    <row r="3457">
      <c r="A3457" s="17" t="s">
        <v>7328</v>
      </c>
      <c r="B3457" s="9"/>
      <c r="C3457" s="25"/>
    </row>
    <row r="3458">
      <c r="A3458" s="17" t="s">
        <v>7330</v>
      </c>
      <c r="B3458" s="9"/>
      <c r="C3458" s="25"/>
    </row>
    <row r="3459">
      <c r="A3459" s="17" t="s">
        <v>7332</v>
      </c>
      <c r="B3459" s="9"/>
      <c r="C3459" s="25"/>
    </row>
    <row r="3460">
      <c r="A3460" s="17" t="s">
        <v>7333</v>
      </c>
      <c r="B3460" s="9"/>
      <c r="C3460" s="25"/>
    </row>
    <row r="3461">
      <c r="A3461" s="17" t="s">
        <v>7334</v>
      </c>
      <c r="B3461" s="9"/>
      <c r="C3461" s="25"/>
    </row>
    <row r="3462">
      <c r="A3462" s="126"/>
      <c r="B3462" s="9"/>
      <c r="C3462" s="25"/>
    </row>
    <row r="3463">
      <c r="A3463" s="17" t="s">
        <v>7335</v>
      </c>
      <c r="B3463" s="9"/>
      <c r="C3463" s="25"/>
    </row>
    <row r="3464">
      <c r="A3464" s="17" t="s">
        <v>7336</v>
      </c>
      <c r="B3464" s="9"/>
      <c r="C3464" s="25"/>
    </row>
    <row r="3465">
      <c r="A3465" s="126"/>
      <c r="B3465" s="9"/>
      <c r="C3465" s="25"/>
    </row>
    <row r="3466">
      <c r="A3466" s="17" t="s">
        <v>7339</v>
      </c>
      <c r="B3466" s="9"/>
      <c r="C3466" s="25"/>
    </row>
    <row r="3467">
      <c r="A3467" s="17" t="s">
        <v>7340</v>
      </c>
      <c r="B3467" s="9"/>
      <c r="C3467" s="25"/>
    </row>
    <row r="3468">
      <c r="A3468" s="17" t="s">
        <v>1165</v>
      </c>
      <c r="B3468" s="9"/>
      <c r="C3468" s="25"/>
    </row>
    <row r="3469">
      <c r="A3469" s="17" t="s">
        <v>7341</v>
      </c>
      <c r="B3469" s="9"/>
      <c r="C3469" s="25"/>
    </row>
    <row r="3470">
      <c r="A3470" s="128" t="s">
        <v>7342</v>
      </c>
      <c r="B3470" s="9"/>
      <c r="C3470" s="25"/>
    </row>
    <row r="3471">
      <c r="A3471" s="17" t="s">
        <v>1173</v>
      </c>
      <c r="B3471" s="9"/>
      <c r="C3471" s="25"/>
    </row>
    <row r="3472">
      <c r="A3472" s="17" t="s">
        <v>7364</v>
      </c>
      <c r="B3472" s="9"/>
      <c r="C3472" s="25"/>
    </row>
    <row r="3473">
      <c r="A3473" s="17" t="s">
        <v>7366</v>
      </c>
      <c r="B3473" s="9"/>
      <c r="C3473" s="25"/>
    </row>
    <row r="3474">
      <c r="A3474" s="17" t="s">
        <v>7368</v>
      </c>
      <c r="B3474" s="9"/>
      <c r="C3474" s="25"/>
    </row>
    <row r="3475">
      <c r="A3475" s="17" t="s">
        <v>7370</v>
      </c>
      <c r="B3475" s="9"/>
      <c r="C3475" s="25"/>
    </row>
    <row r="3476">
      <c r="A3476" s="128" t="s">
        <v>7371</v>
      </c>
      <c r="B3476" s="9"/>
      <c r="C3476" s="25"/>
    </row>
    <row r="3477">
      <c r="A3477" s="17" t="s">
        <v>7381</v>
      </c>
      <c r="B3477" s="9"/>
      <c r="C3477" s="25"/>
    </row>
    <row r="3478">
      <c r="A3478" s="17" t="s">
        <v>7382</v>
      </c>
      <c r="B3478" s="9"/>
      <c r="C3478" s="25"/>
    </row>
    <row r="3479">
      <c r="A3479" s="17" t="s">
        <v>7385</v>
      </c>
      <c r="B3479" s="9"/>
      <c r="C3479" s="25"/>
    </row>
    <row r="3480">
      <c r="A3480" s="17" t="s">
        <v>1179</v>
      </c>
      <c r="B3480" s="9"/>
      <c r="C3480" s="25"/>
    </row>
    <row r="3481">
      <c r="A3481" s="17" t="s">
        <v>7386</v>
      </c>
      <c r="B3481" s="9"/>
      <c r="C3481" s="25"/>
    </row>
    <row r="3482">
      <c r="A3482" s="128" t="s">
        <v>7388</v>
      </c>
      <c r="B3482" s="9"/>
      <c r="C3482" s="25"/>
    </row>
    <row r="3483">
      <c r="A3483" s="17" t="s">
        <v>1187</v>
      </c>
      <c r="B3483" s="9"/>
      <c r="C3483" s="25"/>
    </row>
    <row r="3484">
      <c r="A3484" s="17" t="s">
        <v>7394</v>
      </c>
      <c r="B3484" s="9"/>
      <c r="C3484" s="25"/>
    </row>
    <row r="3485">
      <c r="A3485" s="17" t="s">
        <v>7396</v>
      </c>
      <c r="B3485" s="9"/>
      <c r="C3485" s="25"/>
    </row>
    <row r="3486">
      <c r="A3486" s="17" t="s">
        <v>1194</v>
      </c>
      <c r="B3486" s="9"/>
      <c r="C3486" s="25"/>
    </row>
    <row r="3487">
      <c r="A3487" s="17" t="s">
        <v>7398</v>
      </c>
      <c r="B3487" s="9"/>
      <c r="C3487" s="25"/>
    </row>
    <row r="3488">
      <c r="A3488" s="128" t="s">
        <v>7399</v>
      </c>
      <c r="B3488" s="9"/>
      <c r="C3488" s="25"/>
    </row>
    <row r="3489">
      <c r="A3489" s="17" t="s">
        <v>1200</v>
      </c>
      <c r="B3489" s="9"/>
      <c r="C3489" s="25"/>
    </row>
    <row r="3490">
      <c r="A3490" s="17" t="s">
        <v>7405</v>
      </c>
      <c r="B3490" s="9"/>
      <c r="C3490" s="25"/>
    </row>
    <row r="3491">
      <c r="A3491" s="17" t="s">
        <v>7406</v>
      </c>
      <c r="B3491" s="9"/>
      <c r="C3491" s="25"/>
    </row>
    <row r="3492">
      <c r="A3492" s="17" t="s">
        <v>7407</v>
      </c>
      <c r="B3492" s="9"/>
      <c r="C3492" s="25"/>
    </row>
    <row r="3493">
      <c r="A3493" s="17" t="s">
        <v>7408</v>
      </c>
      <c r="B3493" s="9"/>
      <c r="C3493" s="25"/>
    </row>
    <row r="3494">
      <c r="A3494" s="17" t="s">
        <v>7409</v>
      </c>
      <c r="B3494" s="9"/>
      <c r="C3494" s="25"/>
    </row>
    <row r="3495">
      <c r="A3495" s="17" t="s">
        <v>7412</v>
      </c>
      <c r="B3495" s="9"/>
      <c r="C3495" s="25"/>
    </row>
    <row r="3496">
      <c r="A3496" s="17" t="s">
        <v>7413</v>
      </c>
      <c r="B3496" s="9"/>
      <c r="C3496" s="25"/>
    </row>
    <row r="3497">
      <c r="A3497" s="17" t="s">
        <v>7414</v>
      </c>
      <c r="B3497" s="9"/>
      <c r="C3497" s="25"/>
    </row>
    <row r="3498">
      <c r="A3498" s="17" t="s">
        <v>7415</v>
      </c>
      <c r="B3498" s="9"/>
      <c r="C3498" s="25"/>
    </row>
    <row r="3499">
      <c r="A3499" s="17" t="s">
        <v>7416</v>
      </c>
      <c r="B3499" s="9"/>
      <c r="C3499" s="25"/>
    </row>
    <row r="3500">
      <c r="A3500" s="17" t="s">
        <v>7417</v>
      </c>
      <c r="B3500" s="9"/>
      <c r="C3500" s="25"/>
    </row>
    <row r="3501">
      <c r="A3501" s="17" t="s">
        <v>7418</v>
      </c>
      <c r="B3501" s="9"/>
      <c r="C3501" s="25"/>
    </row>
    <row r="3502">
      <c r="A3502" s="17" t="s">
        <v>7419</v>
      </c>
      <c r="B3502" s="9"/>
      <c r="C3502" s="25"/>
    </row>
    <row r="3503">
      <c r="A3503" s="17" t="s">
        <v>7421</v>
      </c>
      <c r="B3503" s="9"/>
      <c r="C3503" s="25"/>
    </row>
    <row r="3504">
      <c r="A3504" s="17" t="s">
        <v>7423</v>
      </c>
      <c r="B3504" s="9"/>
      <c r="C3504" s="25"/>
    </row>
    <row r="3505">
      <c r="A3505" s="17" t="s">
        <v>7425</v>
      </c>
      <c r="B3505" s="9"/>
      <c r="C3505" s="25"/>
    </row>
    <row r="3506">
      <c r="A3506" s="17" t="s">
        <v>7426</v>
      </c>
      <c r="B3506" s="9"/>
      <c r="C3506" s="25"/>
    </row>
    <row r="3507">
      <c r="A3507" s="17" t="s">
        <v>7427</v>
      </c>
      <c r="B3507" s="9"/>
      <c r="C3507" s="25"/>
    </row>
    <row r="3508">
      <c r="A3508" s="17" t="s">
        <v>7428</v>
      </c>
      <c r="B3508" s="9"/>
      <c r="C3508" s="25"/>
    </row>
    <row r="3509">
      <c r="A3509" s="17" t="s">
        <v>7429</v>
      </c>
      <c r="B3509" s="89"/>
      <c r="C3509" s="25"/>
    </row>
  </sheetData>
  <hyperlinks>
    <hyperlink r:id="rId2" ref="D3264"/>
    <hyperlink r:id="rId3" ref="D3265"/>
    <hyperlink r:id="rId4" ref="D3266"/>
    <hyperlink r:id="rId5" ref="D3267"/>
    <hyperlink r:id="rId6" ref="D3268"/>
    <hyperlink r:id="rId7" ref="D3269"/>
    <hyperlink r:id="rId8" ref="D3270"/>
    <hyperlink r:id="rId9" ref="A3470"/>
    <hyperlink r:id="rId10" ref="A3476"/>
    <hyperlink r:id="rId11" ref="A3482"/>
    <hyperlink r:id="rId12" ref="A3488"/>
  </hyperlinks>
  <drawing r:id="rId13"/>
  <legacyDrawing r:id="rId1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20.14"/>
    <col customWidth="1" min="2" max="2" width="12.0"/>
    <col customWidth="1" min="3" max="3" width="9.71"/>
    <col customWidth="1" min="4" max="4" width="44.57"/>
    <col customWidth="1" min="5" max="5" width="25.57"/>
    <col customWidth="1" min="6" max="6" width="29.71"/>
    <col customWidth="1" min="7" max="7" width="4.71"/>
    <col customWidth="1" min="8" max="8" width="2.57"/>
    <col customWidth="1" min="9" max="9" width="3.14"/>
    <col customWidth="1" min="10" max="10" width="12.71"/>
  </cols>
  <sheetData>
    <row r="1">
      <c r="A1" s="1" t="s">
        <v>0</v>
      </c>
      <c r="B1" s="2" t="s">
        <v>3</v>
      </c>
      <c r="C1" s="4" t="s">
        <v>4</v>
      </c>
      <c r="D1" s="2" t="s">
        <v>5</v>
      </c>
      <c r="E1" s="2" t="s">
        <v>11</v>
      </c>
      <c r="F1" s="2" t="s">
        <v>7</v>
      </c>
      <c r="G1" s="8"/>
      <c r="H1" s="8"/>
      <c r="I1" s="8"/>
      <c r="J1" s="4" t="s">
        <v>9</v>
      </c>
    </row>
    <row r="2">
      <c r="A2" s="27" t="s">
        <v>26</v>
      </c>
      <c r="B2" s="28"/>
      <c r="C2" s="28"/>
      <c r="D2" s="28"/>
      <c r="E2" s="28"/>
      <c r="F2" s="28"/>
      <c r="G2" s="13"/>
      <c r="H2" s="13"/>
      <c r="I2" s="13"/>
      <c r="J2" s="13"/>
    </row>
    <row r="3">
      <c r="A3" s="30" t="s">
        <v>45</v>
      </c>
    </row>
    <row r="4">
      <c r="A4" s="32" t="s">
        <v>47</v>
      </c>
      <c r="B4" s="43"/>
      <c r="C4" s="45"/>
      <c r="D4" s="25"/>
    </row>
    <row r="5">
      <c r="A5" s="47" t="s">
        <v>110</v>
      </c>
      <c r="B5" s="43"/>
      <c r="C5" s="48"/>
      <c r="D5" s="20" t="s">
        <v>160</v>
      </c>
      <c r="F5" s="35" t="s">
        <v>161</v>
      </c>
    </row>
    <row r="6" ht="22.5" customHeight="1">
      <c r="A6" s="47" t="s">
        <v>162</v>
      </c>
      <c r="B6" s="43"/>
      <c r="C6" s="50"/>
      <c r="D6" s="20" t="s">
        <v>171</v>
      </c>
      <c r="F6" s="35" t="s">
        <v>172</v>
      </c>
    </row>
    <row r="7" ht="22.5" customHeight="1">
      <c r="A7" s="47" t="s">
        <v>173</v>
      </c>
      <c r="B7" s="43"/>
      <c r="C7" s="50"/>
      <c r="D7" s="20" t="s">
        <v>174</v>
      </c>
      <c r="E7" s="35" t="s">
        <v>175</v>
      </c>
      <c r="F7" s="35" t="s">
        <v>176</v>
      </c>
    </row>
    <row r="8">
      <c r="A8" s="51" t="s">
        <v>177</v>
      </c>
      <c r="B8" s="53">
        <v>28672.0</v>
      </c>
      <c r="C8" s="9"/>
      <c r="D8" s="25"/>
      <c r="F8" s="35" t="s">
        <v>203</v>
      </c>
    </row>
    <row r="9">
      <c r="A9" s="51" t="s">
        <v>204</v>
      </c>
      <c r="B9" s="53">
        <v>57.0</v>
      </c>
      <c r="C9" s="9"/>
      <c r="D9" s="25"/>
      <c r="F9" s="35" t="s">
        <v>205</v>
      </c>
    </row>
    <row r="10">
      <c r="A10" s="51" t="s">
        <v>206</v>
      </c>
      <c r="B10" s="56">
        <v>112432.0</v>
      </c>
      <c r="C10" s="50"/>
      <c r="D10" s="20" t="s">
        <v>235</v>
      </c>
      <c r="E10" s="22" t="s">
        <v>237</v>
      </c>
      <c r="F10" s="59" t="str">
        <f>HYPERLINK("http://mirror.ff7data.com.ar/ff7/FF7_PC_manual.html","EN")</f>
        <v>EN</v>
      </c>
      <c r="G10" s="62" t="str">
        <f>HYPERLINK("http://mirror.ff7data.com.ar/ff7/es/FF7_PC_manual.html","ES")</f>
        <v>ES</v>
      </c>
    </row>
    <row r="11">
      <c r="A11" s="51" t="s">
        <v>328</v>
      </c>
      <c r="B11" s="56">
        <v>10384.0</v>
      </c>
      <c r="C11" s="50"/>
      <c r="D11" s="20" t="s">
        <v>332</v>
      </c>
      <c r="F11" s="59" t="str">
        <f>HYPERLINK("http://mirror.ff7data.com.ar/ff7/FF7%20ReadMe.txt","EN")</f>
        <v>EN</v>
      </c>
      <c r="G11" s="62" t="str">
        <f>HYPERLINK("http://mirror.ff7data.com.ar/ff7/es/FF7%20ReadMe.txt","ES")</f>
        <v>ES</v>
      </c>
    </row>
    <row r="12">
      <c r="A12" s="51" t="s">
        <v>37</v>
      </c>
      <c r="B12" s="66">
        <v>5891584.0</v>
      </c>
      <c r="C12" s="50"/>
      <c r="D12" s="20" t="s">
        <v>375</v>
      </c>
      <c r="E12" s="22" t="s">
        <v>35</v>
      </c>
      <c r="F12" s="35" t="s">
        <v>378</v>
      </c>
    </row>
    <row r="13">
      <c r="A13" s="51" t="s">
        <v>380</v>
      </c>
      <c r="B13" s="66">
        <v>448000.0</v>
      </c>
      <c r="C13" s="48"/>
      <c r="D13" s="20" t="s">
        <v>385</v>
      </c>
      <c r="E13" s="22" t="s">
        <v>387</v>
      </c>
      <c r="F13" s="35" t="s">
        <v>378</v>
      </c>
    </row>
    <row r="14">
      <c r="A14" s="51" t="s">
        <v>389</v>
      </c>
      <c r="B14" s="53">
        <v>60.0</v>
      </c>
      <c r="C14" s="9"/>
      <c r="D14" s="20" t="s">
        <v>393</v>
      </c>
      <c r="E14" s="22" t="s">
        <v>394</v>
      </c>
      <c r="F14" s="72" t="s">
        <v>397</v>
      </c>
    </row>
    <row r="15" ht="38.25" customHeight="1">
      <c r="A15" s="51" t="s">
        <v>466</v>
      </c>
      <c r="B15" s="53">
        <v>847.0</v>
      </c>
      <c r="C15" s="9"/>
      <c r="D15" s="20" t="s">
        <v>469</v>
      </c>
      <c r="E15" s="22" t="s">
        <v>394</v>
      </c>
      <c r="F15" s="59" t="str">
        <f>HYPERLINK("http://mirror.ff7data.com.ar/ff7/SFMAN_for_AWE32,64_ReadMe.txt","EN")</f>
        <v>EN</v>
      </c>
      <c r="G15" s="62" t="str">
        <f>HYPERLINK("http://mirror.ff7data.com.ar/ff7/es/SFMAN_for_AWE32,64_ReadMe.txt","ES")</f>
        <v>ES</v>
      </c>
    </row>
    <row r="16">
      <c r="A16" s="51" t="s">
        <v>489</v>
      </c>
      <c r="B16" s="53">
        <v>23357.0</v>
      </c>
      <c r="C16" s="48"/>
      <c r="D16" s="20" t="s">
        <v>494</v>
      </c>
      <c r="E16" s="22" t="s">
        <v>394</v>
      </c>
    </row>
    <row r="17">
      <c r="C17" s="29"/>
    </row>
    <row r="18">
      <c r="A18" s="76" t="s">
        <v>502</v>
      </c>
      <c r="B18" s="77"/>
      <c r="C18" s="78"/>
      <c r="D18" s="25"/>
    </row>
    <row r="19">
      <c r="A19" s="80" t="s">
        <v>558</v>
      </c>
      <c r="B19" s="77"/>
      <c r="C19" s="81"/>
      <c r="D19" s="20" t="s">
        <v>615</v>
      </c>
      <c r="F19" s="35" t="s">
        <v>617</v>
      </c>
    </row>
    <row r="20">
      <c r="A20" s="80" t="s">
        <v>620</v>
      </c>
      <c r="B20" s="77"/>
      <c r="C20" s="81"/>
      <c r="D20" s="20" t="s">
        <v>631</v>
      </c>
    </row>
    <row r="21">
      <c r="A21" s="80" t="s">
        <v>634</v>
      </c>
      <c r="B21" s="77"/>
      <c r="C21" s="81"/>
      <c r="D21" s="20" t="s">
        <v>631</v>
      </c>
    </row>
    <row r="22">
      <c r="A22" s="80" t="s">
        <v>640</v>
      </c>
      <c r="B22" s="77"/>
      <c r="C22" s="81"/>
      <c r="D22" s="20" t="s">
        <v>642</v>
      </c>
    </row>
    <row r="23">
      <c r="A23" s="80" t="s">
        <v>644</v>
      </c>
      <c r="B23" s="77"/>
      <c r="C23" s="81"/>
      <c r="D23" s="20" t="s">
        <v>648</v>
      </c>
    </row>
    <row r="24">
      <c r="A24" s="80" t="s">
        <v>651</v>
      </c>
      <c r="B24" s="77"/>
      <c r="C24" s="81"/>
      <c r="D24" s="20" t="s">
        <v>653</v>
      </c>
    </row>
    <row r="25">
      <c r="A25" s="80" t="s">
        <v>655</v>
      </c>
      <c r="B25" s="77"/>
      <c r="C25" s="81"/>
      <c r="D25" s="20" t="s">
        <v>660</v>
      </c>
    </row>
    <row r="26">
      <c r="A26" s="80" t="s">
        <v>662</v>
      </c>
      <c r="B26" s="77"/>
      <c r="C26" s="81"/>
      <c r="D26" s="20" t="s">
        <v>631</v>
      </c>
    </row>
    <row r="27">
      <c r="A27" s="80" t="s">
        <v>667</v>
      </c>
      <c r="B27" s="77"/>
      <c r="C27" s="81"/>
      <c r="D27" s="20" t="s">
        <v>631</v>
      </c>
    </row>
    <row r="28">
      <c r="A28" s="80" t="s">
        <v>671</v>
      </c>
      <c r="B28" s="77"/>
      <c r="C28" s="81"/>
      <c r="D28" s="20" t="s">
        <v>631</v>
      </c>
    </row>
    <row r="29">
      <c r="C29" s="83"/>
    </row>
    <row r="30">
      <c r="A30" s="85" t="s">
        <v>691</v>
      </c>
      <c r="B30" s="77"/>
      <c r="C30" s="68"/>
      <c r="D30" s="25"/>
    </row>
    <row r="31" ht="25.5" customHeight="1">
      <c r="A31" s="39" t="s">
        <v>63</v>
      </c>
      <c r="B31" s="53">
        <v>6.23264E7</v>
      </c>
      <c r="C31" s="50"/>
      <c r="D31" s="33" t="s">
        <v>71</v>
      </c>
      <c r="E31" s="22" t="s">
        <v>713</v>
      </c>
      <c r="F31" s="35" t="s">
        <v>715</v>
      </c>
    </row>
    <row r="32">
      <c r="A32" s="39" t="s">
        <v>716</v>
      </c>
      <c r="B32" s="53">
        <v>49044.0</v>
      </c>
      <c r="C32" s="9"/>
      <c r="D32" s="20" t="s">
        <v>718</v>
      </c>
      <c r="E32" s="22" t="s">
        <v>721</v>
      </c>
      <c r="F32" s="35" t="s">
        <v>723</v>
      </c>
    </row>
    <row r="33">
      <c r="A33" s="39" t="s">
        <v>726</v>
      </c>
      <c r="B33" s="53">
        <v>42552.0</v>
      </c>
      <c r="C33" s="9"/>
      <c r="D33" s="20" t="s">
        <v>718</v>
      </c>
      <c r="E33" s="22" t="s">
        <v>729</v>
      </c>
      <c r="F33" s="35" t="s">
        <v>723</v>
      </c>
    </row>
    <row r="34">
      <c r="A34" s="39" t="s">
        <v>733</v>
      </c>
      <c r="B34" s="53">
        <v>42760.0</v>
      </c>
      <c r="C34" s="9"/>
      <c r="D34" s="20" t="s">
        <v>718</v>
      </c>
      <c r="E34" s="22" t="s">
        <v>737</v>
      </c>
      <c r="F34" s="35" t="s">
        <v>723</v>
      </c>
    </row>
    <row r="35">
      <c r="A35" s="39" t="s">
        <v>52</v>
      </c>
      <c r="B35" s="53">
        <v>5755.0</v>
      </c>
      <c r="C35" s="50"/>
      <c r="D35" s="20" t="s">
        <v>53</v>
      </c>
      <c r="E35" s="22" t="s">
        <v>52</v>
      </c>
    </row>
    <row r="36">
      <c r="A36" s="39" t="s">
        <v>745</v>
      </c>
      <c r="B36" s="53">
        <v>5532.0</v>
      </c>
      <c r="C36" s="9"/>
      <c r="D36" s="25"/>
    </row>
    <row r="37">
      <c r="A37" s="39" t="s">
        <v>750</v>
      </c>
      <c r="B37" s="53">
        <v>122592.0</v>
      </c>
      <c r="C37" s="9"/>
      <c r="D37" s="25"/>
    </row>
    <row r="38">
      <c r="A38" s="39" t="s">
        <v>753</v>
      </c>
      <c r="B38" s="53">
        <v>476.0</v>
      </c>
      <c r="C38" s="9"/>
      <c r="D38" s="25"/>
    </row>
    <row r="39" ht="25.5" customHeight="1">
      <c r="A39" s="39" t="s">
        <v>167</v>
      </c>
      <c r="B39" s="56">
        <v>5.1094486E7</v>
      </c>
      <c r="C39" s="48"/>
      <c r="D39" s="33" t="s">
        <v>168</v>
      </c>
      <c r="E39" s="22" t="s">
        <v>762</v>
      </c>
      <c r="F39" s="35" t="s">
        <v>764</v>
      </c>
    </row>
    <row r="40">
      <c r="A40" s="39" t="s">
        <v>766</v>
      </c>
      <c r="B40" s="53">
        <v>132.0</v>
      </c>
      <c r="C40" s="9"/>
      <c r="D40" s="25"/>
    </row>
    <row r="41">
      <c r="A41" s="39" t="s">
        <v>770</v>
      </c>
      <c r="B41" s="53">
        <v>9452.0</v>
      </c>
      <c r="C41" s="9"/>
      <c r="D41" s="25"/>
      <c r="F41" s="59" t="str">
        <f>HYPERLINK("http://mirror.ff7data.com.ar/ff7/data/battle/rain7.tex.png","View Picture")</f>
        <v>View Picture</v>
      </c>
    </row>
    <row r="42">
      <c r="A42" s="39" t="s">
        <v>55</v>
      </c>
      <c r="B42" s="56">
        <v>278528.0</v>
      </c>
      <c r="C42" s="48"/>
      <c r="D42" s="20" t="s">
        <v>56</v>
      </c>
      <c r="E42" s="22" t="s">
        <v>797</v>
      </c>
      <c r="F42" s="35" t="s">
        <v>798</v>
      </c>
    </row>
    <row r="43">
      <c r="A43" s="39" t="s">
        <v>800</v>
      </c>
      <c r="B43" s="53">
        <v>67500.0</v>
      </c>
      <c r="C43" s="9"/>
      <c r="D43" s="25"/>
      <c r="F43" s="59" t="str">
        <f>HYPERLINK("http://mirror.ff7data.com.ar/ff7/data/battle/seffect1.tex.png","View Picture")</f>
        <v>View Picture</v>
      </c>
    </row>
    <row r="44">
      <c r="A44" s="39" t="s">
        <v>817</v>
      </c>
      <c r="B44" s="53">
        <v>67500.0</v>
      </c>
      <c r="C44" s="9"/>
      <c r="D44" s="25"/>
      <c r="F44" s="59" t="str">
        <f>HYPERLINK("http://mirror.ff7data.com.ar/ff7/data/battle/seffect2.tex.png","View Picture")</f>
        <v>View Picture</v>
      </c>
    </row>
    <row r="45">
      <c r="A45" s="39" t="s">
        <v>840</v>
      </c>
      <c r="B45" s="53">
        <v>67500.0</v>
      </c>
      <c r="C45" s="9"/>
      <c r="D45" s="25"/>
      <c r="F45" s="59" t="str">
        <f>HYPERLINK("http://mirror.ff7data.com.ar/ff7/data/battle/seffect3.tex.png","View Picture")</f>
        <v>View Picture</v>
      </c>
    </row>
    <row r="46">
      <c r="A46" s="39" t="s">
        <v>860</v>
      </c>
      <c r="B46" s="53">
        <v>5588.0</v>
      </c>
      <c r="C46" s="9"/>
      <c r="D46" s="25"/>
    </row>
    <row r="47">
      <c r="A47" s="39" t="s">
        <v>864</v>
      </c>
      <c r="B47" s="56">
        <v>1728.0</v>
      </c>
      <c r="C47" s="9"/>
      <c r="D47" s="25"/>
    </row>
    <row r="48">
      <c r="A48" s="39" t="s">
        <v>869</v>
      </c>
      <c r="B48" s="53">
        <v>5588.0</v>
      </c>
      <c r="C48" s="9"/>
      <c r="D48" s="25"/>
    </row>
    <row r="49">
      <c r="A49" s="39" t="s">
        <v>874</v>
      </c>
      <c r="B49" s="53">
        <v>1728.0</v>
      </c>
      <c r="C49" s="9"/>
      <c r="D49" s="25"/>
    </row>
    <row r="50">
      <c r="A50" s="39" t="s">
        <v>877</v>
      </c>
      <c r="B50" s="53">
        <v>222996.0</v>
      </c>
      <c r="C50" s="9"/>
      <c r="D50" s="25"/>
    </row>
    <row r="51">
      <c r="C51" s="29"/>
    </row>
    <row r="52">
      <c r="A52" s="85" t="s">
        <v>882</v>
      </c>
      <c r="B52" s="77"/>
      <c r="C52" s="78"/>
      <c r="D52" s="25"/>
    </row>
    <row r="53" ht="22.5" customHeight="1">
      <c r="A53" s="39" t="s">
        <v>149</v>
      </c>
      <c r="B53" s="53">
        <v>2409081.0</v>
      </c>
      <c r="C53" s="48"/>
      <c r="D53" s="33" t="s">
        <v>150</v>
      </c>
      <c r="F53" s="46" t="s">
        <v>889</v>
      </c>
    </row>
    <row r="54" ht="22.5" customHeight="1">
      <c r="A54" s="39" t="s">
        <v>155</v>
      </c>
      <c r="B54" s="53">
        <v>3009458.0</v>
      </c>
      <c r="C54" s="48"/>
      <c r="D54" s="33" t="s">
        <v>156</v>
      </c>
      <c r="F54" s="46" t="s">
        <v>889</v>
      </c>
    </row>
    <row r="55">
      <c r="A55" s="39" t="s">
        <v>218</v>
      </c>
      <c r="B55" s="53">
        <v>2274727.0</v>
      </c>
      <c r="C55" s="9"/>
      <c r="D55" s="25"/>
      <c r="F55" s="35" t="s">
        <v>899</v>
      </c>
    </row>
    <row r="56">
      <c r="C56" s="29"/>
    </row>
    <row r="57">
      <c r="A57" s="85" t="s">
        <v>903</v>
      </c>
      <c r="B57" s="77"/>
      <c r="C57" s="78"/>
      <c r="D57" s="25"/>
    </row>
    <row r="58">
      <c r="A58" s="39" t="s">
        <v>152</v>
      </c>
      <c r="B58" s="53">
        <v>4.898986E7</v>
      </c>
      <c r="C58" s="48"/>
      <c r="D58" s="33" t="s">
        <v>153</v>
      </c>
      <c r="F58" s="35" t="s">
        <v>911</v>
      </c>
    </row>
    <row r="59" ht="25.5" customHeight="1">
      <c r="A59" s="39" t="s">
        <v>158</v>
      </c>
      <c r="B59" s="53">
        <v>1.27963958E8</v>
      </c>
      <c r="C59" s="48"/>
      <c r="D59" s="20" t="s">
        <v>918</v>
      </c>
      <c r="F59" s="46" t="s">
        <v>889</v>
      </c>
    </row>
    <row r="60">
      <c r="C60" s="29"/>
    </row>
    <row r="61">
      <c r="A61" s="85" t="s">
        <v>923</v>
      </c>
      <c r="B61" s="77"/>
      <c r="C61" s="78"/>
      <c r="D61" s="25"/>
    </row>
    <row r="62" ht="25.5" customHeight="1">
      <c r="A62" s="39" t="s">
        <v>926</v>
      </c>
      <c r="B62" s="53">
        <v>13843.0</v>
      </c>
      <c r="C62" s="50"/>
      <c r="D62" s="20" t="s">
        <v>929</v>
      </c>
      <c r="E62" s="22" t="s">
        <v>394</v>
      </c>
      <c r="F62" s="59" t="str">
        <f t="shared" ref="F62:F63" si="1">HYPERLINK("http://wiki.qhimm.com/FF7/Kernel/Kernel.bin","Link to Qhimm wiki description")</f>
        <v>Link to Qhimm wiki description</v>
      </c>
    </row>
    <row r="63">
      <c r="A63" s="39" t="s">
        <v>946</v>
      </c>
      <c r="B63" s="53">
        <v>21629.0</v>
      </c>
      <c r="C63" s="50"/>
      <c r="D63" s="20" t="s">
        <v>949</v>
      </c>
      <c r="E63" s="22" t="s">
        <v>946</v>
      </c>
      <c r="F63" s="59" t="str">
        <f t="shared" si="1"/>
        <v>Link to Qhimm wiki description</v>
      </c>
    </row>
    <row r="64">
      <c r="A64" s="39" t="s">
        <v>954</v>
      </c>
      <c r="B64" s="53">
        <v>13323.0</v>
      </c>
      <c r="C64" s="48"/>
      <c r="D64" s="20" t="s">
        <v>957</v>
      </c>
      <c r="E64" s="22" t="s">
        <v>954</v>
      </c>
    </row>
    <row r="65">
      <c r="C65" s="29"/>
    </row>
    <row r="66">
      <c r="A66" s="85" t="s">
        <v>963</v>
      </c>
      <c r="B66" s="77"/>
      <c r="C66" s="78"/>
      <c r="D66" s="25"/>
    </row>
    <row r="67" ht="22.5" customHeight="1">
      <c r="A67" s="39" t="s">
        <v>170</v>
      </c>
      <c r="B67" s="53">
        <v>1705214.0</v>
      </c>
      <c r="C67" s="48"/>
      <c r="D67" s="52" t="s">
        <v>178</v>
      </c>
      <c r="E67" s="22" t="s">
        <v>972</v>
      </c>
      <c r="F67" s="46" t="s">
        <v>889</v>
      </c>
    </row>
    <row r="68">
      <c r="C68" s="29"/>
    </row>
    <row r="69">
      <c r="A69" s="85" t="s">
        <v>977</v>
      </c>
      <c r="B69" s="77"/>
      <c r="C69" s="78"/>
      <c r="D69" s="25"/>
    </row>
    <row r="70">
      <c r="A70" s="80" t="s">
        <v>981</v>
      </c>
      <c r="B70" s="77"/>
      <c r="C70" s="9"/>
      <c r="D70" s="25"/>
      <c r="F70" s="22" t="s">
        <v>986</v>
      </c>
    </row>
    <row r="71">
      <c r="A71" s="39" t="s">
        <v>17</v>
      </c>
      <c r="B71" s="53">
        <v>1435597.0</v>
      </c>
      <c r="C71" s="48"/>
      <c r="D71" s="20" t="s">
        <v>990</v>
      </c>
    </row>
    <row r="72">
      <c r="A72" s="39" t="s">
        <v>197</v>
      </c>
      <c r="B72" s="53">
        <v>1383992.0</v>
      </c>
      <c r="C72" s="48"/>
      <c r="D72" s="20" t="s">
        <v>990</v>
      </c>
      <c r="F72" s="35" t="s">
        <v>996</v>
      </c>
    </row>
    <row r="73">
      <c r="A73" s="39" t="s">
        <v>254</v>
      </c>
      <c r="B73" s="53">
        <v>1658851.0</v>
      </c>
      <c r="C73" s="48"/>
      <c r="D73" s="20" t="s">
        <v>990</v>
      </c>
    </row>
    <row r="74" ht="22.5" customHeight="1">
      <c r="A74" s="39" t="s">
        <v>261</v>
      </c>
      <c r="B74" s="53">
        <v>1648035.0</v>
      </c>
      <c r="C74" s="48"/>
      <c r="D74" s="20" t="s">
        <v>1013</v>
      </c>
      <c r="F74" s="35" t="s">
        <v>1015</v>
      </c>
    </row>
    <row r="75">
      <c r="C75" s="29"/>
    </row>
    <row r="76">
      <c r="A76" s="76" t="s">
        <v>1017</v>
      </c>
      <c r="B76" s="77"/>
      <c r="C76" s="68"/>
      <c r="D76" s="25"/>
    </row>
    <row r="77">
      <c r="A77" s="51" t="s">
        <v>1019</v>
      </c>
      <c r="B77" s="53">
        <v>3660750.0</v>
      </c>
      <c r="C77" s="9"/>
      <c r="D77" s="25"/>
    </row>
    <row r="78">
      <c r="A78" s="51" t="s">
        <v>1021</v>
      </c>
      <c r="B78" s="53">
        <v>2109546.0</v>
      </c>
      <c r="C78" s="9"/>
      <c r="D78" s="25"/>
    </row>
    <row r="79">
      <c r="A79" s="51" t="s">
        <v>1023</v>
      </c>
      <c r="B79" s="53">
        <v>569034.0</v>
      </c>
      <c r="C79" s="9"/>
      <c r="D79" s="25"/>
    </row>
    <row r="80">
      <c r="A80" s="51" t="s">
        <v>1025</v>
      </c>
      <c r="B80" s="53">
        <v>1528890.0</v>
      </c>
      <c r="C80" s="9"/>
      <c r="D80" s="25"/>
    </row>
    <row r="81">
      <c r="C81" s="29"/>
    </row>
    <row r="82">
      <c r="A82" s="85" t="s">
        <v>1028</v>
      </c>
      <c r="B82" s="77"/>
      <c r="C82" s="78"/>
      <c r="D82" s="25"/>
    </row>
    <row r="83" ht="22.5" customHeight="1">
      <c r="A83" s="39" t="s">
        <v>127</v>
      </c>
      <c r="B83" s="53">
        <v>4622922.0</v>
      </c>
      <c r="C83" s="21"/>
      <c r="D83" s="33" t="s">
        <v>131</v>
      </c>
      <c r="F83" s="35" t="s">
        <v>889</v>
      </c>
    </row>
    <row r="84">
      <c r="A84" s="39" t="s">
        <v>137</v>
      </c>
      <c r="B84" s="53">
        <v>1151709.0</v>
      </c>
      <c r="C84" s="21"/>
      <c r="D84" s="33" t="s">
        <v>139</v>
      </c>
    </row>
    <row r="85" ht="22.5" customHeight="1">
      <c r="A85" s="39" t="s">
        <v>145</v>
      </c>
      <c r="B85" s="53">
        <v>3471555.0</v>
      </c>
      <c r="C85" s="21"/>
      <c r="D85" s="33" t="s">
        <v>147</v>
      </c>
      <c r="F85" s="35" t="s">
        <v>889</v>
      </c>
    </row>
    <row r="86" ht="22.5" customHeight="1">
      <c r="A86" s="39" t="s">
        <v>164</v>
      </c>
      <c r="B86" s="53">
        <v>2744735.0</v>
      </c>
      <c r="C86" s="48"/>
      <c r="D86" s="20" t="s">
        <v>165</v>
      </c>
      <c r="F86" s="35" t="s">
        <v>889</v>
      </c>
    </row>
    <row r="87" ht="25.5" customHeight="1">
      <c r="A87" s="39" t="s">
        <v>228</v>
      </c>
      <c r="B87" s="53">
        <v>1670640.0</v>
      </c>
      <c r="C87" s="88"/>
      <c r="D87" s="33" t="s">
        <v>231</v>
      </c>
      <c r="F87" s="35" t="s">
        <v>889</v>
      </c>
    </row>
    <row r="88" ht="22.5" customHeight="1">
      <c r="A88" s="39" t="s">
        <v>239</v>
      </c>
      <c r="B88" s="53">
        <v>666982.0</v>
      </c>
      <c r="C88" s="88"/>
      <c r="D88" s="33" t="s">
        <v>241</v>
      </c>
      <c r="F88" s="35" t="s">
        <v>889</v>
      </c>
    </row>
    <row r="89">
      <c r="C89" s="29"/>
    </row>
    <row r="90">
      <c r="A90" s="85" t="s">
        <v>1087</v>
      </c>
      <c r="B90" s="77"/>
      <c r="C90" s="78"/>
      <c r="D90" s="25"/>
    </row>
    <row r="91">
      <c r="A91" s="39" t="s">
        <v>1092</v>
      </c>
      <c r="B91" s="53">
        <v>61678.0</v>
      </c>
      <c r="C91" s="9"/>
      <c r="D91" s="25"/>
    </row>
    <row r="92">
      <c r="A92" s="39" t="s">
        <v>1097</v>
      </c>
      <c r="B92" s="53">
        <v>647.0</v>
      </c>
      <c r="C92" s="9"/>
      <c r="D92" s="25"/>
    </row>
    <row r="93">
      <c r="A93" s="39" t="s">
        <v>1100</v>
      </c>
      <c r="B93" s="53">
        <v>503978.0</v>
      </c>
      <c r="C93" s="9"/>
      <c r="D93" s="25"/>
    </row>
    <row r="94">
      <c r="A94" s="39" t="s">
        <v>1104</v>
      </c>
      <c r="B94" s="53">
        <v>51438.0</v>
      </c>
      <c r="C94" s="9"/>
      <c r="D94" s="25"/>
    </row>
    <row r="95">
      <c r="A95" s="39" t="s">
        <v>1108</v>
      </c>
      <c r="B95" s="53">
        <v>1362158.0</v>
      </c>
      <c r="C95" s="9"/>
      <c r="D95" s="25"/>
    </row>
    <row r="96">
      <c r="C96" s="12"/>
    </row>
    <row r="97">
      <c r="A97" s="85" t="s">
        <v>1117</v>
      </c>
      <c r="B97" s="77"/>
      <c r="C97" s="78"/>
      <c r="D97" s="25"/>
    </row>
    <row r="98">
      <c r="A98" s="39" t="s">
        <v>1119</v>
      </c>
      <c r="B98" s="53">
        <v>7.1738528E7</v>
      </c>
      <c r="C98" s="9"/>
      <c r="D98" s="33" t="s">
        <v>1122</v>
      </c>
    </row>
    <row r="99">
      <c r="A99" s="39" t="s">
        <v>1126</v>
      </c>
      <c r="B99" s="53">
        <v>54668.0</v>
      </c>
      <c r="C99" s="89"/>
      <c r="D99" s="31"/>
    </row>
    <row r="100">
      <c r="C100" s="19"/>
    </row>
    <row r="101">
      <c r="A101" s="85" t="s">
        <v>1157</v>
      </c>
      <c r="B101" s="77"/>
      <c r="C101" s="78"/>
      <c r="D101" s="31"/>
    </row>
    <row r="102">
      <c r="A102" s="39" t="s">
        <v>1165</v>
      </c>
      <c r="B102" s="53">
        <v>1.5638528E7</v>
      </c>
      <c r="C102" s="50"/>
      <c r="D102" s="33" t="s">
        <v>1169</v>
      </c>
    </row>
    <row r="103">
      <c r="A103" s="39" t="s">
        <v>1173</v>
      </c>
      <c r="B103" s="53">
        <v>3250176.0</v>
      </c>
      <c r="C103" s="50"/>
      <c r="D103" s="33" t="s">
        <v>1169</v>
      </c>
    </row>
    <row r="104">
      <c r="A104" s="39" t="s">
        <v>1179</v>
      </c>
      <c r="B104" s="53">
        <v>2260992.0</v>
      </c>
      <c r="C104" s="50"/>
      <c r="D104" s="33" t="s">
        <v>1185</v>
      </c>
    </row>
    <row r="105">
      <c r="A105" s="39" t="s">
        <v>1187</v>
      </c>
      <c r="B105" s="53">
        <v>565248.0</v>
      </c>
      <c r="C105" s="50"/>
      <c r="D105" s="33" t="s">
        <v>1185</v>
      </c>
    </row>
    <row r="106">
      <c r="A106" s="39" t="s">
        <v>1194</v>
      </c>
      <c r="B106" s="53">
        <v>753664.0</v>
      </c>
      <c r="C106" s="9"/>
      <c r="D106" s="31"/>
    </row>
    <row r="107">
      <c r="A107" s="39" t="s">
        <v>1200</v>
      </c>
      <c r="B107" s="53">
        <v>188416.0</v>
      </c>
      <c r="C107" s="9"/>
      <c r="D107" s="31"/>
    </row>
    <row r="108" ht="22.5" customHeight="1">
      <c r="A108" s="39" t="s">
        <v>246</v>
      </c>
      <c r="B108" s="53">
        <v>3115485.0</v>
      </c>
      <c r="C108" s="48"/>
      <c r="D108" s="33" t="s">
        <v>248</v>
      </c>
      <c r="E108" s="51" t="s">
        <v>1209</v>
      </c>
      <c r="F108" s="46" t="s">
        <v>889</v>
      </c>
    </row>
    <row r="109">
      <c r="C109" s="29"/>
    </row>
    <row r="110">
      <c r="A110" s="85" t="s">
        <v>1215</v>
      </c>
      <c r="B110" s="77"/>
      <c r="C110" s="78"/>
      <c r="D110" s="25"/>
    </row>
    <row r="111">
      <c r="A111" s="39" t="s">
        <v>1222</v>
      </c>
      <c r="B111" s="53">
        <v>65109.0</v>
      </c>
      <c r="C111" s="50"/>
      <c r="D111" s="20" t="s">
        <v>1227</v>
      </c>
      <c r="E111" s="90" t="s">
        <v>1229</v>
      </c>
      <c r="F111" s="35" t="s">
        <v>1249</v>
      </c>
    </row>
    <row r="112">
      <c r="A112" s="91" t="s">
        <v>1252</v>
      </c>
      <c r="B112" s="53">
        <v>65109.0</v>
      </c>
      <c r="C112" s="50"/>
      <c r="D112" s="20" t="s">
        <v>1272</v>
      </c>
      <c r="E112" s="22" t="s">
        <v>1274</v>
      </c>
      <c r="F112" s="35" t="s">
        <v>1277</v>
      </c>
    </row>
    <row r="113">
      <c r="A113" s="91" t="s">
        <v>1291</v>
      </c>
      <c r="B113" s="53">
        <v>65109.0</v>
      </c>
      <c r="C113" s="50"/>
      <c r="D113" s="20" t="s">
        <v>1295</v>
      </c>
      <c r="E113" s="22" t="s">
        <v>1297</v>
      </c>
    </row>
    <row r="114">
      <c r="A114" s="91" t="s">
        <v>1300</v>
      </c>
      <c r="B114" s="53">
        <v>65109.0</v>
      </c>
      <c r="C114" s="50"/>
      <c r="D114" s="20" t="s">
        <v>1302</v>
      </c>
      <c r="E114" s="22" t="s">
        <v>1305</v>
      </c>
    </row>
    <row r="115">
      <c r="A115" s="91" t="s">
        <v>1308</v>
      </c>
      <c r="B115" s="53">
        <v>65109.0</v>
      </c>
      <c r="C115" s="50"/>
      <c r="D115" s="20" t="s">
        <v>1311</v>
      </c>
      <c r="E115" s="22" t="s">
        <v>1313</v>
      </c>
    </row>
    <row r="116">
      <c r="A116" s="91" t="s">
        <v>1316</v>
      </c>
      <c r="B116" s="53">
        <v>65109.0</v>
      </c>
      <c r="C116" s="50"/>
      <c r="D116" s="20" t="s">
        <v>1319</v>
      </c>
      <c r="E116" s="22" t="s">
        <v>1320</v>
      </c>
    </row>
    <row r="117" ht="25.5" customHeight="1">
      <c r="A117" s="91" t="s">
        <v>1322</v>
      </c>
      <c r="B117" s="53">
        <v>65109.0</v>
      </c>
      <c r="C117" s="50"/>
      <c r="D117" s="20" t="s">
        <v>1325</v>
      </c>
      <c r="E117" s="22" t="s">
        <v>1327</v>
      </c>
    </row>
    <row r="118">
      <c r="A118" s="91" t="s">
        <v>1329</v>
      </c>
      <c r="B118" s="53">
        <v>65109.0</v>
      </c>
      <c r="C118" s="50"/>
      <c r="D118" s="20" t="s">
        <v>1333</v>
      </c>
      <c r="E118" s="22" t="s">
        <v>1334</v>
      </c>
    </row>
    <row r="119">
      <c r="A119" s="91" t="s">
        <v>1339</v>
      </c>
      <c r="B119" s="53">
        <v>65109.0</v>
      </c>
      <c r="C119" s="50"/>
      <c r="D119" s="20" t="s">
        <v>1343</v>
      </c>
      <c r="E119" s="22" t="s">
        <v>1346</v>
      </c>
    </row>
    <row r="120">
      <c r="A120" s="91" t="s">
        <v>1350</v>
      </c>
      <c r="B120" s="53">
        <v>65109.0</v>
      </c>
      <c r="C120" s="50"/>
      <c r="D120" s="20" t="s">
        <v>1354</v>
      </c>
    </row>
    <row r="121">
      <c r="C121" s="12"/>
    </row>
    <row r="122">
      <c r="A122" s="76" t="s">
        <v>1360</v>
      </c>
      <c r="B122" s="43"/>
      <c r="C122" s="68"/>
      <c r="D122" s="25"/>
    </row>
    <row r="123">
      <c r="A123" s="51" t="s">
        <v>1365</v>
      </c>
      <c r="B123" s="56">
        <v>2.5260596E7</v>
      </c>
      <c r="C123" s="79"/>
      <c r="D123" s="20" t="s">
        <v>1374</v>
      </c>
      <c r="F123" s="93" t="s">
        <v>1376</v>
      </c>
    </row>
    <row r="124" ht="22.5" customHeight="1">
      <c r="A124" s="51" t="s">
        <v>1392</v>
      </c>
      <c r="B124" s="56">
        <v>1.4954764E7</v>
      </c>
      <c r="C124" s="79"/>
      <c r="D124" s="33" t="s">
        <v>1396</v>
      </c>
      <c r="E124" s="39" t="s">
        <v>1397</v>
      </c>
      <c r="F124" s="93" t="s">
        <v>1400</v>
      </c>
      <c r="J124" s="39">
        <v>1.0</v>
      </c>
    </row>
    <row r="125" ht="22.5" customHeight="1">
      <c r="A125" s="51" t="s">
        <v>1402</v>
      </c>
      <c r="B125" s="56">
        <v>2804966.0</v>
      </c>
      <c r="C125" s="79"/>
      <c r="D125" s="20" t="s">
        <v>1407</v>
      </c>
      <c r="E125" s="39" t="s">
        <v>1409</v>
      </c>
      <c r="F125" s="93" t="s">
        <v>1412</v>
      </c>
      <c r="J125" s="39">
        <v>1.0</v>
      </c>
    </row>
    <row r="126" ht="22.5" customHeight="1">
      <c r="A126" s="51" t="s">
        <v>1415</v>
      </c>
      <c r="B126" s="56">
        <v>1.0699514E7</v>
      </c>
      <c r="C126" s="79"/>
      <c r="D126" s="20" t="s">
        <v>1419</v>
      </c>
      <c r="E126" s="39" t="s">
        <v>1421</v>
      </c>
      <c r="F126" s="95" t="s">
        <v>1424</v>
      </c>
      <c r="J126" s="39">
        <v>1.0</v>
      </c>
    </row>
    <row r="127">
      <c r="A127" s="51" t="s">
        <v>1449</v>
      </c>
      <c r="B127" s="56">
        <v>1330718.0</v>
      </c>
      <c r="C127" s="79"/>
      <c r="D127" s="20" t="s">
        <v>1453</v>
      </c>
      <c r="E127" s="39" t="s">
        <v>1455</v>
      </c>
      <c r="F127" s="35" t="s">
        <v>1458</v>
      </c>
      <c r="J127" s="39">
        <v>123.0</v>
      </c>
    </row>
    <row r="128">
      <c r="A128" s="51" t="s">
        <v>1462</v>
      </c>
      <c r="B128" s="56">
        <v>1.9856714E7</v>
      </c>
      <c r="C128" s="79"/>
      <c r="D128" s="20" t="s">
        <v>1467</v>
      </c>
      <c r="E128" s="39" t="s">
        <v>1468</v>
      </c>
      <c r="F128" s="35" t="s">
        <v>1471</v>
      </c>
      <c r="J128" s="39">
        <v>1.0</v>
      </c>
    </row>
    <row r="129">
      <c r="A129" s="51" t="s">
        <v>1476</v>
      </c>
      <c r="B129" s="56">
        <v>1371730.0</v>
      </c>
      <c r="C129" s="79"/>
      <c r="D129" s="20" t="s">
        <v>1479</v>
      </c>
      <c r="E129" s="39" t="s">
        <v>1482</v>
      </c>
      <c r="F129" s="35" t="s">
        <v>1483</v>
      </c>
      <c r="J129" s="39">
        <v>123.0</v>
      </c>
    </row>
    <row r="130">
      <c r="A130" s="51" t="s">
        <v>1487</v>
      </c>
      <c r="B130" s="56">
        <v>4250188.0</v>
      </c>
      <c r="C130" s="79"/>
      <c r="D130" s="20" t="s">
        <v>1491</v>
      </c>
      <c r="E130" s="39" t="s">
        <v>1493</v>
      </c>
      <c r="F130" s="35" t="s">
        <v>1495</v>
      </c>
      <c r="J130" s="39">
        <v>1.0</v>
      </c>
    </row>
    <row r="131">
      <c r="A131" s="51" t="s">
        <v>1496</v>
      </c>
      <c r="B131" s="56">
        <v>2.1816748E7</v>
      </c>
      <c r="C131" s="79"/>
      <c r="D131" s="20" t="s">
        <v>1499</v>
      </c>
      <c r="E131" s="39" t="s">
        <v>1501</v>
      </c>
      <c r="F131" s="35" t="s">
        <v>1503</v>
      </c>
      <c r="J131" s="39">
        <v>2.0</v>
      </c>
    </row>
    <row r="132">
      <c r="A132" s="51" t="s">
        <v>1507</v>
      </c>
      <c r="B132" s="56">
        <v>2706498.0</v>
      </c>
      <c r="C132" s="79"/>
      <c r="D132" s="20" t="s">
        <v>1510</v>
      </c>
      <c r="E132" s="39" t="s">
        <v>1512</v>
      </c>
      <c r="F132" s="35" t="s">
        <v>1515</v>
      </c>
      <c r="J132" s="39">
        <v>2.0</v>
      </c>
    </row>
    <row r="133">
      <c r="A133" s="51" t="s">
        <v>1519</v>
      </c>
      <c r="B133" s="56">
        <v>4062996.0</v>
      </c>
      <c r="C133" s="79"/>
      <c r="D133" s="20" t="s">
        <v>1523</v>
      </c>
      <c r="E133" s="39" t="s">
        <v>1525</v>
      </c>
      <c r="F133" s="35" t="s">
        <v>1528</v>
      </c>
      <c r="J133" s="39">
        <v>2.0</v>
      </c>
    </row>
    <row r="134">
      <c r="A134" s="97" t="s">
        <v>1531</v>
      </c>
      <c r="B134" s="56">
        <v>7228702.0</v>
      </c>
      <c r="C134" s="79"/>
      <c r="D134" s="20" t="s">
        <v>1538</v>
      </c>
      <c r="E134" s="39" t="s">
        <v>1541</v>
      </c>
      <c r="F134" s="35" t="s">
        <v>1543</v>
      </c>
      <c r="J134" s="39">
        <v>2.0</v>
      </c>
    </row>
    <row r="135">
      <c r="A135" s="51" t="s">
        <v>1546</v>
      </c>
      <c r="B135" s="56">
        <v>1.0747026E7</v>
      </c>
      <c r="C135" s="79"/>
      <c r="D135" s="20" t="s">
        <v>1549</v>
      </c>
      <c r="E135" s="39" t="s">
        <v>1551</v>
      </c>
      <c r="F135" s="35" t="s">
        <v>1552</v>
      </c>
      <c r="J135" s="39">
        <v>2.0</v>
      </c>
    </row>
    <row r="136">
      <c r="A136" s="51" t="s">
        <v>1556</v>
      </c>
      <c r="B136" s="56">
        <v>4797162.0</v>
      </c>
      <c r="C136" s="79"/>
      <c r="D136" s="20" t="s">
        <v>1559</v>
      </c>
      <c r="E136" s="39" t="s">
        <v>1561</v>
      </c>
      <c r="F136" s="35" t="s">
        <v>1562</v>
      </c>
      <c r="J136" s="39">
        <v>2.0</v>
      </c>
    </row>
    <row r="137">
      <c r="A137" s="51" t="s">
        <v>1565</v>
      </c>
      <c r="B137" s="56">
        <v>1.0077264E7</v>
      </c>
      <c r="C137" s="79"/>
      <c r="D137" s="20" t="s">
        <v>1568</v>
      </c>
      <c r="E137" s="39" t="s">
        <v>1570</v>
      </c>
      <c r="F137" s="35" t="s">
        <v>1573</v>
      </c>
      <c r="J137" s="39">
        <v>2.0</v>
      </c>
    </row>
    <row r="138">
      <c r="A138" s="51" t="s">
        <v>1577</v>
      </c>
      <c r="B138" s="56">
        <v>1.7492194E7</v>
      </c>
      <c r="C138" s="79"/>
      <c r="D138" s="20" t="s">
        <v>1581</v>
      </c>
      <c r="E138" s="39" t="s">
        <v>1583</v>
      </c>
      <c r="F138" s="35" t="s">
        <v>1585</v>
      </c>
      <c r="J138" s="39">
        <v>1.0</v>
      </c>
    </row>
    <row r="139">
      <c r="A139" s="51" t="s">
        <v>1589</v>
      </c>
      <c r="B139" s="56">
        <v>8381782.0</v>
      </c>
      <c r="C139" s="79"/>
      <c r="D139" s="20" t="s">
        <v>1590</v>
      </c>
      <c r="E139" s="39" t="s">
        <v>1591</v>
      </c>
      <c r="F139" s="35" t="s">
        <v>1592</v>
      </c>
      <c r="J139" s="39">
        <v>2.0</v>
      </c>
    </row>
    <row r="140">
      <c r="A140" s="51" t="s">
        <v>1593</v>
      </c>
      <c r="B140" s="56">
        <v>5524092.0</v>
      </c>
      <c r="C140" s="79"/>
      <c r="D140" s="20" t="s">
        <v>1594</v>
      </c>
      <c r="E140" s="39" t="s">
        <v>1596</v>
      </c>
      <c r="F140" s="35" t="s">
        <v>1598</v>
      </c>
      <c r="J140" s="39">
        <v>2.0</v>
      </c>
    </row>
    <row r="141">
      <c r="A141" s="51" t="s">
        <v>1600</v>
      </c>
      <c r="B141" s="56">
        <v>4567334.0</v>
      </c>
      <c r="C141" s="79"/>
      <c r="D141" s="20" t="s">
        <v>1603</v>
      </c>
      <c r="E141" s="39" t="s">
        <v>1606</v>
      </c>
      <c r="F141" s="35" t="s">
        <v>1607</v>
      </c>
      <c r="J141" s="39">
        <v>2.0</v>
      </c>
    </row>
    <row r="142">
      <c r="A142" s="51" t="s">
        <v>1612</v>
      </c>
      <c r="B142" s="56">
        <v>3216700.0</v>
      </c>
      <c r="C142" s="79"/>
      <c r="D142" s="20" t="s">
        <v>1617</v>
      </c>
      <c r="E142" s="39" t="s">
        <v>1619</v>
      </c>
      <c r="F142" s="35" t="s">
        <v>1621</v>
      </c>
      <c r="J142" s="39">
        <v>123.0</v>
      </c>
    </row>
    <row r="143">
      <c r="A143" s="51" t="s">
        <v>1624</v>
      </c>
      <c r="B143" s="56">
        <v>3545798.0</v>
      </c>
      <c r="C143" s="79"/>
      <c r="D143" s="20" t="s">
        <v>1627</v>
      </c>
      <c r="E143" s="39" t="s">
        <v>1629</v>
      </c>
      <c r="F143" s="35" t="s">
        <v>1630</v>
      </c>
      <c r="J143" s="39">
        <v>123.0</v>
      </c>
    </row>
    <row r="144">
      <c r="A144" s="51" t="s">
        <v>1633</v>
      </c>
      <c r="B144" s="56">
        <v>8326812.0</v>
      </c>
      <c r="C144" s="79"/>
      <c r="D144" s="20" t="s">
        <v>1636</v>
      </c>
      <c r="E144" s="39" t="s">
        <v>1645</v>
      </c>
      <c r="F144" s="35" t="s">
        <v>1647</v>
      </c>
      <c r="J144" s="39">
        <v>2.0</v>
      </c>
    </row>
    <row r="145">
      <c r="A145" s="51" t="s">
        <v>1649</v>
      </c>
      <c r="B145" s="56">
        <v>1.7871114E7</v>
      </c>
      <c r="C145" s="40"/>
      <c r="D145" s="20" t="s">
        <v>1656</v>
      </c>
      <c r="E145" s="39" t="s">
        <v>1657</v>
      </c>
      <c r="F145" s="35" t="s">
        <v>1659</v>
      </c>
      <c r="J145" s="39">
        <v>1.0</v>
      </c>
    </row>
    <row r="146">
      <c r="A146" s="51" t="s">
        <v>1662</v>
      </c>
      <c r="B146" s="56">
        <v>1897520.0</v>
      </c>
      <c r="C146" s="40"/>
      <c r="D146" s="20" t="s">
        <v>1668</v>
      </c>
      <c r="E146" s="99" t="s">
        <v>1670</v>
      </c>
      <c r="F146" s="35" t="s">
        <v>1630</v>
      </c>
      <c r="J146" s="39">
        <v>123.0</v>
      </c>
    </row>
    <row r="147">
      <c r="A147" s="51" t="s">
        <v>1683</v>
      </c>
      <c r="B147" s="56">
        <v>1.597563E7</v>
      </c>
      <c r="C147" s="79"/>
      <c r="D147" s="20" t="s">
        <v>1685</v>
      </c>
      <c r="E147" s="39" t="s">
        <v>1687</v>
      </c>
      <c r="F147" s="35" t="s">
        <v>1688</v>
      </c>
      <c r="J147" s="39">
        <v>3.0</v>
      </c>
    </row>
    <row r="148">
      <c r="A148" s="51" t="s">
        <v>1691</v>
      </c>
      <c r="B148" s="56">
        <v>1.4946688E8</v>
      </c>
      <c r="C148" s="79"/>
      <c r="D148" s="20" t="s">
        <v>1693</v>
      </c>
      <c r="E148" s="39" t="s">
        <v>1695</v>
      </c>
      <c r="F148" s="35" t="s">
        <v>1697</v>
      </c>
      <c r="J148" s="39">
        <v>3.0</v>
      </c>
    </row>
    <row r="149">
      <c r="A149" s="51" t="s">
        <v>1700</v>
      </c>
      <c r="B149" s="56">
        <v>1.7844506E7</v>
      </c>
      <c r="C149" s="79"/>
      <c r="D149" s="20" t="s">
        <v>1702</v>
      </c>
      <c r="E149" s="39" t="s">
        <v>1704</v>
      </c>
      <c r="F149" s="35" t="s">
        <v>1707</v>
      </c>
      <c r="J149" s="39">
        <v>3.0</v>
      </c>
    </row>
    <row r="150">
      <c r="A150" s="51" t="s">
        <v>1710</v>
      </c>
      <c r="B150" s="56">
        <v>856098.0</v>
      </c>
      <c r="C150" s="79"/>
      <c r="D150" s="20" t="s">
        <v>1713</v>
      </c>
      <c r="F150" s="35" t="s">
        <v>1714</v>
      </c>
      <c r="J150" s="39">
        <v>123.0</v>
      </c>
    </row>
    <row r="151">
      <c r="A151" s="51" t="s">
        <v>1717</v>
      </c>
      <c r="B151" s="56">
        <v>1.4658384E7</v>
      </c>
      <c r="C151" s="79"/>
      <c r="D151" s="20" t="s">
        <v>1719</v>
      </c>
      <c r="E151" s="39" t="s">
        <v>1721</v>
      </c>
      <c r="F151" s="35" t="s">
        <v>1722</v>
      </c>
      <c r="J151" s="39">
        <v>1.0</v>
      </c>
    </row>
    <row r="152">
      <c r="A152" s="51" t="s">
        <v>1724</v>
      </c>
      <c r="B152" s="56">
        <v>1.8329954E7</v>
      </c>
      <c r="C152" s="40"/>
      <c r="D152" s="20" t="s">
        <v>1726</v>
      </c>
      <c r="E152" s="39" t="s">
        <v>1728</v>
      </c>
      <c r="F152" s="35" t="s">
        <v>1729</v>
      </c>
      <c r="J152" s="39">
        <v>3.0</v>
      </c>
    </row>
    <row r="153">
      <c r="A153" s="51" t="s">
        <v>1732</v>
      </c>
      <c r="B153" s="56">
        <v>8423880.0</v>
      </c>
      <c r="C153" s="79"/>
      <c r="D153" s="20" t="s">
        <v>1734</v>
      </c>
      <c r="E153" s="39" t="s">
        <v>1736</v>
      </c>
      <c r="F153" s="35" t="s">
        <v>1738</v>
      </c>
      <c r="J153" s="39">
        <v>2.0</v>
      </c>
    </row>
    <row r="154">
      <c r="A154" s="51" t="s">
        <v>1742</v>
      </c>
      <c r="B154" s="56">
        <v>4701536.0</v>
      </c>
      <c r="C154" s="79"/>
      <c r="D154" s="20" t="s">
        <v>1745</v>
      </c>
      <c r="E154" s="39" t="s">
        <v>1747</v>
      </c>
      <c r="F154" s="35" t="s">
        <v>1749</v>
      </c>
      <c r="J154" s="39">
        <v>2.0</v>
      </c>
    </row>
    <row r="155">
      <c r="A155" s="51" t="s">
        <v>1752</v>
      </c>
      <c r="B155" s="56">
        <v>2371718.0</v>
      </c>
      <c r="C155" s="79"/>
      <c r="D155" s="20" t="s">
        <v>1756</v>
      </c>
      <c r="E155" s="100" t="s">
        <v>1757</v>
      </c>
      <c r="F155" s="35" t="s">
        <v>1768</v>
      </c>
      <c r="J155" s="39">
        <v>123.0</v>
      </c>
    </row>
    <row r="156">
      <c r="A156" s="51" t="s">
        <v>1773</v>
      </c>
      <c r="B156" s="56">
        <v>7596390.0</v>
      </c>
      <c r="C156" s="40"/>
      <c r="D156" s="20" t="s">
        <v>1777</v>
      </c>
      <c r="E156" s="39" t="s">
        <v>1779</v>
      </c>
      <c r="F156" s="35" t="s">
        <v>1781</v>
      </c>
      <c r="J156" s="22">
        <v>1.0</v>
      </c>
    </row>
    <row r="157">
      <c r="A157" s="51" t="s">
        <v>1784</v>
      </c>
      <c r="B157" s="56">
        <v>4506982.0</v>
      </c>
      <c r="C157" s="79"/>
      <c r="D157" s="20" t="s">
        <v>1787</v>
      </c>
      <c r="E157" s="39" t="s">
        <v>1788</v>
      </c>
      <c r="F157" s="35" t="s">
        <v>1738</v>
      </c>
      <c r="J157" s="22">
        <v>2.0</v>
      </c>
    </row>
    <row r="158">
      <c r="A158" s="51" t="s">
        <v>1793</v>
      </c>
      <c r="B158" s="56">
        <v>1.9731124E7</v>
      </c>
      <c r="C158" s="79"/>
      <c r="D158" s="20" t="s">
        <v>1796</v>
      </c>
      <c r="E158" s="39" t="s">
        <v>1797</v>
      </c>
      <c r="F158" s="35" t="s">
        <v>1799</v>
      </c>
      <c r="J158" s="22">
        <v>1.0</v>
      </c>
    </row>
    <row r="159">
      <c r="A159" s="51" t="s">
        <v>1801</v>
      </c>
      <c r="B159" s="56">
        <v>6311786.0</v>
      </c>
      <c r="C159" s="79"/>
      <c r="D159" s="20" t="s">
        <v>1803</v>
      </c>
      <c r="E159" s="39" t="s">
        <v>1805</v>
      </c>
      <c r="F159" s="35" t="s">
        <v>1806</v>
      </c>
      <c r="J159" s="22">
        <v>123.0</v>
      </c>
    </row>
    <row r="160">
      <c r="A160" s="51" t="s">
        <v>1807</v>
      </c>
      <c r="B160" s="56">
        <v>3022962.0</v>
      </c>
      <c r="C160" s="79"/>
      <c r="D160" s="20" t="s">
        <v>1809</v>
      </c>
      <c r="E160" s="39" t="s">
        <v>1810</v>
      </c>
      <c r="F160" s="35" t="s">
        <v>1812</v>
      </c>
      <c r="J160" s="22">
        <v>123.0</v>
      </c>
    </row>
    <row r="161">
      <c r="A161" s="51" t="s">
        <v>1814</v>
      </c>
      <c r="B161" s="56">
        <v>9356832.0</v>
      </c>
      <c r="C161" s="79"/>
      <c r="D161" s="20" t="s">
        <v>1817</v>
      </c>
      <c r="E161" s="39" t="s">
        <v>1818</v>
      </c>
      <c r="F161" s="35" t="s">
        <v>1821</v>
      </c>
      <c r="J161" s="22">
        <v>123.0</v>
      </c>
    </row>
    <row r="162">
      <c r="A162" s="51" t="s">
        <v>1822</v>
      </c>
      <c r="B162" s="56">
        <v>2937262.0</v>
      </c>
      <c r="C162" s="79"/>
      <c r="D162" s="20" t="s">
        <v>1825</v>
      </c>
      <c r="E162" s="39" t="s">
        <v>1827</v>
      </c>
      <c r="F162" s="35" t="s">
        <v>1630</v>
      </c>
      <c r="J162" s="22">
        <v>123.0</v>
      </c>
    </row>
    <row r="163">
      <c r="A163" s="51" t="s">
        <v>1829</v>
      </c>
      <c r="B163" s="56">
        <v>2404262.0</v>
      </c>
      <c r="C163" s="79"/>
      <c r="D163" s="20" t="s">
        <v>1809</v>
      </c>
      <c r="E163" s="39" t="s">
        <v>1833</v>
      </c>
      <c r="F163" s="35" t="s">
        <v>1834</v>
      </c>
      <c r="J163" s="22">
        <v>123.0</v>
      </c>
    </row>
    <row r="164">
      <c r="A164" s="51" t="s">
        <v>1836</v>
      </c>
      <c r="B164" s="56">
        <v>6896478.0</v>
      </c>
      <c r="C164" s="79"/>
      <c r="D164" s="20" t="s">
        <v>1839</v>
      </c>
      <c r="E164" s="39" t="s">
        <v>1841</v>
      </c>
      <c r="F164" s="35" t="s">
        <v>1843</v>
      </c>
      <c r="J164" s="22">
        <v>1.0</v>
      </c>
    </row>
    <row r="165">
      <c r="A165" s="51" t="s">
        <v>1846</v>
      </c>
      <c r="B165" s="56">
        <v>6461082.0</v>
      </c>
      <c r="C165" s="79"/>
      <c r="D165" s="20" t="s">
        <v>1848</v>
      </c>
      <c r="E165" s="39" t="s">
        <v>1850</v>
      </c>
      <c r="F165" s="35" t="s">
        <v>1647</v>
      </c>
      <c r="J165" s="22">
        <v>1.0</v>
      </c>
    </row>
    <row r="166">
      <c r="A166" s="51" t="s">
        <v>1852</v>
      </c>
      <c r="B166" s="56">
        <v>1.404758E7</v>
      </c>
      <c r="C166" s="79"/>
      <c r="D166" s="20" t="s">
        <v>1855</v>
      </c>
      <c r="E166" s="39" t="s">
        <v>1857</v>
      </c>
      <c r="F166" s="35" t="s">
        <v>1859</v>
      </c>
      <c r="J166" s="22">
        <v>2.0</v>
      </c>
    </row>
    <row r="167">
      <c r="A167" s="51" t="s">
        <v>1860</v>
      </c>
      <c r="B167" s="56">
        <v>7219690.0</v>
      </c>
      <c r="C167" s="79"/>
      <c r="D167" s="20" t="s">
        <v>1862</v>
      </c>
      <c r="E167" s="39" t="s">
        <v>1864</v>
      </c>
      <c r="F167" s="35" t="s">
        <v>1866</v>
      </c>
      <c r="J167" s="22">
        <v>1.0</v>
      </c>
    </row>
    <row r="168">
      <c r="A168" s="51" t="s">
        <v>1869</v>
      </c>
      <c r="B168" s="56">
        <v>1.2660956E7</v>
      </c>
      <c r="C168" s="79"/>
      <c r="D168" s="20" t="s">
        <v>1872</v>
      </c>
      <c r="E168" s="39" t="s">
        <v>1873</v>
      </c>
      <c r="F168" s="35" t="s">
        <v>1875</v>
      </c>
      <c r="J168" s="22">
        <v>2.0</v>
      </c>
    </row>
    <row r="169">
      <c r="A169" s="51" t="s">
        <v>1878</v>
      </c>
      <c r="B169" s="56">
        <v>7073254.0</v>
      </c>
      <c r="C169" s="79"/>
      <c r="D169" s="20" t="s">
        <v>1880</v>
      </c>
      <c r="E169" s="39" t="s">
        <v>1881</v>
      </c>
      <c r="F169" s="35" t="s">
        <v>1883</v>
      </c>
      <c r="J169" s="22">
        <v>2.0</v>
      </c>
    </row>
    <row r="170">
      <c r="A170" s="51" t="s">
        <v>1886</v>
      </c>
      <c r="B170" s="56">
        <v>3141736.0</v>
      </c>
      <c r="C170" s="79"/>
      <c r="D170" s="20" t="s">
        <v>1888</v>
      </c>
      <c r="E170" s="39" t="s">
        <v>1889</v>
      </c>
      <c r="F170" s="35" t="s">
        <v>1891</v>
      </c>
      <c r="J170" s="22">
        <v>1.0</v>
      </c>
    </row>
    <row r="171">
      <c r="A171" s="51" t="s">
        <v>1895</v>
      </c>
      <c r="B171" s="56">
        <v>1.265037E7</v>
      </c>
      <c r="C171" s="79"/>
      <c r="D171" s="20" t="s">
        <v>1898</v>
      </c>
      <c r="E171" s="39" t="s">
        <v>1899</v>
      </c>
      <c r="F171" s="35" t="s">
        <v>1901</v>
      </c>
      <c r="J171" s="22">
        <v>1.0</v>
      </c>
    </row>
    <row r="172">
      <c r="A172" s="51" t="s">
        <v>1904</v>
      </c>
      <c r="B172" s="56">
        <v>1.2124242E7</v>
      </c>
      <c r="C172" s="79"/>
      <c r="D172" s="20" t="s">
        <v>1906</v>
      </c>
      <c r="E172" s="39" t="s">
        <v>1907</v>
      </c>
      <c r="F172" s="35" t="s">
        <v>1901</v>
      </c>
      <c r="J172" s="22">
        <v>1.0</v>
      </c>
    </row>
    <row r="173">
      <c r="A173" s="51" t="s">
        <v>1910</v>
      </c>
      <c r="B173" s="56">
        <v>1097798.0</v>
      </c>
      <c r="C173" s="79"/>
      <c r="D173" s="20" t="s">
        <v>1913</v>
      </c>
      <c r="E173" s="39" t="s">
        <v>1914</v>
      </c>
      <c r="F173" s="35" t="s">
        <v>1915</v>
      </c>
      <c r="J173" s="22">
        <v>123.0</v>
      </c>
    </row>
    <row r="174">
      <c r="A174" s="51" t="s">
        <v>1918</v>
      </c>
      <c r="B174" s="56">
        <v>1088302.0</v>
      </c>
      <c r="C174" s="79"/>
      <c r="D174" s="20" t="s">
        <v>1922</v>
      </c>
      <c r="E174" s="39" t="s">
        <v>1924</v>
      </c>
      <c r="F174" s="35" t="s">
        <v>1915</v>
      </c>
      <c r="J174" s="22">
        <v>123.0</v>
      </c>
    </row>
    <row r="175">
      <c r="A175" s="51" t="s">
        <v>1927</v>
      </c>
      <c r="B175" s="56">
        <v>2089830.0</v>
      </c>
      <c r="C175" s="79"/>
      <c r="D175" s="20" t="s">
        <v>1930</v>
      </c>
      <c r="E175" s="39" t="s">
        <v>1931</v>
      </c>
      <c r="F175" s="35" t="s">
        <v>1932</v>
      </c>
      <c r="J175" s="22">
        <v>123.0</v>
      </c>
    </row>
    <row r="176">
      <c r="A176" s="51" t="s">
        <v>1935</v>
      </c>
      <c r="B176" s="56">
        <v>2189346.0</v>
      </c>
      <c r="C176" s="79"/>
      <c r="D176" s="20" t="s">
        <v>1937</v>
      </c>
      <c r="E176" s="39" t="s">
        <v>1939</v>
      </c>
      <c r="F176" s="35" t="s">
        <v>1932</v>
      </c>
      <c r="J176" s="22">
        <v>123.0</v>
      </c>
    </row>
    <row r="177">
      <c r="A177" s="51" t="s">
        <v>1942</v>
      </c>
      <c r="B177" s="56">
        <v>2097862.0</v>
      </c>
      <c r="C177" s="79"/>
      <c r="D177" s="20" t="s">
        <v>1944</v>
      </c>
      <c r="E177" s="39" t="s">
        <v>1946</v>
      </c>
      <c r="F177" s="35" t="s">
        <v>1947</v>
      </c>
      <c r="J177" s="22">
        <v>123.0</v>
      </c>
    </row>
    <row r="178">
      <c r="A178" s="51" t="s">
        <v>1950</v>
      </c>
      <c r="B178" s="56">
        <v>2439390.0</v>
      </c>
      <c r="C178" s="79"/>
      <c r="D178" s="20" t="s">
        <v>1952</v>
      </c>
      <c r="E178" s="39" t="s">
        <v>1954</v>
      </c>
      <c r="F178" s="35" t="s">
        <v>1947</v>
      </c>
      <c r="J178" s="22">
        <v>123.0</v>
      </c>
    </row>
    <row r="179">
      <c r="A179" s="51" t="s">
        <v>1957</v>
      </c>
      <c r="B179" s="56">
        <v>1.595937E7</v>
      </c>
      <c r="C179" s="79"/>
      <c r="D179" s="20" t="s">
        <v>1960</v>
      </c>
      <c r="E179" s="39" t="s">
        <v>1962</v>
      </c>
      <c r="F179" s="35" t="s">
        <v>1964</v>
      </c>
      <c r="J179" s="22">
        <v>1.0</v>
      </c>
    </row>
    <row r="180">
      <c r="A180" s="51" t="s">
        <v>1966</v>
      </c>
      <c r="B180" s="56">
        <v>1323018.0</v>
      </c>
      <c r="C180" s="79"/>
      <c r="D180" s="20" t="s">
        <v>1969</v>
      </c>
      <c r="E180" s="39" t="s">
        <v>1970</v>
      </c>
      <c r="F180" s="35" t="s">
        <v>1915</v>
      </c>
      <c r="J180" s="22">
        <v>2.0</v>
      </c>
    </row>
    <row r="181">
      <c r="A181" s="51" t="s">
        <v>1973</v>
      </c>
      <c r="B181" s="56">
        <v>248326.0</v>
      </c>
      <c r="C181" s="79"/>
      <c r="D181" s="20" t="s">
        <v>1976</v>
      </c>
      <c r="E181" s="100" t="s">
        <v>1978</v>
      </c>
      <c r="F181" s="35" t="s">
        <v>1979</v>
      </c>
      <c r="J181" s="22">
        <v>3.0</v>
      </c>
    </row>
    <row r="182">
      <c r="A182" s="51" t="s">
        <v>1980</v>
      </c>
      <c r="B182" s="56">
        <v>269906.0</v>
      </c>
      <c r="C182" s="79"/>
      <c r="D182" s="20" t="s">
        <v>1976</v>
      </c>
      <c r="E182" s="100" t="s">
        <v>1984</v>
      </c>
      <c r="F182" s="35" t="s">
        <v>1979</v>
      </c>
      <c r="J182" s="22">
        <v>3.0</v>
      </c>
    </row>
    <row r="183">
      <c r="A183" s="51" t="s">
        <v>1987</v>
      </c>
      <c r="B183" s="56">
        <v>1.2219044E7</v>
      </c>
      <c r="C183" s="79"/>
      <c r="D183" s="20" t="s">
        <v>1989</v>
      </c>
      <c r="E183" s="39" t="s">
        <v>1990</v>
      </c>
      <c r="F183" s="35" t="s">
        <v>1991</v>
      </c>
      <c r="J183" s="22">
        <v>3.0</v>
      </c>
    </row>
    <row r="184">
      <c r="A184" s="51" t="s">
        <v>1992</v>
      </c>
      <c r="B184" s="56">
        <v>3134718.0</v>
      </c>
      <c r="C184" s="79"/>
      <c r="D184" s="20" t="s">
        <v>1993</v>
      </c>
      <c r="E184" s="39" t="s">
        <v>1994</v>
      </c>
      <c r="F184" s="35" t="s">
        <v>1995</v>
      </c>
      <c r="J184" s="22">
        <v>3.0</v>
      </c>
    </row>
    <row r="185">
      <c r="A185" s="51" t="s">
        <v>1998</v>
      </c>
      <c r="B185" s="56">
        <v>4023802.0</v>
      </c>
      <c r="C185" s="79"/>
      <c r="D185" s="20" t="s">
        <v>1999</v>
      </c>
      <c r="E185" s="39" t="s">
        <v>2000</v>
      </c>
      <c r="F185" s="35" t="s">
        <v>2001</v>
      </c>
      <c r="J185" s="22">
        <v>3.0</v>
      </c>
    </row>
    <row r="186">
      <c r="A186" s="51" t="s">
        <v>2003</v>
      </c>
      <c r="B186" s="56">
        <v>8116378.0</v>
      </c>
      <c r="C186" s="79"/>
      <c r="D186" s="20" t="s">
        <v>2006</v>
      </c>
      <c r="E186" s="39" t="s">
        <v>2007</v>
      </c>
      <c r="F186" s="35" t="s">
        <v>1891</v>
      </c>
      <c r="J186" s="22">
        <v>2.0</v>
      </c>
    </row>
    <row r="187">
      <c r="A187" s="51" t="s">
        <v>2009</v>
      </c>
      <c r="B187" s="56">
        <v>3024106.0</v>
      </c>
      <c r="C187" s="79"/>
      <c r="D187" s="20" t="s">
        <v>2012</v>
      </c>
      <c r="E187" s="39" t="s">
        <v>2014</v>
      </c>
      <c r="F187" s="35" t="s">
        <v>1947</v>
      </c>
      <c r="J187" s="22">
        <v>2.0</v>
      </c>
    </row>
    <row r="188">
      <c r="A188" s="51" t="s">
        <v>2019</v>
      </c>
      <c r="B188" s="56">
        <v>3470890.0</v>
      </c>
      <c r="C188" s="79"/>
      <c r="D188" s="20" t="s">
        <v>2022</v>
      </c>
      <c r="E188" s="39" t="s">
        <v>2023</v>
      </c>
      <c r="F188" s="35" t="s">
        <v>2025</v>
      </c>
      <c r="J188" s="22">
        <v>1.0</v>
      </c>
    </row>
    <row r="189">
      <c r="A189" s="51" t="s">
        <v>2026</v>
      </c>
      <c r="B189" s="56">
        <v>1.3492154E7</v>
      </c>
      <c r="C189" s="79"/>
      <c r="D189" s="20" t="s">
        <v>2030</v>
      </c>
      <c r="E189" s="39" t="s">
        <v>2031</v>
      </c>
      <c r="F189" s="35" t="s">
        <v>2032</v>
      </c>
      <c r="J189" s="22">
        <v>2.0</v>
      </c>
    </row>
    <row r="190">
      <c r="A190" s="51" t="s">
        <v>2034</v>
      </c>
      <c r="B190" s="56">
        <v>5461474.0</v>
      </c>
      <c r="C190" s="79"/>
      <c r="D190" s="20" t="s">
        <v>2037</v>
      </c>
      <c r="E190" s="39" t="s">
        <v>2039</v>
      </c>
      <c r="F190" s="35" t="s">
        <v>1843</v>
      </c>
      <c r="J190" s="22">
        <v>2.0</v>
      </c>
    </row>
    <row r="191">
      <c r="A191" s="51" t="s">
        <v>2043</v>
      </c>
      <c r="B191" s="56">
        <v>1182074.0</v>
      </c>
      <c r="C191" s="79"/>
      <c r="D191" s="20" t="s">
        <v>2045</v>
      </c>
      <c r="E191" s="39" t="s">
        <v>2046</v>
      </c>
      <c r="F191" s="35" t="s">
        <v>2048</v>
      </c>
      <c r="J191" s="22">
        <v>1.0</v>
      </c>
    </row>
    <row r="192">
      <c r="A192" s="51" t="s">
        <v>2050</v>
      </c>
      <c r="B192" s="56">
        <v>2131442.0</v>
      </c>
      <c r="C192" s="79"/>
      <c r="D192" s="20" t="s">
        <v>2052</v>
      </c>
      <c r="E192" s="39" t="s">
        <v>2053</v>
      </c>
      <c r="F192" s="35" t="s">
        <v>1834</v>
      </c>
      <c r="J192" s="22">
        <v>1.0</v>
      </c>
    </row>
    <row r="193">
      <c r="A193" s="51" t="s">
        <v>2055</v>
      </c>
      <c r="B193" s="56">
        <v>2341138.0</v>
      </c>
      <c r="C193" s="79"/>
      <c r="D193" s="20" t="s">
        <v>2058</v>
      </c>
      <c r="E193" s="39" t="s">
        <v>2059</v>
      </c>
      <c r="F193" s="35" t="s">
        <v>1947</v>
      </c>
      <c r="J193" s="22">
        <v>12.0</v>
      </c>
    </row>
    <row r="194">
      <c r="A194" s="51" t="s">
        <v>2060</v>
      </c>
      <c r="B194" s="56">
        <v>2274727.0</v>
      </c>
      <c r="C194" s="79"/>
      <c r="D194" s="20" t="s">
        <v>2064</v>
      </c>
      <c r="E194" s="100" t="s">
        <v>2065</v>
      </c>
      <c r="F194" s="35" t="s">
        <v>2066</v>
      </c>
      <c r="J194" s="22">
        <v>12.0</v>
      </c>
    </row>
    <row r="195">
      <c r="A195" s="51" t="s">
        <v>2067</v>
      </c>
      <c r="B195" s="56">
        <v>1314374.0</v>
      </c>
      <c r="C195" s="79"/>
      <c r="D195" s="20" t="s">
        <v>2068</v>
      </c>
      <c r="E195" s="39" t="s">
        <v>2069</v>
      </c>
      <c r="F195" s="35" t="s">
        <v>1915</v>
      </c>
      <c r="J195" s="22">
        <v>1.0</v>
      </c>
    </row>
    <row r="196">
      <c r="A196" s="51" t="s">
        <v>2071</v>
      </c>
      <c r="B196" s="56">
        <v>7313558.0</v>
      </c>
      <c r="C196" s="79"/>
      <c r="D196" s="20" t="s">
        <v>2074</v>
      </c>
      <c r="E196" s="39" t="s">
        <v>2075</v>
      </c>
      <c r="F196" s="35" t="s">
        <v>1883</v>
      </c>
      <c r="J196" s="22">
        <v>1.0</v>
      </c>
    </row>
    <row r="197">
      <c r="A197" s="51" t="s">
        <v>2077</v>
      </c>
      <c r="B197" s="56">
        <v>4729670.0</v>
      </c>
      <c r="C197" s="79"/>
      <c r="D197" s="20" t="s">
        <v>2079</v>
      </c>
      <c r="E197" s="39" t="s">
        <v>2081</v>
      </c>
      <c r="F197" s="35" t="s">
        <v>1749</v>
      </c>
      <c r="J197" s="22">
        <v>1.0</v>
      </c>
    </row>
    <row r="198">
      <c r="A198" s="51" t="s">
        <v>2085</v>
      </c>
      <c r="B198" s="56">
        <v>7597984.0</v>
      </c>
      <c r="C198" s="79"/>
      <c r="D198" s="20" t="s">
        <v>2086</v>
      </c>
      <c r="E198" s="39" t="s">
        <v>2087</v>
      </c>
      <c r="F198" s="35" t="s">
        <v>1738</v>
      </c>
      <c r="J198" s="22">
        <v>1.0</v>
      </c>
    </row>
    <row r="199">
      <c r="A199" s="51" t="s">
        <v>2089</v>
      </c>
      <c r="B199" s="56">
        <v>3633912.0</v>
      </c>
      <c r="C199" s="79"/>
      <c r="D199" s="20" t="s">
        <v>2091</v>
      </c>
      <c r="E199" s="39" t="s">
        <v>2092</v>
      </c>
      <c r="F199" s="35" t="s">
        <v>2025</v>
      </c>
      <c r="J199" s="22">
        <v>1.0</v>
      </c>
    </row>
    <row r="200">
      <c r="A200" s="51" t="s">
        <v>2095</v>
      </c>
      <c r="B200" s="56">
        <v>6657140.0</v>
      </c>
      <c r="C200" s="79"/>
      <c r="D200" s="20" t="s">
        <v>2096</v>
      </c>
      <c r="E200" s="39" t="s">
        <v>2097</v>
      </c>
      <c r="F200" s="35" t="s">
        <v>1866</v>
      </c>
      <c r="J200" s="22">
        <v>2.0</v>
      </c>
    </row>
    <row r="201">
      <c r="A201" s="51" t="s">
        <v>2101</v>
      </c>
      <c r="B201" s="56">
        <v>2742738.0</v>
      </c>
      <c r="C201" s="79"/>
      <c r="D201" s="20" t="s">
        <v>2104</v>
      </c>
      <c r="E201" s="39" t="s">
        <v>2105</v>
      </c>
      <c r="F201" s="102" t="s">
        <v>1995</v>
      </c>
      <c r="J201" s="22">
        <v>2.0</v>
      </c>
    </row>
    <row r="202">
      <c r="A202" s="51" t="s">
        <v>2115</v>
      </c>
      <c r="B202" s="56">
        <v>7465908.0</v>
      </c>
      <c r="C202" s="79"/>
      <c r="D202" s="20" t="s">
        <v>2119</v>
      </c>
      <c r="E202" s="39" t="s">
        <v>2120</v>
      </c>
      <c r="F202" s="35" t="s">
        <v>2122</v>
      </c>
      <c r="J202" s="22">
        <v>1.0</v>
      </c>
    </row>
    <row r="203">
      <c r="A203" s="51" t="s">
        <v>2123</v>
      </c>
      <c r="B203" s="56">
        <v>3923234.0</v>
      </c>
      <c r="C203" s="79"/>
      <c r="D203" s="20" t="s">
        <v>2125</v>
      </c>
      <c r="E203" s="39" t="s">
        <v>2127</v>
      </c>
      <c r="F203" s="35" t="s">
        <v>2128</v>
      </c>
      <c r="J203" s="22">
        <v>1.0</v>
      </c>
    </row>
    <row r="204">
      <c r="A204" s="51" t="s">
        <v>2130</v>
      </c>
      <c r="B204" s="56">
        <v>2.6596308E7</v>
      </c>
      <c r="C204" s="40"/>
      <c r="D204" s="20" t="s">
        <v>2132</v>
      </c>
      <c r="E204" s="22" t="s">
        <v>2133</v>
      </c>
      <c r="F204" s="35" t="s">
        <v>2134</v>
      </c>
      <c r="J204" s="22">
        <v>1.0</v>
      </c>
    </row>
    <row r="205">
      <c r="A205" s="51" t="s">
        <v>2136</v>
      </c>
      <c r="B205" s="56">
        <v>7876652.0</v>
      </c>
      <c r="C205" s="79"/>
      <c r="D205" s="20" t="s">
        <v>2138</v>
      </c>
      <c r="E205" s="39" t="s">
        <v>2140</v>
      </c>
      <c r="F205" s="35" t="s">
        <v>1859</v>
      </c>
      <c r="J205" s="22">
        <v>2.0</v>
      </c>
    </row>
    <row r="206">
      <c r="A206" s="51" t="s">
        <v>2143</v>
      </c>
      <c r="B206" s="56">
        <v>1.0680404E7</v>
      </c>
      <c r="C206" s="79"/>
      <c r="D206" s="20" t="s">
        <v>2145</v>
      </c>
      <c r="E206" s="39" t="s">
        <v>2146</v>
      </c>
      <c r="F206" s="35" t="s">
        <v>2148</v>
      </c>
      <c r="J206" s="22">
        <v>2.0</v>
      </c>
    </row>
    <row r="207">
      <c r="A207" s="51" t="s">
        <v>2150</v>
      </c>
      <c r="B207" s="56">
        <v>5132454.0</v>
      </c>
      <c r="C207" s="79"/>
      <c r="D207" s="20" t="s">
        <v>2152</v>
      </c>
      <c r="E207" s="39" t="s">
        <v>2153</v>
      </c>
      <c r="F207" s="35" t="s">
        <v>1891</v>
      </c>
      <c r="J207" s="22">
        <v>1.0</v>
      </c>
    </row>
    <row r="208">
      <c r="A208" s="51" t="s">
        <v>2155</v>
      </c>
      <c r="B208" s="56">
        <v>3498830.0</v>
      </c>
      <c r="C208" s="79"/>
      <c r="D208" s="20" t="s">
        <v>2157</v>
      </c>
      <c r="E208" s="39" t="s">
        <v>2159</v>
      </c>
      <c r="F208" s="35" t="s">
        <v>2160</v>
      </c>
      <c r="J208" s="22">
        <v>2.0</v>
      </c>
    </row>
    <row r="209">
      <c r="A209" s="51" t="s">
        <v>2163</v>
      </c>
      <c r="B209" s="56">
        <v>7268814.0</v>
      </c>
      <c r="C209" s="79"/>
      <c r="D209" s="20" t="s">
        <v>2167</v>
      </c>
      <c r="E209" s="39" t="s">
        <v>2168</v>
      </c>
      <c r="F209" s="35" t="s">
        <v>2170</v>
      </c>
      <c r="J209" s="22">
        <v>2.0</v>
      </c>
    </row>
    <row r="210">
      <c r="A210" s="51" t="s">
        <v>2173</v>
      </c>
      <c r="B210" s="56">
        <v>1.3562958E7</v>
      </c>
      <c r="C210" s="79"/>
      <c r="D210" s="20" t="s">
        <v>2175</v>
      </c>
      <c r="E210" s="39" t="s">
        <v>2176</v>
      </c>
      <c r="F210" s="35" t="s">
        <v>2178</v>
      </c>
      <c r="J210" s="22">
        <v>2.0</v>
      </c>
    </row>
    <row r="211">
      <c r="A211" s="51" t="s">
        <v>2181</v>
      </c>
      <c r="B211" s="56">
        <v>1.397259E7</v>
      </c>
      <c r="C211" s="79"/>
      <c r="D211" s="20" t="s">
        <v>2183</v>
      </c>
      <c r="E211" s="39" t="s">
        <v>2184</v>
      </c>
      <c r="F211" s="35" t="s">
        <v>2186</v>
      </c>
      <c r="J211" s="22">
        <v>1.0</v>
      </c>
    </row>
    <row r="212">
      <c r="A212" s="51" t="s">
        <v>2188</v>
      </c>
      <c r="B212" s="56">
        <v>2819610.0</v>
      </c>
      <c r="C212" s="79"/>
      <c r="D212" s="20" t="s">
        <v>2190</v>
      </c>
      <c r="E212" s="39" t="s">
        <v>2192</v>
      </c>
      <c r="F212" s="35" t="s">
        <v>1621</v>
      </c>
      <c r="J212" s="22">
        <v>1.0</v>
      </c>
    </row>
    <row r="213">
      <c r="A213" s="51" t="s">
        <v>2196</v>
      </c>
      <c r="B213" s="56">
        <v>708474.0</v>
      </c>
      <c r="C213" s="79"/>
      <c r="D213" s="103" t="s">
        <v>2198</v>
      </c>
      <c r="E213" s="39" t="s">
        <v>2209</v>
      </c>
      <c r="F213" s="35" t="s">
        <v>2210</v>
      </c>
      <c r="J213" s="22">
        <v>1.0</v>
      </c>
    </row>
    <row r="214">
      <c r="A214" s="51" t="s">
        <v>2212</v>
      </c>
      <c r="B214" s="56">
        <v>4401674.0</v>
      </c>
      <c r="C214" s="79"/>
      <c r="D214" s="20" t="s">
        <v>2214</v>
      </c>
      <c r="E214" s="39" t="s">
        <v>2215</v>
      </c>
      <c r="F214" s="35" t="s">
        <v>2217</v>
      </c>
      <c r="J214" s="22">
        <v>1.0</v>
      </c>
    </row>
    <row r="215">
      <c r="A215" s="51" t="s">
        <v>2218</v>
      </c>
      <c r="B215" s="56">
        <v>2555976.0</v>
      </c>
      <c r="C215" s="40"/>
      <c r="D215" s="20" t="s">
        <v>2221</v>
      </c>
      <c r="E215" s="22" t="s">
        <v>2222</v>
      </c>
      <c r="F215" s="35" t="s">
        <v>2160</v>
      </c>
      <c r="J215" s="22">
        <v>123.0</v>
      </c>
    </row>
    <row r="216">
      <c r="A216" s="51" t="s">
        <v>2225</v>
      </c>
      <c r="B216" s="56">
        <v>3163032.0</v>
      </c>
      <c r="C216" s="79"/>
      <c r="D216" s="20" t="s">
        <v>2227</v>
      </c>
      <c r="E216" s="39" t="s">
        <v>2228</v>
      </c>
      <c r="F216" s="35" t="s">
        <v>1621</v>
      </c>
      <c r="J216" s="22">
        <v>123.0</v>
      </c>
    </row>
    <row r="217">
      <c r="A217" s="51" t="s">
        <v>2233</v>
      </c>
      <c r="B217" s="56">
        <v>3123444.0</v>
      </c>
      <c r="C217" s="79"/>
      <c r="D217" s="20" t="s">
        <v>2235</v>
      </c>
      <c r="E217" s="39" t="s">
        <v>2237</v>
      </c>
      <c r="F217" s="35" t="s">
        <v>1621</v>
      </c>
      <c r="J217" s="22">
        <v>123.0</v>
      </c>
    </row>
    <row r="218">
      <c r="A218" s="51" t="s">
        <v>2240</v>
      </c>
      <c r="B218" s="56">
        <v>1.4415508E7</v>
      </c>
      <c r="C218" s="79"/>
      <c r="D218" s="20" t="s">
        <v>2242</v>
      </c>
      <c r="E218" s="39" t="s">
        <v>2244</v>
      </c>
      <c r="F218" s="35" t="s">
        <v>2245</v>
      </c>
      <c r="J218" s="22">
        <v>2.0</v>
      </c>
    </row>
    <row r="219">
      <c r="A219" s="51" t="s">
        <v>2247</v>
      </c>
      <c r="B219" s="56">
        <v>9665112.0</v>
      </c>
      <c r="C219" s="79"/>
      <c r="D219" s="20" t="s">
        <v>2250</v>
      </c>
      <c r="E219" s="39" t="s">
        <v>2251</v>
      </c>
      <c r="F219" s="35" t="s">
        <v>1738</v>
      </c>
      <c r="J219" s="22">
        <v>2.0</v>
      </c>
    </row>
    <row r="220">
      <c r="A220" s="51" t="s">
        <v>2253</v>
      </c>
      <c r="B220" s="56">
        <v>1.1018396E7</v>
      </c>
      <c r="C220" s="79"/>
      <c r="D220" s="20" t="s">
        <v>2256</v>
      </c>
      <c r="E220" s="39" t="s">
        <v>2258</v>
      </c>
      <c r="F220" s="35" t="s">
        <v>2259</v>
      </c>
      <c r="J220" s="22">
        <v>2.0</v>
      </c>
    </row>
    <row r="221">
      <c r="A221" s="51" t="s">
        <v>2262</v>
      </c>
      <c r="B221" s="56">
        <v>1.0450768E7</v>
      </c>
      <c r="C221" s="79"/>
      <c r="D221" s="20" t="s">
        <v>2266</v>
      </c>
      <c r="E221" s="39" t="s">
        <v>2267</v>
      </c>
      <c r="F221" s="35" t="s">
        <v>1991</v>
      </c>
      <c r="J221" s="22">
        <v>2.0</v>
      </c>
    </row>
    <row r="222">
      <c r="A222" s="51" t="s">
        <v>2270</v>
      </c>
      <c r="B222" s="56">
        <v>5786532.0</v>
      </c>
      <c r="C222" s="79"/>
      <c r="D222" s="20" t="s">
        <v>2272</v>
      </c>
      <c r="E222" s="39" t="s">
        <v>2275</v>
      </c>
      <c r="F222" s="35" t="s">
        <v>2128</v>
      </c>
      <c r="J222" s="22">
        <v>2.0</v>
      </c>
    </row>
    <row r="223">
      <c r="A223" s="51" t="s">
        <v>2277</v>
      </c>
      <c r="B223" s="56">
        <v>1.4320904E7</v>
      </c>
      <c r="C223" s="79"/>
      <c r="D223" s="20" t="s">
        <v>2280</v>
      </c>
      <c r="E223" s="39" t="s">
        <v>2282</v>
      </c>
      <c r="F223" s="35" t="s">
        <v>2283</v>
      </c>
      <c r="J223" s="22">
        <v>2.0</v>
      </c>
    </row>
    <row r="224">
      <c r="A224" s="51" t="s">
        <v>2287</v>
      </c>
      <c r="B224" s="56">
        <v>1.7582294E7</v>
      </c>
      <c r="C224" s="79"/>
      <c r="D224" s="20" t="s">
        <v>2291</v>
      </c>
      <c r="E224" s="39" t="s">
        <v>2292</v>
      </c>
      <c r="F224" s="35" t="s">
        <v>2294</v>
      </c>
      <c r="J224" s="22">
        <v>2.0</v>
      </c>
    </row>
    <row r="225">
      <c r="A225" s="51" t="s">
        <v>2296</v>
      </c>
      <c r="B225" s="56">
        <v>736286.0</v>
      </c>
      <c r="C225" s="79"/>
      <c r="D225" s="20" t="s">
        <v>2299</v>
      </c>
      <c r="E225" s="101" t="s">
        <v>2301</v>
      </c>
      <c r="F225" s="35" t="s">
        <v>2210</v>
      </c>
      <c r="J225" s="22">
        <v>23.0</v>
      </c>
    </row>
    <row r="226">
      <c r="A226" s="51" t="s">
        <v>2305</v>
      </c>
      <c r="B226" s="56">
        <v>4022946.0</v>
      </c>
      <c r="C226" s="79"/>
      <c r="D226" s="20" t="s">
        <v>2307</v>
      </c>
      <c r="E226" s="39" t="s">
        <v>2309</v>
      </c>
      <c r="F226" s="35" t="s">
        <v>1621</v>
      </c>
      <c r="J226" s="22">
        <v>2.0</v>
      </c>
    </row>
    <row r="227">
      <c r="A227" s="51" t="s">
        <v>2311</v>
      </c>
      <c r="B227" s="56">
        <v>3719914.0</v>
      </c>
      <c r="C227" s="79"/>
      <c r="D227" s="20" t="s">
        <v>2315</v>
      </c>
      <c r="E227" s="39" t="s">
        <v>2316</v>
      </c>
      <c r="F227" s="35" t="s">
        <v>1621</v>
      </c>
      <c r="J227" s="22">
        <v>2.0</v>
      </c>
    </row>
    <row r="228">
      <c r="A228" s="51" t="s">
        <v>2318</v>
      </c>
      <c r="B228" s="56">
        <v>7168898.0</v>
      </c>
      <c r="C228" s="79"/>
      <c r="D228" s="20" t="s">
        <v>2320</v>
      </c>
      <c r="E228" s="39" t="s">
        <v>2322</v>
      </c>
      <c r="F228" s="35" t="s">
        <v>1891</v>
      </c>
      <c r="J228" s="22">
        <v>2.0</v>
      </c>
    </row>
  </sheetData>
  <mergeCells count="2">
    <mergeCell ref="A2:F2"/>
    <mergeCell ref="A3:F3"/>
  </mergeCells>
  <hyperlinks>
    <hyperlink r:id="rId1" ref="F14"/>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7.14"/>
    <col customWidth="1" min="2" max="2" width="17.29"/>
    <col customWidth="1" min="3" max="3" width="12.14"/>
    <col customWidth="1" min="4" max="4" width="51.71"/>
    <col customWidth="1" min="5" max="5" width="19.86"/>
    <col customWidth="1" min="6" max="6" width="12.71"/>
    <col customWidth="1" min="7" max="7" width="32.0"/>
    <col customWidth="1" min="8" max="8" width="15.86"/>
    <col customWidth="1" min="9" max="9" width="4.86"/>
    <col customWidth="1" min="10" max="10" width="3.29"/>
    <col customWidth="1" min="11" max="11" width="14.29"/>
  </cols>
  <sheetData>
    <row r="1">
      <c r="A1" s="4" t="s">
        <v>2</v>
      </c>
      <c r="B1" s="1" t="s">
        <v>0</v>
      </c>
      <c r="C1" s="6" t="s">
        <v>8</v>
      </c>
      <c r="D1" s="2" t="s">
        <v>5</v>
      </c>
      <c r="E1" s="2" t="s">
        <v>11</v>
      </c>
      <c r="F1" s="2" t="s">
        <v>12</v>
      </c>
      <c r="G1" s="2" t="s">
        <v>7</v>
      </c>
      <c r="H1" s="2" t="s">
        <v>13</v>
      </c>
      <c r="I1" s="8"/>
      <c r="J1" s="8"/>
      <c r="K1" s="10" t="s">
        <v>9</v>
      </c>
    </row>
    <row r="2">
      <c r="A2" s="12"/>
      <c r="B2" s="12"/>
      <c r="C2" s="14"/>
      <c r="D2" s="12"/>
      <c r="E2" s="12"/>
      <c r="F2" s="16"/>
      <c r="G2" s="16"/>
      <c r="H2" s="12"/>
      <c r="I2" s="12"/>
      <c r="J2" s="12"/>
      <c r="K2" s="19"/>
    </row>
    <row r="3">
      <c r="A3" s="21"/>
      <c r="B3" s="23" t="s">
        <v>17</v>
      </c>
      <c r="C3" s="24">
        <v>1435597.0</v>
      </c>
      <c r="D3" s="26" t="s">
        <v>25</v>
      </c>
      <c r="E3" s="34"/>
      <c r="F3" s="36" t="s">
        <v>59</v>
      </c>
      <c r="G3" s="36" t="s">
        <v>61</v>
      </c>
      <c r="H3" s="34"/>
      <c r="I3" s="34"/>
      <c r="J3" s="34"/>
      <c r="K3" s="38"/>
    </row>
    <row r="4">
      <c r="A4" s="40"/>
      <c r="B4" s="33" t="s">
        <v>63</v>
      </c>
      <c r="C4" s="42">
        <v>6.23264E7</v>
      </c>
      <c r="D4" s="44" t="s">
        <v>71</v>
      </c>
      <c r="E4" s="22" t="s">
        <v>85</v>
      </c>
      <c r="F4" s="46" t="s">
        <v>59</v>
      </c>
      <c r="G4" s="46" t="s">
        <v>121</v>
      </c>
      <c r="K4" s="43"/>
    </row>
    <row r="5" ht="22.5" customHeight="1">
      <c r="A5" s="21"/>
      <c r="B5" s="33" t="s">
        <v>127</v>
      </c>
      <c r="C5" s="42">
        <v>4622922.0</v>
      </c>
      <c r="D5" s="33" t="s">
        <v>131</v>
      </c>
      <c r="F5" s="46" t="s">
        <v>59</v>
      </c>
      <c r="G5" s="46" t="s">
        <v>134</v>
      </c>
      <c r="K5" s="43"/>
    </row>
    <row r="6">
      <c r="A6" s="21"/>
      <c r="B6" s="33" t="s">
        <v>137</v>
      </c>
      <c r="C6" s="42">
        <v>1151709.0</v>
      </c>
      <c r="D6" s="33" t="s">
        <v>139</v>
      </c>
      <c r="F6" s="46" t="s">
        <v>59</v>
      </c>
      <c r="G6" s="46" t="s">
        <v>142</v>
      </c>
      <c r="K6" s="43"/>
    </row>
    <row r="7" ht="22.5" customHeight="1">
      <c r="A7" s="21"/>
      <c r="B7" s="33" t="s">
        <v>145</v>
      </c>
      <c r="C7" s="42">
        <v>3471555.0</v>
      </c>
      <c r="D7" s="33" t="s">
        <v>147</v>
      </c>
      <c r="F7" s="46" t="s">
        <v>59</v>
      </c>
      <c r="G7" s="46" t="s">
        <v>148</v>
      </c>
      <c r="K7" s="43"/>
    </row>
    <row r="8" ht="22.5" customHeight="1">
      <c r="A8" s="21"/>
      <c r="B8" s="33" t="s">
        <v>149</v>
      </c>
      <c r="C8" s="42">
        <v>448000.0</v>
      </c>
      <c r="D8" s="33" t="s">
        <v>150</v>
      </c>
      <c r="F8" s="46" t="s">
        <v>59</v>
      </c>
      <c r="G8" s="46" t="s">
        <v>151</v>
      </c>
      <c r="K8" s="43"/>
    </row>
    <row r="9">
      <c r="A9" s="21"/>
      <c r="B9" s="33" t="s">
        <v>152</v>
      </c>
      <c r="C9" s="42">
        <v>4.898986E7</v>
      </c>
      <c r="D9" s="33" t="s">
        <v>153</v>
      </c>
      <c r="F9" s="46" t="s">
        <v>59</v>
      </c>
      <c r="G9" s="46" t="s">
        <v>154</v>
      </c>
      <c r="K9" s="43"/>
    </row>
    <row r="10" ht="22.5" customHeight="1">
      <c r="A10" s="21"/>
      <c r="B10" s="33" t="s">
        <v>155</v>
      </c>
      <c r="C10" s="42">
        <v>3009458.0</v>
      </c>
      <c r="D10" s="33" t="s">
        <v>156</v>
      </c>
      <c r="F10" s="46" t="s">
        <v>59</v>
      </c>
      <c r="G10" s="46" t="s">
        <v>157</v>
      </c>
      <c r="K10" s="43"/>
    </row>
    <row r="11" ht="22.5" customHeight="1">
      <c r="A11" s="21"/>
      <c r="B11" s="33" t="s">
        <v>158</v>
      </c>
      <c r="C11" s="42">
        <v>1.27963958E8</v>
      </c>
      <c r="D11" s="49" t="s">
        <v>159</v>
      </c>
      <c r="F11" s="46" t="s">
        <v>59</v>
      </c>
      <c r="G11" s="46" t="s">
        <v>163</v>
      </c>
      <c r="K11" s="43"/>
    </row>
    <row r="12" ht="22.5" customHeight="1">
      <c r="A12" s="21"/>
      <c r="B12" s="33" t="s">
        <v>164</v>
      </c>
      <c r="C12" s="42">
        <v>2744735.0</v>
      </c>
      <c r="D12" s="33" t="s">
        <v>165</v>
      </c>
      <c r="F12" s="46" t="s">
        <v>59</v>
      </c>
      <c r="G12" s="46" t="s">
        <v>166</v>
      </c>
      <c r="K12" s="43"/>
    </row>
    <row r="13">
      <c r="A13" s="21"/>
      <c r="B13" s="33" t="s">
        <v>167</v>
      </c>
      <c r="C13" s="42">
        <v>5.1094486E7</v>
      </c>
      <c r="D13" s="49" t="s">
        <v>168</v>
      </c>
      <c r="F13" s="46" t="s">
        <v>59</v>
      </c>
      <c r="G13" s="46" t="s">
        <v>169</v>
      </c>
      <c r="K13" s="43"/>
    </row>
    <row r="14" ht="22.5" customHeight="1">
      <c r="A14" s="21"/>
      <c r="B14" s="33" t="s">
        <v>170</v>
      </c>
      <c r="C14" s="42">
        <v>1705214.0</v>
      </c>
      <c r="D14" s="52" t="s">
        <v>178</v>
      </c>
      <c r="F14" s="46" t="s">
        <v>59</v>
      </c>
      <c r="G14" s="46" t="s">
        <v>193</v>
      </c>
      <c r="K14" s="43"/>
    </row>
    <row r="15">
      <c r="A15" s="21"/>
      <c r="B15" s="33" t="s">
        <v>197</v>
      </c>
      <c r="C15" s="42">
        <v>1383992.0</v>
      </c>
      <c r="D15" s="20" t="s">
        <v>25</v>
      </c>
      <c r="F15" s="46" t="s">
        <v>59</v>
      </c>
      <c r="G15" s="35" t="s">
        <v>202</v>
      </c>
      <c r="K15" s="43"/>
    </row>
    <row r="16" ht="22.5" customHeight="1">
      <c r="A16" s="55"/>
      <c r="B16" s="33" t="s">
        <v>218</v>
      </c>
      <c r="C16" s="42">
        <v>2274727.0</v>
      </c>
      <c r="D16" s="31"/>
      <c r="F16" s="46" t="s">
        <v>59</v>
      </c>
      <c r="G16" s="46" t="s">
        <v>225</v>
      </c>
      <c r="K16" s="43"/>
    </row>
    <row r="17" ht="25.5" customHeight="1">
      <c r="A17" s="21"/>
      <c r="B17" s="33" t="s">
        <v>228</v>
      </c>
      <c r="C17" s="42">
        <v>1670640.0</v>
      </c>
      <c r="D17" s="33" t="s">
        <v>231</v>
      </c>
      <c r="F17" s="46" t="s">
        <v>59</v>
      </c>
      <c r="G17" s="46" t="s">
        <v>234</v>
      </c>
      <c r="K17" s="43"/>
    </row>
    <row r="18" ht="22.5" customHeight="1">
      <c r="A18" s="21"/>
      <c r="B18" s="33" t="s">
        <v>239</v>
      </c>
      <c r="C18" s="42">
        <v>666982.0</v>
      </c>
      <c r="D18" s="33" t="s">
        <v>241</v>
      </c>
      <c r="F18" s="46" t="s">
        <v>59</v>
      </c>
      <c r="G18" s="46" t="s">
        <v>243</v>
      </c>
      <c r="K18" s="43"/>
    </row>
    <row r="19" ht="22.5" customHeight="1">
      <c r="A19" s="21"/>
      <c r="B19" s="33" t="s">
        <v>246</v>
      </c>
      <c r="C19" s="42">
        <v>3115485.0</v>
      </c>
      <c r="D19" s="33" t="s">
        <v>248</v>
      </c>
      <c r="F19" s="46" t="s">
        <v>59</v>
      </c>
      <c r="G19" s="46" t="s">
        <v>251</v>
      </c>
      <c r="K19" s="43"/>
    </row>
    <row r="20">
      <c r="A20" s="21"/>
      <c r="B20" s="33" t="s">
        <v>254</v>
      </c>
      <c r="C20" s="42">
        <v>1658851.0</v>
      </c>
      <c r="D20" s="20" t="s">
        <v>25</v>
      </c>
      <c r="F20" s="46" t="s">
        <v>59</v>
      </c>
      <c r="G20" s="46" t="s">
        <v>257</v>
      </c>
      <c r="K20" s="43"/>
    </row>
    <row r="21">
      <c r="A21" s="21"/>
      <c r="B21" s="57" t="s">
        <v>261</v>
      </c>
      <c r="C21" s="58">
        <v>1648035.0</v>
      </c>
      <c r="D21" s="60" t="s">
        <v>25</v>
      </c>
      <c r="E21" s="19"/>
      <c r="F21" s="61" t="s">
        <v>59</v>
      </c>
      <c r="G21" s="63" t="s">
        <v>319</v>
      </c>
      <c r="H21" s="19"/>
      <c r="I21" s="19"/>
      <c r="J21" s="19"/>
      <c r="K21" s="64"/>
    </row>
    <row r="22">
      <c r="A22" s="12"/>
      <c r="B22" s="12"/>
      <c r="C22" s="65"/>
      <c r="D22" s="34"/>
      <c r="E22" s="34"/>
      <c r="F22" s="67"/>
      <c r="G22" s="67"/>
      <c r="H22" s="34"/>
      <c r="I22" s="34"/>
      <c r="J22" s="34"/>
      <c r="K22" s="34"/>
    </row>
    <row r="23">
      <c r="A23" s="68"/>
      <c r="B23" s="69" t="s">
        <v>17</v>
      </c>
      <c r="C23" s="70"/>
      <c r="D23" s="19"/>
      <c r="E23" s="19"/>
      <c r="F23" s="71"/>
      <c r="G23" s="71"/>
      <c r="H23" s="19"/>
      <c r="I23" s="19"/>
      <c r="J23" s="19"/>
      <c r="K23" s="19"/>
    </row>
    <row r="24">
      <c r="A24" s="40"/>
      <c r="B24" s="23" t="s">
        <v>461</v>
      </c>
      <c r="C24" s="24">
        <v>33847.0</v>
      </c>
      <c r="D24" s="23" t="s">
        <v>464</v>
      </c>
      <c r="E24" s="34"/>
      <c r="F24" s="36" t="s">
        <v>465</v>
      </c>
      <c r="G24" s="67"/>
      <c r="H24" s="34"/>
      <c r="I24" s="34"/>
      <c r="J24" s="34"/>
      <c r="K24" s="38"/>
    </row>
    <row r="25">
      <c r="A25" s="40"/>
      <c r="B25" s="33" t="s">
        <v>471</v>
      </c>
      <c r="C25" s="42">
        <v>18770.0</v>
      </c>
      <c r="D25" s="33" t="s">
        <v>472</v>
      </c>
      <c r="E25" s="74"/>
      <c r="F25" s="46" t="s">
        <v>465</v>
      </c>
      <c r="G25" s="75"/>
      <c r="H25" s="74"/>
      <c r="K25" s="43"/>
    </row>
    <row r="26">
      <c r="A26" s="40"/>
      <c r="B26" s="33" t="s">
        <v>493</v>
      </c>
      <c r="C26" s="42">
        <v>9199.0</v>
      </c>
      <c r="D26" s="33" t="s">
        <v>496</v>
      </c>
      <c r="E26" s="74"/>
      <c r="F26" s="46" t="s">
        <v>465</v>
      </c>
      <c r="G26" s="75"/>
      <c r="H26" s="74"/>
      <c r="K26" s="43"/>
    </row>
    <row r="27">
      <c r="A27" s="40"/>
      <c r="B27" s="33" t="s">
        <v>499</v>
      </c>
      <c r="C27" s="42">
        <v>9165.0</v>
      </c>
      <c r="D27" s="33" t="s">
        <v>503</v>
      </c>
      <c r="E27" s="74"/>
      <c r="F27" s="46" t="s">
        <v>465</v>
      </c>
      <c r="G27" s="75"/>
      <c r="H27" s="74"/>
      <c r="K27" s="43"/>
    </row>
    <row r="28">
      <c r="A28" s="40"/>
      <c r="B28" s="33" t="s">
        <v>508</v>
      </c>
      <c r="C28" s="42">
        <v>23919.0</v>
      </c>
      <c r="D28" s="33" t="s">
        <v>511</v>
      </c>
      <c r="E28" s="74"/>
      <c r="F28" s="46" t="s">
        <v>465</v>
      </c>
      <c r="G28" s="75"/>
      <c r="H28" s="74"/>
      <c r="K28" s="43"/>
    </row>
    <row r="29">
      <c r="A29" s="40"/>
      <c r="B29" s="33" t="s">
        <v>513</v>
      </c>
      <c r="C29" s="42">
        <v>10471.0</v>
      </c>
      <c r="D29" s="33" t="s">
        <v>516</v>
      </c>
      <c r="E29" s="74"/>
      <c r="F29" s="46" t="s">
        <v>465</v>
      </c>
      <c r="G29" s="75"/>
      <c r="H29" s="74"/>
      <c r="K29" s="43"/>
    </row>
    <row r="30">
      <c r="A30" s="40"/>
      <c r="B30" s="33" t="s">
        <v>521</v>
      </c>
      <c r="C30" s="42">
        <v>9824.0</v>
      </c>
      <c r="D30" s="33" t="s">
        <v>523</v>
      </c>
      <c r="E30" s="74"/>
      <c r="F30" s="46" t="s">
        <v>465</v>
      </c>
      <c r="G30" s="75"/>
      <c r="H30" s="74"/>
      <c r="K30" s="43"/>
    </row>
    <row r="31">
      <c r="A31" s="40"/>
      <c r="B31" s="33" t="s">
        <v>529</v>
      </c>
      <c r="C31" s="42">
        <v>6020.0</v>
      </c>
      <c r="D31" s="33" t="s">
        <v>532</v>
      </c>
      <c r="E31" s="74"/>
      <c r="F31" s="46" t="s">
        <v>465</v>
      </c>
      <c r="G31" s="75"/>
      <c r="H31" s="74"/>
      <c r="K31" s="43"/>
    </row>
    <row r="32">
      <c r="A32" s="79"/>
      <c r="B32" s="33" t="s">
        <v>579</v>
      </c>
      <c r="C32" s="42">
        <v>5599.0</v>
      </c>
      <c r="D32" s="33" t="s">
        <v>581</v>
      </c>
      <c r="E32" s="74"/>
      <c r="F32" s="46" t="s">
        <v>465</v>
      </c>
      <c r="G32" s="46" t="s">
        <v>585</v>
      </c>
      <c r="H32" s="74"/>
      <c r="K32" s="43"/>
    </row>
    <row r="33">
      <c r="A33" s="40"/>
      <c r="B33" s="33" t="s">
        <v>589</v>
      </c>
      <c r="C33" s="42">
        <v>12246.0</v>
      </c>
      <c r="D33" s="33" t="s">
        <v>591</v>
      </c>
      <c r="E33" s="74"/>
      <c r="F33" s="46" t="s">
        <v>465</v>
      </c>
      <c r="G33" s="46" t="s">
        <v>594</v>
      </c>
      <c r="H33" s="74"/>
      <c r="K33" s="43"/>
    </row>
    <row r="34">
      <c r="A34" s="82"/>
      <c r="B34" s="33" t="s">
        <v>635</v>
      </c>
      <c r="C34" s="42">
        <v>11756.0</v>
      </c>
      <c r="D34" s="33" t="s">
        <v>638</v>
      </c>
      <c r="E34" s="74"/>
      <c r="F34" s="46" t="s">
        <v>465</v>
      </c>
      <c r="G34" s="75"/>
      <c r="H34" s="74"/>
      <c r="K34" s="43"/>
    </row>
    <row r="35">
      <c r="A35" s="40"/>
      <c r="B35" s="33" t="s">
        <v>645</v>
      </c>
      <c r="C35" s="42">
        <v>35531.0</v>
      </c>
      <c r="D35" s="33" t="s">
        <v>649</v>
      </c>
      <c r="E35" s="74"/>
      <c r="F35" s="46" t="s">
        <v>465</v>
      </c>
      <c r="G35" s="75"/>
      <c r="H35" s="74"/>
      <c r="K35" s="43"/>
    </row>
    <row r="36">
      <c r="A36" s="40"/>
      <c r="B36" s="33" t="s">
        <v>656</v>
      </c>
      <c r="C36" s="42">
        <v>31814.0</v>
      </c>
      <c r="D36" s="33" t="s">
        <v>659</v>
      </c>
      <c r="E36" s="74"/>
      <c r="F36" s="46" t="s">
        <v>465</v>
      </c>
      <c r="G36" s="75"/>
      <c r="H36" s="74"/>
      <c r="K36" s="43"/>
    </row>
    <row r="37">
      <c r="A37" s="40"/>
      <c r="B37" s="33" t="s">
        <v>666</v>
      </c>
      <c r="C37" s="42">
        <v>24535.0</v>
      </c>
      <c r="D37" s="33" t="s">
        <v>669</v>
      </c>
      <c r="E37" s="74"/>
      <c r="F37" s="46" t="s">
        <v>465</v>
      </c>
      <c r="G37" s="75"/>
      <c r="H37" s="74"/>
      <c r="K37" s="43"/>
    </row>
    <row r="38">
      <c r="A38" s="40"/>
      <c r="B38" s="33" t="s">
        <v>675</v>
      </c>
      <c r="C38" s="42">
        <v>19063.0</v>
      </c>
      <c r="D38" s="33" t="s">
        <v>677</v>
      </c>
      <c r="E38" s="74"/>
      <c r="F38" s="46" t="s">
        <v>465</v>
      </c>
      <c r="G38" s="75"/>
      <c r="H38" s="74"/>
      <c r="K38" s="43"/>
    </row>
    <row r="39">
      <c r="A39" s="82"/>
      <c r="B39" s="33" t="s">
        <v>682</v>
      </c>
      <c r="C39" s="42">
        <v>366.0</v>
      </c>
      <c r="D39" s="33" t="s">
        <v>684</v>
      </c>
      <c r="E39" s="74"/>
      <c r="F39" s="46" t="s">
        <v>465</v>
      </c>
      <c r="G39" s="75"/>
      <c r="H39" s="74"/>
      <c r="K39" s="43"/>
    </row>
    <row r="40">
      <c r="A40" s="84"/>
      <c r="B40" s="33" t="s">
        <v>704</v>
      </c>
      <c r="C40" s="42">
        <v>4878.0</v>
      </c>
      <c r="D40" s="31"/>
      <c r="E40" s="74"/>
      <c r="F40" s="46" t="s">
        <v>465</v>
      </c>
      <c r="G40" s="46" t="s">
        <v>705</v>
      </c>
      <c r="H40" s="74"/>
      <c r="K40" s="43"/>
    </row>
    <row r="41">
      <c r="A41" s="40"/>
      <c r="B41" s="33" t="s">
        <v>706</v>
      </c>
      <c r="C41" s="42">
        <v>16976.0</v>
      </c>
      <c r="D41" s="33" t="s">
        <v>707</v>
      </c>
      <c r="E41" s="74"/>
      <c r="F41" s="46" t="s">
        <v>465</v>
      </c>
      <c r="G41" s="75"/>
      <c r="H41" s="74"/>
      <c r="K41" s="43"/>
    </row>
    <row r="42">
      <c r="A42" s="40"/>
      <c r="B42" s="33" t="s">
        <v>708</v>
      </c>
      <c r="C42" s="42">
        <v>5440.0</v>
      </c>
      <c r="D42" s="33" t="s">
        <v>709</v>
      </c>
      <c r="E42" s="74"/>
      <c r="F42" s="46" t="s">
        <v>465</v>
      </c>
      <c r="G42" s="75"/>
      <c r="H42" s="74"/>
      <c r="K42" s="43"/>
    </row>
    <row r="43">
      <c r="A43" s="40"/>
      <c r="B43" s="33" t="s">
        <v>710</v>
      </c>
      <c r="C43" s="42">
        <v>5078.0</v>
      </c>
      <c r="D43" s="33" t="s">
        <v>711</v>
      </c>
      <c r="E43" s="74"/>
      <c r="F43" s="46" t="s">
        <v>465</v>
      </c>
      <c r="G43" s="75"/>
      <c r="H43" s="74"/>
      <c r="K43" s="43"/>
    </row>
    <row r="44">
      <c r="A44" s="40"/>
      <c r="B44" s="33" t="s">
        <v>712</v>
      </c>
      <c r="C44" s="42">
        <v>11588.0</v>
      </c>
      <c r="D44" s="33" t="s">
        <v>714</v>
      </c>
      <c r="E44" s="74"/>
      <c r="F44" s="46" t="s">
        <v>465</v>
      </c>
      <c r="G44" s="75"/>
      <c r="H44" s="74"/>
      <c r="K44" s="43"/>
    </row>
    <row r="45">
      <c r="A45" s="40"/>
      <c r="B45" s="33" t="s">
        <v>719</v>
      </c>
      <c r="C45" s="42">
        <v>3764.0</v>
      </c>
      <c r="D45" s="33" t="s">
        <v>724</v>
      </c>
      <c r="E45" s="74"/>
      <c r="F45" s="46" t="s">
        <v>465</v>
      </c>
      <c r="G45" s="75"/>
      <c r="H45" s="74"/>
      <c r="K45" s="43"/>
    </row>
    <row r="46">
      <c r="A46" s="40"/>
      <c r="B46" s="33" t="s">
        <v>730</v>
      </c>
      <c r="C46" s="42">
        <v>1379.0</v>
      </c>
      <c r="D46" s="33" t="s">
        <v>734</v>
      </c>
      <c r="E46" s="74"/>
      <c r="F46" s="46" t="s">
        <v>465</v>
      </c>
      <c r="G46" s="75"/>
      <c r="H46" s="74"/>
      <c r="K46" s="43"/>
    </row>
    <row r="47">
      <c r="A47" s="40"/>
      <c r="B47" s="33" t="s">
        <v>740</v>
      </c>
      <c r="C47" s="42">
        <v>8514.0</v>
      </c>
      <c r="D47" s="33" t="s">
        <v>741</v>
      </c>
      <c r="E47" s="74"/>
      <c r="F47" s="46" t="s">
        <v>465</v>
      </c>
      <c r="G47" s="75"/>
      <c r="H47" s="74"/>
      <c r="K47" s="43"/>
    </row>
    <row r="48">
      <c r="A48" s="40"/>
      <c r="B48" s="33" t="s">
        <v>746</v>
      </c>
      <c r="C48" s="42">
        <v>9340.0</v>
      </c>
      <c r="D48" s="33" t="s">
        <v>748</v>
      </c>
      <c r="E48" s="74"/>
      <c r="F48" s="46" t="s">
        <v>465</v>
      </c>
      <c r="G48" s="75"/>
      <c r="H48" s="74"/>
      <c r="K48" s="43"/>
    </row>
    <row r="49">
      <c r="A49" s="40"/>
      <c r="B49" s="33" t="s">
        <v>754</v>
      </c>
      <c r="C49" s="42">
        <v>27181.0</v>
      </c>
      <c r="D49" s="33" t="s">
        <v>756</v>
      </c>
      <c r="E49" s="74"/>
      <c r="F49" s="46" t="s">
        <v>465</v>
      </c>
      <c r="G49" s="75"/>
      <c r="H49" s="74"/>
      <c r="K49" s="43"/>
    </row>
    <row r="50">
      <c r="A50" s="40"/>
      <c r="B50" s="33" t="s">
        <v>760</v>
      </c>
      <c r="C50" s="42">
        <v>8808.0</v>
      </c>
      <c r="D50" s="33" t="s">
        <v>763</v>
      </c>
      <c r="E50" s="74"/>
      <c r="F50" s="46" t="s">
        <v>465</v>
      </c>
      <c r="G50" s="75"/>
      <c r="H50" s="74"/>
      <c r="K50" s="43"/>
    </row>
    <row r="51">
      <c r="A51" s="40"/>
      <c r="B51" s="33" t="s">
        <v>769</v>
      </c>
      <c r="C51" s="42">
        <v>11653.0</v>
      </c>
      <c r="D51" s="33" t="s">
        <v>772</v>
      </c>
      <c r="E51" s="74"/>
      <c r="F51" s="46" t="s">
        <v>465</v>
      </c>
      <c r="G51" s="75"/>
      <c r="H51" s="74"/>
      <c r="K51" s="43"/>
    </row>
    <row r="52">
      <c r="A52" s="40"/>
      <c r="B52" s="33" t="s">
        <v>776</v>
      </c>
      <c r="C52" s="42">
        <v>23858.0</v>
      </c>
      <c r="D52" s="33" t="s">
        <v>779</v>
      </c>
      <c r="E52" s="74"/>
      <c r="F52" s="46" t="s">
        <v>465</v>
      </c>
      <c r="G52" s="75"/>
      <c r="H52" s="74"/>
      <c r="K52" s="43"/>
    </row>
    <row r="53">
      <c r="A53" s="40"/>
      <c r="B53" s="33" t="s">
        <v>781</v>
      </c>
      <c r="C53" s="42">
        <v>9992.0</v>
      </c>
      <c r="D53" s="33" t="s">
        <v>783</v>
      </c>
      <c r="E53" s="74"/>
      <c r="F53" s="46" t="s">
        <v>465</v>
      </c>
      <c r="G53" s="75"/>
      <c r="H53" s="74"/>
      <c r="K53" s="43"/>
    </row>
    <row r="54">
      <c r="A54" s="79"/>
      <c r="B54" s="33" t="s">
        <v>786</v>
      </c>
      <c r="C54" s="42">
        <v>892.0</v>
      </c>
      <c r="D54" s="33" t="s">
        <v>788</v>
      </c>
      <c r="E54" s="74"/>
      <c r="F54" s="46" t="s">
        <v>465</v>
      </c>
      <c r="G54" s="46" t="s">
        <v>791</v>
      </c>
      <c r="H54" s="74"/>
      <c r="K54" s="43"/>
    </row>
    <row r="55">
      <c r="A55" s="40"/>
      <c r="B55" s="33" t="s">
        <v>793</v>
      </c>
      <c r="C55" s="42">
        <v>16690.0</v>
      </c>
      <c r="D55" s="33" t="s">
        <v>796</v>
      </c>
      <c r="E55" s="74"/>
      <c r="F55" s="46" t="s">
        <v>465</v>
      </c>
      <c r="G55" s="75"/>
      <c r="H55" s="74"/>
      <c r="K55" s="43"/>
    </row>
    <row r="56">
      <c r="A56" s="40"/>
      <c r="B56" s="33" t="s">
        <v>803</v>
      </c>
      <c r="C56" s="42">
        <v>67361.0</v>
      </c>
      <c r="D56" s="33" t="s">
        <v>805</v>
      </c>
      <c r="E56" s="74"/>
      <c r="F56" s="46" t="s">
        <v>465</v>
      </c>
      <c r="G56" s="75"/>
      <c r="H56" s="74"/>
      <c r="K56" s="43"/>
    </row>
    <row r="57">
      <c r="A57" s="40"/>
      <c r="B57" s="33" t="s">
        <v>806</v>
      </c>
      <c r="C57" s="42">
        <v>4394.0</v>
      </c>
      <c r="D57" s="33" t="s">
        <v>809</v>
      </c>
      <c r="E57" s="74"/>
      <c r="F57" s="46" t="s">
        <v>465</v>
      </c>
      <c r="G57" s="75"/>
      <c r="H57" s="74"/>
      <c r="K57" s="43"/>
    </row>
    <row r="58">
      <c r="A58" s="40"/>
      <c r="B58" s="33" t="s">
        <v>811</v>
      </c>
      <c r="C58" s="42">
        <v>19931.0</v>
      </c>
      <c r="D58" s="33" t="s">
        <v>813</v>
      </c>
      <c r="E58" s="74"/>
      <c r="F58" s="46" t="s">
        <v>465</v>
      </c>
      <c r="G58" s="75"/>
      <c r="H58" s="74"/>
      <c r="K58" s="43"/>
    </row>
    <row r="59">
      <c r="A59" s="40"/>
      <c r="B59" s="33" t="s">
        <v>819</v>
      </c>
      <c r="C59" s="42">
        <v>2093.0</v>
      </c>
      <c r="D59" s="33" t="s">
        <v>821</v>
      </c>
      <c r="E59" s="74"/>
      <c r="F59" s="46" t="s">
        <v>465</v>
      </c>
      <c r="G59" s="75"/>
      <c r="H59" s="74"/>
      <c r="K59" s="43"/>
    </row>
    <row r="60">
      <c r="A60" s="40"/>
      <c r="B60" s="33" t="s">
        <v>824</v>
      </c>
      <c r="C60" s="42">
        <v>13389.0</v>
      </c>
      <c r="D60" s="33" t="s">
        <v>826</v>
      </c>
      <c r="E60" s="74"/>
      <c r="F60" s="46" t="s">
        <v>465</v>
      </c>
      <c r="G60" s="75"/>
      <c r="H60" s="74"/>
      <c r="K60" s="43"/>
    </row>
    <row r="61">
      <c r="A61" s="40"/>
      <c r="B61" s="33" t="s">
        <v>831</v>
      </c>
      <c r="C61" s="42">
        <v>4359.0</v>
      </c>
      <c r="D61" s="33" t="s">
        <v>833</v>
      </c>
      <c r="E61" s="74"/>
      <c r="F61" s="46" t="s">
        <v>465</v>
      </c>
      <c r="G61" s="75"/>
      <c r="H61" s="74"/>
      <c r="K61" s="43"/>
    </row>
    <row r="62">
      <c r="A62" s="79"/>
      <c r="B62" s="33" t="s">
        <v>837</v>
      </c>
      <c r="C62" s="42">
        <v>17546.0</v>
      </c>
      <c r="D62" s="33" t="s">
        <v>838</v>
      </c>
      <c r="E62" s="74"/>
      <c r="F62" s="46" t="s">
        <v>465</v>
      </c>
      <c r="G62" s="75"/>
      <c r="H62" s="74"/>
      <c r="K62" s="43"/>
    </row>
    <row r="63">
      <c r="A63" s="40"/>
      <c r="B63" s="33" t="s">
        <v>843</v>
      </c>
      <c r="C63" s="42">
        <v>11835.0</v>
      </c>
      <c r="D63" s="33" t="s">
        <v>844</v>
      </c>
      <c r="E63" s="74"/>
      <c r="F63" s="46" t="s">
        <v>465</v>
      </c>
      <c r="G63" s="75"/>
      <c r="H63" s="74"/>
      <c r="K63" s="43"/>
    </row>
    <row r="64">
      <c r="A64" s="40"/>
      <c r="B64" s="33" t="s">
        <v>849</v>
      </c>
      <c r="C64" s="42">
        <v>20729.0</v>
      </c>
      <c r="D64" s="33" t="s">
        <v>852</v>
      </c>
      <c r="E64" s="74"/>
      <c r="F64" s="46" t="s">
        <v>465</v>
      </c>
      <c r="G64" s="75"/>
      <c r="H64" s="74"/>
      <c r="K64" s="43"/>
    </row>
    <row r="65">
      <c r="A65" s="40"/>
      <c r="B65" s="33" t="s">
        <v>856</v>
      </c>
      <c r="C65" s="42">
        <v>5009.0</v>
      </c>
      <c r="D65" s="33" t="s">
        <v>857</v>
      </c>
      <c r="E65" s="74"/>
      <c r="F65" s="46" t="s">
        <v>465</v>
      </c>
      <c r="G65" s="75"/>
      <c r="H65" s="74"/>
      <c r="K65" s="43"/>
    </row>
    <row r="66">
      <c r="A66" s="40"/>
      <c r="B66" s="33" t="s">
        <v>862</v>
      </c>
      <c r="C66" s="42">
        <v>9970.0</v>
      </c>
      <c r="D66" s="33" t="s">
        <v>865</v>
      </c>
      <c r="E66" s="74"/>
      <c r="F66" s="46" t="s">
        <v>465</v>
      </c>
      <c r="G66" s="75"/>
      <c r="H66" s="74"/>
      <c r="K66" s="43"/>
    </row>
    <row r="67">
      <c r="A67" s="40"/>
      <c r="B67" s="33" t="s">
        <v>870</v>
      </c>
      <c r="C67" s="42">
        <v>15577.0</v>
      </c>
      <c r="D67" s="33" t="s">
        <v>873</v>
      </c>
      <c r="E67" s="74"/>
      <c r="F67" s="46" t="s">
        <v>465</v>
      </c>
      <c r="G67" s="75"/>
      <c r="H67" s="74"/>
      <c r="K67" s="43"/>
    </row>
    <row r="68">
      <c r="A68" s="40"/>
      <c r="B68" s="33" t="s">
        <v>879</v>
      </c>
      <c r="C68" s="42">
        <v>11629.0</v>
      </c>
      <c r="D68" s="33" t="s">
        <v>880</v>
      </c>
      <c r="E68" s="74"/>
      <c r="F68" s="46" t="s">
        <v>465</v>
      </c>
      <c r="G68" s="75"/>
      <c r="H68" s="74"/>
      <c r="K68" s="43"/>
    </row>
    <row r="69">
      <c r="A69" s="40"/>
      <c r="B69" s="33" t="s">
        <v>884</v>
      </c>
      <c r="C69" s="42">
        <v>23692.0</v>
      </c>
      <c r="D69" s="33" t="s">
        <v>886</v>
      </c>
      <c r="E69" s="74"/>
      <c r="F69" s="46" t="s">
        <v>465</v>
      </c>
      <c r="G69" s="75"/>
      <c r="H69" s="74"/>
      <c r="K69" s="43"/>
    </row>
    <row r="70">
      <c r="A70" s="40"/>
      <c r="B70" s="33" t="s">
        <v>888</v>
      </c>
      <c r="C70" s="42">
        <v>12240.0</v>
      </c>
      <c r="D70" s="33" t="s">
        <v>897</v>
      </c>
      <c r="E70" s="74"/>
      <c r="F70" s="46" t="s">
        <v>465</v>
      </c>
      <c r="G70" s="75"/>
      <c r="H70" s="74"/>
      <c r="K70" s="43"/>
    </row>
    <row r="71">
      <c r="A71" s="40"/>
      <c r="B71" s="33" t="s">
        <v>902</v>
      </c>
      <c r="C71" s="42">
        <v>37892.0</v>
      </c>
      <c r="D71" s="33" t="s">
        <v>906</v>
      </c>
      <c r="E71" s="74"/>
      <c r="F71" s="46" t="s">
        <v>465</v>
      </c>
      <c r="G71" s="46" t="s">
        <v>909</v>
      </c>
      <c r="H71" s="74"/>
      <c r="K71" s="43"/>
    </row>
    <row r="72">
      <c r="A72" s="40"/>
      <c r="B72" s="33" t="s">
        <v>913</v>
      </c>
      <c r="C72" s="42">
        <v>52157.0</v>
      </c>
      <c r="D72" s="33" t="s">
        <v>916</v>
      </c>
      <c r="E72" s="74"/>
      <c r="F72" s="46" t="s">
        <v>465</v>
      </c>
      <c r="G72" s="46" t="s">
        <v>919</v>
      </c>
      <c r="H72" s="74"/>
      <c r="K72" s="43"/>
    </row>
    <row r="73">
      <c r="A73" s="82"/>
      <c r="B73" s="33" t="s">
        <v>922</v>
      </c>
      <c r="C73" s="42">
        <v>51057.0</v>
      </c>
      <c r="D73" s="33" t="s">
        <v>916</v>
      </c>
      <c r="E73" s="74"/>
      <c r="F73" s="46" t="s">
        <v>465</v>
      </c>
      <c r="G73" s="46" t="s">
        <v>925</v>
      </c>
      <c r="H73" s="74"/>
      <c r="K73" s="43"/>
    </row>
    <row r="74">
      <c r="A74" s="40"/>
      <c r="B74" s="33" t="s">
        <v>930</v>
      </c>
      <c r="C74" s="42">
        <v>18918.0</v>
      </c>
      <c r="D74" s="33" t="s">
        <v>932</v>
      </c>
      <c r="E74" s="74"/>
      <c r="F74" s="46" t="s">
        <v>465</v>
      </c>
      <c r="G74" s="75"/>
      <c r="H74" s="74"/>
      <c r="K74" s="43"/>
    </row>
    <row r="75">
      <c r="A75" s="40"/>
      <c r="B75" s="33" t="s">
        <v>938</v>
      </c>
      <c r="C75" s="42">
        <v>31614.0</v>
      </c>
      <c r="D75" s="33" t="s">
        <v>941</v>
      </c>
      <c r="E75" s="74"/>
      <c r="F75" s="46" t="s">
        <v>465</v>
      </c>
      <c r="G75" s="75"/>
      <c r="H75" s="74"/>
      <c r="K75" s="43"/>
    </row>
    <row r="76">
      <c r="A76" s="40"/>
      <c r="B76" s="33" t="s">
        <v>944</v>
      </c>
      <c r="C76" s="42">
        <v>7237.0</v>
      </c>
      <c r="D76" s="33" t="s">
        <v>945</v>
      </c>
      <c r="E76" s="74"/>
      <c r="F76" s="46" t="s">
        <v>465</v>
      </c>
      <c r="G76" s="75"/>
      <c r="H76" s="74"/>
      <c r="K76" s="43"/>
    </row>
    <row r="77">
      <c r="A77" s="40"/>
      <c r="B77" s="33" t="s">
        <v>947</v>
      </c>
      <c r="C77" s="42">
        <v>14435.0</v>
      </c>
      <c r="D77" s="33" t="s">
        <v>948</v>
      </c>
      <c r="E77" s="74"/>
      <c r="F77" s="46" t="s">
        <v>465</v>
      </c>
      <c r="G77" s="75"/>
      <c r="H77" s="74"/>
      <c r="K77" s="43"/>
    </row>
    <row r="78">
      <c r="A78" s="79"/>
      <c r="B78" s="33" t="s">
        <v>950</v>
      </c>
      <c r="C78" s="42">
        <v>2845.0</v>
      </c>
      <c r="D78" s="33" t="s">
        <v>952</v>
      </c>
      <c r="E78" s="74"/>
      <c r="F78" s="46" t="s">
        <v>465</v>
      </c>
      <c r="G78" s="46" t="s">
        <v>955</v>
      </c>
      <c r="H78" s="74"/>
      <c r="K78" s="43"/>
    </row>
    <row r="79">
      <c r="A79" s="40"/>
      <c r="B79" s="33" t="s">
        <v>959</v>
      </c>
      <c r="C79" s="42">
        <v>6032.0</v>
      </c>
      <c r="D79" s="33" t="s">
        <v>961</v>
      </c>
      <c r="E79" s="74"/>
      <c r="F79" s="46" t="s">
        <v>465</v>
      </c>
      <c r="G79" s="75"/>
      <c r="H79" s="74"/>
      <c r="K79" s="43"/>
    </row>
    <row r="80">
      <c r="A80" s="79"/>
      <c r="B80" s="33" t="s">
        <v>966</v>
      </c>
      <c r="C80" s="42">
        <v>11560.0</v>
      </c>
      <c r="D80" s="33" t="s">
        <v>638</v>
      </c>
      <c r="E80" s="74"/>
      <c r="F80" s="46" t="s">
        <v>465</v>
      </c>
      <c r="G80" s="46" t="s">
        <v>970</v>
      </c>
      <c r="H80" s="74"/>
      <c r="K80" s="43"/>
    </row>
    <row r="81">
      <c r="A81" s="79"/>
      <c r="B81" s="33" t="s">
        <v>973</v>
      </c>
      <c r="C81" s="42">
        <v>44983.0</v>
      </c>
      <c r="D81" s="33" t="s">
        <v>976</v>
      </c>
      <c r="E81" s="74"/>
      <c r="F81" s="46" t="s">
        <v>465</v>
      </c>
      <c r="G81" s="75"/>
      <c r="H81" s="74"/>
      <c r="K81" s="43"/>
    </row>
    <row r="82">
      <c r="A82" s="79"/>
      <c r="B82" s="33" t="s">
        <v>982</v>
      </c>
      <c r="C82" s="42">
        <v>39409.0</v>
      </c>
      <c r="D82" s="33" t="s">
        <v>984</v>
      </c>
      <c r="E82" s="74"/>
      <c r="F82" s="46" t="s">
        <v>465</v>
      </c>
      <c r="G82" s="46" t="s">
        <v>988</v>
      </c>
      <c r="H82" s="74"/>
      <c r="K82" s="43"/>
    </row>
    <row r="83">
      <c r="A83" s="40"/>
      <c r="B83" s="33" t="s">
        <v>992</v>
      </c>
      <c r="C83" s="42">
        <v>8398.0</v>
      </c>
      <c r="D83" s="33" t="s">
        <v>993</v>
      </c>
      <c r="E83" s="74"/>
      <c r="F83" s="46" t="s">
        <v>465</v>
      </c>
      <c r="G83" s="75"/>
      <c r="H83" s="74"/>
      <c r="K83" s="43"/>
    </row>
    <row r="84">
      <c r="A84" s="40"/>
      <c r="B84" s="33" t="s">
        <v>998</v>
      </c>
      <c r="C84" s="42">
        <v>3700.0</v>
      </c>
      <c r="D84" s="33" t="s">
        <v>1000</v>
      </c>
      <c r="E84" s="74"/>
      <c r="F84" s="46" t="s">
        <v>465</v>
      </c>
      <c r="G84" s="46" t="s">
        <v>1003</v>
      </c>
      <c r="H84" s="74"/>
      <c r="K84" s="43"/>
    </row>
    <row r="85">
      <c r="A85" s="40"/>
      <c r="B85" s="33" t="s">
        <v>1006</v>
      </c>
      <c r="C85" s="42">
        <v>9929.0</v>
      </c>
      <c r="D85" s="33" t="s">
        <v>1008</v>
      </c>
      <c r="E85" s="74"/>
      <c r="F85" s="46" t="s">
        <v>465</v>
      </c>
      <c r="G85" s="75"/>
      <c r="H85" s="74"/>
      <c r="K85" s="43"/>
    </row>
    <row r="86">
      <c r="A86" s="40"/>
      <c r="B86" s="33" t="s">
        <v>1014</v>
      </c>
      <c r="C86" s="42">
        <v>28190.0</v>
      </c>
      <c r="D86" s="33" t="s">
        <v>1016</v>
      </c>
      <c r="E86" s="74"/>
      <c r="F86" s="46" t="s">
        <v>465</v>
      </c>
      <c r="G86" s="75"/>
      <c r="H86" s="74"/>
      <c r="K86" s="43"/>
    </row>
    <row r="87">
      <c r="A87" s="40"/>
      <c r="B87" s="33" t="s">
        <v>1018</v>
      </c>
      <c r="C87" s="42">
        <v>21863.0</v>
      </c>
      <c r="D87" s="33" t="s">
        <v>1020</v>
      </c>
      <c r="E87" s="74"/>
      <c r="F87" s="46" t="s">
        <v>465</v>
      </c>
      <c r="G87" s="75"/>
      <c r="H87" s="74"/>
      <c r="K87" s="43"/>
    </row>
    <row r="88">
      <c r="A88" s="40"/>
      <c r="B88" s="33" t="s">
        <v>1022</v>
      </c>
      <c r="C88" s="42">
        <v>7043.0</v>
      </c>
      <c r="D88" s="33" t="s">
        <v>1024</v>
      </c>
      <c r="E88" s="74"/>
      <c r="F88" s="46" t="s">
        <v>465</v>
      </c>
      <c r="G88" s="75"/>
      <c r="H88" s="74"/>
      <c r="K88" s="43"/>
    </row>
    <row r="89">
      <c r="A89" s="40"/>
      <c r="B89" s="33" t="s">
        <v>1026</v>
      </c>
      <c r="C89" s="42">
        <v>10796.0</v>
      </c>
      <c r="D89" s="33" t="s">
        <v>1027</v>
      </c>
      <c r="E89" s="74"/>
      <c r="F89" s="46" t="s">
        <v>465</v>
      </c>
      <c r="G89" s="75"/>
      <c r="H89" s="74"/>
      <c r="K89" s="43"/>
    </row>
    <row r="90">
      <c r="A90" s="79"/>
      <c r="B90" s="33" t="s">
        <v>1029</v>
      </c>
      <c r="C90" s="42">
        <v>4002.0</v>
      </c>
      <c r="D90" s="33" t="s">
        <v>1031</v>
      </c>
      <c r="E90" s="74"/>
      <c r="F90" s="46" t="s">
        <v>465</v>
      </c>
      <c r="G90" s="46" t="s">
        <v>1033</v>
      </c>
      <c r="H90" s="74"/>
      <c r="K90" s="43"/>
    </row>
    <row r="91">
      <c r="A91" s="40"/>
      <c r="B91" s="33" t="s">
        <v>1036</v>
      </c>
      <c r="C91" s="42">
        <v>13147.0</v>
      </c>
      <c r="D91" s="33" t="s">
        <v>1038</v>
      </c>
      <c r="E91" s="74"/>
      <c r="F91" s="46" t="s">
        <v>465</v>
      </c>
      <c r="G91" s="75"/>
      <c r="H91" s="74"/>
      <c r="K91" s="43"/>
    </row>
    <row r="92">
      <c r="A92" s="40"/>
      <c r="B92" s="33" t="s">
        <v>1040</v>
      </c>
      <c r="C92" s="42">
        <v>9388.0</v>
      </c>
      <c r="D92" s="33" t="s">
        <v>1042</v>
      </c>
      <c r="E92" s="74"/>
      <c r="F92" s="46" t="s">
        <v>465</v>
      </c>
      <c r="G92" s="75"/>
      <c r="H92" s="74"/>
      <c r="K92" s="43"/>
    </row>
    <row r="93">
      <c r="A93" s="40"/>
      <c r="B93" s="33" t="s">
        <v>1046</v>
      </c>
      <c r="C93" s="42">
        <v>50864.0</v>
      </c>
      <c r="D93" s="33" t="s">
        <v>1048</v>
      </c>
      <c r="E93" s="74"/>
      <c r="F93" s="46" t="s">
        <v>465</v>
      </c>
      <c r="G93" s="75"/>
      <c r="H93" s="74"/>
      <c r="K93" s="43"/>
    </row>
    <row r="94">
      <c r="A94" s="40"/>
      <c r="B94" s="33" t="s">
        <v>1053</v>
      </c>
      <c r="C94" s="42">
        <v>10774.0</v>
      </c>
      <c r="D94" s="33" t="s">
        <v>1054</v>
      </c>
      <c r="E94" s="74"/>
      <c r="F94" s="46" t="s">
        <v>465</v>
      </c>
      <c r="G94" s="75"/>
      <c r="H94" s="74"/>
      <c r="K94" s="43"/>
    </row>
    <row r="95">
      <c r="A95" s="40"/>
      <c r="B95" s="33" t="s">
        <v>1060</v>
      </c>
      <c r="C95" s="42">
        <v>4118.0</v>
      </c>
      <c r="D95" s="33" t="s">
        <v>1062</v>
      </c>
      <c r="E95" s="74"/>
      <c r="F95" s="46" t="s">
        <v>465</v>
      </c>
      <c r="G95" s="75"/>
      <c r="H95" s="74"/>
      <c r="K95" s="43"/>
    </row>
    <row r="96">
      <c r="A96" s="40"/>
      <c r="B96" s="33" t="s">
        <v>1067</v>
      </c>
      <c r="C96" s="42">
        <v>3244.0</v>
      </c>
      <c r="D96" s="33" t="s">
        <v>1068</v>
      </c>
      <c r="E96" s="74"/>
      <c r="F96" s="46" t="s">
        <v>465</v>
      </c>
      <c r="G96" s="75"/>
      <c r="H96" s="74"/>
      <c r="K96" s="43"/>
    </row>
    <row r="97">
      <c r="A97" s="40"/>
      <c r="B97" s="33" t="s">
        <v>1073</v>
      </c>
      <c r="C97" s="42">
        <v>25776.0</v>
      </c>
      <c r="D97" s="33" t="s">
        <v>1075</v>
      </c>
      <c r="E97" s="74"/>
      <c r="F97" s="46" t="s">
        <v>465</v>
      </c>
      <c r="G97" s="75"/>
      <c r="H97" s="74"/>
      <c r="K97" s="43"/>
    </row>
    <row r="98">
      <c r="A98" s="79"/>
      <c r="B98" s="33" t="s">
        <v>1079</v>
      </c>
      <c r="C98" s="42">
        <v>6553.0</v>
      </c>
      <c r="D98" s="33" t="s">
        <v>1084</v>
      </c>
      <c r="E98" s="74"/>
      <c r="F98" s="46" t="s">
        <v>465</v>
      </c>
      <c r="G98" s="75"/>
      <c r="H98" s="74"/>
      <c r="K98" s="43"/>
    </row>
    <row r="99">
      <c r="A99" s="79"/>
      <c r="B99" s="33" t="s">
        <v>1089</v>
      </c>
      <c r="C99" s="42">
        <v>3707.0</v>
      </c>
      <c r="D99" s="33" t="s">
        <v>1093</v>
      </c>
      <c r="E99" s="74"/>
      <c r="F99" s="46" t="s">
        <v>465</v>
      </c>
      <c r="G99" s="46" t="s">
        <v>1096</v>
      </c>
      <c r="H99" s="74"/>
      <c r="K99" s="43"/>
    </row>
    <row r="100">
      <c r="A100" s="40"/>
      <c r="B100" s="33" t="s">
        <v>1099</v>
      </c>
      <c r="C100" s="42">
        <v>8027.0</v>
      </c>
      <c r="D100" s="33" t="s">
        <v>1101</v>
      </c>
      <c r="E100" s="74"/>
      <c r="F100" s="46" t="s">
        <v>465</v>
      </c>
      <c r="G100" s="75"/>
      <c r="H100" s="74"/>
      <c r="K100" s="43"/>
    </row>
    <row r="101">
      <c r="A101" s="40"/>
      <c r="B101" s="33" t="s">
        <v>1106</v>
      </c>
      <c r="C101" s="42">
        <v>9259.0</v>
      </c>
      <c r="D101" s="33" t="s">
        <v>1109</v>
      </c>
      <c r="E101" s="74"/>
      <c r="F101" s="46" t="s">
        <v>465</v>
      </c>
      <c r="G101" s="75"/>
      <c r="H101" s="74"/>
      <c r="K101" s="43"/>
    </row>
    <row r="102">
      <c r="A102" s="40"/>
      <c r="B102" s="33" t="s">
        <v>1121</v>
      </c>
      <c r="C102" s="42">
        <v>10624.0</v>
      </c>
      <c r="D102" s="33" t="s">
        <v>1124</v>
      </c>
      <c r="E102" s="74"/>
      <c r="F102" s="46" t="s">
        <v>465</v>
      </c>
      <c r="G102" s="75"/>
      <c r="H102" s="74"/>
      <c r="K102" s="43"/>
    </row>
    <row r="103">
      <c r="A103" s="40"/>
      <c r="B103" s="33" t="s">
        <v>1129</v>
      </c>
      <c r="C103" s="42">
        <v>7308.0</v>
      </c>
      <c r="D103" s="33" t="s">
        <v>1132</v>
      </c>
      <c r="E103" s="74"/>
      <c r="F103" s="46" t="s">
        <v>465</v>
      </c>
      <c r="G103" s="75"/>
      <c r="H103" s="74"/>
      <c r="K103" s="43"/>
    </row>
    <row r="104">
      <c r="A104" s="40"/>
      <c r="B104" s="33" t="s">
        <v>1135</v>
      </c>
      <c r="C104" s="42">
        <v>20842.0</v>
      </c>
      <c r="D104" s="33" t="s">
        <v>1137</v>
      </c>
      <c r="E104" s="74"/>
      <c r="F104" s="46" t="s">
        <v>465</v>
      </c>
      <c r="G104" s="75"/>
      <c r="H104" s="74"/>
      <c r="K104" s="43"/>
    </row>
    <row r="105">
      <c r="A105" s="40"/>
      <c r="B105" s="33" t="s">
        <v>1143</v>
      </c>
      <c r="C105" s="42">
        <v>10717.0</v>
      </c>
      <c r="D105" s="33" t="s">
        <v>1145</v>
      </c>
      <c r="E105" s="74"/>
      <c r="F105" s="46" t="s">
        <v>465</v>
      </c>
      <c r="G105" s="75"/>
      <c r="H105" s="74"/>
      <c r="K105" s="43"/>
    </row>
    <row r="106">
      <c r="A106" s="79"/>
      <c r="B106" s="33" t="s">
        <v>1149</v>
      </c>
      <c r="C106" s="42">
        <v>30618.0</v>
      </c>
      <c r="D106" s="33" t="s">
        <v>1151</v>
      </c>
      <c r="E106" s="74"/>
      <c r="F106" s="46" t="s">
        <v>465</v>
      </c>
      <c r="G106" s="75"/>
      <c r="H106" s="74"/>
      <c r="K106" s="43"/>
    </row>
    <row r="107">
      <c r="A107" s="79"/>
      <c r="B107" s="33" t="s">
        <v>1158</v>
      </c>
      <c r="C107" s="42">
        <v>13686.0</v>
      </c>
      <c r="D107" s="33" t="s">
        <v>1162</v>
      </c>
      <c r="E107" s="74"/>
      <c r="F107" s="46" t="s">
        <v>465</v>
      </c>
      <c r="G107" s="46" t="s">
        <v>1166</v>
      </c>
      <c r="H107" s="74"/>
      <c r="K107" s="43"/>
    </row>
    <row r="108">
      <c r="A108" s="40"/>
      <c r="B108" s="33" t="s">
        <v>1171</v>
      </c>
      <c r="C108" s="42">
        <v>7425.0</v>
      </c>
      <c r="D108" s="33" t="s">
        <v>1174</v>
      </c>
      <c r="E108" s="74"/>
      <c r="F108" s="46" t="s">
        <v>465</v>
      </c>
      <c r="G108" s="75"/>
      <c r="H108" s="74"/>
      <c r="K108" s="43"/>
    </row>
    <row r="109">
      <c r="A109" s="40"/>
      <c r="B109" s="33" t="s">
        <v>1180</v>
      </c>
      <c r="C109" s="42">
        <v>13771.0</v>
      </c>
      <c r="D109" s="33" t="s">
        <v>1183</v>
      </c>
      <c r="E109" s="74"/>
      <c r="F109" s="46" t="s">
        <v>465</v>
      </c>
      <c r="G109" s="75"/>
      <c r="H109" s="74"/>
      <c r="K109" s="43"/>
    </row>
    <row r="110">
      <c r="A110" s="40"/>
      <c r="B110" s="33" t="s">
        <v>1190</v>
      </c>
      <c r="C110" s="42">
        <v>18747.0</v>
      </c>
      <c r="D110" s="33" t="s">
        <v>1193</v>
      </c>
      <c r="E110" s="74"/>
      <c r="F110" s="46" t="s">
        <v>465</v>
      </c>
      <c r="G110" s="75"/>
      <c r="H110" s="74"/>
      <c r="K110" s="43"/>
    </row>
    <row r="111">
      <c r="A111" s="40"/>
      <c r="B111" s="33" t="s">
        <v>1202</v>
      </c>
      <c r="C111" s="42">
        <v>23726.0</v>
      </c>
      <c r="D111" s="33" t="s">
        <v>1204</v>
      </c>
      <c r="E111" s="74"/>
      <c r="F111" s="46" t="s">
        <v>465</v>
      </c>
      <c r="G111" s="75"/>
      <c r="H111" s="74"/>
      <c r="K111" s="43"/>
    </row>
    <row r="112">
      <c r="A112" s="40"/>
      <c r="B112" s="33" t="s">
        <v>1210</v>
      </c>
      <c r="C112" s="42">
        <v>5393.0</v>
      </c>
      <c r="D112" s="33" t="s">
        <v>1212</v>
      </c>
      <c r="E112" s="74"/>
      <c r="F112" s="46" t="s">
        <v>465</v>
      </c>
      <c r="G112" s="46" t="s">
        <v>1216</v>
      </c>
      <c r="H112" s="74"/>
      <c r="K112" s="43"/>
    </row>
    <row r="113">
      <c r="A113" s="40"/>
      <c r="B113" s="33" t="s">
        <v>1221</v>
      </c>
      <c r="C113" s="42">
        <v>3692.0</v>
      </c>
      <c r="D113" s="33" t="s">
        <v>1225</v>
      </c>
      <c r="E113" s="74"/>
      <c r="F113" s="46" t="s">
        <v>465</v>
      </c>
      <c r="G113" s="75"/>
      <c r="H113" s="74"/>
      <c r="K113" s="43"/>
    </row>
    <row r="114">
      <c r="A114" s="40"/>
      <c r="B114" s="33" t="s">
        <v>1233</v>
      </c>
      <c r="C114" s="42">
        <v>14808.0</v>
      </c>
      <c r="D114" s="33" t="s">
        <v>1236</v>
      </c>
      <c r="E114" s="74"/>
      <c r="F114" s="46" t="s">
        <v>465</v>
      </c>
      <c r="G114" s="75"/>
      <c r="H114" s="74"/>
      <c r="K114" s="43"/>
    </row>
    <row r="115">
      <c r="A115" s="40"/>
      <c r="B115" s="33" t="s">
        <v>1243</v>
      </c>
      <c r="C115" s="42">
        <v>2430.0</v>
      </c>
      <c r="D115" s="33" t="s">
        <v>1247</v>
      </c>
      <c r="E115" s="74"/>
      <c r="F115" s="46" t="s">
        <v>465</v>
      </c>
      <c r="G115" s="75"/>
      <c r="H115" s="74"/>
      <c r="K115" s="43"/>
    </row>
    <row r="116">
      <c r="A116" s="40"/>
      <c r="B116" s="33" t="s">
        <v>1256</v>
      </c>
      <c r="C116" s="42">
        <v>10130.0</v>
      </c>
      <c r="D116" s="33" t="s">
        <v>1260</v>
      </c>
      <c r="E116" s="74"/>
      <c r="F116" s="46" t="s">
        <v>465</v>
      </c>
      <c r="G116" s="75"/>
      <c r="H116" s="74"/>
      <c r="K116" s="43"/>
    </row>
    <row r="117">
      <c r="A117" s="40"/>
      <c r="B117" s="33" t="s">
        <v>1267</v>
      </c>
      <c r="C117" s="42">
        <v>2545.0</v>
      </c>
      <c r="D117" s="33" t="s">
        <v>1269</v>
      </c>
      <c r="E117" s="74"/>
      <c r="F117" s="46" t="s">
        <v>465</v>
      </c>
      <c r="G117" s="75"/>
      <c r="H117" s="74"/>
      <c r="K117" s="43"/>
    </row>
    <row r="118">
      <c r="A118" s="40"/>
      <c r="B118" s="57" t="s">
        <v>1279</v>
      </c>
      <c r="C118" s="58">
        <v>5831.0</v>
      </c>
      <c r="D118" s="57" t="s">
        <v>1283</v>
      </c>
      <c r="E118" s="19"/>
      <c r="F118" s="61" t="s">
        <v>465</v>
      </c>
      <c r="G118" s="71"/>
      <c r="H118" s="19"/>
      <c r="I118" s="19"/>
      <c r="J118" s="19"/>
      <c r="K118" s="64"/>
    </row>
    <row r="119">
      <c r="A119" s="12"/>
      <c r="B119" s="12"/>
      <c r="C119" s="65"/>
      <c r="D119" s="34"/>
      <c r="E119" s="34"/>
      <c r="F119" s="67"/>
      <c r="G119" s="67"/>
      <c r="H119" s="34"/>
      <c r="I119" s="34"/>
      <c r="J119" s="34"/>
      <c r="K119" s="34"/>
    </row>
    <row r="120">
      <c r="A120" s="68"/>
      <c r="B120" s="69" t="s">
        <v>127</v>
      </c>
      <c r="C120" s="92"/>
      <c r="D120" s="71"/>
      <c r="E120" s="19"/>
      <c r="F120" s="71"/>
      <c r="G120" s="71"/>
      <c r="H120" s="19"/>
      <c r="I120" s="19"/>
      <c r="J120" s="19"/>
      <c r="K120" s="19"/>
    </row>
    <row r="121">
      <c r="A121" s="40"/>
      <c r="B121" s="23" t="s">
        <v>1338</v>
      </c>
      <c r="C121" s="24">
        <v>66796.0</v>
      </c>
      <c r="D121" s="23" t="s">
        <v>1344</v>
      </c>
      <c r="E121" s="34"/>
      <c r="F121" s="36" t="s">
        <v>1348</v>
      </c>
      <c r="G121" s="67"/>
      <c r="H121" s="94" t="str">
        <f>HYPERLINK("http://mirror.ff7data.com.ar/ff7/data/minigame/chocobo.lgp/aa.tex.png","View Picture")</f>
        <v>View Picture</v>
      </c>
      <c r="I121" s="34"/>
      <c r="J121" s="34"/>
      <c r="K121" s="38"/>
    </row>
    <row r="122">
      <c r="A122" s="40"/>
      <c r="B122" s="33" t="s">
        <v>1418</v>
      </c>
      <c r="C122" s="42">
        <v>17644.0</v>
      </c>
      <c r="D122" s="33" t="s">
        <v>1423</v>
      </c>
      <c r="E122" s="74"/>
      <c r="F122" s="46" t="s">
        <v>1348</v>
      </c>
      <c r="G122" s="75"/>
      <c r="H122" s="96" t="str">
        <f>HYPERLINK("http://mirror.ff7data.com.ar/ff7/data/minigame/chocobo.lgp/ab.tex.png","View Picture")</f>
        <v>View Picture</v>
      </c>
      <c r="K122" s="43"/>
    </row>
    <row r="123">
      <c r="A123" s="40"/>
      <c r="B123" s="33" t="s">
        <v>1474</v>
      </c>
      <c r="C123" s="42">
        <v>66796.0</v>
      </c>
      <c r="D123" s="33" t="s">
        <v>1478</v>
      </c>
      <c r="E123" s="74"/>
      <c r="F123" s="46" t="s">
        <v>1348</v>
      </c>
      <c r="G123" s="75"/>
      <c r="H123" s="96" t="str">
        <f>HYPERLINK("http://mirror.ff7data.com.ar/ff7/data/minigame/chocobo.lgp/ac.tex.png","View Picture")</f>
        <v>View Picture</v>
      </c>
      <c r="K123" s="43"/>
    </row>
    <row r="124">
      <c r="A124" s="40"/>
      <c r="B124" s="33" t="s">
        <v>1513</v>
      </c>
      <c r="C124" s="42">
        <v>66796.0</v>
      </c>
      <c r="D124" s="33" t="s">
        <v>1517</v>
      </c>
      <c r="E124" s="74"/>
      <c r="F124" s="46" t="s">
        <v>1348</v>
      </c>
      <c r="G124" s="75"/>
      <c r="H124" s="96" t="str">
        <f>HYPERLINK("http://mirror.ff7data.com.ar/ff7/data/minigame/chocobo.lgp/ad.tex.png","View Picture")</f>
        <v>View Picture</v>
      </c>
      <c r="K124" s="43"/>
    </row>
    <row r="125">
      <c r="A125" s="40"/>
      <c r="B125" s="33" t="s">
        <v>1537</v>
      </c>
      <c r="C125" s="42">
        <v>17644.0</v>
      </c>
      <c r="D125" s="33" t="s">
        <v>1540</v>
      </c>
      <c r="E125" s="74"/>
      <c r="F125" s="46" t="s">
        <v>1348</v>
      </c>
      <c r="G125" s="75"/>
      <c r="H125" s="96" t="str">
        <f>HYPERLINK("http://mirror.ff7data.com.ar/ff7/data/minigame/chocobo.lgp/ae.tex.png","View Picture")</f>
        <v>View Picture</v>
      </c>
      <c r="K125" s="43"/>
    </row>
    <row r="126">
      <c r="A126" s="40"/>
      <c r="B126" s="33" t="s">
        <v>1572</v>
      </c>
      <c r="C126" s="42">
        <v>17644.0</v>
      </c>
      <c r="D126" s="33" t="s">
        <v>1576</v>
      </c>
      <c r="E126" s="74"/>
      <c r="F126" s="46" t="s">
        <v>1348</v>
      </c>
      <c r="G126" s="75"/>
      <c r="H126" s="96" t="str">
        <f>HYPERLINK("http://mirror.ff7data.com.ar/ff7/data/minigame/chocobo.lgp/af.tex.png","View Picture")</f>
        <v>View Picture</v>
      </c>
      <c r="K126" s="43"/>
    </row>
    <row r="127">
      <c r="A127" s="40"/>
      <c r="B127" s="33" t="s">
        <v>1601</v>
      </c>
      <c r="C127" s="42">
        <v>65836.0</v>
      </c>
      <c r="D127" s="33" t="s">
        <v>1604</v>
      </c>
      <c r="E127" s="74"/>
      <c r="F127" s="46" t="s">
        <v>1348</v>
      </c>
      <c r="G127" s="75"/>
      <c r="H127" s="96" t="str">
        <f>HYPERLINK("http://mirror.ff7data.com.ar/ff7/data/minigame/chocobo.lgp/ag.tex.png","EN")</f>
        <v>EN</v>
      </c>
      <c r="I127" s="98" t="str">
        <f>HYPERLINK("http://mirror.ff7data.com.ar/ff7/es/chocobo/ag.tex.png","ES")</f>
        <v>ES</v>
      </c>
      <c r="K127" s="43"/>
    </row>
    <row r="128">
      <c r="A128" s="40"/>
      <c r="B128" s="33" t="s">
        <v>1663</v>
      </c>
      <c r="C128" s="42">
        <v>65836.0</v>
      </c>
      <c r="D128" s="33" t="s">
        <v>1666</v>
      </c>
      <c r="E128" s="74"/>
      <c r="F128" s="46" t="s">
        <v>1348</v>
      </c>
      <c r="G128" s="75"/>
      <c r="H128" s="96" t="str">
        <f>HYPERLINK("http://mirror.ff7data.com.ar/ff7/data/minigame/chocobo.lgp/ah.tex.png","EN")</f>
        <v>EN</v>
      </c>
      <c r="I128" s="98" t="str">
        <f>HYPERLINK("http://mirror.ff7data.com.ar/ff7/es/chocobo/ah.tex.png","ES")</f>
        <v>ES</v>
      </c>
      <c r="K128" s="43"/>
    </row>
    <row r="129">
      <c r="A129" s="40"/>
      <c r="B129" s="33" t="s">
        <v>1705</v>
      </c>
      <c r="C129" s="42">
        <v>4396.0</v>
      </c>
      <c r="D129" s="33" t="s">
        <v>1709</v>
      </c>
      <c r="E129" s="74"/>
      <c r="F129" s="46" t="s">
        <v>1348</v>
      </c>
      <c r="G129" s="75"/>
      <c r="H129" s="96" t="str">
        <f>HYPERLINK("http://mirror.ff7data.com.ar/ff7/data/minigame/chocobo.lgp/ai.tex.png","View Picture")</f>
        <v>View Picture</v>
      </c>
      <c r="K129" s="43"/>
    </row>
    <row r="130">
      <c r="A130" s="40"/>
      <c r="B130" s="33" t="s">
        <v>1735</v>
      </c>
      <c r="C130" s="42">
        <v>8492.0</v>
      </c>
      <c r="D130" s="33" t="s">
        <v>1740</v>
      </c>
      <c r="E130" s="74"/>
      <c r="F130" s="46" t="s">
        <v>1348</v>
      </c>
      <c r="G130" s="75"/>
      <c r="H130" s="96" t="str">
        <f>HYPERLINK("http://mirror.ff7data.com.ar/ff7/data/minigame/chocobo.lgp/aj.tex.png","View Picture")</f>
        <v>View Picture</v>
      </c>
      <c r="K130" s="43"/>
    </row>
    <row r="131">
      <c r="A131" s="40"/>
      <c r="B131" s="33" t="s">
        <v>1759</v>
      </c>
      <c r="C131" s="42">
        <v>66796.0</v>
      </c>
      <c r="D131" s="33" t="s">
        <v>1763</v>
      </c>
      <c r="E131" s="74"/>
      <c r="F131" s="46" t="s">
        <v>1348</v>
      </c>
      <c r="G131" s="75"/>
      <c r="H131" s="96" t="str">
        <f>HYPERLINK("http://mirror.ff7data.com.ar/ff7/data/minigame/chocobo.lgp/ak.tex.png","View Picture")</f>
        <v>View Picture</v>
      </c>
      <c r="K131" s="43"/>
    </row>
    <row r="132">
      <c r="A132" s="40"/>
      <c r="B132" s="33" t="s">
        <v>1792</v>
      </c>
      <c r="C132" s="42">
        <v>17644.0</v>
      </c>
      <c r="D132" s="33" t="s">
        <v>1795</v>
      </c>
      <c r="E132" s="74"/>
      <c r="F132" s="46" t="s">
        <v>1348</v>
      </c>
      <c r="G132" s="75"/>
      <c r="H132" s="96" t="str">
        <f>HYPERLINK("http://mirror.ff7data.com.ar/ff7/data/minigame/chocobo.lgp/al.tex.png","View Picture")</f>
        <v>View Picture</v>
      </c>
      <c r="K132" s="43"/>
    </row>
    <row r="133">
      <c r="A133" s="40"/>
      <c r="B133" s="33" t="s">
        <v>1816</v>
      </c>
      <c r="C133" s="42">
        <v>66796.0</v>
      </c>
      <c r="D133" s="33" t="s">
        <v>1820</v>
      </c>
      <c r="E133" s="74"/>
      <c r="F133" s="46" t="s">
        <v>1348</v>
      </c>
      <c r="G133" s="75"/>
      <c r="H133" s="96" t="str">
        <f>HYPERLINK("http://mirror.ff7data.com.ar/ff7/data/minigame/chocobo.lgp/am.tex.png","View Picture")</f>
        <v>View Picture</v>
      </c>
      <c r="K133" s="43"/>
    </row>
    <row r="134">
      <c r="A134" s="40"/>
      <c r="B134" s="33" t="s">
        <v>1840</v>
      </c>
      <c r="C134" s="42">
        <v>66796.0</v>
      </c>
      <c r="D134" s="33" t="s">
        <v>1844</v>
      </c>
      <c r="E134" s="74"/>
      <c r="F134" s="46" t="s">
        <v>1348</v>
      </c>
      <c r="G134" s="75"/>
      <c r="H134" s="96" t="str">
        <f>HYPERLINK("http://mirror.ff7data.com.ar/ff7/data/minigame/chocobo.lgp/an.tex.png","View Picture")</f>
        <v>View Picture</v>
      </c>
      <c r="K134" s="43"/>
    </row>
    <row r="135">
      <c r="A135" s="40"/>
      <c r="B135" s="33" t="s">
        <v>1867</v>
      </c>
      <c r="C135" s="42">
        <v>17644.0</v>
      </c>
      <c r="D135" s="33" t="s">
        <v>1870</v>
      </c>
      <c r="E135" s="74"/>
      <c r="F135" s="46" t="s">
        <v>1348</v>
      </c>
      <c r="G135" s="75"/>
      <c r="H135" s="96" t="str">
        <f>HYPERLINK("http://mirror.ff7data.com.ar/ff7/data/minigame/chocobo.lgp/ao.tex.png","View Picture")</f>
        <v>View Picture</v>
      </c>
      <c r="K135" s="43"/>
    </row>
    <row r="136">
      <c r="A136" s="40"/>
      <c r="B136" s="33" t="s">
        <v>1894</v>
      </c>
      <c r="C136" s="42">
        <v>17644.0</v>
      </c>
      <c r="D136" s="33" t="s">
        <v>1897</v>
      </c>
      <c r="E136" s="74"/>
      <c r="F136" s="46" t="s">
        <v>1348</v>
      </c>
      <c r="G136" s="75"/>
      <c r="H136" s="96" t="str">
        <f>HYPERLINK("http://mirror.ff7data.com.ar/ff7/data/minigame/chocobo.lgp/ap.tex.png","View Picture")</f>
        <v>View Picture</v>
      </c>
      <c r="K136" s="43"/>
    </row>
    <row r="137">
      <c r="A137" s="40"/>
      <c r="B137" s="33" t="s">
        <v>1920</v>
      </c>
      <c r="C137" s="42">
        <v>65836.0</v>
      </c>
      <c r="D137" s="33" t="s">
        <v>1923</v>
      </c>
      <c r="E137" s="74"/>
      <c r="F137" s="46" t="s">
        <v>1348</v>
      </c>
      <c r="G137" s="75"/>
      <c r="H137" s="96" t="str">
        <f>HYPERLINK("http://mirror.ff7data.com.ar/ff7/data/minigame/chocobo.lgp/aq.tex.png","EN")</f>
        <v>EN</v>
      </c>
      <c r="I137" s="98" t="str">
        <f>HYPERLINK("http://mirror.ff7data.com.ar/ff7/es/chocobo/aq.tex.png","ES")</f>
        <v>ES</v>
      </c>
      <c r="K137" s="43"/>
    </row>
    <row r="138">
      <c r="A138" s="40"/>
      <c r="B138" s="33" t="s">
        <v>1959</v>
      </c>
      <c r="C138" s="42">
        <v>65836.0</v>
      </c>
      <c r="D138" s="33" t="s">
        <v>1963</v>
      </c>
      <c r="E138" s="74"/>
      <c r="F138" s="46" t="s">
        <v>1348</v>
      </c>
      <c r="G138" s="75"/>
      <c r="H138" s="96" t="str">
        <f>HYPERLINK("http://mirror.ff7data.com.ar/ff7/data/minigame/chocobo.lgp/ar.tex.png","EN")</f>
        <v>EN</v>
      </c>
      <c r="I138" s="98" t="str">
        <f>HYPERLINK("http://mirror.ff7data.com.ar/ff7/es/ar.tex.png","ES")</f>
        <v>ES</v>
      </c>
      <c r="K138" s="43"/>
    </row>
    <row r="139">
      <c r="A139" s="40"/>
      <c r="B139" s="33" t="s">
        <v>1996</v>
      </c>
      <c r="C139" s="42">
        <v>4396.0</v>
      </c>
      <c r="D139" s="33" t="s">
        <v>1997</v>
      </c>
      <c r="E139" s="74"/>
      <c r="F139" s="46" t="s">
        <v>1348</v>
      </c>
      <c r="G139" s="75"/>
      <c r="H139" s="96" t="str">
        <f>HYPERLINK("http://mirror.ff7data.com.ar/ff7/data/minigame/chocobo.lgp/as.tex.png","View Picture")</f>
        <v>View Picture</v>
      </c>
      <c r="K139" s="43"/>
    </row>
    <row r="140">
      <c r="A140" s="40"/>
      <c r="B140" s="33" t="s">
        <v>2015</v>
      </c>
      <c r="C140" s="42">
        <v>8492.0</v>
      </c>
      <c r="D140" s="33" t="s">
        <v>2017</v>
      </c>
      <c r="E140" s="74"/>
      <c r="F140" s="46" t="s">
        <v>1348</v>
      </c>
      <c r="G140" s="75"/>
      <c r="H140" s="96" t="str">
        <f>HYPERLINK("http://mirror.ff7data.com.ar/ff7/data/minigame/chocobo.lgp/at.tex.png","View Picture")</f>
        <v>View Picture</v>
      </c>
      <c r="K140" s="43"/>
    </row>
    <row r="141">
      <c r="A141" s="40"/>
      <c r="B141" s="33" t="s">
        <v>2040</v>
      </c>
      <c r="C141" s="42">
        <v>66796.0</v>
      </c>
      <c r="D141" s="33" t="s">
        <v>2041</v>
      </c>
      <c r="E141" s="74"/>
      <c r="F141" s="46" t="s">
        <v>1348</v>
      </c>
      <c r="G141" s="75"/>
      <c r="H141" s="96" t="str">
        <f>HYPERLINK("http://mirror.ff7data.com.ar/ff7/data/minigame/chocobo.lgp/au.tex.png","View Picture")</f>
        <v>View Picture</v>
      </c>
      <c r="K141" s="43"/>
    </row>
    <row r="142">
      <c r="A142" s="40"/>
      <c r="B142" s="33" t="s">
        <v>2062</v>
      </c>
      <c r="C142" s="42">
        <v>17644.0</v>
      </c>
      <c r="D142" s="33" t="s">
        <v>2063</v>
      </c>
      <c r="E142" s="74"/>
      <c r="F142" s="46" t="s">
        <v>1348</v>
      </c>
      <c r="G142" s="75"/>
      <c r="H142" s="96" t="str">
        <f>HYPERLINK("http://mirror.ff7data.com.ar/ff7/data/minigame/chocobo.lgp/av.tex.png","View Picture")</f>
        <v>View Picture</v>
      </c>
      <c r="K142" s="43"/>
    </row>
    <row r="143">
      <c r="A143" s="40"/>
      <c r="B143" s="33" t="s">
        <v>2078</v>
      </c>
      <c r="C143" s="42">
        <v>66796.0</v>
      </c>
      <c r="D143" s="33" t="s">
        <v>2082</v>
      </c>
      <c r="E143" s="74"/>
      <c r="F143" s="46" t="s">
        <v>1348</v>
      </c>
      <c r="G143" s="75"/>
      <c r="H143" s="96" t="str">
        <f>HYPERLINK("http://mirror.ff7data.com.ar/ff7/data/minigame/chocobo.lgp/aw.tex.png","View Picture")</f>
        <v>View Picture</v>
      </c>
      <c r="K143" s="43"/>
    </row>
    <row r="144">
      <c r="A144" s="40"/>
      <c r="B144" s="33" t="s">
        <v>2099</v>
      </c>
      <c r="C144" s="42">
        <v>66796.0</v>
      </c>
      <c r="D144" s="33" t="s">
        <v>2100</v>
      </c>
      <c r="E144" s="74"/>
      <c r="F144" s="46" t="s">
        <v>1348</v>
      </c>
      <c r="G144" s="75"/>
      <c r="H144" s="96" t="str">
        <f>HYPERLINK("http://mirror.ff7data.com.ar/ff7/data/minigame/chocobo.lgp/ax.tex.png","View Picture")</f>
        <v>View Picture</v>
      </c>
      <c r="K144" s="43"/>
    </row>
    <row r="145">
      <c r="A145" s="40"/>
      <c r="B145" s="33" t="s">
        <v>2116</v>
      </c>
      <c r="C145" s="42">
        <v>17644.0</v>
      </c>
      <c r="D145" s="33" t="s">
        <v>2118</v>
      </c>
      <c r="E145" s="74"/>
      <c r="F145" s="46" t="s">
        <v>1348</v>
      </c>
      <c r="G145" s="75"/>
      <c r="H145" s="96" t="str">
        <f>HYPERLINK("http://mirror.ff7data.com.ar/ff7/data/minigame/chocobo.lgp/ay.tex.png","View Picture")</f>
        <v>View Picture</v>
      </c>
      <c r="K145" s="43"/>
    </row>
    <row r="146">
      <c r="A146" s="40"/>
      <c r="B146" s="33" t="s">
        <v>2139</v>
      </c>
      <c r="C146" s="42">
        <v>17644.0</v>
      </c>
      <c r="D146" s="33" t="s">
        <v>2142</v>
      </c>
      <c r="E146" s="74"/>
      <c r="F146" s="46" t="s">
        <v>1348</v>
      </c>
      <c r="G146" s="75"/>
      <c r="H146" s="96" t="str">
        <f>HYPERLINK("http://mirror.ff7data.com.ar/ff7/data/minigame/chocobo.lgp/az.tex.png","View Picture")</f>
        <v>View Picture</v>
      </c>
      <c r="K146" s="43"/>
    </row>
    <row r="147">
      <c r="A147" s="40"/>
      <c r="B147" s="33" t="s">
        <v>2164</v>
      </c>
      <c r="C147" s="42">
        <v>65836.0</v>
      </c>
      <c r="D147" s="33" t="s">
        <v>2166</v>
      </c>
      <c r="E147" s="74"/>
      <c r="F147" s="46" t="s">
        <v>1348</v>
      </c>
      <c r="G147" s="75"/>
      <c r="H147" s="96" t="str">
        <f>HYPERLINK("http://mirror.ff7data.com.ar/ff7/data/minigame/chocobo.lgp/ba.tex.png","EN")</f>
        <v>EN</v>
      </c>
      <c r="I147" s="98" t="str">
        <f>HYPERLINK("http://mirror.ff7data.com.ar/ff7/es/chocobo/ba.tex.png","ES")</f>
        <v>ES</v>
      </c>
      <c r="K147" s="43"/>
    </row>
    <row r="148">
      <c r="A148" s="40"/>
      <c r="B148" s="33" t="s">
        <v>2201</v>
      </c>
      <c r="C148" s="42">
        <v>65836.0</v>
      </c>
      <c r="D148" s="33" t="s">
        <v>2203</v>
      </c>
      <c r="E148" s="74"/>
      <c r="F148" s="46" t="s">
        <v>1348</v>
      </c>
      <c r="G148" s="75"/>
      <c r="H148" s="96" t="str">
        <f>HYPERLINK("http://mirror.ff7data.com.ar/ff7/data/minigame/chocobo.lgp/bb.tex.png","EN")</f>
        <v>EN</v>
      </c>
      <c r="I148" s="98" t="str">
        <f>HYPERLINK("http://mirror.ff7data.com.ar/ff7/es/chocobo/bb.tex.png","ES")</f>
        <v>ES</v>
      </c>
      <c r="K148" s="43"/>
    </row>
    <row r="149">
      <c r="A149" s="40"/>
      <c r="B149" s="33" t="s">
        <v>2231</v>
      </c>
      <c r="C149" s="42">
        <v>1324.0</v>
      </c>
      <c r="D149" s="33" t="s">
        <v>2234</v>
      </c>
      <c r="E149" s="74"/>
      <c r="F149" s="46" t="s">
        <v>1348</v>
      </c>
      <c r="G149" s="75"/>
      <c r="H149" s="96" t="str">
        <f>HYPERLINK("http://mirror.ff7data.com.ar/ff7/data/minigame/chocobo.lgp/bc.tex.png","View Picture")</f>
        <v>View Picture</v>
      </c>
      <c r="K149" s="43"/>
    </row>
    <row r="150">
      <c r="A150" s="40"/>
      <c r="B150" s="33" t="s">
        <v>2260</v>
      </c>
      <c r="C150" s="42">
        <v>8492.0</v>
      </c>
      <c r="D150" s="33" t="s">
        <v>2263</v>
      </c>
      <c r="E150" s="74"/>
      <c r="F150" s="46" t="s">
        <v>1348</v>
      </c>
      <c r="G150" s="75"/>
      <c r="H150" s="96" t="str">
        <f>HYPERLINK("http://mirror.ff7data.com.ar/ff7/data/minigame/chocobo.lgp/bd.tex.png","View Picture")</f>
        <v>View Picture</v>
      </c>
      <c r="K150" s="43"/>
    </row>
    <row r="151">
      <c r="A151" s="40"/>
      <c r="B151" s="33" t="s">
        <v>2285</v>
      </c>
      <c r="C151" s="42">
        <v>66796.0</v>
      </c>
      <c r="D151" s="33" t="s">
        <v>2289</v>
      </c>
      <c r="E151" s="74"/>
      <c r="F151" s="46" t="s">
        <v>1348</v>
      </c>
      <c r="G151" s="75"/>
      <c r="H151" s="96" t="str">
        <f>HYPERLINK("http://mirror.ff7data.com.ar/ff7/data/minigame/chocobo.lgp/be.tex.png","View Picture")</f>
        <v>View Picture</v>
      </c>
      <c r="K151" s="43"/>
    </row>
    <row r="152">
      <c r="A152" s="40"/>
      <c r="B152" s="33" t="s">
        <v>2312</v>
      </c>
      <c r="C152" s="42">
        <v>17644.0</v>
      </c>
      <c r="D152" s="33" t="s">
        <v>2314</v>
      </c>
      <c r="E152" s="74"/>
      <c r="F152" s="46" t="s">
        <v>1348</v>
      </c>
      <c r="G152" s="75"/>
      <c r="H152" s="96" t="str">
        <f>HYPERLINK("http://mirror.ff7data.com.ar/ff7/data/minigame/chocobo.lgp/bf.tex.png","View Picture")</f>
        <v>View Picture</v>
      </c>
      <c r="K152" s="43"/>
    </row>
    <row r="153">
      <c r="A153" s="40"/>
      <c r="B153" s="33" t="s">
        <v>2330</v>
      </c>
      <c r="C153" s="42">
        <v>66796.0</v>
      </c>
      <c r="D153" s="33" t="s">
        <v>2333</v>
      </c>
      <c r="E153" s="74"/>
      <c r="F153" s="46" t="s">
        <v>1348</v>
      </c>
      <c r="G153" s="75"/>
      <c r="H153" s="96" t="str">
        <f>HYPERLINK("http://mirror.ff7data.com.ar/ff7/data/minigame/chocobo.lgp/bg.tex.png","View Picture")</f>
        <v>View Picture</v>
      </c>
      <c r="K153" s="43"/>
    </row>
    <row r="154">
      <c r="A154" s="40"/>
      <c r="B154" s="33" t="s">
        <v>2347</v>
      </c>
      <c r="C154" s="42">
        <v>66796.0</v>
      </c>
      <c r="D154" s="33" t="s">
        <v>2350</v>
      </c>
      <c r="E154" s="74"/>
      <c r="F154" s="46" t="s">
        <v>1348</v>
      </c>
      <c r="G154" s="75"/>
      <c r="H154" s="96" t="str">
        <f>HYPERLINK("http://mirror.ff7data.com.ar/ff7/data/minigame/chocobo.lgp/bh.tex.png","View Picture")</f>
        <v>View Picture</v>
      </c>
      <c r="K154" s="43"/>
    </row>
    <row r="155">
      <c r="A155" s="40"/>
      <c r="B155" s="33" t="s">
        <v>2365</v>
      </c>
      <c r="C155" s="42">
        <v>17644.0</v>
      </c>
      <c r="D155" s="33" t="s">
        <v>2368</v>
      </c>
      <c r="E155" s="74"/>
      <c r="F155" s="46" t="s">
        <v>1348</v>
      </c>
      <c r="G155" s="75"/>
      <c r="H155" s="96" t="str">
        <f>HYPERLINK("http://mirror.ff7data.com.ar/ff7/data/minigame/chocobo.lgp/bi.tex.png","View Picture")</f>
        <v>View Picture</v>
      </c>
      <c r="K155" s="43"/>
    </row>
    <row r="156">
      <c r="A156" s="40"/>
      <c r="B156" s="33" t="s">
        <v>2383</v>
      </c>
      <c r="C156" s="42">
        <v>17644.0</v>
      </c>
      <c r="D156" s="33" t="s">
        <v>2385</v>
      </c>
      <c r="E156" s="74"/>
      <c r="F156" s="46" t="s">
        <v>1348</v>
      </c>
      <c r="G156" s="75"/>
      <c r="H156" s="96" t="str">
        <f>HYPERLINK("http://mirror.ff7data.com.ar/ff7/data/minigame/chocobo.lgp/bj.tex.png","View Picture")</f>
        <v>View Picture</v>
      </c>
      <c r="K156" s="43"/>
    </row>
    <row r="157">
      <c r="A157" s="40"/>
      <c r="B157" s="33" t="s">
        <v>2398</v>
      </c>
      <c r="C157" s="42">
        <v>65836.0</v>
      </c>
      <c r="D157" s="33" t="s">
        <v>2401</v>
      </c>
      <c r="E157" s="74"/>
      <c r="F157" s="46" t="s">
        <v>1348</v>
      </c>
      <c r="G157" s="75"/>
      <c r="H157" s="96" t="str">
        <f>HYPERLINK("http://mirror.ff7data.com.ar/ff7/data/minigame/chocobo.lgp/bk.tex.png","EN")</f>
        <v>EN</v>
      </c>
      <c r="I157" s="98" t="str">
        <f>HYPERLINK("http://mirror.ff7data.com.ar/ff7/es/chocobo/bk.tex.png","ES")</f>
        <v>ES</v>
      </c>
      <c r="K157" s="43"/>
    </row>
    <row r="158">
      <c r="A158" s="40"/>
      <c r="B158" s="33" t="s">
        <v>2427</v>
      </c>
      <c r="C158" s="42">
        <v>65836.0</v>
      </c>
      <c r="D158" s="33" t="s">
        <v>2430</v>
      </c>
      <c r="E158" s="74"/>
      <c r="F158" s="46" t="s">
        <v>1348</v>
      </c>
      <c r="G158" s="75"/>
      <c r="H158" s="96" t="str">
        <f>HYPERLINK("http://mirror.ff7data.com.ar/ff7/data/minigame/chocobo.lgp/bl.tex.png","EN")</f>
        <v>EN</v>
      </c>
      <c r="I158" s="98" t="str">
        <f>HYPERLINK("http://mirror.ff7data.com.ar/ff7/es/chocobo/bl.tex.png","ES")</f>
        <v>ES</v>
      </c>
      <c r="K158" s="43"/>
    </row>
    <row r="159">
      <c r="A159" s="40"/>
      <c r="B159" s="33" t="s">
        <v>2456</v>
      </c>
      <c r="C159" s="42">
        <v>4396.0</v>
      </c>
      <c r="D159" s="33" t="s">
        <v>2457</v>
      </c>
      <c r="E159" s="74"/>
      <c r="F159" s="46" t="s">
        <v>1348</v>
      </c>
      <c r="G159" s="75"/>
      <c r="H159" s="96" t="str">
        <f>HYPERLINK("http://mirror.ff7data.com.ar/ff7/data/minigame/chocobo.lgp/bm.tex.png","View Picture")</f>
        <v>View Picture</v>
      </c>
      <c r="K159" s="43"/>
    </row>
    <row r="160">
      <c r="A160" s="40"/>
      <c r="B160" s="33" t="s">
        <v>2466</v>
      </c>
      <c r="C160" s="42">
        <v>8492.0</v>
      </c>
      <c r="D160" s="33" t="s">
        <v>2468</v>
      </c>
      <c r="E160" s="74"/>
      <c r="F160" s="46" t="s">
        <v>1348</v>
      </c>
      <c r="G160" s="75"/>
      <c r="H160" s="96" t="str">
        <f>HYPERLINK("http://mirror.ff7data.com.ar/ff7/data/minigame/chocobo.lgp/bn.tex.png","View Picture")</f>
        <v>View Picture</v>
      </c>
      <c r="K160" s="43"/>
    </row>
    <row r="161">
      <c r="A161" s="40"/>
      <c r="B161" s="33" t="s">
        <v>2477</v>
      </c>
      <c r="C161" s="42">
        <v>65836.0</v>
      </c>
      <c r="D161" s="33" t="s">
        <v>2479</v>
      </c>
      <c r="E161" s="74"/>
      <c r="F161" s="46" t="s">
        <v>1348</v>
      </c>
      <c r="G161" s="75"/>
      <c r="H161" s="96" t="str">
        <f>HYPERLINK("http://mirror.ff7data.com.ar/ff7/data/minigame/chocobo.lgp/bo.tex.png","EN")</f>
        <v>EN</v>
      </c>
      <c r="I161" s="98" t="str">
        <f>HYPERLINK("http://mirror.ff7data.com.ar/ff7/es/chocobo/bo.tex.png","ES")</f>
        <v>ES</v>
      </c>
      <c r="K161" s="43"/>
    </row>
    <row r="162">
      <c r="A162" s="40"/>
      <c r="B162" s="33" t="s">
        <v>2495</v>
      </c>
      <c r="C162" s="42">
        <v>33068.0</v>
      </c>
      <c r="D162" s="33" t="s">
        <v>2496</v>
      </c>
      <c r="E162" s="74"/>
      <c r="F162" s="46" t="s">
        <v>1348</v>
      </c>
      <c r="G162" s="75"/>
      <c r="H162" s="96" t="str">
        <f>HYPERLINK("http://mirror.ff7data.com.ar/ff7/data/minigame/chocobo.lgp/bp.tex.png","View Picture")</f>
        <v>View Picture</v>
      </c>
      <c r="K162" s="43"/>
    </row>
    <row r="163">
      <c r="A163" s="40"/>
      <c r="B163" s="33" t="s">
        <v>2506</v>
      </c>
      <c r="C163" s="42">
        <v>8492.0</v>
      </c>
      <c r="D163" s="33" t="s">
        <v>2508</v>
      </c>
      <c r="E163" s="74"/>
      <c r="F163" s="46" t="s">
        <v>1348</v>
      </c>
      <c r="G163" s="75"/>
      <c r="H163" s="96" t="str">
        <f>HYPERLINK("http://mirror.ff7data.com.ar/ff7/data/minigame/chocobo.lgp/bq.tex.png","EN")</f>
        <v>EN</v>
      </c>
      <c r="I163" s="98" t="str">
        <f>HYPERLINK("http://mirror.ff7data.com.ar/ff7/es/chocobo/bq.tex.png","ES")</f>
        <v>ES</v>
      </c>
      <c r="K163" s="43"/>
    </row>
    <row r="164">
      <c r="A164" s="40"/>
      <c r="B164" s="33" t="s">
        <v>2524</v>
      </c>
      <c r="C164" s="42">
        <v>33068.0</v>
      </c>
      <c r="D164" s="33" t="s">
        <v>2479</v>
      </c>
      <c r="E164" s="74"/>
      <c r="F164" s="46" t="s">
        <v>1348</v>
      </c>
      <c r="G164" s="75"/>
      <c r="H164" s="96" t="str">
        <f>HYPERLINK("http://mirror.ff7data.com.ar/ff7/data/minigame/chocobo.lgp/br.tex.png","View Picture")</f>
        <v>View Picture</v>
      </c>
      <c r="K164" s="43"/>
    </row>
    <row r="165">
      <c r="A165" s="40"/>
      <c r="B165" s="33" t="s">
        <v>2531</v>
      </c>
      <c r="C165" s="42">
        <v>4460.0</v>
      </c>
      <c r="D165" s="33" t="s">
        <v>2534</v>
      </c>
      <c r="E165" s="74"/>
      <c r="F165" s="46" t="s">
        <v>1348</v>
      </c>
      <c r="G165" s="75"/>
      <c r="H165" s="96" t="str">
        <f>HYPERLINK("http://mirror.ff7data.com.ar/ff7/data/minigame/chocobo.lgp/bs.tex.png","View Picture")</f>
        <v>View Picture</v>
      </c>
      <c r="K165" s="43"/>
    </row>
    <row r="166">
      <c r="A166" s="40"/>
      <c r="B166" s="33" t="s">
        <v>2550</v>
      </c>
      <c r="C166" s="42">
        <v>4460.0</v>
      </c>
      <c r="D166" s="33" t="s">
        <v>2552</v>
      </c>
      <c r="E166" s="74"/>
      <c r="F166" s="46" t="s">
        <v>1348</v>
      </c>
      <c r="G166" s="75"/>
      <c r="H166" s="96" t="str">
        <f>HYPERLINK("http://mirror.ff7data.com.ar/ff7/data/minigame/chocobo.lgp/bt.tex.png","View Picture")</f>
        <v>View Picture</v>
      </c>
      <c r="K166" s="43"/>
    </row>
    <row r="167">
      <c r="A167" s="40"/>
      <c r="B167" s="33" t="s">
        <v>2571</v>
      </c>
      <c r="C167" s="42">
        <v>33068.0</v>
      </c>
      <c r="D167" s="33" t="s">
        <v>2573</v>
      </c>
      <c r="E167" s="74"/>
      <c r="F167" s="46" t="s">
        <v>1348</v>
      </c>
      <c r="G167" s="75"/>
      <c r="H167" s="96" t="str">
        <f>HYPERLINK("http://mirror.ff7data.com.ar/ff7/data/minigame/chocobo.lgp/bu.tex.png","View Picture")</f>
        <v>View Picture</v>
      </c>
      <c r="K167" s="43"/>
    </row>
    <row r="168">
      <c r="A168" s="40"/>
      <c r="B168" s="33" t="s">
        <v>2592</v>
      </c>
      <c r="C168" s="42">
        <v>33644.0</v>
      </c>
      <c r="D168" s="33" t="s">
        <v>2595</v>
      </c>
      <c r="E168" s="74"/>
      <c r="F168" s="46" t="s">
        <v>1348</v>
      </c>
      <c r="G168" s="75"/>
      <c r="H168" s="96" t="str">
        <f>HYPERLINK("http://mirror.ff7data.com.ar/ff7/data/minigame/chocobo.lgp/bv.tex.png","View Picture")</f>
        <v>View Picture</v>
      </c>
      <c r="K168" s="43"/>
    </row>
    <row r="169">
      <c r="A169" s="40"/>
      <c r="B169" s="33" t="s">
        <v>2608</v>
      </c>
      <c r="C169" s="42">
        <v>66796.0</v>
      </c>
      <c r="D169" s="33" t="s">
        <v>2611</v>
      </c>
      <c r="E169" s="74"/>
      <c r="F169" s="46" t="s">
        <v>1348</v>
      </c>
      <c r="G169" s="75"/>
      <c r="H169" s="96" t="str">
        <f>HYPERLINK("http://mirror.ff7data.com.ar/ff7/data/minigame/chocobo.lgp/bw.tex.png","EN")</f>
        <v>EN</v>
      </c>
      <c r="I169" s="98" t="str">
        <f>HYPERLINK("http://mirror.ff7data.com.ar/ff7/es/chocobo/bw.tex.png","ES")</f>
        <v>ES</v>
      </c>
      <c r="K169" s="43"/>
    </row>
    <row r="170">
      <c r="A170" s="40"/>
      <c r="B170" s="33" t="s">
        <v>2632</v>
      </c>
      <c r="C170" s="42">
        <v>8492.0</v>
      </c>
      <c r="D170" s="33" t="s">
        <v>2634</v>
      </c>
      <c r="E170" s="74"/>
      <c r="F170" s="46" t="s">
        <v>1348</v>
      </c>
      <c r="G170" s="75"/>
      <c r="H170" s="96" t="str">
        <f>HYPERLINK("http://mirror.ff7data.com.ar/ff7/data/minigame/chocobo.lgp/bx.tex.png","View Picture")</f>
        <v>View Picture</v>
      </c>
      <c r="K170" s="43"/>
    </row>
    <row r="171">
      <c r="A171" s="40"/>
      <c r="B171" s="33" t="s">
        <v>2649</v>
      </c>
      <c r="C171" s="42">
        <v>8492.0</v>
      </c>
      <c r="D171" s="33" t="s">
        <v>2651</v>
      </c>
      <c r="E171" s="74"/>
      <c r="F171" s="46" t="s">
        <v>1348</v>
      </c>
      <c r="G171" s="75"/>
      <c r="H171" s="96" t="str">
        <f>HYPERLINK("http://mirror.ff7data.com.ar/ff7/data/minigame/chocobo.lgp/by.tex.png","View Picture")</f>
        <v>View Picture</v>
      </c>
      <c r="K171" s="43"/>
    </row>
    <row r="172">
      <c r="A172" s="40"/>
      <c r="B172" s="33" t="s">
        <v>2665</v>
      </c>
      <c r="C172" s="42">
        <v>16684.0</v>
      </c>
      <c r="D172" s="33" t="s">
        <v>2667</v>
      </c>
      <c r="E172" s="74"/>
      <c r="F172" s="46" t="s">
        <v>1348</v>
      </c>
      <c r="G172" s="75"/>
      <c r="H172" s="96" t="str">
        <f>HYPERLINK("http://mirror.ff7data.com.ar/ff7/data/minigame/chocobo.lgp/bz.tex.png","EN")</f>
        <v>EN</v>
      </c>
      <c r="I172" s="98" t="str">
        <f>HYPERLINK("http://mirror.ff7data.com.ar/ff7/es/chocobo/bz.tex.png","ES")</f>
        <v>ES</v>
      </c>
      <c r="K172" s="43"/>
    </row>
    <row r="173">
      <c r="A173" s="40"/>
      <c r="B173" s="33" t="s">
        <v>2692</v>
      </c>
      <c r="C173" s="42">
        <v>16684.0</v>
      </c>
      <c r="D173" s="33" t="s">
        <v>2695</v>
      </c>
      <c r="E173" s="74"/>
      <c r="F173" s="46" t="s">
        <v>1348</v>
      </c>
      <c r="G173" s="75"/>
      <c r="H173" s="96" t="str">
        <f>HYPERLINK("http://mirror.ff7data.com.ar/ff7/data/minigame/chocobo.lgp/ca.tex.png","EN")</f>
        <v>EN</v>
      </c>
      <c r="I173" s="98" t="str">
        <f>HYPERLINK("http://mirror.ff7data.com.ar/ff7/es/chocobo/ca.tex.png","ES")</f>
        <v>ES</v>
      </c>
      <c r="K173" s="43"/>
    </row>
    <row r="174">
      <c r="A174" s="40"/>
      <c r="B174" s="33" t="s">
        <v>2720</v>
      </c>
      <c r="C174" s="42">
        <v>2348.0</v>
      </c>
      <c r="D174" s="33" t="s">
        <v>2722</v>
      </c>
      <c r="E174" s="74"/>
      <c r="F174" s="46" t="s">
        <v>1348</v>
      </c>
      <c r="G174" s="75"/>
      <c r="H174" s="96" t="str">
        <f>HYPERLINK("http://mirror.ff7data.com.ar/ff7/data/minigame/chocobo.lgp/cb.tex.png","View Picture")</f>
        <v>View Picture</v>
      </c>
      <c r="K174" s="43"/>
    </row>
    <row r="175">
      <c r="A175" s="40"/>
      <c r="B175" s="33" t="s">
        <v>2735</v>
      </c>
      <c r="C175" s="42">
        <v>2348.0</v>
      </c>
      <c r="D175" s="33" t="s">
        <v>2737</v>
      </c>
      <c r="E175" s="74"/>
      <c r="F175" s="46" t="s">
        <v>1348</v>
      </c>
      <c r="G175" s="75"/>
      <c r="H175" s="96" t="str">
        <f>HYPERLINK("http://mirror.ff7data.com.ar/ff7/data/minigame/chocobo.lgp/cc.tex.png","View Picture")</f>
        <v>View Picture</v>
      </c>
      <c r="K175" s="43"/>
    </row>
    <row r="176">
      <c r="A176" s="40"/>
      <c r="B176" s="33" t="s">
        <v>2752</v>
      </c>
      <c r="C176" s="42">
        <v>986.0</v>
      </c>
      <c r="D176" s="33" t="s">
        <v>2754</v>
      </c>
      <c r="E176" s="74"/>
      <c r="F176" s="46" t="s">
        <v>2756</v>
      </c>
      <c r="G176" s="75"/>
      <c r="H176" s="96" t="str">
        <f>HYPERLINK("http://mirror.ff7data.com.ar/ff7/data/minigame/chocobo.lgp/cd.hrc.png","View Picture")</f>
        <v>View Picture</v>
      </c>
      <c r="K176" s="43"/>
    </row>
    <row r="177">
      <c r="A177" s="40"/>
      <c r="B177" s="33" t="s">
        <v>2771</v>
      </c>
      <c r="C177" s="42">
        <v>1376.0</v>
      </c>
      <c r="D177" s="33" t="s">
        <v>2773</v>
      </c>
      <c r="E177" s="74"/>
      <c r="F177" s="46" t="s">
        <v>2775</v>
      </c>
      <c r="G177" s="75"/>
      <c r="H177" s="96" t="str">
        <f>HYPERLINK("http://mirror.ff7data.com.ar/ff7/data/minigame/chocobo.lgp/ce.p.png","View Picture")</f>
        <v>View Picture</v>
      </c>
      <c r="K177" s="43"/>
    </row>
    <row r="178">
      <c r="A178" s="40"/>
      <c r="B178" s="33" t="s">
        <v>2790</v>
      </c>
      <c r="C178" s="42">
        <v>56.0</v>
      </c>
      <c r="D178" s="33" t="s">
        <v>2773</v>
      </c>
      <c r="E178" s="74"/>
      <c r="F178" s="46" t="s">
        <v>2793</v>
      </c>
      <c r="G178" s="75"/>
      <c r="H178" s="96" t="str">
        <f>HYPERLINK("http://mirror.ff7data.com.ar/ff7/data/minigame/chocobo.lgp/ce.rsd.png","View Picture")</f>
        <v>View Picture</v>
      </c>
      <c r="K178" s="43"/>
    </row>
    <row r="179">
      <c r="A179" s="40"/>
      <c r="B179" s="33" t="s">
        <v>2806</v>
      </c>
      <c r="C179" s="42">
        <v>1576.0</v>
      </c>
      <c r="D179" s="33" t="s">
        <v>2808</v>
      </c>
      <c r="E179" s="74"/>
      <c r="F179" s="46" t="s">
        <v>2775</v>
      </c>
      <c r="G179" s="75"/>
      <c r="H179" s="96" t="str">
        <f>HYPERLINK("http://mirror.ff7data.com.ar/ff7/data/minigame/chocobo.lgp/cf.p.png","View Picture")</f>
        <v>View Picture</v>
      </c>
      <c r="K179" s="43"/>
    </row>
    <row r="180">
      <c r="A180" s="40"/>
      <c r="B180" s="33" t="s">
        <v>2823</v>
      </c>
      <c r="C180" s="42">
        <v>56.0</v>
      </c>
      <c r="D180" s="33" t="s">
        <v>2808</v>
      </c>
      <c r="E180" s="74"/>
      <c r="F180" s="46" t="s">
        <v>2793</v>
      </c>
      <c r="G180" s="75"/>
      <c r="H180" s="96" t="str">
        <f>HYPERLINK("http://mirror.ff7data.com.ar/ff7/data/minigame/chocobo.lgp/cf.rsd.png","View Picture")</f>
        <v>View Picture</v>
      </c>
      <c r="K180" s="43"/>
    </row>
    <row r="181">
      <c r="A181" s="40"/>
      <c r="B181" s="33" t="s">
        <v>2840</v>
      </c>
      <c r="C181" s="42">
        <v>788.0</v>
      </c>
      <c r="D181" s="33" t="s">
        <v>2842</v>
      </c>
      <c r="E181" s="74"/>
      <c r="F181" s="46" t="s">
        <v>2775</v>
      </c>
      <c r="G181" s="75"/>
      <c r="H181" s="96" t="str">
        <f>HYPERLINK("http://mirror.ff7data.com.ar/ff7/data/minigame/chocobo.lgp/cg.p.png","View Picture")</f>
        <v>View Picture</v>
      </c>
      <c r="K181" s="43"/>
    </row>
    <row r="182">
      <c r="A182" s="40"/>
      <c r="B182" s="33" t="s">
        <v>2853</v>
      </c>
      <c r="C182" s="42">
        <v>139.0</v>
      </c>
      <c r="D182" s="33" t="s">
        <v>2855</v>
      </c>
      <c r="E182" s="74"/>
      <c r="F182" s="46" t="s">
        <v>2793</v>
      </c>
      <c r="G182" s="75"/>
      <c r="H182" s="96" t="str">
        <f>HYPERLINK("http://mirror.ff7data.com.ar/ff7/data/minigame/chocobo.lgp/cg.rsd.png","View Picture")</f>
        <v>View Picture</v>
      </c>
      <c r="K182" s="43"/>
    </row>
    <row r="183">
      <c r="A183" s="40"/>
      <c r="B183" s="33" t="s">
        <v>2870</v>
      </c>
      <c r="C183" s="42">
        <v>3844.0</v>
      </c>
      <c r="D183" s="33" t="s">
        <v>2872</v>
      </c>
      <c r="E183" s="74"/>
      <c r="F183" s="46" t="s">
        <v>2775</v>
      </c>
      <c r="G183" s="75"/>
      <c r="H183" s="96" t="str">
        <f>HYPERLINK("http://mirror.ff7data.com.ar/ff7/data/minigame/chocobo.lgp/ch.p.png","View Picture")</f>
        <v>View Picture</v>
      </c>
      <c r="K183" s="43"/>
    </row>
    <row r="184">
      <c r="A184" s="40"/>
      <c r="B184" s="33" t="s">
        <v>2881</v>
      </c>
      <c r="C184" s="42">
        <v>56.0</v>
      </c>
      <c r="D184" s="33" t="s">
        <v>2872</v>
      </c>
      <c r="E184" s="74"/>
      <c r="F184" s="46" t="s">
        <v>2793</v>
      </c>
      <c r="G184" s="75"/>
      <c r="H184" s="96" t="str">
        <f>HYPERLINK("http://mirror.ff7data.com.ar/ff7/data/minigame/chocobo.lgp/ch.rsd.png","View Picture")</f>
        <v>View Picture</v>
      </c>
      <c r="K184" s="43"/>
    </row>
    <row r="185">
      <c r="A185" s="84"/>
      <c r="B185" s="33" t="s">
        <v>2891</v>
      </c>
      <c r="C185" s="42">
        <v>1197042.0</v>
      </c>
      <c r="D185" s="33" t="s">
        <v>2894</v>
      </c>
      <c r="E185" s="74"/>
      <c r="F185" s="112" t="s">
        <v>2895</v>
      </c>
      <c r="G185" s="75"/>
      <c r="H185" s="114"/>
      <c r="K185" s="43"/>
    </row>
    <row r="186">
      <c r="A186" s="40"/>
      <c r="B186" s="33" t="s">
        <v>2913</v>
      </c>
      <c r="C186" s="42">
        <v>968.0</v>
      </c>
      <c r="D186" s="33" t="s">
        <v>2914</v>
      </c>
      <c r="E186" s="74"/>
      <c r="F186" s="46" t="s">
        <v>2775</v>
      </c>
      <c r="G186" s="75"/>
      <c r="H186" s="96" t="str">
        <f>HYPERLINK("http://mirror.ff7data.com.ar/ff7/data/minigame/chocobo.lgp/ci.p.png","View Picture")</f>
        <v>View Picture</v>
      </c>
      <c r="K186" s="43"/>
    </row>
    <row r="187">
      <c r="A187" s="40"/>
      <c r="B187" s="33" t="s">
        <v>2927</v>
      </c>
      <c r="C187" s="42">
        <v>56.0</v>
      </c>
      <c r="D187" s="33" t="s">
        <v>2914</v>
      </c>
      <c r="E187" s="74"/>
      <c r="F187" s="46" t="s">
        <v>2793</v>
      </c>
      <c r="G187" s="75"/>
      <c r="H187" s="96" t="str">
        <f>HYPERLINK("http://mirror.ff7data.com.ar/ff7/data/minigame/chocobo.lgp/ci.rsd.png","View Picture")</f>
        <v>View Picture</v>
      </c>
      <c r="K187" s="43"/>
    </row>
    <row r="188">
      <c r="A188" s="40"/>
      <c r="B188" s="33" t="s">
        <v>2935</v>
      </c>
      <c r="C188" s="42">
        <v>1576.0</v>
      </c>
      <c r="D188" s="33" t="s">
        <v>2937</v>
      </c>
      <c r="E188" s="74"/>
      <c r="F188" s="46" t="s">
        <v>2775</v>
      </c>
      <c r="G188" s="75"/>
      <c r="H188" s="96" t="str">
        <f>HYPERLINK("http://mirror.ff7data.com.ar/ff7/data/minigame/chocobo.lgp/cj.p.png","View Picture")</f>
        <v>View Picture</v>
      </c>
      <c r="K188" s="43"/>
    </row>
    <row r="189">
      <c r="A189" s="40"/>
      <c r="B189" s="33" t="s">
        <v>2948</v>
      </c>
      <c r="C189" s="42">
        <v>56.0</v>
      </c>
      <c r="D189" s="33" t="s">
        <v>2937</v>
      </c>
      <c r="E189" s="74"/>
      <c r="F189" s="46" t="s">
        <v>2793</v>
      </c>
      <c r="G189" s="75"/>
      <c r="H189" s="96" t="str">
        <f>HYPERLINK("http://mirror.ff7data.com.ar/ff7/data/minigame/chocobo.lgp/cj.rsd.png","View Picture")</f>
        <v>View Picture</v>
      </c>
      <c r="K189" s="43"/>
    </row>
    <row r="190">
      <c r="A190" s="40"/>
      <c r="B190" s="33" t="s">
        <v>2955</v>
      </c>
      <c r="C190" s="42">
        <v>1724.0</v>
      </c>
      <c r="D190" s="33" t="s">
        <v>2958</v>
      </c>
      <c r="E190" s="74"/>
      <c r="F190" s="46" t="s">
        <v>2775</v>
      </c>
      <c r="G190" s="75"/>
      <c r="H190" s="96" t="str">
        <f>HYPERLINK("http://mirror.ff7data.com.ar/ff7/data/minigame/chocobo.lgp/ck.p.png","View Picture")</f>
        <v>View Picture</v>
      </c>
      <c r="K190" s="43"/>
    </row>
    <row r="191">
      <c r="A191" s="40"/>
      <c r="B191" s="33" t="s">
        <v>2969</v>
      </c>
      <c r="C191" s="42">
        <v>56.0</v>
      </c>
      <c r="D191" s="33" t="s">
        <v>2958</v>
      </c>
      <c r="E191" s="74"/>
      <c r="F191" s="46" t="s">
        <v>2793</v>
      </c>
      <c r="G191" s="75"/>
      <c r="H191" s="96" t="str">
        <f>HYPERLINK("http://mirror.ff7data.com.ar/ff7/data/minigame/chocobo.lgp/ck.rsd.png","View Picture")</f>
        <v>View Picture</v>
      </c>
      <c r="K191" s="43"/>
    </row>
    <row r="192">
      <c r="A192" s="40"/>
      <c r="B192" s="33" t="s">
        <v>2996</v>
      </c>
      <c r="C192" s="42">
        <v>976.0</v>
      </c>
      <c r="D192" s="33" t="s">
        <v>2998</v>
      </c>
      <c r="E192" s="74"/>
      <c r="F192" s="46" t="s">
        <v>2775</v>
      </c>
      <c r="G192" s="75"/>
      <c r="H192" s="96" t="str">
        <f>HYPERLINK("http://mirror.ff7data.com.ar/ff7/data/minigame/chocobo.lgp/cl.p.png","View Picture")</f>
        <v>View Picture</v>
      </c>
      <c r="K192" s="43"/>
    </row>
    <row r="193">
      <c r="A193" s="40"/>
      <c r="B193" s="33" t="s">
        <v>3011</v>
      </c>
      <c r="C193" s="42">
        <v>56.0</v>
      </c>
      <c r="D193" s="33" t="s">
        <v>2998</v>
      </c>
      <c r="E193" s="74"/>
      <c r="F193" s="46" t="s">
        <v>2793</v>
      </c>
      <c r="G193" s="75"/>
      <c r="H193" s="96" t="str">
        <f>HYPERLINK("http://mirror.ff7data.com.ar/ff7/data/minigame/chocobo.lgp/cl.rsd.png","View Picture")</f>
        <v>View Picture</v>
      </c>
      <c r="K193" s="43"/>
    </row>
    <row r="194">
      <c r="A194" s="40"/>
      <c r="B194" s="33" t="s">
        <v>3022</v>
      </c>
      <c r="C194" s="42">
        <v>720.0</v>
      </c>
      <c r="D194" s="33" t="s">
        <v>3023</v>
      </c>
      <c r="E194" s="74"/>
      <c r="F194" s="46" t="s">
        <v>2775</v>
      </c>
      <c r="G194" s="75"/>
      <c r="H194" s="96" t="str">
        <f>HYPERLINK("http://mirror.ff7data.com.ar/ff7/data/minigame/chocobo.lgp/cm.p.png","View Picture")</f>
        <v>View Picture</v>
      </c>
      <c r="K194" s="43"/>
    </row>
    <row r="195">
      <c r="A195" s="40"/>
      <c r="B195" s="33" t="s">
        <v>3033</v>
      </c>
      <c r="C195" s="42">
        <v>56.0</v>
      </c>
      <c r="D195" s="33" t="s">
        <v>3023</v>
      </c>
      <c r="E195" s="74"/>
      <c r="F195" s="46" t="s">
        <v>2793</v>
      </c>
      <c r="G195" s="75"/>
      <c r="H195" s="96" t="str">
        <f>HYPERLINK("http://mirror.ff7data.com.ar/ff7/data/minigame/chocobo.lgp/cm.rsd.png","View Picture")</f>
        <v>View Picture</v>
      </c>
      <c r="K195" s="43"/>
    </row>
    <row r="196">
      <c r="A196" s="40"/>
      <c r="B196" s="33" t="s">
        <v>3045</v>
      </c>
      <c r="C196" s="42">
        <v>776.0</v>
      </c>
      <c r="D196" s="33" t="s">
        <v>3047</v>
      </c>
      <c r="E196" s="74"/>
      <c r="F196" s="46" t="s">
        <v>2775</v>
      </c>
      <c r="G196" s="75"/>
      <c r="H196" s="96" t="str">
        <f>HYPERLINK("http://mirror.ff7data.com.ar/ff7/data/minigame/chocobo.lgp/cn.p.png","View Picture")</f>
        <v>View Picture</v>
      </c>
      <c r="K196" s="43"/>
    </row>
    <row r="197">
      <c r="A197" s="40"/>
      <c r="B197" s="33" t="s">
        <v>3055</v>
      </c>
      <c r="C197" s="42">
        <v>56.0</v>
      </c>
      <c r="D197" s="33" t="s">
        <v>3047</v>
      </c>
      <c r="E197" s="74"/>
      <c r="F197" s="46" t="s">
        <v>2793</v>
      </c>
      <c r="G197" s="75"/>
      <c r="H197" s="96" t="str">
        <f>HYPERLINK("http://mirror.ff7data.com.ar/ff7/data/minigame/chocobo.lgp/cn.rsd.png","View Picture")</f>
        <v>View Picture</v>
      </c>
      <c r="K197" s="43"/>
    </row>
    <row r="198">
      <c r="A198" s="40"/>
      <c r="B198" s="33" t="s">
        <v>3066</v>
      </c>
      <c r="C198" s="42">
        <v>920.0</v>
      </c>
      <c r="D198" s="33" t="s">
        <v>3067</v>
      </c>
      <c r="E198" s="74"/>
      <c r="F198" s="46" t="s">
        <v>2775</v>
      </c>
      <c r="G198" s="75"/>
      <c r="H198" s="96" t="str">
        <f>HYPERLINK("http://mirror.ff7data.com.ar/ff7/data/minigame/chocobo.lgp/co.p.png","View Picture")</f>
        <v>View Picture</v>
      </c>
      <c r="K198" s="43"/>
    </row>
    <row r="199">
      <c r="A199" s="40"/>
      <c r="B199" s="33" t="s">
        <v>3075</v>
      </c>
      <c r="C199" s="42">
        <v>56.0</v>
      </c>
      <c r="D199" s="33" t="s">
        <v>3067</v>
      </c>
      <c r="E199" s="74"/>
      <c r="F199" s="46" t="s">
        <v>2793</v>
      </c>
      <c r="G199" s="75"/>
      <c r="H199" s="96" t="str">
        <f>HYPERLINK("http://mirror.ff7data.com.ar/ff7/data/minigame/chocobo.lgp/co.rsd.png","View Picture")</f>
        <v>View Picture</v>
      </c>
      <c r="K199" s="43"/>
    </row>
    <row r="200">
      <c r="A200" s="40"/>
      <c r="B200" s="33" t="s">
        <v>3088</v>
      </c>
      <c r="C200" s="42">
        <v>720.0</v>
      </c>
      <c r="D200" s="33" t="s">
        <v>3090</v>
      </c>
      <c r="E200" s="74"/>
      <c r="F200" s="46" t="s">
        <v>2775</v>
      </c>
      <c r="G200" s="75"/>
      <c r="H200" s="96" t="str">
        <f>HYPERLINK("http://mirror.ff7data.com.ar/ff7/data/minigame/chocobo.lgp/cp.p.png","View Picture")</f>
        <v>View Picture</v>
      </c>
      <c r="K200" s="43"/>
    </row>
    <row r="201">
      <c r="A201" s="40"/>
      <c r="B201" s="33" t="s">
        <v>3109</v>
      </c>
      <c r="C201" s="42">
        <v>56.0</v>
      </c>
      <c r="D201" s="33" t="s">
        <v>3090</v>
      </c>
      <c r="E201" s="74"/>
      <c r="F201" s="46" t="s">
        <v>2793</v>
      </c>
      <c r="G201" s="75"/>
      <c r="H201" s="96" t="str">
        <f>HYPERLINK("http://mirror.ff7data.com.ar/ff7/data/minigame/chocobo.lgp/cp.rsd.png","View Picture")</f>
        <v>View Picture</v>
      </c>
      <c r="K201" s="43"/>
    </row>
    <row r="202">
      <c r="A202" s="40"/>
      <c r="B202" s="33" t="s">
        <v>3121</v>
      </c>
      <c r="C202" s="42">
        <v>748.0</v>
      </c>
      <c r="D202" s="33" t="s">
        <v>2872</v>
      </c>
      <c r="E202" s="74"/>
      <c r="F202" s="46" t="s">
        <v>2775</v>
      </c>
      <c r="G202" s="75"/>
      <c r="H202" s="96" t="str">
        <f>HYPERLINK("http://mirror.ff7data.com.ar/ff7/data/minigame/chocobo.lgp/cq.p.png","View Picture")</f>
        <v>View Picture</v>
      </c>
      <c r="K202" s="43"/>
    </row>
    <row r="203">
      <c r="A203" s="40"/>
      <c r="B203" s="33" t="s">
        <v>3132</v>
      </c>
      <c r="C203" s="42">
        <v>56.0</v>
      </c>
      <c r="D203" s="33" t="s">
        <v>2872</v>
      </c>
      <c r="E203" s="74"/>
      <c r="F203" s="46" t="s">
        <v>2793</v>
      </c>
      <c r="G203" s="75"/>
      <c r="H203" s="96" t="str">
        <f>HYPERLINK("http://mirror.ff7data.com.ar/ff7/data/minigame/chocobo.lgp/cq.rsd.png","View Picture")</f>
        <v>View Picture</v>
      </c>
      <c r="K203" s="43"/>
    </row>
    <row r="204">
      <c r="A204" s="40"/>
      <c r="B204" s="33" t="s">
        <v>3141</v>
      </c>
      <c r="C204" s="42">
        <v>720.0</v>
      </c>
      <c r="D204" s="33" t="s">
        <v>3142</v>
      </c>
      <c r="E204" s="74"/>
      <c r="F204" s="46" t="s">
        <v>2775</v>
      </c>
      <c r="G204" s="75"/>
      <c r="H204" s="96" t="str">
        <f>HYPERLINK("http://mirror.ff7data.com.ar/ff7/data/minigame/chocobo.lgp/cr.p.png","View Picture")</f>
        <v>View Picture</v>
      </c>
      <c r="K204" s="43"/>
    </row>
    <row r="205">
      <c r="A205" s="40"/>
      <c r="B205" s="33" t="s">
        <v>3153</v>
      </c>
      <c r="C205" s="42">
        <v>56.0</v>
      </c>
      <c r="D205" s="33" t="s">
        <v>3142</v>
      </c>
      <c r="E205" s="74"/>
      <c r="F205" s="46" t="s">
        <v>2793</v>
      </c>
      <c r="G205" s="75"/>
      <c r="H205" s="96" t="str">
        <f>HYPERLINK("http://mirror.ff7data.com.ar/ff7/data/minigame/chocobo.lgp/cr.rsd.png","View Picture")</f>
        <v>View Picture</v>
      </c>
      <c r="K205" s="43"/>
    </row>
    <row r="206">
      <c r="A206" s="40"/>
      <c r="B206" s="33" t="s">
        <v>3164</v>
      </c>
      <c r="C206" s="42">
        <v>748.0</v>
      </c>
      <c r="D206" s="33" t="s">
        <v>2872</v>
      </c>
      <c r="E206" s="74"/>
      <c r="F206" s="46" t="s">
        <v>2775</v>
      </c>
      <c r="G206" s="75"/>
      <c r="H206" s="96" t="str">
        <f>HYPERLINK("http://mirror.ff7data.com.ar/ff7/data/minigame/chocobo.lgp/cs.p.png","View Picture")</f>
        <v>View Picture</v>
      </c>
      <c r="K206" s="43"/>
    </row>
    <row r="207">
      <c r="A207" s="40"/>
      <c r="B207" s="33" t="s">
        <v>3174</v>
      </c>
      <c r="C207" s="42">
        <v>56.0</v>
      </c>
      <c r="D207" s="33" t="s">
        <v>2872</v>
      </c>
      <c r="E207" s="74"/>
      <c r="F207" s="46" t="s">
        <v>2793</v>
      </c>
      <c r="G207" s="75"/>
      <c r="H207" s="96" t="str">
        <f>HYPERLINK("http://mirror.ff7data.com.ar/ff7/data/minigame/chocobo.lgp/cs.rsd.png","View Picture")</f>
        <v>View Picture</v>
      </c>
      <c r="K207" s="43"/>
    </row>
    <row r="208">
      <c r="A208" s="40"/>
      <c r="B208" s="33" t="s">
        <v>3183</v>
      </c>
      <c r="C208" s="42">
        <v>976.0</v>
      </c>
      <c r="D208" s="33" t="s">
        <v>3142</v>
      </c>
      <c r="E208" s="74"/>
      <c r="F208" s="46" t="s">
        <v>2775</v>
      </c>
      <c r="G208" s="75"/>
      <c r="H208" s="96" t="str">
        <f>HYPERLINK("http://mirror.ff7data.com.ar/ff7/data/minigame/chocobo.lgp/ct.p.png","View Picture")</f>
        <v>View Picture</v>
      </c>
      <c r="K208" s="43"/>
    </row>
    <row r="209">
      <c r="A209" s="40"/>
      <c r="B209" s="33" t="s">
        <v>3193</v>
      </c>
      <c r="C209" s="42">
        <v>56.0</v>
      </c>
      <c r="D209" s="33" t="s">
        <v>3142</v>
      </c>
      <c r="E209" s="74"/>
      <c r="F209" s="46" t="s">
        <v>2793</v>
      </c>
      <c r="G209" s="75"/>
      <c r="H209" s="96" t="str">
        <f>HYPERLINK("http://mirror.ff7data.com.ar/ff7/data/minigame/chocobo.lgp/ct.rsd.png","View Picture")</f>
        <v>View Picture</v>
      </c>
      <c r="K209" s="43"/>
    </row>
    <row r="210">
      <c r="A210" s="40"/>
      <c r="B210" s="33" t="s">
        <v>3205</v>
      </c>
      <c r="C210" s="42">
        <v>720.0</v>
      </c>
      <c r="D210" s="33" t="s">
        <v>3023</v>
      </c>
      <c r="E210" s="74"/>
      <c r="F210" s="46" t="s">
        <v>2775</v>
      </c>
      <c r="G210" s="75"/>
      <c r="H210" s="96" t="str">
        <f>HYPERLINK("http://mirror.ff7data.com.ar/ff7/data/minigame/chocobo.lgp/cu.p.png","View Picture")</f>
        <v>View Picture</v>
      </c>
      <c r="K210" s="43"/>
    </row>
    <row r="211">
      <c r="A211" s="40"/>
      <c r="B211" s="33" t="s">
        <v>3214</v>
      </c>
      <c r="C211" s="42">
        <v>56.0</v>
      </c>
      <c r="D211" s="33" t="s">
        <v>3023</v>
      </c>
      <c r="E211" s="74"/>
      <c r="F211" s="46" t="s">
        <v>2793</v>
      </c>
      <c r="G211" s="75"/>
      <c r="H211" s="96" t="str">
        <f>HYPERLINK("http://mirror.ff7data.com.ar/ff7/data/minigame/chocobo.lgp/cu.rsd.png","View Picture")</f>
        <v>View Picture</v>
      </c>
      <c r="K211" s="43"/>
    </row>
    <row r="212">
      <c r="A212" s="40"/>
      <c r="B212" s="33" t="s">
        <v>3226</v>
      </c>
      <c r="C212" s="42">
        <v>776.0</v>
      </c>
      <c r="D212" s="33" t="s">
        <v>3047</v>
      </c>
      <c r="E212" s="74"/>
      <c r="F212" s="46" t="s">
        <v>2775</v>
      </c>
      <c r="G212" s="75"/>
      <c r="H212" s="96" t="str">
        <f>HYPERLINK("http://mirror.ff7data.com.ar/ff7/data/minigame/chocobo.lgp/cv.p.png","View Picture")</f>
        <v>View Picture</v>
      </c>
      <c r="K212" s="43"/>
    </row>
    <row r="213">
      <c r="A213" s="40"/>
      <c r="B213" s="33" t="s">
        <v>3237</v>
      </c>
      <c r="C213" s="42">
        <v>56.0</v>
      </c>
      <c r="D213" s="33" t="s">
        <v>3047</v>
      </c>
      <c r="E213" s="74"/>
      <c r="F213" s="46" t="s">
        <v>2793</v>
      </c>
      <c r="G213" s="75"/>
      <c r="H213" s="96" t="str">
        <f>HYPERLINK("http://mirror.ff7data.com.ar/ff7/data/minigame/chocobo.lgp/cv.rsd.png","View Picture")</f>
        <v>View Picture</v>
      </c>
      <c r="K213" s="43"/>
    </row>
    <row r="214">
      <c r="A214" s="40"/>
      <c r="B214" s="33" t="s">
        <v>3241</v>
      </c>
      <c r="C214" s="42">
        <v>920.0</v>
      </c>
      <c r="D214" s="33" t="s">
        <v>3067</v>
      </c>
      <c r="E214" s="74"/>
      <c r="F214" s="46" t="s">
        <v>2775</v>
      </c>
      <c r="G214" s="75"/>
      <c r="H214" s="96" t="str">
        <f>HYPERLINK("http://mirror.ff7data.com.ar/ff7/data/minigame/chocobo.lgp/cw.p.png","View Picture")</f>
        <v>View Picture</v>
      </c>
      <c r="K214" s="43"/>
    </row>
    <row r="215">
      <c r="A215" s="40"/>
      <c r="B215" s="33" t="s">
        <v>3251</v>
      </c>
      <c r="C215" s="42">
        <v>56.0</v>
      </c>
      <c r="D215" s="33" t="s">
        <v>3067</v>
      </c>
      <c r="E215" s="74"/>
      <c r="F215" s="46" t="s">
        <v>2793</v>
      </c>
      <c r="G215" s="75"/>
      <c r="H215" s="96" t="str">
        <f>HYPERLINK("http://mirror.ff7data.com.ar/ff7/data/minigame/chocobo.lgp/cw.rsd.png","View Picture")</f>
        <v>View Picture</v>
      </c>
      <c r="K215" s="43"/>
    </row>
    <row r="216">
      <c r="A216" s="40"/>
      <c r="B216" s="33" t="s">
        <v>3268</v>
      </c>
      <c r="C216" s="42">
        <v>720.0</v>
      </c>
      <c r="D216" s="33" t="s">
        <v>3090</v>
      </c>
      <c r="E216" s="74"/>
      <c r="F216" s="46" t="s">
        <v>2775</v>
      </c>
      <c r="G216" s="75"/>
      <c r="H216" s="96" t="str">
        <f>HYPERLINK("http://mirror.ff7data.com.ar/ff7/data/minigame/chocobo.lgp/cx.p.png","View Picture")</f>
        <v>View Picture</v>
      </c>
      <c r="K216" s="43"/>
    </row>
    <row r="217">
      <c r="A217" s="40"/>
      <c r="B217" s="33" t="s">
        <v>3279</v>
      </c>
      <c r="C217" s="42">
        <v>56.0</v>
      </c>
      <c r="D217" s="33" t="s">
        <v>3090</v>
      </c>
      <c r="E217" s="74"/>
      <c r="F217" s="46" t="s">
        <v>2793</v>
      </c>
      <c r="G217" s="75"/>
      <c r="H217" s="96" t="str">
        <f>HYPERLINK("http://mirror.ff7data.com.ar/ff7/data/minigame/chocobo.lgp/cx.rsd.png","View Picture")</f>
        <v>View Picture</v>
      </c>
      <c r="K217" s="43"/>
    </row>
    <row r="218">
      <c r="A218" s="40"/>
      <c r="B218" s="33" t="s">
        <v>3289</v>
      </c>
      <c r="C218" s="42">
        <v>748.0</v>
      </c>
      <c r="D218" s="33" t="s">
        <v>2872</v>
      </c>
      <c r="E218" s="74"/>
      <c r="F218" s="46" t="s">
        <v>2775</v>
      </c>
      <c r="G218" s="75"/>
      <c r="H218" s="96" t="str">
        <f>HYPERLINK("http://mirror.ff7data.com.ar/ff7/data/minigame/chocobo.lgp/cy.p.png","View Picture")</f>
        <v>View Picture</v>
      </c>
      <c r="K218" s="43"/>
    </row>
    <row r="219">
      <c r="A219" s="40"/>
      <c r="B219" s="33" t="s">
        <v>3300</v>
      </c>
      <c r="C219" s="42">
        <v>56.0</v>
      </c>
      <c r="D219" s="33" t="s">
        <v>2872</v>
      </c>
      <c r="E219" s="74"/>
      <c r="F219" s="46" t="s">
        <v>2793</v>
      </c>
      <c r="G219" s="75"/>
      <c r="H219" s="96" t="str">
        <f>HYPERLINK("http://mirror.ff7data.com.ar/ff7/data/minigame/chocobo.lgp/cy.rsd.png","View Picture")</f>
        <v>View Picture</v>
      </c>
      <c r="K219" s="43"/>
    </row>
    <row r="220">
      <c r="A220" s="40"/>
      <c r="B220" s="33" t="s">
        <v>3310</v>
      </c>
      <c r="C220" s="42">
        <v>720.0</v>
      </c>
      <c r="D220" s="33" t="s">
        <v>3142</v>
      </c>
      <c r="E220" s="74"/>
      <c r="F220" s="46" t="s">
        <v>2775</v>
      </c>
      <c r="G220" s="75"/>
      <c r="H220" s="96" t="str">
        <f>HYPERLINK("http://mirror.ff7data.com.ar/ff7/data/minigame/chocobo.lgp/cz.p.png","View Picture")</f>
        <v>View Picture</v>
      </c>
      <c r="K220" s="43"/>
    </row>
    <row r="221">
      <c r="A221" s="40"/>
      <c r="B221" s="33" t="s">
        <v>3324</v>
      </c>
      <c r="C221" s="42">
        <v>56.0</v>
      </c>
      <c r="D221" s="33" t="s">
        <v>3142</v>
      </c>
      <c r="E221" s="74"/>
      <c r="F221" s="46" t="s">
        <v>2793</v>
      </c>
      <c r="G221" s="75"/>
      <c r="H221" s="96" t="str">
        <f>HYPERLINK("http://mirror.ff7data.com.ar/ff7/data/minigame/chocobo.lgp/cz.rsd.png","View Picture")</f>
        <v>View Picture</v>
      </c>
      <c r="K221" s="43"/>
    </row>
    <row r="222">
      <c r="A222" s="40"/>
      <c r="B222" s="33" t="s">
        <v>3337</v>
      </c>
      <c r="C222" s="42">
        <v>748.0</v>
      </c>
      <c r="D222" s="33" t="s">
        <v>3142</v>
      </c>
      <c r="E222" s="74"/>
      <c r="F222" s="46" t="s">
        <v>2775</v>
      </c>
      <c r="G222" s="75"/>
      <c r="H222" s="96" t="str">
        <f>HYPERLINK("http://mirror.ff7data.com.ar/ff7/data/minigame/chocobo.lgp/da.p.png","View Picture")</f>
        <v>View Picture</v>
      </c>
      <c r="K222" s="43"/>
    </row>
    <row r="223">
      <c r="A223" s="40"/>
      <c r="B223" s="33" t="s">
        <v>3350</v>
      </c>
      <c r="C223" s="42">
        <v>56.0</v>
      </c>
      <c r="D223" s="33" t="s">
        <v>3142</v>
      </c>
      <c r="E223" s="74"/>
      <c r="F223" s="46" t="s">
        <v>2793</v>
      </c>
      <c r="G223" s="75"/>
      <c r="H223" s="96" t="str">
        <f>HYPERLINK("http://mirror.ff7data.com.ar/ff7/data/minigame/chocobo.lgp/da.rsd.png","View Picture")</f>
        <v>View Picture</v>
      </c>
      <c r="K223" s="43"/>
    </row>
    <row r="224">
      <c r="A224" s="40"/>
      <c r="B224" s="33" t="s">
        <v>3362</v>
      </c>
      <c r="C224" s="42">
        <v>8676.0</v>
      </c>
      <c r="D224" s="33" t="s">
        <v>3364</v>
      </c>
      <c r="E224" s="74"/>
      <c r="F224" s="46" t="s">
        <v>3366</v>
      </c>
      <c r="G224" s="75"/>
      <c r="H224" s="114"/>
      <c r="K224" s="43"/>
    </row>
    <row r="225">
      <c r="A225" s="40"/>
      <c r="B225" s="33" t="s">
        <v>3369</v>
      </c>
      <c r="C225" s="42">
        <v>6516.0</v>
      </c>
      <c r="D225" s="33" t="s">
        <v>3371</v>
      </c>
      <c r="E225" s="74"/>
      <c r="F225" s="46" t="s">
        <v>3366</v>
      </c>
      <c r="G225" s="75"/>
      <c r="H225" s="114"/>
      <c r="K225" s="43"/>
    </row>
    <row r="226">
      <c r="A226" s="40"/>
      <c r="B226" s="33" t="s">
        <v>3375</v>
      </c>
      <c r="C226" s="42">
        <v>7236.0</v>
      </c>
      <c r="D226" s="33" t="s">
        <v>3377</v>
      </c>
      <c r="E226" s="74"/>
      <c r="F226" s="46" t="s">
        <v>3366</v>
      </c>
      <c r="G226" s="75"/>
      <c r="H226" s="114"/>
      <c r="K226" s="43"/>
    </row>
    <row r="227">
      <c r="A227" s="40"/>
      <c r="B227" s="33" t="s">
        <v>3379</v>
      </c>
      <c r="C227" s="42">
        <v>7236.0</v>
      </c>
      <c r="D227" s="33" t="s">
        <v>3381</v>
      </c>
      <c r="E227" s="74"/>
      <c r="F227" s="46" t="s">
        <v>3366</v>
      </c>
      <c r="G227" s="75"/>
      <c r="H227" s="114"/>
      <c r="K227" s="43"/>
    </row>
    <row r="228">
      <c r="A228" s="40"/>
      <c r="B228" s="33" t="s">
        <v>3384</v>
      </c>
      <c r="C228" s="42">
        <v>7236.0</v>
      </c>
      <c r="D228" s="33" t="s">
        <v>3386</v>
      </c>
      <c r="E228" s="74"/>
      <c r="F228" s="46" t="s">
        <v>3366</v>
      </c>
      <c r="G228" s="75"/>
      <c r="H228" s="114"/>
      <c r="K228" s="43"/>
    </row>
    <row r="229">
      <c r="A229" s="40"/>
      <c r="B229" s="33" t="s">
        <v>3388</v>
      </c>
      <c r="C229" s="42">
        <v>6516.0</v>
      </c>
      <c r="D229" s="33" t="s">
        <v>3390</v>
      </c>
      <c r="E229" s="74"/>
      <c r="F229" s="46" t="s">
        <v>3366</v>
      </c>
      <c r="G229" s="75"/>
      <c r="H229" s="114"/>
      <c r="K229" s="43"/>
    </row>
    <row r="230">
      <c r="A230" s="40"/>
      <c r="B230" s="33" t="s">
        <v>3393</v>
      </c>
      <c r="C230" s="42">
        <v>606.0</v>
      </c>
      <c r="D230" s="33" t="s">
        <v>3394</v>
      </c>
      <c r="E230" s="74"/>
      <c r="F230" s="46" t="s">
        <v>2756</v>
      </c>
      <c r="G230" s="75"/>
      <c r="H230" s="96" t="str">
        <f>HYPERLINK("http://mirror.ff7data.com.ar/ff7/data/minigame/chocobo.lgp/dh.hrc.png","View Picture")</f>
        <v>View Picture</v>
      </c>
      <c r="K230" s="43"/>
    </row>
    <row r="231">
      <c r="A231" s="40"/>
      <c r="B231" s="33" t="s">
        <v>3406</v>
      </c>
      <c r="C231" s="42">
        <v>1112.0</v>
      </c>
      <c r="D231" s="33" t="s">
        <v>3407</v>
      </c>
      <c r="E231" s="74"/>
      <c r="F231" s="46" t="s">
        <v>2775</v>
      </c>
      <c r="G231" s="75"/>
      <c r="H231" s="96" t="str">
        <f>HYPERLINK("http://mirror.ff7data.com.ar/ff7/data/minigame/chocobo.lgp/di.p.png","View Picture")</f>
        <v>View Picture</v>
      </c>
      <c r="K231" s="43"/>
    </row>
    <row r="232">
      <c r="A232" s="40"/>
      <c r="B232" s="33" t="s">
        <v>3419</v>
      </c>
      <c r="C232" s="42">
        <v>56.0</v>
      </c>
      <c r="D232" s="33" t="s">
        <v>3407</v>
      </c>
      <c r="E232" s="74"/>
      <c r="F232" s="46" t="s">
        <v>2793</v>
      </c>
      <c r="G232" s="75"/>
      <c r="H232" s="96" t="str">
        <f>HYPERLINK("http://mirror.ff7data.com.ar/ff7/data/minigame/chocobo.lgp/di.rsd.png","View Picture")</f>
        <v>View Picture</v>
      </c>
      <c r="K232" s="43"/>
    </row>
    <row r="233">
      <c r="A233" s="40"/>
      <c r="B233" s="33" t="s">
        <v>3430</v>
      </c>
      <c r="C233" s="42">
        <v>872.0</v>
      </c>
      <c r="D233" s="33" t="s">
        <v>3431</v>
      </c>
      <c r="E233" s="74"/>
      <c r="F233" s="46" t="s">
        <v>2775</v>
      </c>
      <c r="G233" s="75"/>
      <c r="H233" s="96" t="str">
        <f>HYPERLINK("http://mirror.ff7data.com.ar/ff7/data/minigame/chocobo.lgp/dj.p.png","View Picture")</f>
        <v>View Picture</v>
      </c>
      <c r="K233" s="43"/>
    </row>
    <row r="234">
      <c r="A234" s="40"/>
      <c r="B234" s="33" t="s">
        <v>3442</v>
      </c>
      <c r="C234" s="42">
        <v>56.0</v>
      </c>
      <c r="D234" s="33" t="s">
        <v>3431</v>
      </c>
      <c r="E234" s="74"/>
      <c r="F234" s="46" t="s">
        <v>2793</v>
      </c>
      <c r="G234" s="75"/>
      <c r="H234" s="96" t="str">
        <f>HYPERLINK("http://mirror.ff7data.com.ar/ff7/data/minigame/chocobo.lgp/dj.rsd.png","View Picture")</f>
        <v>View Picture</v>
      </c>
      <c r="K234" s="43"/>
    </row>
    <row r="235">
      <c r="A235" s="40"/>
      <c r="B235" s="33" t="s">
        <v>3454</v>
      </c>
      <c r="C235" s="42">
        <v>2292.0</v>
      </c>
      <c r="D235" s="33" t="s">
        <v>3456</v>
      </c>
      <c r="E235" s="74"/>
      <c r="F235" s="46" t="s">
        <v>2775</v>
      </c>
      <c r="G235" s="75"/>
      <c r="H235" s="96" t="str">
        <f>HYPERLINK("http://mirror.ff7data.com.ar/ff7/data/minigame/chocobo.lgp/dk.p.png","View Picture")</f>
        <v>View Picture</v>
      </c>
      <c r="K235" s="43"/>
    </row>
    <row r="236">
      <c r="A236" s="40"/>
      <c r="B236" s="33" t="s">
        <v>3462</v>
      </c>
      <c r="C236" s="42">
        <v>139.0</v>
      </c>
      <c r="D236" s="33" t="s">
        <v>3456</v>
      </c>
      <c r="E236" s="74"/>
      <c r="F236" s="46" t="s">
        <v>2793</v>
      </c>
      <c r="G236" s="75"/>
      <c r="H236" s="96" t="str">
        <f>HYPERLINK("http://mirror.ff7data.com.ar/ff7/data/minigame/chocobo.lgp/dk.rsd.png","View Picture")</f>
        <v>View Picture</v>
      </c>
      <c r="K236" s="43"/>
    </row>
    <row r="237">
      <c r="A237" s="40"/>
      <c r="B237" s="33" t="s">
        <v>3474</v>
      </c>
      <c r="C237" s="42">
        <v>676.0</v>
      </c>
      <c r="D237" s="33" t="s">
        <v>3476</v>
      </c>
      <c r="E237" s="74"/>
      <c r="F237" s="46" t="s">
        <v>2775</v>
      </c>
      <c r="G237" s="75"/>
      <c r="H237" s="96" t="str">
        <f>HYPERLINK("http://mirror.ff7data.com.ar/ff7/data/minigame/chocobo.lgp/dl.p.png","View Picture")</f>
        <v>View Picture</v>
      </c>
      <c r="K237" s="43"/>
    </row>
    <row r="238">
      <c r="A238" s="40"/>
      <c r="B238" s="33" t="s">
        <v>3487</v>
      </c>
      <c r="C238" s="42">
        <v>56.0</v>
      </c>
      <c r="D238" s="33" t="s">
        <v>3476</v>
      </c>
      <c r="E238" s="74"/>
      <c r="F238" s="46" t="s">
        <v>2793</v>
      </c>
      <c r="G238" s="75"/>
      <c r="H238" s="96" t="str">
        <f>HYPERLINK("http://mirror.ff7data.com.ar/ff7/data/minigame/chocobo.lgp/dl.rsd.png","View Picture")</f>
        <v>View Picture</v>
      </c>
      <c r="K238" s="43"/>
    </row>
    <row r="239">
      <c r="A239" s="40"/>
      <c r="B239" s="33" t="s">
        <v>3499</v>
      </c>
      <c r="C239" s="42">
        <v>748.0</v>
      </c>
      <c r="D239" s="33" t="s">
        <v>3501</v>
      </c>
      <c r="E239" s="74"/>
      <c r="F239" s="46" t="s">
        <v>2775</v>
      </c>
      <c r="G239" s="75"/>
      <c r="H239" s="96" t="str">
        <f>HYPERLINK("http://mirror.ff7data.com.ar/ff7/data/minigame/chocobo.lgp/dm.p.png","View Picture")</f>
        <v>View Picture</v>
      </c>
      <c r="K239" s="43"/>
    </row>
    <row r="240">
      <c r="A240" s="40"/>
      <c r="B240" s="33" t="s">
        <v>3510</v>
      </c>
      <c r="C240" s="42">
        <v>56.0</v>
      </c>
      <c r="D240" s="33" t="s">
        <v>3501</v>
      </c>
      <c r="E240" s="74"/>
      <c r="F240" s="46" t="s">
        <v>2793</v>
      </c>
      <c r="G240" s="75"/>
      <c r="H240" s="96" t="str">
        <f>HYPERLINK("http://mirror.ff7data.com.ar/ff7/data/minigame/chocobo.lgp/dm.rsd.png","View Picture")</f>
        <v>View Picture</v>
      </c>
      <c r="K240" s="43"/>
    </row>
    <row r="241">
      <c r="A241" s="40"/>
      <c r="B241" s="33" t="s">
        <v>3526</v>
      </c>
      <c r="C241" s="42">
        <v>676.0</v>
      </c>
      <c r="D241" s="33" t="s">
        <v>3476</v>
      </c>
      <c r="E241" s="74"/>
      <c r="F241" s="46" t="s">
        <v>2775</v>
      </c>
      <c r="G241" s="75"/>
      <c r="H241" s="96" t="str">
        <f>HYPERLINK("http://mirror.ff7data.com.ar/ff7/data/minigame/chocobo.lgp/dn.p.png","View Picture")</f>
        <v>View Picture</v>
      </c>
      <c r="K241" s="43"/>
    </row>
    <row r="242">
      <c r="A242" s="40"/>
      <c r="B242" s="33" t="s">
        <v>3537</v>
      </c>
      <c r="C242" s="42">
        <v>56.0</v>
      </c>
      <c r="D242" s="33" t="s">
        <v>3476</v>
      </c>
      <c r="E242" s="74"/>
      <c r="F242" s="46" t="s">
        <v>2793</v>
      </c>
      <c r="G242" s="75"/>
      <c r="H242" s="96" t="str">
        <f>HYPERLINK("http://mirror.ff7data.com.ar/ff7/data/minigame/chocobo.lgp/dn.rsd.png","View Picture")</f>
        <v>View Picture</v>
      </c>
      <c r="K242" s="43"/>
    </row>
    <row r="243">
      <c r="A243" s="40"/>
      <c r="B243" s="33" t="s">
        <v>3547</v>
      </c>
      <c r="C243" s="42">
        <v>748.0</v>
      </c>
      <c r="D243" s="33" t="s">
        <v>3501</v>
      </c>
      <c r="E243" s="74"/>
      <c r="F243" s="46" t="s">
        <v>2775</v>
      </c>
      <c r="G243" s="75"/>
      <c r="H243" s="96" t="str">
        <f>HYPERLINK("http://mirror.ff7data.com.ar/ff7/data/minigame/chocobo.lgp/do.p.png","View Picture")</f>
        <v>View Picture</v>
      </c>
      <c r="K243" s="43"/>
    </row>
    <row r="244">
      <c r="A244" s="40"/>
      <c r="B244" s="33" t="s">
        <v>3561</v>
      </c>
      <c r="C244" s="42">
        <v>56.0</v>
      </c>
      <c r="D244" s="33" t="s">
        <v>3501</v>
      </c>
      <c r="E244" s="74"/>
      <c r="F244" s="46" t="s">
        <v>2793</v>
      </c>
      <c r="G244" s="75"/>
      <c r="H244" s="96" t="str">
        <f>HYPERLINK("http://mirror.ff7data.com.ar/ff7/data/minigame/chocobo.lgp/do.rsd.png","View Picture")</f>
        <v>View Picture</v>
      </c>
      <c r="K244" s="43"/>
    </row>
    <row r="245">
      <c r="A245" s="40"/>
      <c r="B245" s="33" t="s">
        <v>3567</v>
      </c>
      <c r="C245" s="42">
        <v>676.0</v>
      </c>
      <c r="D245" s="33" t="s">
        <v>3570</v>
      </c>
      <c r="E245" s="74"/>
      <c r="F245" s="46" t="s">
        <v>2775</v>
      </c>
      <c r="G245" s="75"/>
      <c r="H245" s="96" t="str">
        <f>HYPERLINK("http://mirror.ff7data.com.ar/ff7/data/minigame/chocobo.lgp/dp.p.png","View Picture")</f>
        <v>View Picture</v>
      </c>
      <c r="K245" s="43"/>
    </row>
    <row r="246">
      <c r="A246" s="40"/>
      <c r="B246" s="33" t="s">
        <v>3580</v>
      </c>
      <c r="C246" s="42">
        <v>56.0</v>
      </c>
      <c r="D246" s="33" t="s">
        <v>3570</v>
      </c>
      <c r="E246" s="74"/>
      <c r="F246" s="46" t="s">
        <v>2793</v>
      </c>
      <c r="G246" s="75"/>
      <c r="H246" s="96" t="str">
        <f>HYPERLINK("http://mirror.ff7data.com.ar/ff7/data/minigame/chocobo.lgp/dp.rsd.png","View Picture")</f>
        <v>View Picture</v>
      </c>
      <c r="K246" s="43"/>
    </row>
    <row r="247">
      <c r="A247" s="40"/>
      <c r="B247" s="33" t="s">
        <v>3590</v>
      </c>
      <c r="C247" s="42">
        <v>748.0</v>
      </c>
      <c r="D247" s="33" t="s">
        <v>3593</v>
      </c>
      <c r="E247" s="74"/>
      <c r="F247" s="46" t="s">
        <v>2775</v>
      </c>
      <c r="G247" s="75"/>
      <c r="H247" s="96" t="str">
        <f>HYPERLINK("http://mirror.ff7data.com.ar/ff7/data/minigame/chocobo.lgp/dq.p.png","View Picture")</f>
        <v>View Picture</v>
      </c>
      <c r="K247" s="43"/>
    </row>
    <row r="248">
      <c r="A248" s="40"/>
      <c r="B248" s="33" t="s">
        <v>3600</v>
      </c>
      <c r="C248" s="42">
        <v>56.0</v>
      </c>
      <c r="D248" s="33" t="s">
        <v>3593</v>
      </c>
      <c r="E248" s="74"/>
      <c r="F248" s="46" t="s">
        <v>2793</v>
      </c>
      <c r="G248" s="75"/>
      <c r="H248" s="96" t="str">
        <f>HYPERLINK("http://mirror.ff7data.com.ar/ff7/data/minigame/chocobo.lgp/dq.rsd.png","View Picture")</f>
        <v>View Picture</v>
      </c>
      <c r="K248" s="43"/>
    </row>
    <row r="249">
      <c r="A249" s="40"/>
      <c r="B249" s="33" t="s">
        <v>3611</v>
      </c>
      <c r="C249" s="42">
        <v>576.0</v>
      </c>
      <c r="D249" s="33" t="s">
        <v>3615</v>
      </c>
      <c r="E249" s="74"/>
      <c r="F249" s="46" t="s">
        <v>2775</v>
      </c>
      <c r="G249" s="75"/>
      <c r="H249" s="96" t="str">
        <f>HYPERLINK("http://mirror.ff7data.com.ar/ff7/data/minigame/chocobo.lgp/dr.p.png","View Picture")</f>
        <v>View Picture</v>
      </c>
      <c r="K249" s="43"/>
    </row>
    <row r="250">
      <c r="A250" s="40"/>
      <c r="B250" s="33" t="s">
        <v>3622</v>
      </c>
      <c r="C250" s="42">
        <v>56.0</v>
      </c>
      <c r="D250" s="33" t="s">
        <v>3615</v>
      </c>
      <c r="E250" s="74"/>
      <c r="F250" s="46" t="s">
        <v>2793</v>
      </c>
      <c r="G250" s="75"/>
      <c r="H250" s="96" t="str">
        <f>HYPERLINK("http://mirror.ff7data.com.ar/ff7/data/minigame/chocobo.lgp/dr.rsd.png","View Picture")</f>
        <v>View Picture</v>
      </c>
      <c r="K250" s="43"/>
    </row>
    <row r="251">
      <c r="A251" s="40"/>
      <c r="B251" s="33" t="s">
        <v>3634</v>
      </c>
      <c r="C251" s="42">
        <v>676.0</v>
      </c>
      <c r="D251" s="33" t="s">
        <v>3570</v>
      </c>
      <c r="E251" s="74"/>
      <c r="F251" s="46" t="s">
        <v>2775</v>
      </c>
      <c r="G251" s="75"/>
      <c r="H251" s="96" t="str">
        <f>HYPERLINK("http://mirror.ff7data.com.ar/ff7/data/minigame/chocobo.lgp/ds.p.png","View Picture")</f>
        <v>View Picture</v>
      </c>
      <c r="K251" s="43"/>
    </row>
    <row r="252">
      <c r="A252" s="40"/>
      <c r="B252" s="33" t="s">
        <v>3645</v>
      </c>
      <c r="C252" s="42">
        <v>56.0</v>
      </c>
      <c r="D252" s="33" t="s">
        <v>3570</v>
      </c>
      <c r="E252" s="74"/>
      <c r="F252" s="46" t="s">
        <v>2793</v>
      </c>
      <c r="G252" s="75"/>
      <c r="H252" s="96" t="str">
        <f>HYPERLINK("http://mirror.ff7data.com.ar/ff7/data/minigame/chocobo.lgp/ds.rsd.png","View Picture")</f>
        <v>View Picture</v>
      </c>
      <c r="K252" s="43"/>
    </row>
    <row r="253">
      <c r="A253" s="40"/>
      <c r="B253" s="33" t="s">
        <v>3659</v>
      </c>
      <c r="C253" s="42">
        <v>748.0</v>
      </c>
      <c r="D253" s="33" t="s">
        <v>3593</v>
      </c>
      <c r="E253" s="74"/>
      <c r="F253" s="46" t="s">
        <v>2775</v>
      </c>
      <c r="G253" s="75"/>
      <c r="H253" s="96" t="str">
        <f>HYPERLINK("http://mirror.ff7data.com.ar/ff7/data/minigame/chocobo.lgp/dt.p.png","View Picture")</f>
        <v>View Picture</v>
      </c>
      <c r="K253" s="43"/>
    </row>
    <row r="254">
      <c r="A254" s="40"/>
      <c r="B254" s="33" t="s">
        <v>3668</v>
      </c>
      <c r="C254" s="42">
        <v>56.0</v>
      </c>
      <c r="D254" s="33" t="s">
        <v>3593</v>
      </c>
      <c r="E254" s="74"/>
      <c r="F254" s="46" t="s">
        <v>2793</v>
      </c>
      <c r="G254" s="75"/>
      <c r="H254" s="96" t="str">
        <f>HYPERLINK("http://mirror.ff7data.com.ar/ff7/data/minigame/chocobo.lgp/dt.rsd.png","View Picture")</f>
        <v>View Picture</v>
      </c>
      <c r="K254" s="43"/>
    </row>
    <row r="255">
      <c r="A255" s="40"/>
      <c r="B255" s="33" t="s">
        <v>3679</v>
      </c>
      <c r="C255" s="42">
        <v>576.0</v>
      </c>
      <c r="D255" s="33" t="s">
        <v>3615</v>
      </c>
      <c r="E255" s="74"/>
      <c r="F255" s="46" t="s">
        <v>2775</v>
      </c>
      <c r="G255" s="75"/>
      <c r="H255" s="96" t="str">
        <f>HYPERLINK("http://mirror.ff7data.com.ar/ff7/data/minigame/chocobo.lgp/du.p.png","View Picture")</f>
        <v>View Picture</v>
      </c>
      <c r="K255" s="43"/>
    </row>
    <row r="256">
      <c r="A256" s="40"/>
      <c r="B256" s="33" t="s">
        <v>3689</v>
      </c>
      <c r="C256" s="42">
        <v>56.0</v>
      </c>
      <c r="D256" s="33" t="s">
        <v>3615</v>
      </c>
      <c r="E256" s="74"/>
      <c r="F256" s="46" t="s">
        <v>2793</v>
      </c>
      <c r="G256" s="75"/>
      <c r="H256" s="96" t="str">
        <f>HYPERLINK("http://mirror.ff7data.com.ar/ff7/data/minigame/chocobo.lgp/du.rsd.png","View Picture")</f>
        <v>View Picture</v>
      </c>
      <c r="K256" s="43"/>
    </row>
    <row r="257">
      <c r="A257" s="40"/>
      <c r="B257" s="33" t="s">
        <v>3692</v>
      </c>
      <c r="C257" s="42">
        <v>5508.0</v>
      </c>
      <c r="D257" s="33" t="s">
        <v>3694</v>
      </c>
      <c r="E257" s="74"/>
      <c r="F257" s="46" t="s">
        <v>3366</v>
      </c>
      <c r="G257" s="75"/>
      <c r="H257" s="114"/>
      <c r="K257" s="43"/>
    </row>
    <row r="258">
      <c r="A258" s="40"/>
      <c r="B258" s="33" t="s">
        <v>3698</v>
      </c>
      <c r="C258" s="42">
        <v>2088.0</v>
      </c>
      <c r="D258" s="33" t="s">
        <v>3699</v>
      </c>
      <c r="E258" s="74"/>
      <c r="F258" s="46" t="s">
        <v>3366</v>
      </c>
      <c r="G258" s="75"/>
      <c r="H258" s="114"/>
      <c r="K258" s="43"/>
    </row>
    <row r="259">
      <c r="A259" s="40"/>
      <c r="B259" s="33" t="s">
        <v>3701</v>
      </c>
      <c r="C259" s="42">
        <v>4596.0</v>
      </c>
      <c r="D259" s="33" t="s">
        <v>3703</v>
      </c>
      <c r="E259" s="74"/>
      <c r="F259" s="46" t="s">
        <v>3366</v>
      </c>
      <c r="G259" s="75"/>
      <c r="H259" s="114"/>
      <c r="K259" s="43"/>
    </row>
    <row r="260">
      <c r="A260" s="40"/>
      <c r="B260" s="33" t="s">
        <v>3706</v>
      </c>
      <c r="C260" s="42">
        <v>4596.0</v>
      </c>
      <c r="D260" s="33" t="s">
        <v>3707</v>
      </c>
      <c r="E260" s="74"/>
      <c r="F260" s="46" t="s">
        <v>3366</v>
      </c>
      <c r="G260" s="75"/>
      <c r="H260" s="114"/>
      <c r="K260" s="43"/>
    </row>
    <row r="261">
      <c r="A261" s="40"/>
      <c r="B261" s="33" t="s">
        <v>3711</v>
      </c>
      <c r="C261" s="42">
        <v>4596.0</v>
      </c>
      <c r="D261" s="33" t="s">
        <v>3712</v>
      </c>
      <c r="E261" s="74"/>
      <c r="F261" s="46" t="s">
        <v>3366</v>
      </c>
      <c r="G261" s="75"/>
      <c r="H261" s="114"/>
      <c r="K261" s="43"/>
    </row>
    <row r="262">
      <c r="A262" s="40"/>
      <c r="B262" s="33" t="s">
        <v>3715</v>
      </c>
      <c r="C262" s="42">
        <v>606.0</v>
      </c>
      <c r="D262" s="33" t="s">
        <v>3717</v>
      </c>
      <c r="E262" s="74"/>
      <c r="F262" s="46" t="s">
        <v>2756</v>
      </c>
      <c r="G262" s="75"/>
      <c r="H262" s="96" t="str">
        <f>HYPERLINK("http://mirror.ff7data.com.ar/ff7/data/minigame/chocobo.lgp/ea.hrc.png","View Picture")</f>
        <v>View Picture</v>
      </c>
      <c r="K262" s="43"/>
    </row>
    <row r="263">
      <c r="A263" s="40"/>
      <c r="B263" s="33" t="s">
        <v>3725</v>
      </c>
      <c r="C263" s="42">
        <v>876.0</v>
      </c>
      <c r="D263" s="33" t="s">
        <v>3728</v>
      </c>
      <c r="E263" s="74"/>
      <c r="F263" s="46" t="s">
        <v>2775</v>
      </c>
      <c r="G263" s="75"/>
      <c r="H263" s="96" t="str">
        <f>HYPERLINK("http://mirror.ff7data.com.ar/ff7/data/minigame/chocobo.lgp/eb.p.png","View Picture")</f>
        <v>View Picture</v>
      </c>
      <c r="K263" s="43"/>
    </row>
    <row r="264">
      <c r="A264" s="40"/>
      <c r="B264" s="33" t="s">
        <v>3736</v>
      </c>
      <c r="C264" s="42">
        <v>56.0</v>
      </c>
      <c r="D264" s="33" t="s">
        <v>3728</v>
      </c>
      <c r="E264" s="74"/>
      <c r="F264" s="46" t="s">
        <v>2793</v>
      </c>
      <c r="G264" s="75"/>
      <c r="H264" s="96" t="str">
        <f>HYPERLINK("http://mirror.ff7data.com.ar/ff7/data/minigame/chocobo.lgp/eb.rsd.png","View Picture")</f>
        <v>View Picture</v>
      </c>
      <c r="K264" s="43"/>
    </row>
    <row r="265">
      <c r="A265" s="40"/>
      <c r="B265" s="33" t="s">
        <v>3745</v>
      </c>
      <c r="C265" s="42">
        <v>1176.0</v>
      </c>
      <c r="D265" s="33" t="s">
        <v>3747</v>
      </c>
      <c r="E265" s="74"/>
      <c r="F265" s="46" t="s">
        <v>2775</v>
      </c>
      <c r="G265" s="75"/>
      <c r="H265" s="96" t="str">
        <f>HYPERLINK("http://mirror.ff7data.com.ar/ff7/data/minigame/chocobo.lgp/ec.p.png","View Picture")</f>
        <v>View Picture</v>
      </c>
      <c r="K265" s="43"/>
    </row>
    <row r="266">
      <c r="A266" s="40"/>
      <c r="B266" s="33" t="s">
        <v>3759</v>
      </c>
      <c r="C266" s="42">
        <v>56.0</v>
      </c>
      <c r="D266" s="33" t="s">
        <v>3747</v>
      </c>
      <c r="E266" s="74"/>
      <c r="F266" s="46" t="s">
        <v>2793</v>
      </c>
      <c r="G266" s="75"/>
      <c r="H266" s="96" t="str">
        <f>HYPERLINK("http://mirror.ff7data.com.ar/ff7/data/minigame/chocobo.lgp/ec.rsd.png","View Picture")</f>
        <v>View Picture</v>
      </c>
      <c r="K266" s="43"/>
    </row>
    <row r="267">
      <c r="A267" s="40"/>
      <c r="B267" s="33" t="s">
        <v>3769</v>
      </c>
      <c r="C267" s="42">
        <v>5080.0</v>
      </c>
      <c r="D267" s="33" t="s">
        <v>3771</v>
      </c>
      <c r="E267" s="74"/>
      <c r="F267" s="46" t="s">
        <v>2775</v>
      </c>
      <c r="G267" s="75"/>
      <c r="H267" s="96" t="str">
        <f>HYPERLINK("http://mirror.ff7data.com.ar/ff7/data/minigame/chocobo.lgp/ed.p.png","View Picture")</f>
        <v>View Picture</v>
      </c>
      <c r="K267" s="43"/>
    </row>
    <row r="268">
      <c r="A268" s="40"/>
      <c r="B268" s="33" t="s">
        <v>3778</v>
      </c>
      <c r="C268" s="42">
        <v>139.0</v>
      </c>
      <c r="D268" s="33" t="s">
        <v>3771</v>
      </c>
      <c r="E268" s="74"/>
      <c r="F268" s="46" t="s">
        <v>2793</v>
      </c>
      <c r="G268" s="75"/>
      <c r="H268" s="96" t="str">
        <f>HYPERLINK("http://mirror.ff7data.com.ar/ff7/data/minigame/chocobo.lgp/ed.rsd.png","View Picture")</f>
        <v>View Picture</v>
      </c>
      <c r="K268" s="43"/>
    </row>
    <row r="269">
      <c r="A269" s="40"/>
      <c r="B269" s="33" t="s">
        <v>3788</v>
      </c>
      <c r="C269" s="42">
        <v>748.0</v>
      </c>
      <c r="D269" s="33" t="s">
        <v>3791</v>
      </c>
      <c r="E269" s="74"/>
      <c r="F269" s="46" t="s">
        <v>2775</v>
      </c>
      <c r="G269" s="75"/>
      <c r="H269" s="96" t="str">
        <f>HYPERLINK("http://mirror.ff7data.com.ar/ff7/data/minigame/chocobo.lgp/ee.p.png","View Picture")</f>
        <v>View Picture</v>
      </c>
      <c r="K269" s="43"/>
    </row>
    <row r="270">
      <c r="A270" s="40"/>
      <c r="B270" s="33" t="s">
        <v>3799</v>
      </c>
      <c r="C270" s="42">
        <v>56.0</v>
      </c>
      <c r="D270" s="33" t="s">
        <v>3791</v>
      </c>
      <c r="E270" s="74"/>
      <c r="F270" s="46" t="s">
        <v>2793</v>
      </c>
      <c r="G270" s="75"/>
      <c r="H270" s="96" t="str">
        <f>HYPERLINK("http://mirror.ff7data.com.ar/ff7/data/minigame/chocobo.lgp/ee.rsd.png","View Picture")</f>
        <v>View Picture</v>
      </c>
      <c r="K270" s="43"/>
    </row>
    <row r="271">
      <c r="A271" s="40"/>
      <c r="B271" s="33" t="s">
        <v>3809</v>
      </c>
      <c r="C271" s="42">
        <v>748.0</v>
      </c>
      <c r="D271" s="33" t="s">
        <v>3811</v>
      </c>
      <c r="E271" s="74"/>
      <c r="F271" s="46" t="s">
        <v>2775</v>
      </c>
      <c r="G271" s="75"/>
      <c r="H271" s="96" t="str">
        <f>HYPERLINK("http://mirror.ff7data.com.ar/ff7/data/minigame/chocobo.lgp/ef.p.png","View Picture")</f>
        <v>View Picture</v>
      </c>
      <c r="K271" s="43"/>
    </row>
    <row r="272">
      <c r="A272" s="40"/>
      <c r="B272" s="33" t="s">
        <v>3819</v>
      </c>
      <c r="C272" s="42">
        <v>56.0</v>
      </c>
      <c r="D272" s="33" t="s">
        <v>3811</v>
      </c>
      <c r="E272" s="74"/>
      <c r="F272" s="46" t="s">
        <v>2793</v>
      </c>
      <c r="G272" s="75"/>
      <c r="H272" s="96" t="str">
        <f>HYPERLINK("http://mirror.ff7data.com.ar/ff7/data/minigame/chocobo.lgp/ef.rsd.png","View Picture")</f>
        <v>View Picture</v>
      </c>
      <c r="K272" s="43"/>
    </row>
    <row r="273">
      <c r="A273" s="40"/>
      <c r="B273" s="33" t="s">
        <v>3829</v>
      </c>
      <c r="C273" s="42">
        <v>676.0</v>
      </c>
      <c r="D273" s="33" t="s">
        <v>3791</v>
      </c>
      <c r="E273" s="74"/>
      <c r="F273" s="46" t="s">
        <v>2775</v>
      </c>
      <c r="G273" s="75"/>
      <c r="H273" s="96" t="str">
        <f>HYPERLINK("http://mirror.ff7data.com.ar/ff7/data/minigame/chocobo.lgp/eg.p.png","View Picture")</f>
        <v>View Picture</v>
      </c>
      <c r="K273" s="43"/>
    </row>
    <row r="274">
      <c r="A274" s="40"/>
      <c r="B274" s="33" t="s">
        <v>3839</v>
      </c>
      <c r="C274" s="42">
        <v>56.0</v>
      </c>
      <c r="D274" s="33" t="s">
        <v>3791</v>
      </c>
      <c r="E274" s="74"/>
      <c r="F274" s="46" t="s">
        <v>2793</v>
      </c>
      <c r="G274" s="75"/>
      <c r="H274" s="96" t="str">
        <f>HYPERLINK("http://mirror.ff7data.com.ar/ff7/data/minigame/chocobo.lgp/eg.rsd.png","View Picture")</f>
        <v>View Picture</v>
      </c>
      <c r="K274" s="43"/>
    </row>
    <row r="275">
      <c r="A275" s="40"/>
      <c r="B275" s="33" t="s">
        <v>3851</v>
      </c>
      <c r="C275" s="42">
        <v>748.0</v>
      </c>
      <c r="D275" s="33" t="s">
        <v>3811</v>
      </c>
      <c r="E275" s="74"/>
      <c r="F275" s="46" t="s">
        <v>2775</v>
      </c>
      <c r="G275" s="75"/>
      <c r="H275" s="96" t="str">
        <f>HYPERLINK("http://mirror.ff7data.com.ar/ff7/data/minigame/chocobo.lgp/eh.p.png","View Picture")</f>
        <v>View Picture</v>
      </c>
      <c r="K275" s="43"/>
    </row>
    <row r="276">
      <c r="A276" s="40"/>
      <c r="B276" s="33" t="s">
        <v>3861</v>
      </c>
      <c r="C276" s="42">
        <v>56.0</v>
      </c>
      <c r="D276" s="33" t="s">
        <v>3811</v>
      </c>
      <c r="E276" s="74"/>
      <c r="F276" s="46" t="s">
        <v>2793</v>
      </c>
      <c r="G276" s="75"/>
      <c r="H276" s="96" t="str">
        <f>HYPERLINK("http://mirror.ff7data.com.ar/ff7/data/minigame/chocobo.lgp/eh.rsd.png","View Picture")</f>
        <v>View Picture</v>
      </c>
      <c r="K276" s="43"/>
    </row>
    <row r="277">
      <c r="A277" s="40"/>
      <c r="B277" s="33" t="s">
        <v>3872</v>
      </c>
      <c r="C277" s="42">
        <v>976.0</v>
      </c>
      <c r="D277" s="33" t="s">
        <v>3874</v>
      </c>
      <c r="E277" s="74"/>
      <c r="F277" s="46" t="s">
        <v>2775</v>
      </c>
      <c r="G277" s="75"/>
      <c r="H277" s="96" t="str">
        <f>HYPERLINK("http://mirror.ff7data.com.ar/ff7/data/minigame/chocobo.lgp/ei.p.png","View Picture")</f>
        <v>View Picture</v>
      </c>
      <c r="K277" s="43"/>
    </row>
    <row r="278">
      <c r="A278" s="40"/>
      <c r="B278" s="33" t="s">
        <v>3884</v>
      </c>
      <c r="C278" s="42">
        <v>56.0</v>
      </c>
      <c r="D278" s="33" t="s">
        <v>3874</v>
      </c>
      <c r="E278" s="74"/>
      <c r="F278" s="46" t="s">
        <v>2793</v>
      </c>
      <c r="G278" s="75"/>
      <c r="H278" s="96" t="str">
        <f>HYPERLINK("http://mirror.ff7data.com.ar/ff7/data/minigame/chocobo.lgp/ei.rsd.png","View Picture")</f>
        <v>View Picture</v>
      </c>
      <c r="K278" s="43"/>
    </row>
    <row r="279">
      <c r="A279" s="40"/>
      <c r="B279" s="33" t="s">
        <v>3898</v>
      </c>
      <c r="C279" s="42">
        <v>720.0</v>
      </c>
      <c r="D279" s="33" t="s">
        <v>3900</v>
      </c>
      <c r="E279" s="74"/>
      <c r="F279" s="46" t="s">
        <v>2775</v>
      </c>
      <c r="G279" s="75"/>
      <c r="H279" s="96" t="str">
        <f>HYPERLINK("http://mirror.ff7data.com.ar/ff7/data/minigame/chocobo.lgp/ej.p.png","View Picture")</f>
        <v>View Picture</v>
      </c>
      <c r="K279" s="43"/>
    </row>
    <row r="280">
      <c r="A280" s="40"/>
      <c r="B280" s="33" t="s">
        <v>3911</v>
      </c>
      <c r="C280" s="42">
        <v>56.0</v>
      </c>
      <c r="D280" s="33" t="s">
        <v>3900</v>
      </c>
      <c r="E280" s="74"/>
      <c r="F280" s="46" t="s">
        <v>2793</v>
      </c>
      <c r="G280" s="75"/>
      <c r="H280" s="96" t="str">
        <f>HYPERLINK("http://mirror.ff7data.com.ar/ff7/data/minigame/chocobo.lgp/ej.rsd.png","View Picture")</f>
        <v>View Picture</v>
      </c>
      <c r="K280" s="43"/>
    </row>
    <row r="281">
      <c r="A281" s="40"/>
      <c r="B281" s="33" t="s">
        <v>3922</v>
      </c>
      <c r="C281" s="42">
        <v>576.0</v>
      </c>
      <c r="D281" s="33" t="s">
        <v>3924</v>
      </c>
      <c r="E281" s="74"/>
      <c r="F281" s="46" t="s">
        <v>2775</v>
      </c>
      <c r="G281" s="75"/>
      <c r="H281" s="96" t="str">
        <f>HYPERLINK("http://mirror.ff7data.com.ar/ff7/data/minigame/chocobo.lgp/ek.p.png","View Picture")</f>
        <v>View Picture</v>
      </c>
      <c r="K281" s="43"/>
    </row>
    <row r="282">
      <c r="A282" s="40"/>
      <c r="B282" s="33" t="s">
        <v>3933</v>
      </c>
      <c r="C282" s="42">
        <v>56.0</v>
      </c>
      <c r="D282" s="33" t="s">
        <v>3924</v>
      </c>
      <c r="E282" s="74"/>
      <c r="F282" s="46" t="s">
        <v>2793</v>
      </c>
      <c r="G282" s="75"/>
      <c r="H282" s="96" t="str">
        <f>HYPERLINK("http://mirror.ff7data.com.ar/ff7/data/minigame/chocobo.lgp/ek.rsd.png","View Picture")</f>
        <v>View Picture</v>
      </c>
      <c r="K282" s="43"/>
    </row>
    <row r="283">
      <c r="A283" s="40"/>
      <c r="B283" s="33" t="s">
        <v>3943</v>
      </c>
      <c r="C283" s="42">
        <v>976.0</v>
      </c>
      <c r="D283" s="33" t="s">
        <v>3874</v>
      </c>
      <c r="E283" s="74"/>
      <c r="F283" s="46" t="s">
        <v>2775</v>
      </c>
      <c r="G283" s="75"/>
      <c r="H283" s="96" t="str">
        <f>HYPERLINK("http://mirror.ff7data.com.ar/ff7/data/minigame/chocobo.lgp/el.p.png","View Picture")</f>
        <v>View Picture</v>
      </c>
      <c r="K283" s="43"/>
    </row>
    <row r="284">
      <c r="A284" s="40"/>
      <c r="B284" s="33" t="s">
        <v>3959</v>
      </c>
      <c r="C284" s="42">
        <v>56.0</v>
      </c>
      <c r="D284" s="33" t="s">
        <v>3874</v>
      </c>
      <c r="E284" s="74"/>
      <c r="F284" s="46" t="s">
        <v>2793</v>
      </c>
      <c r="G284" s="75"/>
      <c r="H284" s="96" t="str">
        <f>HYPERLINK("http://mirror.ff7data.com.ar/ff7/data/minigame/chocobo.lgp/el.rsd.png","View Picture")</f>
        <v>View Picture</v>
      </c>
      <c r="K284" s="43"/>
    </row>
    <row r="285">
      <c r="A285" s="40"/>
      <c r="B285" s="33" t="s">
        <v>3975</v>
      </c>
      <c r="C285" s="42">
        <v>720.0</v>
      </c>
      <c r="D285" s="33" t="s">
        <v>3900</v>
      </c>
      <c r="E285" s="74"/>
      <c r="F285" s="46" t="s">
        <v>2775</v>
      </c>
      <c r="G285" s="75"/>
      <c r="H285" s="96" t="str">
        <f>HYPERLINK("http://mirror.ff7data.com.ar/ff7/data/minigame/chocobo.lgp/em.p.png","View Picture")</f>
        <v>View Picture</v>
      </c>
      <c r="K285" s="43"/>
    </row>
    <row r="286">
      <c r="A286" s="40"/>
      <c r="B286" s="33" t="s">
        <v>3987</v>
      </c>
      <c r="C286" s="42">
        <v>56.0</v>
      </c>
      <c r="D286" s="33" t="s">
        <v>3900</v>
      </c>
      <c r="E286" s="74"/>
      <c r="F286" s="46" t="s">
        <v>2793</v>
      </c>
      <c r="G286" s="75"/>
      <c r="H286" s="96" t="str">
        <f>HYPERLINK("http://mirror.ff7data.com.ar/ff7/data/minigame/chocobo.lgp/em.rsd.png","View Picture")</f>
        <v>View Picture</v>
      </c>
      <c r="K286" s="43"/>
    </row>
    <row r="287">
      <c r="A287" s="40"/>
      <c r="B287" s="33" t="s">
        <v>3999</v>
      </c>
      <c r="C287" s="42">
        <v>576.0</v>
      </c>
      <c r="D287" s="33" t="s">
        <v>3924</v>
      </c>
      <c r="E287" s="74"/>
      <c r="F287" s="46" t="s">
        <v>2775</v>
      </c>
      <c r="G287" s="75"/>
      <c r="H287" s="96" t="str">
        <f>HYPERLINK("http://mirror.ff7data.com.ar/ff7/data/minigame/chocobo.lgp/en.p.png","View Picture")</f>
        <v>View Picture</v>
      </c>
      <c r="K287" s="43"/>
    </row>
    <row r="288">
      <c r="A288" s="40"/>
      <c r="B288" s="33" t="s">
        <v>4004</v>
      </c>
      <c r="C288" s="42">
        <v>56.0</v>
      </c>
      <c r="D288" s="33" t="s">
        <v>3924</v>
      </c>
      <c r="E288" s="74"/>
      <c r="F288" s="46" t="s">
        <v>2793</v>
      </c>
      <c r="G288" s="75"/>
      <c r="H288" s="96" t="str">
        <f>HYPERLINK("http://mirror.ff7data.com.ar/ff7/data/minigame/chocobo.lgp/en.rsd.png","View Picture")</f>
        <v>View Picture</v>
      </c>
      <c r="K288" s="43"/>
    </row>
    <row r="289">
      <c r="A289" s="40"/>
      <c r="B289" s="33" t="s">
        <v>4014</v>
      </c>
      <c r="C289" s="42">
        <v>5508.0</v>
      </c>
      <c r="D289" s="33" t="s">
        <v>4015</v>
      </c>
      <c r="E289" s="74"/>
      <c r="F289" s="46" t="s">
        <v>3366</v>
      </c>
      <c r="G289" s="75"/>
      <c r="H289" s="114"/>
      <c r="K289" s="43"/>
    </row>
    <row r="290">
      <c r="A290" s="40"/>
      <c r="B290" s="33" t="s">
        <v>4019</v>
      </c>
      <c r="C290" s="42">
        <v>4140.0</v>
      </c>
      <c r="D290" s="33" t="s">
        <v>4020</v>
      </c>
      <c r="E290" s="74"/>
      <c r="F290" s="46" t="s">
        <v>3366</v>
      </c>
      <c r="G290" s="75"/>
      <c r="H290" s="114"/>
      <c r="K290" s="43"/>
    </row>
    <row r="291">
      <c r="A291" s="40"/>
      <c r="B291" s="33" t="s">
        <v>4022</v>
      </c>
      <c r="C291" s="42">
        <v>4596.0</v>
      </c>
      <c r="D291" s="33" t="s">
        <v>4024</v>
      </c>
      <c r="E291" s="74"/>
      <c r="F291" s="46" t="s">
        <v>3366</v>
      </c>
      <c r="G291" s="75"/>
      <c r="H291" s="114"/>
      <c r="K291" s="43"/>
    </row>
    <row r="292">
      <c r="A292" s="40"/>
      <c r="B292" s="33" t="s">
        <v>4027</v>
      </c>
      <c r="C292" s="42">
        <v>4596.0</v>
      </c>
      <c r="D292" s="33" t="s">
        <v>4029</v>
      </c>
      <c r="E292" s="74"/>
      <c r="F292" s="46" t="s">
        <v>3366</v>
      </c>
      <c r="G292" s="75"/>
      <c r="H292" s="114"/>
      <c r="K292" s="43"/>
    </row>
    <row r="293">
      <c r="A293" s="40"/>
      <c r="B293" s="33" t="s">
        <v>4033</v>
      </c>
      <c r="C293" s="42">
        <v>4596.0</v>
      </c>
      <c r="D293" s="33" t="s">
        <v>4034</v>
      </c>
      <c r="E293" s="74"/>
      <c r="F293" s="46" t="s">
        <v>3366</v>
      </c>
      <c r="G293" s="75"/>
      <c r="H293" s="114"/>
      <c r="K293" s="43"/>
    </row>
    <row r="294">
      <c r="A294" s="84"/>
      <c r="B294" s="33" t="s">
        <v>4037</v>
      </c>
      <c r="C294" s="42">
        <v>4140.0</v>
      </c>
      <c r="D294" s="33" t="s">
        <v>4039</v>
      </c>
      <c r="E294" s="74"/>
      <c r="F294" s="46" t="s">
        <v>3366</v>
      </c>
      <c r="G294" s="75"/>
      <c r="H294" s="114"/>
      <c r="K294" s="43"/>
    </row>
    <row r="295">
      <c r="A295" s="40"/>
      <c r="B295" s="33" t="s">
        <v>4041</v>
      </c>
      <c r="C295" s="42">
        <v>245.0</v>
      </c>
      <c r="D295" s="33" t="s">
        <v>4044</v>
      </c>
      <c r="E295" s="74"/>
      <c r="F295" s="46" t="s">
        <v>2756</v>
      </c>
      <c r="G295" s="75"/>
      <c r="H295" s="96" t="str">
        <f>HYPERLINK("http://mirror.ff7data.com.ar/ff7/data/minigame/chocobo.lgp/eu.hrc.png","View Picture")</f>
        <v>View Picture</v>
      </c>
      <c r="K295" s="43"/>
    </row>
    <row r="296">
      <c r="A296" s="40"/>
      <c r="B296" s="33" t="s">
        <v>4052</v>
      </c>
      <c r="C296" s="42">
        <v>1864.0</v>
      </c>
      <c r="D296" s="33" t="s">
        <v>4054</v>
      </c>
      <c r="E296" s="74"/>
      <c r="F296" s="46" t="s">
        <v>2775</v>
      </c>
      <c r="G296" s="75"/>
      <c r="H296" s="96" t="str">
        <f>HYPERLINK("http://mirror.ff7data.com.ar/ff7/data/minigame/chocobo.lgp/ev.p.png","View Picture")</f>
        <v>View Picture</v>
      </c>
      <c r="K296" s="43"/>
    </row>
    <row r="297">
      <c r="A297" s="40"/>
      <c r="B297" s="33" t="s">
        <v>4065</v>
      </c>
      <c r="C297" s="42">
        <v>139.0</v>
      </c>
      <c r="D297" s="33" t="s">
        <v>4054</v>
      </c>
      <c r="E297" s="74"/>
      <c r="F297" s="46" t="s">
        <v>2793</v>
      </c>
      <c r="G297" s="75"/>
      <c r="H297" s="96" t="str">
        <f>HYPERLINK("http://mirror.ff7data.com.ar/ff7/data/minigame/chocobo.lgp/ev.rsd.png","View Picture")</f>
        <v>View Picture</v>
      </c>
      <c r="K297" s="43"/>
    </row>
    <row r="298">
      <c r="A298" s="40"/>
      <c r="B298" s="33" t="s">
        <v>4074</v>
      </c>
      <c r="C298" s="42">
        <v>1724.0</v>
      </c>
      <c r="D298" s="33" t="s">
        <v>4054</v>
      </c>
      <c r="E298" s="74"/>
      <c r="F298" s="46" t="s">
        <v>2775</v>
      </c>
      <c r="G298" s="75"/>
      <c r="H298" s="96" t="str">
        <f>HYPERLINK("http://mirror.ff7data.com.ar/ff7/data/minigame/chocobo.lgp/ew.p.png","View Picture")</f>
        <v>View Picture</v>
      </c>
      <c r="K298" s="43"/>
    </row>
    <row r="299">
      <c r="A299" s="40"/>
      <c r="B299" s="33" t="s">
        <v>4083</v>
      </c>
      <c r="C299" s="42">
        <v>139.0</v>
      </c>
      <c r="D299" s="33" t="s">
        <v>4054</v>
      </c>
      <c r="E299" s="74"/>
      <c r="F299" s="46" t="s">
        <v>2793</v>
      </c>
      <c r="G299" s="75"/>
      <c r="H299" s="96" t="str">
        <f>HYPERLINK("http://mirror.ff7data.com.ar/ff7/data/minigame/chocobo.lgp/ew.rsd.png","View Picture")</f>
        <v>View Picture</v>
      </c>
      <c r="K299" s="43"/>
    </row>
    <row r="300">
      <c r="A300" s="40"/>
      <c r="B300" s="33" t="s">
        <v>4094</v>
      </c>
      <c r="C300" s="42">
        <v>1724.0</v>
      </c>
      <c r="D300" s="33" t="s">
        <v>4054</v>
      </c>
      <c r="E300" s="74"/>
      <c r="F300" s="46" t="s">
        <v>2775</v>
      </c>
      <c r="G300" s="75"/>
      <c r="H300" s="96" t="str">
        <f>HYPERLINK("http://mirror.ff7data.com.ar/ff7/data/minigame/chocobo.lgp/ex.p.png","View Picture")</f>
        <v>View Picture</v>
      </c>
      <c r="K300" s="43"/>
    </row>
    <row r="301">
      <c r="A301" s="40"/>
      <c r="B301" s="33" t="s">
        <v>4107</v>
      </c>
      <c r="C301" s="42">
        <v>139.0</v>
      </c>
      <c r="D301" s="33" t="s">
        <v>4054</v>
      </c>
      <c r="E301" s="74"/>
      <c r="F301" s="46" t="s">
        <v>2793</v>
      </c>
      <c r="G301" s="75"/>
      <c r="H301" s="96" t="str">
        <f>HYPERLINK("http://mirror.ff7data.com.ar/ff7/data/minigame/chocobo.lgp/ex.rsd.png","View Picture")</f>
        <v>View Picture</v>
      </c>
      <c r="K301" s="43"/>
    </row>
    <row r="302">
      <c r="A302" s="40"/>
      <c r="B302" s="33" t="s">
        <v>4118</v>
      </c>
      <c r="C302" s="42">
        <v>14436.0</v>
      </c>
      <c r="D302" s="33" t="s">
        <v>4120</v>
      </c>
      <c r="E302" s="74"/>
      <c r="F302" s="46" t="s">
        <v>3366</v>
      </c>
      <c r="G302" s="75"/>
      <c r="H302" s="114"/>
      <c r="K302" s="43"/>
    </row>
    <row r="303">
      <c r="A303" s="40"/>
      <c r="B303" s="33" t="s">
        <v>4124</v>
      </c>
      <c r="C303" s="42">
        <v>123.0</v>
      </c>
      <c r="D303" s="33" t="s">
        <v>4125</v>
      </c>
      <c r="E303" s="74"/>
      <c r="F303" s="46" t="s">
        <v>2756</v>
      </c>
      <c r="G303" s="75"/>
      <c r="H303" s="96" t="str">
        <f>HYPERLINK("http://mirror.ff7data.com.ar/ff7/data/minigame/chocobo.lgp/ez.hrc.png","View Picture")</f>
        <v>View Picture</v>
      </c>
      <c r="K303" s="43"/>
    </row>
    <row r="304">
      <c r="A304" s="40"/>
      <c r="B304" s="33" t="s">
        <v>4134</v>
      </c>
      <c r="C304" s="42">
        <v>5752.0</v>
      </c>
      <c r="D304" s="33" t="s">
        <v>4136</v>
      </c>
      <c r="E304" s="74"/>
      <c r="F304" s="46" t="s">
        <v>2775</v>
      </c>
      <c r="G304" s="75"/>
      <c r="H304" s="96" t="str">
        <f>HYPERLINK("http://mirror.ff7data.com.ar/ff7/data/minigame/chocobo.lgp/fa.p.png","View Picture")</f>
        <v>View Picture</v>
      </c>
      <c r="K304" s="43"/>
    </row>
    <row r="305">
      <c r="A305" s="40"/>
      <c r="B305" s="33" t="s">
        <v>4144</v>
      </c>
      <c r="C305" s="42">
        <v>56.0</v>
      </c>
      <c r="D305" s="33" t="s">
        <v>4136</v>
      </c>
      <c r="E305" s="74"/>
      <c r="F305" s="46" t="s">
        <v>2793</v>
      </c>
      <c r="G305" s="75"/>
      <c r="H305" s="96" t="str">
        <f>HYPERLINK("http://mirror.ff7data.com.ar/ff7/data/minigame/chocobo.lgp/fa.rsd.png","View Picture")</f>
        <v>View Picture</v>
      </c>
      <c r="K305" s="43"/>
    </row>
    <row r="306">
      <c r="A306" s="40"/>
      <c r="B306" s="33" t="s">
        <v>4154</v>
      </c>
      <c r="C306" s="42">
        <v>5752.0</v>
      </c>
      <c r="D306" s="33" t="s">
        <v>4136</v>
      </c>
      <c r="E306" s="74"/>
      <c r="F306" s="46" t="s">
        <v>2775</v>
      </c>
      <c r="G306" s="75"/>
      <c r="H306" s="96" t="str">
        <f>HYPERLINK("http://mirror.ff7data.com.ar/ff7/data/minigame/chocobo.lgp/fb.p.png","View Picture")</f>
        <v>View Picture</v>
      </c>
      <c r="K306" s="43"/>
    </row>
    <row r="307">
      <c r="A307" s="40"/>
      <c r="B307" s="33" t="s">
        <v>4165</v>
      </c>
      <c r="C307" s="42">
        <v>56.0</v>
      </c>
      <c r="D307" s="33" t="s">
        <v>4136</v>
      </c>
      <c r="E307" s="74"/>
      <c r="F307" s="46" t="s">
        <v>2793</v>
      </c>
      <c r="G307" s="75"/>
      <c r="H307" s="96" t="str">
        <f>HYPERLINK("http://mirror.ff7data.com.ar/ff7/data/minigame/chocobo.lgp/fb.rsd.png","View Picture")</f>
        <v>View Picture</v>
      </c>
      <c r="K307" s="43"/>
    </row>
    <row r="308">
      <c r="A308" s="40"/>
      <c r="B308" s="33" t="s">
        <v>4177</v>
      </c>
      <c r="C308" s="42">
        <v>5752.0</v>
      </c>
      <c r="D308" s="33" t="s">
        <v>4136</v>
      </c>
      <c r="E308" s="74"/>
      <c r="F308" s="46" t="s">
        <v>2775</v>
      </c>
      <c r="G308" s="75"/>
      <c r="H308" s="96" t="str">
        <f>HYPERLINK("http://mirror.ff7data.com.ar/ff7/data/minigame/chocobo.lgp/fc.p.png","View Picture")</f>
        <v>View Picture</v>
      </c>
      <c r="K308" s="43"/>
    </row>
    <row r="309">
      <c r="A309" s="40"/>
      <c r="B309" s="33" t="s">
        <v>4188</v>
      </c>
      <c r="C309" s="42">
        <v>56.0</v>
      </c>
      <c r="D309" s="33" t="s">
        <v>4136</v>
      </c>
      <c r="E309" s="74"/>
      <c r="F309" s="46" t="s">
        <v>2793</v>
      </c>
      <c r="G309" s="75"/>
      <c r="H309" s="96" t="str">
        <f>HYPERLINK("http://mirror.ff7data.com.ar/ff7/data/minigame/chocobo.lgp/fc.rsd.png","View Picture")</f>
        <v>View Picture</v>
      </c>
      <c r="K309" s="43"/>
    </row>
    <row r="310">
      <c r="A310" s="40"/>
      <c r="B310" s="33" t="s">
        <v>4202</v>
      </c>
      <c r="C310" s="42">
        <v>2616.0</v>
      </c>
      <c r="D310" s="33" t="s">
        <v>4203</v>
      </c>
      <c r="E310" s="74"/>
      <c r="F310" s="46" t="s">
        <v>2775</v>
      </c>
      <c r="G310" s="75"/>
      <c r="H310" s="96" t="str">
        <f>HYPERLINK("http://mirror.ff7data.com.ar/ff7/data/minigame/chocobo.lgp/fd.p.png","View Picture")</f>
        <v>View Picture</v>
      </c>
      <c r="K310" s="43"/>
    </row>
    <row r="311">
      <c r="A311" s="40"/>
      <c r="B311" s="33" t="s">
        <v>4214</v>
      </c>
      <c r="C311" s="42">
        <v>139.0</v>
      </c>
      <c r="D311" s="33" t="s">
        <v>4203</v>
      </c>
      <c r="E311" s="74"/>
      <c r="F311" s="46" t="s">
        <v>2793</v>
      </c>
      <c r="G311" s="75"/>
      <c r="H311" s="96" t="str">
        <f>HYPERLINK("http://mirror.ff7data.com.ar/ff7/data/minigame/chocobo.lgp/fd.rsd.png","View Picture")</f>
        <v>View Picture</v>
      </c>
      <c r="K311" s="43"/>
    </row>
    <row r="312">
      <c r="A312" s="40"/>
      <c r="B312" s="33" t="s">
        <v>4226</v>
      </c>
      <c r="C312" s="42">
        <v>3548.0</v>
      </c>
      <c r="D312" s="33" t="s">
        <v>4229</v>
      </c>
      <c r="E312" s="74"/>
      <c r="F312" s="46" t="s">
        <v>2775</v>
      </c>
      <c r="G312" s="75"/>
      <c r="H312" s="96" t="str">
        <f>HYPERLINK("http://mirror.ff7data.com.ar/ff7/data/minigame/chocobo.lgp/fe.p.png","View Picture")</f>
        <v>View Picture</v>
      </c>
      <c r="K312" s="43"/>
    </row>
    <row r="313">
      <c r="A313" s="40"/>
      <c r="B313" s="33" t="s">
        <v>4246</v>
      </c>
      <c r="C313" s="42">
        <v>139.0</v>
      </c>
      <c r="D313" s="33" t="s">
        <v>4229</v>
      </c>
      <c r="E313" s="74"/>
      <c r="F313" s="46" t="s">
        <v>2793</v>
      </c>
      <c r="G313" s="75"/>
      <c r="H313" s="96" t="str">
        <f>HYPERLINK("http://mirror.ff7data.com.ar/ff7/data/minigame/chocobo.lgp/fe.rsd.png","View Picture")</f>
        <v>View Picture</v>
      </c>
      <c r="K313" s="43"/>
    </row>
    <row r="314">
      <c r="A314" s="40"/>
      <c r="B314" s="33" t="s">
        <v>4258</v>
      </c>
      <c r="C314" s="42">
        <v>11544.0</v>
      </c>
      <c r="D314" s="33" t="s">
        <v>4259</v>
      </c>
      <c r="E314" s="74"/>
      <c r="F314" s="46" t="s">
        <v>2775</v>
      </c>
      <c r="G314" s="75"/>
      <c r="H314" s="96" t="str">
        <f>HYPERLINK("http://mirror.ff7data.com.ar/ff7/data/minigame/chocobo.lgp/ff.p.png","View Picture")</f>
        <v>View Picture</v>
      </c>
      <c r="K314" s="43"/>
    </row>
    <row r="315">
      <c r="A315" s="40"/>
      <c r="B315" s="33" t="s">
        <v>4268</v>
      </c>
      <c r="C315" s="42">
        <v>139.0</v>
      </c>
      <c r="D315" s="33" t="s">
        <v>4259</v>
      </c>
      <c r="E315" s="74"/>
      <c r="F315" s="46" t="s">
        <v>2793</v>
      </c>
      <c r="G315" s="75"/>
      <c r="H315" s="96" t="str">
        <f>HYPERLINK("http://mirror.ff7data.com.ar/ff7/data/minigame/chocobo.lgp/ff.rsd.png","View Picture")</f>
        <v>View Picture</v>
      </c>
      <c r="K315" s="43"/>
    </row>
    <row r="316">
      <c r="A316" s="40"/>
      <c r="B316" s="33" t="s">
        <v>4278</v>
      </c>
      <c r="C316" s="42">
        <v>5544.0</v>
      </c>
      <c r="D316" s="33" t="s">
        <v>4280</v>
      </c>
      <c r="E316" s="74"/>
      <c r="F316" s="46" t="s">
        <v>2775</v>
      </c>
      <c r="G316" s="75"/>
      <c r="H316" s="96" t="str">
        <f>HYPERLINK("http://mirror.ff7data.com.ar/ff7/data/minigame/chocobo.lgp/fg.p.png","View Picture")</f>
        <v>View Picture</v>
      </c>
      <c r="K316" s="43"/>
    </row>
    <row r="317">
      <c r="A317" s="40"/>
      <c r="B317" s="33" t="s">
        <v>4290</v>
      </c>
      <c r="C317" s="42">
        <v>56.0</v>
      </c>
      <c r="D317" s="33" t="s">
        <v>4280</v>
      </c>
      <c r="E317" s="74"/>
      <c r="F317" s="46" t="s">
        <v>2793</v>
      </c>
      <c r="G317" s="75"/>
      <c r="H317" s="96" t="str">
        <f>HYPERLINK("http://mirror.ff7data.com.ar/ff7/data/minigame/chocobo.lgp/fg.rsd.png","View Picture")</f>
        <v>View Picture</v>
      </c>
      <c r="K317" s="43"/>
    </row>
    <row r="318">
      <c r="A318" s="40"/>
      <c r="B318" s="33" t="s">
        <v>4301</v>
      </c>
      <c r="C318" s="42">
        <v>5796.0</v>
      </c>
      <c r="D318" s="33" t="s">
        <v>4302</v>
      </c>
      <c r="E318" s="74"/>
      <c r="F318" s="46" t="s">
        <v>3366</v>
      </c>
      <c r="G318" s="75"/>
      <c r="H318" s="114"/>
      <c r="K318" s="43"/>
    </row>
    <row r="319">
      <c r="A319" s="40"/>
      <c r="B319" s="33" t="s">
        <v>4304</v>
      </c>
      <c r="C319" s="42">
        <v>882.0</v>
      </c>
      <c r="D319" s="33" t="s">
        <v>4306</v>
      </c>
      <c r="E319" s="74"/>
      <c r="F319" s="46" t="s">
        <v>2756</v>
      </c>
      <c r="G319" s="75"/>
      <c r="H319" s="96" t="str">
        <f>HYPERLINK("http://mirror.ff7data.com.ar/ff7/data/minigame/chocobo.lgp/fi.hrc.png","View Picture")</f>
        <v>View Picture</v>
      </c>
      <c r="K319" s="43"/>
    </row>
    <row r="320">
      <c r="A320" s="40"/>
      <c r="B320" s="33" t="s">
        <v>4316</v>
      </c>
      <c r="C320" s="42">
        <v>6848.0</v>
      </c>
      <c r="D320" s="33" t="s">
        <v>4317</v>
      </c>
      <c r="E320" s="74"/>
      <c r="F320" s="46" t="s">
        <v>2775</v>
      </c>
      <c r="G320" s="75"/>
      <c r="H320" s="96" t="str">
        <f>HYPERLINK("http://mirror.ff7data.com.ar/ff7/data/minigame/chocobo.lgp/fj.p.png","View Picture")</f>
        <v>View Picture</v>
      </c>
      <c r="K320" s="43"/>
    </row>
    <row r="321">
      <c r="A321" s="40"/>
      <c r="B321" s="33" t="s">
        <v>4329</v>
      </c>
      <c r="C321" s="42">
        <v>56.0</v>
      </c>
      <c r="D321" s="33" t="s">
        <v>4317</v>
      </c>
      <c r="E321" s="74"/>
      <c r="F321" s="46" t="s">
        <v>2793</v>
      </c>
      <c r="G321" s="75"/>
      <c r="H321" s="96" t="str">
        <f>HYPERLINK("http://mirror.ff7data.com.ar/ff7/data/minigame/chocobo.lgp/fj.rsd.png","View Picture")</f>
        <v>View Picture</v>
      </c>
      <c r="K321" s="43"/>
    </row>
    <row r="322">
      <c r="A322" s="40"/>
      <c r="B322" s="33" t="s">
        <v>4339</v>
      </c>
      <c r="C322" s="42">
        <v>1056.0</v>
      </c>
      <c r="D322" s="33" t="s">
        <v>4341</v>
      </c>
      <c r="E322" s="74"/>
      <c r="F322" s="46" t="s">
        <v>2775</v>
      </c>
      <c r="G322" s="75"/>
      <c r="H322" s="96" t="str">
        <f>HYPERLINK("http://mirror.ff7data.com.ar/ff7/data/minigame/chocobo.lgp/fk.p.png","View Picture")</f>
        <v>View Picture</v>
      </c>
      <c r="K322" s="43"/>
    </row>
    <row r="323">
      <c r="A323" s="40"/>
      <c r="B323" s="33" t="s">
        <v>4351</v>
      </c>
      <c r="C323" s="42">
        <v>56.0</v>
      </c>
      <c r="D323" s="33" t="s">
        <v>4341</v>
      </c>
      <c r="E323" s="74"/>
      <c r="F323" s="46" t="s">
        <v>2793</v>
      </c>
      <c r="G323" s="75"/>
      <c r="H323" s="96" t="str">
        <f>HYPERLINK("http://mirror.ff7data.com.ar/ff7/data/minigame/chocobo.lgp/fk.rsd.png","View Picture")</f>
        <v>View Picture</v>
      </c>
      <c r="K323" s="43"/>
    </row>
    <row r="324">
      <c r="A324" s="40"/>
      <c r="B324" s="33" t="s">
        <v>4362</v>
      </c>
      <c r="C324" s="42">
        <v>1056.0</v>
      </c>
      <c r="D324" s="33" t="s">
        <v>4341</v>
      </c>
      <c r="E324" s="74"/>
      <c r="F324" s="46" t="s">
        <v>2775</v>
      </c>
      <c r="G324" s="75"/>
      <c r="H324" s="96" t="str">
        <f>HYPERLINK("http://mirror.ff7data.com.ar/ff7/data/minigame/chocobo.lgp/fl.p.png","View Picture")</f>
        <v>View Picture</v>
      </c>
      <c r="K324" s="43"/>
    </row>
    <row r="325">
      <c r="A325" s="40"/>
      <c r="B325" s="33" t="s">
        <v>4375</v>
      </c>
      <c r="C325" s="42">
        <v>56.0</v>
      </c>
      <c r="D325" s="33" t="s">
        <v>4341</v>
      </c>
      <c r="E325" s="74"/>
      <c r="F325" s="46" t="s">
        <v>2793</v>
      </c>
      <c r="G325" s="75"/>
      <c r="H325" s="96" t="str">
        <f>HYPERLINK("http://mirror.ff7data.com.ar/ff7/data/minigame/chocobo.lgp/fl.rsd.png","View Picture")</f>
        <v>View Picture</v>
      </c>
      <c r="K325" s="43"/>
    </row>
    <row r="326">
      <c r="A326" s="40"/>
      <c r="B326" s="33" t="s">
        <v>4383</v>
      </c>
      <c r="C326" s="42">
        <v>1056.0</v>
      </c>
      <c r="D326" s="33" t="s">
        <v>4341</v>
      </c>
      <c r="E326" s="74"/>
      <c r="F326" s="46" t="s">
        <v>2775</v>
      </c>
      <c r="G326" s="75"/>
      <c r="H326" s="96" t="str">
        <f>HYPERLINK("http://mirror.ff7data.com.ar/ff7/data/minigame/chocobo.lgp/fm.p.png","View Picture")</f>
        <v>View Picture</v>
      </c>
      <c r="K326" s="43"/>
    </row>
    <row r="327">
      <c r="A327" s="40"/>
      <c r="B327" s="33" t="s">
        <v>4394</v>
      </c>
      <c r="C327" s="42">
        <v>56.0</v>
      </c>
      <c r="D327" s="33" t="s">
        <v>4341</v>
      </c>
      <c r="E327" s="74"/>
      <c r="F327" s="46" t="s">
        <v>2793</v>
      </c>
      <c r="G327" s="75"/>
      <c r="H327" s="96" t="str">
        <f>HYPERLINK("http://mirror.ff7data.com.ar/ff7/data/minigame/chocobo.lgp/fm.rsd.png","View Picture")</f>
        <v>View Picture</v>
      </c>
      <c r="K327" s="43"/>
    </row>
    <row r="328">
      <c r="A328" s="40"/>
      <c r="B328" s="33" t="s">
        <v>4405</v>
      </c>
      <c r="C328" s="42">
        <v>1056.0</v>
      </c>
      <c r="D328" s="33" t="s">
        <v>4341</v>
      </c>
      <c r="E328" s="74"/>
      <c r="F328" s="46" t="s">
        <v>2775</v>
      </c>
      <c r="G328" s="75"/>
      <c r="H328" s="96" t="str">
        <f>HYPERLINK("http://mirror.ff7data.com.ar/ff7/data/minigame/chocobo.lgp/fn.p.png","View Picture")</f>
        <v>View Picture</v>
      </c>
      <c r="K328" s="43"/>
    </row>
    <row r="329">
      <c r="A329" s="40"/>
      <c r="B329" s="33" t="s">
        <v>4416</v>
      </c>
      <c r="C329" s="42">
        <v>56.0</v>
      </c>
      <c r="D329" s="33" t="s">
        <v>4341</v>
      </c>
      <c r="E329" s="74"/>
      <c r="F329" s="46" t="s">
        <v>2793</v>
      </c>
      <c r="G329" s="75"/>
      <c r="H329" s="96" t="str">
        <f>HYPERLINK("http://mirror.ff7data.com.ar/ff7/data/minigame/chocobo.lgp/fn.rsd.png","View Picture")</f>
        <v>View Picture</v>
      </c>
      <c r="K329" s="43"/>
    </row>
    <row r="330">
      <c r="A330" s="40"/>
      <c r="B330" s="33" t="s">
        <v>4426</v>
      </c>
      <c r="C330" s="42">
        <v>1056.0</v>
      </c>
      <c r="D330" s="33" t="s">
        <v>4341</v>
      </c>
      <c r="E330" s="74"/>
      <c r="F330" s="46" t="s">
        <v>2775</v>
      </c>
      <c r="G330" s="75"/>
      <c r="H330" s="96" t="str">
        <f>HYPERLINK("http://mirror.ff7data.com.ar/ff7/data/minigame/chocobo.lgp/fo.p.png","View Picture")</f>
        <v>View Picture</v>
      </c>
      <c r="K330" s="43"/>
    </row>
    <row r="331">
      <c r="A331" s="40"/>
      <c r="B331" s="33" t="s">
        <v>4436</v>
      </c>
      <c r="C331" s="42">
        <v>56.0</v>
      </c>
      <c r="D331" s="33" t="s">
        <v>4341</v>
      </c>
      <c r="E331" s="74"/>
      <c r="F331" s="46" t="s">
        <v>2793</v>
      </c>
      <c r="G331" s="75"/>
      <c r="H331" s="96" t="str">
        <f>HYPERLINK("http://mirror.ff7data.com.ar/ff7/data/minigame/chocobo.lgp/fo.rsd.png","View Picture")</f>
        <v>View Picture</v>
      </c>
      <c r="K331" s="43"/>
    </row>
    <row r="332">
      <c r="A332" s="40"/>
      <c r="B332" s="33" t="s">
        <v>4448</v>
      </c>
      <c r="C332" s="42">
        <v>1056.0</v>
      </c>
      <c r="D332" s="33" t="s">
        <v>4341</v>
      </c>
      <c r="E332" s="74"/>
      <c r="F332" s="46" t="s">
        <v>2775</v>
      </c>
      <c r="G332" s="75"/>
      <c r="H332" s="96" t="str">
        <f>HYPERLINK("http://mirror.ff7data.com.ar/ff7/data/minigame/chocobo.lgp/fp.p.png","View Picture")</f>
        <v>View Picture</v>
      </c>
      <c r="K332" s="43"/>
    </row>
    <row r="333">
      <c r="A333" s="40"/>
      <c r="B333" s="33" t="s">
        <v>4461</v>
      </c>
      <c r="C333" s="42">
        <v>56.0</v>
      </c>
      <c r="D333" s="33" t="s">
        <v>4341</v>
      </c>
      <c r="E333" s="74"/>
      <c r="F333" s="46" t="s">
        <v>2793</v>
      </c>
      <c r="G333" s="75"/>
      <c r="H333" s="96" t="str">
        <f>HYPERLINK("http://mirror.ff7data.com.ar/ff7/data/minigame/chocobo.lgp/fp.rsd.png","View Picture")</f>
        <v>View Picture</v>
      </c>
      <c r="K333" s="43"/>
    </row>
    <row r="334">
      <c r="A334" s="40"/>
      <c r="B334" s="33" t="s">
        <v>4473</v>
      </c>
      <c r="C334" s="42">
        <v>1056.0</v>
      </c>
      <c r="D334" s="33" t="s">
        <v>4341</v>
      </c>
      <c r="E334" s="74"/>
      <c r="F334" s="46" t="s">
        <v>2775</v>
      </c>
      <c r="G334" s="75"/>
      <c r="H334" s="96" t="str">
        <f>HYPERLINK("http://mirror.ff7data.com.ar/ff7/data/minigame/chocobo.lgp/fq.p.png","View Picture")</f>
        <v>View Picture</v>
      </c>
      <c r="K334" s="43"/>
    </row>
    <row r="335">
      <c r="A335" s="40"/>
      <c r="B335" s="33" t="s">
        <v>4484</v>
      </c>
      <c r="C335" s="42">
        <v>56.0</v>
      </c>
      <c r="D335" s="33" t="s">
        <v>4341</v>
      </c>
      <c r="E335" s="74"/>
      <c r="F335" s="46" t="s">
        <v>2793</v>
      </c>
      <c r="G335" s="75"/>
      <c r="H335" s="96" t="str">
        <f>HYPERLINK("http://mirror.ff7data.com.ar/ff7/data/minigame/chocobo.lgp/fq.rsd.png","View Picture")</f>
        <v>View Picture</v>
      </c>
      <c r="K335" s="43"/>
    </row>
    <row r="336">
      <c r="A336" s="40"/>
      <c r="B336" s="33" t="s">
        <v>4489</v>
      </c>
      <c r="C336" s="42">
        <v>1056.0</v>
      </c>
      <c r="D336" s="33" t="s">
        <v>4341</v>
      </c>
      <c r="E336" s="74"/>
      <c r="F336" s="46" t="s">
        <v>2775</v>
      </c>
      <c r="G336" s="75"/>
      <c r="H336" s="96" t="str">
        <f>HYPERLINK("http://mirror.ff7data.com.ar/ff7/data/minigame/chocobo.lgp/fr.p.png","View Picture")</f>
        <v>View Picture</v>
      </c>
      <c r="K336" s="43"/>
    </row>
    <row r="337">
      <c r="A337" s="40"/>
      <c r="B337" s="33" t="s">
        <v>4499</v>
      </c>
      <c r="C337" s="42">
        <v>56.0</v>
      </c>
      <c r="D337" s="33" t="s">
        <v>4341</v>
      </c>
      <c r="E337" s="74"/>
      <c r="F337" s="46" t="s">
        <v>2793</v>
      </c>
      <c r="G337" s="75"/>
      <c r="H337" s="96" t="str">
        <f>HYPERLINK("http://mirror.ff7data.com.ar/ff7/data/minigame/chocobo.lgp/fr.rsd.png","View Picture")</f>
        <v>View Picture</v>
      </c>
      <c r="K337" s="43"/>
    </row>
    <row r="338">
      <c r="A338" s="40"/>
      <c r="B338" s="33" t="s">
        <v>4509</v>
      </c>
      <c r="C338" s="42">
        <v>1056.0</v>
      </c>
      <c r="D338" s="33" t="s">
        <v>4341</v>
      </c>
      <c r="E338" s="74"/>
      <c r="F338" s="46" t="s">
        <v>2775</v>
      </c>
      <c r="G338" s="75"/>
      <c r="H338" s="96" t="str">
        <f>HYPERLINK("http://mirror.ff7data.com.ar/ff7/data/minigame/chocobo.lgp/fs.p.png","View Picture")</f>
        <v>View Picture</v>
      </c>
      <c r="K338" s="43"/>
    </row>
    <row r="339">
      <c r="A339" s="40"/>
      <c r="B339" s="33" t="s">
        <v>4517</v>
      </c>
      <c r="C339" s="42">
        <v>56.0</v>
      </c>
      <c r="D339" s="33" t="s">
        <v>4341</v>
      </c>
      <c r="E339" s="74"/>
      <c r="F339" s="46" t="s">
        <v>2793</v>
      </c>
      <c r="G339" s="75"/>
      <c r="H339" s="96" t="str">
        <f>HYPERLINK("http://mirror.ff7data.com.ar/ff7/data/minigame/chocobo.lgp/fs.rsd.png","View Picture")</f>
        <v>View Picture</v>
      </c>
      <c r="K339" s="43"/>
    </row>
    <row r="340">
      <c r="A340" s="40"/>
      <c r="B340" s="33" t="s">
        <v>4526</v>
      </c>
      <c r="C340" s="42">
        <v>1056.0</v>
      </c>
      <c r="D340" s="33" t="s">
        <v>4341</v>
      </c>
      <c r="E340" s="74"/>
      <c r="F340" s="46" t="s">
        <v>2775</v>
      </c>
      <c r="G340" s="75"/>
      <c r="H340" s="96" t="str">
        <f>HYPERLINK("http://mirror.ff7data.com.ar/ff7/data/minigame/chocobo.lgp/ft.p.png","View Picture")</f>
        <v>View Picture</v>
      </c>
      <c r="K340" s="43"/>
    </row>
    <row r="341">
      <c r="A341" s="40"/>
      <c r="B341" s="33" t="s">
        <v>4537</v>
      </c>
      <c r="C341" s="42">
        <v>56.0</v>
      </c>
      <c r="D341" s="33" t="s">
        <v>4341</v>
      </c>
      <c r="E341" s="74"/>
      <c r="F341" s="46" t="s">
        <v>2793</v>
      </c>
      <c r="G341" s="75"/>
      <c r="H341" s="96" t="str">
        <f>HYPERLINK("http://mirror.ff7data.com.ar/ff7/data/minigame/chocobo.lgp/ft.rsd.png","View Picture")</f>
        <v>View Picture</v>
      </c>
      <c r="K341" s="43"/>
    </row>
    <row r="342">
      <c r="A342" s="40"/>
      <c r="B342" s="33" t="s">
        <v>4550</v>
      </c>
      <c r="C342" s="42">
        <v>1056.0</v>
      </c>
      <c r="D342" s="33" t="s">
        <v>4341</v>
      </c>
      <c r="E342" s="74"/>
      <c r="F342" s="46" t="s">
        <v>2775</v>
      </c>
      <c r="G342" s="75"/>
      <c r="H342" s="96" t="str">
        <f>HYPERLINK("http://mirror.ff7data.com.ar/ff7/data/minigame/chocobo.lgp/fu.p.png","View Picture")</f>
        <v>View Picture</v>
      </c>
      <c r="K342" s="43"/>
    </row>
    <row r="343">
      <c r="A343" s="40"/>
      <c r="B343" s="33" t="s">
        <v>4561</v>
      </c>
      <c r="C343" s="42">
        <v>56.0</v>
      </c>
      <c r="D343" s="33" t="s">
        <v>4341</v>
      </c>
      <c r="E343" s="74"/>
      <c r="F343" s="46" t="s">
        <v>2793</v>
      </c>
      <c r="G343" s="75"/>
      <c r="H343" s="96" t="str">
        <f>HYPERLINK("http://mirror.ff7data.com.ar/ff7/data/minigame/chocobo.lgp/fu.rsd.png","View Picture")</f>
        <v>View Picture</v>
      </c>
      <c r="K343" s="43"/>
    </row>
    <row r="344">
      <c r="A344" s="40"/>
      <c r="B344" s="33" t="s">
        <v>4572</v>
      </c>
      <c r="C344" s="42">
        <v>1056.0</v>
      </c>
      <c r="D344" s="33" t="s">
        <v>4341</v>
      </c>
      <c r="E344" s="74"/>
      <c r="F344" s="46" t="s">
        <v>2775</v>
      </c>
      <c r="G344" s="75"/>
      <c r="H344" s="96" t="str">
        <f>HYPERLINK("http://mirror.ff7data.com.ar/ff7/data/minigame/chocobo.lgp/fv.p.png","View Picture")</f>
        <v>View Picture</v>
      </c>
      <c r="K344" s="43"/>
    </row>
    <row r="345">
      <c r="A345" s="40"/>
      <c r="B345" s="33" t="s">
        <v>4582</v>
      </c>
      <c r="C345" s="42">
        <v>56.0</v>
      </c>
      <c r="D345" s="33" t="s">
        <v>4341</v>
      </c>
      <c r="E345" s="74"/>
      <c r="F345" s="46" t="s">
        <v>2793</v>
      </c>
      <c r="G345" s="75"/>
      <c r="H345" s="96" t="str">
        <f>HYPERLINK("http://mirror.ff7data.com.ar/ff7/data/minigame/chocobo.lgp/fv.rsd.png","View Picture")</f>
        <v>View Picture</v>
      </c>
      <c r="K345" s="43"/>
    </row>
    <row r="346">
      <c r="A346" s="40"/>
      <c r="B346" s="33" t="s">
        <v>4591</v>
      </c>
      <c r="C346" s="42">
        <v>1056.0</v>
      </c>
      <c r="D346" s="33" t="s">
        <v>4341</v>
      </c>
      <c r="E346" s="74"/>
      <c r="F346" s="46" t="s">
        <v>2775</v>
      </c>
      <c r="G346" s="75"/>
      <c r="H346" s="96" t="str">
        <f>HYPERLINK("http://mirror.ff7data.com.ar/ff7/data/minigame/chocobo.lgp/fw.p.png","View Picture")</f>
        <v>View Picture</v>
      </c>
      <c r="K346" s="43"/>
    </row>
    <row r="347">
      <c r="A347" s="40"/>
      <c r="B347" s="33" t="s">
        <v>4600</v>
      </c>
      <c r="C347" s="42">
        <v>56.0</v>
      </c>
      <c r="D347" s="33" t="s">
        <v>4341</v>
      </c>
      <c r="E347" s="74"/>
      <c r="F347" s="46" t="s">
        <v>2793</v>
      </c>
      <c r="G347" s="75"/>
      <c r="H347" s="96" t="str">
        <f>HYPERLINK("http://mirror.ff7data.com.ar/ff7/data/minigame/chocobo.lgp/fw.rsd.png","View Picture")</f>
        <v>View Picture</v>
      </c>
      <c r="K347" s="43"/>
    </row>
    <row r="348">
      <c r="A348" s="40"/>
      <c r="B348" s="33" t="s">
        <v>4613</v>
      </c>
      <c r="C348" s="42">
        <v>1056.0</v>
      </c>
      <c r="D348" s="33" t="s">
        <v>4341</v>
      </c>
      <c r="E348" s="74"/>
      <c r="F348" s="46" t="s">
        <v>2775</v>
      </c>
      <c r="G348" s="75"/>
      <c r="H348" s="96" t="str">
        <f>HYPERLINK("http://mirror.ff7data.com.ar/ff7/data/minigame/chocobo.lgp/fx.p.png","View Picture")</f>
        <v>View Picture</v>
      </c>
      <c r="K348" s="43"/>
    </row>
    <row r="349">
      <c r="A349" s="40"/>
      <c r="B349" s="33" t="s">
        <v>4623</v>
      </c>
      <c r="C349" s="42">
        <v>56.0</v>
      </c>
      <c r="D349" s="33" t="s">
        <v>4341</v>
      </c>
      <c r="E349" s="74"/>
      <c r="F349" s="46" t="s">
        <v>2793</v>
      </c>
      <c r="G349" s="75"/>
      <c r="H349" s="96" t="str">
        <f>HYPERLINK("http://mirror.ff7data.com.ar/ff7/data/minigame/chocobo.lgp/fx.rsd.png","View Picture")</f>
        <v>View Picture</v>
      </c>
      <c r="K349" s="43"/>
    </row>
    <row r="350">
      <c r="A350" s="40"/>
      <c r="B350" s="33" t="s">
        <v>4632</v>
      </c>
      <c r="C350" s="42">
        <v>1056.0</v>
      </c>
      <c r="D350" s="33" t="s">
        <v>4341</v>
      </c>
      <c r="E350" s="74"/>
      <c r="F350" s="46" t="s">
        <v>2775</v>
      </c>
      <c r="G350" s="75"/>
      <c r="H350" s="96" t="str">
        <f>HYPERLINK("http://mirror.ff7data.com.ar/ff7/data/minigame/chocobo.lgp/fy.p.png","View Picture")</f>
        <v>View Picture</v>
      </c>
      <c r="K350" s="43"/>
    </row>
    <row r="351">
      <c r="A351" s="40"/>
      <c r="B351" s="33" t="s">
        <v>4643</v>
      </c>
      <c r="C351" s="42">
        <v>56.0</v>
      </c>
      <c r="D351" s="33" t="s">
        <v>4341</v>
      </c>
      <c r="E351" s="74"/>
      <c r="F351" s="46" t="s">
        <v>2793</v>
      </c>
      <c r="G351" s="75"/>
      <c r="H351" s="96" t="str">
        <f>HYPERLINK("http://mirror.ff7data.com.ar/ff7/data/minigame/chocobo.lgp/fy.rsd.png","View Picture")</f>
        <v>View Picture</v>
      </c>
      <c r="K351" s="43"/>
    </row>
    <row r="352">
      <c r="A352" s="40"/>
      <c r="B352" s="33" t="s">
        <v>4656</v>
      </c>
      <c r="C352" s="42">
        <v>1056.0</v>
      </c>
      <c r="D352" s="33" t="s">
        <v>4341</v>
      </c>
      <c r="E352" s="74"/>
      <c r="F352" s="46" t="s">
        <v>2775</v>
      </c>
      <c r="G352" s="75"/>
      <c r="H352" s="96" t="str">
        <f>HYPERLINK("http://mirror.ff7data.com.ar/ff7/data/minigame/chocobo.lgp/fz.p.png","View Picture")</f>
        <v>View Picture</v>
      </c>
      <c r="K352" s="43"/>
    </row>
    <row r="353">
      <c r="A353" s="40"/>
      <c r="B353" s="33" t="s">
        <v>4668</v>
      </c>
      <c r="C353" s="42">
        <v>56.0</v>
      </c>
      <c r="D353" s="33" t="s">
        <v>4341</v>
      </c>
      <c r="E353" s="74"/>
      <c r="F353" s="46" t="s">
        <v>2793</v>
      </c>
      <c r="G353" s="75"/>
      <c r="H353" s="96" t="str">
        <f>HYPERLINK("http://mirror.ff7data.com.ar/ff7/data/minigame/chocobo.lgp/fz.rsd.png","View Picture")</f>
        <v>View Picture</v>
      </c>
      <c r="K353" s="43"/>
    </row>
    <row r="354">
      <c r="A354" s="40"/>
      <c r="B354" s="33" t="s">
        <v>4679</v>
      </c>
      <c r="C354" s="42">
        <v>1056.0</v>
      </c>
      <c r="D354" s="33" t="s">
        <v>4341</v>
      </c>
      <c r="E354" s="74"/>
      <c r="F354" s="46" t="s">
        <v>2775</v>
      </c>
      <c r="G354" s="75"/>
      <c r="H354" s="96" t="str">
        <f>HYPERLINK("http://mirror.ff7data.com.ar/ff7/data/minigame/chocobo.lgp/ga.p.png","View Picture")</f>
        <v>View Picture</v>
      </c>
      <c r="K354" s="43"/>
    </row>
    <row r="355">
      <c r="A355" s="40"/>
      <c r="B355" s="33" t="s">
        <v>4691</v>
      </c>
      <c r="C355" s="42">
        <v>56.0</v>
      </c>
      <c r="D355" s="33" t="s">
        <v>4341</v>
      </c>
      <c r="E355" s="74"/>
      <c r="F355" s="46" t="s">
        <v>2793</v>
      </c>
      <c r="G355" s="75"/>
      <c r="H355" s="96" t="str">
        <f>HYPERLINK("http://mirror.ff7data.com.ar/ff7/data/minigame/chocobo.lgp/ga.rsd.png","View Picture")</f>
        <v>View Picture</v>
      </c>
      <c r="K355" s="43"/>
    </row>
    <row r="356">
      <c r="A356" s="40"/>
      <c r="B356" s="33" t="s">
        <v>4702</v>
      </c>
      <c r="C356" s="42">
        <v>1056.0</v>
      </c>
      <c r="D356" s="33" t="s">
        <v>4341</v>
      </c>
      <c r="E356" s="74"/>
      <c r="F356" s="46" t="s">
        <v>2775</v>
      </c>
      <c r="G356" s="75"/>
      <c r="H356" s="96" t="str">
        <f>HYPERLINK("http://mirror.ff7data.com.ar/ff7/data/minigame/chocobo.lgp/gb.p.png","View Picture")</f>
        <v>View Picture</v>
      </c>
      <c r="K356" s="43"/>
    </row>
    <row r="357">
      <c r="A357" s="40"/>
      <c r="B357" s="33" t="s">
        <v>4714</v>
      </c>
      <c r="C357" s="42">
        <v>56.0</v>
      </c>
      <c r="D357" s="33" t="s">
        <v>4341</v>
      </c>
      <c r="E357" s="74"/>
      <c r="F357" s="46" t="s">
        <v>2793</v>
      </c>
      <c r="G357" s="75"/>
      <c r="H357" s="96" t="str">
        <f>HYPERLINK("http://mirror.ff7data.com.ar/ff7/data/minigame/chocobo.lgp/gb.rsd.png","View Picture")</f>
        <v>View Picture</v>
      </c>
      <c r="K357" s="43"/>
    </row>
    <row r="358">
      <c r="A358" s="40"/>
      <c r="B358" s="33" t="s">
        <v>4725</v>
      </c>
      <c r="C358" s="42">
        <v>1056.0</v>
      </c>
      <c r="D358" s="33" t="s">
        <v>4341</v>
      </c>
      <c r="E358" s="74"/>
      <c r="F358" s="46" t="s">
        <v>2775</v>
      </c>
      <c r="G358" s="75"/>
      <c r="H358" s="96" t="str">
        <f>HYPERLINK("http://mirror.ff7data.com.ar/ff7/data/minigame/chocobo.lgp/gc.p.png","View Picture")</f>
        <v>View Picture</v>
      </c>
      <c r="K358" s="43"/>
    </row>
    <row r="359">
      <c r="A359" s="40"/>
      <c r="B359" s="33" t="s">
        <v>4736</v>
      </c>
      <c r="C359" s="42">
        <v>56.0</v>
      </c>
      <c r="D359" s="33" t="s">
        <v>4341</v>
      </c>
      <c r="E359" s="74"/>
      <c r="F359" s="46" t="s">
        <v>2793</v>
      </c>
      <c r="G359" s="75"/>
      <c r="H359" s="96" t="str">
        <f>HYPERLINK("http://mirror.ff7data.com.ar/ff7/data/minigame/chocobo.lgp/gc.rsd.png","View Picture")</f>
        <v>View Picture</v>
      </c>
      <c r="K359" s="43"/>
    </row>
    <row r="360">
      <c r="A360" s="40"/>
      <c r="B360" s="33" t="s">
        <v>4744</v>
      </c>
      <c r="C360" s="42">
        <v>1056.0</v>
      </c>
      <c r="D360" s="33" t="s">
        <v>4341</v>
      </c>
      <c r="E360" s="74"/>
      <c r="F360" s="46" t="s">
        <v>2775</v>
      </c>
      <c r="G360" s="75"/>
      <c r="H360" s="96" t="str">
        <f>HYPERLINK("http://mirror.ff7data.com.ar/ff7/data/minigame/chocobo.lgp/gd.p.png","View Picture")</f>
        <v>View Picture</v>
      </c>
      <c r="K360" s="43"/>
    </row>
    <row r="361">
      <c r="A361" s="40"/>
      <c r="B361" s="33" t="s">
        <v>4755</v>
      </c>
      <c r="C361" s="42">
        <v>56.0</v>
      </c>
      <c r="D361" s="33" t="s">
        <v>4341</v>
      </c>
      <c r="E361" s="74"/>
      <c r="F361" s="46" t="s">
        <v>2793</v>
      </c>
      <c r="G361" s="75"/>
      <c r="H361" s="96" t="str">
        <f>HYPERLINK("http://mirror.ff7data.com.ar/ff7/data/minigame/chocobo.lgp/gd.rsd.png","View Picture")</f>
        <v>View Picture</v>
      </c>
      <c r="K361" s="43"/>
    </row>
    <row r="362">
      <c r="A362" s="40"/>
      <c r="B362" s="33" t="s">
        <v>4764</v>
      </c>
      <c r="C362" s="42">
        <v>1056.0</v>
      </c>
      <c r="D362" s="33" t="s">
        <v>4341</v>
      </c>
      <c r="E362" s="74"/>
      <c r="F362" s="46" t="s">
        <v>2775</v>
      </c>
      <c r="G362" s="75"/>
      <c r="H362" s="96" t="str">
        <f>HYPERLINK("http://mirror.ff7data.com.ar/ff7/data/minigame/chocobo.lgp/ge.p.png","View Picture")</f>
        <v>View Picture</v>
      </c>
      <c r="K362" s="43"/>
    </row>
    <row r="363">
      <c r="A363" s="40"/>
      <c r="B363" s="33" t="s">
        <v>4775</v>
      </c>
      <c r="C363" s="42">
        <v>56.0</v>
      </c>
      <c r="D363" s="33" t="s">
        <v>4341</v>
      </c>
      <c r="E363" s="74"/>
      <c r="F363" s="46" t="s">
        <v>2793</v>
      </c>
      <c r="G363" s="75"/>
      <c r="H363" s="96" t="str">
        <f>HYPERLINK("http://mirror.ff7data.com.ar/ff7/data/minigame/chocobo.lgp/ge.rsd.png","View Picture")</f>
        <v>View Picture</v>
      </c>
      <c r="K363" s="43"/>
    </row>
    <row r="364">
      <c r="A364" s="40"/>
      <c r="B364" s="33" t="s">
        <v>4785</v>
      </c>
      <c r="C364" s="42">
        <v>1052.0</v>
      </c>
      <c r="D364" s="33" t="s">
        <v>4341</v>
      </c>
      <c r="E364" s="74"/>
      <c r="F364" s="46" t="s">
        <v>2775</v>
      </c>
      <c r="G364" s="75"/>
      <c r="H364" s="96" t="str">
        <f>HYPERLINK("http://mirror.ff7data.com.ar/ff7/data/minigame/chocobo.lgp/gf.p.png","View Picture")</f>
        <v>View Picture</v>
      </c>
      <c r="K364" s="43"/>
    </row>
    <row r="365">
      <c r="A365" s="40"/>
      <c r="B365" s="33" t="s">
        <v>4794</v>
      </c>
      <c r="C365" s="42">
        <v>56.0</v>
      </c>
      <c r="D365" s="33" t="s">
        <v>4341</v>
      </c>
      <c r="E365" s="74"/>
      <c r="F365" s="46" t="s">
        <v>2793</v>
      </c>
      <c r="G365" s="75"/>
      <c r="H365" s="96" t="str">
        <f>HYPERLINK("http://mirror.ff7data.com.ar/ff7/data/minigame/chocobo.lgp/gf.rsd.png","View Picture")</f>
        <v>View Picture</v>
      </c>
      <c r="K365" s="43"/>
    </row>
    <row r="366">
      <c r="A366" s="40"/>
      <c r="B366" s="33" t="s">
        <v>4805</v>
      </c>
      <c r="C366" s="42">
        <v>1052.0</v>
      </c>
      <c r="D366" s="33" t="s">
        <v>4341</v>
      </c>
      <c r="E366" s="74"/>
      <c r="F366" s="46" t="s">
        <v>2775</v>
      </c>
      <c r="G366" s="75"/>
      <c r="H366" s="96" t="str">
        <f>HYPERLINK("http://mirror.ff7data.com.ar/ff7/data/minigame/chocobo.lgp/gg.p.png","View Picture")</f>
        <v>View Picture</v>
      </c>
      <c r="K366" s="43"/>
    </row>
    <row r="367">
      <c r="A367" s="40"/>
      <c r="B367" s="33" t="s">
        <v>4815</v>
      </c>
      <c r="C367" s="42">
        <v>56.0</v>
      </c>
      <c r="D367" s="33" t="s">
        <v>4341</v>
      </c>
      <c r="E367" s="74"/>
      <c r="F367" s="46" t="s">
        <v>2793</v>
      </c>
      <c r="G367" s="75"/>
      <c r="H367" s="96" t="str">
        <f>HYPERLINK("http://mirror.ff7data.com.ar/ff7/data/minigame/chocobo.lgp/gg.rsd.png","View Picture")</f>
        <v>View Picture</v>
      </c>
      <c r="K367" s="43"/>
    </row>
    <row r="368">
      <c r="A368" s="40"/>
      <c r="B368" s="33" t="s">
        <v>4826</v>
      </c>
      <c r="C368" s="42">
        <v>1052.0</v>
      </c>
      <c r="D368" s="33" t="s">
        <v>4827</v>
      </c>
      <c r="E368" s="74"/>
      <c r="F368" s="46" t="s">
        <v>2775</v>
      </c>
      <c r="G368" s="75"/>
      <c r="H368" s="96" t="str">
        <f>HYPERLINK("http://mirror.ff7data.com.ar/ff7/data/minigame/chocobo.lgp/gh.p.png","View Picture")</f>
        <v>View Picture</v>
      </c>
      <c r="K368" s="43"/>
    </row>
    <row r="369">
      <c r="A369" s="40"/>
      <c r="B369" s="33" t="s">
        <v>4837</v>
      </c>
      <c r="C369" s="42">
        <v>56.0</v>
      </c>
      <c r="D369" s="33" t="s">
        <v>4827</v>
      </c>
      <c r="E369" s="74"/>
      <c r="F369" s="46" t="s">
        <v>2793</v>
      </c>
      <c r="G369" s="75"/>
      <c r="H369" s="96" t="str">
        <f>HYPERLINK("http://mirror.ff7data.com.ar/ff7/data/minigame/chocobo.lgp/gh.rsd.png","View Picture")</f>
        <v>View Picture</v>
      </c>
      <c r="K369" s="43"/>
    </row>
    <row r="370">
      <c r="A370" s="40"/>
      <c r="B370" s="33" t="s">
        <v>4850</v>
      </c>
      <c r="C370" s="42">
        <v>1876.0</v>
      </c>
      <c r="D370" s="33" t="s">
        <v>4852</v>
      </c>
      <c r="E370" s="74"/>
      <c r="F370" s="46" t="s">
        <v>2775</v>
      </c>
      <c r="G370" s="75"/>
      <c r="H370" s="96" t="str">
        <f>HYPERLINK("http://mirror.ff7data.com.ar/ff7/data/minigame/chocobo.lgp/gi.p.png","View Picture")</f>
        <v>View Picture</v>
      </c>
      <c r="K370" s="43"/>
    </row>
    <row r="371">
      <c r="A371" s="40"/>
      <c r="B371" s="33" t="s">
        <v>4861</v>
      </c>
      <c r="C371" s="42">
        <v>56.0</v>
      </c>
      <c r="D371" s="33" t="s">
        <v>4852</v>
      </c>
      <c r="E371" s="74"/>
      <c r="F371" s="46" t="s">
        <v>2793</v>
      </c>
      <c r="G371" s="75"/>
      <c r="H371" s="96" t="str">
        <f>HYPERLINK("http://mirror.ff7data.com.ar/ff7/data/minigame/chocobo.lgp/gi.rsd.png","View Picture")</f>
        <v>View Picture</v>
      </c>
      <c r="K371" s="43"/>
    </row>
    <row r="372">
      <c r="A372" s="40"/>
      <c r="B372" s="33" t="s">
        <v>4874</v>
      </c>
      <c r="C372" s="42">
        <v>33516.0</v>
      </c>
      <c r="D372" s="33" t="s">
        <v>4876</v>
      </c>
      <c r="E372" s="74"/>
      <c r="F372" s="46" t="s">
        <v>3366</v>
      </c>
      <c r="G372" s="75"/>
      <c r="H372" s="114"/>
      <c r="K372" s="43"/>
    </row>
    <row r="373">
      <c r="A373" s="40"/>
      <c r="B373" s="33" t="s">
        <v>4879</v>
      </c>
      <c r="C373" s="42">
        <v>489.0</v>
      </c>
      <c r="D373" s="33" t="s">
        <v>4880</v>
      </c>
      <c r="E373" s="74"/>
      <c r="F373" s="46" t="s">
        <v>2756</v>
      </c>
      <c r="G373" s="75"/>
      <c r="H373" s="96" t="str">
        <f>HYPERLINK("http://mirror.ff7data.com.ar/ff7/data/minigame/chocobo.lgp/gk.hrc.png","View Picture")</f>
        <v>View Picture</v>
      </c>
      <c r="K373" s="43"/>
    </row>
    <row r="374">
      <c r="A374" s="40"/>
      <c r="B374" s="33" t="s">
        <v>4891</v>
      </c>
      <c r="C374" s="42">
        <v>2820.0</v>
      </c>
      <c r="D374" s="33" t="s">
        <v>4893</v>
      </c>
      <c r="E374" s="74"/>
      <c r="F374" s="46" t="s">
        <v>2775</v>
      </c>
      <c r="G374" s="75"/>
      <c r="H374" s="96" t="str">
        <f>HYPERLINK("http://mirror.ff7data.com.ar/ff7/data/minigame/chocobo.lgp/gl.p.png","View Picture")</f>
        <v>View Picture</v>
      </c>
      <c r="K374" s="43"/>
    </row>
    <row r="375">
      <c r="A375" s="40"/>
      <c r="B375" s="33" t="s">
        <v>4903</v>
      </c>
      <c r="C375" s="42">
        <v>139.0</v>
      </c>
      <c r="D375" s="33" t="s">
        <v>4893</v>
      </c>
      <c r="E375" s="74"/>
      <c r="F375" s="46" t="s">
        <v>2793</v>
      </c>
      <c r="G375" s="75"/>
      <c r="H375" s="96" t="str">
        <f>HYPERLINK("http://mirror.ff7data.com.ar/ff7/data/minigame/chocobo.lgp/gl.rsd.png","View Picture")</f>
        <v>View Picture</v>
      </c>
      <c r="K375" s="43"/>
    </row>
    <row r="376">
      <c r="A376" s="40"/>
      <c r="B376" s="33" t="s">
        <v>4913</v>
      </c>
      <c r="C376" s="42">
        <v>6200.0</v>
      </c>
      <c r="D376" s="33" t="s">
        <v>4916</v>
      </c>
      <c r="E376" s="74"/>
      <c r="F376" s="46" t="s">
        <v>2775</v>
      </c>
      <c r="G376" s="75"/>
      <c r="H376" s="96" t="str">
        <f>HYPERLINK("http://mirror.ff7data.com.ar/ff7/data/minigame/chocobo.lgp/gm.p.png","View Picture")</f>
        <v>View Picture</v>
      </c>
      <c r="K376" s="43"/>
    </row>
    <row r="377">
      <c r="A377" s="40"/>
      <c r="B377" s="33" t="s">
        <v>4923</v>
      </c>
      <c r="C377" s="42">
        <v>139.0</v>
      </c>
      <c r="D377" s="33" t="s">
        <v>4916</v>
      </c>
      <c r="E377" s="74"/>
      <c r="F377" s="46" t="s">
        <v>2793</v>
      </c>
      <c r="G377" s="75"/>
      <c r="H377" s="96" t="str">
        <f>HYPERLINK("http://mirror.ff7data.com.ar/ff7/data/minigame/chocobo.lgp/gm.rsd.png","View Picture")</f>
        <v>View Picture</v>
      </c>
      <c r="K377" s="43"/>
    </row>
    <row r="378">
      <c r="A378" s="40"/>
      <c r="B378" s="33" t="s">
        <v>4935</v>
      </c>
      <c r="C378" s="42">
        <v>5324.0</v>
      </c>
      <c r="D378" s="33" t="s">
        <v>4937</v>
      </c>
      <c r="E378" s="74"/>
      <c r="F378" s="46" t="s">
        <v>2775</v>
      </c>
      <c r="G378" s="75"/>
      <c r="H378" s="96" t="str">
        <f>HYPERLINK("http://mirror.ff7data.com.ar/ff7/data/minigame/chocobo.lgp/gn.p.png","View Picture")</f>
        <v>View Picture</v>
      </c>
      <c r="K378" s="43"/>
    </row>
    <row r="379">
      <c r="A379" s="40"/>
      <c r="B379" s="33" t="s">
        <v>4946</v>
      </c>
      <c r="C379" s="42">
        <v>139.0</v>
      </c>
      <c r="D379" s="33" t="s">
        <v>4937</v>
      </c>
      <c r="E379" s="74"/>
      <c r="F379" s="46" t="s">
        <v>2793</v>
      </c>
      <c r="G379" s="75"/>
      <c r="H379" s="96" t="str">
        <f>HYPERLINK("http://mirror.ff7data.com.ar/ff7/data/minigame/chocobo.lgp/gn.rsd.png","View Picture")</f>
        <v>View Picture</v>
      </c>
      <c r="K379" s="43"/>
    </row>
    <row r="380">
      <c r="A380" s="40"/>
      <c r="B380" s="33" t="s">
        <v>4957</v>
      </c>
      <c r="C380" s="42">
        <v>1776.0</v>
      </c>
      <c r="D380" s="33" t="s">
        <v>4959</v>
      </c>
      <c r="E380" s="74"/>
      <c r="F380" s="46" t="s">
        <v>2775</v>
      </c>
      <c r="G380" s="75"/>
      <c r="H380" s="96" t="str">
        <f>HYPERLINK("http://mirror.ff7data.com.ar/ff7/data/minigame/chocobo.lgp/go.p.png","View Picture")</f>
        <v>View Picture</v>
      </c>
      <c r="K380" s="43"/>
    </row>
    <row r="381">
      <c r="A381" s="40"/>
      <c r="B381" s="33" t="s">
        <v>4972</v>
      </c>
      <c r="C381" s="42">
        <v>56.0</v>
      </c>
      <c r="D381" s="33" t="s">
        <v>4959</v>
      </c>
      <c r="E381" s="74"/>
      <c r="F381" s="46" t="s">
        <v>2793</v>
      </c>
      <c r="G381" s="75"/>
      <c r="H381" s="96" t="str">
        <f>HYPERLINK("http://mirror.ff7data.com.ar/ff7/data/minigame/chocobo.lgp/go.rsd.png","View Picture")</f>
        <v>View Picture</v>
      </c>
      <c r="K381" s="43"/>
    </row>
    <row r="382">
      <c r="A382" s="40"/>
      <c r="B382" s="33" t="s">
        <v>4982</v>
      </c>
      <c r="C382" s="42">
        <v>1356.0</v>
      </c>
      <c r="D382" s="33" t="s">
        <v>4983</v>
      </c>
      <c r="E382" s="74"/>
      <c r="F382" s="46" t="s">
        <v>2775</v>
      </c>
      <c r="G382" s="75"/>
      <c r="H382" s="96" t="str">
        <f>HYPERLINK("http://mirror.ff7data.com.ar/ff7/data/minigame/chocobo.lgp/gp.p.png","View Picture")</f>
        <v>View Picture</v>
      </c>
      <c r="K382" s="43"/>
    </row>
    <row r="383">
      <c r="A383" s="40"/>
      <c r="B383" s="33" t="s">
        <v>4990</v>
      </c>
      <c r="C383" s="42">
        <v>139.0</v>
      </c>
      <c r="D383" s="33" t="s">
        <v>4983</v>
      </c>
      <c r="E383" s="74"/>
      <c r="F383" s="46" t="s">
        <v>2793</v>
      </c>
      <c r="G383" s="75"/>
      <c r="H383" s="96" t="str">
        <f>HYPERLINK("http://mirror.ff7data.com.ar/ff7/data/minigame/chocobo.lgp/gp.rsd.png","View Picture")</f>
        <v>View Picture</v>
      </c>
      <c r="K383" s="43"/>
    </row>
    <row r="384">
      <c r="A384" s="40"/>
      <c r="B384" s="33" t="s">
        <v>4999</v>
      </c>
      <c r="C384" s="42">
        <v>1020.0</v>
      </c>
      <c r="D384" s="33" t="s">
        <v>5002</v>
      </c>
      <c r="E384" s="74"/>
      <c r="F384" s="46" t="s">
        <v>2775</v>
      </c>
      <c r="G384" s="75"/>
      <c r="H384" s="96" t="str">
        <f>HYPERLINK("http://mirror.ff7data.com.ar/ff7/data/minigame/chocobo.lgp/gq.p.png","View Picture")</f>
        <v>View Picture</v>
      </c>
      <c r="K384" s="43"/>
    </row>
    <row r="385">
      <c r="A385" s="40"/>
      <c r="B385" s="33" t="s">
        <v>5009</v>
      </c>
      <c r="C385" s="42">
        <v>56.0</v>
      </c>
      <c r="D385" s="33" t="s">
        <v>5002</v>
      </c>
      <c r="E385" s="74"/>
      <c r="F385" s="46" t="s">
        <v>2793</v>
      </c>
      <c r="G385" s="75"/>
      <c r="H385" s="96" t="str">
        <f>HYPERLINK("http://mirror.ff7data.com.ar/ff7/data/minigame/chocobo.lgp/gq.rsd.png","View Picture")</f>
        <v>View Picture</v>
      </c>
      <c r="K385" s="43"/>
    </row>
    <row r="386">
      <c r="A386" s="40"/>
      <c r="B386" s="33" t="s">
        <v>5018</v>
      </c>
      <c r="C386" s="42">
        <v>1048.0</v>
      </c>
      <c r="D386" s="33" t="s">
        <v>5020</v>
      </c>
      <c r="E386" s="74"/>
      <c r="F386" s="46" t="s">
        <v>2775</v>
      </c>
      <c r="G386" s="75"/>
      <c r="H386" s="96" t="str">
        <f>HYPERLINK("http://mirror.ff7data.com.ar/ff7/data/minigame/chocobo.lgp/gr.p.png","View Picture")</f>
        <v>View Picture</v>
      </c>
      <c r="K386" s="43"/>
    </row>
    <row r="387">
      <c r="A387" s="40"/>
      <c r="B387" s="33" t="s">
        <v>5025</v>
      </c>
      <c r="C387" s="42">
        <v>56.0</v>
      </c>
      <c r="D387" s="33" t="s">
        <v>5020</v>
      </c>
      <c r="E387" s="74"/>
      <c r="F387" s="46" t="s">
        <v>2793</v>
      </c>
      <c r="G387" s="75"/>
      <c r="H387" s="96" t="str">
        <f>HYPERLINK("http://mirror.ff7data.com.ar/ff7/data/minigame/chocobo.lgp/gr.rsd.png","View Picture")</f>
        <v>View Picture</v>
      </c>
      <c r="K387" s="43"/>
    </row>
    <row r="388">
      <c r="A388" s="40"/>
      <c r="B388" s="33" t="s">
        <v>5035</v>
      </c>
      <c r="C388" s="42">
        <v>1356.0</v>
      </c>
      <c r="D388" s="33" t="s">
        <v>4983</v>
      </c>
      <c r="E388" s="74"/>
      <c r="F388" s="46" t="s">
        <v>2775</v>
      </c>
      <c r="G388" s="75"/>
      <c r="H388" s="96" t="str">
        <f>HYPERLINK("http://mirror.ff7data.com.ar/ff7/data/minigame/chocobo.lgp/gs.p.png","View Picture")</f>
        <v>View Picture</v>
      </c>
      <c r="K388" s="43"/>
    </row>
    <row r="389">
      <c r="A389" s="40"/>
      <c r="B389" s="33" t="s">
        <v>5045</v>
      </c>
      <c r="C389" s="42">
        <v>139.0</v>
      </c>
      <c r="D389" s="33" t="s">
        <v>4983</v>
      </c>
      <c r="E389" s="74"/>
      <c r="F389" s="46" t="s">
        <v>2793</v>
      </c>
      <c r="G389" s="75"/>
      <c r="H389" s="96" t="str">
        <f>HYPERLINK("http://mirror.ff7data.com.ar/ff7/data/minigame/chocobo.lgp/gs.rsd.png","View Picture")</f>
        <v>View Picture</v>
      </c>
      <c r="K389" s="43"/>
    </row>
    <row r="390">
      <c r="A390" s="40"/>
      <c r="B390" s="33" t="s">
        <v>5053</v>
      </c>
      <c r="C390" s="42">
        <v>1020.0</v>
      </c>
      <c r="D390" s="33" t="s">
        <v>5002</v>
      </c>
      <c r="E390" s="74"/>
      <c r="F390" s="46" t="s">
        <v>2775</v>
      </c>
      <c r="G390" s="75"/>
      <c r="H390" s="96" t="str">
        <f>HYPERLINK("http://mirror.ff7data.com.ar/ff7/data/minigame/chocobo.lgp/gt.p.png","View Picture")</f>
        <v>View Picture</v>
      </c>
      <c r="K390" s="43"/>
    </row>
    <row r="391">
      <c r="A391" s="40"/>
      <c r="B391" s="33" t="s">
        <v>5063</v>
      </c>
      <c r="C391" s="42">
        <v>56.0</v>
      </c>
      <c r="D391" s="33" t="s">
        <v>5002</v>
      </c>
      <c r="E391" s="74"/>
      <c r="F391" s="46" t="s">
        <v>2793</v>
      </c>
      <c r="G391" s="75"/>
      <c r="H391" s="96" t="str">
        <f>HYPERLINK("http://mirror.ff7data.com.ar/ff7/data/minigame/chocobo.lgp/gt.rsd.png","View Picture")</f>
        <v>View Picture</v>
      </c>
      <c r="K391" s="43"/>
    </row>
    <row r="392">
      <c r="A392" s="40"/>
      <c r="B392" s="33" t="s">
        <v>5077</v>
      </c>
      <c r="C392" s="42">
        <v>1048.0</v>
      </c>
      <c r="D392" s="33" t="s">
        <v>5020</v>
      </c>
      <c r="E392" s="74"/>
      <c r="F392" s="46" t="s">
        <v>2775</v>
      </c>
      <c r="G392" s="75"/>
      <c r="H392" s="96" t="str">
        <f>HYPERLINK("http://mirror.ff7data.com.ar/ff7/data/minigame/chocobo.lgp/gu.p.png","View Picture")</f>
        <v>View Picture</v>
      </c>
      <c r="K392" s="43"/>
    </row>
    <row r="393">
      <c r="A393" s="40"/>
      <c r="B393" s="33" t="s">
        <v>5087</v>
      </c>
      <c r="C393" s="42">
        <v>56.0</v>
      </c>
      <c r="D393" s="33" t="s">
        <v>5020</v>
      </c>
      <c r="E393" s="74"/>
      <c r="F393" s="46" t="s">
        <v>2793</v>
      </c>
      <c r="G393" s="75"/>
      <c r="H393" s="96" t="str">
        <f>HYPERLINK("http://mirror.ff7data.com.ar/ff7/data/minigame/chocobo.lgp/gu.rsd.png","View Picture")</f>
        <v>View Picture</v>
      </c>
      <c r="K393" s="43"/>
    </row>
    <row r="394">
      <c r="A394" s="40"/>
      <c r="B394" s="33" t="s">
        <v>5099</v>
      </c>
      <c r="C394" s="42">
        <v>23076.0</v>
      </c>
      <c r="D394" s="33" t="s">
        <v>5101</v>
      </c>
      <c r="E394" s="74"/>
      <c r="F394" s="46" t="s">
        <v>3366</v>
      </c>
      <c r="G394" s="75"/>
      <c r="H394" s="114"/>
      <c r="K394" s="43"/>
    </row>
    <row r="395">
      <c r="A395" s="40"/>
      <c r="B395" s="33" t="s">
        <v>5105</v>
      </c>
      <c r="C395" s="42">
        <v>97.0</v>
      </c>
      <c r="D395" s="33" t="s">
        <v>5106</v>
      </c>
      <c r="E395" s="74"/>
      <c r="F395" s="46" t="s">
        <v>5108</v>
      </c>
      <c r="G395" s="75"/>
      <c r="H395" s="96" t="str">
        <f>HYPERLINK("http://mirror.ff7data.com.ar/ff7/data/minigame/chocobo.lgp/gw.hrc.png","View Picture")</f>
        <v>View Picture</v>
      </c>
      <c r="K395" s="43"/>
    </row>
    <row r="396">
      <c r="A396" s="40"/>
      <c r="B396" s="33" t="s">
        <v>5113</v>
      </c>
      <c r="C396" s="42">
        <v>6904.0</v>
      </c>
      <c r="D396" s="33" t="s">
        <v>5115</v>
      </c>
      <c r="E396" s="74"/>
      <c r="F396" s="46" t="s">
        <v>2775</v>
      </c>
      <c r="G396" s="75"/>
      <c r="H396" s="96" t="str">
        <f>HYPERLINK("http://mirror.ff7data.com.ar/ff7/data/minigame/chocobo.lgp/gx.p.png","View Picture")</f>
        <v>View Picture</v>
      </c>
      <c r="K396" s="43"/>
    </row>
    <row r="397">
      <c r="A397" s="40"/>
      <c r="B397" s="33" t="s">
        <v>5123</v>
      </c>
      <c r="C397" s="42">
        <v>139.0</v>
      </c>
      <c r="D397" s="33" t="s">
        <v>5115</v>
      </c>
      <c r="E397" s="74"/>
      <c r="F397" s="46" t="s">
        <v>2793</v>
      </c>
      <c r="G397" s="75"/>
      <c r="H397" s="96" t="str">
        <f>HYPERLINK("http://mirror.ff7data.com.ar/ff7/data/minigame/chocobo.lgp/gx.rsd.png","View Picture")</f>
        <v>View Picture</v>
      </c>
      <c r="K397" s="43"/>
    </row>
    <row r="398">
      <c r="A398" s="40"/>
      <c r="B398" s="33" t="s">
        <v>5133</v>
      </c>
      <c r="C398" s="42">
        <v>2916.0</v>
      </c>
      <c r="D398" s="33" t="s">
        <v>5135</v>
      </c>
      <c r="E398" s="74"/>
      <c r="F398" s="46" t="s">
        <v>3366</v>
      </c>
      <c r="G398" s="75"/>
      <c r="H398" s="114"/>
      <c r="K398" s="43"/>
    </row>
    <row r="399">
      <c r="A399" s="40"/>
      <c r="B399" s="33" t="s">
        <v>5138</v>
      </c>
      <c r="C399" s="42">
        <v>97.0</v>
      </c>
      <c r="D399" s="33" t="s">
        <v>5140</v>
      </c>
      <c r="E399" s="74"/>
      <c r="F399" s="46" t="s">
        <v>5108</v>
      </c>
      <c r="G399" s="75"/>
      <c r="H399" s="96" t="str">
        <f>HYPERLINK("http://mirror.ff7data.com.ar/ff7/data/minigame/chocobo.lgp/gz.hrc.png","View Picture")</f>
        <v>View Picture</v>
      </c>
      <c r="K399" s="43"/>
    </row>
    <row r="400">
      <c r="A400" s="40"/>
      <c r="B400" s="33" t="s">
        <v>5145</v>
      </c>
      <c r="C400" s="42">
        <v>2132.0</v>
      </c>
      <c r="D400" s="33" t="s">
        <v>5147</v>
      </c>
      <c r="E400" s="74"/>
      <c r="F400" s="46" t="s">
        <v>2775</v>
      </c>
      <c r="G400" s="75"/>
      <c r="H400" s="96" t="str">
        <f>HYPERLINK("http://mirror.ff7data.com.ar/ff7/data/minigame/chocobo.lgp/ha.p.png","View Picture")</f>
        <v>View Picture</v>
      </c>
      <c r="K400" s="43"/>
    </row>
    <row r="401">
      <c r="A401" s="40"/>
      <c r="B401" s="33" t="s">
        <v>5155</v>
      </c>
      <c r="C401" s="42">
        <v>139.0</v>
      </c>
      <c r="D401" s="33" t="s">
        <v>5147</v>
      </c>
      <c r="E401" s="74"/>
      <c r="F401" s="46" t="s">
        <v>2793</v>
      </c>
      <c r="G401" s="75"/>
      <c r="H401" s="96" t="str">
        <f>HYPERLINK("http://mirror.ff7data.com.ar/ff7/data/minigame/chocobo.lgp/ha.rsd.png","View Picture")</f>
        <v>View Picture</v>
      </c>
      <c r="K401" s="43"/>
    </row>
    <row r="402">
      <c r="A402" s="40"/>
      <c r="B402" s="33" t="s">
        <v>5172</v>
      </c>
      <c r="C402" s="42">
        <v>2916.0</v>
      </c>
      <c r="D402" s="33" t="s">
        <v>5174</v>
      </c>
      <c r="E402" s="74"/>
      <c r="F402" s="46" t="s">
        <v>3366</v>
      </c>
      <c r="G402" s="75"/>
      <c r="H402" s="114"/>
      <c r="K402" s="43"/>
    </row>
    <row r="403">
      <c r="A403" s="40"/>
      <c r="B403" s="33" t="s">
        <v>5178</v>
      </c>
      <c r="C403" s="42">
        <v>97.0</v>
      </c>
      <c r="D403" s="33" t="s">
        <v>5179</v>
      </c>
      <c r="E403" s="74"/>
      <c r="F403" s="46" t="s">
        <v>5108</v>
      </c>
      <c r="G403" s="75"/>
      <c r="H403" s="96" t="str">
        <f>HYPERLINK("http://mirror.ff7data.com.ar/ff7/data/minigame/chocobo.lgp/hc.hrc.png","View Picture")</f>
        <v>View Picture</v>
      </c>
      <c r="K403" s="43"/>
    </row>
    <row r="404">
      <c r="A404" s="40"/>
      <c r="B404" s="33" t="s">
        <v>5190</v>
      </c>
      <c r="C404" s="42">
        <v>2160.0</v>
      </c>
      <c r="D404" s="33" t="s">
        <v>5192</v>
      </c>
      <c r="E404" s="74"/>
      <c r="F404" s="46" t="s">
        <v>2775</v>
      </c>
      <c r="G404" s="75"/>
      <c r="H404" s="96" t="str">
        <f>HYPERLINK("http://mirror.ff7data.com.ar/ff7/data/minigame/chocobo.lgp/hd.p.png","View Picture")</f>
        <v>View Picture</v>
      </c>
      <c r="K404" s="43"/>
    </row>
    <row r="405">
      <c r="A405" s="40"/>
      <c r="B405" s="33" t="s">
        <v>5205</v>
      </c>
      <c r="C405" s="42">
        <v>139.0</v>
      </c>
      <c r="D405" s="33" t="s">
        <v>5192</v>
      </c>
      <c r="E405" s="74"/>
      <c r="F405" s="46" t="s">
        <v>2793</v>
      </c>
      <c r="G405" s="75"/>
      <c r="H405" s="96" t="str">
        <f>HYPERLINK("http://mirror.ff7data.com.ar/ff7/data/minigame/chocobo.lgp/hd.rsd.png","View Picture")</f>
        <v>View Picture</v>
      </c>
      <c r="K405" s="43"/>
    </row>
    <row r="406">
      <c r="A406" s="40"/>
      <c r="B406" s="33" t="s">
        <v>5216</v>
      </c>
      <c r="C406" s="42">
        <v>2916.0</v>
      </c>
      <c r="D406" s="33" t="s">
        <v>5218</v>
      </c>
      <c r="E406" s="74"/>
      <c r="F406" s="46" t="s">
        <v>3366</v>
      </c>
      <c r="G406" s="75"/>
      <c r="H406" s="114"/>
      <c r="K406" s="43"/>
    </row>
    <row r="407">
      <c r="A407" s="40"/>
      <c r="B407" s="33" t="s">
        <v>5225</v>
      </c>
      <c r="C407" s="42">
        <v>97.0</v>
      </c>
      <c r="D407" s="33" t="s">
        <v>5227</v>
      </c>
      <c r="E407" s="74"/>
      <c r="F407" s="46" t="s">
        <v>5108</v>
      </c>
      <c r="G407" s="75"/>
      <c r="H407" s="96" t="str">
        <f>HYPERLINK("http://mirror.ff7data.com.ar/ff7/data/minigame/chocobo.lgp/hf.hrc.png","View Picture")</f>
        <v>View Picture</v>
      </c>
      <c r="K407" s="43"/>
    </row>
    <row r="408">
      <c r="A408" s="40"/>
      <c r="B408" s="33" t="s">
        <v>5238</v>
      </c>
      <c r="C408" s="42">
        <v>956.0</v>
      </c>
      <c r="D408" s="33" t="s">
        <v>5239</v>
      </c>
      <c r="E408" s="74"/>
      <c r="F408" s="46" t="s">
        <v>2775</v>
      </c>
      <c r="G408" s="75"/>
      <c r="H408" s="96" t="str">
        <f>HYPERLINK("http://mirror.ff7data.com.ar/ff7/data/minigame/chocobo.lgp/hg.p.png","View Picture")</f>
        <v>View Picture</v>
      </c>
      <c r="K408" s="43"/>
    </row>
    <row r="409">
      <c r="A409" s="40"/>
      <c r="B409" s="33" t="s">
        <v>5248</v>
      </c>
      <c r="C409" s="42">
        <v>139.0</v>
      </c>
      <c r="D409" s="33" t="s">
        <v>5239</v>
      </c>
      <c r="E409" s="74"/>
      <c r="F409" s="46" t="s">
        <v>2793</v>
      </c>
      <c r="G409" s="75"/>
      <c r="H409" s="96" t="str">
        <f>HYPERLINK("http://mirror.ff7data.com.ar/ff7/data/minigame/chocobo.lgp/hg.rsd.png","View Picture")</f>
        <v>View Picture</v>
      </c>
      <c r="K409" s="43"/>
    </row>
    <row r="410">
      <c r="A410" s="40"/>
      <c r="B410" s="33" t="s">
        <v>5256</v>
      </c>
      <c r="C410" s="42">
        <v>2916.0</v>
      </c>
      <c r="D410" s="33" t="s">
        <v>5259</v>
      </c>
      <c r="E410" s="74"/>
      <c r="F410" s="46" t="s">
        <v>3366</v>
      </c>
      <c r="G410" s="75"/>
      <c r="H410" s="114"/>
      <c r="K410" s="43"/>
    </row>
    <row r="411">
      <c r="A411" s="40"/>
      <c r="B411" s="33" t="s">
        <v>5262</v>
      </c>
      <c r="C411" s="42">
        <v>97.0</v>
      </c>
      <c r="D411" s="33" t="s">
        <v>5264</v>
      </c>
      <c r="E411" s="74"/>
      <c r="F411" s="46" t="s">
        <v>5108</v>
      </c>
      <c r="G411" s="75"/>
      <c r="H411" s="96" t="str">
        <f>HYPERLINK("http://mirror.ff7data.com.ar/ff7/data/minigame/chocobo.lgp/hi.hrc.png","View Picture")</f>
        <v>View Picture</v>
      </c>
      <c r="K411" s="43"/>
    </row>
    <row r="412">
      <c r="A412" s="40"/>
      <c r="B412" s="33" t="s">
        <v>5275</v>
      </c>
      <c r="C412" s="42">
        <v>928.0</v>
      </c>
      <c r="D412" s="33" t="s">
        <v>5276</v>
      </c>
      <c r="E412" s="74"/>
      <c r="F412" s="46" t="s">
        <v>2775</v>
      </c>
      <c r="G412" s="75"/>
      <c r="H412" s="96" t="str">
        <f>HYPERLINK("http://mirror.ff7data.com.ar/ff7/data/minigame/chocobo.lgp/hj.p.png","View Picture")</f>
        <v>View Picture</v>
      </c>
      <c r="K412" s="43"/>
    </row>
    <row r="413">
      <c r="A413" s="40"/>
      <c r="B413" s="33" t="s">
        <v>5289</v>
      </c>
      <c r="C413" s="42">
        <v>139.0</v>
      </c>
      <c r="D413" s="33" t="s">
        <v>5276</v>
      </c>
      <c r="E413" s="74"/>
      <c r="F413" s="46" t="s">
        <v>2793</v>
      </c>
      <c r="G413" s="75"/>
      <c r="H413" s="96" t="str">
        <f>HYPERLINK("http://mirror.ff7data.com.ar/ff7/data/minigame/chocobo.lgp/hj.rsd.png","View Picture")</f>
        <v>View Picture</v>
      </c>
      <c r="K413" s="43"/>
    </row>
    <row r="414">
      <c r="A414" s="40"/>
      <c r="B414" s="33" t="s">
        <v>5301</v>
      </c>
      <c r="C414" s="42">
        <v>2916.0</v>
      </c>
      <c r="D414" s="33" t="s">
        <v>5304</v>
      </c>
      <c r="E414" s="74"/>
      <c r="F414" s="46" t="s">
        <v>3366</v>
      </c>
      <c r="G414" s="75"/>
      <c r="H414" s="114"/>
      <c r="K414" s="43"/>
    </row>
    <row r="415">
      <c r="A415" s="40"/>
      <c r="B415" s="33" t="s">
        <v>5309</v>
      </c>
      <c r="C415" s="42">
        <v>97.0</v>
      </c>
      <c r="D415" s="33" t="s">
        <v>5311</v>
      </c>
      <c r="E415" s="74"/>
      <c r="F415" s="46" t="s">
        <v>5108</v>
      </c>
      <c r="G415" s="75"/>
      <c r="H415" s="96" t="str">
        <f>HYPERLINK("http://mirror.ff7data.com.ar/ff7/data/minigame/chocobo.lgp/hl.hrc.png","View Picture")</f>
        <v>View Picture</v>
      </c>
      <c r="K415" s="43"/>
    </row>
    <row r="416">
      <c r="A416" s="40"/>
      <c r="B416" s="33" t="s">
        <v>5323</v>
      </c>
      <c r="C416" s="42">
        <v>932.0</v>
      </c>
      <c r="D416" s="33" t="s">
        <v>5326</v>
      </c>
      <c r="E416" s="74"/>
      <c r="F416" s="46" t="s">
        <v>2775</v>
      </c>
      <c r="G416" s="75"/>
      <c r="H416" s="96" t="str">
        <f>HYPERLINK("http://mirror.ff7data.com.ar/ff7/data/minigame/chocobo.lgp/hm.p.png","View Picture")</f>
        <v>View Picture</v>
      </c>
      <c r="K416" s="43"/>
    </row>
    <row r="417">
      <c r="A417" s="40"/>
      <c r="B417" s="33" t="s">
        <v>5338</v>
      </c>
      <c r="C417" s="42">
        <v>139.0</v>
      </c>
      <c r="D417" s="33" t="s">
        <v>5326</v>
      </c>
      <c r="E417" s="74"/>
      <c r="F417" s="46" t="s">
        <v>2793</v>
      </c>
      <c r="G417" s="75"/>
      <c r="H417" s="96" t="str">
        <f>HYPERLINK("http://mirror.ff7data.com.ar/ff7/data/minigame/chocobo.lgp/hm.rsd.png","View Picture")</f>
        <v>View Picture</v>
      </c>
      <c r="K417" s="43"/>
    </row>
    <row r="418">
      <c r="A418" s="40"/>
      <c r="B418" s="33" t="s">
        <v>5353</v>
      </c>
      <c r="C418" s="42">
        <v>2916.0</v>
      </c>
      <c r="D418" s="33" t="s">
        <v>5362</v>
      </c>
      <c r="E418" s="74"/>
      <c r="F418" s="46" t="s">
        <v>3366</v>
      </c>
      <c r="G418" s="75"/>
      <c r="H418" s="114"/>
      <c r="K418" s="43"/>
    </row>
    <row r="419">
      <c r="A419" s="40"/>
      <c r="B419" s="33" t="s">
        <v>5366</v>
      </c>
      <c r="C419" s="42">
        <v>97.0</v>
      </c>
      <c r="D419" s="33" t="s">
        <v>5368</v>
      </c>
      <c r="E419" s="74"/>
      <c r="F419" s="46" t="s">
        <v>5108</v>
      </c>
      <c r="G419" s="75"/>
      <c r="H419" s="96" t="str">
        <f>HYPERLINK("http://mirror.ff7data.com.ar/ff7/data/minigame/chocobo.lgp/ho.hrc.png","View Picture")</f>
        <v>View Picture</v>
      </c>
      <c r="K419" s="43"/>
    </row>
    <row r="420">
      <c r="A420" s="40"/>
      <c r="B420" s="33" t="s">
        <v>5381</v>
      </c>
      <c r="C420" s="42">
        <v>1004.0</v>
      </c>
      <c r="D420" s="33" t="s">
        <v>5383</v>
      </c>
      <c r="E420" s="74"/>
      <c r="F420" s="46" t="s">
        <v>2775</v>
      </c>
      <c r="G420" s="75"/>
      <c r="H420" s="96" t="str">
        <f>HYPERLINK("http://mirror.ff7data.com.ar/ff7/data/minigame/chocobo.lgp/hp.p.png","View Picture")</f>
        <v>View Picture</v>
      </c>
      <c r="K420" s="43"/>
    </row>
    <row r="421">
      <c r="A421" s="40"/>
      <c r="B421" s="33" t="s">
        <v>5397</v>
      </c>
      <c r="C421" s="42">
        <v>139.0</v>
      </c>
      <c r="D421" s="33" t="s">
        <v>5383</v>
      </c>
      <c r="E421" s="74"/>
      <c r="F421" s="46" t="s">
        <v>2793</v>
      </c>
      <c r="G421" s="75"/>
      <c r="H421" s="96" t="str">
        <f>HYPERLINK("http://mirror.ff7data.com.ar/ff7/data/minigame/chocobo.lgp/hp.rsd.png","View Picture")</f>
        <v>View Picture</v>
      </c>
      <c r="K421" s="43"/>
    </row>
    <row r="422">
      <c r="A422" s="40"/>
      <c r="B422" s="33" t="s">
        <v>5405</v>
      </c>
      <c r="C422" s="42">
        <v>2916.0</v>
      </c>
      <c r="D422" s="33" t="s">
        <v>5408</v>
      </c>
      <c r="E422" s="74"/>
      <c r="F422" s="46" t="s">
        <v>3366</v>
      </c>
      <c r="G422" s="75"/>
      <c r="H422" s="114"/>
      <c r="K422" s="43"/>
    </row>
    <row r="423">
      <c r="A423" s="40"/>
      <c r="B423" s="33" t="s">
        <v>5411</v>
      </c>
      <c r="C423" s="42">
        <v>451.0</v>
      </c>
      <c r="D423" s="33" t="s">
        <v>5413</v>
      </c>
      <c r="E423" s="74"/>
      <c r="F423" s="46" t="s">
        <v>5108</v>
      </c>
      <c r="G423" s="75"/>
      <c r="H423" s="96" t="str">
        <f>HYPERLINK("http://mirror.ff7data.com.ar/ff7/data/minigame/chocobo.lgp/hr.hrc.png","View Picture")</f>
        <v>View Picture</v>
      </c>
      <c r="K423" s="43"/>
    </row>
    <row r="424">
      <c r="A424" s="40"/>
      <c r="B424" s="33" t="s">
        <v>5422</v>
      </c>
      <c r="C424" s="42">
        <v>4560.0</v>
      </c>
      <c r="D424" s="33" t="s">
        <v>5424</v>
      </c>
      <c r="E424" s="74"/>
      <c r="F424" s="46" t="s">
        <v>2775</v>
      </c>
      <c r="G424" s="75"/>
      <c r="H424" s="96" t="str">
        <f>HYPERLINK("http://mirror.ff7data.com.ar/ff7/data/minigame/chocobo.lgp/hs.p.png","View Picture")</f>
        <v>View Picture</v>
      </c>
      <c r="K424" s="43"/>
    </row>
    <row r="425">
      <c r="A425" s="40"/>
      <c r="B425" s="33" t="s">
        <v>5432</v>
      </c>
      <c r="C425" s="42">
        <v>56.0</v>
      </c>
      <c r="D425" s="33" t="s">
        <v>5424</v>
      </c>
      <c r="E425" s="74"/>
      <c r="F425" s="46" t="s">
        <v>2793</v>
      </c>
      <c r="G425" s="75"/>
      <c r="H425" s="96" t="str">
        <f>HYPERLINK("http://mirror.ff7data.com.ar/ff7/data/minigame/chocobo.lgp/hs.rsd.png","View Picture")</f>
        <v>View Picture</v>
      </c>
      <c r="K425" s="43"/>
    </row>
    <row r="426">
      <c r="A426" s="40"/>
      <c r="B426" s="33" t="s">
        <v>5443</v>
      </c>
      <c r="C426" s="42">
        <v>4632.0</v>
      </c>
      <c r="D426" s="33" t="s">
        <v>5445</v>
      </c>
      <c r="E426" s="74"/>
      <c r="F426" s="46" t="s">
        <v>2775</v>
      </c>
      <c r="G426" s="75"/>
      <c r="H426" s="96" t="str">
        <f>HYPERLINK("http://mirror.ff7data.com.ar/ff7/data/minigame/chocobo.lgp/ht.p.png","View Picture")</f>
        <v>View Picture</v>
      </c>
      <c r="K426" s="43"/>
    </row>
    <row r="427">
      <c r="A427" s="40"/>
      <c r="B427" s="33" t="s">
        <v>5455</v>
      </c>
      <c r="C427" s="42">
        <v>139.0</v>
      </c>
      <c r="D427" s="33" t="s">
        <v>5445</v>
      </c>
      <c r="E427" s="74"/>
      <c r="F427" s="46" t="s">
        <v>2793</v>
      </c>
      <c r="G427" s="75"/>
      <c r="H427" s="96" t="str">
        <f>HYPERLINK("http://mirror.ff7data.com.ar/ff7/data/minigame/chocobo.lgp/ht.rsd.png","View Picture")</f>
        <v>View Picture</v>
      </c>
      <c r="K427" s="43"/>
    </row>
    <row r="428">
      <c r="A428" s="40"/>
      <c r="B428" s="33" t="s">
        <v>5465</v>
      </c>
      <c r="C428" s="42">
        <v>776.0</v>
      </c>
      <c r="D428" s="33" t="s">
        <v>5467</v>
      </c>
      <c r="E428" s="74"/>
      <c r="F428" s="46" t="s">
        <v>2775</v>
      </c>
      <c r="G428" s="75"/>
      <c r="H428" s="96" t="str">
        <f>HYPERLINK("http://mirror.ff7data.com.ar/ff7/data/minigame/chocobo.lgp/hu.p.png","View Picture")</f>
        <v>View Picture</v>
      </c>
      <c r="K428" s="43"/>
    </row>
    <row r="429">
      <c r="A429" s="40"/>
      <c r="B429" s="33" t="s">
        <v>5476</v>
      </c>
      <c r="C429" s="42">
        <v>56.0</v>
      </c>
      <c r="D429" s="33" t="s">
        <v>5467</v>
      </c>
      <c r="E429" s="74"/>
      <c r="F429" s="46" t="s">
        <v>2793</v>
      </c>
      <c r="G429" s="75"/>
      <c r="H429" s="96" t="str">
        <f>HYPERLINK("http://mirror.ff7data.com.ar/ff7/data/minigame/chocobo.lgp/hu.rsd.png","View Picture")</f>
        <v>View Picture</v>
      </c>
      <c r="K429" s="43"/>
    </row>
    <row r="430">
      <c r="A430" s="40"/>
      <c r="B430" s="33" t="s">
        <v>5489</v>
      </c>
      <c r="C430" s="42">
        <v>1864.0</v>
      </c>
      <c r="D430" s="33" t="s">
        <v>5491</v>
      </c>
      <c r="E430" s="74"/>
      <c r="F430" s="46" t="s">
        <v>2775</v>
      </c>
      <c r="G430" s="75"/>
      <c r="H430" s="96" t="str">
        <f>HYPERLINK("http://mirror.ff7data.com.ar/ff7/data/minigame/chocobo.lgp/hv.p.png","View Picture")</f>
        <v>View Picture</v>
      </c>
      <c r="K430" s="43"/>
    </row>
    <row r="431">
      <c r="A431" s="40"/>
      <c r="B431" s="33" t="s">
        <v>5505</v>
      </c>
      <c r="C431" s="42">
        <v>56.0</v>
      </c>
      <c r="D431" s="33" t="s">
        <v>5491</v>
      </c>
      <c r="E431" s="74"/>
      <c r="F431" s="46" t="s">
        <v>2793</v>
      </c>
      <c r="G431" s="75"/>
      <c r="H431" s="96" t="str">
        <f>HYPERLINK("http://mirror.ff7data.com.ar/ff7/data/minigame/chocobo.lgp/hv.rsd.png","View Picture")</f>
        <v>View Picture</v>
      </c>
      <c r="K431" s="43"/>
    </row>
    <row r="432">
      <c r="A432" s="40"/>
      <c r="B432" s="33" t="s">
        <v>5519</v>
      </c>
      <c r="C432" s="42">
        <v>576.0</v>
      </c>
      <c r="D432" s="33" t="s">
        <v>5521</v>
      </c>
      <c r="E432" s="74"/>
      <c r="F432" s="46" t="s">
        <v>2775</v>
      </c>
      <c r="G432" s="75"/>
      <c r="H432" s="96" t="str">
        <f>HYPERLINK("http://mirror.ff7data.com.ar/ff7/data/minigame/chocobo.lgp/hw.p.png","View Picture")</f>
        <v>View Picture</v>
      </c>
      <c r="K432" s="43"/>
    </row>
    <row r="433">
      <c r="A433" s="40"/>
      <c r="B433" s="33" t="s">
        <v>5530</v>
      </c>
      <c r="C433" s="42">
        <v>56.0</v>
      </c>
      <c r="D433" s="33" t="s">
        <v>5521</v>
      </c>
      <c r="E433" s="74"/>
      <c r="F433" s="46" t="s">
        <v>2793</v>
      </c>
      <c r="G433" s="75"/>
      <c r="H433" s="96" t="str">
        <f>HYPERLINK("http://mirror.ff7data.com.ar/ff7/data/minigame/chocobo.lgp/hw.rsd.png","View Picture")</f>
        <v>View Picture</v>
      </c>
      <c r="K433" s="43"/>
    </row>
    <row r="434">
      <c r="A434" s="40"/>
      <c r="B434" s="33" t="s">
        <v>5541</v>
      </c>
      <c r="C434" s="42">
        <v>576.0</v>
      </c>
      <c r="D434" s="33" t="s">
        <v>5543</v>
      </c>
      <c r="E434" s="74"/>
      <c r="F434" s="46" t="s">
        <v>2775</v>
      </c>
      <c r="G434" s="75"/>
      <c r="H434" s="96" t="str">
        <f>HYPERLINK("http://mirror.ff7data.com.ar/ff7/data/minigame/chocobo.lgp/hx.p.png","View Picture")</f>
        <v>View Picture</v>
      </c>
      <c r="K434" s="43"/>
    </row>
    <row r="435">
      <c r="A435" s="40"/>
      <c r="B435" s="33" t="s">
        <v>5551</v>
      </c>
      <c r="C435" s="42">
        <v>56.0</v>
      </c>
      <c r="D435" s="33" t="s">
        <v>5543</v>
      </c>
      <c r="E435" s="74"/>
      <c r="F435" s="46" t="s">
        <v>2793</v>
      </c>
      <c r="G435" s="75"/>
      <c r="H435" s="96" t="str">
        <f>HYPERLINK("http://mirror.ff7data.com.ar/ff7/data/minigame/chocobo.lgp/hx.rsd.png","View Picture")</f>
        <v>View Picture</v>
      </c>
      <c r="K435" s="43"/>
    </row>
    <row r="436">
      <c r="A436" s="40"/>
      <c r="B436" s="33" t="s">
        <v>5558</v>
      </c>
      <c r="C436" s="42">
        <v>576.0</v>
      </c>
      <c r="D436" s="33" t="s">
        <v>5521</v>
      </c>
      <c r="E436" s="74"/>
      <c r="F436" s="46" t="s">
        <v>2775</v>
      </c>
      <c r="G436" s="75"/>
      <c r="H436" s="96" t="str">
        <f>HYPERLINK("http://mirror.ff7data.com.ar/ff7/data/minigame/chocobo.lgp/hy.p.png","View Picture")</f>
        <v>View Picture</v>
      </c>
      <c r="K436" s="43"/>
    </row>
    <row r="437">
      <c r="A437" s="40"/>
      <c r="B437" s="33" t="s">
        <v>5570</v>
      </c>
      <c r="C437" s="42">
        <v>56.0</v>
      </c>
      <c r="D437" s="33" t="s">
        <v>5521</v>
      </c>
      <c r="E437" s="74"/>
      <c r="F437" s="46" t="s">
        <v>2793</v>
      </c>
      <c r="G437" s="75"/>
      <c r="H437" s="96" t="str">
        <f>HYPERLINK("http://mirror.ff7data.com.ar/ff7/data/minigame/chocobo.lgp/hy.rsd.png","View Picture")</f>
        <v>View Picture</v>
      </c>
      <c r="K437" s="43"/>
    </row>
    <row r="438">
      <c r="A438" s="40"/>
      <c r="B438" s="33" t="s">
        <v>5583</v>
      </c>
      <c r="C438" s="42">
        <v>576.0</v>
      </c>
      <c r="D438" s="33" t="s">
        <v>5543</v>
      </c>
      <c r="E438" s="74"/>
      <c r="F438" s="46" t="s">
        <v>2775</v>
      </c>
      <c r="G438" s="75"/>
      <c r="H438" s="96" t="str">
        <f>HYPERLINK("http://mirror.ff7data.com.ar/ff7/data/minigame/chocobo.lgp/hz.p.png","View Picture")</f>
        <v>View Picture</v>
      </c>
      <c r="K438" s="43"/>
    </row>
    <row r="439">
      <c r="A439" s="40"/>
      <c r="B439" s="33" t="s">
        <v>5595</v>
      </c>
      <c r="C439" s="42">
        <v>56.0</v>
      </c>
      <c r="D439" s="33" t="s">
        <v>5543</v>
      </c>
      <c r="E439" s="74"/>
      <c r="F439" s="46" t="s">
        <v>2793</v>
      </c>
      <c r="G439" s="75"/>
      <c r="H439" s="96" t="str">
        <f>HYPERLINK("http://mirror.ff7data.com.ar/ff7/data/minigame/chocobo.lgp/hz.rsd.png","View Picture")</f>
        <v>View Picture</v>
      </c>
      <c r="K439" s="43"/>
    </row>
    <row r="440">
      <c r="A440" s="40"/>
      <c r="B440" s="33" t="s">
        <v>5606</v>
      </c>
      <c r="C440" s="42">
        <v>21636.0</v>
      </c>
      <c r="D440" s="33" t="s">
        <v>5608</v>
      </c>
      <c r="E440" s="74"/>
      <c r="F440" s="46" t="s">
        <v>3366</v>
      </c>
      <c r="G440" s="75"/>
      <c r="H440" s="114"/>
      <c r="K440" s="43"/>
    </row>
    <row r="441">
      <c r="A441" s="40"/>
      <c r="B441" s="33" t="s">
        <v>5610</v>
      </c>
      <c r="C441" s="42">
        <v>110.0</v>
      </c>
      <c r="D441" s="33" t="s">
        <v>5612</v>
      </c>
      <c r="E441" s="74"/>
      <c r="F441" s="46" t="s">
        <v>2756</v>
      </c>
      <c r="G441" s="75"/>
      <c r="H441" s="96" t="str">
        <f>HYPERLINK("http://mirror.ff7data.com.ar/ff7/data/minigame/chocobo.lgp/ib.hrc.png","View Picture")</f>
        <v>View Picture</v>
      </c>
      <c r="K441" s="43"/>
    </row>
    <row r="442">
      <c r="A442" s="40"/>
      <c r="B442" s="33" t="s">
        <v>5621</v>
      </c>
      <c r="C442" s="42">
        <v>1080.0</v>
      </c>
      <c r="D442" s="33" t="s">
        <v>5624</v>
      </c>
      <c r="E442" s="74"/>
      <c r="F442" s="46" t="s">
        <v>2775</v>
      </c>
      <c r="G442" s="75"/>
      <c r="H442" s="96" t="str">
        <f>HYPERLINK("http://mirror.ff7data.com.ar/ff7/data/minigame/chocobo.lgp/ic.p.png","View Picture")</f>
        <v>View Picture</v>
      </c>
      <c r="K442" s="43"/>
    </row>
    <row r="443">
      <c r="A443" s="40"/>
      <c r="B443" s="33" t="s">
        <v>5633</v>
      </c>
      <c r="C443" s="42">
        <v>56.0</v>
      </c>
      <c r="D443" s="33" t="s">
        <v>5624</v>
      </c>
      <c r="E443" s="74"/>
      <c r="F443" s="46" t="s">
        <v>2793</v>
      </c>
      <c r="G443" s="75"/>
      <c r="H443" s="96" t="str">
        <f>HYPERLINK("http://mirror.ff7data.com.ar/ff7/data/minigame/chocobo.lgp/ic.rsd.png","View Picture")</f>
        <v>View Picture</v>
      </c>
      <c r="K443" s="43"/>
    </row>
    <row r="444">
      <c r="A444" s="40"/>
      <c r="B444" s="33" t="s">
        <v>5643</v>
      </c>
      <c r="C444" s="42">
        <v>6552.0</v>
      </c>
      <c r="D444" s="33" t="s">
        <v>5645</v>
      </c>
      <c r="E444" s="74"/>
      <c r="F444" s="46" t="s">
        <v>2775</v>
      </c>
      <c r="G444" s="75"/>
      <c r="H444" s="96" t="str">
        <f>HYPERLINK("http://mirror.ff7data.com.ar/ff7/data/minigame/chocobo.lgp/id.p.png","View Picture")</f>
        <v>View Picture</v>
      </c>
      <c r="K444" s="43"/>
    </row>
    <row r="445">
      <c r="A445" s="40"/>
      <c r="B445" s="33" t="s">
        <v>5654</v>
      </c>
      <c r="C445" s="42">
        <v>56.0</v>
      </c>
      <c r="D445" s="33" t="s">
        <v>5645</v>
      </c>
      <c r="E445" s="74"/>
      <c r="F445" s="46" t="s">
        <v>2793</v>
      </c>
      <c r="G445" s="75"/>
      <c r="H445" s="96" t="str">
        <f>HYPERLINK("http://mirror.ff7data.com.ar/ff7/data/minigame/chocobo.lgp/id.rsd.png","View Picture")</f>
        <v>View Picture</v>
      </c>
      <c r="K445" s="43"/>
    </row>
    <row r="446">
      <c r="A446" s="40"/>
      <c r="B446" s="33" t="s">
        <v>5668</v>
      </c>
      <c r="C446" s="42">
        <v>5796.0</v>
      </c>
      <c r="D446" s="33" t="s">
        <v>5669</v>
      </c>
      <c r="E446" s="74"/>
      <c r="F446" s="46" t="s">
        <v>3366</v>
      </c>
      <c r="G446" s="75"/>
      <c r="H446" s="74"/>
      <c r="K446" s="43"/>
    </row>
    <row r="447">
      <c r="A447" s="40"/>
      <c r="B447" s="33" t="s">
        <v>5673</v>
      </c>
      <c r="C447" s="42">
        <v>107.0</v>
      </c>
      <c r="D447" s="33" t="s">
        <v>5675</v>
      </c>
      <c r="E447" s="74"/>
      <c r="F447" s="46" t="s">
        <v>2756</v>
      </c>
      <c r="G447" s="75"/>
      <c r="H447" s="96" t="str">
        <f>HYPERLINK("http://mirror.ff7data.com.ar/ff7/data/minigame/chocobo.lgp/if.hrc.png","View Picture")</f>
        <v>View Picture</v>
      </c>
      <c r="K447" s="43"/>
    </row>
    <row r="448">
      <c r="A448" s="40"/>
      <c r="B448" s="33" t="s">
        <v>5684</v>
      </c>
      <c r="C448" s="42">
        <v>6392.0</v>
      </c>
      <c r="D448" s="33" t="s">
        <v>5687</v>
      </c>
      <c r="E448" s="74"/>
      <c r="F448" s="46" t="s">
        <v>2775</v>
      </c>
      <c r="G448" s="75"/>
      <c r="H448" s="96" t="str">
        <f>HYPERLINK("http://mirror.ff7data.com.ar/ff7/data/minigame/chocobo.lgp/ig.p.png","View Picture")</f>
        <v>View Picture</v>
      </c>
      <c r="K448" s="43"/>
    </row>
    <row r="449">
      <c r="A449" s="40"/>
      <c r="B449" s="33" t="s">
        <v>5695</v>
      </c>
      <c r="C449" s="42">
        <v>139.0</v>
      </c>
      <c r="D449" s="33" t="s">
        <v>5687</v>
      </c>
      <c r="E449" s="74"/>
      <c r="F449" s="46" t="s">
        <v>2793</v>
      </c>
      <c r="G449" s="75"/>
      <c r="H449" s="96" t="str">
        <f>HYPERLINK("http://mirror.ff7data.com.ar/ff7/data/minigame/chocobo.lgp/ig.rsd.png","View Picture")</f>
        <v>View Picture</v>
      </c>
      <c r="K449" s="43"/>
    </row>
    <row r="450">
      <c r="A450" s="40"/>
      <c r="B450" s="33" t="s">
        <v>5706</v>
      </c>
      <c r="C450" s="42">
        <v>6544.0</v>
      </c>
      <c r="D450" s="33" t="s">
        <v>5687</v>
      </c>
      <c r="E450" s="74"/>
      <c r="F450" s="46" t="s">
        <v>2775</v>
      </c>
      <c r="G450" s="75"/>
      <c r="H450" s="96" t="str">
        <f>HYPERLINK("http://mirror.ff7data.com.ar/ff7/data/minigame/chocobo.lgp/ih.p.png","View Picture")</f>
        <v>View Picture</v>
      </c>
      <c r="K450" s="43"/>
    </row>
    <row r="451">
      <c r="A451" s="40"/>
      <c r="B451" s="33" t="s">
        <v>5716</v>
      </c>
      <c r="C451" s="42">
        <v>139.0</v>
      </c>
      <c r="D451" s="33" t="s">
        <v>5687</v>
      </c>
      <c r="E451" s="74"/>
      <c r="F451" s="46" t="s">
        <v>2793</v>
      </c>
      <c r="G451" s="75"/>
      <c r="H451" s="96" t="str">
        <f>HYPERLINK("http://mirror.ff7data.com.ar/ff7/data/minigame/chocobo.lgp/ih.rsd.png","View Picture")</f>
        <v>View Picture</v>
      </c>
      <c r="K451" s="43"/>
    </row>
    <row r="452">
      <c r="A452" s="40"/>
      <c r="B452" s="33" t="s">
        <v>5727</v>
      </c>
      <c r="C452" s="42">
        <v>6544.0</v>
      </c>
      <c r="D452" s="33" t="s">
        <v>5687</v>
      </c>
      <c r="E452" s="74"/>
      <c r="F452" s="46" t="s">
        <v>2775</v>
      </c>
      <c r="G452" s="75"/>
      <c r="H452" s="96" t="str">
        <f>HYPERLINK("http://mirror.ff7data.com.ar/ff7/data/minigame/chocobo.lgp/ii.p.png","View Picture")</f>
        <v>View Picture</v>
      </c>
      <c r="K452" s="43"/>
    </row>
    <row r="453">
      <c r="A453" s="40"/>
      <c r="B453" s="33" t="s">
        <v>5738</v>
      </c>
      <c r="C453" s="42">
        <v>139.0</v>
      </c>
      <c r="D453" s="33" t="s">
        <v>5687</v>
      </c>
      <c r="E453" s="74"/>
      <c r="F453" s="46" t="s">
        <v>2793</v>
      </c>
      <c r="G453" s="75"/>
      <c r="H453" s="96" t="str">
        <f>HYPERLINK("http://mirror.ff7data.com.ar/ff7/data/minigame/chocobo.lgp/ii.rsd.png","View Picture")</f>
        <v>View Picture</v>
      </c>
      <c r="K453" s="43"/>
    </row>
    <row r="454">
      <c r="A454" s="40"/>
      <c r="B454" s="33" t="s">
        <v>5749</v>
      </c>
      <c r="C454" s="42">
        <v>6392.0</v>
      </c>
      <c r="D454" s="33" t="s">
        <v>5687</v>
      </c>
      <c r="E454" s="74"/>
      <c r="F454" s="46" t="s">
        <v>2775</v>
      </c>
      <c r="G454" s="75"/>
      <c r="H454" s="96" t="str">
        <f>HYPERLINK("http://mirror.ff7data.com.ar/ff7/data/minigame/chocobo.lgp/ij.p.png","View Picture")</f>
        <v>View Picture</v>
      </c>
      <c r="K454" s="43"/>
    </row>
    <row r="455">
      <c r="A455" s="40"/>
      <c r="B455" s="33" t="s">
        <v>5760</v>
      </c>
      <c r="C455" s="42">
        <v>139.0</v>
      </c>
      <c r="D455" s="33" t="s">
        <v>5687</v>
      </c>
      <c r="E455" s="74"/>
      <c r="F455" s="46" t="s">
        <v>2793</v>
      </c>
      <c r="G455" s="75"/>
      <c r="H455" s="96" t="str">
        <f>HYPERLINK("http://mirror.ff7data.com.ar/ff7/data/minigame/chocobo.lgp/ij.rsd.png","View Picture")</f>
        <v>View Picture</v>
      </c>
      <c r="K455" s="43"/>
    </row>
    <row r="456">
      <c r="A456" s="40"/>
      <c r="B456" s="33" t="s">
        <v>5772</v>
      </c>
      <c r="C456" s="42">
        <v>8676.0</v>
      </c>
      <c r="D456" s="33" t="s">
        <v>5774</v>
      </c>
      <c r="E456" s="74"/>
      <c r="F456" s="46" t="s">
        <v>3366</v>
      </c>
      <c r="G456" s="75"/>
      <c r="H456" s="114"/>
      <c r="K456" s="43"/>
    </row>
    <row r="457">
      <c r="A457" s="40"/>
      <c r="B457" s="33" t="s">
        <v>5780</v>
      </c>
      <c r="C457" s="42">
        <v>197.0</v>
      </c>
      <c r="D457" s="33" t="s">
        <v>5781</v>
      </c>
      <c r="E457" s="74"/>
      <c r="F457" s="46" t="s">
        <v>2756</v>
      </c>
      <c r="G457" s="75"/>
      <c r="H457" s="96" t="str">
        <f>HYPERLINK("http://mirror.ff7data.com.ar/ff7/data/minigame/chocobo.lgp/il.hrc.png","View Picture")</f>
        <v>View Picture</v>
      </c>
      <c r="K457" s="43"/>
    </row>
    <row r="458">
      <c r="A458" s="40"/>
      <c r="B458" s="33" t="s">
        <v>5790</v>
      </c>
      <c r="C458" s="42">
        <v>3196.0</v>
      </c>
      <c r="D458" s="33" t="s">
        <v>5791</v>
      </c>
      <c r="E458" s="74"/>
      <c r="F458" s="46" t="s">
        <v>2775</v>
      </c>
      <c r="G458" s="75"/>
      <c r="H458" s="96" t="str">
        <f>HYPERLINK("http://mirror.ff7data.com.ar/ff7/data/minigame/chocobo.lgp/im.p.png","View Picture")</f>
        <v>View Picture</v>
      </c>
      <c r="K458" s="43"/>
    </row>
    <row r="459">
      <c r="A459" s="40"/>
      <c r="B459" s="33" t="s">
        <v>5801</v>
      </c>
      <c r="C459" s="42">
        <v>139.0</v>
      </c>
      <c r="D459" s="33" t="s">
        <v>5791</v>
      </c>
      <c r="E459" s="74"/>
      <c r="F459" s="46" t="s">
        <v>2793</v>
      </c>
      <c r="G459" s="75"/>
      <c r="H459" s="96" t="str">
        <f>HYPERLINK("http://mirror.ff7data.com.ar/ff7/data/minigame/chocobo.lgp/im.rsd.png","View Picture")</f>
        <v>View Picture</v>
      </c>
      <c r="K459" s="43"/>
    </row>
    <row r="460">
      <c r="A460" s="40"/>
      <c r="B460" s="33" t="s">
        <v>5810</v>
      </c>
      <c r="C460" s="42">
        <v>1376.0</v>
      </c>
      <c r="D460" s="33" t="s">
        <v>5811</v>
      </c>
      <c r="E460" s="74"/>
      <c r="F460" s="46" t="s">
        <v>2775</v>
      </c>
      <c r="G460" s="75"/>
      <c r="H460" s="96" t="str">
        <f>HYPERLINK("http://mirror.ff7data.com.ar/ff7/data/minigame/chocobo.lgp/in.p.png","View Picture")</f>
        <v>View Picture</v>
      </c>
      <c r="K460" s="43"/>
    </row>
    <row r="461">
      <c r="A461" s="40"/>
      <c r="B461" s="33" t="s">
        <v>5822</v>
      </c>
      <c r="C461" s="42">
        <v>56.0</v>
      </c>
      <c r="D461" s="33" t="s">
        <v>5811</v>
      </c>
      <c r="E461" s="74"/>
      <c r="F461" s="46" t="s">
        <v>2793</v>
      </c>
      <c r="G461" s="75"/>
      <c r="H461" s="96" t="str">
        <f>HYPERLINK("http://mirror.ff7data.com.ar/ff7/data/minigame/chocobo.lgp/in.rsd.png","View Picture")</f>
        <v>View Picture</v>
      </c>
      <c r="K461" s="43"/>
    </row>
    <row r="462">
      <c r="A462" s="40"/>
      <c r="B462" s="33" t="s">
        <v>5832</v>
      </c>
      <c r="C462" s="42">
        <v>3196.0</v>
      </c>
      <c r="D462" s="33" t="s">
        <v>5834</v>
      </c>
      <c r="E462" s="74"/>
      <c r="F462" s="46" t="s">
        <v>2775</v>
      </c>
      <c r="G462" s="75"/>
      <c r="H462" s="96" t="str">
        <f>HYPERLINK("http://mirror.ff7data.com.ar/ff7/data/minigame/chocobo.lgp/io.p.png","View Picture")</f>
        <v>View Picture</v>
      </c>
      <c r="K462" s="43"/>
    </row>
    <row r="463">
      <c r="A463" s="40"/>
      <c r="B463" s="33" t="s">
        <v>5844</v>
      </c>
      <c r="C463" s="42">
        <v>139.0</v>
      </c>
      <c r="D463" s="33" t="s">
        <v>5834</v>
      </c>
      <c r="E463" s="74"/>
      <c r="F463" s="46" t="s">
        <v>2793</v>
      </c>
      <c r="G463" s="75"/>
      <c r="H463" s="96" t="str">
        <f>HYPERLINK("http://mirror.ff7data.com.ar/ff7/data/minigame/chocobo.lgp/io.rsd.png","View Picture")</f>
        <v>View Picture</v>
      </c>
      <c r="K463" s="43"/>
    </row>
    <row r="464">
      <c r="A464" s="40"/>
      <c r="B464" s="33" t="s">
        <v>5855</v>
      </c>
      <c r="C464" s="42">
        <v>3816.0</v>
      </c>
      <c r="D464" s="33" t="s">
        <v>5856</v>
      </c>
      <c r="E464" s="74"/>
      <c r="F464" s="46" t="s">
        <v>3366</v>
      </c>
      <c r="G464" s="75"/>
      <c r="H464" s="114"/>
      <c r="K464" s="43"/>
    </row>
    <row r="465">
      <c r="A465" s="40"/>
      <c r="B465" s="33" t="s">
        <v>5858</v>
      </c>
      <c r="C465" s="42">
        <v>198.0</v>
      </c>
      <c r="D465" s="33" t="s">
        <v>5860</v>
      </c>
      <c r="E465" s="74"/>
      <c r="F465" s="46" t="s">
        <v>2756</v>
      </c>
      <c r="G465" s="75"/>
      <c r="H465" s="96" t="str">
        <f>HYPERLINK("http://mirror.ff7data.com.ar/ff7/data/minigame/chocobo.lgp/iq.hrc.png","View Picture")</f>
        <v>View Picture</v>
      </c>
      <c r="K465" s="43"/>
    </row>
    <row r="466">
      <c r="A466" s="40"/>
      <c r="B466" s="33" t="s">
        <v>5866</v>
      </c>
      <c r="C466" s="42">
        <v>3196.0</v>
      </c>
      <c r="D466" s="33" t="s">
        <v>5868</v>
      </c>
      <c r="E466" s="74"/>
      <c r="F466" s="46" t="s">
        <v>2775</v>
      </c>
      <c r="G466" s="75"/>
      <c r="H466" s="96" t="str">
        <f>HYPERLINK("http://mirror.ff7data.com.ar/ff7/data/minigame/chocobo.lgp/ir.p.png","View Picture")</f>
        <v>View Picture</v>
      </c>
      <c r="K466" s="43"/>
    </row>
    <row r="467">
      <c r="A467" s="40"/>
      <c r="B467" s="33" t="s">
        <v>5876</v>
      </c>
      <c r="C467" s="42">
        <v>139.0</v>
      </c>
      <c r="D467" s="33" t="s">
        <v>5868</v>
      </c>
      <c r="E467" s="74"/>
      <c r="F467" s="46" t="s">
        <v>2793</v>
      </c>
      <c r="G467" s="75"/>
      <c r="H467" s="96" t="str">
        <f>HYPERLINK("http://mirror.ff7data.com.ar/ff7/data/minigame/chocobo.lgp/ir.rsd.png","View Picture")</f>
        <v>View Picture</v>
      </c>
      <c r="K467" s="43"/>
    </row>
    <row r="468">
      <c r="A468" s="40"/>
      <c r="B468" s="33" t="s">
        <v>5887</v>
      </c>
      <c r="C468" s="42">
        <v>3196.0</v>
      </c>
      <c r="D468" s="33" t="s">
        <v>5890</v>
      </c>
      <c r="E468" s="74"/>
      <c r="F468" s="46" t="s">
        <v>2775</v>
      </c>
      <c r="G468" s="75"/>
      <c r="H468" s="96" t="str">
        <f>HYPERLINK("http://mirror.ff7data.com.ar/ff7/data/minigame/chocobo.lgp/is.p.png","View Picture")</f>
        <v>View Picture</v>
      </c>
      <c r="K468" s="43"/>
    </row>
    <row r="469">
      <c r="A469" s="40"/>
      <c r="B469" s="33" t="s">
        <v>5901</v>
      </c>
      <c r="C469" s="42">
        <v>139.0</v>
      </c>
      <c r="D469" s="33" t="s">
        <v>5890</v>
      </c>
      <c r="E469" s="74"/>
      <c r="F469" s="46" t="s">
        <v>2793</v>
      </c>
      <c r="G469" s="75"/>
      <c r="H469" s="96" t="str">
        <f>HYPERLINK("http://mirror.ff7data.com.ar/ff7/data/minigame/chocobo.lgp/is.rsd.png","View Picture")</f>
        <v>View Picture</v>
      </c>
      <c r="K469" s="43"/>
    </row>
    <row r="470">
      <c r="A470" s="40"/>
      <c r="B470" s="33" t="s">
        <v>5912</v>
      </c>
      <c r="C470" s="42">
        <v>1376.0</v>
      </c>
      <c r="D470" s="33" t="s">
        <v>5915</v>
      </c>
      <c r="E470" s="74"/>
      <c r="F470" s="46" t="s">
        <v>2775</v>
      </c>
      <c r="G470" s="75"/>
      <c r="H470" s="96" t="str">
        <f>HYPERLINK("http://mirror.ff7data.com.ar/ff7/data/minigame/chocobo.lgp/it.p.png","View Picture")</f>
        <v>View Picture</v>
      </c>
      <c r="K470" s="43"/>
    </row>
    <row r="471">
      <c r="A471" s="40"/>
      <c r="B471" s="33" t="s">
        <v>5922</v>
      </c>
      <c r="C471" s="42">
        <v>56.0</v>
      </c>
      <c r="D471" s="33" t="s">
        <v>5915</v>
      </c>
      <c r="E471" s="74"/>
      <c r="F471" s="46" t="s">
        <v>2793</v>
      </c>
      <c r="G471" s="75"/>
      <c r="H471" s="96" t="str">
        <f>HYPERLINK("http://mirror.ff7data.com.ar/ff7/data/minigame/chocobo.lgp/it.rsd.png","View Picture")</f>
        <v>View Picture</v>
      </c>
      <c r="K471" s="43"/>
    </row>
    <row r="472">
      <c r="A472" s="40"/>
      <c r="B472" s="33" t="s">
        <v>5933</v>
      </c>
      <c r="C472" s="42">
        <v>3816.0</v>
      </c>
      <c r="D472" s="33" t="s">
        <v>5936</v>
      </c>
      <c r="E472" s="74"/>
      <c r="F472" s="46" t="s">
        <v>3366</v>
      </c>
      <c r="G472" s="75"/>
      <c r="H472" s="114"/>
      <c r="K472" s="43"/>
    </row>
    <row r="473">
      <c r="A473" s="40"/>
      <c r="B473" s="33" t="s">
        <v>5939</v>
      </c>
      <c r="C473" s="42">
        <v>101.0</v>
      </c>
      <c r="D473" s="33" t="s">
        <v>5940</v>
      </c>
      <c r="E473" s="74"/>
      <c r="F473" s="46" t="s">
        <v>2756</v>
      </c>
      <c r="G473" s="75"/>
      <c r="H473" s="96" t="str">
        <f>HYPERLINK("http://mirror.ff7data.com.ar/ff7/data/minigame/chocobo.lgp/iv.hrc.png","View Picture")</f>
        <v>View Picture</v>
      </c>
      <c r="K473" s="43"/>
    </row>
    <row r="474">
      <c r="A474" s="40"/>
      <c r="B474" s="33" t="s">
        <v>5948</v>
      </c>
      <c r="C474" s="42">
        <v>4616.0</v>
      </c>
      <c r="D474" s="33" t="s">
        <v>5950</v>
      </c>
      <c r="E474" s="74"/>
      <c r="F474" s="46" t="s">
        <v>2775</v>
      </c>
      <c r="G474" s="75"/>
      <c r="H474" s="96" t="str">
        <f>HYPERLINK("http://mirror.ff7data.com.ar/ff7/data/minigame/chocobo.lgp/iw.p.png","View Picture")</f>
        <v>View Picture</v>
      </c>
      <c r="K474" s="43"/>
    </row>
    <row r="475">
      <c r="A475" s="40"/>
      <c r="B475" s="33" t="s">
        <v>5956</v>
      </c>
      <c r="C475" s="42">
        <v>139.0</v>
      </c>
      <c r="D475" s="33" t="s">
        <v>5950</v>
      </c>
      <c r="E475" s="74"/>
      <c r="F475" s="46" t="s">
        <v>2793</v>
      </c>
      <c r="G475" s="75"/>
      <c r="H475" s="96" t="str">
        <f>HYPERLINK("http://mirror.ff7data.com.ar/ff7/data/minigame/chocobo.lgp/iw.rsd.png","View Picture")</f>
        <v>View Picture</v>
      </c>
      <c r="K475" s="43"/>
    </row>
    <row r="476">
      <c r="A476" s="40"/>
      <c r="B476" s="33" t="s">
        <v>5966</v>
      </c>
      <c r="C476" s="42">
        <v>14436.0</v>
      </c>
      <c r="D476" s="33" t="s">
        <v>5968</v>
      </c>
      <c r="E476" s="74"/>
      <c r="F476" s="46" t="s">
        <v>3366</v>
      </c>
      <c r="G476" s="75"/>
      <c r="H476" s="114"/>
      <c r="K476" s="43"/>
    </row>
    <row r="477">
      <c r="A477" s="40"/>
      <c r="B477" s="33" t="s">
        <v>5971</v>
      </c>
      <c r="C477" s="42">
        <v>101.0</v>
      </c>
      <c r="D477" s="33" t="s">
        <v>5973</v>
      </c>
      <c r="E477" s="74"/>
      <c r="F477" s="46" t="s">
        <v>2756</v>
      </c>
      <c r="G477" s="75"/>
      <c r="H477" s="96" t="str">
        <f>HYPERLINK("http://mirror.ff7data.com.ar/ff7/data/minigame/chocobo.lgp/iy.hrc.png","View Picture")</f>
        <v>View Picture</v>
      </c>
      <c r="K477" s="43"/>
    </row>
    <row r="478">
      <c r="A478" s="40"/>
      <c r="B478" s="33" t="s">
        <v>5981</v>
      </c>
      <c r="C478" s="42">
        <v>4208.0</v>
      </c>
      <c r="D478" s="33" t="s">
        <v>5982</v>
      </c>
      <c r="E478" s="74"/>
      <c r="F478" s="46" t="s">
        <v>2775</v>
      </c>
      <c r="G478" s="75"/>
      <c r="H478" s="96" t="str">
        <f>HYPERLINK("http://mirror.ff7data.com.ar/ff7/data/minigame/chocobo.lgp/iz.p.png","View Picture")</f>
        <v>View Picture</v>
      </c>
      <c r="K478" s="43"/>
    </row>
    <row r="479">
      <c r="A479" s="40"/>
      <c r="B479" s="33" t="s">
        <v>5988</v>
      </c>
      <c r="C479" s="42">
        <v>139.0</v>
      </c>
      <c r="D479" s="33" t="s">
        <v>5982</v>
      </c>
      <c r="E479" s="74"/>
      <c r="F479" s="46" t="s">
        <v>2793</v>
      </c>
      <c r="G479" s="75"/>
      <c r="H479" s="96" t="str">
        <f>HYPERLINK("http://mirror.ff7data.com.ar/ff7/data/minigame/chocobo.lgp/iz.rsd.png","View Picture")</f>
        <v>View Picture</v>
      </c>
      <c r="K479" s="43"/>
    </row>
    <row r="480">
      <c r="A480" s="40"/>
      <c r="B480" s="33" t="s">
        <v>5998</v>
      </c>
      <c r="C480" s="42">
        <v>14436.0</v>
      </c>
      <c r="D480" s="125" t="s">
        <v>6000</v>
      </c>
      <c r="E480" s="31"/>
      <c r="F480" s="46" t="s">
        <v>3366</v>
      </c>
      <c r="G480" s="75"/>
      <c r="H480" s="114"/>
      <c r="K480" s="43"/>
    </row>
    <row r="481">
      <c r="A481" s="40"/>
      <c r="B481" s="33" t="s">
        <v>6021</v>
      </c>
      <c r="C481" s="42">
        <v>106.0</v>
      </c>
      <c r="D481" s="125" t="s">
        <v>6022</v>
      </c>
      <c r="E481" s="31"/>
      <c r="F481" s="46" t="s">
        <v>2756</v>
      </c>
      <c r="G481" s="75"/>
      <c r="H481" s="96" t="str">
        <f>HYPERLINK("http://mirror.ff7data.com.ar/ff7/data/minigame/chocobo.lgp/jb.hrc.png","View Picture")</f>
        <v>View Picture</v>
      </c>
      <c r="K481" s="43"/>
    </row>
    <row r="482">
      <c r="A482" s="40"/>
      <c r="B482" s="33" t="s">
        <v>6031</v>
      </c>
      <c r="C482" s="42">
        <v>7704.0</v>
      </c>
      <c r="D482" s="125" t="s">
        <v>6033</v>
      </c>
      <c r="E482" s="31"/>
      <c r="F482" s="46" t="s">
        <v>2775</v>
      </c>
      <c r="G482" s="75"/>
      <c r="H482" s="96" t="str">
        <f>HYPERLINK("http://mirror.ff7data.com.ar/ff7/data/minigame/chocobo.lgp/jc.p.png","View Picture")</f>
        <v>View Picture</v>
      </c>
      <c r="K482" s="43"/>
    </row>
    <row r="483">
      <c r="A483" s="40"/>
      <c r="B483" s="33" t="s">
        <v>6038</v>
      </c>
      <c r="C483" s="42">
        <v>56.0</v>
      </c>
      <c r="D483" s="125" t="s">
        <v>6033</v>
      </c>
      <c r="E483" s="31"/>
      <c r="F483" s="46" t="s">
        <v>2793</v>
      </c>
      <c r="G483" s="75"/>
      <c r="H483" s="96" t="str">
        <f>HYPERLINK("http://mirror.ff7data.com.ar/ff7/data/minigame/chocobo.lgp/jc.rsd.png","View Picture")</f>
        <v>View Picture</v>
      </c>
      <c r="K483" s="43"/>
    </row>
    <row r="484">
      <c r="A484" s="40"/>
      <c r="B484" s="33" t="s">
        <v>6047</v>
      </c>
      <c r="C484" s="42">
        <v>7704.0</v>
      </c>
      <c r="D484" s="125" t="s">
        <v>6033</v>
      </c>
      <c r="E484" s="31"/>
      <c r="F484" s="46" t="s">
        <v>2775</v>
      </c>
      <c r="G484" s="75"/>
      <c r="H484" s="96" t="str">
        <f>HYPERLINK("http://mirror.ff7data.com.ar/ff7/data/minigame/chocobo.lgp/jd.p.png","View Picture")</f>
        <v>View Picture</v>
      </c>
      <c r="K484" s="43"/>
    </row>
    <row r="485">
      <c r="A485" s="40"/>
      <c r="B485" s="33" t="s">
        <v>6055</v>
      </c>
      <c r="C485" s="42">
        <v>56.0</v>
      </c>
      <c r="D485" s="125" t="s">
        <v>6033</v>
      </c>
      <c r="E485" s="31"/>
      <c r="F485" s="46" t="s">
        <v>2793</v>
      </c>
      <c r="G485" s="75"/>
      <c r="H485" s="96" t="str">
        <f>HYPERLINK("http://mirror.ff7data.com.ar/ff7/data/minigame/chocobo.lgp/jd.rsd.png","View Picture")</f>
        <v>View Picture</v>
      </c>
      <c r="K485" s="43"/>
    </row>
    <row r="486">
      <c r="A486" s="40"/>
      <c r="B486" s="33" t="s">
        <v>6061</v>
      </c>
      <c r="C486" s="42">
        <v>3396.0</v>
      </c>
      <c r="D486" s="125" t="s">
        <v>6064</v>
      </c>
      <c r="E486" s="31"/>
      <c r="F486" s="46" t="s">
        <v>3366</v>
      </c>
      <c r="G486" s="75"/>
      <c r="H486" s="114"/>
      <c r="K486" s="43"/>
    </row>
    <row r="487">
      <c r="A487" s="40"/>
      <c r="B487" s="33" t="s">
        <v>6067</v>
      </c>
      <c r="C487" s="42">
        <v>114.0</v>
      </c>
      <c r="D487" s="125" t="s">
        <v>6069</v>
      </c>
      <c r="E487" s="31"/>
      <c r="F487" s="46" t="s">
        <v>2756</v>
      </c>
      <c r="G487" s="75"/>
      <c r="H487" s="96" t="str">
        <f>HYPERLINK("http://mirror.ff7data.com.ar/ff7/data/minigame/chocobo.lgp/jf.hrc.png","View Picture")</f>
        <v>View Picture</v>
      </c>
      <c r="K487" s="43"/>
    </row>
    <row r="488">
      <c r="A488" s="40"/>
      <c r="B488" s="33" t="s">
        <v>6077</v>
      </c>
      <c r="C488" s="42">
        <v>3204.0</v>
      </c>
      <c r="D488" s="125" t="s">
        <v>6079</v>
      </c>
      <c r="E488" s="31"/>
      <c r="F488" s="46" t="s">
        <v>2775</v>
      </c>
      <c r="G488" s="75"/>
      <c r="H488" s="96" t="str">
        <f>HYPERLINK("http://mirror.ff7data.com.ar/ff7/data/minigame/chocobo.lgp/jg.p.png","View Picture")</f>
        <v>View Picture</v>
      </c>
      <c r="K488" s="43"/>
    </row>
    <row r="489">
      <c r="A489" s="40"/>
      <c r="B489" s="33" t="s">
        <v>6086</v>
      </c>
      <c r="C489" s="42">
        <v>56.0</v>
      </c>
      <c r="D489" s="125" t="s">
        <v>6079</v>
      </c>
      <c r="E489" s="31"/>
      <c r="F489" s="46" t="s">
        <v>2793</v>
      </c>
      <c r="G489" s="75"/>
      <c r="H489" s="96" t="str">
        <f>HYPERLINK("http://mirror.ff7data.com.ar/ff7/data/minigame/chocobo.lgp/jg.rsd.png","View Picture")</f>
        <v>View Picture</v>
      </c>
      <c r="K489" s="43"/>
    </row>
    <row r="490">
      <c r="A490" s="40"/>
      <c r="B490" s="33" t="s">
        <v>6095</v>
      </c>
      <c r="C490" s="42">
        <v>3204.0</v>
      </c>
      <c r="D490" s="125" t="s">
        <v>6079</v>
      </c>
      <c r="E490" s="31"/>
      <c r="F490" s="46" t="s">
        <v>2775</v>
      </c>
      <c r="G490" s="75"/>
      <c r="H490" s="96" t="str">
        <f>HYPERLINK("http://mirror.ff7data.com.ar/ff7/data/minigame/chocobo.lgp/jh.p.png","View Picture")</f>
        <v>View Picture</v>
      </c>
      <c r="K490" s="43"/>
    </row>
    <row r="491">
      <c r="A491" s="40"/>
      <c r="B491" s="33" t="s">
        <v>6105</v>
      </c>
      <c r="C491" s="42">
        <v>56.0</v>
      </c>
      <c r="D491" s="125" t="s">
        <v>6079</v>
      </c>
      <c r="E491" s="31"/>
      <c r="F491" s="46" t="s">
        <v>2793</v>
      </c>
      <c r="G491" s="75"/>
      <c r="H491" s="96" t="str">
        <f>HYPERLINK("http://mirror.ff7data.com.ar/ff7/data/minigame/chocobo.lgp/jh.rsd.png","View Picture")</f>
        <v>View Picture</v>
      </c>
      <c r="K491" s="43"/>
    </row>
    <row r="492">
      <c r="A492" s="40"/>
      <c r="B492" s="33" t="s">
        <v>6114</v>
      </c>
      <c r="C492" s="42">
        <v>3204.0</v>
      </c>
      <c r="D492" s="125" t="s">
        <v>6079</v>
      </c>
      <c r="E492" s="31"/>
      <c r="F492" s="46" t="s">
        <v>2775</v>
      </c>
      <c r="G492" s="75"/>
      <c r="H492" s="96" t="str">
        <f>HYPERLINK("http://mirror.ff7data.com.ar/ff7/data/minigame/chocobo.lgp/ji.p.png","View Picture")</f>
        <v>View Picture</v>
      </c>
      <c r="K492" s="43"/>
    </row>
    <row r="493">
      <c r="A493" s="40"/>
      <c r="B493" s="33" t="s">
        <v>6125</v>
      </c>
      <c r="C493" s="42">
        <v>56.0</v>
      </c>
      <c r="D493" s="125" t="s">
        <v>6079</v>
      </c>
      <c r="E493" s="31"/>
      <c r="F493" s="46" t="s">
        <v>2793</v>
      </c>
      <c r="G493" s="75"/>
      <c r="H493" s="96" t="str">
        <f>HYPERLINK("http://mirror.ff7data.com.ar/ff7/data/minigame/chocobo.lgp/ji.rsd.png","View Picture")</f>
        <v>View Picture</v>
      </c>
      <c r="K493" s="43"/>
    </row>
    <row r="494">
      <c r="A494" s="40"/>
      <c r="B494" s="33" t="s">
        <v>6132</v>
      </c>
      <c r="C494" s="42">
        <v>3204.0</v>
      </c>
      <c r="D494" s="125" t="s">
        <v>6079</v>
      </c>
      <c r="E494" s="31"/>
      <c r="F494" s="46" t="s">
        <v>2775</v>
      </c>
      <c r="G494" s="75"/>
      <c r="H494" s="96" t="str">
        <f>HYPERLINK("http://mirror.ff7data.com.ar/ff7/data/minigame/chocobo.lgp/jj.p.png","View Picture")</f>
        <v>View Picture</v>
      </c>
      <c r="K494" s="43"/>
    </row>
    <row r="495">
      <c r="A495" s="40"/>
      <c r="B495" s="33" t="s">
        <v>6141</v>
      </c>
      <c r="C495" s="42">
        <v>56.0</v>
      </c>
      <c r="D495" s="125" t="s">
        <v>6079</v>
      </c>
      <c r="E495" s="31"/>
      <c r="F495" s="46" t="s">
        <v>2793</v>
      </c>
      <c r="G495" s="75"/>
      <c r="H495" s="96" t="str">
        <f>HYPERLINK("http://mirror.ff7data.com.ar/ff7/data/minigame/chocobo.lgp/jj.rsd.png","View Picture")</f>
        <v>View Picture</v>
      </c>
      <c r="K495" s="43"/>
    </row>
    <row r="496">
      <c r="A496" s="40"/>
      <c r="B496" s="33" t="s">
        <v>6145</v>
      </c>
      <c r="C496" s="42">
        <v>4356.0</v>
      </c>
      <c r="D496" s="125" t="s">
        <v>6148</v>
      </c>
      <c r="E496" s="31"/>
      <c r="F496" s="46" t="s">
        <v>3366</v>
      </c>
      <c r="G496" s="75"/>
      <c r="H496" s="114"/>
      <c r="K496" s="43"/>
    </row>
    <row r="497">
      <c r="A497" s="40"/>
      <c r="B497" s="33" t="s">
        <v>6150</v>
      </c>
      <c r="C497" s="42">
        <v>99.0</v>
      </c>
      <c r="D497" s="125" t="s">
        <v>6153</v>
      </c>
      <c r="E497" s="31"/>
      <c r="F497" s="46" t="s">
        <v>2756</v>
      </c>
      <c r="G497" s="75"/>
      <c r="H497" s="96" t="str">
        <f>HYPERLINK("http://mirror.ff7data.com.ar/ff7/data/minigame/chocobo.lgp/jl.hrc.png","View Picture")</f>
        <v>View Picture</v>
      </c>
      <c r="K497" s="43"/>
    </row>
    <row r="498">
      <c r="A498" s="40"/>
      <c r="B498" s="33" t="s">
        <v>6161</v>
      </c>
      <c r="C498" s="42">
        <v>11644.0</v>
      </c>
      <c r="D498" s="125" t="s">
        <v>6162</v>
      </c>
      <c r="E498" s="31"/>
      <c r="F498" s="46" t="s">
        <v>2775</v>
      </c>
      <c r="G498" s="75"/>
      <c r="H498" s="96" t="str">
        <f>HYPERLINK("http://mirror.ff7data.com.ar/ff7/data/minigame/chocobo.lgp/jm.p.png","View Picture")</f>
        <v>View Picture</v>
      </c>
      <c r="K498" s="43"/>
    </row>
    <row r="499">
      <c r="A499" s="40"/>
      <c r="B499" s="33" t="s">
        <v>6170</v>
      </c>
      <c r="C499" s="42">
        <v>56.0</v>
      </c>
      <c r="D499" s="125" t="s">
        <v>6162</v>
      </c>
      <c r="E499" s="31"/>
      <c r="F499" s="46" t="s">
        <v>2793</v>
      </c>
      <c r="G499" s="75"/>
      <c r="H499" s="96" t="str">
        <f>HYPERLINK("http://mirror.ff7data.com.ar/ff7/data/minigame/chocobo.lgp/jm.rsd.png","View Picture")</f>
        <v>View Picture</v>
      </c>
      <c r="K499" s="43"/>
    </row>
    <row r="500">
      <c r="A500" s="40"/>
      <c r="B500" s="33" t="s">
        <v>6180</v>
      </c>
      <c r="C500" s="42">
        <v>1476.0</v>
      </c>
      <c r="D500" s="125" t="s">
        <v>6182</v>
      </c>
      <c r="E500" s="31"/>
      <c r="F500" s="46" t="s">
        <v>3366</v>
      </c>
      <c r="G500" s="75"/>
      <c r="H500" s="114"/>
      <c r="K500" s="43"/>
    </row>
    <row r="501">
      <c r="A501" s="40"/>
      <c r="B501" s="33" t="s">
        <v>6187</v>
      </c>
      <c r="C501" s="42">
        <v>99.0</v>
      </c>
      <c r="D501" s="125" t="s">
        <v>6188</v>
      </c>
      <c r="E501" s="31"/>
      <c r="F501" s="46" t="s">
        <v>2756</v>
      </c>
      <c r="G501" s="75"/>
      <c r="H501" s="96" t="str">
        <f>HYPERLINK("http://mirror.ff7data.com.ar/ff7/data/minigame/chocobo.lgp/jo.hrc.png","View Picture")</f>
        <v>View Picture</v>
      </c>
      <c r="K501" s="43"/>
    </row>
    <row r="502">
      <c r="A502" s="40"/>
      <c r="B502" s="33" t="s">
        <v>6196</v>
      </c>
      <c r="C502" s="42">
        <v>10816.0</v>
      </c>
      <c r="D502" s="125" t="s">
        <v>6197</v>
      </c>
      <c r="E502" s="31"/>
      <c r="F502" s="46" t="s">
        <v>2775</v>
      </c>
      <c r="G502" s="75"/>
      <c r="H502" s="96" t="str">
        <f>HYPERLINK("http://mirror.ff7data.com.ar/ff7/data/minigame/chocobo.lgp/jp.p.png","View Picture")</f>
        <v>View Picture</v>
      </c>
      <c r="K502" s="43"/>
    </row>
    <row r="503">
      <c r="A503" s="40"/>
      <c r="B503" s="33" t="s">
        <v>6205</v>
      </c>
      <c r="C503" s="42">
        <v>56.0</v>
      </c>
      <c r="D503" s="125" t="s">
        <v>6197</v>
      </c>
      <c r="E503" s="31"/>
      <c r="F503" s="46" t="s">
        <v>2793</v>
      </c>
      <c r="G503" s="75"/>
      <c r="H503" s="96" t="str">
        <f>HYPERLINK("http://mirror.ff7data.com.ar/ff7/data/minigame/chocobo.lgp/jp.rsd.png","View Picture")</f>
        <v>View Picture</v>
      </c>
      <c r="K503" s="43"/>
    </row>
    <row r="504">
      <c r="A504" s="40"/>
      <c r="B504" s="33" t="s">
        <v>6215</v>
      </c>
      <c r="C504" s="42">
        <v>1476.0</v>
      </c>
      <c r="D504" s="125" t="s">
        <v>6218</v>
      </c>
      <c r="E504" s="31"/>
      <c r="F504" s="46" t="s">
        <v>3366</v>
      </c>
      <c r="G504" s="75"/>
      <c r="H504" s="114"/>
      <c r="K504" s="43"/>
    </row>
    <row r="505">
      <c r="A505" s="40"/>
      <c r="B505" s="33" t="s">
        <v>6221</v>
      </c>
      <c r="C505" s="42">
        <v>99.0</v>
      </c>
      <c r="D505" s="125" t="s">
        <v>6223</v>
      </c>
      <c r="E505" s="31"/>
      <c r="F505" s="46" t="s">
        <v>2756</v>
      </c>
      <c r="G505" s="75"/>
      <c r="H505" s="96" t="str">
        <f>HYPERLINK("http://mirror.ff7data.com.ar/ff7/data/minigame/chocobo.lgp/jr.hrc.png","View Picture")</f>
        <v>View Picture</v>
      </c>
      <c r="K505" s="43"/>
    </row>
    <row r="506">
      <c r="A506" s="40"/>
      <c r="B506" s="33" t="s">
        <v>6230</v>
      </c>
      <c r="C506" s="42">
        <v>6280.0</v>
      </c>
      <c r="D506" s="125" t="s">
        <v>6232</v>
      </c>
      <c r="E506" s="31"/>
      <c r="F506" s="46" t="s">
        <v>2775</v>
      </c>
      <c r="G506" s="75"/>
      <c r="H506" s="96" t="str">
        <f>HYPERLINK("http://mirror.ff7data.com.ar/ff7/data/minigame/chocobo.lgp/js.p.png","View Picture")</f>
        <v>View Picture</v>
      </c>
      <c r="K506" s="43"/>
    </row>
    <row r="507">
      <c r="A507" s="40"/>
      <c r="B507" s="33" t="s">
        <v>6242</v>
      </c>
      <c r="C507" s="42">
        <v>139.0</v>
      </c>
      <c r="D507" s="125" t="s">
        <v>6232</v>
      </c>
      <c r="E507" s="31"/>
      <c r="F507" s="46" t="s">
        <v>2793</v>
      </c>
      <c r="G507" s="75"/>
      <c r="H507" s="96" t="str">
        <f>HYPERLINK("http://mirror.ff7data.com.ar/ff7/data/minigame/chocobo.lgp/js.rsd.png","View Picture")</f>
        <v>View Picture</v>
      </c>
      <c r="K507" s="43"/>
    </row>
    <row r="508">
      <c r="A508" s="40"/>
      <c r="B508" s="33" t="s">
        <v>6257</v>
      </c>
      <c r="C508" s="42">
        <v>1476.0</v>
      </c>
      <c r="D508" s="125" t="s">
        <v>6260</v>
      </c>
      <c r="E508" s="31"/>
      <c r="F508" s="46" t="s">
        <v>3366</v>
      </c>
      <c r="G508" s="75"/>
      <c r="H508" s="114"/>
      <c r="K508" s="43"/>
    </row>
    <row r="509">
      <c r="A509" s="40"/>
      <c r="B509" s="33" t="s">
        <v>6264</v>
      </c>
      <c r="C509" s="42">
        <v>570.0</v>
      </c>
      <c r="D509" s="125" t="s">
        <v>6265</v>
      </c>
      <c r="E509" s="31"/>
      <c r="F509" s="46" t="s">
        <v>2756</v>
      </c>
      <c r="G509" s="75"/>
      <c r="H509" s="96" t="str">
        <f>HYPERLINK("http://mirror.ff7data.com.ar/ff7/data/minigame/chocobo.lgp/ju.hrc.png","View Picture")</f>
        <v>View Picture</v>
      </c>
      <c r="K509" s="43"/>
    </row>
    <row r="510">
      <c r="A510" s="40"/>
      <c r="B510" s="33" t="s">
        <v>6275</v>
      </c>
      <c r="C510" s="42">
        <v>3428.0</v>
      </c>
      <c r="D510" s="125" t="s">
        <v>6277</v>
      </c>
      <c r="E510" s="31"/>
      <c r="F510" s="46" t="s">
        <v>2775</v>
      </c>
      <c r="G510" s="75"/>
      <c r="H510" s="96" t="str">
        <f>HYPERLINK("http://mirror.ff7data.com.ar/ff7/data/minigame/chocobo.lgp/jv.p.png","View Picture")</f>
        <v>View Picture</v>
      </c>
      <c r="K510" s="43"/>
    </row>
    <row r="511">
      <c r="A511" s="40"/>
      <c r="B511" s="33" t="s">
        <v>6285</v>
      </c>
      <c r="C511" s="42">
        <v>139.0</v>
      </c>
      <c r="D511" s="125" t="s">
        <v>6277</v>
      </c>
      <c r="E511" s="31"/>
      <c r="F511" s="46" t="s">
        <v>2793</v>
      </c>
      <c r="G511" s="75"/>
      <c r="H511" s="96" t="str">
        <f>HYPERLINK("http://mirror.ff7data.com.ar/ff7/data/minigame/chocobo.lgp/jv.rsd.png","View Picture")</f>
        <v>View Picture</v>
      </c>
      <c r="K511" s="43"/>
    </row>
    <row r="512">
      <c r="A512" s="40"/>
      <c r="B512" s="33" t="s">
        <v>6296</v>
      </c>
      <c r="C512" s="42">
        <v>2664.0</v>
      </c>
      <c r="D512" s="125" t="s">
        <v>6299</v>
      </c>
      <c r="E512" s="31"/>
      <c r="F512" s="46" t="s">
        <v>2775</v>
      </c>
      <c r="G512" s="75"/>
      <c r="H512" s="96" t="str">
        <f>HYPERLINK("http://mirror.ff7data.com.ar/ff7/data/minigame/chocobo.lgp/jw.p.png","View Picture")</f>
        <v>View Picture</v>
      </c>
      <c r="K512" s="43"/>
    </row>
    <row r="513">
      <c r="A513" s="40"/>
      <c r="B513" s="33" t="s">
        <v>6309</v>
      </c>
      <c r="C513" s="42">
        <v>139.0</v>
      </c>
      <c r="D513" s="125" t="s">
        <v>6299</v>
      </c>
      <c r="E513" s="31"/>
      <c r="F513" s="46" t="s">
        <v>2793</v>
      </c>
      <c r="G513" s="75"/>
      <c r="H513" s="96" t="str">
        <f>HYPERLINK("http://mirror.ff7data.com.ar/ff7/data/minigame/chocobo.lgp/jw.rsd.png","View Picture")</f>
        <v>View Picture</v>
      </c>
      <c r="K513" s="43"/>
    </row>
    <row r="514">
      <c r="A514" s="40"/>
      <c r="B514" s="33" t="s">
        <v>6320</v>
      </c>
      <c r="C514" s="42">
        <v>1304.0</v>
      </c>
      <c r="D514" s="125" t="s">
        <v>6323</v>
      </c>
      <c r="E514" s="31"/>
      <c r="F514" s="46" t="s">
        <v>2775</v>
      </c>
      <c r="G514" s="75"/>
      <c r="H514" s="96" t="str">
        <f>HYPERLINK("http://mirror.ff7data.com.ar/ff7/data/minigame/chocobo.lgp/jx.p.png","View Picture")</f>
        <v>View Picture</v>
      </c>
      <c r="K514" s="43"/>
    </row>
    <row r="515">
      <c r="A515" s="40"/>
      <c r="B515" s="33" t="s">
        <v>6332</v>
      </c>
      <c r="C515" s="42">
        <v>139.0</v>
      </c>
      <c r="D515" s="125" t="s">
        <v>6323</v>
      </c>
      <c r="E515" s="31"/>
      <c r="F515" s="46" t="s">
        <v>2793</v>
      </c>
      <c r="G515" s="75"/>
      <c r="H515" s="96" t="str">
        <f>HYPERLINK("http://mirror.ff7data.com.ar/ff7/data/minigame/chocobo.lgp/jx.rsd.png","View Picture")</f>
        <v>View Picture</v>
      </c>
      <c r="K515" s="43"/>
    </row>
    <row r="516">
      <c r="A516" s="40"/>
      <c r="B516" s="33" t="s">
        <v>6345</v>
      </c>
      <c r="C516" s="42">
        <v>976.0</v>
      </c>
      <c r="D516" s="125" t="s">
        <v>6348</v>
      </c>
      <c r="E516" s="31"/>
      <c r="F516" s="46" t="s">
        <v>2775</v>
      </c>
      <c r="G516" s="75"/>
      <c r="H516" s="96" t="str">
        <f>HYPERLINK("http://mirror.ff7data.com.ar/ff7/data/minigame/chocobo.lgp/jy.p.png","View Picture")</f>
        <v>View Picture</v>
      </c>
      <c r="K516" s="43"/>
    </row>
    <row r="517">
      <c r="A517" s="40"/>
      <c r="B517" s="33" t="s">
        <v>6358</v>
      </c>
      <c r="C517" s="42">
        <v>139.0</v>
      </c>
      <c r="D517" s="125" t="s">
        <v>6348</v>
      </c>
      <c r="E517" s="31"/>
      <c r="F517" s="46" t="s">
        <v>2793</v>
      </c>
      <c r="G517" s="75"/>
      <c r="H517" s="96" t="str">
        <f>HYPERLINK("http://mirror.ff7data.com.ar/ff7/data/minigame/chocobo.lgp/jy.rsd.png","View Picture")</f>
        <v>View Picture</v>
      </c>
      <c r="K517" s="43"/>
    </row>
    <row r="518">
      <c r="A518" s="40"/>
      <c r="B518" s="33" t="s">
        <v>6370</v>
      </c>
      <c r="C518" s="42">
        <v>976.0</v>
      </c>
      <c r="D518" s="125" t="s">
        <v>6348</v>
      </c>
      <c r="E518" s="31"/>
      <c r="F518" s="46" t="s">
        <v>2775</v>
      </c>
      <c r="G518" s="75"/>
      <c r="H518" s="96" t="str">
        <f>HYPERLINK("http://mirror.ff7data.com.ar/ff7/data/minigame/chocobo.lgp/jz.p.png","View Picture")</f>
        <v>View Picture</v>
      </c>
      <c r="K518" s="43"/>
    </row>
    <row r="519">
      <c r="A519" s="40"/>
      <c r="B519" s="33" t="s">
        <v>6383</v>
      </c>
      <c r="C519" s="42">
        <v>139.0</v>
      </c>
      <c r="D519" s="125" t="s">
        <v>6348</v>
      </c>
      <c r="E519" s="31"/>
      <c r="F519" s="46" t="s">
        <v>2793</v>
      </c>
      <c r="G519" s="75"/>
      <c r="H519" s="96" t="str">
        <f>HYPERLINK("http://mirror.ff7data.com.ar/ff7/data/minigame/chocobo.lgp/jz.rsd.png","View Picture")</f>
        <v>View Picture</v>
      </c>
      <c r="K519" s="43"/>
    </row>
    <row r="520">
      <c r="A520" s="40"/>
      <c r="B520" s="33" t="s">
        <v>6384</v>
      </c>
      <c r="C520" s="42">
        <v>1312.0</v>
      </c>
      <c r="D520" s="125" t="s">
        <v>6386</v>
      </c>
      <c r="E520" s="31"/>
      <c r="F520" s="46" t="s">
        <v>2775</v>
      </c>
      <c r="G520" s="75"/>
      <c r="H520" s="96" t="str">
        <f>HYPERLINK("http://mirror.ff7data.com.ar/ff7/data/minigame/chocobo.lgp/ka.p.png","View Picture")</f>
        <v>View Picture</v>
      </c>
      <c r="K520" s="43"/>
    </row>
    <row r="521">
      <c r="A521" s="40"/>
      <c r="B521" s="33" t="s">
        <v>6389</v>
      </c>
      <c r="C521" s="42">
        <v>139.0</v>
      </c>
      <c r="D521" s="125" t="s">
        <v>6386</v>
      </c>
      <c r="E521" s="31"/>
      <c r="F521" s="46" t="s">
        <v>2793</v>
      </c>
      <c r="G521" s="75"/>
      <c r="H521" s="96" t="str">
        <f>HYPERLINK("http://mirror.ff7data.com.ar/ff7/data/minigame/chocobo.lgp/ka.rsd.png","View Picture")</f>
        <v>View Picture</v>
      </c>
      <c r="K521" s="43"/>
    </row>
    <row r="522">
      <c r="A522" s="40"/>
      <c r="B522" s="33" t="s">
        <v>6398</v>
      </c>
      <c r="C522" s="42">
        <v>7056.0</v>
      </c>
      <c r="D522" s="125" t="s">
        <v>6401</v>
      </c>
      <c r="E522" s="31"/>
      <c r="F522" s="46" t="s">
        <v>2775</v>
      </c>
      <c r="G522" s="75"/>
      <c r="H522" s="96" t="str">
        <f>HYPERLINK("http://mirror.ff7data.com.ar/ff7/data/minigame/chocobo.lgp/kb.p.png","View Picture")</f>
        <v>View Picture</v>
      </c>
      <c r="K522" s="43"/>
    </row>
    <row r="523">
      <c r="A523" s="40"/>
      <c r="B523" s="33" t="s">
        <v>6411</v>
      </c>
      <c r="C523" s="42">
        <v>139.0</v>
      </c>
      <c r="D523" s="125" t="s">
        <v>6401</v>
      </c>
      <c r="E523" s="31"/>
      <c r="F523" s="46" t="s">
        <v>2793</v>
      </c>
      <c r="G523" s="75"/>
      <c r="H523" s="96" t="str">
        <f>HYPERLINK("http://mirror.ff7data.com.ar/ff7/data/minigame/chocobo.lgp/kb.rsd.png","View Picture")</f>
        <v>View Picture</v>
      </c>
      <c r="K523" s="43"/>
    </row>
    <row r="524">
      <c r="A524" s="40"/>
      <c r="B524" s="33" t="s">
        <v>6421</v>
      </c>
      <c r="C524" s="42">
        <v>1584.0</v>
      </c>
      <c r="D524" s="125" t="s">
        <v>6424</v>
      </c>
      <c r="E524" s="31"/>
      <c r="F524" s="46" t="s">
        <v>2775</v>
      </c>
      <c r="G524" s="75"/>
      <c r="H524" s="96" t="str">
        <f>HYPERLINK("http://mirror.ff7data.com.ar/ff7/data/minigame/chocobo.lgp/kc.p.png","View Picture")</f>
        <v>View Picture</v>
      </c>
      <c r="K524" s="43"/>
    </row>
    <row r="525">
      <c r="A525" s="40"/>
      <c r="B525" s="33" t="s">
        <v>6433</v>
      </c>
      <c r="C525" s="42">
        <v>139.0</v>
      </c>
      <c r="D525" s="125" t="s">
        <v>6424</v>
      </c>
      <c r="E525" s="31"/>
      <c r="F525" s="46" t="s">
        <v>2793</v>
      </c>
      <c r="G525" s="75"/>
      <c r="H525" s="96" t="str">
        <f>HYPERLINK("http://mirror.ff7data.com.ar/ff7/data/minigame/chocobo.lgp/kc.rsd.png","View Picture")</f>
        <v>View Picture</v>
      </c>
      <c r="K525" s="43"/>
    </row>
    <row r="526">
      <c r="A526" s="40"/>
      <c r="B526" s="33" t="s">
        <v>6444</v>
      </c>
      <c r="C526" s="42">
        <v>51876.0</v>
      </c>
      <c r="D526" s="125" t="s">
        <v>6446</v>
      </c>
      <c r="E526" s="31"/>
      <c r="F526" s="46" t="s">
        <v>3366</v>
      </c>
      <c r="G526" s="75"/>
      <c r="H526" s="114"/>
      <c r="K526" s="43"/>
    </row>
    <row r="527">
      <c r="A527" s="40"/>
      <c r="B527" s="33" t="s">
        <v>6451</v>
      </c>
      <c r="C527" s="42">
        <v>570.0</v>
      </c>
      <c r="D527" s="125" t="s">
        <v>6452</v>
      </c>
      <c r="E527" s="31"/>
      <c r="F527" s="46" t="s">
        <v>2756</v>
      </c>
      <c r="G527" s="75"/>
      <c r="H527" s="96" t="str">
        <f>HYPERLINK("http://mirror.ff7data.com.ar/ff7/data/minigame/chocobo.lgp/ke.hrc.png","View Picture")</f>
        <v>View Picture</v>
      </c>
      <c r="K527" s="43"/>
    </row>
    <row r="528">
      <c r="A528" s="40"/>
      <c r="B528" s="33" t="s">
        <v>6463</v>
      </c>
      <c r="C528" s="42">
        <v>3428.0</v>
      </c>
      <c r="D528" s="125" t="s">
        <v>6464</v>
      </c>
      <c r="E528" s="31"/>
      <c r="F528" s="46" t="s">
        <v>2775</v>
      </c>
      <c r="G528" s="75"/>
      <c r="H528" s="96" t="str">
        <f>HYPERLINK("http://mirror.ff7data.com.ar/ff7/data/minigame/chocobo.lgp/kf.p.png","View Picture")</f>
        <v>View Picture</v>
      </c>
      <c r="K528" s="43"/>
    </row>
    <row r="529">
      <c r="A529" s="40"/>
      <c r="B529" s="33" t="s">
        <v>6474</v>
      </c>
      <c r="C529" s="42">
        <v>139.0</v>
      </c>
      <c r="D529" s="125" t="s">
        <v>6464</v>
      </c>
      <c r="E529" s="31"/>
      <c r="F529" s="46" t="s">
        <v>2793</v>
      </c>
      <c r="G529" s="75"/>
      <c r="H529" s="96" t="str">
        <f>HYPERLINK("http://mirror.ff7data.com.ar/ff7/data/minigame/chocobo.lgp/kf.rsd.png","View Picture")</f>
        <v>View Picture</v>
      </c>
      <c r="K529" s="43"/>
    </row>
    <row r="530">
      <c r="A530" s="40"/>
      <c r="B530" s="33" t="s">
        <v>6483</v>
      </c>
      <c r="C530" s="42">
        <v>2664.0</v>
      </c>
      <c r="D530" s="125" t="s">
        <v>6485</v>
      </c>
      <c r="E530" s="31"/>
      <c r="F530" s="46" t="s">
        <v>2775</v>
      </c>
      <c r="G530" s="75"/>
      <c r="H530" s="96" t="str">
        <f>HYPERLINK("http://mirror.ff7data.com.ar/ff7/data/minigame/chocobo.lgp/kg.p.png","View Picture")</f>
        <v>View Picture</v>
      </c>
      <c r="K530" s="43"/>
    </row>
    <row r="531">
      <c r="A531" s="40"/>
      <c r="B531" s="33" t="s">
        <v>6495</v>
      </c>
      <c r="C531" s="42">
        <v>139.0</v>
      </c>
      <c r="D531" s="125" t="s">
        <v>6485</v>
      </c>
      <c r="E531" s="31"/>
      <c r="F531" s="46" t="s">
        <v>2793</v>
      </c>
      <c r="G531" s="75"/>
      <c r="H531" s="96" t="str">
        <f>HYPERLINK("http://mirror.ff7data.com.ar/ff7/data/minigame/chocobo.lgp/kg.rsd.png","View Picture")</f>
        <v>View Picture</v>
      </c>
      <c r="K531" s="43"/>
    </row>
    <row r="532">
      <c r="A532" s="40"/>
      <c r="B532" s="33" t="s">
        <v>6509</v>
      </c>
      <c r="C532" s="42">
        <v>1304.0</v>
      </c>
      <c r="D532" s="125" t="s">
        <v>6511</v>
      </c>
      <c r="E532" s="31"/>
      <c r="F532" s="46" t="s">
        <v>2775</v>
      </c>
      <c r="G532" s="75"/>
      <c r="H532" s="96" t="str">
        <f>HYPERLINK("http://mirror.ff7data.com.ar/ff7/data/minigame/chocobo.lgp/kh.p.png","View Picture")</f>
        <v>View Picture</v>
      </c>
      <c r="K532" s="43"/>
    </row>
    <row r="533">
      <c r="A533" s="40"/>
      <c r="B533" s="33" t="s">
        <v>6528</v>
      </c>
      <c r="C533" s="42">
        <v>139.0</v>
      </c>
      <c r="D533" s="125" t="s">
        <v>6511</v>
      </c>
      <c r="E533" s="31"/>
      <c r="F533" s="46" t="s">
        <v>2793</v>
      </c>
      <c r="G533" s="75"/>
      <c r="H533" s="96" t="str">
        <f>HYPERLINK("http://mirror.ff7data.com.ar/ff7/data/minigame/chocobo.lgp/kh.rsd.png","View Picture")</f>
        <v>View Picture</v>
      </c>
      <c r="K533" s="43"/>
    </row>
    <row r="534">
      <c r="A534" s="40"/>
      <c r="B534" s="33" t="s">
        <v>6537</v>
      </c>
      <c r="C534" s="42">
        <v>976.0</v>
      </c>
      <c r="D534" s="125" t="s">
        <v>6539</v>
      </c>
      <c r="E534" s="31"/>
      <c r="F534" s="46" t="s">
        <v>2775</v>
      </c>
      <c r="G534" s="75"/>
      <c r="H534" s="96" t="str">
        <f>HYPERLINK("http://mirror.ff7data.com.ar/ff7/data/minigame/chocobo.lgp/ki.p.png","View Picture")</f>
        <v>View Picture</v>
      </c>
      <c r="K534" s="43"/>
    </row>
    <row r="535">
      <c r="A535" s="40"/>
      <c r="B535" s="33" t="s">
        <v>6553</v>
      </c>
      <c r="C535" s="42">
        <v>139.0</v>
      </c>
      <c r="D535" s="125" t="s">
        <v>6539</v>
      </c>
      <c r="E535" s="31"/>
      <c r="F535" s="46" t="s">
        <v>2793</v>
      </c>
      <c r="G535" s="75"/>
      <c r="H535" s="96" t="str">
        <f>HYPERLINK("http://mirror.ff7data.com.ar/ff7/data/minigame/chocobo.lgp/ki.rsd.png","View Picture")</f>
        <v>View Picture</v>
      </c>
      <c r="K535" s="43"/>
    </row>
    <row r="536">
      <c r="A536" s="40"/>
      <c r="B536" s="33" t="s">
        <v>6563</v>
      </c>
      <c r="C536" s="42">
        <v>976.0</v>
      </c>
      <c r="D536" s="125" t="s">
        <v>6539</v>
      </c>
      <c r="E536" s="31"/>
      <c r="F536" s="46" t="s">
        <v>2775</v>
      </c>
      <c r="G536" s="75"/>
      <c r="H536" s="96" t="str">
        <f>HYPERLINK("http://mirror.ff7data.com.ar/ff7/data/minigame/chocobo.lgp/kj.p.png","View Picture")</f>
        <v>View Picture</v>
      </c>
      <c r="K536" s="43"/>
    </row>
    <row r="537">
      <c r="A537" s="40"/>
      <c r="B537" s="33" t="s">
        <v>6574</v>
      </c>
      <c r="C537" s="42">
        <v>139.0</v>
      </c>
      <c r="D537" s="125" t="s">
        <v>6539</v>
      </c>
      <c r="E537" s="31"/>
      <c r="F537" s="46" t="s">
        <v>2793</v>
      </c>
      <c r="G537" s="75"/>
      <c r="H537" s="96" t="str">
        <f>HYPERLINK("http://mirror.ff7data.com.ar/ff7/data/minigame/chocobo.lgp/kj.rsd.png","View Picture")</f>
        <v>View Picture</v>
      </c>
      <c r="K537" s="43"/>
    </row>
    <row r="538">
      <c r="A538" s="40"/>
      <c r="B538" s="33" t="s">
        <v>6583</v>
      </c>
      <c r="C538" s="42">
        <v>1312.0</v>
      </c>
      <c r="D538" s="125" t="s">
        <v>6585</v>
      </c>
      <c r="E538" s="31"/>
      <c r="F538" s="46" t="s">
        <v>2775</v>
      </c>
      <c r="G538" s="75"/>
      <c r="H538" s="96" t="str">
        <f>HYPERLINK("http://mirror.ff7data.com.ar/ff7/data/minigame/chocobo.lgp/kk.p.png","View Picture")</f>
        <v>View Picture</v>
      </c>
      <c r="K538" s="43"/>
    </row>
    <row r="539">
      <c r="A539" s="40"/>
      <c r="B539" s="33" t="s">
        <v>6595</v>
      </c>
      <c r="C539" s="42">
        <v>139.0</v>
      </c>
      <c r="D539" s="125" t="s">
        <v>6585</v>
      </c>
      <c r="E539" s="31"/>
      <c r="F539" s="46" t="s">
        <v>2793</v>
      </c>
      <c r="G539" s="75"/>
      <c r="H539" s="96" t="str">
        <f>HYPERLINK("http://mirror.ff7data.com.ar/ff7/data/minigame/chocobo.lgp/kk.rsd.png","View Picture")</f>
        <v>View Picture</v>
      </c>
      <c r="K539" s="43"/>
    </row>
    <row r="540">
      <c r="A540" s="40"/>
      <c r="B540" s="33" t="s">
        <v>6603</v>
      </c>
      <c r="C540" s="42">
        <v>7056.0</v>
      </c>
      <c r="D540" s="125" t="s">
        <v>6604</v>
      </c>
      <c r="E540" s="31"/>
      <c r="F540" s="46" t="s">
        <v>2775</v>
      </c>
      <c r="G540" s="75"/>
      <c r="H540" s="96" t="str">
        <f>HYPERLINK("http://mirror.ff7data.com.ar/ff7/data/minigame/chocobo.lgp/kl.p.png","View Picture")</f>
        <v>View Picture</v>
      </c>
      <c r="K540" s="43"/>
    </row>
    <row r="541">
      <c r="A541" s="40"/>
      <c r="B541" s="33" t="s">
        <v>6614</v>
      </c>
      <c r="C541" s="42">
        <v>139.0</v>
      </c>
      <c r="D541" s="125" t="s">
        <v>6604</v>
      </c>
      <c r="E541" s="31"/>
      <c r="F541" s="46" t="s">
        <v>2793</v>
      </c>
      <c r="G541" s="75"/>
      <c r="H541" s="96" t="str">
        <f>HYPERLINK("http://mirror.ff7data.com.ar/ff7/data/minigame/chocobo.lgp/kl.rsd.png","View Picture")</f>
        <v>View Picture</v>
      </c>
      <c r="K541" s="43"/>
    </row>
    <row r="542">
      <c r="A542" s="40"/>
      <c r="B542" s="33" t="s">
        <v>6626</v>
      </c>
      <c r="C542" s="42">
        <v>1584.0</v>
      </c>
      <c r="D542" s="125" t="s">
        <v>6627</v>
      </c>
      <c r="E542" s="31"/>
      <c r="F542" s="46" t="s">
        <v>2775</v>
      </c>
      <c r="G542" s="75"/>
      <c r="H542" s="96" t="str">
        <f>HYPERLINK("http://mirror.ff7data.com.ar/ff7/data/minigame/chocobo.lgp/km.p.png","View Picture")</f>
        <v>View Picture</v>
      </c>
      <c r="K542" s="43"/>
    </row>
    <row r="543">
      <c r="A543" s="40"/>
      <c r="B543" s="33" t="s">
        <v>6638</v>
      </c>
      <c r="C543" s="42">
        <v>139.0</v>
      </c>
      <c r="D543" s="125" t="s">
        <v>6627</v>
      </c>
      <c r="E543" s="31"/>
      <c r="F543" s="46" t="s">
        <v>2793</v>
      </c>
      <c r="G543" s="75"/>
      <c r="H543" s="96" t="str">
        <f>HYPERLINK("http://mirror.ff7data.com.ar/ff7/data/minigame/chocobo.lgp/km.rsd.png","View Picture")</f>
        <v>View Picture</v>
      </c>
      <c r="K543" s="43"/>
    </row>
    <row r="544">
      <c r="A544" s="40"/>
      <c r="B544" s="33" t="s">
        <v>6648</v>
      </c>
      <c r="C544" s="42">
        <v>51876.0</v>
      </c>
      <c r="D544" s="125" t="s">
        <v>6650</v>
      </c>
      <c r="E544" s="31"/>
      <c r="F544" s="46" t="s">
        <v>3366</v>
      </c>
      <c r="G544" s="75"/>
      <c r="H544" s="114"/>
      <c r="K544" s="43"/>
    </row>
    <row r="545">
      <c r="A545" s="40"/>
      <c r="B545" s="33" t="s">
        <v>6654</v>
      </c>
      <c r="C545" s="42">
        <v>102.0</v>
      </c>
      <c r="D545" s="125" t="s">
        <v>6657</v>
      </c>
      <c r="E545" s="31"/>
      <c r="F545" s="46" t="s">
        <v>2756</v>
      </c>
      <c r="G545" s="75"/>
      <c r="H545" s="96" t="str">
        <f>HYPERLINK("http://mirror.ff7data.com.ar/ff7/data/minigame/chocobo.lgp/ko.hrc.png","View Picture")</f>
        <v>View Picture</v>
      </c>
      <c r="K545" s="43"/>
    </row>
    <row r="546">
      <c r="A546" s="40"/>
      <c r="B546" s="33" t="s">
        <v>6663</v>
      </c>
      <c r="C546" s="42">
        <v>2424.0</v>
      </c>
      <c r="D546" s="125" t="s">
        <v>6666</v>
      </c>
      <c r="E546" s="31"/>
      <c r="F546" s="46" t="s">
        <v>2775</v>
      </c>
      <c r="G546" s="75"/>
      <c r="H546" s="96" t="str">
        <f>HYPERLINK("http://mirror.ff7data.com.ar/ff7/data/minigame/chocobo.lgp/kp.p.png","View Picture")</f>
        <v>View Picture</v>
      </c>
      <c r="K546" s="43"/>
    </row>
    <row r="547">
      <c r="A547" s="40"/>
      <c r="B547" s="33" t="s">
        <v>6677</v>
      </c>
      <c r="C547" s="42">
        <v>56.0</v>
      </c>
      <c r="D547" s="125" t="s">
        <v>6666</v>
      </c>
      <c r="E547" s="31"/>
      <c r="F547" s="46" t="s">
        <v>2793</v>
      </c>
      <c r="G547" s="75"/>
      <c r="H547" s="96" t="str">
        <f>HYPERLINK("http://mirror.ff7data.com.ar/ff7/data/minigame/chocobo.lgp/kp.rsd.png","View Picture")</f>
        <v>View Picture</v>
      </c>
      <c r="K547" s="43"/>
    </row>
    <row r="548">
      <c r="A548" s="40"/>
      <c r="B548" s="33" t="s">
        <v>6688</v>
      </c>
      <c r="C548" s="42">
        <v>420.0</v>
      </c>
      <c r="D548" s="125" t="s">
        <v>6691</v>
      </c>
      <c r="E548" s="31"/>
      <c r="F548" s="46" t="s">
        <v>3366</v>
      </c>
      <c r="G548" s="75"/>
      <c r="H548" s="114"/>
      <c r="K548" s="43"/>
    </row>
    <row r="549">
      <c r="A549" s="40"/>
      <c r="B549" s="33" t="s">
        <v>6695</v>
      </c>
      <c r="C549" s="42">
        <v>109.0</v>
      </c>
      <c r="D549" s="125" t="s">
        <v>6696</v>
      </c>
      <c r="E549" s="31"/>
      <c r="F549" s="46" t="s">
        <v>2756</v>
      </c>
      <c r="G549" s="75"/>
      <c r="H549" s="96" t="str">
        <f>HYPERLINK("http://mirror.ff7data.com.ar/ff7/data/minigame/chocobo.lgp/kr.hrc.png","View Picture")</f>
        <v>View Picture</v>
      </c>
      <c r="K549" s="43"/>
    </row>
    <row r="550">
      <c r="A550" s="40"/>
      <c r="B550" s="33" t="s">
        <v>6705</v>
      </c>
      <c r="C550" s="42">
        <v>6756.0</v>
      </c>
      <c r="D550" s="125" t="s">
        <v>6707</v>
      </c>
      <c r="E550" s="31"/>
      <c r="F550" s="46" t="s">
        <v>2775</v>
      </c>
      <c r="G550" s="75"/>
      <c r="H550" s="96" t="str">
        <f>HYPERLINK("http://mirror.ff7data.com.ar/ff7/data/minigame/chocobo.lgp/ks.p.png","View Picture")</f>
        <v>View Picture</v>
      </c>
      <c r="K550" s="43"/>
    </row>
    <row r="551">
      <c r="A551" s="40"/>
      <c r="B551" s="33" t="s">
        <v>6715</v>
      </c>
      <c r="C551" s="42">
        <v>56.0</v>
      </c>
      <c r="D551" s="125" t="s">
        <v>6707</v>
      </c>
      <c r="E551" s="31"/>
      <c r="F551" s="46" t="s">
        <v>2793</v>
      </c>
      <c r="G551" s="75"/>
      <c r="H551" s="96" t="str">
        <f>HYPERLINK("http://mirror.ff7data.com.ar/ff7/data/minigame/chocobo.lgp/ks.rsd.png","View Picture")</f>
        <v>View Picture</v>
      </c>
      <c r="K551" s="43"/>
    </row>
    <row r="552">
      <c r="A552" s="40"/>
      <c r="B552" s="33" t="s">
        <v>6726</v>
      </c>
      <c r="C552" s="42">
        <v>468.0</v>
      </c>
      <c r="D552" s="125" t="s">
        <v>6729</v>
      </c>
      <c r="E552" s="31"/>
      <c r="F552" s="46" t="s">
        <v>3366</v>
      </c>
      <c r="G552" s="75"/>
      <c r="H552" s="114"/>
      <c r="K552" s="43"/>
    </row>
    <row r="553">
      <c r="A553" s="40"/>
      <c r="B553" s="33" t="s">
        <v>6733</v>
      </c>
      <c r="C553" s="42">
        <v>104.0</v>
      </c>
      <c r="D553" s="125" t="s">
        <v>6735</v>
      </c>
      <c r="E553" s="31"/>
      <c r="F553" s="46" t="s">
        <v>2756</v>
      </c>
      <c r="G553" s="75"/>
      <c r="H553" s="96" t="str">
        <f>HYPERLINK("http://mirror.ff7data.com.ar/ff7/data/minigame/chocobo.lgp/ku.hrc.png","View Picture")</f>
        <v>View Picture</v>
      </c>
      <c r="K553" s="43"/>
    </row>
    <row r="554">
      <c r="A554" s="40"/>
      <c r="B554" s="33" t="s">
        <v>6744</v>
      </c>
      <c r="C554" s="42">
        <v>4848.0</v>
      </c>
      <c r="D554" s="125" t="s">
        <v>6745</v>
      </c>
      <c r="E554" s="31"/>
      <c r="F554" s="46" t="s">
        <v>2775</v>
      </c>
      <c r="G554" s="75"/>
      <c r="H554" s="96" t="str">
        <f>HYPERLINK("http://mirror.ff7data.com.ar/ff7/data/minigame/chocobo.lgp/kv.p.png","View Picture")</f>
        <v>View Picture</v>
      </c>
      <c r="K554" s="43"/>
    </row>
    <row r="555">
      <c r="A555" s="40"/>
      <c r="B555" s="33" t="s">
        <v>6754</v>
      </c>
      <c r="C555" s="42">
        <v>139.0</v>
      </c>
      <c r="D555" s="125" t="s">
        <v>6745</v>
      </c>
      <c r="E555" s="31"/>
      <c r="F555" s="46" t="s">
        <v>2793</v>
      </c>
      <c r="G555" s="75"/>
      <c r="H555" s="96" t="str">
        <f>HYPERLINK("http://mirror.ff7data.com.ar/ff7/data/minigame/chocobo.lgp/kv.rsd.png","View Picture")</f>
        <v>View Picture</v>
      </c>
      <c r="K555" s="43"/>
    </row>
    <row r="556">
      <c r="A556" s="40"/>
      <c r="B556" s="33" t="s">
        <v>6766</v>
      </c>
      <c r="C556" s="42">
        <v>516.0</v>
      </c>
      <c r="D556" s="125" t="s">
        <v>6770</v>
      </c>
      <c r="E556" s="31"/>
      <c r="F556" s="46" t="s">
        <v>3366</v>
      </c>
      <c r="G556" s="75"/>
      <c r="H556" s="114"/>
      <c r="K556" s="43"/>
    </row>
    <row r="557">
      <c r="A557" s="40"/>
      <c r="B557" s="33" t="s">
        <v>6783</v>
      </c>
      <c r="C557" s="42">
        <v>109.0</v>
      </c>
      <c r="D557" s="125" t="s">
        <v>6784</v>
      </c>
      <c r="E557" s="31"/>
      <c r="F557" s="46" t="s">
        <v>2756</v>
      </c>
      <c r="G557" s="75"/>
      <c r="H557" s="96" t="str">
        <f>HYPERLINK("http://mirror.ff7data.com.ar/ff7/data/minigame/chocobo.lgp/kx.hrc.png","View Picture")</f>
        <v>View Picture</v>
      </c>
      <c r="K557" s="43"/>
    </row>
    <row r="558">
      <c r="A558" s="40"/>
      <c r="B558" s="33" t="s">
        <v>6797</v>
      </c>
      <c r="C558" s="42">
        <v>6756.0</v>
      </c>
      <c r="D558" s="125" t="s">
        <v>6798</v>
      </c>
      <c r="E558" s="31"/>
      <c r="F558" s="46" t="s">
        <v>2775</v>
      </c>
      <c r="G558" s="75"/>
      <c r="H558" s="96" t="str">
        <f>HYPERLINK("http://mirror.ff7data.com.ar/ff7/data/minigame/chocobo.lgp/ky.p.png","View Picture")</f>
        <v>View Picture</v>
      </c>
      <c r="K558" s="43"/>
    </row>
    <row r="559">
      <c r="A559" s="40"/>
      <c r="B559" s="33" t="s">
        <v>6809</v>
      </c>
      <c r="C559" s="42">
        <v>56.0</v>
      </c>
      <c r="D559" s="125" t="s">
        <v>6798</v>
      </c>
      <c r="E559" s="31"/>
      <c r="F559" s="46" t="s">
        <v>2793</v>
      </c>
      <c r="G559" s="75"/>
      <c r="H559" s="96" t="str">
        <f>HYPERLINK("http://mirror.ff7data.com.ar/ff7/data/minigame/chocobo.lgp/ky.rsd.png","View Picture")</f>
        <v>View Picture</v>
      </c>
      <c r="K559" s="43"/>
    </row>
    <row r="560">
      <c r="A560" s="40"/>
      <c r="B560" s="33" t="s">
        <v>6817</v>
      </c>
      <c r="C560" s="42">
        <v>468.0</v>
      </c>
      <c r="D560" s="125" t="s">
        <v>6819</v>
      </c>
      <c r="E560" s="31"/>
      <c r="F560" s="46" t="s">
        <v>3366</v>
      </c>
      <c r="G560" s="75"/>
      <c r="H560" s="114"/>
      <c r="K560" s="43"/>
    </row>
    <row r="561">
      <c r="A561" s="40"/>
      <c r="B561" s="33" t="s">
        <v>6822</v>
      </c>
      <c r="C561" s="42">
        <v>463.0</v>
      </c>
      <c r="D561" s="125" t="s">
        <v>6823</v>
      </c>
      <c r="E561" s="31"/>
      <c r="F561" s="46" t="s">
        <v>2756</v>
      </c>
      <c r="G561" s="75"/>
      <c r="H561" s="96" t="str">
        <f>HYPERLINK("http://mirror.ff7data.com.ar/ff7/data/minigame/chocobo.lgp/la.hrc.png","View Picture")</f>
        <v>View Picture</v>
      </c>
      <c r="K561" s="43"/>
    </row>
    <row r="562">
      <c r="A562" s="40"/>
      <c r="B562" s="33" t="s">
        <v>6835</v>
      </c>
      <c r="C562" s="42">
        <v>1804.0</v>
      </c>
      <c r="D562" s="125" t="s">
        <v>6836</v>
      </c>
      <c r="E562" s="31"/>
      <c r="F562" s="46" t="s">
        <v>2775</v>
      </c>
      <c r="G562" s="75"/>
      <c r="H562" s="96" t="str">
        <f>HYPERLINK("http://mirror.ff7data.com.ar/ff7/data/minigame/chocobo.lgp/lb.p.png","View Picture")</f>
        <v>View Picture</v>
      </c>
      <c r="K562" s="43"/>
    </row>
    <row r="563">
      <c r="A563" s="40"/>
      <c r="B563" s="33" t="s">
        <v>6846</v>
      </c>
      <c r="C563" s="42">
        <v>139.0</v>
      </c>
      <c r="D563" s="125" t="s">
        <v>6836</v>
      </c>
      <c r="E563" s="31"/>
      <c r="F563" s="46" t="s">
        <v>2793</v>
      </c>
      <c r="G563" s="75"/>
      <c r="H563" s="96" t="str">
        <f>HYPERLINK("http://mirror.ff7data.com.ar/ff7/data/minigame/chocobo.lgp/lb.rsd.png","View Picture")</f>
        <v>View Picture</v>
      </c>
      <c r="K563" s="43"/>
    </row>
    <row r="564">
      <c r="A564" s="40"/>
      <c r="B564" s="33" t="s">
        <v>6857</v>
      </c>
      <c r="C564" s="42">
        <v>5296.0</v>
      </c>
      <c r="D564" s="125" t="s">
        <v>6859</v>
      </c>
      <c r="E564" s="31"/>
      <c r="F564" s="46" t="s">
        <v>2775</v>
      </c>
      <c r="G564" s="75"/>
      <c r="H564" s="96" t="str">
        <f>HYPERLINK("http://mirror.ff7data.com.ar/ff7/data/minigame/chocobo.lgp/lc.p.png","View Picture")</f>
        <v>View Picture</v>
      </c>
      <c r="K564" s="43"/>
    </row>
    <row r="565">
      <c r="A565" s="40"/>
      <c r="B565" s="33" t="s">
        <v>6867</v>
      </c>
      <c r="C565" s="42">
        <v>139.0</v>
      </c>
      <c r="D565" s="125" t="s">
        <v>6859</v>
      </c>
      <c r="E565" s="31"/>
      <c r="F565" s="46" t="s">
        <v>2793</v>
      </c>
      <c r="G565" s="75"/>
      <c r="H565" s="96" t="str">
        <f>HYPERLINK("http://mirror.ff7data.com.ar/ff7/data/minigame/chocobo.lgp/lc.rsd.png","View Picture")</f>
        <v>View Picture</v>
      </c>
      <c r="K565" s="43"/>
    </row>
    <row r="566">
      <c r="A566" s="40"/>
      <c r="B566" s="33" t="s">
        <v>6873</v>
      </c>
      <c r="C566" s="42">
        <v>476.0</v>
      </c>
      <c r="D566" s="125" t="s">
        <v>6876</v>
      </c>
      <c r="E566" s="31"/>
      <c r="F566" s="46" t="s">
        <v>2775</v>
      </c>
      <c r="G566" s="75"/>
      <c r="H566" s="96" t="str">
        <f>HYPERLINK("http://mirror.ff7data.com.ar/ff7/data/minigame/chocobo.lgp/ld.p.png","View Picture")</f>
        <v>View Picture</v>
      </c>
      <c r="K566" s="43"/>
    </row>
    <row r="567">
      <c r="A567" s="40"/>
      <c r="B567" s="33" t="s">
        <v>6889</v>
      </c>
      <c r="C567" s="42">
        <v>56.0</v>
      </c>
      <c r="D567" s="125" t="s">
        <v>6876</v>
      </c>
      <c r="E567" s="31"/>
      <c r="F567" s="46" t="s">
        <v>2793</v>
      </c>
      <c r="G567" s="75"/>
      <c r="H567" s="96" t="str">
        <f>HYPERLINK("http://mirror.ff7data.com.ar/ff7/data/minigame/chocobo.lgp/ld.rsd.png","View Picture")</f>
        <v>View Picture</v>
      </c>
      <c r="K567" s="43"/>
    </row>
    <row r="568">
      <c r="A568" s="40"/>
      <c r="B568" s="33" t="s">
        <v>6902</v>
      </c>
      <c r="C568" s="42">
        <v>476.0</v>
      </c>
      <c r="D568" s="125" t="s">
        <v>6876</v>
      </c>
      <c r="E568" s="31"/>
      <c r="F568" s="46" t="s">
        <v>2775</v>
      </c>
      <c r="G568" s="75"/>
      <c r="H568" s="96" t="str">
        <f>HYPERLINK("http://mirror.ff7data.com.ar/ff7/data/minigame/chocobo.lgp/le.p.png","View Picture")</f>
        <v>View Picture</v>
      </c>
      <c r="K568" s="43"/>
    </row>
    <row r="569">
      <c r="A569" s="40"/>
      <c r="B569" s="33" t="s">
        <v>6916</v>
      </c>
      <c r="C569" s="42">
        <v>56.0</v>
      </c>
      <c r="D569" s="125" t="s">
        <v>6876</v>
      </c>
      <c r="E569" s="31"/>
      <c r="F569" s="46" t="s">
        <v>2793</v>
      </c>
      <c r="G569" s="75"/>
      <c r="H569" s="96" t="str">
        <f>HYPERLINK("http://mirror.ff7data.com.ar/ff7/data/minigame/chocobo.lgp/le.rsd.png","View Picture")</f>
        <v>View Picture</v>
      </c>
      <c r="K569" s="43"/>
    </row>
    <row r="570">
      <c r="A570" s="40"/>
      <c r="B570" s="33" t="s">
        <v>6927</v>
      </c>
      <c r="C570" s="42">
        <v>576.0</v>
      </c>
      <c r="D570" s="125" t="s">
        <v>6930</v>
      </c>
      <c r="E570" s="31"/>
      <c r="F570" s="46" t="s">
        <v>2775</v>
      </c>
      <c r="G570" s="75"/>
      <c r="H570" s="96" t="str">
        <f>HYPERLINK("http://mirror.ff7data.com.ar/ff7/data/minigame/chocobo.lgp/lf.p.png","View Picture")</f>
        <v>View Picture</v>
      </c>
      <c r="K570" s="43"/>
    </row>
    <row r="571">
      <c r="A571" s="40"/>
      <c r="B571" s="33" t="s">
        <v>6939</v>
      </c>
      <c r="C571" s="42">
        <v>56.0</v>
      </c>
      <c r="D571" s="125" t="s">
        <v>6930</v>
      </c>
      <c r="E571" s="31"/>
      <c r="F571" s="46" t="s">
        <v>2793</v>
      </c>
      <c r="G571" s="75"/>
      <c r="H571" s="96" t="str">
        <f>HYPERLINK("http://mirror.ff7data.com.ar/ff7/data/minigame/chocobo.lgp/lf.rsd.png","View Picture")</f>
        <v>View Picture</v>
      </c>
      <c r="K571" s="43"/>
    </row>
    <row r="572">
      <c r="A572" s="40"/>
      <c r="B572" s="33" t="s">
        <v>6949</v>
      </c>
      <c r="C572" s="42">
        <v>576.0</v>
      </c>
      <c r="D572" s="125" t="s">
        <v>6930</v>
      </c>
      <c r="E572" s="31"/>
      <c r="F572" s="46" t="s">
        <v>2775</v>
      </c>
      <c r="G572" s="75"/>
      <c r="H572" s="96" t="str">
        <f>HYPERLINK("http://mirror.ff7data.com.ar/ff7/data/minigame/chocobo.lgp/lg.p.png","View Picture")</f>
        <v>View Picture</v>
      </c>
      <c r="K572" s="43"/>
    </row>
    <row r="573">
      <c r="A573" s="40"/>
      <c r="B573" s="33" t="s">
        <v>6962</v>
      </c>
      <c r="C573" s="42">
        <v>56.0</v>
      </c>
      <c r="D573" s="125" t="s">
        <v>6930</v>
      </c>
      <c r="E573" s="31"/>
      <c r="F573" s="46" t="s">
        <v>2793</v>
      </c>
      <c r="G573" s="75"/>
      <c r="H573" s="96" t="str">
        <f>HYPERLINK("http://mirror.ff7data.com.ar/ff7/data/minigame/chocobo.lgp/lg.rsd.png","View Picture")</f>
        <v>View Picture</v>
      </c>
      <c r="K573" s="43"/>
    </row>
    <row r="574">
      <c r="A574" s="40"/>
      <c r="B574" s="33" t="s">
        <v>6973</v>
      </c>
      <c r="C574" s="42">
        <v>776.0</v>
      </c>
      <c r="D574" s="125" t="s">
        <v>6977</v>
      </c>
      <c r="E574" s="31"/>
      <c r="F574" s="46" t="s">
        <v>2775</v>
      </c>
      <c r="G574" s="75"/>
      <c r="H574" s="96" t="str">
        <f>HYPERLINK("http://mirror.ff7data.com.ar/ff7/data/minigame/chocobo.lgp/lh.p.png","View Picture")</f>
        <v>View Picture</v>
      </c>
      <c r="K574" s="43"/>
    </row>
    <row r="575">
      <c r="A575" s="40"/>
      <c r="B575" s="33" t="s">
        <v>6982</v>
      </c>
      <c r="C575" s="42">
        <v>56.0</v>
      </c>
      <c r="D575" s="125" t="s">
        <v>6977</v>
      </c>
      <c r="E575" s="31"/>
      <c r="F575" s="46" t="s">
        <v>2793</v>
      </c>
      <c r="G575" s="75"/>
      <c r="H575" s="96" t="str">
        <f>HYPERLINK("http://mirror.ff7data.com.ar/ff7/data/minigame/chocobo.lgp/lh.rsd.png","View Picture")</f>
        <v>View Picture</v>
      </c>
      <c r="K575" s="43"/>
    </row>
    <row r="576">
      <c r="A576" s="40"/>
      <c r="B576" s="33" t="s">
        <v>6985</v>
      </c>
      <c r="C576" s="42">
        <v>4800.0</v>
      </c>
      <c r="D576" s="125" t="s">
        <v>6977</v>
      </c>
      <c r="E576" s="31"/>
      <c r="F576" s="46" t="s">
        <v>2775</v>
      </c>
      <c r="G576" s="75"/>
      <c r="H576" s="96" t="str">
        <f>HYPERLINK("http://mirror.ff7data.com.ar/ff7/data/minigame/chocobo.lgp/li.p.png","View Picture")</f>
        <v>View Picture</v>
      </c>
      <c r="K576" s="43"/>
    </row>
    <row r="577">
      <c r="A577" s="40"/>
      <c r="B577" s="33" t="s">
        <v>6990</v>
      </c>
      <c r="C577" s="42">
        <v>139.0</v>
      </c>
      <c r="D577" s="125" t="s">
        <v>6991</v>
      </c>
      <c r="E577" s="31"/>
      <c r="F577" s="46" t="s">
        <v>2793</v>
      </c>
      <c r="G577" s="75"/>
      <c r="H577" s="96" t="str">
        <f>HYPERLINK("http://mirror.ff7data.com.ar/ff7/data/minigame/chocobo.lgp/li.rsd.png","View Picture")</f>
        <v>View Picture</v>
      </c>
      <c r="K577" s="43"/>
    </row>
    <row r="578">
      <c r="A578" s="40"/>
      <c r="B578" s="33" t="s">
        <v>6993</v>
      </c>
      <c r="C578" s="42">
        <v>4356.0</v>
      </c>
      <c r="D578" s="125" t="s">
        <v>6994</v>
      </c>
      <c r="E578" s="31"/>
      <c r="F578" s="46" t="s">
        <v>3366</v>
      </c>
      <c r="G578" s="75"/>
      <c r="H578" s="114"/>
      <c r="K578" s="43"/>
    </row>
    <row r="579">
      <c r="A579" s="40"/>
      <c r="B579" s="33" t="s">
        <v>6995</v>
      </c>
      <c r="C579" s="42">
        <v>257.0</v>
      </c>
      <c r="D579" s="125" t="s">
        <v>6996</v>
      </c>
      <c r="E579" s="31"/>
      <c r="F579" s="46" t="s">
        <v>2756</v>
      </c>
      <c r="G579" s="75"/>
      <c r="H579" s="96" t="str">
        <f>HYPERLINK("http://mirror.ff7data.com.ar/ff7/data/minigame/chocobo.lgp/lk.hrc.png","View Picture")</f>
        <v>View Picture</v>
      </c>
      <c r="K579" s="43"/>
    </row>
    <row r="580">
      <c r="A580" s="40"/>
      <c r="B580" s="33" t="s">
        <v>7006</v>
      </c>
      <c r="C580" s="42">
        <v>2300.0</v>
      </c>
      <c r="D580" s="125" t="s">
        <v>7007</v>
      </c>
      <c r="E580" s="31"/>
      <c r="F580" s="46" t="s">
        <v>2775</v>
      </c>
      <c r="G580" s="75"/>
      <c r="H580" s="96" t="str">
        <f t="shared" ref="H580:H581" si="1">HYPERLINK("http://mirror.ff7data.com.ar/ff7/data/minigame/chocobo.lgp/ll.p.png","View Picture")</f>
        <v>View Picture</v>
      </c>
      <c r="K580" s="43"/>
    </row>
    <row r="581">
      <c r="A581" s="40"/>
      <c r="B581" s="33" t="s">
        <v>7012</v>
      </c>
      <c r="C581" s="42">
        <v>56.0</v>
      </c>
      <c r="D581" s="125" t="s">
        <v>7007</v>
      </c>
      <c r="E581" s="31"/>
      <c r="F581" s="46" t="s">
        <v>2793</v>
      </c>
      <c r="G581" s="75"/>
      <c r="H581" s="96" t="str">
        <f t="shared" si="1"/>
        <v>View Picture</v>
      </c>
      <c r="K581" s="43"/>
    </row>
    <row r="582">
      <c r="A582" s="40"/>
      <c r="B582" s="33" t="s">
        <v>7017</v>
      </c>
      <c r="C582" s="42">
        <v>2460.0</v>
      </c>
      <c r="D582" s="125" t="s">
        <v>7007</v>
      </c>
      <c r="E582" s="31"/>
      <c r="F582" s="46" t="s">
        <v>2775</v>
      </c>
      <c r="G582" s="75"/>
      <c r="H582" s="96" t="str">
        <f>HYPERLINK("http://mirror.ff7data.com.ar/ff7/data/minigame/chocobo.lgp/lm.p.png","View Picture")</f>
        <v>View Picture</v>
      </c>
      <c r="K582" s="43"/>
    </row>
    <row r="583">
      <c r="A583" s="40"/>
      <c r="B583" s="33" t="s">
        <v>7019</v>
      </c>
      <c r="C583" s="42">
        <v>56.0</v>
      </c>
      <c r="D583" s="125" t="s">
        <v>7007</v>
      </c>
      <c r="E583" s="31"/>
      <c r="F583" s="46" t="s">
        <v>2793</v>
      </c>
      <c r="G583" s="75"/>
      <c r="H583" s="96" t="str">
        <f>HYPERLINK("http://mirror.ff7data.com.ar/ff7/data/minigame/chocobo.lgp/lm.rsd.png","View Picture")</f>
        <v>View Picture</v>
      </c>
      <c r="K583" s="43"/>
    </row>
    <row r="584">
      <c r="A584" s="40"/>
      <c r="B584" s="33" t="s">
        <v>7022</v>
      </c>
      <c r="C584" s="42">
        <v>2460.0</v>
      </c>
      <c r="D584" s="125" t="s">
        <v>7007</v>
      </c>
      <c r="E584" s="31"/>
      <c r="F584" s="46" t="s">
        <v>2775</v>
      </c>
      <c r="G584" s="75"/>
      <c r="H584" s="96" t="str">
        <f>HYPERLINK("http://mirror.ff7data.com.ar/ff7/data/minigame/chocobo.lgp/ln.p.png","View Picture")</f>
        <v>View Picture</v>
      </c>
      <c r="K584" s="43"/>
    </row>
    <row r="585">
      <c r="A585" s="40"/>
      <c r="B585" s="33" t="s">
        <v>7027</v>
      </c>
      <c r="C585" s="42">
        <v>56.0</v>
      </c>
      <c r="D585" s="125" t="s">
        <v>7007</v>
      </c>
      <c r="E585" s="31"/>
      <c r="F585" s="46" t="s">
        <v>2793</v>
      </c>
      <c r="G585" s="75"/>
      <c r="H585" s="96" t="str">
        <f>HYPERLINK("http://mirror.ff7data.com.ar/ff7/data/minigame/chocobo.lgp/ln.rsd.png","View Picture")</f>
        <v>View Picture</v>
      </c>
      <c r="K585" s="43"/>
    </row>
    <row r="586">
      <c r="A586" s="40"/>
      <c r="B586" s="33" t="s">
        <v>7034</v>
      </c>
      <c r="C586" s="42">
        <v>3276.0</v>
      </c>
      <c r="D586" s="125" t="s">
        <v>7036</v>
      </c>
      <c r="E586" s="31"/>
      <c r="F586" s="46" t="s">
        <v>3366</v>
      </c>
      <c r="G586" s="75"/>
      <c r="H586" s="114"/>
      <c r="K586" s="43"/>
    </row>
    <row r="587">
      <c r="A587" s="40"/>
      <c r="B587" s="33" t="s">
        <v>7038</v>
      </c>
      <c r="C587" s="42">
        <v>606.0</v>
      </c>
      <c r="D587" s="125" t="s">
        <v>7039</v>
      </c>
      <c r="E587" s="31"/>
      <c r="F587" s="46" t="s">
        <v>2756</v>
      </c>
      <c r="G587" s="75"/>
      <c r="H587" s="96" t="str">
        <f>HYPERLINK("http://mirror.ff7data.com.ar/ff7/data/minigame/chocobo.lgp/lp.hrc.png","View Picture")</f>
        <v>View Picture</v>
      </c>
      <c r="K587" s="43"/>
    </row>
    <row r="588">
      <c r="A588" s="40"/>
      <c r="B588" s="33" t="s">
        <v>7043</v>
      </c>
      <c r="C588" s="42">
        <v>996.0</v>
      </c>
      <c r="D588" s="125" t="s">
        <v>7044</v>
      </c>
      <c r="E588" s="31"/>
      <c r="F588" s="46" t="s">
        <v>2775</v>
      </c>
      <c r="G588" s="75"/>
      <c r="H588" s="96" t="str">
        <f>HYPERLINK("http://mirror.ff7data.com.ar/ff7/data/minigame/chocobo.lgp/lq.p.png","View Picture")</f>
        <v>View Picture</v>
      </c>
      <c r="K588" s="43"/>
    </row>
    <row r="589">
      <c r="A589" s="40"/>
      <c r="B589" s="33" t="s">
        <v>7045</v>
      </c>
      <c r="C589" s="42">
        <v>56.0</v>
      </c>
      <c r="D589" s="125" t="s">
        <v>7044</v>
      </c>
      <c r="E589" s="31"/>
      <c r="F589" s="46" t="s">
        <v>2793</v>
      </c>
      <c r="G589" s="75"/>
      <c r="H589" s="96" t="str">
        <f>HYPERLINK("http://mirror.ff7data.com.ar/ff7/data/minigame/chocobo.lgp/lq.rsd.png","View Picture")</f>
        <v>View Picture</v>
      </c>
      <c r="K589" s="43"/>
    </row>
    <row r="590">
      <c r="A590" s="40"/>
      <c r="B590" s="33" t="s">
        <v>7047</v>
      </c>
      <c r="C590" s="42">
        <v>872.0</v>
      </c>
      <c r="D590" s="125" t="s">
        <v>7049</v>
      </c>
      <c r="E590" s="31"/>
      <c r="F590" s="46" t="s">
        <v>2775</v>
      </c>
      <c r="G590" s="75"/>
      <c r="H590" s="96" t="str">
        <f>HYPERLINK("http://mirror.ff7data.com.ar/ff7/data/minigame/chocobo.lgp/lr.p.png","View Picture")</f>
        <v>View Picture</v>
      </c>
      <c r="K590" s="43"/>
    </row>
    <row r="591">
      <c r="A591" s="40"/>
      <c r="B591" s="33" t="s">
        <v>7051</v>
      </c>
      <c r="C591" s="42">
        <v>56.0</v>
      </c>
      <c r="D591" s="125" t="s">
        <v>7049</v>
      </c>
      <c r="E591" s="31"/>
      <c r="F591" s="46" t="s">
        <v>2793</v>
      </c>
      <c r="G591" s="75"/>
      <c r="H591" s="96" t="str">
        <f>HYPERLINK("http://mirror.ff7data.com.ar/ff7/data/minigame/chocobo.lgp/lr.rsd.png","View Picture")</f>
        <v>View Picture</v>
      </c>
      <c r="K591" s="43"/>
    </row>
    <row r="592">
      <c r="A592" s="40"/>
      <c r="B592" s="33" t="s">
        <v>7054</v>
      </c>
      <c r="C592" s="42">
        <v>4144.0</v>
      </c>
      <c r="D592" s="125" t="s">
        <v>7056</v>
      </c>
      <c r="E592" s="31"/>
      <c r="F592" s="46" t="s">
        <v>2775</v>
      </c>
      <c r="G592" s="75"/>
      <c r="H592" s="96" t="str">
        <f>HYPERLINK("http://mirror.ff7data.com.ar/ff7/data/minigame/chocobo.lgp/ls.p.png","View Picture")</f>
        <v>View Picture</v>
      </c>
      <c r="K592" s="43"/>
    </row>
    <row r="593">
      <c r="A593" s="40"/>
      <c r="B593" s="33" t="s">
        <v>7060</v>
      </c>
      <c r="C593" s="42">
        <v>56.0</v>
      </c>
      <c r="D593" s="125" t="s">
        <v>7056</v>
      </c>
      <c r="E593" s="31"/>
      <c r="F593" s="46" t="s">
        <v>2793</v>
      </c>
      <c r="G593" s="75"/>
      <c r="H593" s="96" t="str">
        <f>HYPERLINK("http://mirror.ff7data.com.ar/ff7/data/minigame/chocobo.lgp/ls.rsd.png","View Picture")</f>
        <v>View Picture</v>
      </c>
      <c r="K593" s="43"/>
    </row>
    <row r="594">
      <c r="A594" s="40"/>
      <c r="B594" s="33" t="s">
        <v>7063</v>
      </c>
      <c r="C594" s="42">
        <v>676.0</v>
      </c>
      <c r="D594" s="125" t="s">
        <v>7064</v>
      </c>
      <c r="E594" s="31"/>
      <c r="F594" s="46" t="s">
        <v>2775</v>
      </c>
      <c r="G594" s="75"/>
      <c r="H594" s="96" t="str">
        <f>HYPERLINK("http://mirror.ff7data.com.ar/ff7/data/minigame/chocobo.lgp/lt.p.png","View Picture")</f>
        <v>View Picture</v>
      </c>
      <c r="K594" s="43"/>
    </row>
    <row r="595">
      <c r="A595" s="40"/>
      <c r="B595" s="33" t="s">
        <v>7068</v>
      </c>
      <c r="C595" s="42">
        <v>56.0</v>
      </c>
      <c r="D595" s="125" t="s">
        <v>7064</v>
      </c>
      <c r="E595" s="31"/>
      <c r="F595" s="46" t="s">
        <v>2793</v>
      </c>
      <c r="G595" s="75"/>
      <c r="H595" s="96" t="str">
        <f>HYPERLINK("http://mirror.ff7data.com.ar/ff7/data/minigame/chocobo.lgp/lt.rsd.png","View Picture")</f>
        <v>View Picture</v>
      </c>
      <c r="K595" s="43"/>
    </row>
    <row r="596">
      <c r="A596" s="40"/>
      <c r="B596" s="33" t="s">
        <v>7071</v>
      </c>
      <c r="C596" s="42">
        <v>748.0</v>
      </c>
      <c r="D596" s="125" t="s">
        <v>7073</v>
      </c>
      <c r="E596" s="31"/>
      <c r="F596" s="46" t="s">
        <v>2775</v>
      </c>
      <c r="G596" s="75"/>
      <c r="H596" s="96" t="str">
        <f>HYPERLINK("http://mirror.ff7data.com.ar/ff7/data/minigame/chocobo.lgp/lu.p.png","View Picture")</f>
        <v>View Picture</v>
      </c>
      <c r="K596" s="43"/>
    </row>
    <row r="597">
      <c r="A597" s="40"/>
      <c r="B597" s="33" t="s">
        <v>7076</v>
      </c>
      <c r="C597" s="42">
        <v>56.0</v>
      </c>
      <c r="D597" s="125" t="s">
        <v>7073</v>
      </c>
      <c r="E597" s="31"/>
      <c r="F597" s="46" t="s">
        <v>2793</v>
      </c>
      <c r="G597" s="75"/>
      <c r="H597" s="96" t="str">
        <f>HYPERLINK("http://mirror.ff7data.com.ar/ff7/data/minigame/chocobo.lgp/lu.rsd.png","View Picture")</f>
        <v>View Picture</v>
      </c>
      <c r="K597" s="43"/>
    </row>
    <row r="598">
      <c r="A598" s="40"/>
      <c r="B598" s="33" t="s">
        <v>7079</v>
      </c>
      <c r="C598" s="42">
        <v>676.0</v>
      </c>
      <c r="D598" s="125" t="s">
        <v>7064</v>
      </c>
      <c r="E598" s="31"/>
      <c r="F598" s="46" t="s">
        <v>2775</v>
      </c>
      <c r="G598" s="75"/>
      <c r="H598" s="96" t="str">
        <f>HYPERLINK("http://mirror.ff7data.com.ar/ff7/data/minigame/chocobo.lgp/lv.p.png","View Picture")</f>
        <v>View Picture</v>
      </c>
      <c r="K598" s="43"/>
    </row>
    <row r="599">
      <c r="A599" s="40"/>
      <c r="B599" s="33" t="s">
        <v>7084</v>
      </c>
      <c r="C599" s="42">
        <v>56.0</v>
      </c>
      <c r="D599" s="125" t="s">
        <v>7064</v>
      </c>
      <c r="E599" s="31"/>
      <c r="F599" s="46" t="s">
        <v>2793</v>
      </c>
      <c r="G599" s="75"/>
      <c r="H599" s="96" t="str">
        <f>HYPERLINK("http://mirror.ff7data.com.ar/ff7/data/minigame/chocobo.lgp/lv.rsd.png","View Picture")</f>
        <v>View Picture</v>
      </c>
      <c r="K599" s="43"/>
    </row>
    <row r="600">
      <c r="A600" s="40"/>
      <c r="B600" s="33" t="s">
        <v>7087</v>
      </c>
      <c r="C600" s="42">
        <v>748.0</v>
      </c>
      <c r="D600" s="125" t="s">
        <v>7073</v>
      </c>
      <c r="E600" s="31"/>
      <c r="F600" s="46" t="s">
        <v>2775</v>
      </c>
      <c r="G600" s="75"/>
      <c r="H600" s="96" t="str">
        <f>HYPERLINK("http://mirror.ff7data.com.ar/ff7/data/minigame/chocobo.lgp/lw.p.png","View Picture")</f>
        <v>View Picture</v>
      </c>
      <c r="K600" s="43"/>
    </row>
    <row r="601">
      <c r="A601" s="40"/>
      <c r="B601" s="33" t="s">
        <v>7090</v>
      </c>
      <c r="C601" s="42">
        <v>56.0</v>
      </c>
      <c r="D601" s="125" t="s">
        <v>7073</v>
      </c>
      <c r="E601" s="31"/>
      <c r="F601" s="46" t="s">
        <v>2793</v>
      </c>
      <c r="G601" s="75"/>
      <c r="H601" s="96" t="str">
        <f>HYPERLINK("http://mirror.ff7data.com.ar/ff7/data/minigame/chocobo.lgp/lw.rsd.png","View Picture")</f>
        <v>View Picture</v>
      </c>
      <c r="K601" s="43"/>
    </row>
    <row r="602">
      <c r="A602" s="40"/>
      <c r="B602" s="33" t="s">
        <v>7092</v>
      </c>
      <c r="C602" s="42">
        <v>676.0</v>
      </c>
      <c r="D602" s="125" t="s">
        <v>7094</v>
      </c>
      <c r="E602" s="31"/>
      <c r="F602" s="46" t="s">
        <v>2775</v>
      </c>
      <c r="G602" s="75"/>
      <c r="H602" s="96" t="str">
        <f>HYPERLINK("http://mirror.ff7data.com.ar/ff7/data/minigame/chocobo.lgp/lx.p.png","View Picture")</f>
        <v>View Picture</v>
      </c>
      <c r="K602" s="43"/>
    </row>
    <row r="603">
      <c r="A603" s="40"/>
      <c r="B603" s="33" t="s">
        <v>7096</v>
      </c>
      <c r="C603" s="42">
        <v>56.0</v>
      </c>
      <c r="D603" s="125" t="s">
        <v>7094</v>
      </c>
      <c r="E603" s="31"/>
      <c r="F603" s="46" t="s">
        <v>2793</v>
      </c>
      <c r="G603" s="75"/>
      <c r="H603" s="96" t="str">
        <f>HYPERLINK("http://mirror.ff7data.com.ar/ff7/data/minigame/chocobo.lgp/lx.rsd.png","View Picture")</f>
        <v>View Picture</v>
      </c>
      <c r="K603" s="43"/>
    </row>
    <row r="604">
      <c r="A604" s="40"/>
      <c r="B604" s="33" t="s">
        <v>7100</v>
      </c>
      <c r="C604" s="42">
        <v>748.0</v>
      </c>
      <c r="D604" s="125" t="s">
        <v>7101</v>
      </c>
      <c r="E604" s="31"/>
      <c r="F604" s="46" t="s">
        <v>2775</v>
      </c>
      <c r="G604" s="75"/>
      <c r="H604" s="96" t="str">
        <f>HYPERLINK("http://mirror.ff7data.com.ar/ff7/data/minigame/chocobo.lgp/ly.p.png","View Picture")</f>
        <v>View Picture</v>
      </c>
      <c r="K604" s="43"/>
    </row>
    <row r="605">
      <c r="A605" s="40"/>
      <c r="B605" s="33" t="s">
        <v>7105</v>
      </c>
      <c r="C605" s="42">
        <v>56.0</v>
      </c>
      <c r="D605" s="125" t="s">
        <v>7101</v>
      </c>
      <c r="E605" s="31"/>
      <c r="F605" s="46" t="s">
        <v>2793</v>
      </c>
      <c r="G605" s="75"/>
      <c r="H605" s="96" t="str">
        <f>HYPERLINK("http://mirror.ff7data.com.ar/ff7/data/minigame/chocobo.lgp/ly.rsd.png","View Picture")</f>
        <v>View Picture</v>
      </c>
      <c r="K605" s="43"/>
    </row>
    <row r="606">
      <c r="A606" s="40"/>
      <c r="B606" s="33" t="s">
        <v>7107</v>
      </c>
      <c r="C606" s="42">
        <v>576.0</v>
      </c>
      <c r="D606" s="125" t="s">
        <v>7108</v>
      </c>
      <c r="E606" s="31"/>
      <c r="F606" s="46" t="s">
        <v>2775</v>
      </c>
      <c r="G606" s="75"/>
      <c r="H606" s="96" t="str">
        <f>HYPERLINK("http://mirror.ff7data.com.ar/ff7/data/minigame/chocobo.lgp/lz.p.png","View Picture")</f>
        <v>View Picture</v>
      </c>
      <c r="K606" s="43"/>
    </row>
    <row r="607">
      <c r="A607" s="40"/>
      <c r="B607" s="33" t="s">
        <v>7109</v>
      </c>
      <c r="C607" s="42">
        <v>56.0</v>
      </c>
      <c r="D607" s="125" t="s">
        <v>7108</v>
      </c>
      <c r="E607" s="31"/>
      <c r="F607" s="46" t="s">
        <v>2793</v>
      </c>
      <c r="G607" s="75"/>
      <c r="H607" s="96" t="str">
        <f>HYPERLINK("http://mirror.ff7data.com.ar/ff7/data/minigame/chocobo.lgp/lz.rsd.png","View Picture")</f>
        <v>View Picture</v>
      </c>
      <c r="K607" s="43"/>
    </row>
    <row r="608">
      <c r="A608" s="40"/>
      <c r="B608" s="33" t="s">
        <v>7112</v>
      </c>
      <c r="C608" s="42">
        <v>676.0</v>
      </c>
      <c r="D608" s="125" t="s">
        <v>7094</v>
      </c>
      <c r="E608" s="31"/>
      <c r="F608" s="46" t="s">
        <v>2775</v>
      </c>
      <c r="G608" s="75"/>
      <c r="H608" s="96" t="str">
        <f>HYPERLINK("http://mirror.ff7data.com.ar/ff7/data/minigame/chocobo.lgp/ma.p.png","View Picture")</f>
        <v>View Picture</v>
      </c>
      <c r="K608" s="43"/>
    </row>
    <row r="609">
      <c r="A609" s="40"/>
      <c r="B609" s="33" t="s">
        <v>7118</v>
      </c>
      <c r="C609" s="42">
        <v>56.0</v>
      </c>
      <c r="D609" s="125" t="s">
        <v>7094</v>
      </c>
      <c r="E609" s="31"/>
      <c r="F609" s="46" t="s">
        <v>2793</v>
      </c>
      <c r="G609" s="75"/>
      <c r="H609" s="96" t="str">
        <f>HYPERLINK("http://mirror.ff7data.com.ar/ff7/data/minigame/chocobo.lgp/ma.rsd.png","View Picture")</f>
        <v>View Picture</v>
      </c>
      <c r="K609" s="43"/>
    </row>
    <row r="610">
      <c r="A610" s="40"/>
      <c r="B610" s="33" t="s">
        <v>7120</v>
      </c>
      <c r="C610" s="42">
        <v>748.0</v>
      </c>
      <c r="D610" s="125" t="s">
        <v>7101</v>
      </c>
      <c r="E610" s="31"/>
      <c r="F610" s="46" t="s">
        <v>2775</v>
      </c>
      <c r="G610" s="75"/>
      <c r="H610" s="96" t="str">
        <f>HYPERLINK("http://mirror.ff7data.com.ar/ff7/data/minigame/chocobo.lgp/mb.p.png","View Picture")</f>
        <v>View Picture</v>
      </c>
      <c r="K610" s="43"/>
    </row>
    <row r="611">
      <c r="A611" s="40"/>
      <c r="B611" s="33" t="s">
        <v>7124</v>
      </c>
      <c r="C611" s="42">
        <v>56.0</v>
      </c>
      <c r="D611" s="125" t="s">
        <v>7101</v>
      </c>
      <c r="E611" s="31"/>
      <c r="F611" s="46" t="s">
        <v>2793</v>
      </c>
      <c r="G611" s="75"/>
      <c r="H611" s="96" t="str">
        <f>HYPERLINK("http://mirror.ff7data.com.ar/ff7/data/minigame/chocobo.lgp/mb.rsd.png","View Picture")</f>
        <v>View Picture</v>
      </c>
      <c r="K611" s="43"/>
    </row>
    <row r="612">
      <c r="A612" s="40"/>
      <c r="B612" s="33" t="s">
        <v>7127</v>
      </c>
      <c r="C612" s="42">
        <v>576.0</v>
      </c>
      <c r="D612" s="125" t="s">
        <v>7108</v>
      </c>
      <c r="E612" s="31"/>
      <c r="F612" s="46" t="s">
        <v>2775</v>
      </c>
      <c r="G612" s="75"/>
      <c r="H612" s="96" t="str">
        <f>HYPERLINK("http://mirror.ff7data.com.ar/ff7/data/minigame/chocobo.lgp/mc.p.png","View Picture")</f>
        <v>View Picture</v>
      </c>
      <c r="K612" s="43"/>
    </row>
    <row r="613">
      <c r="A613" s="40"/>
      <c r="B613" s="33" t="s">
        <v>7131</v>
      </c>
      <c r="C613" s="42">
        <v>56.0</v>
      </c>
      <c r="D613" s="125" t="s">
        <v>7108</v>
      </c>
      <c r="E613" s="31"/>
      <c r="F613" s="46" t="s">
        <v>2793</v>
      </c>
      <c r="G613" s="75"/>
      <c r="H613" s="96" t="str">
        <f>HYPERLINK("http://mirror.ff7data.com.ar/ff7/data/minigame/chocobo.lgp/mc.rsd.png","View Picture")</f>
        <v>View Picture</v>
      </c>
      <c r="K613" s="43"/>
    </row>
    <row r="614">
      <c r="A614" s="40"/>
      <c r="B614" s="33" t="s">
        <v>7136</v>
      </c>
      <c r="C614" s="42">
        <v>5508.0</v>
      </c>
      <c r="D614" s="125" t="s">
        <v>7138</v>
      </c>
      <c r="E614" s="31"/>
      <c r="F614" s="46" t="s">
        <v>3366</v>
      </c>
      <c r="G614" s="75"/>
      <c r="H614" s="114"/>
      <c r="K614" s="43"/>
    </row>
    <row r="615">
      <c r="A615" s="40"/>
      <c r="B615" s="33" t="s">
        <v>7139</v>
      </c>
      <c r="C615" s="42">
        <v>2088.0</v>
      </c>
      <c r="D615" s="125" t="s">
        <v>7140</v>
      </c>
      <c r="E615" s="31"/>
      <c r="F615" s="46" t="s">
        <v>3366</v>
      </c>
      <c r="G615" s="75"/>
      <c r="H615" s="114"/>
      <c r="K615" s="43"/>
    </row>
    <row r="616">
      <c r="A616" s="40"/>
      <c r="B616" s="33" t="s">
        <v>7141</v>
      </c>
      <c r="C616" s="42">
        <v>4596.0</v>
      </c>
      <c r="D616" s="125" t="s">
        <v>7142</v>
      </c>
      <c r="E616" s="31"/>
      <c r="F616" s="46" t="s">
        <v>3366</v>
      </c>
      <c r="G616" s="75"/>
      <c r="H616" s="114"/>
      <c r="K616" s="43"/>
    </row>
    <row r="617">
      <c r="A617" s="40"/>
      <c r="B617" s="33" t="s">
        <v>7143</v>
      </c>
      <c r="C617" s="42">
        <v>4596.0</v>
      </c>
      <c r="D617" s="125" t="s">
        <v>7144</v>
      </c>
      <c r="E617" s="31"/>
      <c r="F617" s="46" t="s">
        <v>3366</v>
      </c>
      <c r="G617" s="75"/>
      <c r="H617" s="114"/>
      <c r="K617" s="43"/>
    </row>
    <row r="618">
      <c r="A618" s="40"/>
      <c r="B618" s="33" t="s">
        <v>7145</v>
      </c>
      <c r="C618" s="42">
        <v>4596.0</v>
      </c>
      <c r="D618" s="125" t="s">
        <v>7146</v>
      </c>
      <c r="E618" s="31"/>
      <c r="F618" s="46" t="s">
        <v>3366</v>
      </c>
      <c r="G618" s="75"/>
      <c r="H618" s="114"/>
      <c r="K618" s="43"/>
    </row>
    <row r="619">
      <c r="A619" s="40"/>
      <c r="B619" s="33" t="s">
        <v>7149</v>
      </c>
      <c r="C619" s="42">
        <v>606.0</v>
      </c>
      <c r="D619" s="125" t="s">
        <v>7150</v>
      </c>
      <c r="E619" s="31"/>
      <c r="F619" s="46" t="s">
        <v>2756</v>
      </c>
      <c r="G619" s="75"/>
      <c r="H619" s="96" t="str">
        <f>HYPERLINK("http://mirror.ff7data.com.ar/ff7/data/minigame/chocobo.lgp/mi.hrc.png","View Picture")</f>
        <v>View Picture</v>
      </c>
      <c r="K619" s="43"/>
    </row>
    <row r="620">
      <c r="A620" s="40"/>
      <c r="B620" s="33" t="s">
        <v>7153</v>
      </c>
      <c r="C620" s="42">
        <v>876.0</v>
      </c>
      <c r="D620" s="125" t="s">
        <v>7154</v>
      </c>
      <c r="E620" s="31"/>
      <c r="F620" s="46" t="s">
        <v>2775</v>
      </c>
      <c r="G620" s="75"/>
      <c r="H620" s="96" t="str">
        <f>HYPERLINK("http://mirror.ff7data.com.ar/ff7/data/minigame/chocobo.lgp/mj.p.png","View Picture")</f>
        <v>View Picture</v>
      </c>
      <c r="K620" s="43"/>
    </row>
    <row r="621">
      <c r="A621" s="40"/>
      <c r="B621" s="33" t="s">
        <v>7157</v>
      </c>
      <c r="C621" s="42">
        <v>56.0</v>
      </c>
      <c r="D621" s="125" t="s">
        <v>7154</v>
      </c>
      <c r="E621" s="31"/>
      <c r="F621" s="46" t="s">
        <v>2793</v>
      </c>
      <c r="G621" s="75"/>
      <c r="H621" s="96" t="str">
        <f>HYPERLINK("http://mirror.ff7data.com.ar/ff7/data/minigame/chocobo.lgp/mj.rsd.png","View Picture")</f>
        <v>View Picture</v>
      </c>
      <c r="K621" s="43"/>
    </row>
    <row r="622">
      <c r="A622" s="40"/>
      <c r="B622" s="33" t="s">
        <v>7158</v>
      </c>
      <c r="C622" s="42">
        <v>1176.0</v>
      </c>
      <c r="D622" s="125" t="s">
        <v>7160</v>
      </c>
      <c r="E622" s="31"/>
      <c r="F622" s="46" t="s">
        <v>2775</v>
      </c>
      <c r="G622" s="75"/>
      <c r="H622" s="96" t="str">
        <f>HYPERLINK("http://mirror.ff7data.com.ar/ff7/data/minigame/chocobo.lgp/mk.p.png","View Picture")</f>
        <v>View Picture</v>
      </c>
      <c r="K622" s="43"/>
    </row>
    <row r="623">
      <c r="A623" s="40"/>
      <c r="B623" s="33" t="s">
        <v>7163</v>
      </c>
      <c r="C623" s="42">
        <v>56.0</v>
      </c>
      <c r="D623" s="125" t="s">
        <v>7160</v>
      </c>
      <c r="E623" s="31"/>
      <c r="F623" s="46" t="s">
        <v>2793</v>
      </c>
      <c r="G623" s="75"/>
      <c r="H623" s="96" t="str">
        <f>HYPERLINK("http://mirror.ff7data.com.ar/ff7/data/minigame/chocobo.lgp/mk.rsd.png","View Picture")</f>
        <v>View Picture</v>
      </c>
      <c r="K623" s="43"/>
    </row>
    <row r="624">
      <c r="A624" s="40"/>
      <c r="B624" s="33" t="s">
        <v>7170</v>
      </c>
      <c r="C624" s="42">
        <v>6500.0</v>
      </c>
      <c r="D624" s="125" t="s">
        <v>7172</v>
      </c>
      <c r="E624" s="31"/>
      <c r="F624" s="46" t="s">
        <v>2775</v>
      </c>
      <c r="G624" s="75"/>
      <c r="H624" s="96" t="str">
        <f>HYPERLINK("http://mirror.ff7data.com.ar/ff7/data/minigame/chocobo.lgp/ml.p.png","View Picture")</f>
        <v>View Picture</v>
      </c>
      <c r="K624" s="43"/>
    </row>
    <row r="625">
      <c r="A625" s="40"/>
      <c r="B625" s="33" t="s">
        <v>7183</v>
      </c>
      <c r="C625" s="42">
        <v>139.0</v>
      </c>
      <c r="D625" s="125" t="s">
        <v>7172</v>
      </c>
      <c r="E625" s="31"/>
      <c r="F625" s="46" t="s">
        <v>2793</v>
      </c>
      <c r="G625" s="75"/>
      <c r="H625" s="96" t="str">
        <f>HYPERLINK("http://mirror.ff7data.com.ar/ff7/data/minigame/chocobo.lgp/ml.rsd.png","View Picture")</f>
        <v>View Picture</v>
      </c>
      <c r="K625" s="43"/>
    </row>
    <row r="626">
      <c r="A626" s="40"/>
      <c r="B626" s="33" t="s">
        <v>7190</v>
      </c>
      <c r="C626" s="42">
        <v>676.0</v>
      </c>
      <c r="D626" s="125" t="s">
        <v>7191</v>
      </c>
      <c r="E626" s="31"/>
      <c r="F626" s="46" t="s">
        <v>2775</v>
      </c>
      <c r="G626" s="75"/>
      <c r="H626" s="96" t="str">
        <f>HYPERLINK("http://mirror.ff7data.com.ar/ff7/data/minigame/chocobo.lgp/mm.p.png","View Picture")</f>
        <v>View Picture</v>
      </c>
      <c r="K626" s="43"/>
    </row>
    <row r="627">
      <c r="A627" s="40"/>
      <c r="B627" s="33" t="s">
        <v>7194</v>
      </c>
      <c r="C627" s="42">
        <v>56.0</v>
      </c>
      <c r="D627" s="125" t="s">
        <v>7191</v>
      </c>
      <c r="E627" s="31"/>
      <c r="F627" s="46" t="s">
        <v>2793</v>
      </c>
      <c r="G627" s="75"/>
      <c r="H627" s="96" t="str">
        <f>HYPERLINK("http://mirror.ff7data.com.ar/ff7/data/minigame/chocobo.lgp/mm.rsd.png","View Picture")</f>
        <v>View Picture</v>
      </c>
      <c r="K627" s="43"/>
    </row>
    <row r="628">
      <c r="A628" s="40"/>
      <c r="B628" s="33" t="s">
        <v>7202</v>
      </c>
      <c r="C628" s="42">
        <v>676.0</v>
      </c>
      <c r="D628" s="125" t="s">
        <v>7203</v>
      </c>
      <c r="E628" s="31"/>
      <c r="F628" s="46" t="s">
        <v>2775</v>
      </c>
      <c r="G628" s="75"/>
      <c r="H628" s="96" t="str">
        <f>HYPERLINK("http://mirror.ff7data.com.ar/ff7/data/minigame/chocobo.lgp/mn.p.png","View Picture")</f>
        <v>View Picture</v>
      </c>
      <c r="K628" s="43"/>
    </row>
    <row r="629">
      <c r="A629" s="40"/>
      <c r="B629" s="33" t="s">
        <v>7209</v>
      </c>
      <c r="C629" s="42">
        <v>56.0</v>
      </c>
      <c r="D629" s="125" t="s">
        <v>7203</v>
      </c>
      <c r="E629" s="31"/>
      <c r="F629" s="46" t="s">
        <v>2793</v>
      </c>
      <c r="G629" s="75"/>
      <c r="H629" s="96" t="str">
        <f>HYPERLINK("http://mirror.ff7data.com.ar/ff7/data/minigame/chocobo.lgp/mn.rsd.png","View Picture")</f>
        <v>View Picture</v>
      </c>
      <c r="K629" s="43"/>
    </row>
    <row r="630">
      <c r="A630" s="40"/>
      <c r="B630" s="33" t="s">
        <v>7218</v>
      </c>
      <c r="C630" s="42">
        <v>676.0</v>
      </c>
      <c r="D630" s="125" t="s">
        <v>7191</v>
      </c>
      <c r="E630" s="31"/>
      <c r="F630" s="46" t="s">
        <v>2775</v>
      </c>
      <c r="G630" s="75"/>
      <c r="H630" s="96" t="str">
        <f>HYPERLINK("http://mirror.ff7data.com.ar/ff7/data/minigame/chocobo.lgp/mo.p.png","View Picture")</f>
        <v>View Picture</v>
      </c>
      <c r="K630" s="43"/>
    </row>
    <row r="631">
      <c r="A631" s="40"/>
      <c r="B631" s="33" t="s">
        <v>7228</v>
      </c>
      <c r="C631" s="42">
        <v>56.0</v>
      </c>
      <c r="D631" s="125" t="s">
        <v>7191</v>
      </c>
      <c r="E631" s="31"/>
      <c r="F631" s="46" t="s">
        <v>2793</v>
      </c>
      <c r="G631" s="75"/>
      <c r="H631" s="96" t="str">
        <f>HYPERLINK("http://mirror.ff7data.com.ar/ff7/data/minigame/chocobo.lgp/mo.rsd.png","View Picture")</f>
        <v>View Picture</v>
      </c>
      <c r="K631" s="43"/>
    </row>
    <row r="632">
      <c r="A632" s="40"/>
      <c r="B632" s="33" t="s">
        <v>7237</v>
      </c>
      <c r="C632" s="42">
        <v>676.0</v>
      </c>
      <c r="D632" s="125" t="s">
        <v>7203</v>
      </c>
      <c r="E632" s="31"/>
      <c r="F632" s="46" t="s">
        <v>2775</v>
      </c>
      <c r="G632" s="75"/>
      <c r="H632" s="96" t="str">
        <f>HYPERLINK("http://mirror.ff7data.com.ar/ff7/data/minigame/chocobo.lgp/mp.p.png","View Picture")</f>
        <v>View Picture</v>
      </c>
      <c r="K632" s="43"/>
    </row>
    <row r="633">
      <c r="A633" s="40"/>
      <c r="B633" s="33" t="s">
        <v>7249</v>
      </c>
      <c r="C633" s="42">
        <v>56.0</v>
      </c>
      <c r="D633" s="125" t="s">
        <v>7203</v>
      </c>
      <c r="E633" s="31"/>
      <c r="F633" s="46" t="s">
        <v>2793</v>
      </c>
      <c r="G633" s="75"/>
      <c r="H633" s="96" t="str">
        <f>HYPERLINK("http://mirror.ff7data.com.ar/ff7/data/minigame/chocobo.lgp/mp.rsd.png","View Picture")</f>
        <v>View Picture</v>
      </c>
      <c r="K633" s="43"/>
    </row>
    <row r="634">
      <c r="A634" s="40"/>
      <c r="B634" s="33" t="s">
        <v>7261</v>
      </c>
      <c r="C634" s="42">
        <v>976.0</v>
      </c>
      <c r="D634" s="125" t="s">
        <v>7263</v>
      </c>
      <c r="E634" s="31"/>
      <c r="F634" s="46" t="s">
        <v>2775</v>
      </c>
      <c r="G634" s="75"/>
      <c r="H634" s="96" t="str">
        <f>HYPERLINK("http://mirror.ff7data.com.ar/ff7/data/minigame/chocobo.lgp/mq.p.png","View Picture")</f>
        <v>View Picture</v>
      </c>
      <c r="K634" s="43"/>
    </row>
    <row r="635">
      <c r="A635" s="40"/>
      <c r="B635" s="33" t="s">
        <v>7272</v>
      </c>
      <c r="C635" s="42">
        <v>56.0</v>
      </c>
      <c r="D635" s="125" t="s">
        <v>7263</v>
      </c>
      <c r="E635" s="31"/>
      <c r="F635" s="46" t="s">
        <v>2793</v>
      </c>
      <c r="G635" s="75"/>
      <c r="H635" s="96" t="str">
        <f>HYPERLINK("http://mirror.ff7data.com.ar/ff7/data/minigame/chocobo.lgp/mq.rsd.png","View Picture")</f>
        <v>View Picture</v>
      </c>
      <c r="K635" s="43"/>
    </row>
    <row r="636">
      <c r="A636" s="40"/>
      <c r="B636" s="33" t="s">
        <v>7280</v>
      </c>
      <c r="C636" s="42">
        <v>720.0</v>
      </c>
      <c r="D636" s="125" t="s">
        <v>7281</v>
      </c>
      <c r="E636" s="31"/>
      <c r="F636" s="46" t="s">
        <v>2775</v>
      </c>
      <c r="G636" s="75"/>
      <c r="H636" s="96" t="str">
        <f>HYPERLINK("http://mirror.ff7data.com.ar/ff7/data/minigame/chocobo.lgp/mr.p.png","View Picture")</f>
        <v>View Picture</v>
      </c>
      <c r="K636" s="43"/>
    </row>
    <row r="637">
      <c r="A637" s="40"/>
      <c r="B637" s="33" t="s">
        <v>7288</v>
      </c>
      <c r="C637" s="42">
        <v>56.0</v>
      </c>
      <c r="D637" s="125" t="s">
        <v>7281</v>
      </c>
      <c r="E637" s="31"/>
      <c r="F637" s="46" t="s">
        <v>2793</v>
      </c>
      <c r="G637" s="75"/>
      <c r="H637" s="96" t="str">
        <f>HYPERLINK("http://mirror.ff7data.com.ar/ff7/data/minigame/chocobo.lgp/mr.rsd.png","View Picture")</f>
        <v>View Picture</v>
      </c>
      <c r="K637" s="43"/>
    </row>
    <row r="638">
      <c r="A638" s="40"/>
      <c r="B638" s="33" t="s">
        <v>7297</v>
      </c>
      <c r="C638" s="42">
        <v>576.0</v>
      </c>
      <c r="D638" s="125" t="s">
        <v>7300</v>
      </c>
      <c r="E638" s="31"/>
      <c r="F638" s="46" t="s">
        <v>2775</v>
      </c>
      <c r="G638" s="75"/>
      <c r="H638" s="96" t="str">
        <f>HYPERLINK("http://mirror.ff7data.com.ar/ff7/data/minigame/chocobo.lgp/ms.p.png","View Picture")</f>
        <v>View Picture</v>
      </c>
      <c r="K638" s="43"/>
    </row>
    <row r="639">
      <c r="A639" s="40"/>
      <c r="B639" s="33" t="s">
        <v>7308</v>
      </c>
      <c r="C639" s="42">
        <v>56.0</v>
      </c>
      <c r="D639" s="125" t="s">
        <v>7300</v>
      </c>
      <c r="E639" s="31"/>
      <c r="F639" s="46" t="s">
        <v>2793</v>
      </c>
      <c r="G639" s="75"/>
      <c r="H639" s="96" t="str">
        <f>HYPERLINK("http://mirror.ff7data.com.ar/ff7/data/minigame/chocobo.lgp/ms.rsd.png","View Picture")</f>
        <v>View Picture</v>
      </c>
      <c r="K639" s="43"/>
    </row>
    <row r="640">
      <c r="A640" s="40"/>
      <c r="B640" s="33" t="s">
        <v>7318</v>
      </c>
      <c r="C640" s="42">
        <v>976.0</v>
      </c>
      <c r="D640" s="125" t="s">
        <v>7263</v>
      </c>
      <c r="E640" s="31"/>
      <c r="F640" s="46" t="s">
        <v>2775</v>
      </c>
      <c r="G640" s="75"/>
      <c r="H640" s="96" t="str">
        <f>HYPERLINK("http://mirror.ff7data.com.ar/ff7/data/minigame/chocobo.lgp/mt.p.png","View Picture")</f>
        <v>View Picture</v>
      </c>
      <c r="K640" s="43"/>
    </row>
    <row r="641">
      <c r="A641" s="40"/>
      <c r="B641" s="33" t="s">
        <v>7329</v>
      </c>
      <c r="C641" s="42">
        <v>56.0</v>
      </c>
      <c r="D641" s="125" t="s">
        <v>7263</v>
      </c>
      <c r="E641" s="31"/>
      <c r="F641" s="46" t="s">
        <v>2793</v>
      </c>
      <c r="G641" s="75"/>
      <c r="H641" s="96" t="str">
        <f>HYPERLINK("http://mirror.ff7data.com.ar/ff7/data/minigame/chocobo.lgp/mt.rsd.png","View Picture")</f>
        <v>View Picture</v>
      </c>
      <c r="K641" s="43"/>
    </row>
    <row r="642">
      <c r="A642" s="40"/>
      <c r="B642" s="33" t="s">
        <v>7337</v>
      </c>
      <c r="C642" s="42">
        <v>720.0</v>
      </c>
      <c r="D642" s="125" t="s">
        <v>7281</v>
      </c>
      <c r="E642" s="31"/>
      <c r="F642" s="46" t="s">
        <v>2775</v>
      </c>
      <c r="G642" s="75"/>
      <c r="H642" s="96" t="str">
        <f>HYPERLINK("http://mirror.ff7data.com.ar/ff7/data/minigame/chocobo.lgp/mu.p.png","View Picture")</f>
        <v>View Picture</v>
      </c>
      <c r="K642" s="43"/>
    </row>
    <row r="643">
      <c r="A643" s="40"/>
      <c r="B643" s="33" t="s">
        <v>7343</v>
      </c>
      <c r="C643" s="42">
        <v>56.0</v>
      </c>
      <c r="D643" s="125" t="s">
        <v>7281</v>
      </c>
      <c r="E643" s="31"/>
      <c r="F643" s="46" t="s">
        <v>2793</v>
      </c>
      <c r="G643" s="75"/>
      <c r="H643" s="96" t="str">
        <f>HYPERLINK("http://mirror.ff7data.com.ar/ff7/data/minigame/chocobo.lgp/mu.rsd.png","View Picture")</f>
        <v>View Picture</v>
      </c>
      <c r="K643" s="43"/>
    </row>
    <row r="644">
      <c r="A644" s="40"/>
      <c r="B644" s="33" t="s">
        <v>7345</v>
      </c>
      <c r="C644" s="42">
        <v>576.0</v>
      </c>
      <c r="D644" s="125" t="s">
        <v>7300</v>
      </c>
      <c r="E644" s="31"/>
      <c r="F644" s="46" t="s">
        <v>2775</v>
      </c>
      <c r="G644" s="75"/>
      <c r="H644" s="96" t="str">
        <f>HYPERLINK("http://mirror.ff7data.com.ar/ff7/data/minigame/chocobo.lgp/mv.p.png","View Picture")</f>
        <v>View Picture</v>
      </c>
      <c r="K644" s="43"/>
    </row>
    <row r="645">
      <c r="A645" s="40"/>
      <c r="B645" s="33" t="s">
        <v>7347</v>
      </c>
      <c r="C645" s="42">
        <v>56.0</v>
      </c>
      <c r="D645" s="125" t="s">
        <v>7300</v>
      </c>
      <c r="E645" s="31"/>
      <c r="F645" s="46" t="s">
        <v>2793</v>
      </c>
      <c r="G645" s="75"/>
      <c r="H645" s="96" t="str">
        <f>HYPERLINK("http://mirror.ff7data.com.ar/ff7/data/minigame/chocobo.lgp/mv.rsd.png","View Picture")</f>
        <v>View Picture</v>
      </c>
      <c r="K645" s="43"/>
    </row>
    <row r="646">
      <c r="A646" s="40"/>
      <c r="B646" s="33" t="s">
        <v>7349</v>
      </c>
      <c r="C646" s="42">
        <v>5508.0</v>
      </c>
      <c r="D646" s="125" t="s">
        <v>7351</v>
      </c>
      <c r="E646" s="31"/>
      <c r="F646" s="46" t="s">
        <v>3366</v>
      </c>
      <c r="G646" s="75"/>
      <c r="H646" s="114"/>
      <c r="K646" s="43"/>
    </row>
    <row r="647">
      <c r="A647" s="40"/>
      <c r="B647" s="33" t="s">
        <v>7352</v>
      </c>
      <c r="C647" s="42">
        <v>4140.0</v>
      </c>
      <c r="D647" s="125" t="s">
        <v>7353</v>
      </c>
      <c r="E647" s="31"/>
      <c r="F647" s="46" t="s">
        <v>3366</v>
      </c>
      <c r="G647" s="75"/>
      <c r="H647" s="114"/>
      <c r="K647" s="43"/>
    </row>
    <row r="648">
      <c r="A648" s="40"/>
      <c r="B648" s="33" t="s">
        <v>7354</v>
      </c>
      <c r="C648" s="42">
        <v>4596.0</v>
      </c>
      <c r="D648" s="125" t="s">
        <v>7355</v>
      </c>
      <c r="E648" s="31"/>
      <c r="F648" s="46" t="s">
        <v>3366</v>
      </c>
      <c r="G648" s="75"/>
      <c r="H648" s="114"/>
      <c r="K648" s="43"/>
    </row>
    <row r="649">
      <c r="A649" s="40"/>
      <c r="B649" s="33" t="s">
        <v>7356</v>
      </c>
      <c r="C649" s="42">
        <v>4596.0</v>
      </c>
      <c r="D649" s="125" t="s">
        <v>7357</v>
      </c>
      <c r="E649" s="31"/>
      <c r="F649" s="46" t="s">
        <v>3366</v>
      </c>
      <c r="G649" s="75"/>
      <c r="H649" s="114"/>
      <c r="K649" s="43"/>
    </row>
    <row r="650">
      <c r="A650" s="40"/>
      <c r="B650" s="33" t="s">
        <v>7359</v>
      </c>
      <c r="C650" s="42">
        <v>4596.0</v>
      </c>
      <c r="D650" s="33" t="s">
        <v>7360</v>
      </c>
      <c r="E650" s="74"/>
      <c r="F650" s="46" t="s">
        <v>3366</v>
      </c>
      <c r="G650" s="75"/>
      <c r="H650" s="114"/>
      <c r="K650" s="43"/>
    </row>
    <row r="651">
      <c r="A651" s="84"/>
      <c r="B651" s="33" t="s">
        <v>7361</v>
      </c>
      <c r="C651" s="42">
        <v>4140.0</v>
      </c>
      <c r="D651" s="33" t="s">
        <v>7363</v>
      </c>
      <c r="E651" s="74"/>
      <c r="F651" s="46" t="s">
        <v>3366</v>
      </c>
      <c r="G651" s="75"/>
      <c r="H651" s="114"/>
      <c r="K651" s="43"/>
    </row>
    <row r="652">
      <c r="A652" s="40"/>
      <c r="B652" s="33" t="s">
        <v>7367</v>
      </c>
      <c r="C652" s="42">
        <v>606.0</v>
      </c>
      <c r="D652" s="33" t="s">
        <v>7369</v>
      </c>
      <c r="E652" s="74"/>
      <c r="F652" s="46" t="s">
        <v>2756</v>
      </c>
      <c r="G652" s="75"/>
      <c r="H652" s="96" t="str">
        <f>HYPERLINK("http://mirror.ff7data.com.ar/ff7/data/minigame/chocobo.lgp/nc.hrc.png","View Picture")</f>
        <v>View Picture</v>
      </c>
      <c r="K652" s="43"/>
    </row>
    <row r="653">
      <c r="A653" s="40"/>
      <c r="B653" s="33" t="s">
        <v>7374</v>
      </c>
      <c r="C653" s="42">
        <v>1172.0</v>
      </c>
      <c r="D653" s="33" t="s">
        <v>7377</v>
      </c>
      <c r="E653" s="74"/>
      <c r="F653" s="46" t="s">
        <v>2775</v>
      </c>
      <c r="G653" s="75"/>
      <c r="H653" s="96" t="str">
        <f>HYPERLINK("http://mirror.ff7data.com.ar/ff7/data/minigame/chocobo.lgp/nd.p.png","View Picture")</f>
        <v>View Picture</v>
      </c>
      <c r="K653" s="43"/>
    </row>
    <row r="654">
      <c r="A654" s="40"/>
      <c r="B654" s="33" t="s">
        <v>7380</v>
      </c>
      <c r="C654" s="42">
        <v>56.0</v>
      </c>
      <c r="D654" s="33" t="s">
        <v>7377</v>
      </c>
      <c r="E654" s="74"/>
      <c r="F654" s="46" t="s">
        <v>2793</v>
      </c>
      <c r="G654" s="75"/>
      <c r="H654" s="96" t="str">
        <f>HYPERLINK("http://mirror.ff7data.com.ar/ff7/data/minigame/chocobo.lgp/nd.rsd.png","View Picture")</f>
        <v>View Picture</v>
      </c>
      <c r="K654" s="43"/>
    </row>
    <row r="655">
      <c r="A655" s="40"/>
      <c r="B655" s="33" t="s">
        <v>7387</v>
      </c>
      <c r="C655" s="42">
        <v>1248.0</v>
      </c>
      <c r="D655" s="33" t="s">
        <v>7389</v>
      </c>
      <c r="E655" s="74"/>
      <c r="F655" s="46" t="s">
        <v>2775</v>
      </c>
      <c r="G655" s="75"/>
      <c r="H655" s="96" t="str">
        <f>HYPERLINK("http://mirror.ff7data.com.ar/ff7/data/minigame/chocobo.lgp/ne.p.png","View Picture")</f>
        <v>View Picture</v>
      </c>
      <c r="K655" s="43"/>
    </row>
    <row r="656">
      <c r="A656" s="40"/>
      <c r="B656" s="33" t="s">
        <v>7392</v>
      </c>
      <c r="C656" s="42">
        <v>56.0</v>
      </c>
      <c r="D656" s="33" t="s">
        <v>7389</v>
      </c>
      <c r="E656" s="74"/>
      <c r="F656" s="46" t="s">
        <v>2793</v>
      </c>
      <c r="G656" s="75"/>
      <c r="H656" s="96" t="str">
        <f>HYPERLINK("http://mirror.ff7data.com.ar/ff7/data/minigame/chocobo.lgp/ne.rsd.png","View Picture")</f>
        <v>View Picture</v>
      </c>
      <c r="K656" s="43"/>
    </row>
    <row r="657">
      <c r="A657" s="40"/>
      <c r="B657" s="33" t="s">
        <v>7395</v>
      </c>
      <c r="C657" s="42">
        <v>6176.0</v>
      </c>
      <c r="D657" s="33" t="s">
        <v>7397</v>
      </c>
      <c r="E657" s="74"/>
      <c r="F657" s="46" t="s">
        <v>2775</v>
      </c>
      <c r="G657" s="75"/>
      <c r="H657" s="96" t="str">
        <f>HYPERLINK("http://mirror.ff7data.com.ar/ff7/data/minigame/chocobo.lgp/nf.p.png","View Picture")</f>
        <v>View Picture</v>
      </c>
      <c r="K657" s="43"/>
    </row>
    <row r="658">
      <c r="A658" s="40"/>
      <c r="B658" s="33" t="s">
        <v>7401</v>
      </c>
      <c r="C658" s="42">
        <v>139.0</v>
      </c>
      <c r="D658" s="33" t="s">
        <v>7397</v>
      </c>
      <c r="E658" s="74"/>
      <c r="F658" s="46" t="s">
        <v>2793</v>
      </c>
      <c r="G658" s="75"/>
      <c r="H658" s="96" t="str">
        <f>HYPERLINK("http://mirror.ff7data.com.ar/ff7/data/minigame/chocobo.lgp/nf.rsd.png","View Picture")</f>
        <v>View Picture</v>
      </c>
      <c r="K658" s="43"/>
    </row>
    <row r="659">
      <c r="A659" s="40"/>
      <c r="B659" s="33" t="s">
        <v>7402</v>
      </c>
      <c r="C659" s="42">
        <v>676.0</v>
      </c>
      <c r="D659" s="33" t="s">
        <v>7404</v>
      </c>
      <c r="E659" s="74"/>
      <c r="F659" s="46" t="s">
        <v>2775</v>
      </c>
      <c r="G659" s="75"/>
      <c r="H659" s="96" t="str">
        <f>HYPERLINK("http://mirror.ff7data.com.ar/ff7/data/minigame/chocobo.lgp/ng.p.png","View Picture")</f>
        <v>View Picture</v>
      </c>
      <c r="K659" s="43"/>
    </row>
    <row r="660">
      <c r="A660" s="40"/>
      <c r="B660" s="33" t="s">
        <v>7410</v>
      </c>
      <c r="C660" s="42">
        <v>56.0</v>
      </c>
      <c r="D660" s="33" t="s">
        <v>7404</v>
      </c>
      <c r="E660" s="74"/>
      <c r="F660" s="46" t="s">
        <v>2793</v>
      </c>
      <c r="G660" s="75"/>
      <c r="H660" s="96" t="str">
        <f>HYPERLINK("http://mirror.ff7data.com.ar/ff7/data/minigame/chocobo.lgp/ng.rsd.png","View Picture")</f>
        <v>View Picture</v>
      </c>
      <c r="K660" s="43"/>
    </row>
    <row r="661">
      <c r="A661" s="40"/>
      <c r="B661" s="33" t="s">
        <v>7422</v>
      </c>
      <c r="C661" s="42">
        <v>748.0</v>
      </c>
      <c r="D661" s="33" t="s">
        <v>7424</v>
      </c>
      <c r="E661" s="74"/>
      <c r="F661" s="46" t="s">
        <v>2775</v>
      </c>
      <c r="G661" s="75"/>
      <c r="H661" s="96" t="str">
        <f>HYPERLINK("http://mirror.ff7data.com.ar/ff7/data/minigame/chocobo.lgp/nh.p.png","View Picture")</f>
        <v>View Picture</v>
      </c>
      <c r="K661" s="43"/>
    </row>
    <row r="662">
      <c r="A662" s="40"/>
      <c r="B662" s="33" t="s">
        <v>7430</v>
      </c>
      <c r="C662" s="42">
        <v>56.0</v>
      </c>
      <c r="D662" s="33" t="s">
        <v>7424</v>
      </c>
      <c r="E662" s="74"/>
      <c r="F662" s="46" t="s">
        <v>2793</v>
      </c>
      <c r="G662" s="75"/>
      <c r="H662" s="96" t="str">
        <f>HYPERLINK("http://mirror.ff7data.com.ar/ff7/data/minigame/chocobo.lgp/nh.rsd.png","View Picture")</f>
        <v>View Picture</v>
      </c>
      <c r="K662" s="43"/>
    </row>
    <row r="663">
      <c r="A663" s="40"/>
      <c r="B663" s="33" t="s">
        <v>7432</v>
      </c>
      <c r="C663" s="42">
        <v>676.0</v>
      </c>
      <c r="D663" s="33" t="s">
        <v>7404</v>
      </c>
      <c r="E663" s="74"/>
      <c r="F663" s="46" t="s">
        <v>2775</v>
      </c>
      <c r="G663" s="75"/>
      <c r="H663" s="96" t="str">
        <f>HYPERLINK("http://mirror.ff7data.com.ar/ff7/data/minigame/chocobo.lgp/ni.p.png","View Picture")</f>
        <v>View Picture</v>
      </c>
      <c r="K663" s="43"/>
    </row>
    <row r="664">
      <c r="A664" s="40"/>
      <c r="B664" s="33" t="s">
        <v>7434</v>
      </c>
      <c r="C664" s="42">
        <v>56.0</v>
      </c>
      <c r="D664" s="33" t="s">
        <v>7404</v>
      </c>
      <c r="E664" s="74"/>
      <c r="F664" s="46" t="s">
        <v>2793</v>
      </c>
      <c r="G664" s="75"/>
      <c r="H664" s="96" t="str">
        <f>HYPERLINK("http://mirror.ff7data.com.ar/ff7/data/minigame/chocobo.lgp/ni.rsd.png","View Picture")</f>
        <v>View Picture</v>
      </c>
      <c r="K664" s="43"/>
    </row>
    <row r="665">
      <c r="A665" s="40"/>
      <c r="B665" s="33" t="s">
        <v>7436</v>
      </c>
      <c r="C665" s="42">
        <v>748.0</v>
      </c>
      <c r="D665" s="33" t="s">
        <v>7424</v>
      </c>
      <c r="E665" s="74"/>
      <c r="F665" s="46" t="s">
        <v>2775</v>
      </c>
      <c r="G665" s="75"/>
      <c r="H665" s="96" t="str">
        <f>HYPERLINK("http://mirror.ff7data.com.ar/ff7/data/minigame/chocobo.lgp/nj.p.png","View Picture")</f>
        <v>View Picture</v>
      </c>
      <c r="K665" s="43"/>
    </row>
    <row r="666">
      <c r="A666" s="40"/>
      <c r="B666" s="33" t="s">
        <v>7438</v>
      </c>
      <c r="C666" s="42">
        <v>56.0</v>
      </c>
      <c r="D666" s="33" t="s">
        <v>7424</v>
      </c>
      <c r="E666" s="74"/>
      <c r="F666" s="46" t="s">
        <v>2793</v>
      </c>
      <c r="G666" s="75"/>
      <c r="H666" s="96" t="str">
        <f>HYPERLINK("http://mirror.ff7data.com.ar/ff7/data/minigame/chocobo.lgp/nj.rsd.png","View Picture")</f>
        <v>View Picture</v>
      </c>
      <c r="K666" s="43"/>
    </row>
    <row r="667">
      <c r="A667" s="40"/>
      <c r="B667" s="33" t="s">
        <v>7440</v>
      </c>
      <c r="C667" s="42">
        <v>748.0</v>
      </c>
      <c r="D667" s="33" t="s">
        <v>7441</v>
      </c>
      <c r="E667" s="74"/>
      <c r="F667" s="46" t="s">
        <v>2775</v>
      </c>
      <c r="G667" s="75"/>
      <c r="H667" s="96" t="str">
        <f>HYPERLINK("http://mirror.ff7data.com.ar/ff7/data/minigame/chocobo.lgp/nk.p.png","View Picture")</f>
        <v>View Picture</v>
      </c>
      <c r="K667" s="43"/>
    </row>
    <row r="668">
      <c r="A668" s="40"/>
      <c r="B668" s="33" t="s">
        <v>7443</v>
      </c>
      <c r="C668" s="42">
        <v>56.0</v>
      </c>
      <c r="D668" s="33" t="s">
        <v>7441</v>
      </c>
      <c r="E668" s="74"/>
      <c r="F668" s="46" t="s">
        <v>2793</v>
      </c>
      <c r="G668" s="75"/>
      <c r="H668" s="96" t="str">
        <f>HYPERLINK("http://mirror.ff7data.com.ar/ff7/data/minigame/chocobo.lgp/nk.rsd.png","View Picture")</f>
        <v>View Picture</v>
      </c>
      <c r="K668" s="43"/>
    </row>
    <row r="669">
      <c r="A669" s="40"/>
      <c r="B669" s="33" t="s">
        <v>7445</v>
      </c>
      <c r="C669" s="42">
        <v>720.0</v>
      </c>
      <c r="D669" s="33" t="s">
        <v>7447</v>
      </c>
      <c r="E669" s="74"/>
      <c r="F669" s="46" t="s">
        <v>2775</v>
      </c>
      <c r="G669" s="75"/>
      <c r="H669" s="96" t="str">
        <f>HYPERLINK("http://mirror.ff7data.com.ar/ff7/data/minigame/chocobo.lgp/nl.p.png","View Picture")</f>
        <v>View Picture</v>
      </c>
      <c r="K669" s="43"/>
    </row>
    <row r="670">
      <c r="A670" s="40"/>
      <c r="B670" s="33" t="s">
        <v>7448</v>
      </c>
      <c r="C670" s="42">
        <v>56.0</v>
      </c>
      <c r="D670" s="33" t="s">
        <v>7447</v>
      </c>
      <c r="E670" s="74"/>
      <c r="F670" s="46" t="s">
        <v>2793</v>
      </c>
      <c r="G670" s="75"/>
      <c r="H670" s="96" t="str">
        <f>HYPERLINK("http://mirror.ff7data.com.ar/ff7/data/minigame/chocobo.lgp/nl.rsd.png","View Picture")</f>
        <v>View Picture</v>
      </c>
      <c r="K670" s="43"/>
    </row>
    <row r="671">
      <c r="A671" s="40"/>
      <c r="B671" s="33" t="s">
        <v>7450</v>
      </c>
      <c r="C671" s="42">
        <v>576.0</v>
      </c>
      <c r="D671" s="33" t="s">
        <v>7452</v>
      </c>
      <c r="E671" s="74"/>
      <c r="F671" s="46" t="s">
        <v>2775</v>
      </c>
      <c r="G671" s="75"/>
      <c r="H671" s="96" t="str">
        <f>HYPERLINK("http://mirror.ff7data.com.ar/ff7/data/minigame/chocobo.lgp/nm.p.png","View Picture")</f>
        <v>View Picture</v>
      </c>
      <c r="K671" s="43"/>
    </row>
    <row r="672">
      <c r="A672" s="40"/>
      <c r="B672" s="33" t="s">
        <v>7453</v>
      </c>
      <c r="C672" s="42">
        <v>56.0</v>
      </c>
      <c r="D672" s="33" t="s">
        <v>7452</v>
      </c>
      <c r="E672" s="74"/>
      <c r="F672" s="46" t="s">
        <v>2793</v>
      </c>
      <c r="G672" s="75"/>
      <c r="H672" s="96" t="str">
        <f>HYPERLINK("http://mirror.ff7data.com.ar/ff7/data/minigame/chocobo.lgp/nm.rsd.png","View Picture")</f>
        <v>View Picture</v>
      </c>
      <c r="K672" s="43"/>
    </row>
    <row r="673">
      <c r="A673" s="40"/>
      <c r="B673" s="33" t="s">
        <v>7454</v>
      </c>
      <c r="C673" s="42">
        <v>748.0</v>
      </c>
      <c r="D673" s="33" t="s">
        <v>7441</v>
      </c>
      <c r="E673" s="74"/>
      <c r="F673" s="46" t="s">
        <v>2775</v>
      </c>
      <c r="G673" s="75"/>
      <c r="H673" s="96" t="str">
        <f>HYPERLINK("http://mirror.ff7data.com.ar/ff7/data/minigame/chocobo.lgp/nn.p.png","View Picture")</f>
        <v>View Picture</v>
      </c>
      <c r="K673" s="43"/>
    </row>
    <row r="674">
      <c r="A674" s="40"/>
      <c r="B674" s="33" t="s">
        <v>7456</v>
      </c>
      <c r="C674" s="42">
        <v>56.0</v>
      </c>
      <c r="D674" s="33" t="s">
        <v>7441</v>
      </c>
      <c r="E674" s="74"/>
      <c r="F674" s="46" t="s">
        <v>2793</v>
      </c>
      <c r="G674" s="75"/>
      <c r="H674" s="96" t="str">
        <f>HYPERLINK("http://mirror.ff7data.com.ar/ff7/data/minigame/chocobo.lgp/nn.rsd.png","View Picture")</f>
        <v>View Picture</v>
      </c>
      <c r="K674" s="43"/>
    </row>
    <row r="675">
      <c r="A675" s="40"/>
      <c r="B675" s="33" t="s">
        <v>7458</v>
      </c>
      <c r="C675" s="42">
        <v>720.0</v>
      </c>
      <c r="D675" s="33" t="s">
        <v>7447</v>
      </c>
      <c r="E675" s="74"/>
      <c r="F675" s="46" t="s">
        <v>2775</v>
      </c>
      <c r="G675" s="75"/>
      <c r="H675" s="96" t="str">
        <f>HYPERLINK("http://mirror.ff7data.com.ar/ff7/data/minigame/chocobo.lgp/no.p.png","View Picture")</f>
        <v>View Picture</v>
      </c>
      <c r="K675" s="43"/>
    </row>
    <row r="676">
      <c r="A676" s="40"/>
      <c r="B676" s="33" t="s">
        <v>7460</v>
      </c>
      <c r="C676" s="42">
        <v>56.0</v>
      </c>
      <c r="D676" s="33" t="s">
        <v>7447</v>
      </c>
      <c r="E676" s="74"/>
      <c r="F676" s="46" t="s">
        <v>2793</v>
      </c>
      <c r="G676" s="75"/>
      <c r="H676" s="96" t="str">
        <f>HYPERLINK("http://mirror.ff7data.com.ar/ff7/data/minigame/chocobo.lgp/no.rsd.png","View Picture")</f>
        <v>View Picture</v>
      </c>
      <c r="K676" s="43"/>
    </row>
    <row r="677">
      <c r="A677" s="40"/>
      <c r="B677" s="33" t="s">
        <v>7462</v>
      </c>
      <c r="C677" s="42">
        <v>576.0</v>
      </c>
      <c r="D677" s="33" t="s">
        <v>7452</v>
      </c>
      <c r="E677" s="74"/>
      <c r="F677" s="46" t="s">
        <v>2775</v>
      </c>
      <c r="G677" s="75"/>
      <c r="H677" s="96" t="str">
        <f>HYPERLINK("http://mirror.ff7data.com.ar/ff7/data/minigame/chocobo.lgp/np.p.png","View Picture")</f>
        <v>View Picture</v>
      </c>
      <c r="K677" s="43"/>
    </row>
    <row r="678">
      <c r="A678" s="40"/>
      <c r="B678" s="33" t="s">
        <v>7464</v>
      </c>
      <c r="C678" s="42">
        <v>56.0</v>
      </c>
      <c r="D678" s="33" t="s">
        <v>7452</v>
      </c>
      <c r="E678" s="74"/>
      <c r="F678" s="46" t="s">
        <v>2793</v>
      </c>
      <c r="G678" s="75"/>
      <c r="H678" s="96" t="str">
        <f>HYPERLINK("http://mirror.ff7data.com.ar/ff7/data/minigame/chocobo.lgp/np.rsd.png","View Picture")</f>
        <v>View Picture</v>
      </c>
      <c r="K678" s="43"/>
    </row>
    <row r="679">
      <c r="A679" s="40"/>
      <c r="B679" s="33" t="s">
        <v>7466</v>
      </c>
      <c r="C679" s="42">
        <v>5508.0</v>
      </c>
      <c r="D679" s="33" t="s">
        <v>7467</v>
      </c>
      <c r="E679" s="74"/>
      <c r="F679" s="46" t="s">
        <v>3366</v>
      </c>
      <c r="G679" s="75"/>
      <c r="H679" s="114"/>
      <c r="K679" s="43"/>
    </row>
    <row r="680">
      <c r="A680" s="40"/>
      <c r="B680" s="33" t="s">
        <v>7468</v>
      </c>
      <c r="C680" s="42">
        <v>4140.0</v>
      </c>
      <c r="D680" s="33" t="s">
        <v>7470</v>
      </c>
      <c r="E680" s="74"/>
      <c r="F680" s="46" t="s">
        <v>3366</v>
      </c>
      <c r="G680" s="75"/>
      <c r="H680" s="114"/>
      <c r="K680" s="43"/>
    </row>
    <row r="681">
      <c r="A681" s="40"/>
      <c r="B681" s="33" t="s">
        <v>7472</v>
      </c>
      <c r="C681" s="42">
        <v>4596.0</v>
      </c>
      <c r="D681" s="33" t="s">
        <v>7473</v>
      </c>
      <c r="E681" s="74"/>
      <c r="F681" s="46" t="s">
        <v>3366</v>
      </c>
      <c r="G681" s="75"/>
      <c r="H681" s="114"/>
      <c r="K681" s="43"/>
    </row>
    <row r="682">
      <c r="A682" s="40"/>
      <c r="B682" s="33" t="s">
        <v>7475</v>
      </c>
      <c r="C682" s="42">
        <v>4596.0</v>
      </c>
      <c r="D682" s="33" t="s">
        <v>7477</v>
      </c>
      <c r="E682" s="74"/>
      <c r="F682" s="46" t="s">
        <v>3366</v>
      </c>
      <c r="G682" s="75"/>
      <c r="H682" s="114"/>
      <c r="K682" s="43"/>
    </row>
    <row r="683">
      <c r="A683" s="40"/>
      <c r="B683" s="33" t="s">
        <v>7478</v>
      </c>
      <c r="C683" s="42">
        <v>4596.0</v>
      </c>
      <c r="D683" s="33" t="s">
        <v>7479</v>
      </c>
      <c r="E683" s="74"/>
      <c r="F683" s="46" t="s">
        <v>3366</v>
      </c>
      <c r="G683" s="75"/>
      <c r="H683" s="114"/>
      <c r="K683" s="43"/>
    </row>
    <row r="684">
      <c r="A684" s="84"/>
      <c r="B684" s="33" t="s">
        <v>7480</v>
      </c>
      <c r="C684" s="42">
        <v>4140.0</v>
      </c>
      <c r="D684" s="33" t="s">
        <v>7481</v>
      </c>
      <c r="E684" s="74"/>
      <c r="F684" s="46" t="s">
        <v>3366</v>
      </c>
      <c r="G684" s="75"/>
      <c r="H684" s="114"/>
      <c r="K684" s="43"/>
    </row>
    <row r="685">
      <c r="A685" s="40"/>
      <c r="B685" s="33" t="s">
        <v>7482</v>
      </c>
      <c r="C685" s="42">
        <v>4396.0</v>
      </c>
      <c r="D685" s="33" t="s">
        <v>7484</v>
      </c>
      <c r="E685" s="74"/>
      <c r="F685" s="46" t="s">
        <v>1348</v>
      </c>
      <c r="G685" s="75"/>
      <c r="H685" s="96" t="str">
        <f>HYPERLINK("http://mirror.ff7data.com.ar/ff7/data/minigame/chocobo.lgp/nw.tex.png","View Picture")</f>
        <v>View Picture</v>
      </c>
      <c r="K685" s="43"/>
    </row>
    <row r="686">
      <c r="A686" s="40"/>
      <c r="B686" s="33" t="s">
        <v>7489</v>
      </c>
      <c r="C686" s="42">
        <v>4396.0</v>
      </c>
      <c r="D686" s="33" t="s">
        <v>7490</v>
      </c>
      <c r="E686" s="74"/>
      <c r="F686" s="46" t="s">
        <v>1348</v>
      </c>
      <c r="G686" s="75"/>
      <c r="H686" s="96" t="str">
        <f>HYPERLINK("http://mirror.ff7data.com.ar/ff7/data/minigame/chocobo.lgp/nx.tex.png","View Picture")</f>
        <v>View Picture</v>
      </c>
      <c r="K686" s="43"/>
    </row>
    <row r="687">
      <c r="A687" s="40"/>
      <c r="B687" s="33" t="s">
        <v>7492</v>
      </c>
      <c r="C687" s="42">
        <v>4396.0</v>
      </c>
      <c r="D687" s="33" t="s">
        <v>7493</v>
      </c>
      <c r="E687" s="74"/>
      <c r="F687" s="46" t="s">
        <v>1348</v>
      </c>
      <c r="G687" s="75"/>
      <c r="H687" s="96" t="str">
        <f>HYPERLINK("http://mirror.ff7data.com.ar/ff7/data/minigame/chocobo.lgp/ny.tex.png","View Picture")</f>
        <v>View Picture</v>
      </c>
      <c r="K687" s="43"/>
    </row>
    <row r="688">
      <c r="A688" s="40"/>
      <c r="B688" s="33" t="s">
        <v>7495</v>
      </c>
      <c r="C688" s="42">
        <v>4396.0</v>
      </c>
      <c r="D688" s="33" t="s">
        <v>7496</v>
      </c>
      <c r="E688" s="74"/>
      <c r="F688" s="46" t="s">
        <v>1348</v>
      </c>
      <c r="G688" s="75"/>
      <c r="H688" s="96" t="str">
        <f>HYPERLINK("http://mirror.ff7data.com.ar/ff7/data/minigame/chocobo.lgp/nz.tex.png","View Picture")</f>
        <v>View Picture</v>
      </c>
      <c r="K688" s="43"/>
    </row>
    <row r="689">
      <c r="A689" s="40"/>
      <c r="B689" s="33" t="s">
        <v>7497</v>
      </c>
      <c r="C689" s="42">
        <v>5356.0</v>
      </c>
      <c r="D689" s="33" t="s">
        <v>7499</v>
      </c>
      <c r="E689" s="74"/>
      <c r="F689" s="46" t="s">
        <v>1348</v>
      </c>
      <c r="G689" s="75"/>
      <c r="H689" s="96" t="str">
        <f>HYPERLINK("http://mirror.ff7data.com.ar/ff7/data/minigame/chocobo.lgp/oa.tex.png","View Picture")</f>
        <v>View Picture</v>
      </c>
      <c r="K689" s="43"/>
    </row>
    <row r="690">
      <c r="A690" s="40"/>
      <c r="B690" s="33" t="s">
        <v>7502</v>
      </c>
      <c r="C690" s="42">
        <v>4396.0</v>
      </c>
      <c r="D690" s="33" t="s">
        <v>7503</v>
      </c>
      <c r="E690" s="74"/>
      <c r="F690" s="46" t="s">
        <v>1348</v>
      </c>
      <c r="G690" s="75"/>
      <c r="H690" s="96" t="str">
        <f>HYPERLINK("http://mirror.ff7data.com.ar/ff7/data/minigame/chocobo.lgp/ob.tex.png","View Picture")</f>
        <v>View Picture</v>
      </c>
      <c r="K690" s="43"/>
    </row>
    <row r="691">
      <c r="A691" s="40"/>
      <c r="B691" s="33" t="s">
        <v>7505</v>
      </c>
      <c r="C691" s="42">
        <v>4396.0</v>
      </c>
      <c r="D691" s="33" t="s">
        <v>7506</v>
      </c>
      <c r="E691" s="74"/>
      <c r="F691" s="46" t="s">
        <v>1348</v>
      </c>
      <c r="G691" s="75"/>
      <c r="H691" s="96" t="str">
        <f>HYPERLINK("http://mirror.ff7data.com.ar/ff7/data/minigame/chocobo.lgp/oc.tex.png","View Picture")</f>
        <v>View Picture</v>
      </c>
      <c r="K691" s="43"/>
    </row>
    <row r="692">
      <c r="A692" s="40"/>
      <c r="B692" s="33" t="s">
        <v>7508</v>
      </c>
      <c r="C692" s="42">
        <v>4396.0</v>
      </c>
      <c r="D692" s="33" t="s">
        <v>7509</v>
      </c>
      <c r="E692" s="74"/>
      <c r="F692" s="46" t="s">
        <v>1348</v>
      </c>
      <c r="G692" s="75"/>
      <c r="H692" s="96" t="str">
        <f>HYPERLINK("http://mirror.ff7data.com.ar/ff7/data/minigame/chocobo.lgp/od.tex.png","View Picture")</f>
        <v>View Picture</v>
      </c>
      <c r="K692" s="43"/>
    </row>
    <row r="693">
      <c r="A693" s="40"/>
      <c r="B693" s="33" t="s">
        <v>7511</v>
      </c>
      <c r="C693" s="42">
        <v>4396.0</v>
      </c>
      <c r="D693" s="33" t="s">
        <v>7512</v>
      </c>
      <c r="E693" s="74"/>
      <c r="F693" s="46" t="s">
        <v>1348</v>
      </c>
      <c r="G693" s="75"/>
      <c r="H693" s="96" t="str">
        <f>HYPERLINK("http://mirror.ff7data.com.ar/ff7/data/minigame/chocobo.lgp/oe.tex.png","View Picture")</f>
        <v>View Picture</v>
      </c>
      <c r="K693" s="43"/>
    </row>
    <row r="694">
      <c r="A694" s="40"/>
      <c r="B694" s="33" t="s">
        <v>7514</v>
      </c>
      <c r="C694" s="42">
        <v>4396.0</v>
      </c>
      <c r="D694" s="33" t="s">
        <v>7515</v>
      </c>
      <c r="E694" s="74"/>
      <c r="F694" s="46" t="s">
        <v>1348</v>
      </c>
      <c r="G694" s="75"/>
      <c r="H694" s="96" t="str">
        <f>HYPERLINK("http://mirror.ff7data.com.ar/ff7/data/minigame/chocobo.lgp/of.tex.png","View Picture")</f>
        <v>View Picture</v>
      </c>
      <c r="K694" s="43"/>
    </row>
    <row r="695">
      <c r="A695" s="40"/>
      <c r="B695" s="33" t="s">
        <v>7517</v>
      </c>
      <c r="C695" s="42">
        <v>4396.0</v>
      </c>
      <c r="D695" s="33" t="s">
        <v>7518</v>
      </c>
      <c r="E695" s="74"/>
      <c r="F695" s="46" t="s">
        <v>1348</v>
      </c>
      <c r="G695" s="75"/>
      <c r="H695" s="96" t="str">
        <f>HYPERLINK("http://mirror.ff7data.com.ar/ff7/data/minigame/chocobo.lgp/og.tex.png","View Picture")</f>
        <v>View Picture</v>
      </c>
      <c r="K695" s="43"/>
    </row>
    <row r="696">
      <c r="A696" s="40"/>
      <c r="B696" s="33" t="s">
        <v>7520</v>
      </c>
      <c r="C696" s="42">
        <v>4396.0</v>
      </c>
      <c r="D696" s="33" t="s">
        <v>7521</v>
      </c>
      <c r="E696" s="74"/>
      <c r="F696" s="46" t="s">
        <v>1348</v>
      </c>
      <c r="G696" s="75"/>
      <c r="H696" s="96" t="str">
        <f>HYPERLINK("http://mirror.ff7data.com.ar/ff7/data/minigame/chocobo.lgp/oh.tex.png","View Picture")</f>
        <v>View Picture</v>
      </c>
      <c r="K696" s="43"/>
    </row>
    <row r="697">
      <c r="A697" s="40"/>
      <c r="B697" s="33" t="s">
        <v>7522</v>
      </c>
      <c r="C697" s="42">
        <v>4396.0</v>
      </c>
      <c r="D697" s="33" t="s">
        <v>7523</v>
      </c>
      <c r="E697" s="74"/>
      <c r="F697" s="46" t="s">
        <v>1348</v>
      </c>
      <c r="G697" s="75"/>
      <c r="H697" s="96" t="str">
        <f>HYPERLINK("http://mirror.ff7data.com.ar/ff7/data/minigame/chocobo.lgp/oi.tex.png","View Picture")</f>
        <v>View Picture</v>
      </c>
      <c r="K697" s="43"/>
    </row>
    <row r="698">
      <c r="A698" s="40"/>
      <c r="B698" s="33" t="s">
        <v>7525</v>
      </c>
      <c r="C698" s="42">
        <v>4396.0</v>
      </c>
      <c r="D698" s="33" t="s">
        <v>7526</v>
      </c>
      <c r="E698" s="74"/>
      <c r="F698" s="46" t="s">
        <v>1348</v>
      </c>
      <c r="G698" s="46" t="s">
        <v>7527</v>
      </c>
      <c r="H698" s="96" t="str">
        <f>HYPERLINK("http://mirror.ff7data.com.ar/ff7/data/minigame/chocobo.lgp/oj.tex.png","View Picture")</f>
        <v>View Picture</v>
      </c>
      <c r="K698" s="43"/>
    </row>
    <row r="699">
      <c r="A699" s="40"/>
      <c r="B699" s="33" t="s">
        <v>7529</v>
      </c>
      <c r="C699" s="42">
        <v>4396.0</v>
      </c>
      <c r="D699" s="33" t="s">
        <v>7530</v>
      </c>
      <c r="E699" s="74"/>
      <c r="F699" s="46" t="s">
        <v>1348</v>
      </c>
      <c r="G699" s="75"/>
      <c r="H699" s="96" t="str">
        <f>HYPERLINK("http://mirror.ff7data.com.ar/ff7/data/minigame/chocobo.lgp/ok.tex.png","View Picture")</f>
        <v>View Picture</v>
      </c>
      <c r="K699" s="43"/>
    </row>
    <row r="700">
      <c r="A700" s="40"/>
      <c r="B700" s="33" t="s">
        <v>7534</v>
      </c>
      <c r="C700" s="42">
        <v>4396.0</v>
      </c>
      <c r="D700" s="33" t="s">
        <v>7535</v>
      </c>
      <c r="E700" s="74"/>
      <c r="F700" s="46" t="s">
        <v>1348</v>
      </c>
      <c r="G700" s="75"/>
      <c r="H700" s="96" t="str">
        <f>HYPERLINK("http://mirror.ff7data.com.ar/ff7/data/minigame/chocobo.lgp/ol.tex.png","View Picture")</f>
        <v>View Picture</v>
      </c>
      <c r="K700" s="43"/>
    </row>
    <row r="701">
      <c r="A701" s="40"/>
      <c r="B701" s="33" t="s">
        <v>7537</v>
      </c>
      <c r="C701" s="42">
        <v>4396.0</v>
      </c>
      <c r="D701" s="33" t="s">
        <v>7538</v>
      </c>
      <c r="E701" s="74"/>
      <c r="F701" s="46" t="s">
        <v>1348</v>
      </c>
      <c r="G701" s="75"/>
      <c r="H701" s="96" t="str">
        <f>HYPERLINK("http://mirror.ff7data.com.ar/ff7/data/minigame/chocobo.lgp/om.tex.png","View Picture")</f>
        <v>View Picture</v>
      </c>
      <c r="K701" s="43"/>
    </row>
    <row r="702">
      <c r="A702" s="40"/>
      <c r="B702" s="33" t="s">
        <v>7541</v>
      </c>
      <c r="C702" s="42">
        <v>4396.0</v>
      </c>
      <c r="D702" s="33" t="s">
        <v>7542</v>
      </c>
      <c r="E702" s="74"/>
      <c r="F702" s="46" t="s">
        <v>1348</v>
      </c>
      <c r="G702" s="75"/>
      <c r="H702" s="96" t="str">
        <f>HYPERLINK("http://mirror.ff7data.com.ar/ff7/data/minigame/chocobo.lgp/on.tex.png","View Picture")</f>
        <v>View Picture</v>
      </c>
      <c r="K702" s="43"/>
    </row>
    <row r="703">
      <c r="A703" s="40"/>
      <c r="B703" s="33" t="s">
        <v>7544</v>
      </c>
      <c r="C703" s="42">
        <v>4396.0</v>
      </c>
      <c r="D703" s="33" t="s">
        <v>7545</v>
      </c>
      <c r="E703" s="74"/>
      <c r="F703" s="46" t="s">
        <v>1348</v>
      </c>
      <c r="G703" s="75"/>
      <c r="H703" s="96" t="str">
        <f>HYPERLINK("http://mirror.ff7data.com.ar/ff7/data/minigame/chocobo.lgp/oo.tex.png","View Picture")</f>
        <v>View Picture</v>
      </c>
      <c r="K703" s="43"/>
    </row>
    <row r="704">
      <c r="A704" s="40"/>
      <c r="B704" s="33" t="s">
        <v>7548</v>
      </c>
      <c r="C704" s="42">
        <v>4396.0</v>
      </c>
      <c r="D704" s="33" t="s">
        <v>7549</v>
      </c>
      <c r="E704" s="74"/>
      <c r="F704" s="46" t="s">
        <v>1348</v>
      </c>
      <c r="G704" s="75"/>
      <c r="H704" s="96" t="str">
        <f>HYPERLINK("http://mirror.ff7data.com.ar/ff7/data/minigame/chocobo.lgp/op.tex.png","View Picture")</f>
        <v>View Picture</v>
      </c>
      <c r="K704" s="43"/>
    </row>
    <row r="705">
      <c r="A705" s="40"/>
      <c r="B705" s="33" t="s">
        <v>7551</v>
      </c>
      <c r="C705" s="42">
        <v>4396.0</v>
      </c>
      <c r="D705" s="33" t="s">
        <v>7552</v>
      </c>
      <c r="E705" s="74"/>
      <c r="F705" s="46" t="s">
        <v>1348</v>
      </c>
      <c r="G705" s="75"/>
      <c r="H705" s="96" t="str">
        <f>HYPERLINK("http://mirror.ff7data.com.ar/ff7/data/minigame/chocobo.lgp/oq.tex.png","View Picture")</f>
        <v>View Picture</v>
      </c>
      <c r="K705" s="43"/>
    </row>
    <row r="706">
      <c r="A706" s="40"/>
      <c r="B706" s="33" t="s">
        <v>7554</v>
      </c>
      <c r="C706" s="42">
        <v>4396.0</v>
      </c>
      <c r="D706" s="33" t="s">
        <v>7555</v>
      </c>
      <c r="E706" s="74"/>
      <c r="F706" s="46" t="s">
        <v>1348</v>
      </c>
      <c r="G706" s="75"/>
      <c r="H706" s="96" t="str">
        <f>HYPERLINK("http://mirror.ff7data.com.ar/ff7/data/minigame/chocobo.lgp/or.tex.png","View Picture")</f>
        <v>View Picture</v>
      </c>
      <c r="K706" s="43"/>
    </row>
    <row r="707">
      <c r="A707" s="40"/>
      <c r="B707" s="33" t="s">
        <v>7557</v>
      </c>
      <c r="C707" s="42">
        <v>4396.0</v>
      </c>
      <c r="D707" s="33" t="s">
        <v>7558</v>
      </c>
      <c r="E707" s="74"/>
      <c r="F707" s="46" t="s">
        <v>1348</v>
      </c>
      <c r="G707" s="75"/>
      <c r="H707" s="96" t="str">
        <f>HYPERLINK("http://mirror.ff7data.com.ar/ff7/data/minigame/chocobo.lgp/os.tex.png","View Picture")</f>
        <v>View Picture</v>
      </c>
      <c r="K707" s="43"/>
    </row>
    <row r="708">
      <c r="A708" s="40"/>
      <c r="B708" s="33" t="s">
        <v>7561</v>
      </c>
      <c r="C708" s="42">
        <v>4396.0</v>
      </c>
      <c r="D708" s="33" t="s">
        <v>7562</v>
      </c>
      <c r="E708" s="74"/>
      <c r="F708" s="46" t="s">
        <v>1348</v>
      </c>
      <c r="G708" s="75"/>
      <c r="H708" s="96" t="str">
        <f>HYPERLINK("http://mirror.ff7data.com.ar/ff7/data/minigame/chocobo.lgp/ot.tex.png","View Picture")</f>
        <v>View Picture</v>
      </c>
      <c r="K708" s="43"/>
    </row>
    <row r="709">
      <c r="A709" s="40"/>
      <c r="B709" s="33" t="s">
        <v>7564</v>
      </c>
      <c r="C709" s="42">
        <v>4396.0</v>
      </c>
      <c r="D709" s="33" t="s">
        <v>7503</v>
      </c>
      <c r="E709" s="74"/>
      <c r="F709" s="46" t="s">
        <v>1348</v>
      </c>
      <c r="G709" s="46" t="s">
        <v>7565</v>
      </c>
      <c r="H709" s="96" t="str">
        <f>HYPERLINK("http://mirror.ff7data.com.ar/ff7/data/minigame/chocobo.lgp/ou.tex.png","View Picture")</f>
        <v>View Picture</v>
      </c>
      <c r="K709" s="43"/>
    </row>
    <row r="710">
      <c r="A710" s="40"/>
      <c r="B710" s="33" t="s">
        <v>7568</v>
      </c>
      <c r="C710" s="42">
        <v>4396.0</v>
      </c>
      <c r="D710" s="33" t="s">
        <v>7569</v>
      </c>
      <c r="E710" s="74"/>
      <c r="F710" s="46" t="s">
        <v>1348</v>
      </c>
      <c r="G710" s="75"/>
      <c r="H710" s="96" t="str">
        <f>HYPERLINK("http://mirror.ff7data.com.ar/ff7/data/minigame/chocobo.lgp/ov.tex.png","View Picture")</f>
        <v>View Picture</v>
      </c>
      <c r="K710" s="43"/>
    </row>
    <row r="711">
      <c r="A711" s="40"/>
      <c r="B711" s="33" t="s">
        <v>7570</v>
      </c>
      <c r="C711" s="42">
        <v>4396.0</v>
      </c>
      <c r="D711" s="33" t="s">
        <v>7530</v>
      </c>
      <c r="E711" s="74"/>
      <c r="F711" s="46" t="s">
        <v>1348</v>
      </c>
      <c r="G711" s="75"/>
      <c r="H711" s="96" t="str">
        <f>HYPERLINK("http://mirror.ff7data.com.ar/ff7/data/minigame/chocobo.lgp/ow.tex.png","View Picture")</f>
        <v>View Picture</v>
      </c>
      <c r="K711" s="43"/>
    </row>
    <row r="712">
      <c r="A712" s="40"/>
      <c r="B712" s="33" t="s">
        <v>7572</v>
      </c>
      <c r="C712" s="42">
        <v>4396.0</v>
      </c>
      <c r="D712" s="33" t="s">
        <v>7573</v>
      </c>
      <c r="E712" s="74"/>
      <c r="F712" s="46" t="s">
        <v>1348</v>
      </c>
      <c r="G712" s="75"/>
      <c r="H712" s="96" t="str">
        <f>HYPERLINK("http://mirror.ff7data.com.ar/ff7/data/minigame/chocobo.lgp/ox.tex.png","View Picture")</f>
        <v>View Picture</v>
      </c>
      <c r="K712" s="43"/>
    </row>
    <row r="713">
      <c r="A713" s="40"/>
      <c r="B713" s="33" t="s">
        <v>7576</v>
      </c>
      <c r="C713" s="42">
        <v>4396.0</v>
      </c>
      <c r="D713" s="33" t="s">
        <v>7578</v>
      </c>
      <c r="E713" s="74"/>
      <c r="F713" s="46" t="s">
        <v>1348</v>
      </c>
      <c r="G713" s="75"/>
      <c r="H713" s="96" t="str">
        <f>HYPERLINK("http://mirror.ff7data.com.ar/ff7/data/minigame/chocobo.lgp/oy.tex.png","View Picture")</f>
        <v>View Picture</v>
      </c>
      <c r="K713" s="43"/>
    </row>
    <row r="714">
      <c r="A714" s="40"/>
      <c r="B714" s="33" t="s">
        <v>7580</v>
      </c>
      <c r="C714" s="42">
        <v>4396.0</v>
      </c>
      <c r="D714" s="33" t="s">
        <v>7582</v>
      </c>
      <c r="E714" s="74"/>
      <c r="F714" s="46" t="s">
        <v>1348</v>
      </c>
      <c r="G714" s="75"/>
      <c r="H714" s="96" t="str">
        <f>HYPERLINK("http://mirror.ff7data.com.ar/ff7/data/minigame/chocobo.lgp/oz.tex.png","View Picture")</f>
        <v>View Picture</v>
      </c>
      <c r="K714" s="43"/>
    </row>
    <row r="715">
      <c r="A715" s="40"/>
      <c r="B715" s="33" t="s">
        <v>7583</v>
      </c>
      <c r="C715" s="42">
        <v>4396.0</v>
      </c>
      <c r="D715" s="33" t="s">
        <v>7585</v>
      </c>
      <c r="E715" s="74"/>
      <c r="F715" s="46" t="s">
        <v>1348</v>
      </c>
      <c r="G715" s="75"/>
      <c r="H715" s="96" t="str">
        <f>HYPERLINK("http://mirror.ff7data.com.ar/ff7/data/minigame/chocobo.lgp/pa.tex.png","View Picture")</f>
        <v>View Picture</v>
      </c>
      <c r="K715" s="43"/>
    </row>
    <row r="716">
      <c r="A716" s="40"/>
      <c r="B716" s="33" t="s">
        <v>7588</v>
      </c>
      <c r="C716" s="42">
        <v>4396.0</v>
      </c>
      <c r="D716" s="33" t="s">
        <v>7590</v>
      </c>
      <c r="E716" s="74"/>
      <c r="F716" s="46" t="s">
        <v>1348</v>
      </c>
      <c r="G716" s="75"/>
      <c r="H716" s="96" t="str">
        <f>HYPERLINK("http://mirror.ff7data.com.ar/ff7/data/minigame/chocobo.lgp/pb.tex.png","View Picture")</f>
        <v>View Picture</v>
      </c>
      <c r="K716" s="43"/>
    </row>
    <row r="717">
      <c r="A717" s="40"/>
      <c r="B717" s="33" t="s">
        <v>7591</v>
      </c>
      <c r="C717" s="42">
        <v>4396.0</v>
      </c>
      <c r="D717" s="33" t="s">
        <v>7593</v>
      </c>
      <c r="E717" s="74"/>
      <c r="F717" s="46" t="s">
        <v>1348</v>
      </c>
      <c r="G717" s="75"/>
      <c r="H717" s="96" t="str">
        <f>HYPERLINK("http://mirror.ff7data.com.ar/ff7/data/minigame/chocobo.lgp/pc.tex.png","View Picture")</f>
        <v>View Picture</v>
      </c>
      <c r="K717" s="43"/>
    </row>
    <row r="718">
      <c r="A718" s="40"/>
      <c r="B718" s="33" t="s">
        <v>7596</v>
      </c>
      <c r="C718" s="42">
        <v>8492.0</v>
      </c>
      <c r="D718" s="33" t="s">
        <v>7598</v>
      </c>
      <c r="E718" s="74"/>
      <c r="F718" s="46" t="s">
        <v>1348</v>
      </c>
      <c r="G718" s="75"/>
      <c r="H718" s="96" t="str">
        <f>HYPERLINK("http://mirror.ff7data.com.ar/ff7/data/minigame/chocobo.lgp/pd.tex.png","View Picture")</f>
        <v>View Picture</v>
      </c>
      <c r="K718" s="43"/>
    </row>
    <row r="719">
      <c r="A719" s="40"/>
      <c r="B719" s="33" t="s">
        <v>7603</v>
      </c>
      <c r="C719" s="42">
        <v>8492.0</v>
      </c>
      <c r="D719" s="33" t="s">
        <v>7604</v>
      </c>
      <c r="E719" s="74"/>
      <c r="F719" s="46" t="s">
        <v>1348</v>
      </c>
      <c r="G719" s="75"/>
      <c r="H719" s="96" t="str">
        <f>HYPERLINK("http://mirror.ff7data.com.ar/ff7/data/minigame/chocobo.lgp/pe.tex.png","View Picture")</f>
        <v>View Picture</v>
      </c>
      <c r="K719" s="43"/>
    </row>
    <row r="720">
      <c r="A720" s="40"/>
      <c r="B720" s="33" t="s">
        <v>7610</v>
      </c>
      <c r="C720" s="42">
        <v>4396.0</v>
      </c>
      <c r="D720" s="33" t="s">
        <v>7613</v>
      </c>
      <c r="E720" s="74"/>
      <c r="F720" s="46" t="s">
        <v>1348</v>
      </c>
      <c r="G720" s="75"/>
      <c r="H720" s="96" t="str">
        <f>HYPERLINK("http://mirror.ff7data.com.ar/ff7/data/minigame/chocobo.lgp/pf.tex.png","View Picture")</f>
        <v>View Picture</v>
      </c>
      <c r="K720" s="43"/>
    </row>
    <row r="721">
      <c r="A721" s="40"/>
      <c r="B721" s="33" t="s">
        <v>7623</v>
      </c>
      <c r="C721" s="42">
        <v>4396.0</v>
      </c>
      <c r="D721" s="33" t="s">
        <v>7626</v>
      </c>
      <c r="E721" s="74"/>
      <c r="F721" s="46" t="s">
        <v>1348</v>
      </c>
      <c r="G721" s="75"/>
      <c r="H721" s="96" t="str">
        <f>HYPERLINK("http://mirror.ff7data.com.ar/ff7/data/minigame/chocobo.lgp/pg.tex.png","View Picture")</f>
        <v>View Picture</v>
      </c>
      <c r="K721" s="43"/>
    </row>
    <row r="722">
      <c r="A722" s="40"/>
      <c r="B722" s="33" t="s">
        <v>7633</v>
      </c>
      <c r="C722" s="42">
        <v>4396.0</v>
      </c>
      <c r="D722" s="33" t="s">
        <v>7636</v>
      </c>
      <c r="E722" s="74"/>
      <c r="F722" s="46" t="s">
        <v>1348</v>
      </c>
      <c r="G722" s="75"/>
      <c r="H722" s="96" t="str">
        <f>HYPERLINK("http://mirror.ff7data.com.ar/ff7/data/minigame/chocobo.lgp/ph.tex.png","View Picture")</f>
        <v>View Picture</v>
      </c>
      <c r="K722" s="43"/>
    </row>
    <row r="723">
      <c r="A723" s="40"/>
      <c r="B723" s="33" t="s">
        <v>7647</v>
      </c>
      <c r="C723" s="42">
        <v>4396.0</v>
      </c>
      <c r="D723" s="33" t="s">
        <v>7535</v>
      </c>
      <c r="E723" s="74"/>
      <c r="F723" s="46" t="s">
        <v>1348</v>
      </c>
      <c r="G723" s="75"/>
      <c r="H723" s="96" t="str">
        <f>HYPERLINK("http://mirror.ff7data.com.ar/ff7/data/minigame/chocobo.lgp/pi.tex.png","View Picture")</f>
        <v>View Picture</v>
      </c>
      <c r="K723" s="43"/>
    </row>
    <row r="724">
      <c r="A724" s="40"/>
      <c r="B724" s="33" t="s">
        <v>7657</v>
      </c>
      <c r="C724" s="42">
        <v>4396.0</v>
      </c>
      <c r="D724" s="33" t="s">
        <v>7660</v>
      </c>
      <c r="E724" s="74"/>
      <c r="F724" s="46" t="s">
        <v>1348</v>
      </c>
      <c r="G724" s="75"/>
      <c r="H724" s="96" t="str">
        <f>HYPERLINK("http://mirror.ff7data.com.ar/ff7/data/minigame/chocobo.lgp/pj.tex.png","View Picture")</f>
        <v>View Picture</v>
      </c>
      <c r="K724" s="43"/>
    </row>
    <row r="725">
      <c r="A725" s="40"/>
      <c r="B725" s="33" t="s">
        <v>7668</v>
      </c>
      <c r="C725" s="42">
        <v>4396.0</v>
      </c>
      <c r="D725" s="33" t="s">
        <v>7670</v>
      </c>
      <c r="E725" s="74"/>
      <c r="F725" s="46" t="s">
        <v>1348</v>
      </c>
      <c r="G725" s="75"/>
      <c r="H725" s="96" t="str">
        <f>HYPERLINK("http://mirror.ff7data.com.ar/ff7/data/minigame/chocobo.lgp/pk.tex.png","View Picture")</f>
        <v>View Picture</v>
      </c>
      <c r="K725" s="43"/>
    </row>
    <row r="726">
      <c r="A726" s="40"/>
      <c r="B726" s="33" t="s">
        <v>7679</v>
      </c>
      <c r="C726" s="42">
        <v>4396.0</v>
      </c>
      <c r="D726" s="33" t="s">
        <v>7681</v>
      </c>
      <c r="E726" s="74"/>
      <c r="F726" s="46" t="s">
        <v>1348</v>
      </c>
      <c r="G726" s="75"/>
      <c r="H726" s="96" t="str">
        <f>HYPERLINK("http://mirror.ff7data.com.ar/ff7/data/minigame/chocobo.lgp/pl.tex.png","View Picture")</f>
        <v>View Picture</v>
      </c>
      <c r="K726" s="43"/>
    </row>
    <row r="727">
      <c r="A727" s="40"/>
      <c r="B727" s="33" t="s">
        <v>7693</v>
      </c>
      <c r="C727" s="42">
        <v>4396.0</v>
      </c>
      <c r="D727" s="33" t="s">
        <v>7696</v>
      </c>
      <c r="E727" s="74"/>
      <c r="F727" s="46" t="s">
        <v>1348</v>
      </c>
      <c r="G727" s="75"/>
      <c r="H727" s="96" t="str">
        <f>HYPERLINK("http://mirror.ff7data.com.ar/ff7/data/minigame/chocobo.lgp/pm.tex.png","View Picture")</f>
        <v>View Picture</v>
      </c>
      <c r="K727" s="43"/>
    </row>
    <row r="728">
      <c r="A728" s="40"/>
      <c r="B728" s="33" t="s">
        <v>7706</v>
      </c>
      <c r="C728" s="42">
        <v>1324.0</v>
      </c>
      <c r="D728" s="33" t="s">
        <v>7484</v>
      </c>
      <c r="E728" s="74"/>
      <c r="F728" s="46" t="s">
        <v>1348</v>
      </c>
      <c r="G728" s="46" t="s">
        <v>7711</v>
      </c>
      <c r="H728" s="96" t="str">
        <f>HYPERLINK("http://mirror.ff7data.com.ar/ff7/data/minigame/chocobo.lgp/pn.tex.png","View Picture")</f>
        <v>View Picture</v>
      </c>
      <c r="K728" s="43"/>
    </row>
    <row r="729">
      <c r="A729" s="40"/>
      <c r="B729" s="33" t="s">
        <v>7719</v>
      </c>
      <c r="C729" s="42">
        <v>1324.0</v>
      </c>
      <c r="D729" s="33" t="s">
        <v>7490</v>
      </c>
      <c r="E729" s="74"/>
      <c r="F729" s="46" t="s">
        <v>1348</v>
      </c>
      <c r="G729" s="46" t="s">
        <v>7711</v>
      </c>
      <c r="H729" s="96" t="str">
        <f>HYPERLINK("http://mirror.ff7data.com.ar/ff7/data/minigame/chocobo.lgp/po.tex.png","View Picture")</f>
        <v>View Picture</v>
      </c>
      <c r="K729" s="43"/>
    </row>
    <row r="730">
      <c r="A730" s="40"/>
      <c r="B730" s="33" t="s">
        <v>7730</v>
      </c>
      <c r="C730" s="42">
        <v>1324.0</v>
      </c>
      <c r="D730" s="33" t="s">
        <v>7493</v>
      </c>
      <c r="E730" s="74"/>
      <c r="F730" s="46" t="s">
        <v>1348</v>
      </c>
      <c r="G730" s="46" t="s">
        <v>7711</v>
      </c>
      <c r="H730" s="96" t="str">
        <f>HYPERLINK("http://mirror.ff7data.com.ar/ff7/data/minigame/chocobo.lgp/pp.tex.png","View Picture")</f>
        <v>View Picture</v>
      </c>
      <c r="K730" s="43"/>
    </row>
    <row r="731">
      <c r="A731" s="40"/>
      <c r="B731" s="33" t="s">
        <v>7741</v>
      </c>
      <c r="C731" s="42">
        <v>1324.0</v>
      </c>
      <c r="D731" s="33" t="s">
        <v>7496</v>
      </c>
      <c r="E731" s="74"/>
      <c r="F731" s="46" t="s">
        <v>1348</v>
      </c>
      <c r="G731" s="46" t="s">
        <v>7711</v>
      </c>
      <c r="H731" s="96" t="str">
        <f>HYPERLINK("http://mirror.ff7data.com.ar/ff7/data/minigame/chocobo.lgp/pq.tex.png","View Picture")</f>
        <v>View Picture</v>
      </c>
      <c r="K731" s="43"/>
    </row>
    <row r="732">
      <c r="A732" s="40"/>
      <c r="B732" s="33" t="s">
        <v>7753</v>
      </c>
      <c r="C732" s="42">
        <v>1324.0</v>
      </c>
      <c r="D732" s="33" t="s">
        <v>7499</v>
      </c>
      <c r="E732" s="74"/>
      <c r="F732" s="46" t="s">
        <v>1348</v>
      </c>
      <c r="G732" s="46" t="s">
        <v>7711</v>
      </c>
      <c r="H732" s="96" t="str">
        <f>HYPERLINK("http://mirror.ff7data.com.ar/ff7/data/minigame/chocobo.lgp/pr.tex.png","View Picture")</f>
        <v>View Picture</v>
      </c>
      <c r="K732" s="43"/>
    </row>
    <row r="733">
      <c r="A733" s="40"/>
      <c r="B733" s="33" t="s">
        <v>7768</v>
      </c>
      <c r="C733" s="42">
        <v>1324.0</v>
      </c>
      <c r="D733" s="33" t="s">
        <v>7503</v>
      </c>
      <c r="E733" s="74"/>
      <c r="F733" s="46" t="s">
        <v>1348</v>
      </c>
      <c r="G733" s="46" t="s">
        <v>7711</v>
      </c>
      <c r="H733" s="96" t="str">
        <f>HYPERLINK("http://mirror.ff7data.com.ar/ff7/data/minigame/chocobo.lgp/ps.tex.png","View Picture")</f>
        <v>View Picture</v>
      </c>
      <c r="K733" s="43"/>
    </row>
    <row r="734">
      <c r="A734" s="40"/>
      <c r="B734" s="33" t="s">
        <v>7775</v>
      </c>
      <c r="C734" s="42">
        <v>1324.0</v>
      </c>
      <c r="D734" s="33" t="s">
        <v>7506</v>
      </c>
      <c r="E734" s="74"/>
      <c r="F734" s="46" t="s">
        <v>1348</v>
      </c>
      <c r="G734" s="46" t="s">
        <v>7711</v>
      </c>
      <c r="H734" s="96" t="str">
        <f>HYPERLINK("http://mirror.ff7data.com.ar/ff7/data/minigame/chocobo.lgp/pt.tex.png","View Picture")</f>
        <v>View Picture</v>
      </c>
      <c r="K734" s="43"/>
    </row>
    <row r="735">
      <c r="A735" s="40"/>
      <c r="B735" s="33" t="s">
        <v>7781</v>
      </c>
      <c r="C735" s="42">
        <v>1324.0</v>
      </c>
      <c r="D735" s="33" t="s">
        <v>7509</v>
      </c>
      <c r="E735" s="74"/>
      <c r="F735" s="46" t="s">
        <v>1348</v>
      </c>
      <c r="G735" s="46" t="s">
        <v>7711</v>
      </c>
      <c r="H735" s="96" t="str">
        <f>HYPERLINK("http://mirror.ff7data.com.ar/ff7/data/minigame/chocobo.lgp/pu.tex.png","View Picture")</f>
        <v>View Picture</v>
      </c>
      <c r="K735" s="43"/>
    </row>
    <row r="736">
      <c r="A736" s="40"/>
      <c r="B736" s="33" t="s">
        <v>7790</v>
      </c>
      <c r="C736" s="42">
        <v>1324.0</v>
      </c>
      <c r="D736" s="33" t="s">
        <v>7512</v>
      </c>
      <c r="E736" s="74"/>
      <c r="F736" s="46" t="s">
        <v>1348</v>
      </c>
      <c r="G736" s="46" t="s">
        <v>7711</v>
      </c>
      <c r="H736" s="96" t="str">
        <f>HYPERLINK("http://mirror.ff7data.com.ar/ff7/data/minigame/chocobo.lgp/pv.tex.png","View Picture")</f>
        <v>View Picture</v>
      </c>
      <c r="K736" s="43"/>
    </row>
    <row r="737">
      <c r="A737" s="40"/>
      <c r="B737" s="33" t="s">
        <v>7799</v>
      </c>
      <c r="C737" s="42">
        <v>1324.0</v>
      </c>
      <c r="D737" s="33" t="s">
        <v>7515</v>
      </c>
      <c r="E737" s="74"/>
      <c r="F737" s="46" t="s">
        <v>1348</v>
      </c>
      <c r="G737" s="46" t="s">
        <v>7711</v>
      </c>
      <c r="H737" s="96" t="str">
        <f>HYPERLINK("http://mirror.ff7data.com.ar/ff7/data/minigame/chocobo.lgp/pw.tex.png","View Picture")</f>
        <v>View Picture</v>
      </c>
      <c r="K737" s="43"/>
    </row>
    <row r="738">
      <c r="A738" s="40"/>
      <c r="B738" s="33" t="s">
        <v>7806</v>
      </c>
      <c r="C738" s="42">
        <v>1324.0</v>
      </c>
      <c r="D738" s="33" t="s">
        <v>7518</v>
      </c>
      <c r="E738" s="74"/>
      <c r="F738" s="46" t="s">
        <v>1348</v>
      </c>
      <c r="G738" s="46" t="s">
        <v>7711</v>
      </c>
      <c r="H738" s="96" t="str">
        <f>HYPERLINK("http://mirror.ff7data.com.ar/ff7/data/minigame/chocobo.lgp/px.tex.png","View Picture")</f>
        <v>View Picture</v>
      </c>
      <c r="K738" s="43"/>
    </row>
    <row r="739">
      <c r="A739" s="40"/>
      <c r="B739" s="33" t="s">
        <v>7816</v>
      </c>
      <c r="C739" s="42">
        <v>1324.0</v>
      </c>
      <c r="D739" s="33" t="s">
        <v>7521</v>
      </c>
      <c r="E739" s="74"/>
      <c r="F739" s="46" t="s">
        <v>1348</v>
      </c>
      <c r="G739" s="46" t="s">
        <v>7711</v>
      </c>
      <c r="H739" s="96" t="str">
        <f>HYPERLINK("http://mirror.ff7data.com.ar/ff7/data/minigame/chocobo.lgp/py.tex.png","View Picture")</f>
        <v>View Picture</v>
      </c>
      <c r="K739" s="43"/>
    </row>
    <row r="740">
      <c r="A740" s="40"/>
      <c r="B740" s="33" t="s">
        <v>7827</v>
      </c>
      <c r="C740" s="42">
        <v>1324.0</v>
      </c>
      <c r="D740" s="33" t="s">
        <v>7523</v>
      </c>
      <c r="E740" s="74"/>
      <c r="F740" s="46" t="s">
        <v>1348</v>
      </c>
      <c r="G740" s="46" t="s">
        <v>7711</v>
      </c>
      <c r="H740" s="96" t="str">
        <f>HYPERLINK("http://mirror.ff7data.com.ar/ff7/data/minigame/chocobo.lgp/pz.tex.png","View Picture")</f>
        <v>View Picture</v>
      </c>
      <c r="K740" s="43"/>
    </row>
    <row r="741">
      <c r="A741" s="40"/>
      <c r="B741" s="33" t="s">
        <v>7836</v>
      </c>
      <c r="C741" s="42">
        <v>1324.0</v>
      </c>
      <c r="D741" s="33" t="s">
        <v>7526</v>
      </c>
      <c r="E741" s="74"/>
      <c r="F741" s="46" t="s">
        <v>1348</v>
      </c>
      <c r="G741" s="46" t="s">
        <v>7711</v>
      </c>
      <c r="H741" s="96" t="str">
        <f>HYPERLINK("http://mirror.ff7data.com.ar/ff7/data/minigame/chocobo.lgp/qa.tex.png","View Picture")</f>
        <v>View Picture</v>
      </c>
      <c r="K741" s="43"/>
    </row>
    <row r="742">
      <c r="A742" s="40"/>
      <c r="B742" s="33" t="s">
        <v>7845</v>
      </c>
      <c r="C742" s="42">
        <v>1324.0</v>
      </c>
      <c r="D742" s="33" t="s">
        <v>7530</v>
      </c>
      <c r="E742" s="74"/>
      <c r="F742" s="46" t="s">
        <v>1348</v>
      </c>
      <c r="G742" s="46" t="s">
        <v>7711</v>
      </c>
      <c r="H742" s="96" t="str">
        <f>HYPERLINK("http://mirror.ff7data.com.ar/ff7/data/minigame/chocobo.lgp/qb.tex.png","View Picture")</f>
        <v>View Picture</v>
      </c>
      <c r="K742" s="43"/>
    </row>
    <row r="743">
      <c r="A743" s="40"/>
      <c r="B743" s="33" t="s">
        <v>7856</v>
      </c>
      <c r="C743" s="42">
        <v>1324.0</v>
      </c>
      <c r="D743" s="33" t="s">
        <v>7535</v>
      </c>
      <c r="E743" s="74"/>
      <c r="F743" s="46" t="s">
        <v>1348</v>
      </c>
      <c r="G743" s="46" t="s">
        <v>7711</v>
      </c>
      <c r="H743" s="96" t="str">
        <f>HYPERLINK("http://mirror.ff7data.com.ar/ff7/data/minigame/chocobo.lgp/qc.tex.png","View Picture")</f>
        <v>View Picture</v>
      </c>
      <c r="K743" s="43"/>
    </row>
    <row r="744">
      <c r="A744" s="40"/>
      <c r="B744" s="33" t="s">
        <v>7866</v>
      </c>
      <c r="C744" s="42">
        <v>1324.0</v>
      </c>
      <c r="D744" s="33" t="s">
        <v>7538</v>
      </c>
      <c r="E744" s="74"/>
      <c r="F744" s="46" t="s">
        <v>1348</v>
      </c>
      <c r="G744" s="46" t="s">
        <v>7711</v>
      </c>
      <c r="H744" s="96" t="str">
        <f>HYPERLINK("http://mirror.ff7data.com.ar/ff7/data/minigame/chocobo.lgp/qd.tex.png","View Picture")</f>
        <v>View Picture</v>
      </c>
      <c r="K744" s="43"/>
    </row>
    <row r="745">
      <c r="A745" s="40"/>
      <c r="B745" s="33" t="s">
        <v>7873</v>
      </c>
      <c r="C745" s="42">
        <v>1324.0</v>
      </c>
      <c r="D745" s="33" t="s">
        <v>7542</v>
      </c>
      <c r="E745" s="74"/>
      <c r="F745" s="46" t="s">
        <v>1348</v>
      </c>
      <c r="G745" s="46" t="s">
        <v>7711</v>
      </c>
      <c r="H745" s="96" t="str">
        <f>HYPERLINK("http://mirror.ff7data.com.ar/ff7/data/minigame/chocobo.lgp/qe.tex.png","View Picture")</f>
        <v>View Picture</v>
      </c>
      <c r="K745" s="43"/>
    </row>
    <row r="746">
      <c r="A746" s="40"/>
      <c r="B746" s="33" t="s">
        <v>7880</v>
      </c>
      <c r="C746" s="42">
        <v>1324.0</v>
      </c>
      <c r="D746" s="33" t="s">
        <v>7545</v>
      </c>
      <c r="E746" s="74"/>
      <c r="F746" s="46" t="s">
        <v>1348</v>
      </c>
      <c r="G746" s="46" t="s">
        <v>7711</v>
      </c>
      <c r="H746" s="96" t="str">
        <f>HYPERLINK("http://mirror.ff7data.com.ar/ff7/data/minigame/chocobo.lgp/qf.tex.png","View Picture")</f>
        <v>View Picture</v>
      </c>
      <c r="K746" s="43"/>
    </row>
    <row r="747">
      <c r="A747" s="40"/>
      <c r="B747" s="33" t="s">
        <v>7888</v>
      </c>
      <c r="C747" s="42">
        <v>1324.0</v>
      </c>
      <c r="D747" s="33" t="s">
        <v>7549</v>
      </c>
      <c r="E747" s="74"/>
      <c r="F747" s="46" t="s">
        <v>1348</v>
      </c>
      <c r="G747" s="46" t="s">
        <v>7711</v>
      </c>
      <c r="H747" s="96" t="str">
        <f>HYPERLINK("http://mirror.ff7data.com.ar/ff7/data/minigame/chocobo.lgp/qg.tex.png","View Picture")</f>
        <v>View Picture</v>
      </c>
      <c r="K747" s="43"/>
    </row>
    <row r="748">
      <c r="A748" s="40"/>
      <c r="B748" s="33" t="s">
        <v>7897</v>
      </c>
      <c r="C748" s="42">
        <v>1324.0</v>
      </c>
      <c r="D748" s="33" t="s">
        <v>7552</v>
      </c>
      <c r="E748" s="74"/>
      <c r="F748" s="46" t="s">
        <v>1348</v>
      </c>
      <c r="G748" s="46" t="s">
        <v>7711</v>
      </c>
      <c r="H748" s="96" t="str">
        <f>HYPERLINK("http://mirror.ff7data.com.ar/ff7/data/minigame/chocobo.lgp/qh.tex.png","View Picture")</f>
        <v>View Picture</v>
      </c>
      <c r="K748" s="43"/>
    </row>
    <row r="749">
      <c r="A749" s="40"/>
      <c r="B749" s="33" t="s">
        <v>7906</v>
      </c>
      <c r="C749" s="42">
        <v>1324.0</v>
      </c>
      <c r="D749" s="33" t="s">
        <v>7555</v>
      </c>
      <c r="E749" s="74"/>
      <c r="F749" s="46" t="s">
        <v>1348</v>
      </c>
      <c r="G749" s="46" t="s">
        <v>7711</v>
      </c>
      <c r="H749" s="96" t="str">
        <f>HYPERLINK("http://mirror.ff7data.com.ar/ff7/data/minigame/chocobo.lgp/qi.tex.png","View Picture")</f>
        <v>View Picture</v>
      </c>
      <c r="K749" s="43"/>
    </row>
    <row r="750">
      <c r="A750" s="40"/>
      <c r="B750" s="33" t="s">
        <v>7915</v>
      </c>
      <c r="C750" s="42">
        <v>1324.0</v>
      </c>
      <c r="D750" s="33" t="s">
        <v>7558</v>
      </c>
      <c r="E750" s="74"/>
      <c r="F750" s="46" t="s">
        <v>1348</v>
      </c>
      <c r="G750" s="46" t="s">
        <v>7711</v>
      </c>
      <c r="H750" s="96" t="str">
        <f>HYPERLINK("http://mirror.ff7data.com.ar/ff7/data/minigame/chocobo.lgp/qj.tex.png","View Picture")</f>
        <v>View Picture</v>
      </c>
      <c r="K750" s="43"/>
    </row>
    <row r="751">
      <c r="A751" s="40"/>
      <c r="B751" s="33" t="s">
        <v>7922</v>
      </c>
      <c r="C751" s="42">
        <v>1324.0</v>
      </c>
      <c r="D751" s="33" t="s">
        <v>7562</v>
      </c>
      <c r="E751" s="74"/>
      <c r="F751" s="46" t="s">
        <v>1348</v>
      </c>
      <c r="G751" s="46" t="s">
        <v>7711</v>
      </c>
      <c r="H751" s="96" t="str">
        <f>HYPERLINK("http://mirror.ff7data.com.ar/ff7/data/minigame/chocobo.lgp/qk.tex.png","View Picture")</f>
        <v>View Picture</v>
      </c>
      <c r="K751" s="43"/>
    </row>
    <row r="752">
      <c r="A752" s="40"/>
      <c r="B752" s="33" t="s">
        <v>7930</v>
      </c>
      <c r="C752" s="42">
        <v>1324.0</v>
      </c>
      <c r="D752" s="33" t="s">
        <v>7503</v>
      </c>
      <c r="E752" s="74"/>
      <c r="F752" s="46" t="s">
        <v>1348</v>
      </c>
      <c r="G752" s="46" t="s">
        <v>7711</v>
      </c>
      <c r="H752" s="96" t="str">
        <f>HYPERLINK("http://mirror.ff7data.com.ar/ff7/data/minigame/chocobo.lgp/ql.tex.png","View Picture")</f>
        <v>View Picture</v>
      </c>
      <c r="K752" s="43"/>
    </row>
    <row r="753">
      <c r="A753" s="40"/>
      <c r="B753" s="33" t="s">
        <v>7938</v>
      </c>
      <c r="C753" s="42">
        <v>1324.0</v>
      </c>
      <c r="D753" s="33" t="s">
        <v>7569</v>
      </c>
      <c r="E753" s="74"/>
      <c r="F753" s="46" t="s">
        <v>1348</v>
      </c>
      <c r="G753" s="46" t="s">
        <v>7711</v>
      </c>
      <c r="H753" s="96" t="str">
        <f>HYPERLINK("http://mirror.ff7data.com.ar/ff7/data/minigame/chocobo.lgp/qm.tex.png","View Picture")</f>
        <v>View Picture</v>
      </c>
      <c r="K753" s="43"/>
    </row>
    <row r="754">
      <c r="A754" s="40"/>
      <c r="B754" s="33" t="s">
        <v>7944</v>
      </c>
      <c r="C754" s="42">
        <v>1324.0</v>
      </c>
      <c r="D754" s="33" t="s">
        <v>7530</v>
      </c>
      <c r="E754" s="74"/>
      <c r="F754" s="46" t="s">
        <v>1348</v>
      </c>
      <c r="G754" s="46" t="s">
        <v>7711</v>
      </c>
      <c r="H754" s="96" t="str">
        <f>HYPERLINK("http://mirror.ff7data.com.ar/ff7/data/minigame/chocobo.lgp/qn.tex.png","View Picture")</f>
        <v>View Picture</v>
      </c>
      <c r="K754" s="43"/>
    </row>
    <row r="755">
      <c r="A755" s="40"/>
      <c r="B755" s="33" t="s">
        <v>7953</v>
      </c>
      <c r="C755" s="42">
        <v>1324.0</v>
      </c>
      <c r="D755" s="33" t="s">
        <v>7573</v>
      </c>
      <c r="E755" s="74"/>
      <c r="F755" s="46" t="s">
        <v>1348</v>
      </c>
      <c r="G755" s="46" t="s">
        <v>7711</v>
      </c>
      <c r="H755" s="96" t="str">
        <f>HYPERLINK("http://mirror.ff7data.com.ar/ff7/data/minigame/chocobo.lgp/qo.tex.png","View Picture")</f>
        <v>View Picture</v>
      </c>
      <c r="K755" s="43"/>
    </row>
    <row r="756">
      <c r="A756" s="40"/>
      <c r="B756" s="33" t="s">
        <v>7962</v>
      </c>
      <c r="C756" s="42">
        <v>1324.0</v>
      </c>
      <c r="D756" s="33" t="s">
        <v>7578</v>
      </c>
      <c r="E756" s="74"/>
      <c r="F756" s="46" t="s">
        <v>1348</v>
      </c>
      <c r="G756" s="46" t="s">
        <v>7711</v>
      </c>
      <c r="H756" s="96" t="str">
        <f>HYPERLINK("http://mirror.ff7data.com.ar/ff7/data/minigame/chocobo.lgp/qp.tex.png","View Picture")</f>
        <v>View Picture</v>
      </c>
      <c r="K756" s="43"/>
    </row>
    <row r="757">
      <c r="A757" s="40"/>
      <c r="B757" s="33" t="s">
        <v>7971</v>
      </c>
      <c r="C757" s="42">
        <v>1324.0</v>
      </c>
      <c r="D757" s="33" t="s">
        <v>7582</v>
      </c>
      <c r="E757" s="74"/>
      <c r="F757" s="46" t="s">
        <v>1348</v>
      </c>
      <c r="G757" s="46" t="s">
        <v>7711</v>
      </c>
      <c r="H757" s="96" t="str">
        <f>HYPERLINK("http://mirror.ff7data.com.ar/ff7/data/minigame/chocobo.lgp/qq.tex.png","View Picture")</f>
        <v>View Picture</v>
      </c>
      <c r="K757" s="43"/>
    </row>
    <row r="758">
      <c r="A758" s="40"/>
      <c r="B758" s="33" t="s">
        <v>7979</v>
      </c>
      <c r="C758" s="42">
        <v>1324.0</v>
      </c>
      <c r="D758" s="33" t="s">
        <v>7585</v>
      </c>
      <c r="E758" s="74"/>
      <c r="F758" s="46" t="s">
        <v>1348</v>
      </c>
      <c r="G758" s="46" t="s">
        <v>7711</v>
      </c>
      <c r="H758" s="96" t="str">
        <f>HYPERLINK("http://mirror.ff7data.com.ar/ff7/data/minigame/chocobo.lgp/qr.tex.png","View Picture")</f>
        <v>View Picture</v>
      </c>
      <c r="K758" s="43"/>
    </row>
    <row r="759">
      <c r="A759" s="40"/>
      <c r="B759" s="33" t="s">
        <v>7988</v>
      </c>
      <c r="C759" s="42">
        <v>1324.0</v>
      </c>
      <c r="D759" s="33" t="s">
        <v>7590</v>
      </c>
      <c r="E759" s="74"/>
      <c r="F759" s="46" t="s">
        <v>1348</v>
      </c>
      <c r="G759" s="46" t="s">
        <v>7711</v>
      </c>
      <c r="H759" s="96" t="str">
        <f>HYPERLINK("http://mirror.ff7data.com.ar/ff7/data/minigame/chocobo.lgp/qs.tex.png","View Picture")</f>
        <v>View Picture</v>
      </c>
      <c r="K759" s="43"/>
    </row>
    <row r="760">
      <c r="A760" s="40"/>
      <c r="B760" s="33" t="s">
        <v>7996</v>
      </c>
      <c r="C760" s="42">
        <v>1324.0</v>
      </c>
      <c r="D760" s="33" t="s">
        <v>7593</v>
      </c>
      <c r="E760" s="74"/>
      <c r="F760" s="46" t="s">
        <v>1348</v>
      </c>
      <c r="G760" s="46" t="s">
        <v>7711</v>
      </c>
      <c r="H760" s="96" t="str">
        <f>HYPERLINK("http://mirror.ff7data.com.ar/ff7/data/minigame/chocobo.lgp/qt.tex.png","View Picture")</f>
        <v>View Picture</v>
      </c>
      <c r="K760" s="43"/>
    </row>
    <row r="761">
      <c r="A761" s="40"/>
      <c r="B761" s="33" t="s">
        <v>8008</v>
      </c>
      <c r="C761" s="42">
        <v>2348.0</v>
      </c>
      <c r="D761" s="33" t="s">
        <v>7598</v>
      </c>
      <c r="E761" s="74"/>
      <c r="F761" s="46" t="s">
        <v>1348</v>
      </c>
      <c r="G761" s="46" t="s">
        <v>7711</v>
      </c>
      <c r="H761" s="96" t="str">
        <f>HYPERLINK("http://mirror.ff7data.com.ar/ff7/data/minigame/chocobo.lgp/qu.tex.png","View Picture")</f>
        <v>View Picture</v>
      </c>
      <c r="K761" s="43"/>
    </row>
    <row r="762">
      <c r="A762" s="40"/>
      <c r="B762" s="33" t="s">
        <v>8017</v>
      </c>
      <c r="C762" s="42">
        <v>2348.0</v>
      </c>
      <c r="D762" s="33" t="s">
        <v>7604</v>
      </c>
      <c r="E762" s="74"/>
      <c r="F762" s="46" t="s">
        <v>1348</v>
      </c>
      <c r="G762" s="46" t="s">
        <v>7711</v>
      </c>
      <c r="H762" s="96" t="str">
        <f>HYPERLINK("http://mirror.ff7data.com.ar/ff7/data/minigame/chocobo.lgp/qv.tex.png","View Picture")</f>
        <v>View Picture</v>
      </c>
      <c r="K762" s="43"/>
    </row>
    <row r="763">
      <c r="A763" s="40"/>
      <c r="B763" s="33" t="s">
        <v>8027</v>
      </c>
      <c r="C763" s="42">
        <v>1324.0</v>
      </c>
      <c r="D763" s="33" t="s">
        <v>7613</v>
      </c>
      <c r="E763" s="74"/>
      <c r="F763" s="46" t="s">
        <v>1348</v>
      </c>
      <c r="G763" s="46" t="s">
        <v>7711</v>
      </c>
      <c r="H763" s="96" t="str">
        <f>HYPERLINK("http://mirror.ff7data.com.ar/ff7/data/minigame/chocobo.lgp/qw.tex.png","View Picture")</f>
        <v>View Picture</v>
      </c>
      <c r="K763" s="43"/>
    </row>
    <row r="764">
      <c r="A764" s="40"/>
      <c r="B764" s="33" t="s">
        <v>8039</v>
      </c>
      <c r="C764" s="42">
        <v>1324.0</v>
      </c>
      <c r="D764" s="33" t="s">
        <v>7626</v>
      </c>
      <c r="E764" s="74"/>
      <c r="F764" s="46" t="s">
        <v>1348</v>
      </c>
      <c r="G764" s="46" t="s">
        <v>7711</v>
      </c>
      <c r="H764" s="96" t="str">
        <f>HYPERLINK("http://mirror.ff7data.com.ar/ff7/data/minigame/chocobo.lgp/qx.tex.png","View Picture")</f>
        <v>View Picture</v>
      </c>
      <c r="K764" s="43"/>
    </row>
    <row r="765">
      <c r="A765" s="40"/>
      <c r="B765" s="33" t="s">
        <v>8048</v>
      </c>
      <c r="C765" s="42">
        <v>1324.0</v>
      </c>
      <c r="D765" s="33" t="s">
        <v>7636</v>
      </c>
      <c r="E765" s="74"/>
      <c r="F765" s="46" t="s">
        <v>1348</v>
      </c>
      <c r="G765" s="46" t="s">
        <v>7711</v>
      </c>
      <c r="H765" s="96" t="str">
        <f>HYPERLINK("http://mirror.ff7data.com.ar/ff7/data/minigame/chocobo.lgp/qy.tex.png","View Picture")</f>
        <v>View Picture</v>
      </c>
      <c r="K765" s="43"/>
    </row>
    <row r="766">
      <c r="A766" s="40"/>
      <c r="B766" s="33" t="s">
        <v>8057</v>
      </c>
      <c r="C766" s="42">
        <v>1324.0</v>
      </c>
      <c r="D766" s="33" t="s">
        <v>7535</v>
      </c>
      <c r="E766" s="74"/>
      <c r="F766" s="46" t="s">
        <v>1348</v>
      </c>
      <c r="G766" s="46" t="s">
        <v>7711</v>
      </c>
      <c r="H766" s="96" t="str">
        <f>HYPERLINK("http://mirror.ff7data.com.ar/ff7/data/minigame/chocobo.lgp/qz.tex.png","View Picture")</f>
        <v>View Picture</v>
      </c>
      <c r="K766" s="43"/>
    </row>
    <row r="767">
      <c r="A767" s="40"/>
      <c r="B767" s="33" t="s">
        <v>8066</v>
      </c>
      <c r="C767" s="42">
        <v>1324.0</v>
      </c>
      <c r="D767" s="33" t="s">
        <v>7660</v>
      </c>
      <c r="E767" s="74"/>
      <c r="F767" s="46" t="s">
        <v>1348</v>
      </c>
      <c r="G767" s="46" t="s">
        <v>7711</v>
      </c>
      <c r="H767" s="96" t="str">
        <f>HYPERLINK("http://mirror.ff7data.com.ar/ff7/data/minigame/chocobo.lgp/ra.tex.png","View Picture")</f>
        <v>View Picture</v>
      </c>
      <c r="K767" s="43"/>
    </row>
    <row r="768">
      <c r="A768" s="40"/>
      <c r="B768" s="33" t="s">
        <v>8073</v>
      </c>
      <c r="C768" s="42">
        <v>1324.0</v>
      </c>
      <c r="D768" s="33" t="s">
        <v>7670</v>
      </c>
      <c r="E768" s="74"/>
      <c r="F768" s="46" t="s">
        <v>1348</v>
      </c>
      <c r="G768" s="46" t="s">
        <v>7711</v>
      </c>
      <c r="H768" s="96" t="str">
        <f>HYPERLINK("http://mirror.ff7data.com.ar/ff7/data/minigame/chocobo.lgp/rb.tex.png","View Picture")</f>
        <v>View Picture</v>
      </c>
      <c r="K768" s="43"/>
    </row>
    <row r="769">
      <c r="A769" s="40"/>
      <c r="B769" s="33" t="s">
        <v>8082</v>
      </c>
      <c r="C769" s="42">
        <v>1324.0</v>
      </c>
      <c r="D769" s="33" t="s">
        <v>7681</v>
      </c>
      <c r="E769" s="74"/>
      <c r="F769" s="46" t="s">
        <v>1348</v>
      </c>
      <c r="G769" s="46" t="s">
        <v>7711</v>
      </c>
      <c r="H769" s="96" t="str">
        <f>HYPERLINK("http://mirror.ff7data.com.ar/ff7/data/minigame/chocobo.lgp/rc.tex.png","View Picture")</f>
        <v>View Picture</v>
      </c>
      <c r="K769" s="43"/>
    </row>
    <row r="770">
      <c r="A770" s="40"/>
      <c r="B770" s="33" t="s">
        <v>8089</v>
      </c>
      <c r="C770" s="42">
        <v>1324.0</v>
      </c>
      <c r="D770" s="33" t="s">
        <v>7696</v>
      </c>
      <c r="E770" s="74"/>
      <c r="F770" s="46" t="s">
        <v>1348</v>
      </c>
      <c r="G770" s="46" t="s">
        <v>7711</v>
      </c>
      <c r="H770" s="96" t="str">
        <f>HYPERLINK("http://mirror.ff7data.com.ar/ff7/data/minigame/chocobo.lgp/rd.tex.png","View Picture")</f>
        <v>View Picture</v>
      </c>
      <c r="K770" s="43"/>
    </row>
    <row r="771">
      <c r="A771" s="40"/>
      <c r="B771" s="33" t="s">
        <v>8097</v>
      </c>
      <c r="C771" s="42">
        <v>5356.0</v>
      </c>
      <c r="D771" s="33" t="s">
        <v>1540</v>
      </c>
      <c r="E771" s="74"/>
      <c r="F771" s="46" t="s">
        <v>1348</v>
      </c>
      <c r="G771" s="46" t="s">
        <v>7711</v>
      </c>
      <c r="H771" s="96" t="str">
        <f>HYPERLINK("http://mirror.ff7data.com.ar/ff7/data/minigame/chocobo.lgp/re.tex.png","View Picture")</f>
        <v>View Picture</v>
      </c>
      <c r="K771" s="43"/>
    </row>
    <row r="772">
      <c r="A772" s="40"/>
      <c r="B772" s="33" t="s">
        <v>8105</v>
      </c>
      <c r="C772" s="42">
        <v>5356.0</v>
      </c>
      <c r="D772" s="33" t="s">
        <v>1576</v>
      </c>
      <c r="E772" s="74"/>
      <c r="F772" s="46" t="s">
        <v>1348</v>
      </c>
      <c r="G772" s="46" t="s">
        <v>7711</v>
      </c>
      <c r="H772" s="96" t="str">
        <f>HYPERLINK("http://mirror.ff7data.com.ar/ff7/data/minigame/chocobo.lgp/rf.tex.png","View Picture")</f>
        <v>View Picture</v>
      </c>
      <c r="K772" s="43"/>
    </row>
    <row r="773">
      <c r="A773" s="40"/>
      <c r="B773" s="33" t="s">
        <v>8114</v>
      </c>
      <c r="C773" s="42">
        <v>33068.0</v>
      </c>
      <c r="D773" s="33" t="s">
        <v>8116</v>
      </c>
      <c r="E773" s="74"/>
      <c r="F773" s="46" t="s">
        <v>1348</v>
      </c>
      <c r="G773" s="46" t="s">
        <v>7711</v>
      </c>
      <c r="H773" s="96" t="str">
        <f>HYPERLINK("http://mirror.ff7data.com.ar/ff7/data/minigame/chocobo.lgp/rg.tex.png","EN")</f>
        <v>EN</v>
      </c>
      <c r="I773" s="98" t="str">
        <f>HYPERLINK("http://mirror.ff7data.com.ar/ff7/es/chocobo/rg.tex.png","ES")</f>
        <v>ES</v>
      </c>
      <c r="K773" s="43"/>
    </row>
    <row r="774">
      <c r="A774" s="40"/>
      <c r="B774" s="33" t="s">
        <v>8123</v>
      </c>
      <c r="C774" s="42">
        <v>1324.0</v>
      </c>
      <c r="D774" s="33" t="s">
        <v>1709</v>
      </c>
      <c r="E774" s="74"/>
      <c r="F774" s="46" t="s">
        <v>1348</v>
      </c>
      <c r="G774" s="46" t="s">
        <v>7711</v>
      </c>
      <c r="H774" s="96" t="str">
        <f>HYPERLINK("http://mirror.ff7data.com.ar/ff7/data/minigame/chocobo.lgp/rh.tex.png","View Picture")</f>
        <v>View Picture</v>
      </c>
      <c r="K774" s="43"/>
    </row>
    <row r="775">
      <c r="A775" s="40"/>
      <c r="B775" s="33" t="s">
        <v>8132</v>
      </c>
      <c r="C775" s="42">
        <v>5356.0</v>
      </c>
      <c r="D775" s="33" t="s">
        <v>1870</v>
      </c>
      <c r="E775" s="74"/>
      <c r="F775" s="46" t="s">
        <v>1348</v>
      </c>
      <c r="G775" s="46" t="s">
        <v>7711</v>
      </c>
      <c r="H775" s="96" t="str">
        <f>HYPERLINK("http://mirror.ff7data.com.ar/ff7/data/minigame/chocobo.lgp/ri.tex.png","View Picture")</f>
        <v>View Picture</v>
      </c>
      <c r="K775" s="43"/>
    </row>
    <row r="776">
      <c r="A776" s="40"/>
      <c r="B776" s="33" t="s">
        <v>8138</v>
      </c>
      <c r="C776" s="42">
        <v>5356.0</v>
      </c>
      <c r="D776" s="33" t="s">
        <v>1897</v>
      </c>
      <c r="E776" s="74"/>
      <c r="F776" s="46" t="s">
        <v>1348</v>
      </c>
      <c r="G776" s="46" t="s">
        <v>7711</v>
      </c>
      <c r="H776" s="96" t="str">
        <f>HYPERLINK("http://mirror.ff7data.com.ar/ff7/data/minigame/chocobo.lgp/rj.tex.png","View Picture")</f>
        <v>View Picture</v>
      </c>
      <c r="K776" s="43"/>
    </row>
    <row r="777">
      <c r="A777" s="40"/>
      <c r="B777" s="33" t="s">
        <v>8145</v>
      </c>
      <c r="C777" s="42">
        <v>33068.0</v>
      </c>
      <c r="D777" s="33" t="s">
        <v>8146</v>
      </c>
      <c r="E777" s="74"/>
      <c r="F777" s="46" t="s">
        <v>1348</v>
      </c>
      <c r="G777" s="46" t="s">
        <v>7711</v>
      </c>
      <c r="H777" s="96" t="str">
        <f>HYPERLINK("http://mirror.ff7data.com.ar/ff7/data/minigame/chocobo.lgp/rk.tex.png","EN")</f>
        <v>EN</v>
      </c>
      <c r="I777" s="98" t="str">
        <f>HYPERLINK("http://mirror.ff7data.com.ar/ff7/es/chocobo/rk.tex.png","ES")</f>
        <v>ES</v>
      </c>
      <c r="K777" s="43"/>
    </row>
    <row r="778">
      <c r="A778" s="40"/>
      <c r="B778" s="33" t="s">
        <v>8160</v>
      </c>
      <c r="C778" s="42">
        <v>1324.0</v>
      </c>
      <c r="D778" s="33" t="s">
        <v>1997</v>
      </c>
      <c r="E778" s="74"/>
      <c r="F778" s="46" t="s">
        <v>1348</v>
      </c>
      <c r="G778" s="46" t="s">
        <v>7711</v>
      </c>
      <c r="H778" s="96" t="str">
        <f>HYPERLINK("http://mirror.ff7data.com.ar/ff7/data/minigame/chocobo.lgp/rl.tex.png","View Picture")</f>
        <v>View Picture</v>
      </c>
      <c r="K778" s="43"/>
    </row>
    <row r="779">
      <c r="A779" s="40"/>
      <c r="B779" s="33" t="s">
        <v>8169</v>
      </c>
      <c r="C779" s="42">
        <v>5356.0</v>
      </c>
      <c r="D779" s="33" t="s">
        <v>2118</v>
      </c>
      <c r="E779" s="74"/>
      <c r="F779" s="46" t="s">
        <v>1348</v>
      </c>
      <c r="G779" s="46" t="s">
        <v>7711</v>
      </c>
      <c r="H779" s="96" t="str">
        <f>HYPERLINK("http://mirror.ff7data.com.ar/ff7/data/minigame/chocobo.lgp/rm.tex.png","View Picture")</f>
        <v>View Picture</v>
      </c>
      <c r="K779" s="43"/>
    </row>
    <row r="780">
      <c r="A780" s="40"/>
      <c r="B780" s="33" t="s">
        <v>8176</v>
      </c>
      <c r="C780" s="42">
        <v>5356.0</v>
      </c>
      <c r="D780" s="33" t="s">
        <v>2142</v>
      </c>
      <c r="E780" s="74"/>
      <c r="F780" s="46" t="s">
        <v>1348</v>
      </c>
      <c r="G780" s="46" t="s">
        <v>7711</v>
      </c>
      <c r="H780" s="96" t="str">
        <f>HYPERLINK("http://mirror.ff7data.com.ar/ff7/data/minigame/chocobo.lgp/rn.tex.png","View Picture")</f>
        <v>View Picture</v>
      </c>
      <c r="K780" s="43"/>
    </row>
    <row r="781">
      <c r="A781" s="40"/>
      <c r="B781" s="33" t="s">
        <v>8189</v>
      </c>
      <c r="C781" s="42">
        <v>33068.0</v>
      </c>
      <c r="D781" s="33" t="s">
        <v>8190</v>
      </c>
      <c r="E781" s="74"/>
      <c r="F781" s="46" t="s">
        <v>1348</v>
      </c>
      <c r="G781" s="46" t="s">
        <v>7711</v>
      </c>
      <c r="H781" s="96" t="str">
        <f>HYPERLINK("http://mirror.ff7data.com.ar/ff7/data/minigame/chocobo.lgp/ro.tex.png","EN")</f>
        <v>EN</v>
      </c>
      <c r="I781" s="98" t="str">
        <f>HYPERLINK("http://mirror.ff7data.com.ar/ff7/es/chocobo/ro.tex.png","ES")</f>
        <v>ES</v>
      </c>
      <c r="K781" s="43"/>
    </row>
    <row r="782">
      <c r="A782" s="40"/>
      <c r="B782" s="33" t="s">
        <v>8200</v>
      </c>
      <c r="C782" s="42">
        <v>1324.0</v>
      </c>
      <c r="D782" s="33" t="s">
        <v>2234</v>
      </c>
      <c r="E782" s="74"/>
      <c r="F782" s="46" t="s">
        <v>1348</v>
      </c>
      <c r="G782" s="46" t="s">
        <v>7711</v>
      </c>
      <c r="H782" s="96" t="str">
        <f>HYPERLINK("http://mirror.ff7data.com.ar/ff7/data/minigame/chocobo.lgp/rp.tex.png","View Picture")</f>
        <v>View Picture</v>
      </c>
      <c r="K782" s="43"/>
    </row>
    <row r="783">
      <c r="A783" s="40"/>
      <c r="B783" s="33" t="s">
        <v>8207</v>
      </c>
      <c r="C783" s="42">
        <v>5356.0</v>
      </c>
      <c r="D783" s="33" t="s">
        <v>2368</v>
      </c>
      <c r="E783" s="74"/>
      <c r="F783" s="46" t="s">
        <v>1348</v>
      </c>
      <c r="G783" s="46" t="s">
        <v>7711</v>
      </c>
      <c r="H783" s="96" t="str">
        <f>HYPERLINK("http://mirror.ff7data.com.ar/ff7/data/minigame/chocobo.lgp/rq.tex.png","View Picture")</f>
        <v>View Picture</v>
      </c>
      <c r="K783" s="43"/>
    </row>
    <row r="784">
      <c r="A784" s="40"/>
      <c r="B784" s="33" t="s">
        <v>8217</v>
      </c>
      <c r="C784" s="42">
        <v>5356.0</v>
      </c>
      <c r="D784" s="33" t="s">
        <v>2385</v>
      </c>
      <c r="E784" s="74"/>
      <c r="F784" s="46" t="s">
        <v>1348</v>
      </c>
      <c r="G784" s="46" t="s">
        <v>7711</v>
      </c>
      <c r="H784" s="96" t="str">
        <f>HYPERLINK("http://mirror.ff7data.com.ar/ff7/data/minigame/chocobo.lgp/rr.tex.png","View Picture")</f>
        <v>View Picture</v>
      </c>
      <c r="K784" s="43"/>
    </row>
    <row r="785">
      <c r="A785" s="40"/>
      <c r="B785" s="33" t="s">
        <v>8223</v>
      </c>
      <c r="C785" s="42">
        <v>33068.0</v>
      </c>
      <c r="D785" s="33" t="s">
        <v>8225</v>
      </c>
      <c r="E785" s="74"/>
      <c r="F785" s="46" t="s">
        <v>1348</v>
      </c>
      <c r="G785" s="46" t="s">
        <v>7711</v>
      </c>
      <c r="H785" s="96" t="str">
        <f>HYPERLINK("http://mirror.ff7data.com.ar/ff7/data/minigame/chocobo.lgp/rs.tex.png","EN")</f>
        <v>EN</v>
      </c>
      <c r="I785" s="98" t="str">
        <f>HYPERLINK("http://mirror.ff7data.com.ar/ff7/es/chocobo/rs.tex.png","ES")</f>
        <v>ES</v>
      </c>
      <c r="K785" s="43"/>
    </row>
    <row r="786">
      <c r="A786" s="40"/>
      <c r="B786" s="33" t="s">
        <v>8234</v>
      </c>
      <c r="C786" s="42">
        <v>1324.0</v>
      </c>
      <c r="D786" s="33" t="s">
        <v>2457</v>
      </c>
      <c r="E786" s="74"/>
      <c r="F786" s="46" t="s">
        <v>1348</v>
      </c>
      <c r="G786" s="46" t="s">
        <v>7711</v>
      </c>
      <c r="H786" s="96" t="str">
        <f>HYPERLINK("http://mirror.ff7data.com.ar/ff7/data/minigame/chocobo.lgp/rt.tex.png","View Picture")</f>
        <v>View Picture</v>
      </c>
      <c r="K786" s="43"/>
    </row>
    <row r="787">
      <c r="A787" s="40"/>
      <c r="B787" s="33" t="s">
        <v>8243</v>
      </c>
      <c r="C787" s="42">
        <v>65836.0</v>
      </c>
      <c r="D787" s="33" t="s">
        <v>2479</v>
      </c>
      <c r="E787" s="74"/>
      <c r="F787" s="46" t="s">
        <v>1348</v>
      </c>
      <c r="G787" s="46" t="s">
        <v>7711</v>
      </c>
      <c r="H787" s="96" t="str">
        <f>HYPERLINK("http://mirror.ff7data.com.ar/ff7/data/minigame/chocobo.lgp/ru.tex.png","EN")</f>
        <v>EN</v>
      </c>
      <c r="I787" s="98" t="str">
        <f>HYPERLINK("http://mirror.ff7data.com.ar/ff7/es/chocobo/ru.tex.png","ES")</f>
        <v>ES</v>
      </c>
      <c r="K787" s="43"/>
    </row>
    <row r="788">
      <c r="A788" s="40"/>
      <c r="B788" s="33" t="s">
        <v>8254</v>
      </c>
      <c r="C788" s="42">
        <v>2348.0</v>
      </c>
      <c r="D788" s="33" t="s">
        <v>2508</v>
      </c>
      <c r="E788" s="74"/>
      <c r="F788" s="46" t="s">
        <v>1348</v>
      </c>
      <c r="G788" s="46" t="s">
        <v>7711</v>
      </c>
      <c r="H788" s="96" t="str">
        <f>HYPERLINK("http://mirror.ff7data.com.ar/ff7/data/minigame/chocobo.lgp/rv.tex.png","EN")</f>
        <v>EN</v>
      </c>
      <c r="I788" s="98" t="str">
        <f>HYPERLINK("http://mirror.ff7data.com.ar/ff7/es/chocobo/rv.tex.png","ES")</f>
        <v>ES</v>
      </c>
      <c r="K788" s="43"/>
    </row>
    <row r="789">
      <c r="A789" s="40"/>
      <c r="B789" s="33" t="s">
        <v>8266</v>
      </c>
      <c r="C789" s="42">
        <v>8492.0</v>
      </c>
      <c r="D789" s="33" t="s">
        <v>2479</v>
      </c>
      <c r="E789" s="74"/>
      <c r="F789" s="46" t="s">
        <v>1348</v>
      </c>
      <c r="G789" s="46" t="s">
        <v>7711</v>
      </c>
      <c r="H789" s="96" t="str">
        <f>HYPERLINK("http://mirror.ff7data.com.ar/ff7/data/minigame/chocobo.lgp/rw.tex.png","View Picture")</f>
        <v>View Picture</v>
      </c>
      <c r="K789" s="43"/>
    </row>
    <row r="790">
      <c r="A790" s="40"/>
      <c r="B790" s="33" t="s">
        <v>8274</v>
      </c>
      <c r="C790" s="42">
        <v>1388.0</v>
      </c>
      <c r="D790" s="33" t="s">
        <v>2534</v>
      </c>
      <c r="E790" s="74"/>
      <c r="F790" s="46" t="s">
        <v>1348</v>
      </c>
      <c r="G790" s="46" t="s">
        <v>7711</v>
      </c>
      <c r="H790" s="96" t="str">
        <f>HYPERLINK("http://mirror.ff7data.com.ar/ff7/data/minigame/chocobo.lgp/rx.tex.png","View Picture")</f>
        <v>View Picture</v>
      </c>
      <c r="K790" s="43"/>
    </row>
    <row r="791">
      <c r="A791" s="40"/>
      <c r="B791" s="33" t="s">
        <v>8281</v>
      </c>
      <c r="C791" s="42">
        <v>1388.0</v>
      </c>
      <c r="D791" s="33" t="s">
        <v>2552</v>
      </c>
      <c r="E791" s="74"/>
      <c r="F791" s="46" t="s">
        <v>1348</v>
      </c>
      <c r="G791" s="46" t="s">
        <v>7711</v>
      </c>
      <c r="H791" s="96" t="str">
        <f>HYPERLINK("http://mirror.ff7data.com.ar/ff7/data/minigame/chocobo.lgp/ry.tex.png","View Picture")</f>
        <v>View Picture</v>
      </c>
      <c r="K791" s="43"/>
    </row>
    <row r="792">
      <c r="A792" s="40"/>
      <c r="B792" s="33" t="s">
        <v>8288</v>
      </c>
      <c r="C792" s="42">
        <v>8492.0</v>
      </c>
      <c r="D792" s="33" t="s">
        <v>2573</v>
      </c>
      <c r="E792" s="74"/>
      <c r="F792" s="46" t="s">
        <v>1348</v>
      </c>
      <c r="G792" s="46" t="s">
        <v>7711</v>
      </c>
      <c r="H792" s="96" t="str">
        <f>HYPERLINK("http://mirror.ff7data.com.ar/ff7/data/minigame/chocobo.lgp/rz.tex.png","View Picture")</f>
        <v>View Picture</v>
      </c>
      <c r="K792" s="43"/>
    </row>
    <row r="793">
      <c r="A793" s="40"/>
      <c r="B793" s="33" t="s">
        <v>8297</v>
      </c>
      <c r="C793" s="42">
        <v>9068.0</v>
      </c>
      <c r="D793" s="33" t="s">
        <v>2595</v>
      </c>
      <c r="E793" s="74"/>
      <c r="F793" s="46" t="s">
        <v>1348</v>
      </c>
      <c r="G793" s="46" t="s">
        <v>7711</v>
      </c>
      <c r="H793" s="96" t="str">
        <f>HYPERLINK("http://mirror.ff7data.com.ar/ff7/data/minigame/chocobo.lgp/sa.tex.png","View Picture")</f>
        <v>View Picture</v>
      </c>
      <c r="K793" s="43"/>
    </row>
    <row r="794">
      <c r="A794" s="40"/>
      <c r="B794" s="33" t="s">
        <v>8304</v>
      </c>
      <c r="C794" s="42">
        <v>2348.0</v>
      </c>
      <c r="D794" s="33" t="s">
        <v>2634</v>
      </c>
      <c r="E794" s="74"/>
      <c r="F794" s="46" t="s">
        <v>1348</v>
      </c>
      <c r="G794" s="46" t="s">
        <v>7711</v>
      </c>
      <c r="H794" s="96" t="str">
        <f>HYPERLINK("http://mirror.ff7data.com.ar/ff7/data/minigame/chocobo.lgp/sb.tex.png","View Picture")</f>
        <v>View Picture</v>
      </c>
      <c r="K794" s="43"/>
    </row>
    <row r="795">
      <c r="A795" s="40"/>
      <c r="B795" s="33" t="s">
        <v>8311</v>
      </c>
      <c r="C795" s="42">
        <v>2348.0</v>
      </c>
      <c r="D795" s="33" t="s">
        <v>2651</v>
      </c>
      <c r="E795" s="74"/>
      <c r="F795" s="46" t="s">
        <v>1348</v>
      </c>
      <c r="G795" s="46" t="s">
        <v>7711</v>
      </c>
      <c r="H795" s="96" t="str">
        <f>HYPERLINK("http://mirror.ff7data.com.ar/ff7/data/minigame/chocobo.lgp/sc.tex.png","View Picture")</f>
        <v>View Picture</v>
      </c>
      <c r="K795" s="43"/>
    </row>
    <row r="796">
      <c r="A796" s="40"/>
      <c r="B796" s="33" t="s">
        <v>8317</v>
      </c>
      <c r="C796" s="42">
        <v>4396.0</v>
      </c>
      <c r="D796" s="33" t="s">
        <v>2667</v>
      </c>
      <c r="E796" s="74"/>
      <c r="F796" s="46" t="s">
        <v>1348</v>
      </c>
      <c r="G796" s="46" t="s">
        <v>7711</v>
      </c>
      <c r="H796" s="96" t="str">
        <f>HYPERLINK("http://mirror.ff7data.com.ar/ff7/data/minigame/chocobo.lgp/sd.tex.png","EN")</f>
        <v>EN</v>
      </c>
      <c r="I796" s="98" t="str">
        <f>HYPERLINK("http://mirror.ff7data.com.ar/ff7/es/chocobo/sd.tex.png","ES")</f>
        <v>ES</v>
      </c>
      <c r="K796" s="43"/>
    </row>
    <row r="797">
      <c r="A797" s="40"/>
      <c r="B797" s="57" t="s">
        <v>8327</v>
      </c>
      <c r="C797" s="58">
        <v>4396.0</v>
      </c>
      <c r="D797" s="57" t="s">
        <v>2695</v>
      </c>
      <c r="E797" s="19"/>
      <c r="F797" s="61" t="s">
        <v>1348</v>
      </c>
      <c r="G797" s="61" t="s">
        <v>7711</v>
      </c>
      <c r="H797" s="135" t="str">
        <f>HYPERLINK("http://mirror.ff7data.com.ar/ff7/data/minigame/chocobo.lgp/se.tex.png","EN")</f>
        <v>EN</v>
      </c>
      <c r="I797" s="136" t="str">
        <f>HYPERLINK("http://mirror.ff7data.com.ar/ff7/es/se.tex.png","ES")</f>
        <v>ES</v>
      </c>
      <c r="J797" s="19"/>
      <c r="K797" s="64"/>
    </row>
    <row r="798">
      <c r="A798" s="12"/>
      <c r="B798" s="12"/>
      <c r="C798" s="34"/>
      <c r="D798" s="34"/>
      <c r="E798" s="34"/>
      <c r="F798" s="67"/>
      <c r="G798" s="67"/>
      <c r="H798" s="34"/>
      <c r="I798" s="34"/>
      <c r="J798" s="34"/>
      <c r="K798" s="34"/>
    </row>
    <row r="799">
      <c r="A799" s="68"/>
      <c r="B799" s="69" t="s">
        <v>137</v>
      </c>
      <c r="C799" s="70"/>
      <c r="D799" s="19"/>
      <c r="E799" s="19"/>
      <c r="F799" s="71"/>
      <c r="G799" s="71"/>
      <c r="H799" s="19"/>
      <c r="I799" s="19"/>
      <c r="J799" s="19"/>
      <c r="K799" s="19"/>
    </row>
    <row r="800">
      <c r="A800" s="40"/>
      <c r="B800" s="23" t="s">
        <v>8359</v>
      </c>
      <c r="C800" s="24">
        <v>3308.0</v>
      </c>
      <c r="D800" s="23" t="s">
        <v>8360</v>
      </c>
      <c r="E800" s="34"/>
      <c r="F800" s="36" t="s">
        <v>1348</v>
      </c>
      <c r="G800" s="67"/>
      <c r="H800" s="137" t="str">
        <f>HYPERLINK("http://mirror.ff7data.com.ar/ff7/data/minigame/coaster.lgp/beam1.tex.png","View Picture")</f>
        <v>View Picture</v>
      </c>
      <c r="I800" s="34"/>
      <c r="J800" s="34"/>
      <c r="K800" s="38"/>
    </row>
    <row r="801">
      <c r="A801" s="40"/>
      <c r="B801" s="33" t="s">
        <v>8372</v>
      </c>
      <c r="C801" s="42">
        <v>3308.0</v>
      </c>
      <c r="D801" s="33" t="s">
        <v>8373</v>
      </c>
      <c r="E801" s="74"/>
      <c r="F801" s="46" t="s">
        <v>1348</v>
      </c>
      <c r="G801" s="75"/>
      <c r="H801" s="98" t="str">
        <f>HYPERLINK("http://mirror.ff7data.com.ar/ff7/data/minigame/coaster.lgp/beam2.tex.png","View Picture")</f>
        <v>View Picture</v>
      </c>
      <c r="K801" s="43"/>
    </row>
    <row r="802">
      <c r="A802" s="40"/>
      <c r="B802" s="33" t="s">
        <v>8383</v>
      </c>
      <c r="C802" s="42">
        <v>3308.0</v>
      </c>
      <c r="D802" s="33" t="s">
        <v>8385</v>
      </c>
      <c r="E802" s="74"/>
      <c r="F802" s="46" t="s">
        <v>1348</v>
      </c>
      <c r="G802" s="75"/>
      <c r="H802" s="98" t="str">
        <f>HYPERLINK("http://mirror.ff7data.com.ar/ff7/data/minigame/coaster.lgp/beam3.tex.png","View Picture")</f>
        <v>View Picture</v>
      </c>
      <c r="K802" s="43"/>
    </row>
    <row r="803">
      <c r="A803" s="40"/>
      <c r="B803" s="33" t="s">
        <v>8392</v>
      </c>
      <c r="C803" s="42">
        <v>4396.0</v>
      </c>
      <c r="D803" s="33" t="s">
        <v>8394</v>
      </c>
      <c r="E803" s="74"/>
      <c r="F803" s="46" t="s">
        <v>1348</v>
      </c>
      <c r="G803" s="75"/>
      <c r="H803" s="98" t="str">
        <f>HYPERLINK("http://mirror.ff7data.com.ar/ff7/data/minigame/coaster.lgp/co1.tex.png","View Picture")</f>
        <v>View Picture</v>
      </c>
      <c r="K803" s="43"/>
    </row>
    <row r="804">
      <c r="A804" s="40"/>
      <c r="B804" s="33" t="s">
        <v>8400</v>
      </c>
      <c r="C804" s="42">
        <v>4396.0</v>
      </c>
      <c r="D804" s="33" t="s">
        <v>8402</v>
      </c>
      <c r="E804" s="74"/>
      <c r="F804" s="46" t="s">
        <v>1348</v>
      </c>
      <c r="G804" s="75"/>
      <c r="H804" s="98" t="str">
        <f>HYPERLINK("http://mirror.ff7data.com.ar/ff7/data/minigame/coaster.lgp/pause.tex.png","View Picture")</f>
        <v>View Picture</v>
      </c>
      <c r="K804" s="43"/>
    </row>
    <row r="805">
      <c r="A805" s="40"/>
      <c r="B805" s="33" t="s">
        <v>8408</v>
      </c>
      <c r="C805" s="42">
        <v>1324.0</v>
      </c>
      <c r="D805" s="33" t="s">
        <v>8410</v>
      </c>
      <c r="E805" s="74"/>
      <c r="F805" s="46" t="s">
        <v>1348</v>
      </c>
      <c r="G805" s="75"/>
      <c r="H805" s="98" t="str">
        <f>HYPERLINK("http://mirror.ff7data.com.ar/ff7/data/minigame/coaster.lgp/rail.tex.png","View Picture")</f>
        <v>View Picture</v>
      </c>
      <c r="K805" s="43"/>
    </row>
    <row r="806">
      <c r="A806" s="40"/>
      <c r="B806" s="33" t="s">
        <v>8414</v>
      </c>
      <c r="C806" s="42">
        <v>8492.0</v>
      </c>
      <c r="D806" s="33" t="s">
        <v>8417</v>
      </c>
      <c r="E806" s="74"/>
      <c r="F806" s="46" t="s">
        <v>1348</v>
      </c>
      <c r="G806" s="75"/>
      <c r="H806" s="98" t="str">
        <f>HYPERLINK("http://mirror.ff7data.com.ar/ff7/data/minigame/coaster.lgp/score.tex.png","View Picture")</f>
        <v>View Picture</v>
      </c>
      <c r="K806" s="43"/>
    </row>
    <row r="807">
      <c r="A807" s="40"/>
      <c r="B807" s="33" t="s">
        <v>8423</v>
      </c>
      <c r="C807" s="42">
        <v>4396.0</v>
      </c>
      <c r="D807" s="33" t="s">
        <v>8424</v>
      </c>
      <c r="E807" s="74"/>
      <c r="F807" s="46" t="s">
        <v>1348</v>
      </c>
      <c r="G807" s="75"/>
      <c r="H807" s="98" t="str">
        <f>HYPERLINK("http://mirror.ff7data.com.ar/ff7/data/minigame/coaster.lgp/sight.tex.png","View Picture")</f>
        <v>View Picture</v>
      </c>
      <c r="K807" s="43"/>
    </row>
    <row r="808">
      <c r="A808" s="40"/>
      <c r="B808" s="33" t="s">
        <v>8430</v>
      </c>
      <c r="C808" s="42">
        <v>2348.0</v>
      </c>
      <c r="D808" s="33" t="s">
        <v>8432</v>
      </c>
      <c r="E808" s="74"/>
      <c r="F808" s="46" t="s">
        <v>1348</v>
      </c>
      <c r="G808" s="75"/>
      <c r="H808" s="98" t="str">
        <f>HYPERLINK("http://mirror.ff7data.com.ar/ff7/data/minigame/coaster.lgp/waku2.tex.png","View Picture")</f>
        <v>View Picture</v>
      </c>
      <c r="K808" s="43"/>
    </row>
    <row r="809">
      <c r="A809" s="55"/>
      <c r="B809" s="33" t="s">
        <v>8438</v>
      </c>
      <c r="C809" s="42">
        <v>1112172.0</v>
      </c>
      <c r="D809" s="31"/>
      <c r="E809" s="74"/>
      <c r="F809" s="46" t="s">
        <v>8439</v>
      </c>
      <c r="G809" s="75"/>
      <c r="H809" s="74"/>
      <c r="K809" s="43"/>
    </row>
    <row r="810">
      <c r="A810" s="55"/>
      <c r="B810" s="57" t="s">
        <v>8440</v>
      </c>
      <c r="C810" s="58">
        <v>68.0</v>
      </c>
      <c r="D810" s="70"/>
      <c r="E810" s="19"/>
      <c r="F810" s="61" t="s">
        <v>8439</v>
      </c>
      <c r="G810" s="71"/>
      <c r="H810" s="19"/>
      <c r="I810" s="19"/>
      <c r="J810" s="19"/>
      <c r="K810" s="64"/>
    </row>
    <row r="811">
      <c r="A811" s="138"/>
      <c r="B811" s="139"/>
      <c r="C811" s="34"/>
      <c r="D811" s="34"/>
      <c r="E811" s="34"/>
      <c r="F811" s="67"/>
      <c r="G811" s="67"/>
      <c r="H811" s="34"/>
      <c r="I811" s="34"/>
      <c r="J811" s="34"/>
      <c r="K811" s="34"/>
    </row>
    <row r="812">
      <c r="A812" s="68"/>
      <c r="B812" s="69" t="s">
        <v>145</v>
      </c>
      <c r="C812" s="70"/>
      <c r="D812" s="19"/>
      <c r="E812" s="19"/>
      <c r="F812" s="71"/>
      <c r="G812" s="71"/>
      <c r="H812" s="19"/>
      <c r="I812" s="19"/>
      <c r="J812" s="19"/>
      <c r="K812" s="19"/>
    </row>
    <row r="813">
      <c r="A813" s="40"/>
      <c r="B813" s="23" t="s">
        <v>8454</v>
      </c>
      <c r="C813" s="24">
        <v>2840.0</v>
      </c>
      <c r="D813" s="23" t="s">
        <v>8456</v>
      </c>
      <c r="E813" s="34"/>
      <c r="F813" s="36" t="s">
        <v>2775</v>
      </c>
      <c r="G813" s="67"/>
      <c r="H813" s="94" t="str">
        <f>HYPERLINK("http://mirror.ff7data.com.ar/ff7/data/minigame/condor.lgp/aa.p.png","View Picture")</f>
        <v>View Picture</v>
      </c>
      <c r="I813" s="34"/>
      <c r="J813" s="34"/>
      <c r="K813" s="38"/>
    </row>
    <row r="814">
      <c r="A814" s="40"/>
      <c r="B814" s="33" t="s">
        <v>8465</v>
      </c>
      <c r="C814" s="42">
        <v>56.0</v>
      </c>
      <c r="D814" s="33" t="s">
        <v>8456</v>
      </c>
      <c r="E814" s="74"/>
      <c r="F814" s="46" t="s">
        <v>2793</v>
      </c>
      <c r="G814" s="75"/>
      <c r="H814" s="96" t="str">
        <f>HYPERLINK("http://mirror.ff7data.com.ar/ff7/data/minigame/condor.lgp/aa.rsd.png","View Picture")</f>
        <v>View Picture</v>
      </c>
      <c r="K814" s="43"/>
    </row>
    <row r="815">
      <c r="A815" s="40"/>
      <c r="B815" s="33" t="s">
        <v>8474</v>
      </c>
      <c r="C815" s="42">
        <v>2840.0</v>
      </c>
      <c r="D815" s="33" t="s">
        <v>8475</v>
      </c>
      <c r="E815" s="74"/>
      <c r="F815" s="46" t="s">
        <v>2775</v>
      </c>
      <c r="G815" s="75"/>
      <c r="H815" s="96" t="str">
        <f>HYPERLINK("http://mirror.ff7data.com.ar/ff7/data/minigame/condor.lgp/ab.p.png","View Picture")</f>
        <v>View Picture</v>
      </c>
      <c r="K815" s="43"/>
    </row>
    <row r="816">
      <c r="A816" s="40"/>
      <c r="B816" s="33" t="s">
        <v>8485</v>
      </c>
      <c r="C816" s="42">
        <v>56.0</v>
      </c>
      <c r="D816" s="33" t="s">
        <v>8475</v>
      </c>
      <c r="E816" s="74"/>
      <c r="F816" s="46" t="s">
        <v>2793</v>
      </c>
      <c r="G816" s="75"/>
      <c r="H816" s="96" t="str">
        <f>HYPERLINK("http://mirror.ff7data.com.ar/ff7/data/minigame/condor.lgp/ab.rsd.png","View Picture")</f>
        <v>View Picture</v>
      </c>
      <c r="K816" s="43"/>
    </row>
    <row r="817">
      <c r="A817" s="40"/>
      <c r="B817" s="33" t="s">
        <v>8489</v>
      </c>
      <c r="C817" s="42">
        <v>2840.0</v>
      </c>
      <c r="D817" s="33" t="s">
        <v>8492</v>
      </c>
      <c r="E817" s="74"/>
      <c r="F817" s="46" t="s">
        <v>2775</v>
      </c>
      <c r="G817" s="75"/>
      <c r="H817" s="96" t="str">
        <f>HYPERLINK("http://mirror.ff7data.com.ar/ff7/data/minigame/condor.lgp/ac.p.png","View Picture")</f>
        <v>View Picture</v>
      </c>
      <c r="K817" s="43"/>
    </row>
    <row r="818">
      <c r="A818" s="40"/>
      <c r="B818" s="33" t="s">
        <v>8497</v>
      </c>
      <c r="C818" s="42">
        <v>56.0</v>
      </c>
      <c r="D818" s="33" t="s">
        <v>8492</v>
      </c>
      <c r="E818" s="74"/>
      <c r="F818" s="46" t="s">
        <v>2793</v>
      </c>
      <c r="G818" s="75"/>
      <c r="H818" s="96" t="str">
        <f>HYPERLINK("http://mirror.ff7data.com.ar/ff7/data/minigame/condor.lgp/ac.rsd.png","View Picture")</f>
        <v>View Picture</v>
      </c>
      <c r="K818" s="43"/>
    </row>
    <row r="819">
      <c r="A819" s="40"/>
      <c r="B819" s="33" t="s">
        <v>8504</v>
      </c>
      <c r="C819" s="42">
        <v>2840.0</v>
      </c>
      <c r="D819" s="33" t="s">
        <v>8506</v>
      </c>
      <c r="E819" s="74"/>
      <c r="F819" s="46" t="s">
        <v>2775</v>
      </c>
      <c r="G819" s="75"/>
      <c r="H819" s="96" t="str">
        <f>HYPERLINK("http://mirror.ff7data.com.ar/ff7/data/minigame/condor.lgp/ad.p.png","View Picture")</f>
        <v>View Picture</v>
      </c>
      <c r="K819" s="43"/>
    </row>
    <row r="820">
      <c r="A820" s="40"/>
      <c r="B820" s="33" t="s">
        <v>8511</v>
      </c>
      <c r="C820" s="42">
        <v>56.0</v>
      </c>
      <c r="D820" s="33" t="s">
        <v>8506</v>
      </c>
      <c r="E820" s="74"/>
      <c r="F820" s="46" t="s">
        <v>2793</v>
      </c>
      <c r="G820" s="75"/>
      <c r="H820" s="96" t="str">
        <f>HYPERLINK("http://mirror.ff7data.com.ar/ff7/data/minigame/condor.lgp/ad.rsd.png","View Picture")</f>
        <v>View Picture</v>
      </c>
      <c r="K820" s="43"/>
    </row>
    <row r="821">
      <c r="A821" s="40"/>
      <c r="B821" s="33" t="s">
        <v>8518</v>
      </c>
      <c r="C821" s="42">
        <v>2840.0</v>
      </c>
      <c r="D821" s="33" t="s">
        <v>8520</v>
      </c>
      <c r="E821" s="74"/>
      <c r="F821" s="46" t="s">
        <v>2775</v>
      </c>
      <c r="G821" s="75"/>
      <c r="H821" s="96" t="str">
        <f>HYPERLINK("http://mirror.ff7data.com.ar/ff7/data/minigame/condor.lgp/ae.p.png","View Picture")</f>
        <v>View Picture</v>
      </c>
      <c r="K821" s="43"/>
    </row>
    <row r="822">
      <c r="A822" s="40"/>
      <c r="B822" s="33" t="s">
        <v>8526</v>
      </c>
      <c r="C822" s="42">
        <v>56.0</v>
      </c>
      <c r="D822" s="33" t="s">
        <v>8520</v>
      </c>
      <c r="E822" s="74"/>
      <c r="F822" s="46" t="s">
        <v>2793</v>
      </c>
      <c r="G822" s="75"/>
      <c r="H822" s="96" t="str">
        <f>HYPERLINK("http://mirror.ff7data.com.ar/ff7/data/minigame/condor.lgp/ae.rsd.png","View Picture")</f>
        <v>View Picture</v>
      </c>
      <c r="K822" s="43"/>
    </row>
    <row r="823">
      <c r="A823" s="40"/>
      <c r="B823" s="33" t="s">
        <v>8534</v>
      </c>
      <c r="C823" s="42">
        <v>2840.0</v>
      </c>
      <c r="D823" s="33" t="s">
        <v>8535</v>
      </c>
      <c r="E823" s="74"/>
      <c r="F823" s="46" t="s">
        <v>2775</v>
      </c>
      <c r="G823" s="75"/>
      <c r="H823" s="96" t="str">
        <f>HYPERLINK("http://mirror.ff7data.com.ar/ff7/data/minigame/condor.lgp/af.p.png","View Picture")</f>
        <v>View Picture</v>
      </c>
      <c r="K823" s="43"/>
    </row>
    <row r="824">
      <c r="A824" s="40"/>
      <c r="B824" s="33" t="s">
        <v>8544</v>
      </c>
      <c r="C824" s="42">
        <v>56.0</v>
      </c>
      <c r="D824" s="33" t="s">
        <v>8535</v>
      </c>
      <c r="E824" s="74"/>
      <c r="F824" s="46" t="s">
        <v>2793</v>
      </c>
      <c r="G824" s="75"/>
      <c r="H824" s="96" t="str">
        <f>HYPERLINK("http://mirror.ff7data.com.ar/ff7/data/minigame/condor.lgp/af.rsd.png","View Picture")</f>
        <v>View Picture</v>
      </c>
      <c r="K824" s="43"/>
    </row>
    <row r="825">
      <c r="A825" s="40"/>
      <c r="B825" s="33" t="s">
        <v>8552</v>
      </c>
      <c r="C825" s="42">
        <v>2840.0</v>
      </c>
      <c r="D825" s="33" t="s">
        <v>8553</v>
      </c>
      <c r="E825" s="74"/>
      <c r="F825" s="46" t="s">
        <v>2775</v>
      </c>
      <c r="G825" s="75"/>
      <c r="H825" s="96" t="str">
        <f>HYPERLINK("http://mirror.ff7data.com.ar/ff7/data/minigame/condor.lgp/ag.p.png","View Picture")</f>
        <v>View Picture</v>
      </c>
      <c r="K825" s="43"/>
    </row>
    <row r="826">
      <c r="A826" s="40"/>
      <c r="B826" s="33" t="s">
        <v>8559</v>
      </c>
      <c r="C826" s="42">
        <v>56.0</v>
      </c>
      <c r="D826" s="33" t="s">
        <v>8553</v>
      </c>
      <c r="E826" s="74"/>
      <c r="F826" s="46" t="s">
        <v>2793</v>
      </c>
      <c r="G826" s="75"/>
      <c r="H826" s="96" t="str">
        <f>HYPERLINK("http://mirror.ff7data.com.ar/ff7/data/minigame/condor.lgp/ag.rsd.png","View Picture")</f>
        <v>View Picture</v>
      </c>
      <c r="K826" s="43"/>
    </row>
    <row r="827">
      <c r="A827" s="40"/>
      <c r="B827" s="33" t="s">
        <v>8566</v>
      </c>
      <c r="C827" s="42">
        <v>2840.0</v>
      </c>
      <c r="D827" s="33" t="s">
        <v>8567</v>
      </c>
      <c r="E827" s="74"/>
      <c r="F827" s="46" t="s">
        <v>2775</v>
      </c>
      <c r="G827" s="75"/>
      <c r="H827" s="96" t="str">
        <f>HYPERLINK("http://mirror.ff7data.com.ar/ff7/data/minigame/condor.lgp/ah.p.png","View Picture")</f>
        <v>View Picture</v>
      </c>
      <c r="K827" s="43"/>
    </row>
    <row r="828">
      <c r="A828" s="40"/>
      <c r="B828" s="33" t="s">
        <v>8574</v>
      </c>
      <c r="C828" s="42">
        <v>56.0</v>
      </c>
      <c r="D828" s="33" t="s">
        <v>8567</v>
      </c>
      <c r="E828" s="74"/>
      <c r="F828" s="46" t="s">
        <v>2793</v>
      </c>
      <c r="G828" s="75"/>
      <c r="H828" s="96" t="str">
        <f>HYPERLINK("http://mirror.ff7data.com.ar/ff7/data/minigame/condor.lgp/ah.rsd.png","View Picture")</f>
        <v>View Picture</v>
      </c>
      <c r="K828" s="43"/>
    </row>
    <row r="829">
      <c r="A829" s="40"/>
      <c r="B829" s="33" t="s">
        <v>8581</v>
      </c>
      <c r="C829" s="42">
        <v>2840.0</v>
      </c>
      <c r="D829" s="33" t="s">
        <v>8584</v>
      </c>
      <c r="E829" s="74"/>
      <c r="F829" s="46" t="s">
        <v>2775</v>
      </c>
      <c r="G829" s="75"/>
      <c r="H829" s="96" t="str">
        <f>HYPERLINK("http://mirror.ff7data.com.ar/ff7/data/minigame/condor.lgp/ai.p.png","View Picture")</f>
        <v>View Picture</v>
      </c>
      <c r="K829" s="43"/>
    </row>
    <row r="830">
      <c r="A830" s="40"/>
      <c r="B830" s="33" t="s">
        <v>8591</v>
      </c>
      <c r="C830" s="42">
        <v>56.0</v>
      </c>
      <c r="D830" s="33" t="s">
        <v>8584</v>
      </c>
      <c r="E830" s="74"/>
      <c r="F830" s="46" t="s">
        <v>2793</v>
      </c>
      <c r="G830" s="75"/>
      <c r="H830" s="96" t="str">
        <f>HYPERLINK("http://mirror.ff7data.com.ar/ff7/data/minigame/condor.lgp/ai.rsd.png","View Picture")</f>
        <v>View Picture</v>
      </c>
      <c r="K830" s="43"/>
    </row>
    <row r="831">
      <c r="A831" s="40"/>
      <c r="B831" s="33" t="s">
        <v>8601</v>
      </c>
      <c r="C831" s="42">
        <v>4404.0</v>
      </c>
      <c r="D831" s="33" t="s">
        <v>8604</v>
      </c>
      <c r="E831" s="74"/>
      <c r="F831" s="46" t="s">
        <v>2775</v>
      </c>
      <c r="G831" s="75"/>
      <c r="H831" s="96" t="str">
        <f>HYPERLINK("http://mirror.ff7data.com.ar/ff7/data/minigame/condor.lgp/aj.p.png","View Picture")</f>
        <v>View Picture</v>
      </c>
      <c r="K831" s="43"/>
    </row>
    <row r="832">
      <c r="A832" s="40"/>
      <c r="B832" s="33" t="s">
        <v>8611</v>
      </c>
      <c r="C832" s="42">
        <v>56.0</v>
      </c>
      <c r="D832" s="33" t="s">
        <v>8604</v>
      </c>
      <c r="E832" s="74"/>
      <c r="F832" s="46" t="s">
        <v>2793</v>
      </c>
      <c r="G832" s="75"/>
      <c r="H832" s="96" t="str">
        <f>HYPERLINK("http://mirror.ff7data.com.ar/ff7/data/minigame/condor.lgp/aj.rsd.png","View Picture")</f>
        <v>View Picture</v>
      </c>
      <c r="K832" s="43"/>
    </row>
    <row r="833">
      <c r="A833" s="40"/>
      <c r="B833" s="33" t="s">
        <v>8618</v>
      </c>
      <c r="C833" s="42">
        <v>4404.0</v>
      </c>
      <c r="D833" s="33" t="s">
        <v>8619</v>
      </c>
      <c r="E833" s="74"/>
      <c r="F833" s="46" t="s">
        <v>2775</v>
      </c>
      <c r="G833" s="75"/>
      <c r="H833" s="96" t="str">
        <f>HYPERLINK("http://mirror.ff7data.com.ar/ff7/data/minigame/condor.lgp/ak.p.png","View Picture")</f>
        <v>View Picture</v>
      </c>
      <c r="K833" s="43"/>
    </row>
    <row r="834">
      <c r="A834" s="40"/>
      <c r="B834" s="33" t="s">
        <v>8629</v>
      </c>
      <c r="C834" s="42">
        <v>56.0</v>
      </c>
      <c r="D834" s="33" t="s">
        <v>8619</v>
      </c>
      <c r="E834" s="74"/>
      <c r="F834" s="46" t="s">
        <v>2793</v>
      </c>
      <c r="G834" s="75"/>
      <c r="H834" s="96" t="str">
        <f>HYPERLINK("http://mirror.ff7data.com.ar/ff7/data/minigame/condor.lgp/ak.rsd.png","View Picture")</f>
        <v>View Picture</v>
      </c>
      <c r="K834" s="43"/>
    </row>
    <row r="835">
      <c r="A835" s="40"/>
      <c r="B835" s="33" t="s">
        <v>8637</v>
      </c>
      <c r="C835" s="42">
        <v>4404.0</v>
      </c>
      <c r="D835" s="33" t="s">
        <v>8639</v>
      </c>
      <c r="E835" s="74"/>
      <c r="F835" s="46" t="s">
        <v>2775</v>
      </c>
      <c r="G835" s="75"/>
      <c r="H835" s="96" t="str">
        <f>HYPERLINK("http://mirror.ff7data.com.ar/ff7/data/minigame/condor.lgp/al.p.png","View Picture")</f>
        <v>View Picture</v>
      </c>
      <c r="K835" s="43"/>
    </row>
    <row r="836">
      <c r="A836" s="40"/>
      <c r="B836" s="33" t="s">
        <v>8643</v>
      </c>
      <c r="C836" s="42">
        <v>56.0</v>
      </c>
      <c r="D836" s="33" t="s">
        <v>8639</v>
      </c>
      <c r="E836" s="74"/>
      <c r="F836" s="46" t="s">
        <v>2793</v>
      </c>
      <c r="G836" s="75"/>
      <c r="H836" s="96" t="str">
        <f>HYPERLINK("http://mirror.ff7data.com.ar/ff7/data/minigame/condor.lgp/al.rsd.png","View Picture")</f>
        <v>View Picture</v>
      </c>
      <c r="K836" s="43"/>
    </row>
    <row r="837">
      <c r="A837" s="40"/>
      <c r="B837" s="33" t="s">
        <v>8655</v>
      </c>
      <c r="C837" s="42">
        <v>4404.0</v>
      </c>
      <c r="D837" s="33" t="s">
        <v>8657</v>
      </c>
      <c r="E837" s="74"/>
      <c r="F837" s="46" t="s">
        <v>2775</v>
      </c>
      <c r="G837" s="75"/>
      <c r="H837" s="96" t="str">
        <f>HYPERLINK("http://mirror.ff7data.com.ar/ff7/data/minigame/condor.lgp/am.p.png","View Picture")</f>
        <v>View Picture</v>
      </c>
      <c r="K837" s="43"/>
    </row>
    <row r="838">
      <c r="A838" s="40"/>
      <c r="B838" s="33" t="s">
        <v>8665</v>
      </c>
      <c r="C838" s="42">
        <v>56.0</v>
      </c>
      <c r="D838" s="33" t="s">
        <v>8657</v>
      </c>
      <c r="E838" s="74"/>
      <c r="F838" s="46" t="s">
        <v>2793</v>
      </c>
      <c r="G838" s="75"/>
      <c r="H838" s="96" t="str">
        <f>HYPERLINK("http://mirror.ff7data.com.ar/ff7/data/minigame/condor.lgp/am.rsd.png","View Picture")</f>
        <v>View Picture</v>
      </c>
      <c r="K838" s="43"/>
    </row>
    <row r="839">
      <c r="A839" s="40"/>
      <c r="B839" s="33" t="s">
        <v>8674</v>
      </c>
      <c r="C839" s="42">
        <v>4332.0</v>
      </c>
      <c r="D839" s="33" t="s">
        <v>8676</v>
      </c>
      <c r="E839" s="74"/>
      <c r="F839" s="46" t="s">
        <v>2775</v>
      </c>
      <c r="G839" s="75"/>
      <c r="H839" s="96" t="str">
        <f>HYPERLINK("http://mirror.ff7data.com.ar/ff7/data/minigame/condor.lgp/an.p.png","View Picture")</f>
        <v>View Picture</v>
      </c>
      <c r="K839" s="43"/>
    </row>
    <row r="840">
      <c r="A840" s="40"/>
      <c r="B840" s="33" t="s">
        <v>8683</v>
      </c>
      <c r="C840" s="42">
        <v>56.0</v>
      </c>
      <c r="D840" s="33" t="s">
        <v>8676</v>
      </c>
      <c r="E840" s="74"/>
      <c r="F840" s="46" t="s">
        <v>2793</v>
      </c>
      <c r="G840" s="75"/>
      <c r="H840" s="96" t="str">
        <f>HYPERLINK("http://mirror.ff7data.com.ar/ff7/data/minigame/condor.lgp/an.rsd.png","View Picture")</f>
        <v>View Picture</v>
      </c>
      <c r="K840" s="43"/>
    </row>
    <row r="841">
      <c r="A841" s="40"/>
      <c r="B841" s="33" t="s">
        <v>8690</v>
      </c>
      <c r="C841" s="42">
        <v>4404.0</v>
      </c>
      <c r="D841" s="33" t="s">
        <v>8691</v>
      </c>
      <c r="E841" s="74"/>
      <c r="F841" s="46" t="s">
        <v>2775</v>
      </c>
      <c r="G841" s="75"/>
      <c r="H841" s="96" t="str">
        <f>HYPERLINK("http://mirror.ff7data.com.ar/ff7/data/minigame/condor.lgp/ao.p.png","View Picture")</f>
        <v>View Picture</v>
      </c>
      <c r="K841" s="43"/>
    </row>
    <row r="842">
      <c r="A842" s="40"/>
      <c r="B842" s="33" t="s">
        <v>8699</v>
      </c>
      <c r="C842" s="42">
        <v>56.0</v>
      </c>
      <c r="D842" s="33" t="s">
        <v>8691</v>
      </c>
      <c r="E842" s="74"/>
      <c r="F842" s="46" t="s">
        <v>2793</v>
      </c>
      <c r="G842" s="75"/>
      <c r="H842" s="96" t="str">
        <f>HYPERLINK("http://mirror.ff7data.com.ar/ff7/data/minigame/condor.lgp/ao.rsd.png","View Picture")</f>
        <v>View Picture</v>
      </c>
      <c r="K842" s="43"/>
    </row>
    <row r="843">
      <c r="A843" s="40"/>
      <c r="B843" s="33" t="s">
        <v>8707</v>
      </c>
      <c r="C843" s="42">
        <v>4404.0</v>
      </c>
      <c r="D843" s="33" t="s">
        <v>8708</v>
      </c>
      <c r="E843" s="74"/>
      <c r="F843" s="46" t="s">
        <v>2775</v>
      </c>
      <c r="G843" s="75"/>
      <c r="H843" s="96" t="str">
        <f>HYPERLINK("http://mirror.ff7data.com.ar/ff7/data/minigame/condor.lgp/ap.p.png","View Picture")</f>
        <v>View Picture</v>
      </c>
      <c r="K843" s="43"/>
    </row>
    <row r="844">
      <c r="A844" s="40"/>
      <c r="B844" s="33" t="s">
        <v>8717</v>
      </c>
      <c r="C844" s="42">
        <v>56.0</v>
      </c>
      <c r="D844" s="33" t="s">
        <v>8708</v>
      </c>
      <c r="E844" s="74"/>
      <c r="F844" s="46" t="s">
        <v>2793</v>
      </c>
      <c r="G844" s="75"/>
      <c r="H844" s="96" t="str">
        <f>HYPERLINK("http://mirror.ff7data.com.ar/ff7/data/minigame/condor.lgp/ap.rsd.png","View Picture")</f>
        <v>View Picture</v>
      </c>
      <c r="K844" s="43"/>
    </row>
    <row r="845">
      <c r="A845" s="40"/>
      <c r="B845" s="33" t="s">
        <v>8726</v>
      </c>
      <c r="C845" s="42">
        <v>4404.0</v>
      </c>
      <c r="D845" s="33" t="s">
        <v>8728</v>
      </c>
      <c r="E845" s="74"/>
      <c r="F845" s="46" t="s">
        <v>2775</v>
      </c>
      <c r="G845" s="75"/>
      <c r="H845" s="96" t="str">
        <f>HYPERLINK("http://mirror.ff7data.com.ar/ff7/data/minigame/condor.lgp/aq.p.png","View Picture")</f>
        <v>View Picture</v>
      </c>
      <c r="K845" s="43"/>
    </row>
    <row r="846">
      <c r="A846" s="40"/>
      <c r="B846" s="33" t="s">
        <v>8737</v>
      </c>
      <c r="C846" s="42">
        <v>56.0</v>
      </c>
      <c r="D846" s="33" t="s">
        <v>8728</v>
      </c>
      <c r="E846" s="74"/>
      <c r="F846" s="46" t="s">
        <v>2793</v>
      </c>
      <c r="G846" s="75"/>
      <c r="H846" s="96" t="str">
        <f>HYPERLINK("http://mirror.ff7data.com.ar/ff7/data/minigame/condor.lgp/aq.rsd.png","View Picture")</f>
        <v>View Picture</v>
      </c>
      <c r="K846" s="43"/>
    </row>
    <row r="847">
      <c r="A847" s="40"/>
      <c r="B847" s="33" t="s">
        <v>8747</v>
      </c>
      <c r="C847" s="42">
        <v>4404.0</v>
      </c>
      <c r="D847" s="33" t="s">
        <v>8748</v>
      </c>
      <c r="E847" s="74"/>
      <c r="F847" s="46" t="s">
        <v>2775</v>
      </c>
      <c r="G847" s="75"/>
      <c r="H847" s="96" t="str">
        <f>HYPERLINK("http://mirror.ff7data.com.ar/ff7/data/minigame/condor.lgp/ar.p.png","View Picture")</f>
        <v>View Picture</v>
      </c>
      <c r="K847" s="43"/>
    </row>
    <row r="848">
      <c r="A848" s="40"/>
      <c r="B848" s="33" t="s">
        <v>8754</v>
      </c>
      <c r="C848" s="42">
        <v>56.0</v>
      </c>
      <c r="D848" s="33" t="s">
        <v>8748</v>
      </c>
      <c r="E848" s="74"/>
      <c r="F848" s="46" t="s">
        <v>2793</v>
      </c>
      <c r="G848" s="75"/>
      <c r="H848" s="96" t="str">
        <f>HYPERLINK("http://mirror.ff7data.com.ar/ff7/data/minigame/condor.lgp/ar.rsd.png","View Picture")</f>
        <v>View Picture</v>
      </c>
      <c r="K848" s="43"/>
    </row>
    <row r="849">
      <c r="A849" s="40"/>
      <c r="B849" s="33" t="s">
        <v>8762</v>
      </c>
      <c r="C849" s="42">
        <v>4404.0</v>
      </c>
      <c r="D849" s="33" t="s">
        <v>8764</v>
      </c>
      <c r="E849" s="74"/>
      <c r="F849" s="46" t="s">
        <v>2775</v>
      </c>
      <c r="G849" s="75"/>
      <c r="H849" s="96" t="str">
        <f>HYPERLINK("http://mirror.ff7data.com.ar/ff7/data/minigame/condor.lgp/as.p.png","View Picture")</f>
        <v>View Picture</v>
      </c>
      <c r="K849" s="43"/>
    </row>
    <row r="850">
      <c r="A850" s="40"/>
      <c r="B850" s="33" t="s">
        <v>8771</v>
      </c>
      <c r="C850" s="42">
        <v>56.0</v>
      </c>
      <c r="D850" s="33" t="s">
        <v>8764</v>
      </c>
      <c r="E850" s="74"/>
      <c r="F850" s="46" t="s">
        <v>2793</v>
      </c>
      <c r="G850" s="75"/>
      <c r="H850" s="96" t="str">
        <f>HYPERLINK("http://mirror.ff7data.com.ar/ff7/data/minigame/condor.lgp/as.rsd.png","View Picture")</f>
        <v>View Picture</v>
      </c>
      <c r="K850" s="43"/>
    </row>
    <row r="851">
      <c r="A851" s="40"/>
      <c r="B851" s="33" t="s">
        <v>8778</v>
      </c>
      <c r="C851" s="42">
        <v>4404.0</v>
      </c>
      <c r="D851" s="33" t="s">
        <v>8779</v>
      </c>
      <c r="E851" s="74"/>
      <c r="F851" s="46" t="s">
        <v>2775</v>
      </c>
      <c r="G851" s="75"/>
      <c r="H851" s="96" t="str">
        <f>HYPERLINK("http://mirror.ff7data.com.ar/ff7/data/minigame/condor.lgp/at.p.png","View Picture")</f>
        <v>View Picture</v>
      </c>
      <c r="K851" s="43"/>
    </row>
    <row r="852">
      <c r="A852" s="40"/>
      <c r="B852" s="33" t="s">
        <v>8787</v>
      </c>
      <c r="C852" s="42">
        <v>56.0</v>
      </c>
      <c r="D852" s="33" t="s">
        <v>8779</v>
      </c>
      <c r="E852" s="74"/>
      <c r="F852" s="46" t="s">
        <v>2793</v>
      </c>
      <c r="G852" s="75"/>
      <c r="H852" s="96" t="str">
        <f>HYPERLINK("http://mirror.ff7data.com.ar/ff7/data/minigame/condor.lgp/at.rsd.png","View Picture")</f>
        <v>View Picture</v>
      </c>
      <c r="K852" s="43"/>
    </row>
    <row r="853">
      <c r="A853" s="40"/>
      <c r="B853" s="33" t="s">
        <v>8796</v>
      </c>
      <c r="C853" s="42">
        <v>4404.0</v>
      </c>
      <c r="D853" s="33" t="s">
        <v>8797</v>
      </c>
      <c r="E853" s="74"/>
      <c r="F853" s="46" t="s">
        <v>2775</v>
      </c>
      <c r="G853" s="75"/>
      <c r="H853" s="96" t="str">
        <f>HYPERLINK("http://mirror.ff7data.com.ar/ff7/data/minigame/condor.lgp/au.p.png","View Picture")</f>
        <v>View Picture</v>
      </c>
      <c r="K853" s="43"/>
    </row>
    <row r="854">
      <c r="A854" s="40"/>
      <c r="B854" s="33" t="s">
        <v>8804</v>
      </c>
      <c r="C854" s="42">
        <v>56.0</v>
      </c>
      <c r="D854" s="33" t="s">
        <v>8797</v>
      </c>
      <c r="E854" s="74"/>
      <c r="F854" s="46" t="s">
        <v>2793</v>
      </c>
      <c r="G854" s="75"/>
      <c r="H854" s="96" t="str">
        <f>HYPERLINK("http://mirror.ff7data.com.ar/ff7/data/minigame/condor.lgp/au.rsd.png","View Picture")</f>
        <v>View Picture</v>
      </c>
      <c r="K854" s="43"/>
    </row>
    <row r="855">
      <c r="A855" s="40"/>
      <c r="B855" s="33" t="s">
        <v>8813</v>
      </c>
      <c r="C855" s="42">
        <v>4404.0</v>
      </c>
      <c r="D855" s="33" t="s">
        <v>8815</v>
      </c>
      <c r="E855" s="74"/>
      <c r="F855" s="46" t="s">
        <v>2775</v>
      </c>
      <c r="G855" s="75"/>
      <c r="H855" s="96" t="str">
        <f>HYPERLINK("http://mirror.ff7data.com.ar/ff7/data/minigame/condor.lgp/av.p.png","View Picture")</f>
        <v>View Picture</v>
      </c>
      <c r="K855" s="43"/>
    </row>
    <row r="856">
      <c r="A856" s="40"/>
      <c r="B856" s="33" t="s">
        <v>8822</v>
      </c>
      <c r="C856" s="42">
        <v>56.0</v>
      </c>
      <c r="D856" s="33" t="s">
        <v>8815</v>
      </c>
      <c r="E856" s="74"/>
      <c r="F856" s="46" t="s">
        <v>2793</v>
      </c>
      <c r="G856" s="75"/>
      <c r="H856" s="96" t="str">
        <f>HYPERLINK("http://mirror.ff7data.com.ar/ff7/data/minigame/condor.lgp/av.rsd.png","View Picture")</f>
        <v>View Picture</v>
      </c>
      <c r="K856" s="43"/>
    </row>
    <row r="857">
      <c r="A857" s="40"/>
      <c r="B857" s="33" t="s">
        <v>8830</v>
      </c>
      <c r="C857" s="42">
        <v>4404.0</v>
      </c>
      <c r="D857" s="33" t="s">
        <v>8832</v>
      </c>
      <c r="E857" s="74"/>
      <c r="F857" s="46" t="s">
        <v>2775</v>
      </c>
      <c r="G857" s="75"/>
      <c r="H857" s="96" t="str">
        <f>HYPERLINK("http://mirror.ff7data.com.ar/ff7/data/minigame/condor.lgp/aw.p.png","View Picture")</f>
        <v>View Picture</v>
      </c>
      <c r="K857" s="43"/>
    </row>
    <row r="858">
      <c r="A858" s="40"/>
      <c r="B858" s="33" t="s">
        <v>8844</v>
      </c>
      <c r="C858" s="42">
        <v>56.0</v>
      </c>
      <c r="D858" s="33" t="s">
        <v>8832</v>
      </c>
      <c r="E858" s="74"/>
      <c r="F858" s="46" t="s">
        <v>2793</v>
      </c>
      <c r="G858" s="75"/>
      <c r="H858" s="96" t="str">
        <f>HYPERLINK("http://mirror.ff7data.com.ar/ff7/data/minigame/condor.lgp/aw.rsd.png","View Picture")</f>
        <v>View Picture</v>
      </c>
      <c r="K858" s="43"/>
    </row>
    <row r="859">
      <c r="A859" s="40"/>
      <c r="B859" s="33" t="s">
        <v>8859</v>
      </c>
      <c r="C859" s="42">
        <v>2256.0</v>
      </c>
      <c r="D859" s="33" t="s">
        <v>8861</v>
      </c>
      <c r="E859" s="74"/>
      <c r="F859" s="46" t="s">
        <v>2775</v>
      </c>
      <c r="G859" s="75"/>
      <c r="H859" s="96" t="str">
        <f>HYPERLINK("http://mirror.ff7data.com.ar/ff7/data/minigame/condor.lgp/ax.p.png","View Picture")</f>
        <v>View Picture</v>
      </c>
      <c r="K859" s="43"/>
    </row>
    <row r="860">
      <c r="A860" s="40"/>
      <c r="B860" s="33" t="s">
        <v>8870</v>
      </c>
      <c r="C860" s="42">
        <v>56.0</v>
      </c>
      <c r="D860" s="33" t="s">
        <v>8861</v>
      </c>
      <c r="E860" s="74"/>
      <c r="F860" s="46" t="s">
        <v>2793</v>
      </c>
      <c r="G860" s="75"/>
      <c r="H860" s="96" t="str">
        <f>HYPERLINK("http://mirror.ff7data.com.ar/ff7/data/minigame/condor.lgp/ax.rsd.png","View Picture")</f>
        <v>View Picture</v>
      </c>
      <c r="K860" s="43"/>
    </row>
    <row r="861">
      <c r="A861" s="40"/>
      <c r="B861" s="33" t="s">
        <v>8877</v>
      </c>
      <c r="C861" s="42">
        <v>1916.0</v>
      </c>
      <c r="D861" s="33" t="s">
        <v>8878</v>
      </c>
      <c r="E861" s="74"/>
      <c r="F861" s="46" t="s">
        <v>2775</v>
      </c>
      <c r="G861" s="75"/>
      <c r="H861" s="96" t="str">
        <f>HYPERLINK("http://mirror.ff7data.com.ar/ff7/data/minigame/condor.lgp/ay.p.png","View Picture")</f>
        <v>View Picture</v>
      </c>
      <c r="K861" s="43"/>
    </row>
    <row r="862">
      <c r="A862" s="40"/>
      <c r="B862" s="33" t="s">
        <v>8887</v>
      </c>
      <c r="C862" s="42">
        <v>93.0</v>
      </c>
      <c r="D862" s="33" t="s">
        <v>8878</v>
      </c>
      <c r="E862" s="74"/>
      <c r="F862" s="46" t="s">
        <v>2793</v>
      </c>
      <c r="G862" s="75"/>
      <c r="H862" s="96" t="str">
        <f>HYPERLINK("http://mirror.ff7data.com.ar/ff7/data/minigame/condor.lgp/ay.rsd.png","View Picture")</f>
        <v>View Picture</v>
      </c>
      <c r="K862" s="43"/>
    </row>
    <row r="863">
      <c r="A863" s="40"/>
      <c r="B863" s="33" t="s">
        <v>8893</v>
      </c>
      <c r="C863" s="42">
        <v>1916.0</v>
      </c>
      <c r="D863" s="33" t="s">
        <v>8895</v>
      </c>
      <c r="E863" s="74"/>
      <c r="F863" s="46" t="s">
        <v>2775</v>
      </c>
      <c r="G863" s="75"/>
      <c r="H863" s="96" t="str">
        <f>HYPERLINK("http://mirror.ff7data.com.ar/ff7/data/minigame/condor.lgp/az.p.png","View Picture")</f>
        <v>View Picture</v>
      </c>
      <c r="K863" s="43"/>
    </row>
    <row r="864">
      <c r="A864" s="40"/>
      <c r="B864" s="33" t="s">
        <v>8903</v>
      </c>
      <c r="C864" s="42">
        <v>56.0</v>
      </c>
      <c r="D864" s="33" t="s">
        <v>8895</v>
      </c>
      <c r="E864" s="74"/>
      <c r="F864" s="46" t="s">
        <v>2793</v>
      </c>
      <c r="G864" s="75"/>
      <c r="H864" s="96" t="str">
        <f>HYPERLINK("http://mirror.ff7data.com.ar/ff7/data/minigame/condor.lgp/az.rsd.png","View Picture")</f>
        <v>View Picture</v>
      </c>
      <c r="K864" s="43"/>
    </row>
    <row r="865">
      <c r="A865" s="40"/>
      <c r="B865" s="33" t="s">
        <v>8913</v>
      </c>
      <c r="C865" s="42">
        <v>1916.0</v>
      </c>
      <c r="D865" s="33" t="s">
        <v>8914</v>
      </c>
      <c r="E865" s="74"/>
      <c r="F865" s="46" t="s">
        <v>2775</v>
      </c>
      <c r="G865" s="75"/>
      <c r="H865" s="96" t="str">
        <f>HYPERLINK("http://mirror.ff7data.com.ar/ff7/data/minigame/condor.lgp/ba.p.png","View Picture")</f>
        <v>View Picture</v>
      </c>
      <c r="K865" s="43"/>
    </row>
    <row r="866">
      <c r="A866" s="40"/>
      <c r="B866" s="33" t="s">
        <v>8920</v>
      </c>
      <c r="C866" s="42">
        <v>56.0</v>
      </c>
      <c r="D866" s="33" t="s">
        <v>8914</v>
      </c>
      <c r="E866" s="74"/>
      <c r="F866" s="46" t="s">
        <v>2793</v>
      </c>
      <c r="G866" s="75"/>
      <c r="H866" s="96" t="str">
        <f>HYPERLINK("http://mirror.ff7data.com.ar/ff7/data/minigame/condor.lgp/ba.rsd.png","View Picture")</f>
        <v>View Picture</v>
      </c>
      <c r="K866" s="43"/>
    </row>
    <row r="867">
      <c r="A867" s="40"/>
      <c r="B867" s="33" t="s">
        <v>8928</v>
      </c>
      <c r="C867" s="42">
        <v>1916.0</v>
      </c>
      <c r="D867" s="33" t="s">
        <v>8929</v>
      </c>
      <c r="E867" s="74"/>
      <c r="F867" s="46" t="s">
        <v>2775</v>
      </c>
      <c r="G867" s="75"/>
      <c r="H867" s="96" t="str">
        <f>HYPERLINK("http://mirror.ff7data.com.ar/ff7/data/minigame/condor.lgp/bb.p.png","View Picture")</f>
        <v>View Picture</v>
      </c>
      <c r="K867" s="43"/>
    </row>
    <row r="868">
      <c r="A868" s="40"/>
      <c r="B868" s="33" t="s">
        <v>8935</v>
      </c>
      <c r="C868" s="42">
        <v>56.0</v>
      </c>
      <c r="D868" s="33" t="s">
        <v>8929</v>
      </c>
      <c r="E868" s="74"/>
      <c r="F868" s="46" t="s">
        <v>2793</v>
      </c>
      <c r="G868" s="75"/>
      <c r="H868" s="96" t="str">
        <f>HYPERLINK("http://mirror.ff7data.com.ar/ff7/data/minigame/condor.lgp/bb.rsd.png","View Picture")</f>
        <v>View Picture</v>
      </c>
      <c r="K868" s="43"/>
    </row>
    <row r="869">
      <c r="A869" s="40"/>
      <c r="B869" s="33" t="s">
        <v>8943</v>
      </c>
      <c r="C869" s="42">
        <v>1916.0</v>
      </c>
      <c r="D869" s="33" t="s">
        <v>8944</v>
      </c>
      <c r="E869" s="74"/>
      <c r="F869" s="46" t="s">
        <v>2775</v>
      </c>
      <c r="G869" s="75"/>
      <c r="H869" s="96" t="str">
        <f>HYPERLINK("http://mirror.ff7data.com.ar/ff7/data/minigame/condor.lgp/bc.p.png","View Picture")</f>
        <v>View Picture</v>
      </c>
      <c r="K869" s="43"/>
    </row>
    <row r="870">
      <c r="A870" s="40"/>
      <c r="B870" s="33" t="s">
        <v>8951</v>
      </c>
      <c r="C870" s="42">
        <v>56.0</v>
      </c>
      <c r="D870" s="33" t="s">
        <v>8944</v>
      </c>
      <c r="E870" s="74"/>
      <c r="F870" s="46" t="s">
        <v>2793</v>
      </c>
      <c r="G870" s="75"/>
      <c r="H870" s="96" t="str">
        <f>HYPERLINK("http://mirror.ff7data.com.ar/ff7/data/minigame/condor.lgp/bc.rsd.png","View Picture")</f>
        <v>View Picture</v>
      </c>
      <c r="K870" s="43"/>
    </row>
    <row r="871">
      <c r="A871" s="40"/>
      <c r="B871" s="33" t="s">
        <v>8960</v>
      </c>
      <c r="C871" s="42">
        <v>1916.0</v>
      </c>
      <c r="D871" s="33" t="s">
        <v>8963</v>
      </c>
      <c r="E871" s="74"/>
      <c r="F871" s="46" t="s">
        <v>2775</v>
      </c>
      <c r="G871" s="75"/>
      <c r="H871" s="96" t="str">
        <f>HYPERLINK("http://mirror.ff7data.com.ar/ff7/data/minigame/condor.lgp/bd.p.png","View Picture")</f>
        <v>View Picture</v>
      </c>
      <c r="K871" s="43"/>
    </row>
    <row r="872">
      <c r="A872" s="40"/>
      <c r="B872" s="33" t="s">
        <v>8972</v>
      </c>
      <c r="C872" s="42">
        <v>56.0</v>
      </c>
      <c r="D872" s="33" t="s">
        <v>8963</v>
      </c>
      <c r="E872" s="74"/>
      <c r="F872" s="46" t="s">
        <v>2793</v>
      </c>
      <c r="G872" s="75"/>
      <c r="H872" s="96" t="str">
        <f>HYPERLINK("http://mirror.ff7data.com.ar/ff7/data/minigame/condor.lgp/bd.rsd.png","View Picture")</f>
        <v>View Picture</v>
      </c>
      <c r="K872" s="43"/>
    </row>
    <row r="873">
      <c r="A873" s="40"/>
      <c r="B873" s="33" t="s">
        <v>8977</v>
      </c>
      <c r="C873" s="42">
        <v>1916.0</v>
      </c>
      <c r="D873" s="33" t="s">
        <v>8979</v>
      </c>
      <c r="E873" s="74"/>
      <c r="F873" s="46" t="s">
        <v>2775</v>
      </c>
      <c r="G873" s="75"/>
      <c r="H873" s="96" t="str">
        <f>HYPERLINK("http://mirror.ff7data.com.ar/ff7/data/minigame/condor.lgp/be.p.png","View Picture")</f>
        <v>View Picture</v>
      </c>
      <c r="K873" s="43"/>
    </row>
    <row r="874">
      <c r="A874" s="40"/>
      <c r="B874" s="33" t="s">
        <v>8986</v>
      </c>
      <c r="C874" s="42">
        <v>56.0</v>
      </c>
      <c r="D874" s="33" t="s">
        <v>8979</v>
      </c>
      <c r="E874" s="74"/>
      <c r="F874" s="46" t="s">
        <v>2793</v>
      </c>
      <c r="G874" s="75"/>
      <c r="H874" s="96" t="str">
        <f>HYPERLINK("http://mirror.ff7data.com.ar/ff7/data/minigame/condor.lgp/be.rsd.png","View Picture")</f>
        <v>View Picture</v>
      </c>
      <c r="K874" s="43"/>
    </row>
    <row r="875">
      <c r="A875" s="21"/>
      <c r="B875" s="33" t="s">
        <v>8994</v>
      </c>
      <c r="C875" s="42">
        <v>4404.0</v>
      </c>
      <c r="D875" s="33" t="s">
        <v>8996</v>
      </c>
      <c r="E875" s="74"/>
      <c r="F875" s="46" t="s">
        <v>2775</v>
      </c>
      <c r="G875" s="46" t="s">
        <v>8998</v>
      </c>
      <c r="H875" s="96" t="str">
        <f>HYPERLINK("http://mirror.ff7data.com.ar/ff7/data/minigame/condor.lgp/bf.p.png","View Picture")</f>
        <v>View Picture</v>
      </c>
      <c r="K875" s="43"/>
    </row>
    <row r="876">
      <c r="A876" s="21"/>
      <c r="B876" s="33" t="s">
        <v>9003</v>
      </c>
      <c r="C876" s="42">
        <v>56.0</v>
      </c>
      <c r="D876" s="33" t="s">
        <v>8996</v>
      </c>
      <c r="E876" s="74"/>
      <c r="F876" s="46" t="s">
        <v>2793</v>
      </c>
      <c r="G876" s="46" t="s">
        <v>8998</v>
      </c>
      <c r="H876" s="96" t="str">
        <f>HYPERLINK("http://mirror.ff7data.com.ar/ff7/data/minigame/condor.lgp/bf.rsd.png","View Picture")</f>
        <v>View Picture</v>
      </c>
      <c r="K876" s="43"/>
    </row>
    <row r="877">
      <c r="A877" s="21"/>
      <c r="B877" s="33" t="s">
        <v>9011</v>
      </c>
      <c r="C877" s="42">
        <v>4404.0</v>
      </c>
      <c r="D877" s="33" t="s">
        <v>9014</v>
      </c>
      <c r="E877" s="74"/>
      <c r="F877" s="46" t="s">
        <v>2775</v>
      </c>
      <c r="G877" s="46" t="s">
        <v>8998</v>
      </c>
      <c r="H877" s="96" t="str">
        <f>HYPERLINK("http://mirror.ff7data.com.ar/ff7/data/minigame/condor.lgp/bg.p.png","View Picture")</f>
        <v>View Picture</v>
      </c>
      <c r="K877" s="43"/>
    </row>
    <row r="878">
      <c r="A878" s="21"/>
      <c r="B878" s="33" t="s">
        <v>9019</v>
      </c>
      <c r="C878" s="42">
        <v>56.0</v>
      </c>
      <c r="D878" s="33" t="s">
        <v>9014</v>
      </c>
      <c r="E878" s="74"/>
      <c r="F878" s="46" t="s">
        <v>2793</v>
      </c>
      <c r="G878" s="46" t="s">
        <v>8998</v>
      </c>
      <c r="H878" s="96" t="str">
        <f>HYPERLINK("http://mirror.ff7data.com.ar/ff7/data/minigame/condor.lgp/bg.rsd.png","View Picture")</f>
        <v>View Picture</v>
      </c>
      <c r="K878" s="43"/>
    </row>
    <row r="879">
      <c r="A879" s="21"/>
      <c r="B879" s="33" t="s">
        <v>9028</v>
      </c>
      <c r="C879" s="42">
        <v>4404.0</v>
      </c>
      <c r="D879" s="33" t="s">
        <v>9030</v>
      </c>
      <c r="E879" s="74"/>
      <c r="F879" s="46" t="s">
        <v>2775</v>
      </c>
      <c r="G879" s="46" t="s">
        <v>8998</v>
      </c>
      <c r="H879" s="96" t="str">
        <f>HYPERLINK("http://mirror.ff7data.com.ar/ff7/data/minigame/condor.lgp/bh.p.png","View Picture")</f>
        <v>View Picture</v>
      </c>
      <c r="K879" s="43"/>
    </row>
    <row r="880">
      <c r="A880" s="21"/>
      <c r="B880" s="33" t="s">
        <v>9038</v>
      </c>
      <c r="C880" s="42">
        <v>56.0</v>
      </c>
      <c r="D880" s="33" t="s">
        <v>9030</v>
      </c>
      <c r="E880" s="74"/>
      <c r="F880" s="46" t="s">
        <v>2793</v>
      </c>
      <c r="G880" s="46" t="s">
        <v>8998</v>
      </c>
      <c r="H880" s="96" t="str">
        <f>HYPERLINK("http://mirror.ff7data.com.ar/ff7/data/minigame/condor.lgp/bh.rsd.png","View Picture")</f>
        <v>View Picture</v>
      </c>
      <c r="K880" s="43"/>
    </row>
    <row r="881">
      <c r="A881" s="40"/>
      <c r="B881" s="33" t="s">
        <v>9051</v>
      </c>
      <c r="C881" s="42">
        <v>4168.0</v>
      </c>
      <c r="D881" s="33" t="s">
        <v>9053</v>
      </c>
      <c r="E881" s="74"/>
      <c r="F881" s="46" t="s">
        <v>2775</v>
      </c>
      <c r="G881" s="75"/>
      <c r="H881" s="96" t="str">
        <f>HYPERLINK("http://mirror.ff7data.com.ar/ff7/data/minigame/condor.lgp/bi.p.png","View Picture")</f>
        <v>View Picture</v>
      </c>
      <c r="K881" s="43"/>
    </row>
    <row r="882">
      <c r="A882" s="40"/>
      <c r="B882" s="33" t="s">
        <v>9062</v>
      </c>
      <c r="C882" s="42">
        <v>56.0</v>
      </c>
      <c r="D882" s="33" t="s">
        <v>9053</v>
      </c>
      <c r="E882" s="74"/>
      <c r="F882" s="46" t="s">
        <v>2793</v>
      </c>
      <c r="G882" s="75"/>
      <c r="H882" s="96" t="str">
        <f>HYPERLINK("http://mirror.ff7data.com.ar/ff7/data/minigame/condor.lgp/bi.rsd.png","View Picture")</f>
        <v>View Picture</v>
      </c>
      <c r="K882" s="43"/>
    </row>
    <row r="883">
      <c r="A883" s="40"/>
      <c r="B883" s="33" t="s">
        <v>9069</v>
      </c>
      <c r="C883" s="42">
        <v>4168.0</v>
      </c>
      <c r="D883" s="33" t="s">
        <v>9072</v>
      </c>
      <c r="E883" s="74"/>
      <c r="F883" s="46" t="s">
        <v>2775</v>
      </c>
      <c r="G883" s="75"/>
      <c r="H883" s="96" t="str">
        <f>HYPERLINK("http://mirror.ff7data.com.ar/ff7/data/minigame/condor.lgp/bj.p.png","View Picture")</f>
        <v>View Picture</v>
      </c>
      <c r="K883" s="43"/>
    </row>
    <row r="884">
      <c r="A884" s="40"/>
      <c r="B884" s="33" t="s">
        <v>9076</v>
      </c>
      <c r="C884" s="42">
        <v>56.0</v>
      </c>
      <c r="D884" s="33" t="s">
        <v>9072</v>
      </c>
      <c r="E884" s="74"/>
      <c r="F884" s="46" t="s">
        <v>2793</v>
      </c>
      <c r="G884" s="75"/>
      <c r="H884" s="96" t="str">
        <f>HYPERLINK("http://mirror.ff7data.com.ar/ff7/data/minigame/condor.lgp/bj.rsd.png","View Picture")</f>
        <v>View Picture</v>
      </c>
      <c r="K884" s="43"/>
    </row>
    <row r="885">
      <c r="A885" s="40"/>
      <c r="B885" s="33" t="s">
        <v>9085</v>
      </c>
      <c r="C885" s="42">
        <v>4168.0</v>
      </c>
      <c r="D885" s="33" t="s">
        <v>9088</v>
      </c>
      <c r="E885" s="74"/>
      <c r="F885" s="46" t="s">
        <v>2775</v>
      </c>
      <c r="G885" s="75"/>
      <c r="H885" s="96" t="str">
        <f>HYPERLINK("http://mirror.ff7data.com.ar/ff7/data/minigame/condor.lgp/bk.p.png","View Picture")</f>
        <v>View Picture</v>
      </c>
      <c r="K885" s="43"/>
    </row>
    <row r="886">
      <c r="A886" s="40"/>
      <c r="B886" s="33" t="s">
        <v>9093</v>
      </c>
      <c r="C886" s="42">
        <v>56.0</v>
      </c>
      <c r="D886" s="33" t="s">
        <v>9088</v>
      </c>
      <c r="E886" s="74"/>
      <c r="F886" s="46" t="s">
        <v>2793</v>
      </c>
      <c r="G886" s="75"/>
      <c r="H886" s="96" t="str">
        <f>HYPERLINK("http://mirror.ff7data.com.ar/ff7/data/minigame/condor.lgp/bk.rsd.png","View Picture")</f>
        <v>View Picture</v>
      </c>
      <c r="K886" s="43"/>
    </row>
    <row r="887">
      <c r="A887" s="40"/>
      <c r="B887" s="33" t="s">
        <v>9099</v>
      </c>
      <c r="C887" s="42">
        <v>4168.0</v>
      </c>
      <c r="D887" s="33" t="s">
        <v>9102</v>
      </c>
      <c r="E887" s="74"/>
      <c r="F887" s="46" t="s">
        <v>2775</v>
      </c>
      <c r="G887" s="75"/>
      <c r="H887" s="96" t="str">
        <f>HYPERLINK("http://mirror.ff7data.com.ar/ff7/data/minigame/condor.lgp/bl.p.png","View Picture")</f>
        <v>View Picture</v>
      </c>
      <c r="K887" s="43"/>
    </row>
    <row r="888">
      <c r="A888" s="40"/>
      <c r="B888" s="33" t="s">
        <v>9109</v>
      </c>
      <c r="C888" s="42">
        <v>56.0</v>
      </c>
      <c r="D888" s="33" t="s">
        <v>9102</v>
      </c>
      <c r="E888" s="74"/>
      <c r="F888" s="46" t="s">
        <v>2793</v>
      </c>
      <c r="G888" s="75"/>
      <c r="H888" s="96" t="str">
        <f>HYPERLINK("http://mirror.ff7data.com.ar/ff7/data/minigame/condor.lgp/bl.rsd.png","View Picture")</f>
        <v>View Picture</v>
      </c>
      <c r="K888" s="43"/>
    </row>
    <row r="889">
      <c r="A889" s="40"/>
      <c r="B889" s="33" t="s">
        <v>9120</v>
      </c>
      <c r="C889" s="42">
        <v>4168.0</v>
      </c>
      <c r="D889" s="33" t="s">
        <v>9124</v>
      </c>
      <c r="E889" s="74"/>
      <c r="F889" s="46" t="s">
        <v>2775</v>
      </c>
      <c r="G889" s="75"/>
      <c r="H889" s="96" t="str">
        <f>HYPERLINK("http://mirror.ff7data.com.ar/ff7/data/minigame/condor.lgp/bm.p.png","View Picture")</f>
        <v>View Picture</v>
      </c>
      <c r="K889" s="43"/>
    </row>
    <row r="890">
      <c r="A890" s="40"/>
      <c r="B890" s="33" t="s">
        <v>9131</v>
      </c>
      <c r="C890" s="42">
        <v>56.0</v>
      </c>
      <c r="D890" s="33" t="s">
        <v>9124</v>
      </c>
      <c r="E890" s="74"/>
      <c r="F890" s="46" t="s">
        <v>2793</v>
      </c>
      <c r="G890" s="75"/>
      <c r="H890" s="96" t="str">
        <f>HYPERLINK("http://mirror.ff7data.com.ar/ff7/data/minigame/condor.lgp/bm.rsd.png","View Picture")</f>
        <v>View Picture</v>
      </c>
      <c r="K890" s="43"/>
    </row>
    <row r="891">
      <c r="A891" s="40"/>
      <c r="B891" s="33" t="s">
        <v>9137</v>
      </c>
      <c r="C891" s="42">
        <v>4168.0</v>
      </c>
      <c r="D891" s="33" t="s">
        <v>9140</v>
      </c>
      <c r="E891" s="74"/>
      <c r="F891" s="46" t="s">
        <v>2775</v>
      </c>
      <c r="G891" s="75"/>
      <c r="H891" s="96" t="str">
        <f>HYPERLINK("http://mirror.ff7data.com.ar/ff7/data/minigame/condor.lgp/bn.p.png","View Picture")</f>
        <v>View Picture</v>
      </c>
      <c r="K891" s="43"/>
    </row>
    <row r="892">
      <c r="A892" s="40"/>
      <c r="B892" s="33" t="s">
        <v>9145</v>
      </c>
      <c r="C892" s="42">
        <v>56.0</v>
      </c>
      <c r="D892" s="33" t="s">
        <v>9140</v>
      </c>
      <c r="E892" s="74"/>
      <c r="F892" s="46" t="s">
        <v>2793</v>
      </c>
      <c r="G892" s="75"/>
      <c r="H892" s="96" t="str">
        <f>HYPERLINK("http://mirror.ff7data.com.ar/ff7/data/minigame/condor.lgp/bn.rsd.png","View Picture")</f>
        <v>View Picture</v>
      </c>
      <c r="K892" s="43"/>
    </row>
    <row r="893">
      <c r="A893" s="40"/>
      <c r="B893" s="33" t="s">
        <v>9152</v>
      </c>
      <c r="C893" s="42">
        <v>4168.0</v>
      </c>
      <c r="D893" s="33" t="s">
        <v>9155</v>
      </c>
      <c r="E893" s="74"/>
      <c r="F893" s="46" t="s">
        <v>2775</v>
      </c>
      <c r="G893" s="75"/>
      <c r="H893" s="96" t="str">
        <f>HYPERLINK("http://mirror.ff7data.com.ar/ff7/data/minigame/condor.lgp/bo.p.png","View Picture")</f>
        <v>View Picture</v>
      </c>
      <c r="K893" s="43"/>
    </row>
    <row r="894">
      <c r="A894" s="40"/>
      <c r="B894" s="33" t="s">
        <v>9164</v>
      </c>
      <c r="C894" s="42">
        <v>56.0</v>
      </c>
      <c r="D894" s="33" t="s">
        <v>9155</v>
      </c>
      <c r="E894" s="74"/>
      <c r="F894" s="46" t="s">
        <v>2793</v>
      </c>
      <c r="G894" s="75"/>
      <c r="H894" s="96" t="str">
        <f>HYPERLINK("http://mirror.ff7data.com.ar/ff7/data/minigame/condor.lgp/bo.rsd.png","View Picture")</f>
        <v>View Picture</v>
      </c>
      <c r="K894" s="43"/>
    </row>
    <row r="895">
      <c r="A895" s="40"/>
      <c r="B895" s="33" t="s">
        <v>9170</v>
      </c>
      <c r="C895" s="42">
        <v>4168.0</v>
      </c>
      <c r="D895" s="33" t="s">
        <v>9172</v>
      </c>
      <c r="E895" s="74"/>
      <c r="F895" s="46" t="s">
        <v>2775</v>
      </c>
      <c r="G895" s="75"/>
      <c r="H895" s="96" t="str">
        <f>HYPERLINK("http://mirror.ff7data.com.ar/ff7/data/minigame/condor.lgp/bp.p.png","View Picture")</f>
        <v>View Picture</v>
      </c>
      <c r="K895" s="43"/>
    </row>
    <row r="896">
      <c r="A896" s="40"/>
      <c r="B896" s="33" t="s">
        <v>9178</v>
      </c>
      <c r="C896" s="42">
        <v>56.0</v>
      </c>
      <c r="D896" s="33" t="s">
        <v>9172</v>
      </c>
      <c r="E896" s="74"/>
      <c r="F896" s="46" t="s">
        <v>2793</v>
      </c>
      <c r="G896" s="75"/>
      <c r="H896" s="96" t="str">
        <f>HYPERLINK("http://mirror.ff7data.com.ar/ff7/data/minigame/condor.lgp/bp.rsd.png","View Picture")</f>
        <v>View Picture</v>
      </c>
      <c r="K896" s="43"/>
    </row>
    <row r="897">
      <c r="A897" s="40"/>
      <c r="B897" s="33" t="s">
        <v>9185</v>
      </c>
      <c r="C897" s="42">
        <v>4168.0</v>
      </c>
      <c r="D897" s="33" t="s">
        <v>9186</v>
      </c>
      <c r="E897" s="74"/>
      <c r="F897" s="46" t="s">
        <v>2775</v>
      </c>
      <c r="G897" s="75"/>
      <c r="H897" s="96" t="str">
        <f>HYPERLINK("http://mirror.ff7data.com.ar/ff7/data/minigame/condor.lgp/bq.p.png","View Picture")</f>
        <v>View Picture</v>
      </c>
      <c r="K897" s="43"/>
    </row>
    <row r="898">
      <c r="A898" s="40"/>
      <c r="B898" s="33" t="s">
        <v>9192</v>
      </c>
      <c r="C898" s="42">
        <v>56.0</v>
      </c>
      <c r="D898" s="33" t="s">
        <v>9186</v>
      </c>
      <c r="E898" s="74"/>
      <c r="F898" s="46" t="s">
        <v>2793</v>
      </c>
      <c r="G898" s="75"/>
      <c r="H898" s="96" t="str">
        <f>HYPERLINK("http://mirror.ff7data.com.ar/ff7/data/minigame/condor.lgp/bq.rsd.png","View Picture")</f>
        <v>View Picture</v>
      </c>
      <c r="K898" s="43"/>
    </row>
    <row r="899">
      <c r="A899" s="40"/>
      <c r="B899" s="33" t="s">
        <v>9199</v>
      </c>
      <c r="C899" s="42">
        <v>4168.0</v>
      </c>
      <c r="D899" s="33" t="s">
        <v>9202</v>
      </c>
      <c r="E899" s="74"/>
      <c r="F899" s="46" t="s">
        <v>2775</v>
      </c>
      <c r="G899" s="75"/>
      <c r="H899" s="96" t="str">
        <f>HYPERLINK("http://mirror.ff7data.com.ar/ff7/data/minigame/condor.lgp/br.p.png","View Picture")</f>
        <v>View Picture</v>
      </c>
      <c r="K899" s="43"/>
    </row>
    <row r="900">
      <c r="A900" s="40"/>
      <c r="B900" s="33" t="s">
        <v>9207</v>
      </c>
      <c r="C900" s="42">
        <v>56.0</v>
      </c>
      <c r="D900" s="33" t="s">
        <v>9202</v>
      </c>
      <c r="E900" s="74"/>
      <c r="F900" s="46" t="s">
        <v>2793</v>
      </c>
      <c r="G900" s="75"/>
      <c r="H900" s="96" t="str">
        <f>HYPERLINK("http://mirror.ff7data.com.ar/ff7/data/minigame/condor.lgp/br.rsd.png","View Picture")</f>
        <v>View Picture</v>
      </c>
      <c r="K900" s="43"/>
    </row>
    <row r="901">
      <c r="A901" s="40"/>
      <c r="B901" s="33" t="s">
        <v>9215</v>
      </c>
      <c r="C901" s="42">
        <v>4068.0</v>
      </c>
      <c r="D901" s="33" t="s">
        <v>9218</v>
      </c>
      <c r="E901" s="74"/>
      <c r="F901" s="46" t="s">
        <v>2775</v>
      </c>
      <c r="G901" s="75"/>
      <c r="H901" s="96" t="str">
        <f>HYPERLINK("http://mirror.ff7data.com.ar/ff7/data/minigame/condor.lgp/bs.p.png","View Picture")</f>
        <v>View Picture</v>
      </c>
      <c r="K901" s="43"/>
    </row>
    <row r="902">
      <c r="A902" s="40"/>
      <c r="B902" s="33" t="s">
        <v>9224</v>
      </c>
      <c r="C902" s="42">
        <v>56.0</v>
      </c>
      <c r="D902" s="33" t="s">
        <v>9218</v>
      </c>
      <c r="E902" s="74"/>
      <c r="F902" s="46" t="s">
        <v>2793</v>
      </c>
      <c r="G902" s="75"/>
      <c r="H902" s="96" t="str">
        <f>HYPERLINK("http://mirror.ff7data.com.ar/ff7/data/minigame/condor.lgp/bs.rsd.png","View Picture")</f>
        <v>View Picture</v>
      </c>
      <c r="K902" s="43"/>
    </row>
    <row r="903">
      <c r="A903" s="40"/>
      <c r="B903" s="33" t="s">
        <v>9231</v>
      </c>
      <c r="C903" s="42">
        <v>4168.0</v>
      </c>
      <c r="D903" s="33" t="s">
        <v>9234</v>
      </c>
      <c r="E903" s="74"/>
      <c r="F903" s="46" t="s">
        <v>2775</v>
      </c>
      <c r="G903" s="75"/>
      <c r="H903" s="96" t="str">
        <f>HYPERLINK("http://mirror.ff7data.com.ar/ff7/data/minigame/condor.lgp/bt.p.png","View Picture")</f>
        <v>View Picture</v>
      </c>
      <c r="K903" s="43"/>
    </row>
    <row r="904">
      <c r="A904" s="40"/>
      <c r="B904" s="33" t="s">
        <v>9240</v>
      </c>
      <c r="C904" s="42">
        <v>56.0</v>
      </c>
      <c r="D904" s="33" t="s">
        <v>9234</v>
      </c>
      <c r="E904" s="74"/>
      <c r="F904" s="46" t="s">
        <v>2793</v>
      </c>
      <c r="G904" s="75"/>
      <c r="H904" s="96" t="str">
        <f>HYPERLINK("http://mirror.ff7data.com.ar/ff7/data/minigame/condor.lgp/bt.rsd.png","View Picture")</f>
        <v>View Picture</v>
      </c>
      <c r="K904" s="43"/>
    </row>
    <row r="905">
      <c r="A905" s="40"/>
      <c r="B905" s="33" t="s">
        <v>9248</v>
      </c>
      <c r="C905" s="42">
        <v>4168.0</v>
      </c>
      <c r="D905" s="33" t="s">
        <v>9250</v>
      </c>
      <c r="E905" s="74"/>
      <c r="F905" s="46" t="s">
        <v>2775</v>
      </c>
      <c r="G905" s="75"/>
      <c r="H905" s="96" t="str">
        <f>HYPERLINK("http://mirror.ff7data.com.ar/ff7/data/minigame/condor.lgp/bu.p.png","View Picture")</f>
        <v>View Picture</v>
      </c>
      <c r="K905" s="43"/>
    </row>
    <row r="906">
      <c r="A906" s="40"/>
      <c r="B906" s="33" t="s">
        <v>9257</v>
      </c>
      <c r="C906" s="42">
        <v>56.0</v>
      </c>
      <c r="D906" s="33" t="s">
        <v>9250</v>
      </c>
      <c r="E906" s="74"/>
      <c r="F906" s="46" t="s">
        <v>2793</v>
      </c>
      <c r="G906" s="75"/>
      <c r="H906" s="96" t="str">
        <f>HYPERLINK("http://mirror.ff7data.com.ar/ff7/data/minigame/condor.lgp/bu.rsd.png","View Picture")</f>
        <v>View Picture</v>
      </c>
      <c r="K906" s="43"/>
    </row>
    <row r="907">
      <c r="A907" s="40"/>
      <c r="B907" s="33" t="s">
        <v>9269</v>
      </c>
      <c r="C907" s="42">
        <v>4168.0</v>
      </c>
      <c r="D907" s="33" t="s">
        <v>9271</v>
      </c>
      <c r="E907" s="74"/>
      <c r="F907" s="46" t="s">
        <v>2775</v>
      </c>
      <c r="G907" s="75"/>
      <c r="H907" s="96" t="str">
        <f>HYPERLINK("http://mirror.ff7data.com.ar/ff7/data/minigame/condor.lgp/bv.p.png","View Picture")</f>
        <v>View Picture</v>
      </c>
      <c r="K907" s="43"/>
    </row>
    <row r="908">
      <c r="A908" s="40"/>
      <c r="B908" s="33" t="s">
        <v>9279</v>
      </c>
      <c r="C908" s="42">
        <v>56.0</v>
      </c>
      <c r="D908" s="33" t="s">
        <v>9271</v>
      </c>
      <c r="E908" s="74"/>
      <c r="F908" s="46" t="s">
        <v>2793</v>
      </c>
      <c r="G908" s="75"/>
      <c r="H908" s="96" t="str">
        <f>HYPERLINK("http://mirror.ff7data.com.ar/ff7/data/minigame/condor.lgp/bv.rsd.png","View Picture")</f>
        <v>View Picture</v>
      </c>
      <c r="K908" s="43"/>
    </row>
    <row r="909">
      <c r="A909" s="40"/>
      <c r="B909" s="33" t="s">
        <v>9288</v>
      </c>
      <c r="C909" s="42">
        <v>4168.0</v>
      </c>
      <c r="D909" s="33" t="s">
        <v>9291</v>
      </c>
      <c r="E909" s="74"/>
      <c r="F909" s="46" t="s">
        <v>2775</v>
      </c>
      <c r="G909" s="75"/>
      <c r="H909" s="96" t="str">
        <f>HYPERLINK("http://mirror.ff7data.com.ar/ff7/data/minigame/condor.lgp/bw.p.png","View Picture")</f>
        <v>View Picture</v>
      </c>
      <c r="K909" s="43"/>
    </row>
    <row r="910">
      <c r="A910" s="40"/>
      <c r="B910" s="33" t="s">
        <v>9294</v>
      </c>
      <c r="C910" s="42">
        <v>56.0</v>
      </c>
      <c r="D910" s="33" t="s">
        <v>9291</v>
      </c>
      <c r="E910" s="74"/>
      <c r="F910" s="46" t="s">
        <v>2793</v>
      </c>
      <c r="G910" s="75"/>
      <c r="H910" s="96" t="str">
        <f>HYPERLINK("http://mirror.ff7data.com.ar/ff7/data/minigame/condor.lgp/bw.rsd.png","View Picture")</f>
        <v>View Picture</v>
      </c>
      <c r="K910" s="43"/>
    </row>
    <row r="911">
      <c r="A911" s="40"/>
      <c r="B911" s="33" t="s">
        <v>9297</v>
      </c>
      <c r="C911" s="42">
        <v>4168.0</v>
      </c>
      <c r="D911" s="33" t="s">
        <v>9299</v>
      </c>
      <c r="E911" s="74"/>
      <c r="F911" s="46" t="s">
        <v>2775</v>
      </c>
      <c r="G911" s="75"/>
      <c r="H911" s="96" t="str">
        <f>HYPERLINK("http://mirror.ff7data.com.ar/ff7/data/minigame/condor.lgp/bx.p.png","View Picture")</f>
        <v>View Picture</v>
      </c>
      <c r="K911" s="43"/>
    </row>
    <row r="912">
      <c r="A912" s="40"/>
      <c r="B912" s="33" t="s">
        <v>9300</v>
      </c>
      <c r="C912" s="42">
        <v>56.0</v>
      </c>
      <c r="D912" s="33" t="s">
        <v>9299</v>
      </c>
      <c r="E912" s="74"/>
      <c r="F912" s="46" t="s">
        <v>2793</v>
      </c>
      <c r="G912" s="75"/>
      <c r="H912" s="96" t="str">
        <f>HYPERLINK("http://mirror.ff7data.com.ar/ff7/data/minigame/condor.lgp/bx.rsd.png","View Picture")</f>
        <v>View Picture</v>
      </c>
      <c r="K912" s="43"/>
    </row>
    <row r="913">
      <c r="A913" s="40"/>
      <c r="B913" s="33" t="s">
        <v>9302</v>
      </c>
      <c r="C913" s="42">
        <v>2616.0</v>
      </c>
      <c r="D913" s="33" t="s">
        <v>9305</v>
      </c>
      <c r="E913" s="74"/>
      <c r="F913" s="46" t="s">
        <v>2775</v>
      </c>
      <c r="G913" s="75"/>
      <c r="H913" s="96" t="str">
        <f>HYPERLINK("http://mirror.ff7data.com.ar/ff7/data/minigame/condor.lgp/by.p.png","View Picture")</f>
        <v>View Picture</v>
      </c>
      <c r="K913" s="43"/>
    </row>
    <row r="914">
      <c r="A914" s="40"/>
      <c r="B914" s="33" t="s">
        <v>9312</v>
      </c>
      <c r="C914" s="42">
        <v>56.0</v>
      </c>
      <c r="D914" s="33" t="s">
        <v>9305</v>
      </c>
      <c r="E914" s="74"/>
      <c r="F914" s="46" t="s">
        <v>2793</v>
      </c>
      <c r="G914" s="75"/>
      <c r="H914" s="96" t="str">
        <f>HYPERLINK("http://mirror.ff7data.com.ar/ff7/data/minigame/condor.lgp/by.rsd.png","View Picture")</f>
        <v>View Picture</v>
      </c>
      <c r="K914" s="43"/>
    </row>
    <row r="915">
      <c r="A915" s="40"/>
      <c r="B915" s="33" t="s">
        <v>9323</v>
      </c>
      <c r="C915" s="42">
        <v>2288.0</v>
      </c>
      <c r="D915" s="33" t="s">
        <v>9325</v>
      </c>
      <c r="E915" s="74"/>
      <c r="F915" s="46" t="s">
        <v>2775</v>
      </c>
      <c r="G915" s="75"/>
      <c r="H915" s="96" t="str">
        <f>HYPERLINK("http://mirror.ff7data.com.ar/ff7/data/minigame/condor.lgp/bz.p.png","View Picture")</f>
        <v>View Picture</v>
      </c>
      <c r="K915" s="43"/>
    </row>
    <row r="916">
      <c r="A916" s="40"/>
      <c r="B916" s="33" t="s">
        <v>9335</v>
      </c>
      <c r="C916" s="42">
        <v>56.0</v>
      </c>
      <c r="D916" s="33" t="s">
        <v>9325</v>
      </c>
      <c r="E916" s="74"/>
      <c r="F916" s="46" t="s">
        <v>2793</v>
      </c>
      <c r="G916" s="75"/>
      <c r="H916" s="96" t="str">
        <f>HYPERLINK("http://mirror.ff7data.com.ar/ff7/data/minigame/condor.lgp/bz.rsd.png","View Picture")</f>
        <v>View Picture</v>
      </c>
      <c r="K916" s="43"/>
    </row>
    <row r="917">
      <c r="A917" s="40"/>
      <c r="B917" s="33" t="s">
        <v>9345</v>
      </c>
      <c r="C917" s="42">
        <v>2288.0</v>
      </c>
      <c r="D917" s="33" t="s">
        <v>9347</v>
      </c>
      <c r="E917" s="74"/>
      <c r="F917" s="46" t="s">
        <v>2775</v>
      </c>
      <c r="G917" s="75"/>
      <c r="H917" s="96" t="str">
        <f>HYPERLINK("http://mirror.ff7data.com.ar/ff7/data/minigame/condor.lgp/ca.p.png","View Picture")</f>
        <v>View Picture</v>
      </c>
      <c r="K917" s="43"/>
    </row>
    <row r="918">
      <c r="A918" s="40"/>
      <c r="B918" s="33" t="s">
        <v>9358</v>
      </c>
      <c r="C918" s="42">
        <v>56.0</v>
      </c>
      <c r="D918" s="33" t="s">
        <v>9347</v>
      </c>
      <c r="E918" s="74"/>
      <c r="F918" s="46" t="s">
        <v>2793</v>
      </c>
      <c r="G918" s="75"/>
      <c r="H918" s="96" t="str">
        <f>HYPERLINK("http://mirror.ff7data.com.ar/ff7/data/minigame/condor.lgp/ca.rsd.png","View Picture")</f>
        <v>View Picture</v>
      </c>
      <c r="K918" s="43"/>
    </row>
    <row r="919">
      <c r="A919" s="21"/>
      <c r="B919" s="33" t="s">
        <v>9369</v>
      </c>
      <c r="C919" s="42">
        <v>76.0</v>
      </c>
      <c r="D919" s="31"/>
      <c r="E919" s="74"/>
      <c r="F919" s="46" t="s">
        <v>8439</v>
      </c>
      <c r="G919" s="75"/>
      <c r="H919" s="114"/>
      <c r="K919" s="43"/>
    </row>
    <row r="920">
      <c r="A920" s="40"/>
      <c r="B920" s="33" t="s">
        <v>9375</v>
      </c>
      <c r="C920" s="42">
        <v>2288.0</v>
      </c>
      <c r="D920" s="33" t="s">
        <v>9377</v>
      </c>
      <c r="E920" s="74"/>
      <c r="F920" s="46" t="s">
        <v>2775</v>
      </c>
      <c r="G920" s="75"/>
      <c r="H920" s="96" t="str">
        <f>HYPERLINK("http://mirror.ff7data.com.ar/ff7/data/minigame/condor.lgp/cb.p.png","View Picture")</f>
        <v>View Picture</v>
      </c>
      <c r="K920" s="43"/>
    </row>
    <row r="921">
      <c r="A921" s="40"/>
      <c r="B921" s="33" t="s">
        <v>9389</v>
      </c>
      <c r="C921" s="42">
        <v>56.0</v>
      </c>
      <c r="D921" s="33" t="s">
        <v>9377</v>
      </c>
      <c r="E921" s="74"/>
      <c r="F921" s="46" t="s">
        <v>2793</v>
      </c>
      <c r="G921" s="75"/>
      <c r="H921" s="96" t="str">
        <f>HYPERLINK("http://mirror.ff7data.com.ar/ff7/data/minigame/condor.lgp/cb.rsd.png","View Picture")</f>
        <v>View Picture</v>
      </c>
      <c r="K921" s="43"/>
    </row>
    <row r="922">
      <c r="A922" s="40"/>
      <c r="B922" s="33" t="s">
        <v>9403</v>
      </c>
      <c r="C922" s="42">
        <v>2288.0</v>
      </c>
      <c r="D922" s="33" t="s">
        <v>9406</v>
      </c>
      <c r="E922" s="74"/>
      <c r="F922" s="46" t="s">
        <v>2775</v>
      </c>
      <c r="G922" s="75"/>
      <c r="H922" s="96" t="str">
        <f>HYPERLINK("http://mirror.ff7data.com.ar/ff7/data/minigame/condor.lgp/cc.p.png","View Picture")</f>
        <v>View Picture</v>
      </c>
      <c r="K922" s="43"/>
    </row>
    <row r="923">
      <c r="A923" s="40"/>
      <c r="B923" s="33" t="s">
        <v>9416</v>
      </c>
      <c r="C923" s="42">
        <v>56.0</v>
      </c>
      <c r="D923" s="33" t="s">
        <v>9406</v>
      </c>
      <c r="E923" s="74"/>
      <c r="F923" s="46" t="s">
        <v>2793</v>
      </c>
      <c r="G923" s="75"/>
      <c r="H923" s="96" t="str">
        <f>HYPERLINK("http://mirror.ff7data.com.ar/ff7/data/minigame/condor.lgp/cc.rsd.png","View Picture")</f>
        <v>View Picture</v>
      </c>
      <c r="K923" s="43"/>
    </row>
    <row r="924">
      <c r="A924" s="40"/>
      <c r="B924" s="33" t="s">
        <v>9427</v>
      </c>
      <c r="C924" s="42">
        <v>2288.0</v>
      </c>
      <c r="D924" s="33" t="s">
        <v>9429</v>
      </c>
      <c r="E924" s="74"/>
      <c r="F924" s="46" t="s">
        <v>2775</v>
      </c>
      <c r="G924" s="75"/>
      <c r="H924" s="96" t="str">
        <f>HYPERLINK("http://mirror.ff7data.com.ar/ff7/data/minigame/condor.lgp/cd.p.png","View Picture")</f>
        <v>View Picture</v>
      </c>
      <c r="K924" s="43"/>
    </row>
    <row r="925">
      <c r="A925" s="40"/>
      <c r="B925" s="33" t="s">
        <v>9440</v>
      </c>
      <c r="C925" s="42">
        <v>56.0</v>
      </c>
      <c r="D925" s="33" t="s">
        <v>9429</v>
      </c>
      <c r="E925" s="74"/>
      <c r="F925" s="46" t="s">
        <v>2793</v>
      </c>
      <c r="G925" s="75"/>
      <c r="H925" s="96" t="str">
        <f>HYPERLINK("http://mirror.ff7data.com.ar/ff7/data/minigame/condor.lgp/cd.rsd.png","View Picture")</f>
        <v>View Picture</v>
      </c>
      <c r="K925" s="43"/>
    </row>
    <row r="926">
      <c r="A926" s="40"/>
      <c r="B926" s="33" t="s">
        <v>2771</v>
      </c>
      <c r="C926" s="42">
        <v>2288.0</v>
      </c>
      <c r="D926" s="33" t="s">
        <v>9451</v>
      </c>
      <c r="E926" s="74"/>
      <c r="F926" s="46" t="s">
        <v>2775</v>
      </c>
      <c r="G926" s="75"/>
      <c r="H926" s="96" t="str">
        <f>HYPERLINK("http://mirror.ff7data.com.ar/ff7/data/minigame/condor.lgp/ce.p.png","View Picture")</f>
        <v>View Picture</v>
      </c>
      <c r="K926" s="43"/>
    </row>
    <row r="927">
      <c r="A927" s="40"/>
      <c r="B927" s="33" t="s">
        <v>2790</v>
      </c>
      <c r="C927" s="42">
        <v>56.0</v>
      </c>
      <c r="D927" s="33" t="s">
        <v>9451</v>
      </c>
      <c r="E927" s="74"/>
      <c r="F927" s="46" t="s">
        <v>2793</v>
      </c>
      <c r="G927" s="75"/>
      <c r="H927" s="96" t="str">
        <f>HYPERLINK("http://mirror.ff7data.com.ar/ff7/data/minigame/condor.lgp/ce.rsd.png","View Picture")</f>
        <v>View Picture</v>
      </c>
      <c r="K927" s="43"/>
    </row>
    <row r="928">
      <c r="A928" s="40"/>
      <c r="B928" s="33" t="s">
        <v>2806</v>
      </c>
      <c r="C928" s="42">
        <v>4744.0</v>
      </c>
      <c r="D928" s="33" t="s">
        <v>9469</v>
      </c>
      <c r="E928" s="74"/>
      <c r="F928" s="46" t="s">
        <v>2775</v>
      </c>
      <c r="G928" s="75"/>
      <c r="H928" s="96" t="str">
        <f>HYPERLINK("http://mirror.ff7data.com.ar/ff7/data/minigame/condor.lgp/cf.p.png","View Picture")</f>
        <v>View Picture</v>
      </c>
      <c r="K928" s="43"/>
    </row>
    <row r="929">
      <c r="A929" s="40"/>
      <c r="B929" s="33" t="s">
        <v>2823</v>
      </c>
      <c r="C929" s="42">
        <v>56.0</v>
      </c>
      <c r="D929" s="33" t="s">
        <v>9469</v>
      </c>
      <c r="E929" s="74"/>
      <c r="F929" s="46" t="s">
        <v>2793</v>
      </c>
      <c r="G929" s="75"/>
      <c r="H929" s="96" t="str">
        <f>HYPERLINK("http://mirror.ff7data.com.ar/ff7/data/minigame/condor.lgp/cf.rsd.png","View Picture")</f>
        <v>View Picture</v>
      </c>
      <c r="K929" s="43"/>
    </row>
    <row r="930">
      <c r="A930" s="40"/>
      <c r="B930" s="33" t="s">
        <v>2840</v>
      </c>
      <c r="C930" s="42">
        <v>4744.0</v>
      </c>
      <c r="D930" s="33" t="s">
        <v>9486</v>
      </c>
      <c r="E930" s="74"/>
      <c r="F930" s="46" t="s">
        <v>2775</v>
      </c>
      <c r="G930" s="75"/>
      <c r="H930" s="96" t="str">
        <f>HYPERLINK("http://mirror.ff7data.com.ar/ff7/data/minigame/condor.lgp/cg.p.png","View Picture")</f>
        <v>View Picture</v>
      </c>
      <c r="K930" s="43"/>
    </row>
    <row r="931">
      <c r="A931" s="40"/>
      <c r="B931" s="33" t="s">
        <v>2853</v>
      </c>
      <c r="C931" s="42">
        <v>56.0</v>
      </c>
      <c r="D931" s="33" t="s">
        <v>9486</v>
      </c>
      <c r="E931" s="74"/>
      <c r="F931" s="46" t="s">
        <v>2793</v>
      </c>
      <c r="G931" s="75"/>
      <c r="H931" s="96" t="str">
        <f>HYPERLINK("http://mirror.ff7data.com.ar/ff7/data/minigame/condor.lgp/cg.rsd.png","View Picture")</f>
        <v>View Picture</v>
      </c>
      <c r="K931" s="43"/>
    </row>
    <row r="932">
      <c r="A932" s="40"/>
      <c r="B932" s="33" t="s">
        <v>2870</v>
      </c>
      <c r="C932" s="42">
        <v>4744.0</v>
      </c>
      <c r="D932" s="33" t="s">
        <v>9502</v>
      </c>
      <c r="E932" s="74"/>
      <c r="F932" s="46" t="s">
        <v>2775</v>
      </c>
      <c r="G932" s="75"/>
      <c r="H932" s="96" t="str">
        <f>HYPERLINK("http://mirror.ff7data.com.ar/ff7/data/minigame/condor.lgp/ch.p.png","View Picture")</f>
        <v>View Picture</v>
      </c>
      <c r="K932" s="43"/>
    </row>
    <row r="933">
      <c r="A933" s="40"/>
      <c r="B933" s="33" t="s">
        <v>2881</v>
      </c>
      <c r="C933" s="42">
        <v>56.0</v>
      </c>
      <c r="D933" s="33" t="s">
        <v>9502</v>
      </c>
      <c r="E933" s="74"/>
      <c r="F933" s="46" t="s">
        <v>2793</v>
      </c>
      <c r="G933" s="75"/>
      <c r="H933" s="96" t="str">
        <f>HYPERLINK("http://mirror.ff7data.com.ar/ff7/data/minigame/condor.lgp/ch.rsd.png","View Picture")</f>
        <v>View Picture</v>
      </c>
      <c r="K933" s="43"/>
    </row>
    <row r="934">
      <c r="A934" s="40"/>
      <c r="B934" s="33" t="s">
        <v>2913</v>
      </c>
      <c r="C934" s="42">
        <v>4744.0</v>
      </c>
      <c r="D934" s="33" t="s">
        <v>9515</v>
      </c>
      <c r="E934" s="74"/>
      <c r="F934" s="46" t="s">
        <v>2775</v>
      </c>
      <c r="G934" s="75"/>
      <c r="H934" s="96" t="str">
        <f>HYPERLINK("http://mirror.ff7data.com.ar/ff7/data/minigame/condor.lgp/ci.p.png","View Picture")</f>
        <v>View Picture</v>
      </c>
      <c r="K934" s="43"/>
    </row>
    <row r="935">
      <c r="A935" s="40"/>
      <c r="B935" s="33" t="s">
        <v>2927</v>
      </c>
      <c r="C935" s="42">
        <v>56.0</v>
      </c>
      <c r="D935" s="33" t="s">
        <v>9515</v>
      </c>
      <c r="E935" s="74"/>
      <c r="F935" s="46" t="s">
        <v>2793</v>
      </c>
      <c r="G935" s="75"/>
      <c r="H935" s="96" t="str">
        <f>HYPERLINK("http://mirror.ff7data.com.ar/ff7/data/minigame/condor.lgp/ci.rsd.png","View Picture")</f>
        <v>View Picture</v>
      </c>
      <c r="K935" s="43"/>
    </row>
    <row r="936">
      <c r="A936" s="40"/>
      <c r="B936" s="33" t="s">
        <v>2935</v>
      </c>
      <c r="C936" s="42">
        <v>4744.0</v>
      </c>
      <c r="D936" s="33" t="s">
        <v>9529</v>
      </c>
      <c r="E936" s="74"/>
      <c r="F936" s="46" t="s">
        <v>2775</v>
      </c>
      <c r="G936" s="75"/>
      <c r="H936" s="96" t="str">
        <f>HYPERLINK("http://mirror.ff7data.com.ar/ff7/data/minigame/condor.lgp/cj.p.png","View Picture")</f>
        <v>View Picture</v>
      </c>
      <c r="K936" s="43"/>
    </row>
    <row r="937">
      <c r="A937" s="40"/>
      <c r="B937" s="33" t="s">
        <v>2948</v>
      </c>
      <c r="C937" s="42">
        <v>56.0</v>
      </c>
      <c r="D937" s="33" t="s">
        <v>9529</v>
      </c>
      <c r="E937" s="74"/>
      <c r="F937" s="46" t="s">
        <v>2793</v>
      </c>
      <c r="G937" s="75"/>
      <c r="H937" s="96" t="str">
        <f>HYPERLINK("http://mirror.ff7data.com.ar/ff7/data/minigame/condor.lgp/cj.rsd.png","View Picture")</f>
        <v>View Picture</v>
      </c>
      <c r="K937" s="43"/>
    </row>
    <row r="938">
      <c r="A938" s="40"/>
      <c r="B938" s="33" t="s">
        <v>2955</v>
      </c>
      <c r="C938" s="42">
        <v>4744.0</v>
      </c>
      <c r="D938" s="33" t="s">
        <v>9544</v>
      </c>
      <c r="E938" s="74"/>
      <c r="F938" s="46" t="s">
        <v>2775</v>
      </c>
      <c r="G938" s="75"/>
      <c r="H938" s="96" t="str">
        <f>HYPERLINK("http://mirror.ff7data.com.ar/ff7/data/minigame/condor.lgp/ck.p.png","View Picture")</f>
        <v>View Picture</v>
      </c>
      <c r="K938" s="43"/>
    </row>
    <row r="939">
      <c r="A939" s="40"/>
      <c r="B939" s="33" t="s">
        <v>2969</v>
      </c>
      <c r="C939" s="42">
        <v>56.0</v>
      </c>
      <c r="D939" s="33" t="s">
        <v>9544</v>
      </c>
      <c r="E939" s="74"/>
      <c r="F939" s="46" t="s">
        <v>2793</v>
      </c>
      <c r="G939" s="75"/>
      <c r="H939" s="96" t="str">
        <f>HYPERLINK("http://mirror.ff7data.com.ar/ff7/data/minigame/condor.lgp/ck.rsd.png","View Picture")</f>
        <v>View Picture</v>
      </c>
      <c r="K939" s="43"/>
    </row>
    <row r="940">
      <c r="A940" s="40"/>
      <c r="B940" s="33" t="s">
        <v>2996</v>
      </c>
      <c r="C940" s="42">
        <v>4744.0</v>
      </c>
      <c r="D940" s="33" t="s">
        <v>9556</v>
      </c>
      <c r="E940" s="74"/>
      <c r="F940" s="46" t="s">
        <v>2775</v>
      </c>
      <c r="G940" s="75"/>
      <c r="H940" s="96" t="str">
        <f>HYPERLINK("http://mirror.ff7data.com.ar/ff7/data/minigame/condor.lgp/cl.p.png","View Picture")</f>
        <v>View Picture</v>
      </c>
      <c r="K940" s="43"/>
    </row>
    <row r="941">
      <c r="A941" s="40"/>
      <c r="B941" s="33" t="s">
        <v>3011</v>
      </c>
      <c r="C941" s="42">
        <v>56.0</v>
      </c>
      <c r="D941" s="33" t="s">
        <v>9556</v>
      </c>
      <c r="E941" s="74"/>
      <c r="F941" s="46" t="s">
        <v>2793</v>
      </c>
      <c r="G941" s="75"/>
      <c r="H941" s="96" t="str">
        <f>HYPERLINK("http://mirror.ff7data.com.ar/ff7/data/minigame/condor.lgp/cl.rsd.png","View Picture")</f>
        <v>View Picture</v>
      </c>
      <c r="K941" s="43"/>
    </row>
    <row r="942">
      <c r="A942" s="40"/>
      <c r="B942" s="33" t="s">
        <v>3022</v>
      </c>
      <c r="C942" s="42">
        <v>4744.0</v>
      </c>
      <c r="D942" s="33" t="s">
        <v>9572</v>
      </c>
      <c r="E942" s="74"/>
      <c r="F942" s="46" t="s">
        <v>2775</v>
      </c>
      <c r="G942" s="75"/>
      <c r="H942" s="96" t="str">
        <f>HYPERLINK("http://mirror.ff7data.com.ar/ff7/data/minigame/condor.lgp/cm.p.png","View Picture")</f>
        <v>View Picture</v>
      </c>
      <c r="K942" s="43"/>
    </row>
    <row r="943">
      <c r="A943" s="40"/>
      <c r="B943" s="33" t="s">
        <v>3033</v>
      </c>
      <c r="C943" s="42">
        <v>56.0</v>
      </c>
      <c r="D943" s="33" t="s">
        <v>9572</v>
      </c>
      <c r="E943" s="74"/>
      <c r="F943" s="46" t="s">
        <v>2793</v>
      </c>
      <c r="G943" s="75"/>
      <c r="H943" s="96" t="str">
        <f>HYPERLINK("http://mirror.ff7data.com.ar/ff7/data/minigame/condor.lgp/cm.rsd.png","View Picture")</f>
        <v>View Picture</v>
      </c>
      <c r="K943" s="43"/>
    </row>
    <row r="944">
      <c r="A944" s="40"/>
      <c r="B944" s="33" t="s">
        <v>3045</v>
      </c>
      <c r="C944" s="42">
        <v>4744.0</v>
      </c>
      <c r="D944" s="33" t="s">
        <v>9601</v>
      </c>
      <c r="E944" s="74"/>
      <c r="F944" s="46" t="s">
        <v>2775</v>
      </c>
      <c r="G944" s="75"/>
      <c r="H944" s="96" t="str">
        <f>HYPERLINK("http://mirror.ff7data.com.ar/ff7/data/minigame/condor.lgp/cn.p.png","View Picture")</f>
        <v>View Picture</v>
      </c>
      <c r="K944" s="43"/>
    </row>
    <row r="945">
      <c r="A945" s="40"/>
      <c r="B945" s="33" t="s">
        <v>3055</v>
      </c>
      <c r="C945" s="42">
        <v>56.0</v>
      </c>
      <c r="D945" s="33" t="s">
        <v>9601</v>
      </c>
      <c r="E945" s="74"/>
      <c r="F945" s="46" t="s">
        <v>2793</v>
      </c>
      <c r="G945" s="75"/>
      <c r="H945" s="96" t="str">
        <f>HYPERLINK("http://mirror.ff7data.com.ar/ff7/data/minigame/condor.lgp/cn.rsd.png","View Picture")</f>
        <v>View Picture</v>
      </c>
      <c r="K945" s="43"/>
    </row>
    <row r="946">
      <c r="A946" s="40"/>
      <c r="B946" s="33" t="s">
        <v>3066</v>
      </c>
      <c r="C946" s="42">
        <v>4744.0</v>
      </c>
      <c r="D946" s="33" t="s">
        <v>9617</v>
      </c>
      <c r="E946" s="74"/>
      <c r="F946" s="46" t="s">
        <v>2775</v>
      </c>
      <c r="G946" s="75"/>
      <c r="H946" s="96" t="str">
        <f>HYPERLINK("http://mirror.ff7data.com.ar/ff7/data/minigame/condor.lgp/co.p.png","View Picture")</f>
        <v>View Picture</v>
      </c>
      <c r="K946" s="43"/>
    </row>
    <row r="947">
      <c r="A947" s="40"/>
      <c r="B947" s="33" t="s">
        <v>3075</v>
      </c>
      <c r="C947" s="42">
        <v>56.0</v>
      </c>
      <c r="D947" s="33" t="s">
        <v>9617</v>
      </c>
      <c r="E947" s="74"/>
      <c r="F947" s="46" t="s">
        <v>2793</v>
      </c>
      <c r="G947" s="75"/>
      <c r="H947" s="96" t="str">
        <f>HYPERLINK("http://mirror.ff7data.com.ar/ff7/data/minigame/condor.lgp/co.rsd.png","View Picture")</f>
        <v>View Picture</v>
      </c>
      <c r="K947" s="43"/>
    </row>
    <row r="948">
      <c r="A948" s="40"/>
      <c r="B948" s="33" t="s">
        <v>3088</v>
      </c>
      <c r="C948" s="42">
        <v>4744.0</v>
      </c>
      <c r="D948" s="33" t="s">
        <v>9632</v>
      </c>
      <c r="E948" s="74"/>
      <c r="F948" s="46" t="s">
        <v>2775</v>
      </c>
      <c r="G948" s="75"/>
      <c r="H948" s="96" t="str">
        <f>HYPERLINK("http://mirror.ff7data.com.ar/ff7/data/minigame/condor.lgp/cp.p.png","View Picture")</f>
        <v>View Picture</v>
      </c>
      <c r="K948" s="43"/>
    </row>
    <row r="949">
      <c r="A949" s="40"/>
      <c r="B949" s="33" t="s">
        <v>3109</v>
      </c>
      <c r="C949" s="42">
        <v>56.0</v>
      </c>
      <c r="D949" s="33" t="s">
        <v>9632</v>
      </c>
      <c r="E949" s="74"/>
      <c r="F949" s="46" t="s">
        <v>2793</v>
      </c>
      <c r="G949" s="75"/>
      <c r="H949" s="96" t="str">
        <f>HYPERLINK("http://mirror.ff7data.com.ar/ff7/data/minigame/condor.lgp/cp.rsd.png","View Picture")</f>
        <v>View Picture</v>
      </c>
      <c r="K949" s="43"/>
    </row>
    <row r="950">
      <c r="A950" s="40"/>
      <c r="B950" s="33" t="s">
        <v>3121</v>
      </c>
      <c r="C950" s="42">
        <v>4716.0</v>
      </c>
      <c r="D950" s="33" t="s">
        <v>9648</v>
      </c>
      <c r="E950" s="74"/>
      <c r="F950" s="46" t="s">
        <v>2775</v>
      </c>
      <c r="G950" s="75"/>
      <c r="H950" s="96" t="str">
        <f>HYPERLINK("http://mirror.ff7data.com.ar/ff7/data/minigame/condor.lgp/cq.p.png","View Picture")</f>
        <v>View Picture</v>
      </c>
      <c r="K950" s="43"/>
    </row>
    <row r="951">
      <c r="A951" s="40"/>
      <c r="B951" s="33" t="s">
        <v>3132</v>
      </c>
      <c r="C951" s="42">
        <v>56.0</v>
      </c>
      <c r="D951" s="33" t="s">
        <v>9648</v>
      </c>
      <c r="E951" s="74"/>
      <c r="F951" s="46" t="s">
        <v>2793</v>
      </c>
      <c r="G951" s="75"/>
      <c r="H951" s="96" t="str">
        <f>HYPERLINK("http://mirror.ff7data.com.ar/ff7/data/minigame/condor.lgp/cq.rsd.png","View Picture")</f>
        <v>View Picture</v>
      </c>
      <c r="K951" s="43"/>
    </row>
    <row r="952">
      <c r="A952" s="40"/>
      <c r="B952" s="33" t="s">
        <v>3141</v>
      </c>
      <c r="C952" s="42">
        <v>4744.0</v>
      </c>
      <c r="D952" s="33" t="s">
        <v>9661</v>
      </c>
      <c r="E952" s="74"/>
      <c r="F952" s="46" t="s">
        <v>2775</v>
      </c>
      <c r="G952" s="75"/>
      <c r="H952" s="96" t="str">
        <f>HYPERLINK("http://mirror.ff7data.com.ar/ff7/data/minigame/condor.lgp/cr.p.png","View Picture")</f>
        <v>View Picture</v>
      </c>
      <c r="K952" s="43"/>
    </row>
    <row r="953">
      <c r="A953" s="40"/>
      <c r="B953" s="33" t="s">
        <v>3153</v>
      </c>
      <c r="C953" s="42">
        <v>56.0</v>
      </c>
      <c r="D953" s="33" t="s">
        <v>9661</v>
      </c>
      <c r="E953" s="74"/>
      <c r="F953" s="46" t="s">
        <v>2793</v>
      </c>
      <c r="G953" s="75"/>
      <c r="H953" s="96" t="str">
        <f>HYPERLINK("http://mirror.ff7data.com.ar/ff7/data/minigame/condor.lgp/cr.rsd.png","View Picture")</f>
        <v>View Picture</v>
      </c>
      <c r="K953" s="43"/>
    </row>
    <row r="954">
      <c r="A954" s="40"/>
      <c r="B954" s="33" t="s">
        <v>3164</v>
      </c>
      <c r="C954" s="42">
        <v>4744.0</v>
      </c>
      <c r="D954" s="33" t="s">
        <v>9679</v>
      </c>
      <c r="E954" s="74"/>
      <c r="F954" s="46" t="s">
        <v>2775</v>
      </c>
      <c r="G954" s="75"/>
      <c r="H954" s="96" t="str">
        <f>HYPERLINK("http://mirror.ff7data.com.ar/ff7/data/minigame/condor.lgp/cs.p.png","View Picture")</f>
        <v>View Picture</v>
      </c>
      <c r="K954" s="43"/>
    </row>
    <row r="955">
      <c r="A955" s="40"/>
      <c r="B955" s="33" t="s">
        <v>3174</v>
      </c>
      <c r="C955" s="42">
        <v>56.0</v>
      </c>
      <c r="D955" s="33" t="s">
        <v>9679</v>
      </c>
      <c r="E955" s="74"/>
      <c r="F955" s="46" t="s">
        <v>2793</v>
      </c>
      <c r="G955" s="75"/>
      <c r="H955" s="96" t="str">
        <f>HYPERLINK("http://mirror.ff7data.com.ar/ff7/data/minigame/condor.lgp/cs.rsd.png","View Picture")</f>
        <v>View Picture</v>
      </c>
      <c r="K955" s="43"/>
    </row>
    <row r="956">
      <c r="A956" s="40"/>
      <c r="B956" s="33" t="s">
        <v>3183</v>
      </c>
      <c r="C956" s="42">
        <v>4744.0</v>
      </c>
      <c r="D956" s="33" t="s">
        <v>9695</v>
      </c>
      <c r="E956" s="74"/>
      <c r="F956" s="46" t="s">
        <v>2775</v>
      </c>
      <c r="G956" s="75"/>
      <c r="H956" s="96" t="str">
        <f>HYPERLINK("http://mirror.ff7data.com.ar/ff7/data/minigame/condor.lgp/ct.p.png","View Picture")</f>
        <v>View Picture</v>
      </c>
      <c r="K956" s="43"/>
    </row>
    <row r="957">
      <c r="A957" s="40"/>
      <c r="B957" s="33" t="s">
        <v>3193</v>
      </c>
      <c r="C957" s="42">
        <v>56.0</v>
      </c>
      <c r="D957" s="33" t="s">
        <v>9695</v>
      </c>
      <c r="E957" s="74"/>
      <c r="F957" s="46" t="s">
        <v>2793</v>
      </c>
      <c r="G957" s="75"/>
      <c r="H957" s="96" t="str">
        <f>HYPERLINK("http://mirror.ff7data.com.ar/ff7/data/minigame/condor.lgp/ct.rsd.png","View Picture")</f>
        <v>View Picture</v>
      </c>
      <c r="K957" s="43"/>
    </row>
    <row r="958">
      <c r="A958" s="40"/>
      <c r="B958" s="33" t="s">
        <v>3205</v>
      </c>
      <c r="C958" s="42">
        <v>4744.0</v>
      </c>
      <c r="D958" s="33" t="s">
        <v>9712</v>
      </c>
      <c r="E958" s="74"/>
      <c r="F958" s="46" t="s">
        <v>2775</v>
      </c>
      <c r="G958" s="75"/>
      <c r="H958" s="96" t="str">
        <f>HYPERLINK("http://mirror.ff7data.com.ar/ff7/data/minigame/condor.lgp/cu.p.png","View Picture")</f>
        <v>View Picture</v>
      </c>
      <c r="K958" s="43"/>
    </row>
    <row r="959">
      <c r="A959" s="40"/>
      <c r="B959" s="33" t="s">
        <v>3214</v>
      </c>
      <c r="C959" s="42">
        <v>56.0</v>
      </c>
      <c r="D959" s="33" t="s">
        <v>9712</v>
      </c>
      <c r="E959" s="74"/>
      <c r="F959" s="46" t="s">
        <v>2793</v>
      </c>
      <c r="G959" s="75"/>
      <c r="H959" s="96" t="str">
        <f>HYPERLINK("http://mirror.ff7data.com.ar/ff7/data/minigame/condor.lgp/cu.rsd.png","View Picture")</f>
        <v>View Picture</v>
      </c>
      <c r="K959" s="43"/>
    </row>
    <row r="960">
      <c r="A960" s="40"/>
      <c r="B960" s="33" t="s">
        <v>3226</v>
      </c>
      <c r="C960" s="42">
        <v>4744.0</v>
      </c>
      <c r="D960" s="33" t="s">
        <v>9727</v>
      </c>
      <c r="E960" s="74"/>
      <c r="F960" s="46" t="s">
        <v>2775</v>
      </c>
      <c r="G960" s="75"/>
      <c r="H960" s="96" t="str">
        <f>HYPERLINK("http://mirror.ff7data.com.ar/ff7/data/minigame/condor.lgp/cv.p.png","View Picture")</f>
        <v>View Picture</v>
      </c>
      <c r="K960" s="43"/>
    </row>
    <row r="961">
      <c r="A961" s="40"/>
      <c r="B961" s="33" t="s">
        <v>3237</v>
      </c>
      <c r="C961" s="42">
        <v>56.0</v>
      </c>
      <c r="D961" s="33" t="s">
        <v>9727</v>
      </c>
      <c r="E961" s="74"/>
      <c r="F961" s="46" t="s">
        <v>2793</v>
      </c>
      <c r="G961" s="75"/>
      <c r="H961" s="96" t="str">
        <f>HYPERLINK("http://mirror.ff7data.com.ar/ff7/data/minigame/condor.lgp/cv.rsd.png","View Picture")</f>
        <v>View Picture</v>
      </c>
      <c r="K961" s="43"/>
    </row>
    <row r="962">
      <c r="A962" s="40"/>
      <c r="B962" s="33" t="s">
        <v>3241</v>
      </c>
      <c r="C962" s="42">
        <v>4744.0</v>
      </c>
      <c r="D962" s="33" t="s">
        <v>9745</v>
      </c>
      <c r="E962" s="74"/>
      <c r="F962" s="46" t="s">
        <v>2775</v>
      </c>
      <c r="G962" s="75"/>
      <c r="H962" s="96" t="str">
        <f>HYPERLINK("http://mirror.ff7data.com.ar/ff7/data/minigame/condor.lgp/cw.p.png","View Picture")</f>
        <v>View Picture</v>
      </c>
      <c r="K962" s="43"/>
    </row>
    <row r="963">
      <c r="A963" s="40"/>
      <c r="B963" s="33" t="s">
        <v>3251</v>
      </c>
      <c r="C963" s="42">
        <v>56.0</v>
      </c>
      <c r="D963" s="33" t="s">
        <v>9745</v>
      </c>
      <c r="E963" s="74"/>
      <c r="F963" s="46" t="s">
        <v>2793</v>
      </c>
      <c r="G963" s="75"/>
      <c r="H963" s="96" t="str">
        <f>HYPERLINK("http://mirror.ff7data.com.ar/ff7/data/minigame/condor.lgp/cw.rsd.png","View Picture")</f>
        <v>View Picture</v>
      </c>
      <c r="K963" s="43"/>
    </row>
    <row r="964">
      <c r="A964" s="40"/>
      <c r="B964" s="33" t="s">
        <v>3268</v>
      </c>
      <c r="C964" s="42">
        <v>2648.0</v>
      </c>
      <c r="D964" s="33" t="s">
        <v>9763</v>
      </c>
      <c r="E964" s="74"/>
      <c r="F964" s="46" t="s">
        <v>2775</v>
      </c>
      <c r="G964" s="75"/>
      <c r="H964" s="96" t="str">
        <f>HYPERLINK("http://mirror.ff7data.com.ar/ff7/data/minigame/condor.lgp/cx.p.png","View Picture")</f>
        <v>View Picture</v>
      </c>
      <c r="K964" s="43"/>
    </row>
    <row r="965">
      <c r="A965" s="40"/>
      <c r="B965" s="33" t="s">
        <v>3279</v>
      </c>
      <c r="C965" s="42">
        <v>56.0</v>
      </c>
      <c r="D965" s="33" t="s">
        <v>9763</v>
      </c>
      <c r="E965" s="74"/>
      <c r="F965" s="46" t="s">
        <v>2793</v>
      </c>
      <c r="G965" s="75"/>
      <c r="H965" s="96" t="str">
        <f>HYPERLINK("http://mirror.ff7data.com.ar/ff7/data/minigame/condor.lgp/cx.rsd.png","View Picture")</f>
        <v>View Picture</v>
      </c>
      <c r="K965" s="43"/>
    </row>
    <row r="966">
      <c r="A966" s="40"/>
      <c r="B966" s="33" t="s">
        <v>3289</v>
      </c>
      <c r="C966" s="42">
        <v>2648.0</v>
      </c>
      <c r="D966" s="33" t="s">
        <v>9774</v>
      </c>
      <c r="E966" s="74"/>
      <c r="F966" s="46" t="s">
        <v>2775</v>
      </c>
      <c r="G966" s="75"/>
      <c r="H966" s="96" t="str">
        <f>HYPERLINK("http://mirror.ff7data.com.ar/ff7/data/minigame/condor.lgp/cy.p.png","View Picture")</f>
        <v>View Picture</v>
      </c>
      <c r="K966" s="43"/>
    </row>
    <row r="967">
      <c r="A967" s="40"/>
      <c r="B967" s="33" t="s">
        <v>3300</v>
      </c>
      <c r="C967" s="42">
        <v>56.0</v>
      </c>
      <c r="D967" s="33" t="s">
        <v>9774</v>
      </c>
      <c r="E967" s="74"/>
      <c r="F967" s="46" t="s">
        <v>2793</v>
      </c>
      <c r="G967" s="75"/>
      <c r="H967" s="96" t="str">
        <f>HYPERLINK("http://mirror.ff7data.com.ar/ff7/data/minigame/condor.lgp/cy.rsd.png","View Picture")</f>
        <v>View Picture</v>
      </c>
      <c r="K967" s="43"/>
    </row>
    <row r="968">
      <c r="A968" s="40"/>
      <c r="B968" s="33" t="s">
        <v>3310</v>
      </c>
      <c r="C968" s="42">
        <v>2648.0</v>
      </c>
      <c r="D968" s="33" t="s">
        <v>9799</v>
      </c>
      <c r="E968" s="74"/>
      <c r="F968" s="46" t="s">
        <v>2775</v>
      </c>
      <c r="G968" s="75"/>
      <c r="H968" s="96" t="str">
        <f>HYPERLINK("http://mirror.ff7data.com.ar/ff7/data/minigame/condor.lgp/cz.p.png","View Picture")</f>
        <v>View Picture</v>
      </c>
      <c r="K968" s="43"/>
    </row>
    <row r="969">
      <c r="A969" s="40"/>
      <c r="B969" s="33" t="s">
        <v>3324</v>
      </c>
      <c r="C969" s="42">
        <v>56.0</v>
      </c>
      <c r="D969" s="33" t="s">
        <v>9799</v>
      </c>
      <c r="E969" s="74"/>
      <c r="F969" s="46" t="s">
        <v>2793</v>
      </c>
      <c r="G969" s="75"/>
      <c r="H969" s="96" t="str">
        <f>HYPERLINK("http://mirror.ff7data.com.ar/ff7/data/minigame/condor.lgp/cz.rsd.png","View Picture")</f>
        <v>View Picture</v>
      </c>
      <c r="K969" s="43"/>
    </row>
    <row r="970">
      <c r="A970" s="40"/>
      <c r="B970" s="33" t="s">
        <v>3337</v>
      </c>
      <c r="C970" s="42">
        <v>2648.0</v>
      </c>
      <c r="D970" s="33" t="s">
        <v>9816</v>
      </c>
      <c r="E970" s="74"/>
      <c r="F970" s="46" t="s">
        <v>2775</v>
      </c>
      <c r="G970" s="75"/>
      <c r="H970" s="96" t="str">
        <f>HYPERLINK("http://mirror.ff7data.com.ar/ff7/data/minigame/condor.lgp/da.p.png","View Picture")</f>
        <v>View Picture</v>
      </c>
      <c r="K970" s="43"/>
    </row>
    <row r="971">
      <c r="A971" s="40"/>
      <c r="B971" s="33" t="s">
        <v>3350</v>
      </c>
      <c r="C971" s="42">
        <v>56.0</v>
      </c>
      <c r="D971" s="33" t="s">
        <v>9816</v>
      </c>
      <c r="E971" s="74"/>
      <c r="F971" s="46" t="s">
        <v>2793</v>
      </c>
      <c r="G971" s="75"/>
      <c r="H971" s="96" t="str">
        <f>HYPERLINK("http://mirror.ff7data.com.ar/ff7/data/minigame/condor.lgp/da.rsd.png","View Picture")</f>
        <v>View Picture</v>
      </c>
      <c r="K971" s="43"/>
    </row>
    <row r="972">
      <c r="A972" s="21"/>
      <c r="B972" s="33" t="s">
        <v>9827</v>
      </c>
      <c r="C972" s="42">
        <v>5524.0</v>
      </c>
      <c r="D972" s="31"/>
      <c r="E972" s="74"/>
      <c r="F972" s="46" t="s">
        <v>8439</v>
      </c>
      <c r="G972" s="75"/>
      <c r="H972" s="74"/>
      <c r="K972" s="43"/>
    </row>
    <row r="973">
      <c r="A973" s="40"/>
      <c r="B973" s="33" t="s">
        <v>9830</v>
      </c>
      <c r="C973" s="42">
        <v>2648.0</v>
      </c>
      <c r="D973" s="33" t="s">
        <v>9832</v>
      </c>
      <c r="E973" s="74"/>
      <c r="F973" s="46" t="s">
        <v>2775</v>
      </c>
      <c r="G973" s="75"/>
      <c r="H973" s="96" t="str">
        <f>HYPERLINK("http://mirror.ff7data.com.ar/ff7/data/minigame/condor.lgp/db.p.png","View Picture")</f>
        <v>View Picture</v>
      </c>
      <c r="K973" s="43"/>
    </row>
    <row r="974">
      <c r="A974" s="40"/>
      <c r="B974" s="33" t="s">
        <v>9839</v>
      </c>
      <c r="C974" s="42">
        <v>56.0</v>
      </c>
      <c r="D974" s="33" t="s">
        <v>9832</v>
      </c>
      <c r="E974" s="74"/>
      <c r="F974" s="46" t="s">
        <v>2793</v>
      </c>
      <c r="G974" s="75"/>
      <c r="H974" s="96" t="str">
        <f>HYPERLINK("http://mirror.ff7data.com.ar/ff7/data/minigame/condor.lgp/db.rsd.png","View Picture")</f>
        <v>View Picture</v>
      </c>
      <c r="K974" s="43"/>
    </row>
    <row r="975">
      <c r="A975" s="40"/>
      <c r="B975" s="33" t="s">
        <v>9848</v>
      </c>
      <c r="C975" s="42">
        <v>2648.0</v>
      </c>
      <c r="D975" s="33" t="s">
        <v>9850</v>
      </c>
      <c r="E975" s="74"/>
      <c r="F975" s="46" t="s">
        <v>2775</v>
      </c>
      <c r="G975" s="75"/>
      <c r="H975" s="96" t="str">
        <f>HYPERLINK("http://mirror.ff7data.com.ar/ff7/data/minigame/condor.lgp/dc.p.png","View Picture")</f>
        <v>View Picture</v>
      </c>
      <c r="K975" s="43"/>
    </row>
    <row r="976">
      <c r="A976" s="40"/>
      <c r="B976" s="33" t="s">
        <v>9860</v>
      </c>
      <c r="C976" s="42">
        <v>56.0</v>
      </c>
      <c r="D976" s="33" t="s">
        <v>9850</v>
      </c>
      <c r="E976" s="74"/>
      <c r="F976" s="46" t="s">
        <v>2793</v>
      </c>
      <c r="G976" s="75"/>
      <c r="H976" s="96" t="str">
        <f>HYPERLINK("http://mirror.ff7data.com.ar/ff7/data/minigame/condor.lgp/dc.rsd.png","View Picture")</f>
        <v>View Picture</v>
      </c>
      <c r="K976" s="43"/>
    </row>
    <row r="977">
      <c r="A977" s="40"/>
      <c r="B977" s="33" t="s">
        <v>9869</v>
      </c>
      <c r="C977" s="42">
        <v>2648.0</v>
      </c>
      <c r="D977" s="33" t="s">
        <v>9871</v>
      </c>
      <c r="E977" s="74"/>
      <c r="F977" s="46" t="s">
        <v>2775</v>
      </c>
      <c r="G977" s="75"/>
      <c r="H977" s="96" t="str">
        <f>HYPERLINK("http://mirror.ff7data.com.ar/ff7/data/minigame/condor.lgp/dd.p.png","View Picture")</f>
        <v>View Picture</v>
      </c>
      <c r="K977" s="43"/>
    </row>
    <row r="978">
      <c r="A978" s="40"/>
      <c r="B978" s="33" t="s">
        <v>9881</v>
      </c>
      <c r="C978" s="42">
        <v>56.0</v>
      </c>
      <c r="D978" s="33" t="s">
        <v>9871</v>
      </c>
      <c r="E978" s="74"/>
      <c r="F978" s="46" t="s">
        <v>2793</v>
      </c>
      <c r="G978" s="75"/>
      <c r="H978" s="96" t="str">
        <f>HYPERLINK("http://mirror.ff7data.com.ar/ff7/data/minigame/condor.lgp/dd.rsd.png","View Picture")</f>
        <v>View Picture</v>
      </c>
      <c r="K978" s="43"/>
    </row>
    <row r="979">
      <c r="A979" s="40"/>
      <c r="B979" s="33" t="s">
        <v>9893</v>
      </c>
      <c r="C979" s="42">
        <v>2648.0</v>
      </c>
      <c r="D979" s="33" t="s">
        <v>9894</v>
      </c>
      <c r="E979" s="74"/>
      <c r="F979" s="46" t="s">
        <v>2775</v>
      </c>
      <c r="G979" s="75"/>
      <c r="H979" s="96" t="str">
        <f>HYPERLINK("http://mirror.ff7data.com.ar/ff7/data/minigame/condor.lgp/de.p.png","View Picture")</f>
        <v>View Picture</v>
      </c>
      <c r="K979" s="43"/>
    </row>
    <row r="980">
      <c r="A980" s="40"/>
      <c r="B980" s="33" t="s">
        <v>9906</v>
      </c>
      <c r="C980" s="42">
        <v>56.0</v>
      </c>
      <c r="D980" s="33" t="s">
        <v>9894</v>
      </c>
      <c r="E980" s="74"/>
      <c r="F980" s="46" t="s">
        <v>2793</v>
      </c>
      <c r="G980" s="75"/>
      <c r="H980" s="96" t="str">
        <f>HYPERLINK("http://mirror.ff7data.com.ar/ff7/data/minigame/condor.lgp/de.rsd.png","View Picture")</f>
        <v>View Picture</v>
      </c>
      <c r="K980" s="43"/>
    </row>
    <row r="981">
      <c r="A981" s="40"/>
      <c r="B981" s="33" t="s">
        <v>9914</v>
      </c>
      <c r="C981" s="42">
        <v>4144.0</v>
      </c>
      <c r="D981" s="33" t="s">
        <v>9915</v>
      </c>
      <c r="E981" s="74"/>
      <c r="F981" s="46" t="s">
        <v>2775</v>
      </c>
      <c r="G981" s="75"/>
      <c r="H981" s="96" t="str">
        <f>HYPERLINK("http://mirror.ff7data.com.ar/ff7/data/minigame/condor.lgp/df.p.png","View Picture")</f>
        <v>View Picture</v>
      </c>
      <c r="K981" s="43"/>
    </row>
    <row r="982">
      <c r="A982" s="40"/>
      <c r="B982" s="33" t="s">
        <v>9924</v>
      </c>
      <c r="C982" s="42">
        <v>56.0</v>
      </c>
      <c r="D982" s="33" t="s">
        <v>9915</v>
      </c>
      <c r="E982" s="74"/>
      <c r="F982" s="46" t="s">
        <v>2793</v>
      </c>
      <c r="G982" s="75"/>
      <c r="H982" s="96" t="str">
        <f>HYPERLINK("http://mirror.ff7data.com.ar/ff7/data/minigame/condor.lgp/df.rsd.png","View Picture")</f>
        <v>View Picture</v>
      </c>
      <c r="K982" s="43"/>
    </row>
    <row r="983">
      <c r="A983" s="40"/>
      <c r="B983" s="33" t="s">
        <v>9931</v>
      </c>
      <c r="C983" s="42">
        <v>4248.0</v>
      </c>
      <c r="D983" s="33" t="s">
        <v>9933</v>
      </c>
      <c r="E983" s="74"/>
      <c r="F983" s="46" t="s">
        <v>2775</v>
      </c>
      <c r="G983" s="75"/>
      <c r="H983" s="96" t="str">
        <f>HYPERLINK("http://mirror.ff7data.com.ar/ff7/data/minigame/condor.lgp/dg.p.png","View Picture")</f>
        <v>View Picture</v>
      </c>
      <c r="K983" s="43"/>
    </row>
    <row r="984">
      <c r="A984" s="40"/>
      <c r="B984" s="33" t="s">
        <v>9941</v>
      </c>
      <c r="C984" s="42">
        <v>56.0</v>
      </c>
      <c r="D984" s="33" t="s">
        <v>9933</v>
      </c>
      <c r="E984" s="74"/>
      <c r="F984" s="46" t="s">
        <v>2793</v>
      </c>
      <c r="G984" s="75"/>
      <c r="H984" s="96" t="str">
        <f>HYPERLINK("http://mirror.ff7data.com.ar/ff7/data/minigame/condor.lgp/dg.rsd.png","View Picture")</f>
        <v>View Picture</v>
      </c>
      <c r="K984" s="43"/>
    </row>
    <row r="985">
      <c r="A985" s="40"/>
      <c r="B985" s="33" t="s">
        <v>9950</v>
      </c>
      <c r="C985" s="42">
        <v>4248.0</v>
      </c>
      <c r="D985" s="33" t="s">
        <v>9951</v>
      </c>
      <c r="E985" s="74"/>
      <c r="F985" s="46" t="s">
        <v>2775</v>
      </c>
      <c r="G985" s="75"/>
      <c r="H985" s="96" t="str">
        <f>HYPERLINK("http://mirror.ff7data.com.ar/ff7/data/minigame/condor.lgp/dh.p.png","View Picture")</f>
        <v>View Picture</v>
      </c>
      <c r="K985" s="43"/>
    </row>
    <row r="986">
      <c r="A986" s="40"/>
      <c r="B986" s="33" t="s">
        <v>9958</v>
      </c>
      <c r="C986" s="42">
        <v>56.0</v>
      </c>
      <c r="D986" s="33" t="s">
        <v>9951</v>
      </c>
      <c r="E986" s="74"/>
      <c r="F986" s="46" t="s">
        <v>2793</v>
      </c>
      <c r="G986" s="75"/>
      <c r="H986" s="96" t="str">
        <f>HYPERLINK("http://mirror.ff7data.com.ar/ff7/data/minigame/condor.lgp/dh.rsd.png","View Picture")</f>
        <v>View Picture</v>
      </c>
      <c r="K986" s="43"/>
    </row>
    <row r="987">
      <c r="A987" s="40"/>
      <c r="B987" s="33" t="s">
        <v>3406</v>
      </c>
      <c r="C987" s="42">
        <v>4248.0</v>
      </c>
      <c r="D987" s="33" t="s">
        <v>9968</v>
      </c>
      <c r="E987" s="74"/>
      <c r="F987" s="46" t="s">
        <v>2775</v>
      </c>
      <c r="G987" s="75"/>
      <c r="H987" s="96" t="str">
        <f>HYPERLINK("http://mirror.ff7data.com.ar/ff7/data/minigame/condor.lgp/di.p.png","View Picture")</f>
        <v>View Picture</v>
      </c>
      <c r="K987" s="43"/>
    </row>
    <row r="988">
      <c r="A988" s="40"/>
      <c r="B988" s="33" t="s">
        <v>3419</v>
      </c>
      <c r="C988" s="42">
        <v>56.0</v>
      </c>
      <c r="D988" s="33" t="s">
        <v>9968</v>
      </c>
      <c r="E988" s="74"/>
      <c r="F988" s="46" t="s">
        <v>2793</v>
      </c>
      <c r="G988" s="75"/>
      <c r="H988" s="96" t="str">
        <f>HYPERLINK("http://mirror.ff7data.com.ar/ff7/data/minigame/condor.lgp/di.rsd.png","View Picture")</f>
        <v>View Picture</v>
      </c>
      <c r="K988" s="43"/>
    </row>
    <row r="989">
      <c r="A989" s="40"/>
      <c r="B989" s="33" t="s">
        <v>3430</v>
      </c>
      <c r="C989" s="42">
        <v>4248.0</v>
      </c>
      <c r="D989" s="33" t="s">
        <v>9981</v>
      </c>
      <c r="E989" s="74"/>
      <c r="F989" s="46" t="s">
        <v>2775</v>
      </c>
      <c r="G989" s="75"/>
      <c r="H989" s="96" t="str">
        <f>HYPERLINK("http://mirror.ff7data.com.ar/ff7/data/minigame/condor.lgp/dj.p.png","View Picture")</f>
        <v>View Picture</v>
      </c>
      <c r="K989" s="43"/>
    </row>
    <row r="990">
      <c r="A990" s="40"/>
      <c r="B990" s="33" t="s">
        <v>3442</v>
      </c>
      <c r="C990" s="42">
        <v>56.0</v>
      </c>
      <c r="D990" s="33" t="s">
        <v>9981</v>
      </c>
      <c r="E990" s="74"/>
      <c r="F990" s="46" t="s">
        <v>2793</v>
      </c>
      <c r="G990" s="75"/>
      <c r="H990" s="96" t="str">
        <f>HYPERLINK("http://mirror.ff7data.com.ar/ff7/data/minigame/condor.lgp/dj.rsd.png","View Picture")</f>
        <v>View Picture</v>
      </c>
      <c r="K990" s="43"/>
    </row>
    <row r="991">
      <c r="A991" s="40"/>
      <c r="B991" s="33" t="s">
        <v>3454</v>
      </c>
      <c r="C991" s="42">
        <v>4248.0</v>
      </c>
      <c r="D991" s="33" t="s">
        <v>9999</v>
      </c>
      <c r="E991" s="74"/>
      <c r="F991" s="46" t="s">
        <v>2775</v>
      </c>
      <c r="G991" s="75"/>
      <c r="H991" s="96" t="str">
        <f>HYPERLINK("http://mirror.ff7data.com.ar/ff7/data/minigame/condor.lgp/dk.p.png","View Picture")</f>
        <v>View Picture</v>
      </c>
      <c r="K991" s="43"/>
    </row>
    <row r="992">
      <c r="A992" s="40"/>
      <c r="B992" s="33" t="s">
        <v>3462</v>
      </c>
      <c r="C992" s="42">
        <v>56.0</v>
      </c>
      <c r="D992" s="33" t="s">
        <v>9999</v>
      </c>
      <c r="E992" s="74"/>
      <c r="F992" s="46" t="s">
        <v>2793</v>
      </c>
      <c r="G992" s="75"/>
      <c r="H992" s="96" t="str">
        <f>HYPERLINK("http://mirror.ff7data.com.ar/ff7/data/minigame/condor.lgp/dk.rsd.png","View Picture")</f>
        <v>View Picture</v>
      </c>
      <c r="K992" s="43"/>
    </row>
    <row r="993">
      <c r="A993" s="40"/>
      <c r="B993" s="33" t="s">
        <v>3474</v>
      </c>
      <c r="C993" s="42">
        <v>4248.0</v>
      </c>
      <c r="D993" s="33" t="s">
        <v>10015</v>
      </c>
      <c r="E993" s="74"/>
      <c r="F993" s="46" t="s">
        <v>2775</v>
      </c>
      <c r="G993" s="75"/>
      <c r="H993" s="96" t="str">
        <f>HYPERLINK("http://mirror.ff7data.com.ar/ff7/data/minigame/condor.lgp/dl.p.png","View Picture")</f>
        <v>View Picture</v>
      </c>
      <c r="K993" s="43"/>
    </row>
    <row r="994">
      <c r="A994" s="40"/>
      <c r="B994" s="33" t="s">
        <v>3487</v>
      </c>
      <c r="C994" s="42">
        <v>56.0</v>
      </c>
      <c r="D994" s="33" t="s">
        <v>10015</v>
      </c>
      <c r="E994" s="74"/>
      <c r="F994" s="46" t="s">
        <v>2793</v>
      </c>
      <c r="G994" s="75"/>
      <c r="H994" s="96" t="str">
        <f>HYPERLINK("http://mirror.ff7data.com.ar/ff7/data/minigame/condor.lgp/dl.rsd.png","View Picture")</f>
        <v>View Picture</v>
      </c>
      <c r="K994" s="43"/>
    </row>
    <row r="995">
      <c r="A995" s="40"/>
      <c r="B995" s="33" t="s">
        <v>3499</v>
      </c>
      <c r="C995" s="42">
        <v>4248.0</v>
      </c>
      <c r="D995" s="33" t="s">
        <v>10027</v>
      </c>
      <c r="E995" s="74"/>
      <c r="F995" s="46" t="s">
        <v>2775</v>
      </c>
      <c r="G995" s="75"/>
      <c r="H995" s="96" t="str">
        <f>HYPERLINK("http://mirror.ff7data.com.ar/ff7/data/minigame/condor.lgp/dm.p.png","View Picture")</f>
        <v>View Picture</v>
      </c>
      <c r="K995" s="43"/>
    </row>
    <row r="996">
      <c r="A996" s="40"/>
      <c r="B996" s="33" t="s">
        <v>3510</v>
      </c>
      <c r="C996" s="42">
        <v>56.0</v>
      </c>
      <c r="D996" s="33" t="s">
        <v>10027</v>
      </c>
      <c r="E996" s="74"/>
      <c r="F996" s="46" t="s">
        <v>2793</v>
      </c>
      <c r="G996" s="75"/>
      <c r="H996" s="96" t="str">
        <f>HYPERLINK("http://mirror.ff7data.com.ar/ff7/data/minigame/condor.lgp/dm.rsd.png","View Picture")</f>
        <v>View Picture</v>
      </c>
      <c r="K996" s="43"/>
    </row>
    <row r="997">
      <c r="A997" s="40"/>
      <c r="B997" s="33" t="s">
        <v>3526</v>
      </c>
      <c r="C997" s="42">
        <v>4248.0</v>
      </c>
      <c r="D997" s="33" t="s">
        <v>10040</v>
      </c>
      <c r="E997" s="74"/>
      <c r="F997" s="46" t="s">
        <v>2775</v>
      </c>
      <c r="G997" s="75"/>
      <c r="H997" s="96" t="str">
        <f>HYPERLINK("http://mirror.ff7data.com.ar/ff7/data/minigame/condor.lgp/dn.p.png","View Picture")</f>
        <v>View Picture</v>
      </c>
      <c r="K997" s="43"/>
    </row>
    <row r="998">
      <c r="A998" s="40"/>
      <c r="B998" s="33" t="s">
        <v>3537</v>
      </c>
      <c r="C998" s="42">
        <v>56.0</v>
      </c>
      <c r="D998" s="33" t="s">
        <v>10040</v>
      </c>
      <c r="E998" s="74"/>
      <c r="F998" s="46" t="s">
        <v>2793</v>
      </c>
      <c r="G998" s="75"/>
      <c r="H998" s="96" t="str">
        <f>HYPERLINK("http://mirror.ff7data.com.ar/ff7/data/minigame/condor.lgp/dn.rsd.png","View Picture")</f>
        <v>View Picture</v>
      </c>
      <c r="K998" s="43"/>
    </row>
    <row r="999">
      <c r="A999" s="40"/>
      <c r="B999" s="33" t="s">
        <v>3547</v>
      </c>
      <c r="C999" s="42">
        <v>4248.0</v>
      </c>
      <c r="D999" s="33" t="s">
        <v>10056</v>
      </c>
      <c r="E999" s="74"/>
      <c r="F999" s="46" t="s">
        <v>2775</v>
      </c>
      <c r="G999" s="75"/>
      <c r="H999" s="96" t="str">
        <f>HYPERLINK("http://mirror.ff7data.com.ar/ff7/data/minigame/condor.lgp/do.p.png","View Picture")</f>
        <v>View Picture</v>
      </c>
      <c r="K999" s="43"/>
    </row>
    <row r="1000">
      <c r="A1000" s="40"/>
      <c r="B1000" s="33" t="s">
        <v>3561</v>
      </c>
      <c r="C1000" s="42">
        <v>56.0</v>
      </c>
      <c r="D1000" s="33" t="s">
        <v>10056</v>
      </c>
      <c r="E1000" s="74"/>
      <c r="F1000" s="46" t="s">
        <v>2793</v>
      </c>
      <c r="G1000" s="75"/>
      <c r="H1000" s="96" t="str">
        <f>HYPERLINK("http://mirror.ff7data.com.ar/ff7/data/minigame/condor.lgp/do.rsd.png","View Picture")</f>
        <v>View Picture</v>
      </c>
      <c r="K1000" s="43"/>
    </row>
    <row r="1001">
      <c r="A1001" s="40"/>
      <c r="B1001" s="33" t="s">
        <v>3567</v>
      </c>
      <c r="C1001" s="42">
        <v>4248.0</v>
      </c>
      <c r="D1001" s="33" t="s">
        <v>10068</v>
      </c>
      <c r="E1001" s="74"/>
      <c r="F1001" s="46" t="s">
        <v>2775</v>
      </c>
      <c r="G1001" s="75"/>
      <c r="H1001" s="96" t="str">
        <f>HYPERLINK("http://mirror.ff7data.com.ar/ff7/data/minigame/condor.lgp/dp.p.png","View Picture")</f>
        <v>View Picture</v>
      </c>
      <c r="K1001" s="43"/>
    </row>
    <row r="1002">
      <c r="A1002" s="40"/>
      <c r="B1002" s="33" t="s">
        <v>3580</v>
      </c>
      <c r="C1002" s="42">
        <v>56.0</v>
      </c>
      <c r="D1002" s="33" t="s">
        <v>10068</v>
      </c>
      <c r="E1002" s="74"/>
      <c r="F1002" s="46" t="s">
        <v>2793</v>
      </c>
      <c r="G1002" s="75"/>
      <c r="H1002" s="96" t="str">
        <f>HYPERLINK("http://mirror.ff7data.com.ar/ff7/data/minigame/condor.lgp/dp.rsd.png","View Picture")</f>
        <v>View Picture</v>
      </c>
      <c r="K1002" s="43"/>
    </row>
    <row r="1003">
      <c r="A1003" s="40"/>
      <c r="B1003" s="33" t="s">
        <v>3590</v>
      </c>
      <c r="C1003" s="42">
        <v>4248.0</v>
      </c>
      <c r="D1003" s="33" t="s">
        <v>10079</v>
      </c>
      <c r="E1003" s="74"/>
      <c r="F1003" s="46" t="s">
        <v>2775</v>
      </c>
      <c r="G1003" s="75"/>
      <c r="H1003" s="96" t="str">
        <f>HYPERLINK("http://mirror.ff7data.com.ar/ff7/data/minigame/condor.lgp/dq.p.png","View Picture")</f>
        <v>View Picture</v>
      </c>
      <c r="K1003" s="43"/>
    </row>
    <row r="1004">
      <c r="A1004" s="40"/>
      <c r="B1004" s="33" t="s">
        <v>3600</v>
      </c>
      <c r="C1004" s="42">
        <v>56.0</v>
      </c>
      <c r="D1004" s="33" t="s">
        <v>10079</v>
      </c>
      <c r="E1004" s="74"/>
      <c r="F1004" s="46" t="s">
        <v>2793</v>
      </c>
      <c r="G1004" s="75"/>
      <c r="H1004" s="96" t="str">
        <f>HYPERLINK("http://mirror.ff7data.com.ar/ff7/data/minigame/condor.lgp/dq.rsd.png","View Picture")</f>
        <v>View Picture</v>
      </c>
      <c r="K1004" s="43"/>
    </row>
    <row r="1005">
      <c r="A1005" s="40"/>
      <c r="B1005" s="33" t="s">
        <v>3611</v>
      </c>
      <c r="C1005" s="42">
        <v>4248.0</v>
      </c>
      <c r="D1005" s="33" t="s">
        <v>10092</v>
      </c>
      <c r="E1005" s="74"/>
      <c r="F1005" s="46" t="s">
        <v>2775</v>
      </c>
      <c r="G1005" s="75"/>
      <c r="H1005" s="96" t="str">
        <f>HYPERLINK("http://mirror.ff7data.com.ar/ff7/data/minigame/condor.lgp/dr.p.png","View Picture")</f>
        <v>View Picture</v>
      </c>
      <c r="K1005" s="43"/>
    </row>
    <row r="1006">
      <c r="A1006" s="40"/>
      <c r="B1006" s="33" t="s">
        <v>3622</v>
      </c>
      <c r="C1006" s="42">
        <v>56.0</v>
      </c>
      <c r="D1006" s="33" t="s">
        <v>10092</v>
      </c>
      <c r="E1006" s="74"/>
      <c r="F1006" s="46" t="s">
        <v>2793</v>
      </c>
      <c r="G1006" s="75"/>
      <c r="H1006" s="96" t="str">
        <f>HYPERLINK("http://mirror.ff7data.com.ar/ff7/data/minigame/condor.lgp/dr.rsd.png","View Picture")</f>
        <v>View Picture</v>
      </c>
      <c r="K1006" s="43"/>
    </row>
    <row r="1007">
      <c r="A1007" s="40"/>
      <c r="B1007" s="33" t="s">
        <v>3634</v>
      </c>
      <c r="C1007" s="42">
        <v>2968.0</v>
      </c>
      <c r="D1007" s="33" t="s">
        <v>10106</v>
      </c>
      <c r="E1007" s="74"/>
      <c r="F1007" s="46" t="s">
        <v>2775</v>
      </c>
      <c r="G1007" s="75"/>
      <c r="H1007" s="96" t="str">
        <f>HYPERLINK("http://mirror.ff7data.com.ar/ff7/data/minigame/condor.lgp/ds.p.png","View Picture")</f>
        <v>View Picture</v>
      </c>
      <c r="K1007" s="43"/>
    </row>
    <row r="1008">
      <c r="A1008" s="40"/>
      <c r="B1008" s="33" t="s">
        <v>3645</v>
      </c>
      <c r="C1008" s="42">
        <v>56.0</v>
      </c>
      <c r="D1008" s="33" t="s">
        <v>10106</v>
      </c>
      <c r="E1008" s="74"/>
      <c r="F1008" s="46" t="s">
        <v>2793</v>
      </c>
      <c r="G1008" s="75"/>
      <c r="H1008" s="96" t="str">
        <f>HYPERLINK("http://mirror.ff7data.com.ar/ff7/data/minigame/condor.lgp/ds.rsd.png","View Picture")</f>
        <v>View Picture</v>
      </c>
      <c r="K1008" s="43"/>
    </row>
    <row r="1009">
      <c r="A1009" s="40"/>
      <c r="B1009" s="33" t="s">
        <v>3659</v>
      </c>
      <c r="C1009" s="42">
        <v>2968.0</v>
      </c>
      <c r="D1009" s="33" t="s">
        <v>10118</v>
      </c>
      <c r="E1009" s="74"/>
      <c r="F1009" s="46" t="s">
        <v>2775</v>
      </c>
      <c r="G1009" s="75"/>
      <c r="H1009" s="96" t="str">
        <f>HYPERLINK("http://mirror.ff7data.com.ar/ff7/data/minigame/condor.lgp/dt.p.png","View Picture")</f>
        <v>View Picture</v>
      </c>
      <c r="K1009" s="43"/>
    </row>
    <row r="1010">
      <c r="A1010" s="40"/>
      <c r="B1010" s="33" t="s">
        <v>3668</v>
      </c>
      <c r="C1010" s="42">
        <v>56.0</v>
      </c>
      <c r="D1010" s="33" t="s">
        <v>10118</v>
      </c>
      <c r="E1010" s="74"/>
      <c r="F1010" s="46" t="s">
        <v>2793</v>
      </c>
      <c r="G1010" s="75"/>
      <c r="H1010" s="96" t="str">
        <f>HYPERLINK("http://mirror.ff7data.com.ar/ff7/data/minigame/condor.lgp/dt.rsd.png","View Picture")</f>
        <v>View Picture</v>
      </c>
      <c r="K1010" s="43"/>
    </row>
    <row r="1011">
      <c r="A1011" s="40"/>
      <c r="B1011" s="33" t="s">
        <v>3679</v>
      </c>
      <c r="C1011" s="42">
        <v>2968.0</v>
      </c>
      <c r="D1011" s="33" t="s">
        <v>10128</v>
      </c>
      <c r="E1011" s="74"/>
      <c r="F1011" s="46" t="s">
        <v>2775</v>
      </c>
      <c r="G1011" s="75"/>
      <c r="H1011" s="96" t="str">
        <f>HYPERLINK("http://mirror.ff7data.com.ar/ff7/data/minigame/condor.lgp/du.p.png","View Picture")</f>
        <v>View Picture</v>
      </c>
      <c r="K1011" s="43"/>
    </row>
    <row r="1012">
      <c r="A1012" s="40"/>
      <c r="B1012" s="33" t="s">
        <v>3689</v>
      </c>
      <c r="C1012" s="42">
        <v>56.0</v>
      </c>
      <c r="D1012" s="33" t="s">
        <v>10128</v>
      </c>
      <c r="E1012" s="74"/>
      <c r="F1012" s="46" t="s">
        <v>2793</v>
      </c>
      <c r="G1012" s="75"/>
      <c r="H1012" s="96" t="str">
        <f>HYPERLINK("http://mirror.ff7data.com.ar/ff7/data/minigame/condor.lgp/du.rsd.png","View Picture")</f>
        <v>View Picture</v>
      </c>
      <c r="K1012" s="43"/>
    </row>
    <row r="1013">
      <c r="A1013" s="40"/>
      <c r="B1013" s="33" t="s">
        <v>10140</v>
      </c>
      <c r="C1013" s="42">
        <v>2740.0</v>
      </c>
      <c r="D1013" s="33" t="s">
        <v>10143</v>
      </c>
      <c r="E1013" s="74"/>
      <c r="F1013" s="46" t="s">
        <v>2775</v>
      </c>
      <c r="G1013" s="75"/>
      <c r="H1013" s="96" t="str">
        <f>HYPERLINK("http://mirror.ff7data.com.ar/ff7/data/minigame/condor.lgp/dv.p.png","View Picture")</f>
        <v>View Picture</v>
      </c>
      <c r="K1013" s="43"/>
    </row>
    <row r="1014">
      <c r="A1014" s="40"/>
      <c r="B1014" s="33" t="s">
        <v>10150</v>
      </c>
      <c r="C1014" s="42">
        <v>56.0</v>
      </c>
      <c r="D1014" s="33" t="s">
        <v>10143</v>
      </c>
      <c r="E1014" s="74"/>
      <c r="F1014" s="46" t="s">
        <v>2793</v>
      </c>
      <c r="G1014" s="75"/>
      <c r="H1014" s="96" t="str">
        <f>HYPERLINK("http://mirror.ff7data.com.ar/ff7/data/minigame/condor.lgp/dv.rsd.png","View Picture")</f>
        <v>View Picture</v>
      </c>
      <c r="K1014" s="43"/>
    </row>
    <row r="1015">
      <c r="A1015" s="40"/>
      <c r="B1015" s="33" t="s">
        <v>10157</v>
      </c>
      <c r="C1015" s="42">
        <v>2240.0</v>
      </c>
      <c r="D1015" s="33" t="s">
        <v>10159</v>
      </c>
      <c r="E1015" s="74"/>
      <c r="F1015" s="46" t="s">
        <v>2775</v>
      </c>
      <c r="G1015" s="75"/>
      <c r="H1015" s="96" t="str">
        <f>HYPERLINK("http://mirror.ff7data.com.ar/ff7/data/minigame/condor.lgp/dw.p.png","View Picture")</f>
        <v>View Picture</v>
      </c>
      <c r="K1015" s="43"/>
    </row>
    <row r="1016">
      <c r="A1016" s="40"/>
      <c r="B1016" s="33" t="s">
        <v>10165</v>
      </c>
      <c r="C1016" s="42">
        <v>56.0</v>
      </c>
      <c r="D1016" s="33" t="s">
        <v>10159</v>
      </c>
      <c r="E1016" s="74"/>
      <c r="F1016" s="46" t="s">
        <v>2793</v>
      </c>
      <c r="G1016" s="75"/>
      <c r="H1016" s="96" t="str">
        <f>HYPERLINK("http://mirror.ff7data.com.ar/ff7/data/minigame/condor.lgp/dw.rsd.png","View Picture")</f>
        <v>View Picture</v>
      </c>
      <c r="K1016" s="43"/>
    </row>
    <row r="1017">
      <c r="A1017" s="40"/>
      <c r="B1017" s="33" t="s">
        <v>10172</v>
      </c>
      <c r="C1017" s="42">
        <v>1076.0</v>
      </c>
      <c r="D1017" s="33" t="s">
        <v>10173</v>
      </c>
      <c r="E1017" s="74"/>
      <c r="F1017" s="46" t="s">
        <v>2775</v>
      </c>
      <c r="G1017" s="75"/>
      <c r="H1017" s="96" t="str">
        <f>HYPERLINK("http://mirror.ff7data.com.ar/ff7/data/minigame/condor.lgp/dx.p.png","View Picture")</f>
        <v>View Picture</v>
      </c>
      <c r="K1017" s="43"/>
    </row>
    <row r="1018">
      <c r="A1018" s="40"/>
      <c r="B1018" s="33" t="s">
        <v>10182</v>
      </c>
      <c r="C1018" s="42">
        <v>56.0</v>
      </c>
      <c r="D1018" s="33" t="s">
        <v>10173</v>
      </c>
      <c r="E1018" s="74"/>
      <c r="F1018" s="46" t="s">
        <v>2793</v>
      </c>
      <c r="G1018" s="75"/>
      <c r="H1018" s="96" t="str">
        <f>HYPERLINK("http://mirror.ff7data.com.ar/ff7/data/minigame/condor.lgp/dx.rsd.png","View Picture")</f>
        <v>View Picture</v>
      </c>
      <c r="K1018" s="43"/>
    </row>
    <row r="1019">
      <c r="A1019" s="40"/>
      <c r="B1019" s="33" t="s">
        <v>10187</v>
      </c>
      <c r="C1019" s="42">
        <v>2968.0</v>
      </c>
      <c r="D1019" s="33" t="s">
        <v>10189</v>
      </c>
      <c r="E1019" s="74"/>
      <c r="F1019" s="46" t="s">
        <v>2775</v>
      </c>
      <c r="G1019" s="75"/>
      <c r="H1019" s="96" t="str">
        <f>HYPERLINK("http://mirror.ff7data.com.ar/ff7/data/minigame/condor.lgp/dy.p.png","View Picture")</f>
        <v>View Picture</v>
      </c>
      <c r="K1019" s="43"/>
    </row>
    <row r="1020">
      <c r="A1020" s="40"/>
      <c r="B1020" s="33" t="s">
        <v>10198</v>
      </c>
      <c r="C1020" s="42">
        <v>56.0</v>
      </c>
      <c r="D1020" s="33" t="s">
        <v>10189</v>
      </c>
      <c r="E1020" s="74"/>
      <c r="F1020" s="46" t="s">
        <v>2793</v>
      </c>
      <c r="G1020" s="75"/>
      <c r="H1020" s="96" t="str">
        <f>HYPERLINK("http://mirror.ff7data.com.ar/ff7/data/minigame/condor.lgp/dy.rsd.png","View Picture")</f>
        <v>View Picture</v>
      </c>
      <c r="K1020" s="43"/>
    </row>
    <row r="1021">
      <c r="A1021" s="40"/>
      <c r="B1021" s="33" t="s">
        <v>10204</v>
      </c>
      <c r="C1021" s="42">
        <v>2968.0</v>
      </c>
      <c r="D1021" s="33" t="s">
        <v>10205</v>
      </c>
      <c r="E1021" s="74"/>
      <c r="F1021" s="46" t="s">
        <v>2775</v>
      </c>
      <c r="G1021" s="75"/>
      <c r="H1021" s="96" t="str">
        <f>HYPERLINK("http://mirror.ff7data.com.ar/ff7/data/minigame/condor.lgp/dz.p.png","View Picture")</f>
        <v>View Picture</v>
      </c>
      <c r="K1021" s="43"/>
    </row>
    <row r="1022">
      <c r="A1022" s="40"/>
      <c r="B1022" s="33" t="s">
        <v>10213</v>
      </c>
      <c r="C1022" s="42">
        <v>56.0</v>
      </c>
      <c r="D1022" s="33" t="s">
        <v>10205</v>
      </c>
      <c r="E1022" s="74"/>
      <c r="F1022" s="46" t="s">
        <v>2793</v>
      </c>
      <c r="G1022" s="75"/>
      <c r="H1022" s="96" t="str">
        <f>HYPERLINK("http://mirror.ff7data.com.ar/ff7/data/minigame/condor.lgp/dz.rsd.png","View Picture")</f>
        <v>View Picture</v>
      </c>
      <c r="K1022" s="43"/>
    </row>
    <row r="1023">
      <c r="A1023" s="40"/>
      <c r="B1023" s="33" t="s">
        <v>10222</v>
      </c>
      <c r="C1023" s="42">
        <v>2968.0</v>
      </c>
      <c r="D1023" s="33" t="s">
        <v>10223</v>
      </c>
      <c r="E1023" s="74"/>
      <c r="F1023" s="46" t="s">
        <v>2775</v>
      </c>
      <c r="G1023" s="75"/>
      <c r="H1023" s="96" t="str">
        <f>HYPERLINK("http://mirror.ff7data.com.ar/ff7/data/minigame/condor.lgp/ea.p.png","View Picture")</f>
        <v>View Picture</v>
      </c>
      <c r="K1023" s="43"/>
    </row>
    <row r="1024">
      <c r="A1024" s="40"/>
      <c r="B1024" s="33" t="s">
        <v>10234</v>
      </c>
      <c r="C1024" s="42">
        <v>56.0</v>
      </c>
      <c r="D1024" s="33" t="s">
        <v>10223</v>
      </c>
      <c r="E1024" s="74"/>
      <c r="F1024" s="46" t="s">
        <v>2793</v>
      </c>
      <c r="G1024" s="75"/>
      <c r="H1024" s="96" t="str">
        <f>HYPERLINK("http://mirror.ff7data.com.ar/ff7/data/minigame/condor.lgp/ea.rsd.png","View Picture")</f>
        <v>View Picture</v>
      </c>
      <c r="K1024" s="43"/>
    </row>
    <row r="1025">
      <c r="A1025" s="40"/>
      <c r="B1025" s="33" t="s">
        <v>3725</v>
      </c>
      <c r="C1025" s="42">
        <v>2968.0</v>
      </c>
      <c r="D1025" s="33" t="s">
        <v>10242</v>
      </c>
      <c r="E1025" s="74"/>
      <c r="F1025" s="46" t="s">
        <v>2775</v>
      </c>
      <c r="G1025" s="75"/>
      <c r="H1025" s="96" t="str">
        <f>HYPERLINK("http://mirror.ff7data.com.ar/ff7/data/minigame/condor.lgp/eb.p.png","View Picture")</f>
        <v>View Picture</v>
      </c>
      <c r="K1025" s="43"/>
    </row>
    <row r="1026">
      <c r="A1026" s="40"/>
      <c r="B1026" s="33" t="s">
        <v>3736</v>
      </c>
      <c r="C1026" s="42">
        <v>56.0</v>
      </c>
      <c r="D1026" s="33" t="s">
        <v>10242</v>
      </c>
      <c r="E1026" s="74"/>
      <c r="F1026" s="46" t="s">
        <v>2793</v>
      </c>
      <c r="G1026" s="75"/>
      <c r="H1026" s="96" t="str">
        <f>HYPERLINK("http://mirror.ff7data.com.ar/ff7/data/minigame/condor.lgp/eb.rsd.png","View Picture")</f>
        <v>View Picture</v>
      </c>
      <c r="K1026" s="43"/>
    </row>
    <row r="1027">
      <c r="A1027" s="40"/>
      <c r="B1027" s="33" t="s">
        <v>3745</v>
      </c>
      <c r="C1027" s="42">
        <v>2968.0</v>
      </c>
      <c r="D1027" s="33" t="s">
        <v>10258</v>
      </c>
      <c r="E1027" s="74"/>
      <c r="F1027" s="46" t="s">
        <v>2775</v>
      </c>
      <c r="G1027" s="75"/>
      <c r="H1027" s="96" t="str">
        <f>HYPERLINK("http://mirror.ff7data.com.ar/ff7/data/minigame/condor.lgp/ec.p.png","View Picture")</f>
        <v>View Picture</v>
      </c>
      <c r="K1027" s="43"/>
    </row>
    <row r="1028">
      <c r="A1028" s="40"/>
      <c r="B1028" s="33" t="s">
        <v>3759</v>
      </c>
      <c r="C1028" s="42">
        <v>56.0</v>
      </c>
      <c r="D1028" s="33" t="s">
        <v>10258</v>
      </c>
      <c r="E1028" s="74"/>
      <c r="F1028" s="46" t="s">
        <v>2793</v>
      </c>
      <c r="G1028" s="75"/>
      <c r="H1028" s="96" t="str">
        <f>HYPERLINK("http://mirror.ff7data.com.ar/ff7/data/minigame/condor.lgp/ec.rsd.png","View Picture")</f>
        <v>View Picture</v>
      </c>
      <c r="K1028" s="43"/>
    </row>
    <row r="1029">
      <c r="A1029" s="40"/>
      <c r="B1029" s="33" t="s">
        <v>3769</v>
      </c>
      <c r="C1029" s="42">
        <v>2968.0</v>
      </c>
      <c r="D1029" s="33" t="s">
        <v>10275</v>
      </c>
      <c r="E1029" s="74"/>
      <c r="F1029" s="46" t="s">
        <v>2775</v>
      </c>
      <c r="G1029" s="75"/>
      <c r="H1029" s="96" t="str">
        <f>HYPERLINK("http://mirror.ff7data.com.ar/ff7/data/minigame/condor.lgp/ed.p.png","View Picture")</f>
        <v>View Picture</v>
      </c>
      <c r="K1029" s="43"/>
    </row>
    <row r="1030">
      <c r="A1030" s="40"/>
      <c r="B1030" s="33" t="s">
        <v>3778</v>
      </c>
      <c r="C1030" s="42">
        <v>56.0</v>
      </c>
      <c r="D1030" s="33" t="s">
        <v>10275</v>
      </c>
      <c r="E1030" s="74"/>
      <c r="F1030" s="46" t="s">
        <v>2793</v>
      </c>
      <c r="G1030" s="75"/>
      <c r="H1030" s="96" t="str">
        <f>HYPERLINK("http://mirror.ff7data.com.ar/ff7/data/minigame/condor.lgp/ed.rsd.png","View Picture")</f>
        <v>View Picture</v>
      </c>
      <c r="K1030" s="43"/>
    </row>
    <row r="1031">
      <c r="A1031" s="40"/>
      <c r="B1031" s="33" t="s">
        <v>3788</v>
      </c>
      <c r="C1031" s="42">
        <v>1076.0</v>
      </c>
      <c r="D1031" s="33" t="s">
        <v>10291</v>
      </c>
      <c r="E1031" s="74"/>
      <c r="F1031" s="46" t="s">
        <v>2775</v>
      </c>
      <c r="G1031" s="75"/>
      <c r="H1031" s="96" t="str">
        <f>HYPERLINK("http://mirror.ff7data.com.ar/ff7/data/minigame/condor.lgp/ee.p.png","View Picture")</f>
        <v>View Picture</v>
      </c>
      <c r="K1031" s="43"/>
    </row>
    <row r="1032">
      <c r="A1032" s="40"/>
      <c r="B1032" s="33" t="s">
        <v>3799</v>
      </c>
      <c r="C1032" s="42">
        <v>56.0</v>
      </c>
      <c r="D1032" s="33" t="s">
        <v>10291</v>
      </c>
      <c r="E1032" s="74"/>
      <c r="F1032" s="46" t="s">
        <v>2793</v>
      </c>
      <c r="G1032" s="75"/>
      <c r="H1032" s="96" t="str">
        <f>HYPERLINK("http://mirror.ff7data.com.ar/ff7/data/minigame/condor.lgp/ee.rsd.png","View Picture")</f>
        <v>View Picture</v>
      </c>
      <c r="K1032" s="43"/>
    </row>
    <row r="1033">
      <c r="A1033" s="40"/>
      <c r="B1033" s="33" t="s">
        <v>3809</v>
      </c>
      <c r="C1033" s="42">
        <v>1804.0</v>
      </c>
      <c r="D1033" s="33" t="s">
        <v>10306</v>
      </c>
      <c r="E1033" s="74"/>
      <c r="F1033" s="46" t="s">
        <v>2775</v>
      </c>
      <c r="G1033" s="75"/>
      <c r="H1033" s="96" t="str">
        <f>HYPERLINK("http://mirror.ff7data.com.ar/ff7/data/minigame/condor.lgp/ef.p.png","View Picture")</f>
        <v>View Picture</v>
      </c>
      <c r="K1033" s="43"/>
    </row>
    <row r="1034">
      <c r="A1034" s="40"/>
      <c r="B1034" s="33" t="s">
        <v>3819</v>
      </c>
      <c r="C1034" s="42">
        <v>56.0</v>
      </c>
      <c r="D1034" s="33" t="s">
        <v>10306</v>
      </c>
      <c r="E1034" s="74"/>
      <c r="F1034" s="46" t="s">
        <v>2793</v>
      </c>
      <c r="G1034" s="75"/>
      <c r="H1034" s="96" t="str">
        <f>HYPERLINK("http://mirror.ff7data.com.ar/ff7/data/minigame/condor.lgp/ef.rsd.png","View Picture")</f>
        <v>View Picture</v>
      </c>
      <c r="K1034" s="43"/>
    </row>
    <row r="1035">
      <c r="A1035" s="40"/>
      <c r="B1035" s="33" t="s">
        <v>10321</v>
      </c>
      <c r="C1035" s="42">
        <v>66028.0</v>
      </c>
      <c r="D1035" s="33" t="s">
        <v>10322</v>
      </c>
      <c r="E1035" s="74"/>
      <c r="F1035" s="46" t="s">
        <v>1348</v>
      </c>
      <c r="G1035" s="75"/>
      <c r="H1035" s="96" t="str">
        <f>HYPERLINK("http://mirror.ff7data.com.ar/ff7/data/minigame/condor.lgp/eft.tex.png","View Picture")</f>
        <v>View Picture</v>
      </c>
      <c r="K1035" s="43"/>
    </row>
    <row r="1036">
      <c r="A1036" s="40"/>
      <c r="B1036" s="33" t="s">
        <v>3829</v>
      </c>
      <c r="C1036" s="42">
        <v>1804.0</v>
      </c>
      <c r="D1036" s="33" t="s">
        <v>10331</v>
      </c>
      <c r="E1036" s="74"/>
      <c r="F1036" s="46" t="s">
        <v>2775</v>
      </c>
      <c r="G1036" s="75"/>
      <c r="H1036" s="96" t="str">
        <f>HYPERLINK("http://mirror.ff7data.com.ar/ff7/data/minigame/condor.lgp/eg.p.png","View Picture")</f>
        <v>View Picture</v>
      </c>
      <c r="K1036" s="43"/>
    </row>
    <row r="1037">
      <c r="A1037" s="40"/>
      <c r="B1037" s="33" t="s">
        <v>3839</v>
      </c>
      <c r="C1037" s="42">
        <v>56.0</v>
      </c>
      <c r="D1037" s="33" t="s">
        <v>10331</v>
      </c>
      <c r="E1037" s="74"/>
      <c r="F1037" s="46" t="s">
        <v>2793</v>
      </c>
      <c r="G1037" s="75"/>
      <c r="H1037" s="96" t="str">
        <f>HYPERLINK("http://mirror.ff7data.com.ar/ff7/data/minigame/condor.lgp/eg.rsd.png","View Picture")</f>
        <v>View Picture</v>
      </c>
      <c r="K1037" s="43"/>
    </row>
    <row r="1038">
      <c r="A1038" s="40"/>
      <c r="B1038" s="33" t="s">
        <v>3851</v>
      </c>
      <c r="C1038" s="42">
        <v>1804.0</v>
      </c>
      <c r="D1038" s="33" t="s">
        <v>10346</v>
      </c>
      <c r="E1038" s="74"/>
      <c r="F1038" s="46" t="s">
        <v>2775</v>
      </c>
      <c r="G1038" s="75"/>
      <c r="H1038" s="96" t="str">
        <f>HYPERLINK("http://mirror.ff7data.com.ar/ff7/data/minigame/condor.lgp/eh.p.png","View Picture")</f>
        <v>View Picture</v>
      </c>
      <c r="K1038" s="43"/>
    </row>
    <row r="1039">
      <c r="A1039" s="40"/>
      <c r="B1039" s="33" t="s">
        <v>3861</v>
      </c>
      <c r="C1039" s="42">
        <v>56.0</v>
      </c>
      <c r="D1039" s="33" t="s">
        <v>10346</v>
      </c>
      <c r="E1039" s="74"/>
      <c r="F1039" s="46" t="s">
        <v>2793</v>
      </c>
      <c r="G1039" s="75"/>
      <c r="H1039" s="96" t="str">
        <f>HYPERLINK("http://mirror.ff7data.com.ar/ff7/data/minigame/condor.lgp/eh.rsd.png","View Picture")</f>
        <v>View Picture</v>
      </c>
      <c r="K1039" s="43"/>
    </row>
    <row r="1040" ht="22.5" customHeight="1">
      <c r="A1040" s="21"/>
      <c r="B1040" s="33" t="s">
        <v>10362</v>
      </c>
      <c r="C1040" s="42">
        <v>70944.0</v>
      </c>
      <c r="D1040" s="31"/>
      <c r="E1040" s="74"/>
      <c r="F1040" s="46" t="s">
        <v>10365</v>
      </c>
      <c r="G1040" s="46" t="s">
        <v>889</v>
      </c>
      <c r="H1040" s="96" t="str">
        <f>HYPERLINK("http://mirror.ff7data.com.ar/ff7/data/minigame/condor.lgp/ehelp.tim.png","EN")</f>
        <v>EN</v>
      </c>
      <c r="I1040" s="98" t="str">
        <f>HYPERLINK("http://mirror.ff7data.com.ar/ff7/es/condor/shelp.tim.png","ES")</f>
        <v>ES</v>
      </c>
      <c r="K1040" s="43"/>
    </row>
    <row r="1041" ht="22.5" customHeight="1">
      <c r="A1041" s="21"/>
      <c r="B1041" s="33" t="s">
        <v>10378</v>
      </c>
      <c r="C1041" s="42">
        <v>282144.0</v>
      </c>
      <c r="D1041" s="31"/>
      <c r="E1041" s="74"/>
      <c r="F1041" s="46" t="s">
        <v>10365</v>
      </c>
      <c r="G1041" s="46" t="s">
        <v>889</v>
      </c>
      <c r="H1041" s="96" t="str">
        <f>HYPERLINK("http://mirror.ff7data.com.ar/ff7/data/minigame/condor.lgp/ehelp_1.tim.png","EN")</f>
        <v>EN</v>
      </c>
      <c r="I1041" s="98" t="str">
        <f>HYPERLINK("http://mirror.ff7data.com.ar/ff7/es/condor/shelp_1.tim.png","ES")</f>
        <v>ES</v>
      </c>
      <c r="K1041" s="43"/>
    </row>
    <row r="1042">
      <c r="A1042" s="40"/>
      <c r="B1042" s="33" t="s">
        <v>3872</v>
      </c>
      <c r="C1042" s="42">
        <v>3356.0</v>
      </c>
      <c r="D1042" s="33" t="s">
        <v>10390</v>
      </c>
      <c r="E1042" s="74"/>
      <c r="F1042" s="46" t="s">
        <v>2775</v>
      </c>
      <c r="G1042" s="75"/>
      <c r="H1042" s="96" t="str">
        <f>HYPERLINK("http://mirror.ff7data.com.ar/ff7/data/minigame/condor.lgp/ei.p.png","View Picture")</f>
        <v>View Picture</v>
      </c>
      <c r="K1042" s="43"/>
    </row>
    <row r="1043">
      <c r="A1043" s="40"/>
      <c r="B1043" s="33" t="s">
        <v>3884</v>
      </c>
      <c r="C1043" s="42">
        <v>56.0</v>
      </c>
      <c r="D1043" s="33" t="s">
        <v>10390</v>
      </c>
      <c r="E1043" s="74"/>
      <c r="F1043" s="46" t="s">
        <v>2793</v>
      </c>
      <c r="G1043" s="75"/>
      <c r="H1043" s="96" t="str">
        <f>HYPERLINK("http://mirror.ff7data.com.ar/ff7/data/minigame/condor.lgp/ei.rsd.png","View Picture")</f>
        <v>View Picture</v>
      </c>
      <c r="K1043" s="43"/>
    </row>
    <row r="1044">
      <c r="A1044" s="40"/>
      <c r="B1044" s="33" t="s">
        <v>3898</v>
      </c>
      <c r="C1044" s="42">
        <v>3308.0</v>
      </c>
      <c r="D1044" s="33" t="s">
        <v>10403</v>
      </c>
      <c r="E1044" s="74"/>
      <c r="F1044" s="46" t="s">
        <v>2775</v>
      </c>
      <c r="G1044" s="75"/>
      <c r="H1044" s="96" t="str">
        <f>HYPERLINK("http://mirror.ff7data.com.ar/ff7/data/minigame/condor.lgp/ej.p.png","View Picture")</f>
        <v>View Picture</v>
      </c>
      <c r="K1044" s="43"/>
    </row>
    <row r="1045">
      <c r="A1045" s="40"/>
      <c r="B1045" s="33" t="s">
        <v>3911</v>
      </c>
      <c r="C1045" s="42">
        <v>56.0</v>
      </c>
      <c r="D1045" s="33" t="s">
        <v>10403</v>
      </c>
      <c r="E1045" s="74"/>
      <c r="F1045" s="46" t="s">
        <v>2793</v>
      </c>
      <c r="G1045" s="75"/>
      <c r="H1045" s="96" t="str">
        <f>HYPERLINK("http://mirror.ff7data.com.ar/ff7/data/minigame/condor.lgp/ej.rsd.png","View Picture")</f>
        <v>View Picture</v>
      </c>
      <c r="K1045" s="43"/>
    </row>
    <row r="1046">
      <c r="A1046" s="40"/>
      <c r="B1046" s="33" t="s">
        <v>3922</v>
      </c>
      <c r="C1046" s="42">
        <v>3308.0</v>
      </c>
      <c r="D1046" s="33" t="s">
        <v>10418</v>
      </c>
      <c r="E1046" s="74"/>
      <c r="F1046" s="46" t="s">
        <v>2775</v>
      </c>
      <c r="G1046" s="75"/>
      <c r="H1046" s="96" t="str">
        <f>HYPERLINK("http://mirror.ff7data.com.ar/ff7/data/minigame/condor.lgp/ek.p.png","View Picture")</f>
        <v>View Picture</v>
      </c>
      <c r="K1046" s="43"/>
    </row>
    <row r="1047">
      <c r="A1047" s="40"/>
      <c r="B1047" s="33" t="s">
        <v>3933</v>
      </c>
      <c r="C1047" s="42">
        <v>56.0</v>
      </c>
      <c r="D1047" s="33" t="s">
        <v>10418</v>
      </c>
      <c r="E1047" s="74"/>
      <c r="F1047" s="46" t="s">
        <v>2793</v>
      </c>
      <c r="G1047" s="75"/>
      <c r="H1047" s="96" t="str">
        <f>HYPERLINK("http://mirror.ff7data.com.ar/ff7/data/minigame/condor.lgp/ek.rsd.png","View Picture")</f>
        <v>View Picture</v>
      </c>
      <c r="K1047" s="43"/>
    </row>
    <row r="1048">
      <c r="A1048" s="40"/>
      <c r="B1048" s="33" t="s">
        <v>3943</v>
      </c>
      <c r="C1048" s="42">
        <v>3308.0</v>
      </c>
      <c r="D1048" s="33" t="s">
        <v>10433</v>
      </c>
      <c r="E1048" s="74"/>
      <c r="F1048" s="46" t="s">
        <v>2775</v>
      </c>
      <c r="G1048" s="75"/>
      <c r="H1048" s="96" t="str">
        <f>HYPERLINK("http://mirror.ff7data.com.ar/ff7/data/minigame/condor.lgp/el.p.png","View Picture")</f>
        <v>View Picture</v>
      </c>
      <c r="K1048" s="43"/>
    </row>
    <row r="1049">
      <c r="A1049" s="40"/>
      <c r="B1049" s="33" t="s">
        <v>3959</v>
      </c>
      <c r="C1049" s="42">
        <v>56.0</v>
      </c>
      <c r="D1049" s="33" t="s">
        <v>10433</v>
      </c>
      <c r="E1049" s="74"/>
      <c r="F1049" s="46" t="s">
        <v>2793</v>
      </c>
      <c r="G1049" s="75"/>
      <c r="H1049" s="96" t="str">
        <f>HYPERLINK("http://mirror.ff7data.com.ar/ff7/data/minigame/condor.lgp/el.rsd.png","View Picture")</f>
        <v>View Picture</v>
      </c>
      <c r="K1049" s="43"/>
    </row>
    <row r="1050">
      <c r="A1050" s="40"/>
      <c r="B1050" s="33" t="s">
        <v>3975</v>
      </c>
      <c r="C1050" s="42">
        <v>1916.0</v>
      </c>
      <c r="D1050" s="33" t="s">
        <v>10446</v>
      </c>
      <c r="E1050" s="74"/>
      <c r="F1050" s="46" t="s">
        <v>2775</v>
      </c>
      <c r="G1050" s="75"/>
      <c r="H1050" s="96" t="str">
        <f>HYPERLINK("http://mirror.ff7data.com.ar/ff7/data/minigame/condor.lgp/em.p.png","View Picture")</f>
        <v>View Picture</v>
      </c>
      <c r="K1050" s="43"/>
    </row>
    <row r="1051">
      <c r="A1051" s="40"/>
      <c r="B1051" s="33" t="s">
        <v>3987</v>
      </c>
      <c r="C1051" s="42">
        <v>56.0</v>
      </c>
      <c r="D1051" s="33" t="s">
        <v>10446</v>
      </c>
      <c r="E1051" s="74"/>
      <c r="F1051" s="46" t="s">
        <v>2793</v>
      </c>
      <c r="G1051" s="75"/>
      <c r="H1051" s="96" t="str">
        <f>HYPERLINK("http://mirror.ff7data.com.ar/ff7/data/minigame/condor.lgp/em.rsd.png","View Picture")</f>
        <v>View Picture</v>
      </c>
      <c r="K1051" s="43"/>
    </row>
    <row r="1052" ht="22.5" customHeight="1">
      <c r="A1052" s="40"/>
      <c r="B1052" s="33" t="s">
        <v>10466</v>
      </c>
      <c r="C1052" s="42">
        <v>65836.0</v>
      </c>
      <c r="D1052" s="33" t="s">
        <v>10468</v>
      </c>
      <c r="E1052" s="74"/>
      <c r="F1052" s="46" t="s">
        <v>1348</v>
      </c>
      <c r="G1052" s="46" t="s">
        <v>889</v>
      </c>
      <c r="H1052" s="96" t="str">
        <f>HYPERLINK("http://mirror.ff7data.com.ar/ff7/data/minigame/condor.lgp/emes00.tex.png","EN")</f>
        <v>EN</v>
      </c>
      <c r="I1052" s="98" t="str">
        <f>HYPERLINK("http://mirror.ff7data.com.ar/ff7/es/condor/smes00.tex.png","ES")</f>
        <v>ES</v>
      </c>
      <c r="K1052" s="43"/>
    </row>
    <row r="1053" ht="22.5" customHeight="1">
      <c r="A1053" s="40"/>
      <c r="B1053" s="33" t="s">
        <v>10481</v>
      </c>
      <c r="C1053" s="42">
        <v>65836.0</v>
      </c>
      <c r="D1053" s="33" t="s">
        <v>10483</v>
      </c>
      <c r="E1053" s="74"/>
      <c r="F1053" s="46" t="s">
        <v>1348</v>
      </c>
      <c r="G1053" s="46" t="s">
        <v>889</v>
      </c>
      <c r="H1053" s="96" t="str">
        <f>HYPERLINK("http://mirror.ff7data.com.ar/ff7/data/minigame/condor.lgp/emes00a.tex.png","EN")</f>
        <v>EN</v>
      </c>
      <c r="I1053" s="98" t="str">
        <f>HYPERLINK("http://mirror.ff7data.com.ar/ff7/es/condor/smes00a.tex.png","ES")</f>
        <v>ES</v>
      </c>
      <c r="K1053" s="43"/>
    </row>
    <row r="1054" ht="22.5" customHeight="1">
      <c r="A1054" s="40"/>
      <c r="B1054" s="33" t="s">
        <v>10495</v>
      </c>
      <c r="C1054" s="42">
        <v>65836.0</v>
      </c>
      <c r="D1054" s="33" t="s">
        <v>10496</v>
      </c>
      <c r="E1054" s="74"/>
      <c r="F1054" s="46" t="s">
        <v>1348</v>
      </c>
      <c r="G1054" s="46" t="s">
        <v>889</v>
      </c>
      <c r="H1054" s="96" t="str">
        <f>HYPERLINK("http://mirror.ff7data.com.ar/ff7/data/minigame/condor.lgp/emes00b.tex.png","EN")</f>
        <v>EN</v>
      </c>
      <c r="I1054" s="98" t="str">
        <f>HYPERLINK("http://mirror.ff7data.com.ar/ff7/es/condor/smes00b.tex.png","ES")</f>
        <v>ES</v>
      </c>
      <c r="K1054" s="43"/>
    </row>
    <row r="1055" ht="22.5" customHeight="1">
      <c r="A1055" s="40"/>
      <c r="B1055" s="33" t="s">
        <v>10511</v>
      </c>
      <c r="C1055" s="42">
        <v>65836.0</v>
      </c>
      <c r="D1055" s="33" t="s">
        <v>10513</v>
      </c>
      <c r="E1055" s="74"/>
      <c r="F1055" s="46" t="s">
        <v>1348</v>
      </c>
      <c r="G1055" s="46" t="s">
        <v>889</v>
      </c>
      <c r="H1055" s="96" t="str">
        <f>HYPERLINK("http://mirror.ff7data.com.ar/ff7/data/minigame/condor.lgp/emes00c.tex.png","EN")</f>
        <v>EN</v>
      </c>
      <c r="I1055" s="98" t="str">
        <f>HYPERLINK("http://mirror.ff7data.com.ar/ff7/es/condor/smes00c.tex.png","ES")</f>
        <v>ES</v>
      </c>
      <c r="K1055" s="43"/>
    </row>
    <row r="1056" ht="22.5" customHeight="1">
      <c r="A1056" s="40"/>
      <c r="B1056" s="33" t="s">
        <v>10525</v>
      </c>
      <c r="C1056" s="42">
        <v>65836.0</v>
      </c>
      <c r="D1056" s="33" t="s">
        <v>10527</v>
      </c>
      <c r="E1056" s="74"/>
      <c r="F1056" s="46" t="s">
        <v>1348</v>
      </c>
      <c r="G1056" s="46" t="s">
        <v>889</v>
      </c>
      <c r="H1056" s="96" t="str">
        <f>HYPERLINK("http://mirror.ff7data.com.ar/ff7/data/minigame/condor.lgp/emes00d.tex.png","EN")</f>
        <v>EN</v>
      </c>
      <c r="I1056" s="98" t="str">
        <f>HYPERLINK("http://mirror.ff7data.com.ar/ff7/es/condor/smes00d.tex.png","ES")</f>
        <v>ES</v>
      </c>
      <c r="K1056" s="43"/>
    </row>
    <row r="1057" ht="22.5" customHeight="1">
      <c r="A1057" s="40"/>
      <c r="B1057" s="33" t="s">
        <v>10546</v>
      </c>
      <c r="C1057" s="42">
        <v>65836.0</v>
      </c>
      <c r="D1057" s="33" t="s">
        <v>10547</v>
      </c>
      <c r="E1057" s="74"/>
      <c r="F1057" s="46" t="s">
        <v>1348</v>
      </c>
      <c r="G1057" s="46" t="s">
        <v>889</v>
      </c>
      <c r="H1057" s="96" t="str">
        <f>HYPERLINK("http://mirror.ff7data.com.ar/ff7/data/minigame/condor.lgp/emes01.tex.png","EN")</f>
        <v>EN</v>
      </c>
      <c r="I1057" s="98" t="str">
        <f>HYPERLINK("http://mirror.ff7data.com.ar/ff7/es/condor/smes01.tex.png","ES")</f>
        <v>ES</v>
      </c>
      <c r="K1057" s="43"/>
    </row>
    <row r="1058" ht="22.5" customHeight="1">
      <c r="A1058" s="40"/>
      <c r="B1058" s="33" t="s">
        <v>10564</v>
      </c>
      <c r="C1058" s="42">
        <v>65836.0</v>
      </c>
      <c r="D1058" s="33" t="s">
        <v>10566</v>
      </c>
      <c r="E1058" s="74"/>
      <c r="F1058" s="46" t="s">
        <v>1348</v>
      </c>
      <c r="G1058" s="46" t="s">
        <v>889</v>
      </c>
      <c r="H1058" s="96" t="str">
        <f>HYPERLINK("http://mirror.ff7data.com.ar/ff7/data/minigame/condor.lgp/emes01a.tex.png","EN")</f>
        <v>EN</v>
      </c>
      <c r="I1058" s="98" t="str">
        <f>HYPERLINK("http://mirror.ff7data.com.ar/ff7/es/condor/smes01a.tex.png","ES")</f>
        <v>ES</v>
      </c>
      <c r="K1058" s="43"/>
    </row>
    <row r="1059" ht="22.5" customHeight="1">
      <c r="A1059" s="40"/>
      <c r="B1059" s="33" t="s">
        <v>10584</v>
      </c>
      <c r="C1059" s="42">
        <v>65836.0</v>
      </c>
      <c r="D1059" s="33" t="s">
        <v>10587</v>
      </c>
      <c r="E1059" s="74"/>
      <c r="F1059" s="46" t="s">
        <v>1348</v>
      </c>
      <c r="G1059" s="46" t="s">
        <v>889</v>
      </c>
      <c r="H1059" s="96" t="str">
        <f>HYPERLINK("http://mirror.ff7data.com.ar/ff7/data/minigame/condor.lgp/emes01b.tex.png","EN")</f>
        <v>EN</v>
      </c>
      <c r="I1059" s="98" t="str">
        <f>HYPERLINK("http://mirror.ff7data.com.ar/ff7/es/condor/smes01b.tex.png","ES")</f>
        <v>ES</v>
      </c>
      <c r="K1059" s="43"/>
    </row>
    <row r="1060" ht="22.5" customHeight="1">
      <c r="A1060" s="40"/>
      <c r="B1060" s="33" t="s">
        <v>10609</v>
      </c>
      <c r="C1060" s="42">
        <v>65836.0</v>
      </c>
      <c r="D1060" s="33" t="s">
        <v>10611</v>
      </c>
      <c r="E1060" s="74"/>
      <c r="F1060" s="46" t="s">
        <v>1348</v>
      </c>
      <c r="G1060" s="46" t="s">
        <v>889</v>
      </c>
      <c r="H1060" s="96" t="str">
        <f>HYPERLINK("http://mirror.ff7data.com.ar/ff7/data/minigame/condor.lgp/emes08.tex.png","EN")</f>
        <v>EN</v>
      </c>
      <c r="I1060" s="98" t="str">
        <f>HYPERLINK("http://mirror.ff7data.com.ar/ff7/es/condor/smes08.tex.png","ES")</f>
        <v>ES</v>
      </c>
      <c r="K1060" s="43"/>
    </row>
    <row r="1061">
      <c r="A1061" s="40"/>
      <c r="B1061" s="33" t="s">
        <v>3999</v>
      </c>
      <c r="C1061" s="42">
        <v>3308.0</v>
      </c>
      <c r="D1061" s="33" t="s">
        <v>10628</v>
      </c>
      <c r="E1061" s="74"/>
      <c r="F1061" s="46" t="s">
        <v>2775</v>
      </c>
      <c r="G1061" s="75"/>
      <c r="H1061" s="96" t="str">
        <f>HYPERLINK("http://mirror.ff7data.com.ar/ff7/data/minigame/condor.lgp/en.p.png","View Picture")</f>
        <v>View Picture</v>
      </c>
      <c r="K1061" s="43"/>
    </row>
    <row r="1062">
      <c r="A1062" s="40"/>
      <c r="B1062" s="33" t="s">
        <v>4004</v>
      </c>
      <c r="C1062" s="42">
        <v>56.0</v>
      </c>
      <c r="D1062" s="33" t="s">
        <v>10628</v>
      </c>
      <c r="E1062" s="74"/>
      <c r="F1062" s="46" t="s">
        <v>2793</v>
      </c>
      <c r="G1062" s="75"/>
      <c r="H1062" s="96" t="str">
        <f>HYPERLINK("http://mirror.ff7data.com.ar/ff7/data/minigame/condor.lgp/en.rsd.png","View Picture")</f>
        <v>View Picture</v>
      </c>
      <c r="K1062" s="43"/>
    </row>
    <row r="1063">
      <c r="A1063" s="40"/>
      <c r="B1063" s="33" t="s">
        <v>10649</v>
      </c>
      <c r="C1063" s="42">
        <v>3308.0</v>
      </c>
      <c r="D1063" s="33" t="s">
        <v>10651</v>
      </c>
      <c r="E1063" s="74"/>
      <c r="F1063" s="46" t="s">
        <v>2775</v>
      </c>
      <c r="G1063" s="75"/>
      <c r="H1063" s="96" t="str">
        <f>HYPERLINK("http://mirror.ff7data.com.ar/ff7/data/minigame/condor.lgp/eo.p.png","View Picture")</f>
        <v>View Picture</v>
      </c>
      <c r="K1063" s="43"/>
    </row>
    <row r="1064">
      <c r="A1064" s="40"/>
      <c r="B1064" s="33" t="s">
        <v>10663</v>
      </c>
      <c r="C1064" s="42">
        <v>56.0</v>
      </c>
      <c r="D1064" s="33" t="s">
        <v>10651</v>
      </c>
      <c r="E1064" s="74"/>
      <c r="F1064" s="46" t="s">
        <v>2793</v>
      </c>
      <c r="G1064" s="75"/>
      <c r="H1064" s="96" t="str">
        <f>HYPERLINK("http://mirror.ff7data.com.ar/ff7/data/minigame/condor.lgp/eo.rsd.png","View Picture")</f>
        <v>View Picture</v>
      </c>
      <c r="K1064" s="43"/>
    </row>
    <row r="1065">
      <c r="A1065" s="40"/>
      <c r="B1065" s="33" t="s">
        <v>10676</v>
      </c>
      <c r="C1065" s="42">
        <v>3308.0</v>
      </c>
      <c r="D1065" s="33" t="s">
        <v>10678</v>
      </c>
      <c r="E1065" s="74"/>
      <c r="F1065" s="46" t="s">
        <v>2775</v>
      </c>
      <c r="G1065" s="75"/>
      <c r="H1065" s="96" t="str">
        <f>HYPERLINK("http://mirror.ff7data.com.ar/ff7/data/minigame/condor.lgp/ep.p.png","View Picture")</f>
        <v>View Picture</v>
      </c>
      <c r="K1065" s="43"/>
    </row>
    <row r="1066">
      <c r="A1066" s="40"/>
      <c r="B1066" s="33" t="s">
        <v>10687</v>
      </c>
      <c r="C1066" s="42">
        <v>56.0</v>
      </c>
      <c r="D1066" s="33" t="s">
        <v>10678</v>
      </c>
      <c r="E1066" s="74"/>
      <c r="F1066" s="46" t="s">
        <v>2793</v>
      </c>
      <c r="G1066" s="75"/>
      <c r="H1066" s="96" t="str">
        <f>HYPERLINK("http://mirror.ff7data.com.ar/ff7/data/minigame/condor.lgp/ep.rsd.png","View Picture")</f>
        <v>View Picture</v>
      </c>
      <c r="K1066" s="43"/>
    </row>
    <row r="1067">
      <c r="A1067" s="40"/>
      <c r="B1067" s="33" t="s">
        <v>10695</v>
      </c>
      <c r="C1067" s="42">
        <v>3308.0</v>
      </c>
      <c r="D1067" s="33" t="s">
        <v>10697</v>
      </c>
      <c r="E1067" s="74"/>
      <c r="F1067" s="46" t="s">
        <v>2775</v>
      </c>
      <c r="G1067" s="75"/>
      <c r="H1067" s="96" t="str">
        <f>HYPERLINK("http://mirror.ff7data.com.ar/ff7/data/minigame/condor.lgp/eq.p.png","View Picture")</f>
        <v>View Picture</v>
      </c>
      <c r="K1067" s="43"/>
    </row>
    <row r="1068">
      <c r="A1068" s="40"/>
      <c r="B1068" s="33" t="s">
        <v>10705</v>
      </c>
      <c r="C1068" s="42">
        <v>56.0</v>
      </c>
      <c r="D1068" s="33" t="s">
        <v>10697</v>
      </c>
      <c r="E1068" s="74"/>
      <c r="F1068" s="46" t="s">
        <v>2793</v>
      </c>
      <c r="G1068" s="75"/>
      <c r="H1068" s="96" t="str">
        <f>HYPERLINK("http://mirror.ff7data.com.ar/ff7/data/minigame/condor.lgp/eq.rsd.png","View Picture")</f>
        <v>View Picture</v>
      </c>
      <c r="K1068" s="43"/>
    </row>
    <row r="1069">
      <c r="A1069" s="40"/>
      <c r="B1069" s="33" t="s">
        <v>10715</v>
      </c>
      <c r="C1069" s="42">
        <v>3308.0</v>
      </c>
      <c r="D1069" s="33" t="s">
        <v>10717</v>
      </c>
      <c r="E1069" s="74"/>
      <c r="F1069" s="46" t="s">
        <v>2775</v>
      </c>
      <c r="G1069" s="75"/>
      <c r="H1069" s="96" t="str">
        <f>HYPERLINK("http://mirror.ff7data.com.ar/ff7/data/minigame/condor.lgp/er.p.png","View Picture")</f>
        <v>View Picture</v>
      </c>
      <c r="K1069" s="43"/>
    </row>
    <row r="1070">
      <c r="A1070" s="40"/>
      <c r="B1070" s="33" t="s">
        <v>10728</v>
      </c>
      <c r="C1070" s="42">
        <v>56.0</v>
      </c>
      <c r="D1070" s="33" t="s">
        <v>10717</v>
      </c>
      <c r="E1070" s="74"/>
      <c r="F1070" s="46" t="s">
        <v>2793</v>
      </c>
      <c r="G1070" s="75"/>
      <c r="H1070" s="96" t="str">
        <f>HYPERLINK("http://mirror.ff7data.com.ar/ff7/data/minigame/condor.lgp/er.rsd.png","View Picture")</f>
        <v>View Picture</v>
      </c>
      <c r="K1070" s="43"/>
    </row>
    <row r="1071">
      <c r="A1071" s="40"/>
      <c r="B1071" s="33" t="s">
        <v>10745</v>
      </c>
      <c r="C1071" s="42">
        <v>3308.0</v>
      </c>
      <c r="D1071" s="33" t="s">
        <v>10747</v>
      </c>
      <c r="E1071" s="74"/>
      <c r="F1071" s="46" t="s">
        <v>2775</v>
      </c>
      <c r="G1071" s="75"/>
      <c r="H1071" s="96" t="str">
        <f>HYPERLINK("http://mirror.ff7data.com.ar/ff7/data/minigame/condor.lgp/es.p.png","View Picture")</f>
        <v>View Picture</v>
      </c>
      <c r="K1071" s="43"/>
    </row>
    <row r="1072">
      <c r="A1072" s="40"/>
      <c r="B1072" s="33" t="s">
        <v>10754</v>
      </c>
      <c r="C1072" s="42">
        <v>56.0</v>
      </c>
      <c r="D1072" s="33" t="s">
        <v>10747</v>
      </c>
      <c r="E1072" s="74"/>
      <c r="F1072" s="46" t="s">
        <v>2793</v>
      </c>
      <c r="G1072" s="75"/>
      <c r="H1072" s="96" t="str">
        <f>HYPERLINK("http://mirror.ff7data.com.ar/ff7/data/minigame/condor.lgp/es.rsd.png","View Picture")</f>
        <v>View Picture</v>
      </c>
      <c r="K1072" s="43"/>
    </row>
    <row r="1073">
      <c r="A1073" s="40"/>
      <c r="B1073" s="33" t="s">
        <v>10765</v>
      </c>
      <c r="C1073" s="42">
        <v>3308.0</v>
      </c>
      <c r="D1073" s="33" t="s">
        <v>10766</v>
      </c>
      <c r="E1073" s="74"/>
      <c r="F1073" s="46" t="s">
        <v>2775</v>
      </c>
      <c r="G1073" s="75"/>
      <c r="H1073" s="96" t="str">
        <f>HYPERLINK("http://mirror.ff7data.com.ar/ff7/data/minigame/condor.lgp/et.p.png","View Picture")</f>
        <v>View Picture</v>
      </c>
      <c r="K1073" s="43"/>
    </row>
    <row r="1074">
      <c r="A1074" s="40"/>
      <c r="B1074" s="33" t="s">
        <v>10779</v>
      </c>
      <c r="C1074" s="42">
        <v>56.0</v>
      </c>
      <c r="D1074" s="33" t="s">
        <v>10766</v>
      </c>
      <c r="E1074" s="74"/>
      <c r="F1074" s="46" t="s">
        <v>2793</v>
      </c>
      <c r="G1074" s="75"/>
      <c r="H1074" s="96" t="str">
        <f>HYPERLINK("http://mirror.ff7data.com.ar/ff7/data/minigame/condor.lgp/et.rsd.png","View Picture")</f>
        <v>View Picture</v>
      </c>
      <c r="K1074" s="43"/>
    </row>
    <row r="1075">
      <c r="A1075" s="40"/>
      <c r="B1075" s="33" t="s">
        <v>10790</v>
      </c>
      <c r="C1075" s="42">
        <v>1916.0</v>
      </c>
      <c r="D1075" s="33" t="s">
        <v>10793</v>
      </c>
      <c r="E1075" s="74"/>
      <c r="F1075" s="46" t="s">
        <v>2775</v>
      </c>
      <c r="G1075" s="75"/>
      <c r="H1075" s="96" t="str">
        <f>HYPERLINK("http://mirror.ff7data.com.ar/ff7/data/minigame/condor.lgp/eu.p.png","View Picture")</f>
        <v>View Picture</v>
      </c>
      <c r="K1075" s="43"/>
    </row>
    <row r="1076">
      <c r="A1076" s="40"/>
      <c r="B1076" s="33" t="s">
        <v>10803</v>
      </c>
      <c r="C1076" s="42">
        <v>56.0</v>
      </c>
      <c r="D1076" s="33" t="s">
        <v>10793</v>
      </c>
      <c r="E1076" s="74"/>
      <c r="F1076" s="46" t="s">
        <v>2793</v>
      </c>
      <c r="G1076" s="75"/>
      <c r="H1076" s="96" t="str">
        <f>HYPERLINK("http://mirror.ff7data.com.ar/ff7/data/minigame/condor.lgp/eu.rsd.png","View Picture")</f>
        <v>View Picture</v>
      </c>
      <c r="K1076" s="43"/>
    </row>
    <row r="1077" ht="22.5" customHeight="1">
      <c r="A1077" s="40"/>
      <c r="B1077" s="33" t="s">
        <v>10815</v>
      </c>
      <c r="C1077" s="42">
        <v>66796.0</v>
      </c>
      <c r="D1077" s="33" t="s">
        <v>10817</v>
      </c>
      <c r="E1077" s="74"/>
      <c r="F1077" s="46" t="s">
        <v>1348</v>
      </c>
      <c r="G1077" s="46" t="s">
        <v>889</v>
      </c>
      <c r="H1077" s="96" t="str">
        <f>HYPERLINK("http://mirror.ff7data.com.ar/ff7/data/minigame/condor.lgp/eunit00.tex.png","EN")</f>
        <v>EN</v>
      </c>
      <c r="I1077" s="98" t="str">
        <f>HYPERLINK("http://mirror.ff7data.com.ar/ff7/es/condor/sunit00.tex.png","ES")</f>
        <v>ES</v>
      </c>
      <c r="K1077" s="43"/>
    </row>
    <row r="1078" ht="22.5" customHeight="1">
      <c r="A1078" s="40"/>
      <c r="B1078" s="33" t="s">
        <v>10837</v>
      </c>
      <c r="C1078" s="42">
        <v>66796.0</v>
      </c>
      <c r="D1078" s="33" t="s">
        <v>10839</v>
      </c>
      <c r="E1078" s="74"/>
      <c r="F1078" s="46" t="s">
        <v>1348</v>
      </c>
      <c r="G1078" s="46" t="s">
        <v>889</v>
      </c>
      <c r="H1078" s="96" t="str">
        <f>HYPERLINK("http://mirror.ff7data.com.ar/ff7/data/minigame/condor.lgp/eunit00a.tex.png","EN")</f>
        <v>EN</v>
      </c>
      <c r="I1078" s="98" t="str">
        <f>HYPERLINK("http://mirror.ff7data.com.ar/ff7/es/condor/sunit00a.tex.png","ES")</f>
        <v>ES</v>
      </c>
      <c r="K1078" s="43"/>
    </row>
    <row r="1079" ht="22.5" customHeight="1">
      <c r="A1079" s="40"/>
      <c r="B1079" s="33" t="s">
        <v>10858</v>
      </c>
      <c r="C1079" s="42">
        <v>66796.0</v>
      </c>
      <c r="D1079" s="33" t="s">
        <v>10859</v>
      </c>
      <c r="E1079" s="74"/>
      <c r="F1079" s="46" t="s">
        <v>1348</v>
      </c>
      <c r="G1079" s="46" t="s">
        <v>889</v>
      </c>
      <c r="H1079" s="96" t="str">
        <f>HYPERLINK("http://mirror.ff7data.com.ar/ff7/data/minigame/condor.lgp/eunit00b.tex.png","EN")</f>
        <v>EN</v>
      </c>
      <c r="I1079" s="98" t="str">
        <f>HYPERLINK("http://mirror.ff7data.com.ar/ff7/es/condor/sunit00b.tex.png","ES")</f>
        <v>ES</v>
      </c>
      <c r="K1079" s="43"/>
    </row>
    <row r="1080" ht="22.5" customHeight="1">
      <c r="A1080" s="40"/>
      <c r="B1080" s="33" t="s">
        <v>10876</v>
      </c>
      <c r="C1080" s="42">
        <v>66796.0</v>
      </c>
      <c r="D1080" s="33" t="s">
        <v>10877</v>
      </c>
      <c r="E1080" s="74"/>
      <c r="F1080" s="46" t="s">
        <v>1348</v>
      </c>
      <c r="G1080" s="46" t="s">
        <v>889</v>
      </c>
      <c r="H1080" s="96" t="str">
        <f>HYPERLINK("http://mirror.ff7data.com.ar/ff7/data/minigame/condor.lgp/eunit00c.tex.png","EN")</f>
        <v>EN</v>
      </c>
      <c r="I1080" s="98" t="str">
        <f>HYPERLINK("http://mirror.ff7data.com.ar/ff7/es/condor/sunit00c.tex.png","ES")</f>
        <v>ES</v>
      </c>
      <c r="K1080" s="43"/>
    </row>
    <row r="1081" ht="22.5" customHeight="1">
      <c r="A1081" s="40"/>
      <c r="B1081" s="33" t="s">
        <v>10891</v>
      </c>
      <c r="C1081" s="42">
        <v>66796.0</v>
      </c>
      <c r="D1081" s="33" t="s">
        <v>10892</v>
      </c>
      <c r="E1081" s="74"/>
      <c r="F1081" s="46" t="s">
        <v>1348</v>
      </c>
      <c r="G1081" s="46" t="s">
        <v>889</v>
      </c>
      <c r="H1081" s="96" t="str">
        <f>HYPERLINK("http://mirror.ff7data.com.ar/ff7/data/minigame/condor.lgp/eunit00d.tex.png","EN")</f>
        <v>EN</v>
      </c>
      <c r="I1081" s="98" t="str">
        <f>HYPERLINK("http://mirror.ff7data.com.ar/ff7/es/condor/sunit00d.tex.png","ES")</f>
        <v>ES</v>
      </c>
      <c r="K1081" s="43"/>
    </row>
    <row r="1082" ht="22.5" customHeight="1">
      <c r="A1082" s="40"/>
      <c r="B1082" s="33" t="s">
        <v>10905</v>
      </c>
      <c r="C1082" s="42">
        <v>66796.0</v>
      </c>
      <c r="D1082" s="33" t="s">
        <v>10907</v>
      </c>
      <c r="E1082" s="74"/>
      <c r="F1082" s="46" t="s">
        <v>1348</v>
      </c>
      <c r="G1082" s="46" t="s">
        <v>889</v>
      </c>
      <c r="H1082" s="96" t="str">
        <f>HYPERLINK("http://mirror.ff7data.com.ar/ff7/data/minigame/condor.lgp/eunit01.tex.png","EN")</f>
        <v>EN</v>
      </c>
      <c r="I1082" s="98" t="str">
        <f>HYPERLINK("http://mirror.ff7data.com.ar/ff7/es/condor/sunit01.tex.png","ES")</f>
        <v>ES</v>
      </c>
      <c r="K1082" s="43"/>
    </row>
    <row r="1083" ht="22.5" customHeight="1">
      <c r="A1083" s="40"/>
      <c r="B1083" s="33" t="s">
        <v>10921</v>
      </c>
      <c r="C1083" s="42">
        <v>66796.0</v>
      </c>
      <c r="D1083" s="33" t="s">
        <v>10923</v>
      </c>
      <c r="E1083" s="74"/>
      <c r="F1083" s="46" t="s">
        <v>1348</v>
      </c>
      <c r="G1083" s="46" t="s">
        <v>889</v>
      </c>
      <c r="H1083" s="96" t="str">
        <f>HYPERLINK("http://mirror.ff7data.com.ar/ff7/data/minigame/condor.lgp/eunit01a.tex.png","EN")</f>
        <v>EN</v>
      </c>
      <c r="I1083" s="98" t="str">
        <f>HYPERLINK("http://mirror.ff7data.com.ar/ff7/es/condor/sunit01a.tex.png","ES")</f>
        <v>ES</v>
      </c>
      <c r="K1083" s="43"/>
    </row>
    <row r="1084" ht="22.5" customHeight="1">
      <c r="A1084" s="40"/>
      <c r="B1084" s="33" t="s">
        <v>10939</v>
      </c>
      <c r="C1084" s="42">
        <v>66796.0</v>
      </c>
      <c r="D1084" s="33" t="s">
        <v>10940</v>
      </c>
      <c r="E1084" s="74"/>
      <c r="F1084" s="46" t="s">
        <v>1348</v>
      </c>
      <c r="G1084" s="46" t="s">
        <v>889</v>
      </c>
      <c r="H1084" s="96" t="str">
        <f>HYPERLINK("http://mirror.ff7data.com.ar/ff7/data/minigame/condor.lgp/eunit01b.tex.png","EN")</f>
        <v>EN</v>
      </c>
      <c r="I1084" s="98" t="str">
        <f>HYPERLINK("http://mirror.ff7data.com.ar/ff7/es/condor/sunit01b.tex.png","ES")</f>
        <v>ES</v>
      </c>
      <c r="K1084" s="43"/>
    </row>
    <row r="1085" ht="22.5" customHeight="1">
      <c r="A1085" s="40"/>
      <c r="B1085" s="33" t="s">
        <v>10958</v>
      </c>
      <c r="C1085" s="42">
        <v>66796.0</v>
      </c>
      <c r="D1085" s="33" t="s">
        <v>10960</v>
      </c>
      <c r="E1085" s="74"/>
      <c r="F1085" s="46" t="s">
        <v>1348</v>
      </c>
      <c r="G1085" s="46" t="s">
        <v>889</v>
      </c>
      <c r="H1085" s="96" t="str">
        <f>HYPERLINK("http://mirror.ff7data.com.ar/ff7/data/minigame/condor.lgp/eunit01c.tex.png","EN")</f>
        <v>EN</v>
      </c>
      <c r="I1085" s="98" t="str">
        <f>HYPERLINK("http://mirror.ff7data.com.ar/ff7/es/condor/sunit01c.tex.png","ES")</f>
        <v>ES</v>
      </c>
      <c r="K1085" s="43"/>
    </row>
    <row r="1086" ht="22.5" customHeight="1">
      <c r="A1086" s="40"/>
      <c r="B1086" s="33" t="s">
        <v>10979</v>
      </c>
      <c r="C1086" s="42">
        <v>66796.0</v>
      </c>
      <c r="D1086" s="33" t="s">
        <v>10982</v>
      </c>
      <c r="E1086" s="74"/>
      <c r="F1086" s="46" t="s">
        <v>1348</v>
      </c>
      <c r="G1086" s="46" t="s">
        <v>889</v>
      </c>
      <c r="H1086" s="96" t="str">
        <f>HYPERLINK("http://mirror.ff7data.com.ar/ff7/data/minigame/condor.lgp/eunit01d.tex.png","EN")</f>
        <v>EN</v>
      </c>
      <c r="I1086" s="98" t="str">
        <f>HYPERLINK("http://mirror.ff7data.com.ar/ff7/es/condor/sunit01d.tex.png","ES")</f>
        <v>ES</v>
      </c>
      <c r="K1086" s="43"/>
    </row>
    <row r="1087">
      <c r="A1087" s="40"/>
      <c r="B1087" s="33" t="s">
        <v>4052</v>
      </c>
      <c r="C1087" s="42">
        <v>1916.0</v>
      </c>
      <c r="D1087" s="33" t="s">
        <v>10996</v>
      </c>
      <c r="E1087" s="74"/>
      <c r="F1087" s="46" t="s">
        <v>2775</v>
      </c>
      <c r="G1087" s="75"/>
      <c r="H1087" s="96" t="str">
        <f>HYPERLINK("http://mirror.ff7data.com.ar/ff7/data/minigame/condor.lgp/ev.p.png","View Picture")</f>
        <v>View Picture</v>
      </c>
      <c r="K1087" s="43"/>
    </row>
    <row r="1088">
      <c r="A1088" s="40"/>
      <c r="B1088" s="33" t="s">
        <v>4065</v>
      </c>
      <c r="C1088" s="42">
        <v>56.0</v>
      </c>
      <c r="D1088" s="33" t="s">
        <v>10996</v>
      </c>
      <c r="E1088" s="74"/>
      <c r="F1088" s="46" t="s">
        <v>2793</v>
      </c>
      <c r="G1088" s="75"/>
      <c r="H1088" s="96" t="str">
        <f>HYPERLINK("http://mirror.ff7data.com.ar/ff7/data/minigame/condor.lgp/ev.rsd.png","View Picture")</f>
        <v>View Picture</v>
      </c>
      <c r="K1088" s="43"/>
    </row>
    <row r="1089">
      <c r="A1089" s="40"/>
      <c r="B1089" s="33" t="s">
        <v>4074</v>
      </c>
      <c r="C1089" s="42">
        <v>1916.0</v>
      </c>
      <c r="D1089" s="33" t="s">
        <v>11014</v>
      </c>
      <c r="E1089" s="74"/>
      <c r="F1089" s="46" t="s">
        <v>2775</v>
      </c>
      <c r="G1089" s="75"/>
      <c r="H1089" s="96" t="str">
        <f>HYPERLINK("http://mirror.ff7data.com.ar/ff7/data/minigame/condor.lgp/ew.p.png","View Picture")</f>
        <v>View Picture</v>
      </c>
      <c r="K1089" s="43"/>
    </row>
    <row r="1090">
      <c r="A1090" s="40"/>
      <c r="B1090" s="33" t="s">
        <v>4083</v>
      </c>
      <c r="C1090" s="42">
        <v>56.0</v>
      </c>
      <c r="D1090" s="33" t="s">
        <v>11014</v>
      </c>
      <c r="E1090" s="74"/>
      <c r="F1090" s="46" t="s">
        <v>2793</v>
      </c>
      <c r="G1090" s="75"/>
      <c r="H1090" s="96" t="str">
        <f>HYPERLINK("http://mirror.ff7data.com.ar/ff7/data/minigame/condor.lgp/ew.rsd.png","View Picture")</f>
        <v>View Picture</v>
      </c>
      <c r="K1090" s="43"/>
    </row>
    <row r="1091">
      <c r="A1091" s="40"/>
      <c r="B1091" s="33" t="s">
        <v>4094</v>
      </c>
      <c r="C1091" s="42">
        <v>1916.0</v>
      </c>
      <c r="D1091" s="33" t="s">
        <v>11033</v>
      </c>
      <c r="E1091" s="74"/>
      <c r="F1091" s="46" t="s">
        <v>2775</v>
      </c>
      <c r="G1091" s="75"/>
      <c r="H1091" s="96" t="str">
        <f>HYPERLINK("http://mirror.ff7data.com.ar/ff7/data/minigame/condor.lgp/ex.p.png","View Picture")</f>
        <v>View Picture</v>
      </c>
      <c r="K1091" s="43"/>
    </row>
    <row r="1092">
      <c r="A1092" s="40"/>
      <c r="B1092" s="33" t="s">
        <v>4107</v>
      </c>
      <c r="C1092" s="42">
        <v>56.0</v>
      </c>
      <c r="D1092" s="33" t="s">
        <v>11033</v>
      </c>
      <c r="E1092" s="74"/>
      <c r="F1092" s="46" t="s">
        <v>2793</v>
      </c>
      <c r="G1092" s="75"/>
      <c r="H1092" s="96" t="str">
        <f>HYPERLINK("http://mirror.ff7data.com.ar/ff7/data/minigame/condor.lgp/ex.rsd.png","View Picture")</f>
        <v>View Picture</v>
      </c>
      <c r="K1092" s="43"/>
    </row>
    <row r="1093">
      <c r="A1093" s="40"/>
      <c r="B1093" s="33" t="s">
        <v>11048</v>
      </c>
      <c r="C1093" s="42">
        <v>3552.0</v>
      </c>
      <c r="D1093" s="33" t="s">
        <v>11049</v>
      </c>
      <c r="E1093" s="74"/>
      <c r="F1093" s="46" t="s">
        <v>2775</v>
      </c>
      <c r="G1093" s="75"/>
      <c r="H1093" s="96" t="str">
        <f>HYPERLINK("http://mirror.ff7data.com.ar/ff7/data/minigame/condor.lgp/ey.p.png","View Picture")</f>
        <v>View Picture</v>
      </c>
      <c r="K1093" s="43"/>
    </row>
    <row r="1094">
      <c r="A1094" s="40"/>
      <c r="B1094" s="33" t="s">
        <v>11059</v>
      </c>
      <c r="C1094" s="42">
        <v>56.0</v>
      </c>
      <c r="D1094" s="33" t="s">
        <v>11049</v>
      </c>
      <c r="E1094" s="74"/>
      <c r="F1094" s="46" t="s">
        <v>2793</v>
      </c>
      <c r="G1094" s="75"/>
      <c r="H1094" s="96" t="str">
        <f>HYPERLINK("http://mirror.ff7data.com.ar/ff7/data/minigame/condor.lgp/ey.rsd.png","View Picture")</f>
        <v>View Picture</v>
      </c>
      <c r="K1094" s="43"/>
    </row>
    <row r="1095">
      <c r="A1095" s="40"/>
      <c r="B1095" s="33" t="s">
        <v>11066</v>
      </c>
      <c r="C1095" s="42">
        <v>3552.0</v>
      </c>
      <c r="D1095" s="33" t="s">
        <v>11068</v>
      </c>
      <c r="E1095" s="74"/>
      <c r="F1095" s="46" t="s">
        <v>2775</v>
      </c>
      <c r="G1095" s="75"/>
      <c r="H1095" s="96" t="str">
        <f>HYPERLINK("http://mirror.ff7data.com.ar/ff7/data/minigame/condor.lgp/ez.p.png","View Picture")</f>
        <v>View Picture</v>
      </c>
      <c r="K1095" s="43"/>
    </row>
    <row r="1096">
      <c r="A1096" s="40"/>
      <c r="B1096" s="33" t="s">
        <v>11078</v>
      </c>
      <c r="C1096" s="42">
        <v>56.0</v>
      </c>
      <c r="D1096" s="33" t="s">
        <v>11068</v>
      </c>
      <c r="E1096" s="74"/>
      <c r="F1096" s="46" t="s">
        <v>2793</v>
      </c>
      <c r="G1096" s="75"/>
      <c r="H1096" s="96" t="str">
        <f>HYPERLINK("http://mirror.ff7data.com.ar/ff7/data/minigame/condor.lgp/ez.rsd.png","View Picture")</f>
        <v>View Picture</v>
      </c>
      <c r="K1096" s="43"/>
    </row>
    <row r="1097">
      <c r="A1097" s="40"/>
      <c r="B1097" s="33" t="s">
        <v>4134</v>
      </c>
      <c r="C1097" s="42">
        <v>3552.0</v>
      </c>
      <c r="D1097" s="33" t="s">
        <v>11091</v>
      </c>
      <c r="E1097" s="74"/>
      <c r="F1097" s="46" t="s">
        <v>2775</v>
      </c>
      <c r="G1097" s="75"/>
      <c r="H1097" s="96" t="str">
        <f>HYPERLINK("http://mirror.ff7data.com.ar/ff7/data/minigame/condor.lgp/fa.p.png","View Picture")</f>
        <v>View Picture</v>
      </c>
      <c r="K1097" s="43"/>
    </row>
    <row r="1098">
      <c r="A1098" s="40"/>
      <c r="B1098" s="33" t="s">
        <v>4144</v>
      </c>
      <c r="C1098" s="42">
        <v>56.0</v>
      </c>
      <c r="D1098" s="33" t="s">
        <v>11091</v>
      </c>
      <c r="E1098" s="74"/>
      <c r="F1098" s="46" t="s">
        <v>2793</v>
      </c>
      <c r="G1098" s="75"/>
      <c r="H1098" s="96" t="str">
        <f>HYPERLINK("http://mirror.ff7data.com.ar/ff7/data/minigame/condor.lgp/fa.rsd.png","View Picture")</f>
        <v>View Picture</v>
      </c>
      <c r="K1098" s="43"/>
    </row>
    <row r="1099">
      <c r="A1099" s="40"/>
      <c r="B1099" s="33" t="s">
        <v>4154</v>
      </c>
      <c r="C1099" s="42">
        <v>2688.0</v>
      </c>
      <c r="D1099" s="33" t="s">
        <v>11113</v>
      </c>
      <c r="E1099" s="74"/>
      <c r="F1099" s="46" t="s">
        <v>2775</v>
      </c>
      <c r="G1099" s="75"/>
      <c r="H1099" s="96" t="str">
        <f>HYPERLINK("http://mirror.ff7data.com.ar/ff7/data/minigame/condor.lgp/fb.p.png","View Picture")</f>
        <v>View Picture</v>
      </c>
      <c r="K1099" s="43"/>
    </row>
    <row r="1100">
      <c r="A1100" s="40"/>
      <c r="B1100" s="33" t="s">
        <v>4165</v>
      </c>
      <c r="C1100" s="42">
        <v>56.0</v>
      </c>
      <c r="D1100" s="33" t="s">
        <v>11113</v>
      </c>
      <c r="E1100" s="74"/>
      <c r="F1100" s="46" t="s">
        <v>2793</v>
      </c>
      <c r="G1100" s="75"/>
      <c r="H1100" s="96" t="str">
        <f>HYPERLINK("http://mirror.ff7data.com.ar/ff7/data/minigame/condor.lgp/fb.rsd.png","View Picture")</f>
        <v>View Picture</v>
      </c>
      <c r="K1100" s="43"/>
    </row>
    <row r="1101">
      <c r="A1101" s="40"/>
      <c r="B1101" s="33" t="s">
        <v>4177</v>
      </c>
      <c r="C1101" s="42">
        <v>2688.0</v>
      </c>
      <c r="D1101" s="33" t="s">
        <v>11133</v>
      </c>
      <c r="E1101" s="74"/>
      <c r="F1101" s="46" t="s">
        <v>2775</v>
      </c>
      <c r="G1101" s="75"/>
      <c r="H1101" s="96" t="str">
        <f>HYPERLINK("http://mirror.ff7data.com.ar/ff7/data/minigame/condor.lgp/fc.p.png","View Picture")</f>
        <v>View Picture</v>
      </c>
      <c r="K1101" s="43"/>
    </row>
    <row r="1102">
      <c r="A1102" s="40"/>
      <c r="B1102" s="33" t="s">
        <v>4188</v>
      </c>
      <c r="C1102" s="42">
        <v>56.0</v>
      </c>
      <c r="D1102" s="33" t="s">
        <v>11133</v>
      </c>
      <c r="E1102" s="74"/>
      <c r="F1102" s="46" t="s">
        <v>2793</v>
      </c>
      <c r="G1102" s="75"/>
      <c r="H1102" s="96" t="str">
        <f>HYPERLINK("http://mirror.ff7data.com.ar/ff7/data/minigame/condor.lgp/fc.rsd.png","View Picture")</f>
        <v>View Picture</v>
      </c>
      <c r="K1102" s="43"/>
    </row>
    <row r="1103">
      <c r="A1103" s="40"/>
      <c r="B1103" s="33" t="s">
        <v>4202</v>
      </c>
      <c r="C1103" s="42">
        <v>3552.0</v>
      </c>
      <c r="D1103" s="33" t="s">
        <v>11148</v>
      </c>
      <c r="E1103" s="74"/>
      <c r="F1103" s="46" t="s">
        <v>2775</v>
      </c>
      <c r="G1103" s="75"/>
      <c r="H1103" s="96" t="str">
        <f>HYPERLINK("http://mirror.ff7data.com.ar/ff7/data/minigame/condor.lgp/fd.p.png","View Picture")</f>
        <v>View Picture</v>
      </c>
      <c r="K1103" s="43"/>
    </row>
    <row r="1104">
      <c r="A1104" s="40"/>
      <c r="B1104" s="33" t="s">
        <v>4214</v>
      </c>
      <c r="C1104" s="42">
        <v>56.0</v>
      </c>
      <c r="D1104" s="33" t="s">
        <v>11148</v>
      </c>
      <c r="E1104" s="74"/>
      <c r="F1104" s="46" t="s">
        <v>2793</v>
      </c>
      <c r="G1104" s="75"/>
      <c r="H1104" s="96" t="str">
        <f>HYPERLINK("http://mirror.ff7data.com.ar/ff7/data/minigame/condor.lgp/fd.rsd.png","View Picture")</f>
        <v>View Picture</v>
      </c>
      <c r="K1104" s="43"/>
    </row>
    <row r="1105">
      <c r="A1105" s="40"/>
      <c r="B1105" s="33" t="s">
        <v>4226</v>
      </c>
      <c r="C1105" s="42">
        <v>3552.0</v>
      </c>
      <c r="D1105" s="33" t="s">
        <v>11170</v>
      </c>
      <c r="E1105" s="74"/>
      <c r="F1105" s="46" t="s">
        <v>2775</v>
      </c>
      <c r="G1105" s="75"/>
      <c r="H1105" s="96" t="str">
        <f>HYPERLINK("http://mirror.ff7data.com.ar/ff7/data/minigame/condor.lgp/fe.p.png","View Picture")</f>
        <v>View Picture</v>
      </c>
      <c r="K1105" s="43"/>
    </row>
    <row r="1106">
      <c r="A1106" s="40"/>
      <c r="B1106" s="33" t="s">
        <v>4246</v>
      </c>
      <c r="C1106" s="42">
        <v>56.0</v>
      </c>
      <c r="D1106" s="33" t="s">
        <v>11170</v>
      </c>
      <c r="E1106" s="74"/>
      <c r="F1106" s="46" t="s">
        <v>2793</v>
      </c>
      <c r="G1106" s="75"/>
      <c r="H1106" s="96" t="str">
        <f>HYPERLINK("http://mirror.ff7data.com.ar/ff7/data/minigame/condor.lgp/fe.rsd.png","View Picture")</f>
        <v>View Picture</v>
      </c>
      <c r="K1106" s="43"/>
    </row>
    <row r="1107">
      <c r="A1107" s="40"/>
      <c r="B1107" s="33" t="s">
        <v>4258</v>
      </c>
      <c r="C1107" s="42">
        <v>3552.0</v>
      </c>
      <c r="D1107" s="33" t="s">
        <v>11184</v>
      </c>
      <c r="E1107" s="74"/>
      <c r="F1107" s="46" t="s">
        <v>2775</v>
      </c>
      <c r="G1107" s="75"/>
      <c r="H1107" s="96" t="str">
        <f>HYPERLINK("http://mirror.ff7data.com.ar/ff7/data/minigame/condor.lgp/ff.p.png","View Picture")</f>
        <v>View Picture</v>
      </c>
      <c r="K1107" s="43"/>
    </row>
    <row r="1108">
      <c r="A1108" s="40"/>
      <c r="B1108" s="33" t="s">
        <v>4268</v>
      </c>
      <c r="C1108" s="42">
        <v>56.0</v>
      </c>
      <c r="D1108" s="33" t="s">
        <v>11184</v>
      </c>
      <c r="E1108" s="74"/>
      <c r="F1108" s="46" t="s">
        <v>2793</v>
      </c>
      <c r="G1108" s="75"/>
      <c r="H1108" s="96" t="str">
        <f>HYPERLINK("http://mirror.ff7data.com.ar/ff7/data/minigame/condor.lgp/ff.rsd.png","View Picture")</f>
        <v>View Picture</v>
      </c>
      <c r="K1108" s="43"/>
    </row>
    <row r="1109">
      <c r="A1109" s="40"/>
      <c r="B1109" s="33" t="s">
        <v>4278</v>
      </c>
      <c r="C1109" s="42">
        <v>3552.0</v>
      </c>
      <c r="D1109" s="33" t="s">
        <v>11203</v>
      </c>
      <c r="E1109" s="74"/>
      <c r="F1109" s="46" t="s">
        <v>2775</v>
      </c>
      <c r="G1109" s="75"/>
      <c r="H1109" s="96" t="str">
        <f>HYPERLINK("http://mirror.ff7data.com.ar/ff7/data/minigame/condor.lgp/fg.p.png","View Picture")</f>
        <v>View Picture</v>
      </c>
      <c r="K1109" s="43"/>
    </row>
    <row r="1110">
      <c r="A1110" s="40"/>
      <c r="B1110" s="33" t="s">
        <v>4290</v>
      </c>
      <c r="C1110" s="42">
        <v>56.0</v>
      </c>
      <c r="D1110" s="33" t="s">
        <v>11203</v>
      </c>
      <c r="E1110" s="74"/>
      <c r="F1110" s="46" t="s">
        <v>2793</v>
      </c>
      <c r="G1110" s="75"/>
      <c r="H1110" s="96" t="str">
        <f>HYPERLINK("http://mirror.ff7data.com.ar/ff7/data/minigame/condor.lgp/fg.rsd.png","View Picture")</f>
        <v>View Picture</v>
      </c>
      <c r="K1110" s="43"/>
    </row>
    <row r="1111">
      <c r="A1111" s="40"/>
      <c r="B1111" s="33" t="s">
        <v>11219</v>
      </c>
      <c r="C1111" s="42">
        <v>2368.0</v>
      </c>
      <c r="D1111" s="33" t="s">
        <v>11220</v>
      </c>
      <c r="E1111" s="74"/>
      <c r="F1111" s="46" t="s">
        <v>2775</v>
      </c>
      <c r="G1111" s="75"/>
      <c r="H1111" s="96" t="str">
        <f>HYPERLINK("http://mirror.ff7data.com.ar/ff7/data/minigame/condor.lgp/fh.p.png","View Picture")</f>
        <v>View Picture</v>
      </c>
      <c r="K1111" s="43"/>
    </row>
    <row r="1112">
      <c r="A1112" s="40"/>
      <c r="B1112" s="33" t="s">
        <v>11227</v>
      </c>
      <c r="C1112" s="42">
        <v>56.0</v>
      </c>
      <c r="D1112" s="33" t="s">
        <v>11220</v>
      </c>
      <c r="E1112" s="74"/>
      <c r="F1112" s="46" t="s">
        <v>2793</v>
      </c>
      <c r="G1112" s="75"/>
      <c r="H1112" s="96" t="str">
        <f>HYPERLINK("http://mirror.ff7data.com.ar/ff7/data/minigame/condor.lgp/fh.rsd.png","View Picture")</f>
        <v>View Picture</v>
      </c>
      <c r="K1112" s="43"/>
    </row>
    <row r="1113">
      <c r="A1113" s="40"/>
      <c r="B1113" s="33" t="s">
        <v>11235</v>
      </c>
      <c r="C1113" s="42">
        <v>2368.0</v>
      </c>
      <c r="D1113" s="33" t="s">
        <v>11237</v>
      </c>
      <c r="E1113" s="74"/>
      <c r="F1113" s="46" t="s">
        <v>2775</v>
      </c>
      <c r="G1113" s="75"/>
      <c r="H1113" s="96" t="str">
        <f>HYPERLINK("http://mirror.ff7data.com.ar/ff7/data/minigame/condor.lgp/fi.p.png","View Picture")</f>
        <v>View Picture</v>
      </c>
      <c r="K1113" s="43"/>
    </row>
    <row r="1114">
      <c r="A1114" s="40"/>
      <c r="B1114" s="33" t="s">
        <v>11243</v>
      </c>
      <c r="C1114" s="42">
        <v>56.0</v>
      </c>
      <c r="D1114" s="33" t="s">
        <v>11237</v>
      </c>
      <c r="E1114" s="74"/>
      <c r="F1114" s="46" t="s">
        <v>2793</v>
      </c>
      <c r="G1114" s="75"/>
      <c r="H1114" s="96" t="str">
        <f>HYPERLINK("http://mirror.ff7data.com.ar/ff7/data/minigame/condor.lgp/fi.rsd.png","View Picture")</f>
        <v>View Picture</v>
      </c>
      <c r="K1114" s="43"/>
    </row>
    <row r="1115">
      <c r="A1115" s="40"/>
      <c r="B1115" s="33" t="s">
        <v>4316</v>
      </c>
      <c r="C1115" s="42">
        <v>2688.0</v>
      </c>
      <c r="D1115" s="33" t="s">
        <v>11249</v>
      </c>
      <c r="E1115" s="74"/>
      <c r="F1115" s="46" t="s">
        <v>2775</v>
      </c>
      <c r="G1115" s="75"/>
      <c r="H1115" s="96" t="str">
        <f>HYPERLINK("http://mirror.ff7data.com.ar/ff7/data/minigame/condor.lgp/fj.p.png","View Picture")</f>
        <v>View Picture</v>
      </c>
      <c r="K1115" s="43"/>
    </row>
    <row r="1116">
      <c r="A1116" s="40"/>
      <c r="B1116" s="33" t="s">
        <v>4329</v>
      </c>
      <c r="C1116" s="42">
        <v>56.0</v>
      </c>
      <c r="D1116" s="33" t="s">
        <v>11249</v>
      </c>
      <c r="E1116" s="74"/>
      <c r="F1116" s="46" t="s">
        <v>2793</v>
      </c>
      <c r="G1116" s="75"/>
      <c r="H1116" s="96" t="str">
        <f>HYPERLINK("http://mirror.ff7data.com.ar/ff7/data/minigame/condor.lgp/fj.rsd.png","View Picture")</f>
        <v>View Picture</v>
      </c>
      <c r="K1116" s="43"/>
    </row>
    <row r="1117">
      <c r="A1117" s="40"/>
      <c r="B1117" s="33" t="s">
        <v>4339</v>
      </c>
      <c r="C1117" s="42">
        <v>2488.0</v>
      </c>
      <c r="D1117" s="33" t="s">
        <v>11262</v>
      </c>
      <c r="E1117" s="74"/>
      <c r="F1117" s="46" t="s">
        <v>2775</v>
      </c>
      <c r="G1117" s="75"/>
      <c r="H1117" s="96" t="str">
        <f>HYPERLINK("http://mirror.ff7data.com.ar/ff7/data/minigame/condor.lgp/fk.p.png","View Picture")</f>
        <v>View Picture</v>
      </c>
      <c r="K1117" s="43"/>
    </row>
    <row r="1118">
      <c r="A1118" s="40"/>
      <c r="B1118" s="33" t="s">
        <v>4351</v>
      </c>
      <c r="C1118" s="42">
        <v>56.0</v>
      </c>
      <c r="D1118" s="33" t="s">
        <v>11262</v>
      </c>
      <c r="E1118" s="74"/>
      <c r="F1118" s="46" t="s">
        <v>2793</v>
      </c>
      <c r="G1118" s="75"/>
      <c r="H1118" s="96" t="str">
        <f>HYPERLINK("http://mirror.ff7data.com.ar/ff7/data/minigame/condor.lgp/fk.rsd.png","View Picture")</f>
        <v>View Picture</v>
      </c>
      <c r="K1118" s="43"/>
    </row>
    <row r="1119">
      <c r="A1119" s="40"/>
      <c r="B1119" s="33" t="s">
        <v>4362</v>
      </c>
      <c r="C1119" s="42">
        <v>2688.0</v>
      </c>
      <c r="D1119" s="33" t="s">
        <v>11281</v>
      </c>
      <c r="E1119" s="74"/>
      <c r="F1119" s="46" t="s">
        <v>2775</v>
      </c>
      <c r="G1119" s="75"/>
      <c r="H1119" s="96" t="str">
        <f>HYPERLINK("http://mirror.ff7data.com.ar/ff7/data/minigame/condor.lgp/fl.p.png","View Picture")</f>
        <v>View Picture</v>
      </c>
      <c r="K1119" s="43"/>
    </row>
    <row r="1120">
      <c r="A1120" s="40"/>
      <c r="B1120" s="33" t="s">
        <v>4375</v>
      </c>
      <c r="C1120" s="42">
        <v>56.0</v>
      </c>
      <c r="D1120" s="33" t="s">
        <v>11281</v>
      </c>
      <c r="E1120" s="74"/>
      <c r="F1120" s="46" t="s">
        <v>2793</v>
      </c>
      <c r="G1120" s="75"/>
      <c r="H1120" s="96" t="str">
        <f>HYPERLINK("http://mirror.ff7data.com.ar/ff7/data/minigame/condor.lgp/fl.rsd.png","View Picture")</f>
        <v>View Picture</v>
      </c>
      <c r="K1120" s="43"/>
    </row>
    <row r="1121">
      <c r="A1121" s="40"/>
      <c r="B1121" s="33" t="s">
        <v>4383</v>
      </c>
      <c r="C1121" s="42">
        <v>2688.0</v>
      </c>
      <c r="D1121" s="33" t="s">
        <v>11301</v>
      </c>
      <c r="E1121" s="74"/>
      <c r="F1121" s="46" t="s">
        <v>2775</v>
      </c>
      <c r="G1121" s="75"/>
      <c r="H1121" s="96" t="str">
        <f>HYPERLINK("http://mirror.ff7data.com.ar/ff7/data/minigame/condor.lgp/fm.p.png","View Picture")</f>
        <v>View Picture</v>
      </c>
      <c r="K1121" s="43"/>
    </row>
    <row r="1122">
      <c r="A1122" s="40"/>
      <c r="B1122" s="33" t="s">
        <v>4394</v>
      </c>
      <c r="C1122" s="42">
        <v>56.0</v>
      </c>
      <c r="D1122" s="33" t="s">
        <v>11301</v>
      </c>
      <c r="E1122" s="74"/>
      <c r="F1122" s="46" t="s">
        <v>2793</v>
      </c>
      <c r="G1122" s="75"/>
      <c r="H1122" s="96" t="str">
        <f>HYPERLINK("http://mirror.ff7data.com.ar/ff7/data/minigame/condor.lgp/fm.rsd.png","View Picture")</f>
        <v>View Picture</v>
      </c>
      <c r="K1122" s="43"/>
    </row>
    <row r="1123">
      <c r="A1123" s="40"/>
      <c r="B1123" s="33" t="s">
        <v>4405</v>
      </c>
      <c r="C1123" s="42">
        <v>3552.0</v>
      </c>
      <c r="D1123" s="33" t="s">
        <v>11316</v>
      </c>
      <c r="E1123" s="74"/>
      <c r="F1123" s="46" t="s">
        <v>2775</v>
      </c>
      <c r="G1123" s="75"/>
      <c r="H1123" s="96" t="str">
        <f>HYPERLINK("http://mirror.ff7data.com.ar/ff7/data/minigame/condor.lgp/fn.p.png","View Picture")</f>
        <v>View Picture</v>
      </c>
      <c r="K1123" s="43"/>
    </row>
    <row r="1124">
      <c r="A1124" s="40"/>
      <c r="B1124" s="33" t="s">
        <v>4416</v>
      </c>
      <c r="C1124" s="42">
        <v>56.0</v>
      </c>
      <c r="D1124" s="33" t="s">
        <v>11316</v>
      </c>
      <c r="E1124" s="74"/>
      <c r="F1124" s="46" t="s">
        <v>2793</v>
      </c>
      <c r="G1124" s="75"/>
      <c r="H1124" s="96" t="str">
        <f>HYPERLINK("http://mirror.ff7data.com.ar/ff7/data/minigame/condor.lgp/fn.rsd.png","View Picture")</f>
        <v>View Picture</v>
      </c>
      <c r="K1124" s="43"/>
    </row>
    <row r="1125">
      <c r="A1125" s="40"/>
      <c r="B1125" s="33" t="s">
        <v>4426</v>
      </c>
      <c r="C1125" s="42">
        <v>3552.0</v>
      </c>
      <c r="D1125" s="33" t="s">
        <v>11331</v>
      </c>
      <c r="E1125" s="74"/>
      <c r="F1125" s="46" t="s">
        <v>2775</v>
      </c>
      <c r="G1125" s="75"/>
      <c r="H1125" s="96" t="str">
        <f>HYPERLINK("http://mirror.ff7data.com.ar/ff7/data/minigame/condor.lgp/fo.p.png","View Picture")</f>
        <v>View Picture</v>
      </c>
      <c r="K1125" s="43"/>
    </row>
    <row r="1126">
      <c r="A1126" s="40"/>
      <c r="B1126" s="33" t="s">
        <v>4436</v>
      </c>
      <c r="C1126" s="42">
        <v>56.0</v>
      </c>
      <c r="D1126" s="33" t="s">
        <v>11331</v>
      </c>
      <c r="E1126" s="74"/>
      <c r="F1126" s="46" t="s">
        <v>2793</v>
      </c>
      <c r="G1126" s="75"/>
      <c r="H1126" s="96" t="str">
        <f>HYPERLINK("http://mirror.ff7data.com.ar/ff7/data/minigame/condor.lgp/fo.rsd.png","View Picture")</f>
        <v>View Picture</v>
      </c>
      <c r="K1126" s="43"/>
    </row>
    <row r="1127">
      <c r="A1127" s="40"/>
      <c r="B1127" s="33" t="s">
        <v>4448</v>
      </c>
      <c r="C1127" s="42">
        <v>3552.0</v>
      </c>
      <c r="D1127" s="33" t="s">
        <v>11347</v>
      </c>
      <c r="E1127" s="74"/>
      <c r="F1127" s="46" t="s">
        <v>2775</v>
      </c>
      <c r="G1127" s="75"/>
      <c r="H1127" s="96" t="str">
        <f>HYPERLINK("http://mirror.ff7data.com.ar/ff7/data/minigame/condor.lgp/fp.p.png","View Picture")</f>
        <v>View Picture</v>
      </c>
      <c r="K1127" s="43"/>
    </row>
    <row r="1128">
      <c r="A1128" s="40"/>
      <c r="B1128" s="33" t="s">
        <v>4461</v>
      </c>
      <c r="C1128" s="42">
        <v>56.0</v>
      </c>
      <c r="D1128" s="33" t="s">
        <v>11347</v>
      </c>
      <c r="E1128" s="74"/>
      <c r="F1128" s="46" t="s">
        <v>2793</v>
      </c>
      <c r="G1128" s="75"/>
      <c r="H1128" s="96" t="str">
        <f>HYPERLINK("http://mirror.ff7data.com.ar/ff7/data/minigame/condor.lgp/fp.rsd.png","View Picture")</f>
        <v>View Picture</v>
      </c>
      <c r="K1128" s="43"/>
    </row>
    <row r="1129">
      <c r="A1129" s="40"/>
      <c r="B1129" s="33" t="s">
        <v>4473</v>
      </c>
      <c r="C1129" s="42">
        <v>3552.0</v>
      </c>
      <c r="D1129" s="33" t="s">
        <v>11363</v>
      </c>
      <c r="E1129" s="74"/>
      <c r="F1129" s="46" t="s">
        <v>2775</v>
      </c>
      <c r="G1129" s="75"/>
      <c r="H1129" s="96" t="str">
        <f>HYPERLINK("http://mirror.ff7data.com.ar/ff7/data/minigame/condor.lgp/fq.p.png","View Picture")</f>
        <v>View Picture</v>
      </c>
      <c r="K1129" s="43"/>
    </row>
    <row r="1130">
      <c r="A1130" s="40"/>
      <c r="B1130" s="33" t="s">
        <v>4484</v>
      </c>
      <c r="C1130" s="42">
        <v>56.0</v>
      </c>
      <c r="D1130" s="33" t="s">
        <v>11363</v>
      </c>
      <c r="E1130" s="74"/>
      <c r="F1130" s="46" t="s">
        <v>2793</v>
      </c>
      <c r="G1130" s="75"/>
      <c r="H1130" s="96" t="str">
        <f>HYPERLINK("http://mirror.ff7data.com.ar/ff7/data/minigame/condor.lgp/fq.rsd.png","View Picture")</f>
        <v>View Picture</v>
      </c>
      <c r="K1130" s="43"/>
    </row>
    <row r="1131">
      <c r="A1131" s="40"/>
      <c r="B1131" s="33" t="s">
        <v>4489</v>
      </c>
      <c r="C1131" s="42">
        <v>3552.0</v>
      </c>
      <c r="D1131" s="33" t="s">
        <v>11378</v>
      </c>
      <c r="E1131" s="74"/>
      <c r="F1131" s="46" t="s">
        <v>2775</v>
      </c>
      <c r="G1131" s="75"/>
      <c r="H1131" s="96" t="str">
        <f>HYPERLINK("http://mirror.ff7data.com.ar/ff7/data/minigame/condor.lgp/fr.p.png","View Picture")</f>
        <v>View Picture</v>
      </c>
      <c r="K1131" s="43"/>
    </row>
    <row r="1132">
      <c r="A1132" s="40"/>
      <c r="B1132" s="33" t="s">
        <v>4499</v>
      </c>
      <c r="C1132" s="42">
        <v>56.0</v>
      </c>
      <c r="D1132" s="33" t="s">
        <v>11378</v>
      </c>
      <c r="E1132" s="74"/>
      <c r="F1132" s="46" t="s">
        <v>2793</v>
      </c>
      <c r="G1132" s="75"/>
      <c r="H1132" s="96" t="str">
        <f>HYPERLINK("http://mirror.ff7data.com.ar/ff7/data/minigame/condor.lgp/fr.rsd.png","View Picture")</f>
        <v>View Picture</v>
      </c>
      <c r="K1132" s="43"/>
    </row>
    <row r="1133">
      <c r="A1133" s="40"/>
      <c r="B1133" s="33" t="s">
        <v>4509</v>
      </c>
      <c r="C1133" s="42">
        <v>3552.0</v>
      </c>
      <c r="D1133" s="33" t="s">
        <v>11397</v>
      </c>
      <c r="E1133" s="74"/>
      <c r="F1133" s="46" t="s">
        <v>2775</v>
      </c>
      <c r="G1133" s="75"/>
      <c r="H1133" s="96" t="str">
        <f>HYPERLINK("http://mirror.ff7data.com.ar/ff7/data/minigame/condor.lgp/fs.p.png","View Picture")</f>
        <v>View Picture</v>
      </c>
      <c r="K1133" s="43"/>
    </row>
    <row r="1134">
      <c r="A1134" s="40"/>
      <c r="B1134" s="33" t="s">
        <v>4517</v>
      </c>
      <c r="C1134" s="42">
        <v>56.0</v>
      </c>
      <c r="D1134" s="33" t="s">
        <v>11397</v>
      </c>
      <c r="E1134" s="74"/>
      <c r="F1134" s="46" t="s">
        <v>2793</v>
      </c>
      <c r="G1134" s="75"/>
      <c r="H1134" s="96" t="str">
        <f>HYPERLINK("http://mirror.ff7data.com.ar/ff7/data/minigame/condor.lgp/fs.rsd.png","View Picture")</f>
        <v>View Picture</v>
      </c>
      <c r="K1134" s="43"/>
    </row>
    <row r="1135">
      <c r="A1135" s="40"/>
      <c r="B1135" s="33" t="s">
        <v>4526</v>
      </c>
      <c r="C1135" s="42">
        <v>3552.0</v>
      </c>
      <c r="D1135" s="33" t="s">
        <v>11414</v>
      </c>
      <c r="E1135" s="74"/>
      <c r="F1135" s="46" t="s">
        <v>2775</v>
      </c>
      <c r="G1135" s="75"/>
      <c r="H1135" s="96" t="str">
        <f>HYPERLINK("http://mirror.ff7data.com.ar/ff7/data/minigame/condor.lgp/ft.p.png","View Picture")</f>
        <v>View Picture</v>
      </c>
      <c r="K1135" s="43"/>
    </row>
    <row r="1136">
      <c r="A1136" s="40"/>
      <c r="B1136" s="33" t="s">
        <v>4537</v>
      </c>
      <c r="C1136" s="42">
        <v>56.0</v>
      </c>
      <c r="D1136" s="33" t="s">
        <v>11414</v>
      </c>
      <c r="E1136" s="74"/>
      <c r="F1136" s="46" t="s">
        <v>2793</v>
      </c>
      <c r="G1136" s="75"/>
      <c r="H1136" s="96" t="str">
        <f>HYPERLINK("http://mirror.ff7data.com.ar/ff7/data/minigame/condor.lgp/ft.rsd.png","View Picture")</f>
        <v>View Picture</v>
      </c>
      <c r="K1136" s="43"/>
    </row>
    <row r="1137">
      <c r="A1137" s="40"/>
      <c r="B1137" s="33" t="s">
        <v>4550</v>
      </c>
      <c r="C1137" s="42">
        <v>2688.0</v>
      </c>
      <c r="D1137" s="33" t="s">
        <v>11428</v>
      </c>
      <c r="E1137" s="74"/>
      <c r="F1137" s="46" t="s">
        <v>2775</v>
      </c>
      <c r="G1137" s="75"/>
      <c r="H1137" s="96" t="str">
        <f>HYPERLINK("http://mirror.ff7data.com.ar/ff7/data/minigame/condor.lgp/fu.p.png","View Picture")</f>
        <v>View Picture</v>
      </c>
      <c r="K1137" s="43"/>
    </row>
    <row r="1138">
      <c r="A1138" s="40"/>
      <c r="B1138" s="33" t="s">
        <v>4561</v>
      </c>
      <c r="C1138" s="42">
        <v>56.0</v>
      </c>
      <c r="D1138" s="33" t="s">
        <v>11428</v>
      </c>
      <c r="E1138" s="74"/>
      <c r="F1138" s="46" t="s">
        <v>2793</v>
      </c>
      <c r="G1138" s="75"/>
      <c r="H1138" s="96" t="str">
        <f>HYPERLINK("http://mirror.ff7data.com.ar/ff7/data/minigame/condor.lgp/fu.rsd.png","View Picture")</f>
        <v>View Picture</v>
      </c>
      <c r="K1138" s="43"/>
    </row>
    <row r="1139">
      <c r="A1139" s="40"/>
      <c r="B1139" s="33" t="s">
        <v>4572</v>
      </c>
      <c r="C1139" s="42">
        <v>2688.0</v>
      </c>
      <c r="D1139" s="33" t="s">
        <v>11443</v>
      </c>
      <c r="E1139" s="74"/>
      <c r="F1139" s="46" t="s">
        <v>2775</v>
      </c>
      <c r="G1139" s="75"/>
      <c r="H1139" s="96" t="str">
        <f>HYPERLINK("http://mirror.ff7data.com.ar/ff7/data/minigame/condor.lgp/fv.p.png","View Picture")</f>
        <v>View Picture</v>
      </c>
      <c r="K1139" s="43"/>
    </row>
    <row r="1140">
      <c r="A1140" s="40"/>
      <c r="B1140" s="33" t="s">
        <v>4582</v>
      </c>
      <c r="C1140" s="42">
        <v>56.0</v>
      </c>
      <c r="D1140" s="33" t="s">
        <v>11443</v>
      </c>
      <c r="E1140" s="74"/>
      <c r="F1140" s="46" t="s">
        <v>2793</v>
      </c>
      <c r="G1140" s="75"/>
      <c r="H1140" s="96" t="str">
        <f>HYPERLINK("http://mirror.ff7data.com.ar/ff7/data/minigame/condor.lgp/fv.rsd.png","View Picture")</f>
        <v>View Picture</v>
      </c>
      <c r="K1140" s="43"/>
    </row>
    <row r="1141">
      <c r="A1141" s="40"/>
      <c r="B1141" s="33" t="s">
        <v>4591</v>
      </c>
      <c r="C1141" s="42">
        <v>3552.0</v>
      </c>
      <c r="D1141" s="33" t="s">
        <v>11459</v>
      </c>
      <c r="E1141" s="74"/>
      <c r="F1141" s="46" t="s">
        <v>2775</v>
      </c>
      <c r="G1141" s="75"/>
      <c r="H1141" s="96" t="str">
        <f>HYPERLINK("http://mirror.ff7data.com.ar/ff7/data/minigame/condor.lgp/fw.p.png","View Picture")</f>
        <v>View Picture</v>
      </c>
      <c r="K1141" s="43"/>
    </row>
    <row r="1142">
      <c r="A1142" s="40"/>
      <c r="B1142" s="33" t="s">
        <v>4600</v>
      </c>
      <c r="C1142" s="42">
        <v>56.0</v>
      </c>
      <c r="D1142" s="33" t="s">
        <v>11459</v>
      </c>
      <c r="E1142" s="74"/>
      <c r="F1142" s="46" t="s">
        <v>2793</v>
      </c>
      <c r="G1142" s="75"/>
      <c r="H1142" s="96" t="str">
        <f>HYPERLINK("http://mirror.ff7data.com.ar/ff7/data/minigame/condor.lgp/fw.rsd.png","View Picture")</f>
        <v>View Picture</v>
      </c>
      <c r="K1142" s="43"/>
    </row>
    <row r="1143">
      <c r="A1143" s="40"/>
      <c r="B1143" s="33" t="s">
        <v>4613</v>
      </c>
      <c r="C1143" s="42">
        <v>3552.0</v>
      </c>
      <c r="D1143" s="33" t="s">
        <v>11474</v>
      </c>
      <c r="E1143" s="74"/>
      <c r="F1143" s="46" t="s">
        <v>2775</v>
      </c>
      <c r="G1143" s="75"/>
      <c r="H1143" s="96" t="str">
        <f>HYPERLINK("http://mirror.ff7data.com.ar/ff7/data/minigame/condor.lgp/fx.p.png","View Picture")</f>
        <v>View Picture</v>
      </c>
      <c r="K1143" s="43"/>
    </row>
    <row r="1144">
      <c r="A1144" s="40"/>
      <c r="B1144" s="33" t="s">
        <v>4623</v>
      </c>
      <c r="C1144" s="42">
        <v>56.0</v>
      </c>
      <c r="D1144" s="33" t="s">
        <v>11474</v>
      </c>
      <c r="E1144" s="74"/>
      <c r="F1144" s="46" t="s">
        <v>2793</v>
      </c>
      <c r="G1144" s="75"/>
      <c r="H1144" s="96" t="str">
        <f>HYPERLINK("http://mirror.ff7data.com.ar/ff7/data/minigame/condor.lgp/fx.rsd.png","View Picture")</f>
        <v>View Picture</v>
      </c>
      <c r="K1144" s="43"/>
    </row>
    <row r="1145">
      <c r="A1145" s="40"/>
      <c r="B1145" s="33" t="s">
        <v>4632</v>
      </c>
      <c r="C1145" s="42">
        <v>2740.0</v>
      </c>
      <c r="D1145" s="33" t="s">
        <v>11496</v>
      </c>
      <c r="E1145" s="74"/>
      <c r="F1145" s="46" t="s">
        <v>2775</v>
      </c>
      <c r="G1145" s="75"/>
      <c r="H1145" s="96" t="str">
        <f>HYPERLINK("http://mirror.ff7data.com.ar/ff7/data/minigame/condor.lgp/fy.p.png","View Picture")</f>
        <v>View Picture</v>
      </c>
      <c r="K1145" s="43"/>
    </row>
    <row r="1146">
      <c r="A1146" s="40"/>
      <c r="B1146" s="33" t="s">
        <v>4643</v>
      </c>
      <c r="C1146" s="42">
        <v>56.0</v>
      </c>
      <c r="D1146" s="33" t="s">
        <v>11496</v>
      </c>
      <c r="E1146" s="74"/>
      <c r="F1146" s="46" t="s">
        <v>2793</v>
      </c>
      <c r="G1146" s="75"/>
      <c r="H1146" s="96" t="str">
        <f>HYPERLINK("http://mirror.ff7data.com.ar/ff7/data/minigame/condor.lgp/fy.rsd.png","View Picture")</f>
        <v>View Picture</v>
      </c>
      <c r="K1146" s="43"/>
    </row>
    <row r="1147">
      <c r="A1147" s="40"/>
      <c r="B1147" s="33" t="s">
        <v>4656</v>
      </c>
      <c r="C1147" s="42">
        <v>2740.0</v>
      </c>
      <c r="D1147" s="33" t="s">
        <v>11519</v>
      </c>
      <c r="E1147" s="74"/>
      <c r="F1147" s="46" t="s">
        <v>2775</v>
      </c>
      <c r="G1147" s="75"/>
      <c r="H1147" s="96" t="str">
        <f>HYPERLINK("http://mirror.ff7data.com.ar/ff7/data/minigame/condor.lgp/fz.p.png","View Picture")</f>
        <v>View Picture</v>
      </c>
      <c r="K1147" s="43"/>
    </row>
    <row r="1148">
      <c r="A1148" s="40"/>
      <c r="B1148" s="33" t="s">
        <v>4668</v>
      </c>
      <c r="C1148" s="42">
        <v>56.0</v>
      </c>
      <c r="D1148" s="33" t="s">
        <v>11519</v>
      </c>
      <c r="E1148" s="74"/>
      <c r="F1148" s="46" t="s">
        <v>2793</v>
      </c>
      <c r="G1148" s="75"/>
      <c r="H1148" s="96" t="str">
        <f>HYPERLINK("http://mirror.ff7data.com.ar/ff7/data/minigame/condor.lgp/fz.rsd.png","View Picture")</f>
        <v>View Picture</v>
      </c>
      <c r="K1148" s="43"/>
    </row>
    <row r="1149">
      <c r="A1149" s="40"/>
      <c r="B1149" s="33" t="s">
        <v>4679</v>
      </c>
      <c r="C1149" s="42">
        <v>2740.0</v>
      </c>
      <c r="D1149" s="33" t="s">
        <v>11532</v>
      </c>
      <c r="E1149" s="74"/>
      <c r="F1149" s="46" t="s">
        <v>2775</v>
      </c>
      <c r="G1149" s="75"/>
      <c r="H1149" s="140" t="str">
        <f>HYPERLINK("http://mirror.ff7data.com.ar/ff7/data/minigame/condor.lgp/ga.p.png","View Picture")</f>
        <v>View Picture</v>
      </c>
      <c r="K1149" s="43"/>
    </row>
    <row r="1150">
      <c r="A1150" s="40"/>
      <c r="B1150" s="33" t="s">
        <v>4691</v>
      </c>
      <c r="C1150" s="42">
        <v>56.0</v>
      </c>
      <c r="D1150" s="33" t="s">
        <v>11532</v>
      </c>
      <c r="E1150" s="74"/>
      <c r="F1150" s="46" t="s">
        <v>2793</v>
      </c>
      <c r="G1150" s="75"/>
      <c r="H1150" s="140" t="str">
        <f>HYPERLINK("http://mirror.ff7data.com.ar/ff7/data/minigame/condor.lgp/ga.rsd.png","View Picture")</f>
        <v>View Picture</v>
      </c>
      <c r="K1150" s="43"/>
    </row>
    <row r="1151">
      <c r="A1151" s="40"/>
      <c r="B1151" s="33" t="s">
        <v>4702</v>
      </c>
      <c r="C1151" s="42">
        <v>2740.0</v>
      </c>
      <c r="D1151" s="33" t="s">
        <v>11555</v>
      </c>
      <c r="E1151" s="74"/>
      <c r="F1151" s="46" t="s">
        <v>2775</v>
      </c>
      <c r="G1151" s="75"/>
      <c r="H1151" s="140" t="str">
        <f>HYPERLINK("http://mirror.ff7data.com.ar/ff7/data/minigame/condor.lgp/gb.p.png","View Picture")</f>
        <v>View Picture</v>
      </c>
      <c r="K1151" s="43"/>
    </row>
    <row r="1152">
      <c r="A1152" s="40"/>
      <c r="B1152" s="33" t="s">
        <v>4714</v>
      </c>
      <c r="C1152" s="42">
        <v>56.0</v>
      </c>
      <c r="D1152" s="33" t="s">
        <v>11555</v>
      </c>
      <c r="E1152" s="74"/>
      <c r="F1152" s="46" t="s">
        <v>2793</v>
      </c>
      <c r="G1152" s="75"/>
      <c r="H1152" s="140" t="str">
        <f>HYPERLINK("http://mirror.ff7data.com.ar/ff7/data/minigame/condor.lgp/gb.rsd.png","View Picture")</f>
        <v>View Picture</v>
      </c>
      <c r="K1152" s="43"/>
    </row>
    <row r="1153">
      <c r="A1153" s="40"/>
      <c r="B1153" s="33" t="s">
        <v>4725</v>
      </c>
      <c r="C1153" s="42">
        <v>2688.0</v>
      </c>
      <c r="D1153" s="33" t="s">
        <v>11574</v>
      </c>
      <c r="E1153" s="74"/>
      <c r="F1153" s="46" t="s">
        <v>2775</v>
      </c>
      <c r="G1153" s="75"/>
      <c r="H1153" s="140" t="str">
        <f>HYPERLINK("http://mirror.ff7data.com.ar/ff7/data/minigame/condor.lgp/gc.p.png","View Picture")</f>
        <v>View Picture</v>
      </c>
      <c r="K1153" s="43"/>
    </row>
    <row r="1154">
      <c r="A1154" s="40"/>
      <c r="B1154" s="33" t="s">
        <v>4736</v>
      </c>
      <c r="C1154" s="42">
        <v>56.0</v>
      </c>
      <c r="D1154" s="33" t="s">
        <v>11574</v>
      </c>
      <c r="E1154" s="74"/>
      <c r="F1154" s="46" t="s">
        <v>2793</v>
      </c>
      <c r="G1154" s="75"/>
      <c r="H1154" s="140" t="str">
        <f>HYPERLINK("http://mirror.ff7data.com.ar/ff7/data/minigame/condor.lgp/gc.rsd.png","View Picture")</f>
        <v>View Picture</v>
      </c>
      <c r="K1154" s="43"/>
    </row>
    <row r="1155">
      <c r="A1155" s="40"/>
      <c r="B1155" s="33" t="s">
        <v>4744</v>
      </c>
      <c r="C1155" s="42">
        <v>2488.0</v>
      </c>
      <c r="D1155" s="33" t="s">
        <v>11596</v>
      </c>
      <c r="E1155" s="74"/>
      <c r="F1155" s="46" t="s">
        <v>2775</v>
      </c>
      <c r="G1155" s="75"/>
      <c r="H1155" s="140" t="str">
        <f>HYPERLINK("http://mirror.ff7data.com.ar/ff7/data/minigame/condor.lgp/gd.p.png","View Picture")</f>
        <v>View Picture</v>
      </c>
      <c r="K1155" s="43"/>
    </row>
    <row r="1156">
      <c r="A1156" s="40"/>
      <c r="B1156" s="33" t="s">
        <v>4755</v>
      </c>
      <c r="C1156" s="42">
        <v>56.0</v>
      </c>
      <c r="D1156" s="33" t="s">
        <v>11596</v>
      </c>
      <c r="E1156" s="74"/>
      <c r="F1156" s="46" t="s">
        <v>2793</v>
      </c>
      <c r="G1156" s="75"/>
      <c r="H1156" s="140" t="str">
        <f>HYPERLINK("http://mirror.ff7data.com.ar/ff7/data/minigame/condor.lgp/gd.rsd.png","View Picture")</f>
        <v>View Picture</v>
      </c>
      <c r="K1156" s="43"/>
    </row>
    <row r="1157">
      <c r="A1157" s="40"/>
      <c r="B1157" s="33" t="s">
        <v>4764</v>
      </c>
      <c r="C1157" s="42">
        <v>2688.0</v>
      </c>
      <c r="D1157" s="33" t="s">
        <v>11620</v>
      </c>
      <c r="E1157" s="74"/>
      <c r="F1157" s="46" t="s">
        <v>2775</v>
      </c>
      <c r="G1157" s="75"/>
      <c r="H1157" s="140" t="str">
        <f>HYPERLINK("http://mirror.ff7data.com.ar/ff7/data/minigame/condor.lgp/ge.p.png","View Picture")</f>
        <v>View Picture</v>
      </c>
      <c r="K1157" s="43"/>
    </row>
    <row r="1158">
      <c r="A1158" s="40"/>
      <c r="B1158" s="33" t="s">
        <v>4775</v>
      </c>
      <c r="C1158" s="42">
        <v>56.0</v>
      </c>
      <c r="D1158" s="33" t="s">
        <v>11620</v>
      </c>
      <c r="E1158" s="74"/>
      <c r="F1158" s="46" t="s">
        <v>2793</v>
      </c>
      <c r="G1158" s="75"/>
      <c r="H1158" s="140" t="str">
        <f>HYPERLINK("http://mirror.ff7data.com.ar/ff7/data/minigame/condor.lgp/ge.rsd.png","View Picture")</f>
        <v>View Picture</v>
      </c>
      <c r="K1158" s="43"/>
    </row>
    <row r="1159">
      <c r="A1159" s="40"/>
      <c r="B1159" s="33" t="s">
        <v>4785</v>
      </c>
      <c r="C1159" s="42">
        <v>2688.0</v>
      </c>
      <c r="D1159" s="33" t="s">
        <v>11638</v>
      </c>
      <c r="E1159" s="74"/>
      <c r="F1159" s="46" t="s">
        <v>2775</v>
      </c>
      <c r="G1159" s="75"/>
      <c r="H1159" s="140" t="str">
        <f>HYPERLINK("http://mirror.ff7data.com.ar/ff7/data/minigame/condor.lgp/gf.p.png","View Picture")</f>
        <v>View Picture</v>
      </c>
      <c r="K1159" s="43"/>
    </row>
    <row r="1160">
      <c r="A1160" s="40"/>
      <c r="B1160" s="33" t="s">
        <v>4794</v>
      </c>
      <c r="C1160" s="42">
        <v>56.0</v>
      </c>
      <c r="D1160" s="33" t="s">
        <v>11638</v>
      </c>
      <c r="E1160" s="74"/>
      <c r="F1160" s="46" t="s">
        <v>2793</v>
      </c>
      <c r="G1160" s="75"/>
      <c r="H1160" s="140" t="str">
        <f>HYPERLINK("http://mirror.ff7data.com.ar/ff7/data/minigame/condor.lgp/gf.rsd.png","View Picture")</f>
        <v>View Picture</v>
      </c>
      <c r="K1160" s="43"/>
    </row>
    <row r="1161">
      <c r="A1161" s="40"/>
      <c r="B1161" s="33" t="s">
        <v>4805</v>
      </c>
      <c r="C1161" s="42">
        <v>2924.0</v>
      </c>
      <c r="D1161" s="33" t="s">
        <v>11655</v>
      </c>
      <c r="E1161" s="74"/>
      <c r="F1161" s="46" t="s">
        <v>2775</v>
      </c>
      <c r="G1161" s="75"/>
      <c r="H1161" s="140" t="str">
        <f>HYPERLINK("http://mirror.ff7data.com.ar/ff7/data/minigame/condor.lgp/gg.p.png","View Picture")</f>
        <v>View Picture</v>
      </c>
      <c r="K1161" s="43"/>
    </row>
    <row r="1162">
      <c r="A1162" s="40"/>
      <c r="B1162" s="33" t="s">
        <v>4815</v>
      </c>
      <c r="C1162" s="42">
        <v>56.0</v>
      </c>
      <c r="D1162" s="33" t="s">
        <v>11655</v>
      </c>
      <c r="E1162" s="74"/>
      <c r="F1162" s="46" t="s">
        <v>2793</v>
      </c>
      <c r="G1162" s="75"/>
      <c r="H1162" s="140" t="str">
        <f>HYPERLINK("http://mirror.ff7data.com.ar/ff7/data/minigame/condor.lgp/gg.rsd.png","View Picture")</f>
        <v>View Picture</v>
      </c>
      <c r="K1162" s="43"/>
    </row>
    <row r="1163">
      <c r="A1163" s="21"/>
      <c r="B1163" s="33" t="s">
        <v>4826</v>
      </c>
      <c r="C1163" s="42">
        <v>976.0</v>
      </c>
      <c r="D1163" s="141" t="s">
        <v>11675</v>
      </c>
      <c r="E1163" s="74"/>
      <c r="F1163" s="46" t="s">
        <v>2775</v>
      </c>
      <c r="G1163" s="75"/>
      <c r="H1163" s="140" t="str">
        <f>HYPERLINK("http://mirror.ff7data.com.ar/ff7/data/minigame/condor.lgp/gh.p.png","View Picture")</f>
        <v>View Picture</v>
      </c>
      <c r="K1163" s="43"/>
    </row>
    <row r="1164">
      <c r="A1164" s="21"/>
      <c r="B1164" s="33" t="s">
        <v>4837</v>
      </c>
      <c r="C1164" s="42">
        <v>56.0</v>
      </c>
      <c r="D1164" s="141" t="s">
        <v>11675</v>
      </c>
      <c r="E1164" s="74"/>
      <c r="F1164" s="46" t="s">
        <v>2793</v>
      </c>
      <c r="G1164" s="75"/>
      <c r="H1164" s="140" t="str">
        <f>HYPERLINK("http://mirror.ff7data.com.ar/ff7/data/minigame/condor.lgp/gh.rsd.png","View Picture")</f>
        <v>View Picture</v>
      </c>
      <c r="K1164" s="43"/>
    </row>
    <row r="1165">
      <c r="A1165" s="40"/>
      <c r="B1165" s="33" t="s">
        <v>4850</v>
      </c>
      <c r="C1165" s="42">
        <v>2640.0</v>
      </c>
      <c r="D1165" s="33" t="s">
        <v>11709</v>
      </c>
      <c r="E1165" s="74"/>
      <c r="F1165" s="46" t="s">
        <v>2775</v>
      </c>
      <c r="G1165" s="75"/>
      <c r="H1165" s="140" t="str">
        <f>HYPERLINK("http://mirror.ff7data.com.ar/ff7/data/minigame/condor.lgp/gi.p.png","View Picture")</f>
        <v>View Picture</v>
      </c>
      <c r="K1165" s="43"/>
    </row>
    <row r="1166">
      <c r="A1166" s="40"/>
      <c r="B1166" s="33" t="s">
        <v>4861</v>
      </c>
      <c r="C1166" s="42">
        <v>56.0</v>
      </c>
      <c r="D1166" s="33" t="s">
        <v>11709</v>
      </c>
      <c r="E1166" s="74"/>
      <c r="F1166" s="46" t="s">
        <v>2793</v>
      </c>
      <c r="G1166" s="75"/>
      <c r="H1166" s="140" t="str">
        <f>HYPERLINK("http://mirror.ff7data.com.ar/ff7/data/minigame/condor.lgp/gi.rsd.png","View Picture")</f>
        <v>View Picture</v>
      </c>
      <c r="K1166" s="43"/>
    </row>
    <row r="1167">
      <c r="A1167" s="40"/>
      <c r="B1167" s="33" t="s">
        <v>11725</v>
      </c>
      <c r="C1167" s="42">
        <v>2640.0</v>
      </c>
      <c r="D1167" s="33" t="s">
        <v>11726</v>
      </c>
      <c r="E1167" s="74"/>
      <c r="F1167" s="46" t="s">
        <v>2775</v>
      </c>
      <c r="G1167" s="75"/>
      <c r="H1167" s="140" t="str">
        <f>HYPERLINK("http://mirror.ff7data.com.ar/ff7/data/minigame/condor.lgp/gj.p.png","View Picture")</f>
        <v>View Picture</v>
      </c>
      <c r="K1167" s="43"/>
    </row>
    <row r="1168">
      <c r="A1168" s="40"/>
      <c r="B1168" s="33" t="s">
        <v>11736</v>
      </c>
      <c r="C1168" s="42">
        <v>56.0</v>
      </c>
      <c r="D1168" s="33" t="s">
        <v>11726</v>
      </c>
      <c r="E1168" s="74"/>
      <c r="F1168" s="46" t="s">
        <v>2793</v>
      </c>
      <c r="G1168" s="75"/>
      <c r="H1168" s="140" t="str">
        <f>HYPERLINK("http://mirror.ff7data.com.ar/ff7/data/minigame/condor.lgp/gj.rsd.png","View Picture")</f>
        <v>View Picture</v>
      </c>
      <c r="K1168" s="43"/>
    </row>
    <row r="1169">
      <c r="A1169" s="40"/>
      <c r="B1169" s="33" t="s">
        <v>11744</v>
      </c>
      <c r="C1169" s="42">
        <v>2640.0</v>
      </c>
      <c r="D1169" s="33" t="s">
        <v>11745</v>
      </c>
      <c r="E1169" s="74"/>
      <c r="F1169" s="46" t="s">
        <v>2775</v>
      </c>
      <c r="G1169" s="75"/>
      <c r="H1169" s="140" t="str">
        <f>HYPERLINK("http://mirror.ff7data.com.ar/ff7/data/minigame/condor.lgp/gk.p.png","View Picture")</f>
        <v>View Picture</v>
      </c>
      <c r="K1169" s="43"/>
    </row>
    <row r="1170">
      <c r="A1170" s="40"/>
      <c r="B1170" s="33" t="s">
        <v>11755</v>
      </c>
      <c r="C1170" s="42">
        <v>56.0</v>
      </c>
      <c r="D1170" s="33" t="s">
        <v>11745</v>
      </c>
      <c r="E1170" s="74"/>
      <c r="F1170" s="46" t="s">
        <v>2793</v>
      </c>
      <c r="G1170" s="75"/>
      <c r="H1170" s="140" t="str">
        <f>HYPERLINK("http://mirror.ff7data.com.ar/ff7/data/minigame/condor.lgp/gk.rsd.png","View Picture")</f>
        <v>View Picture</v>
      </c>
      <c r="K1170" s="43"/>
    </row>
    <row r="1171">
      <c r="A1171" s="40"/>
      <c r="B1171" s="33" t="s">
        <v>4891</v>
      </c>
      <c r="C1171" s="42">
        <v>2640.0</v>
      </c>
      <c r="D1171" s="33" t="s">
        <v>11763</v>
      </c>
      <c r="E1171" s="74"/>
      <c r="F1171" s="46" t="s">
        <v>2775</v>
      </c>
      <c r="G1171" s="75"/>
      <c r="H1171" s="140" t="str">
        <f>HYPERLINK("http://mirror.ff7data.com.ar/ff7/data/minigame/condor.lgp/gl.p.png","View Picture")</f>
        <v>View Picture</v>
      </c>
      <c r="K1171" s="43"/>
    </row>
    <row r="1172">
      <c r="A1172" s="40"/>
      <c r="B1172" s="33" t="s">
        <v>4903</v>
      </c>
      <c r="C1172" s="42">
        <v>56.0</v>
      </c>
      <c r="D1172" s="33" t="s">
        <v>11763</v>
      </c>
      <c r="E1172" s="74"/>
      <c r="F1172" s="46" t="s">
        <v>2793</v>
      </c>
      <c r="G1172" s="75"/>
      <c r="H1172" s="140" t="str">
        <f>HYPERLINK("http://mirror.ff7data.com.ar/ff7/data/minigame/condor.lgp/gl.rsd.png","View Picture")</f>
        <v>View Picture</v>
      </c>
      <c r="K1172" s="43"/>
    </row>
    <row r="1173">
      <c r="A1173" s="40"/>
      <c r="B1173" s="33" t="s">
        <v>4913</v>
      </c>
      <c r="C1173" s="42">
        <v>2640.0</v>
      </c>
      <c r="D1173" s="33" t="s">
        <v>11776</v>
      </c>
      <c r="E1173" s="74"/>
      <c r="F1173" s="46" t="s">
        <v>2775</v>
      </c>
      <c r="G1173" s="75"/>
      <c r="H1173" s="140" t="str">
        <f>HYPERLINK("http://mirror.ff7data.com.ar/ff7/data/minigame/condor.lgp/gm.p.png","View Picture")</f>
        <v>View Picture</v>
      </c>
      <c r="K1173" s="43"/>
    </row>
    <row r="1174">
      <c r="A1174" s="40"/>
      <c r="B1174" s="33" t="s">
        <v>4923</v>
      </c>
      <c r="C1174" s="42">
        <v>56.0</v>
      </c>
      <c r="D1174" s="33" t="s">
        <v>11776</v>
      </c>
      <c r="E1174" s="74"/>
      <c r="F1174" s="46" t="s">
        <v>2793</v>
      </c>
      <c r="G1174" s="75"/>
      <c r="H1174" s="140" t="str">
        <f>HYPERLINK("http://mirror.ff7data.com.ar/ff7/data/minigame/condor.lgp/gm.rsd.png","View Picture")</f>
        <v>View Picture</v>
      </c>
      <c r="K1174" s="43"/>
    </row>
    <row r="1175">
      <c r="A1175" s="40"/>
      <c r="B1175" s="33" t="s">
        <v>4935</v>
      </c>
      <c r="C1175" s="42">
        <v>4456.0</v>
      </c>
      <c r="D1175" s="33" t="s">
        <v>11792</v>
      </c>
      <c r="E1175" s="74"/>
      <c r="F1175" s="46" t="s">
        <v>2775</v>
      </c>
      <c r="G1175" s="75"/>
      <c r="H1175" s="140" t="str">
        <f>HYPERLINK("http://mirror.ff7data.com.ar/ff7/data/minigame/condor.lgp/gn.p.png","View Picture")</f>
        <v>View Picture</v>
      </c>
      <c r="K1175" s="43"/>
    </row>
    <row r="1176">
      <c r="A1176" s="40"/>
      <c r="B1176" s="33" t="s">
        <v>4946</v>
      </c>
      <c r="C1176" s="42">
        <v>56.0</v>
      </c>
      <c r="D1176" s="33" t="s">
        <v>11792</v>
      </c>
      <c r="E1176" s="74"/>
      <c r="F1176" s="46" t="s">
        <v>2793</v>
      </c>
      <c r="G1176" s="75"/>
      <c r="H1176" s="140" t="str">
        <f>HYPERLINK("http://mirror.ff7data.com.ar/ff7/data/minigame/condor.lgp/gn.rsd.png","View Picture")</f>
        <v>View Picture</v>
      </c>
      <c r="K1176" s="43"/>
    </row>
    <row r="1177">
      <c r="A1177" s="40"/>
      <c r="B1177" s="33" t="s">
        <v>4957</v>
      </c>
      <c r="C1177" s="42">
        <v>4456.0</v>
      </c>
      <c r="D1177" s="33" t="s">
        <v>11805</v>
      </c>
      <c r="E1177" s="74"/>
      <c r="F1177" s="46" t="s">
        <v>2775</v>
      </c>
      <c r="G1177" s="75"/>
      <c r="H1177" s="140" t="str">
        <f>HYPERLINK("http://mirror.ff7data.com.ar/ff7/data/minigame/condor.lgp/go.p.png","View Picture")</f>
        <v>View Picture</v>
      </c>
      <c r="K1177" s="43"/>
    </row>
    <row r="1178">
      <c r="A1178" s="40"/>
      <c r="B1178" s="33" t="s">
        <v>4972</v>
      </c>
      <c r="C1178" s="42">
        <v>56.0</v>
      </c>
      <c r="D1178" s="33" t="s">
        <v>11805</v>
      </c>
      <c r="E1178" s="74"/>
      <c r="F1178" s="46" t="s">
        <v>2793</v>
      </c>
      <c r="G1178" s="75"/>
      <c r="H1178" s="140" t="str">
        <f>HYPERLINK("http://mirror.ff7data.com.ar/ff7/data/minigame/condor.lgp/go.rsd.png","View Picture")</f>
        <v>View Picture</v>
      </c>
      <c r="K1178" s="43"/>
    </row>
    <row r="1179">
      <c r="A1179" s="40"/>
      <c r="B1179" s="33" t="s">
        <v>4982</v>
      </c>
      <c r="C1179" s="42">
        <v>4456.0</v>
      </c>
      <c r="D1179" s="33" t="s">
        <v>11816</v>
      </c>
      <c r="E1179" s="74"/>
      <c r="F1179" s="46" t="s">
        <v>2775</v>
      </c>
      <c r="G1179" s="75"/>
      <c r="H1179" s="140" t="str">
        <f>HYPERLINK("http://mirror.ff7data.com.ar/ff7/data/minigame/condor.lgp/gp.p.png","View Picture")</f>
        <v>View Picture</v>
      </c>
      <c r="K1179" s="43"/>
    </row>
    <row r="1180">
      <c r="A1180" s="40"/>
      <c r="B1180" s="33" t="s">
        <v>4990</v>
      </c>
      <c r="C1180" s="42">
        <v>56.0</v>
      </c>
      <c r="D1180" s="33" t="s">
        <v>11816</v>
      </c>
      <c r="E1180" s="74"/>
      <c r="F1180" s="46" t="s">
        <v>2793</v>
      </c>
      <c r="G1180" s="75"/>
      <c r="H1180" s="140" t="str">
        <f>HYPERLINK("http://mirror.ff7data.com.ar/ff7/data/minigame/condor.lgp/gp.rsd.png","View Picture")</f>
        <v>View Picture</v>
      </c>
      <c r="K1180" s="43"/>
    </row>
    <row r="1181">
      <c r="A1181" s="40"/>
      <c r="B1181" s="33" t="s">
        <v>4999</v>
      </c>
      <c r="C1181" s="42">
        <v>4456.0</v>
      </c>
      <c r="D1181" s="33" t="s">
        <v>11829</v>
      </c>
      <c r="E1181" s="74"/>
      <c r="F1181" s="46" t="s">
        <v>2775</v>
      </c>
      <c r="G1181" s="75"/>
      <c r="H1181" s="140" t="str">
        <f>HYPERLINK("http://mirror.ff7data.com.ar/ff7/data/minigame/condor.lgp/gq.p.png","View Picture")</f>
        <v>View Picture</v>
      </c>
      <c r="K1181" s="43"/>
    </row>
    <row r="1182">
      <c r="A1182" s="40"/>
      <c r="B1182" s="33" t="s">
        <v>5009</v>
      </c>
      <c r="C1182" s="42">
        <v>56.0</v>
      </c>
      <c r="D1182" s="33" t="s">
        <v>11829</v>
      </c>
      <c r="E1182" s="74"/>
      <c r="F1182" s="46" t="s">
        <v>2793</v>
      </c>
      <c r="G1182" s="75"/>
      <c r="H1182" s="140" t="str">
        <f>HYPERLINK("http://mirror.ff7data.com.ar/ff7/data/minigame/condor.lgp/gq.rsd.png","View Picture")</f>
        <v>View Picture</v>
      </c>
      <c r="K1182" s="43"/>
    </row>
    <row r="1183">
      <c r="A1183" s="40"/>
      <c r="B1183" s="33" t="s">
        <v>5018</v>
      </c>
      <c r="C1183" s="42">
        <v>4456.0</v>
      </c>
      <c r="D1183" s="33" t="s">
        <v>11846</v>
      </c>
      <c r="E1183" s="74"/>
      <c r="F1183" s="46" t="s">
        <v>2775</v>
      </c>
      <c r="G1183" s="75"/>
      <c r="H1183" s="140" t="str">
        <f>HYPERLINK("http://mirror.ff7data.com.ar/ff7/data/minigame/condor.lgp/gr.p.png","View Picture")</f>
        <v>View Picture</v>
      </c>
      <c r="K1183" s="43"/>
    </row>
    <row r="1184">
      <c r="A1184" s="40"/>
      <c r="B1184" s="33" t="s">
        <v>5025</v>
      </c>
      <c r="C1184" s="42">
        <v>56.0</v>
      </c>
      <c r="D1184" s="33" t="s">
        <v>11846</v>
      </c>
      <c r="E1184" s="74"/>
      <c r="F1184" s="46" t="s">
        <v>2793</v>
      </c>
      <c r="G1184" s="75"/>
      <c r="H1184" s="140" t="str">
        <f>HYPERLINK("http://mirror.ff7data.com.ar/ff7/data/minigame/condor.lgp/gr.rsd.png","View Picture")</f>
        <v>View Picture</v>
      </c>
      <c r="K1184" s="43"/>
    </row>
    <row r="1185">
      <c r="A1185" s="40"/>
      <c r="B1185" s="33" t="s">
        <v>5035</v>
      </c>
      <c r="C1185" s="42">
        <v>4456.0</v>
      </c>
      <c r="D1185" s="33" t="s">
        <v>11862</v>
      </c>
      <c r="E1185" s="74"/>
      <c r="F1185" s="46" t="s">
        <v>2775</v>
      </c>
      <c r="G1185" s="75"/>
      <c r="H1185" s="140" t="str">
        <f>HYPERLINK("http://mirror.ff7data.com.ar/ff7/data/minigame/condor.lgp/gs.p.png","View Picture")</f>
        <v>View Picture</v>
      </c>
      <c r="K1185" s="43"/>
    </row>
    <row r="1186">
      <c r="A1186" s="40"/>
      <c r="B1186" s="33" t="s">
        <v>5045</v>
      </c>
      <c r="C1186" s="42">
        <v>56.0</v>
      </c>
      <c r="D1186" s="33" t="s">
        <v>11862</v>
      </c>
      <c r="E1186" s="74"/>
      <c r="F1186" s="46" t="s">
        <v>2793</v>
      </c>
      <c r="G1186" s="75"/>
      <c r="H1186" s="140" t="str">
        <f>HYPERLINK("http://mirror.ff7data.com.ar/ff7/data/minigame/condor.lgp/gs.rsd.png","View Picture")</f>
        <v>View Picture</v>
      </c>
      <c r="K1186" s="43"/>
    </row>
    <row r="1187">
      <c r="A1187" s="40"/>
      <c r="B1187" s="33" t="s">
        <v>5053</v>
      </c>
      <c r="C1187" s="42">
        <v>4456.0</v>
      </c>
      <c r="D1187" s="33" t="s">
        <v>11878</v>
      </c>
      <c r="E1187" s="74"/>
      <c r="F1187" s="46" t="s">
        <v>2775</v>
      </c>
      <c r="G1187" s="75"/>
      <c r="H1187" s="140" t="str">
        <f>HYPERLINK("http://mirror.ff7data.com.ar/ff7/data/minigame/condor.lgp/gt.p.png","View Picture")</f>
        <v>View Picture</v>
      </c>
      <c r="K1187" s="43"/>
    </row>
    <row r="1188">
      <c r="A1188" s="40"/>
      <c r="B1188" s="33" t="s">
        <v>5063</v>
      </c>
      <c r="C1188" s="42">
        <v>56.0</v>
      </c>
      <c r="D1188" s="33" t="s">
        <v>11878</v>
      </c>
      <c r="E1188" s="74"/>
      <c r="F1188" s="46" t="s">
        <v>2793</v>
      </c>
      <c r="G1188" s="75"/>
      <c r="H1188" s="140" t="str">
        <f>HYPERLINK("http://mirror.ff7data.com.ar/ff7/data/minigame/condor.lgp/gt.rsd.png","View Picture")</f>
        <v>View Picture</v>
      </c>
      <c r="K1188" s="43"/>
    </row>
    <row r="1189">
      <c r="A1189" s="40"/>
      <c r="B1189" s="33" t="s">
        <v>5077</v>
      </c>
      <c r="C1189" s="42">
        <v>4456.0</v>
      </c>
      <c r="D1189" s="33" t="s">
        <v>11893</v>
      </c>
      <c r="E1189" s="74"/>
      <c r="F1189" s="46" t="s">
        <v>2775</v>
      </c>
      <c r="G1189" s="75"/>
      <c r="H1189" s="140" t="str">
        <f>HYPERLINK("http://mirror.ff7data.com.ar/ff7/data/minigame/condor.lgp/gu.p.png","View Picture")</f>
        <v>View Picture</v>
      </c>
      <c r="K1189" s="43"/>
    </row>
    <row r="1190">
      <c r="A1190" s="40"/>
      <c r="B1190" s="33" t="s">
        <v>5087</v>
      </c>
      <c r="C1190" s="42">
        <v>56.0</v>
      </c>
      <c r="D1190" s="33" t="s">
        <v>11893</v>
      </c>
      <c r="E1190" s="74"/>
      <c r="F1190" s="46" t="s">
        <v>2793</v>
      </c>
      <c r="G1190" s="75"/>
      <c r="H1190" s="140" t="str">
        <f>HYPERLINK("http://mirror.ff7data.com.ar/ff7/data/minigame/condor.lgp/gu.rsd.png","View Picture")</f>
        <v>View Picture</v>
      </c>
      <c r="K1190" s="43"/>
    </row>
    <row r="1191">
      <c r="A1191" s="40"/>
      <c r="B1191" s="33" t="s">
        <v>11909</v>
      </c>
      <c r="C1191" s="42">
        <v>4456.0</v>
      </c>
      <c r="D1191" s="33" t="s">
        <v>11910</v>
      </c>
      <c r="E1191" s="74"/>
      <c r="F1191" s="46" t="s">
        <v>2775</v>
      </c>
      <c r="G1191" s="75"/>
      <c r="H1191" s="140" t="str">
        <f>HYPERLINK("http://mirror.ff7data.com.ar/ff7/data/minigame/condor.lgp/gv.p.png","View Picture")</f>
        <v>View Picture</v>
      </c>
      <c r="K1191" s="43"/>
    </row>
    <row r="1192">
      <c r="A1192" s="40"/>
      <c r="B1192" s="33" t="s">
        <v>11915</v>
      </c>
      <c r="C1192" s="42">
        <v>56.0</v>
      </c>
      <c r="D1192" s="33" t="s">
        <v>11910</v>
      </c>
      <c r="E1192" s="74"/>
      <c r="F1192" s="46" t="s">
        <v>2793</v>
      </c>
      <c r="G1192" s="75"/>
      <c r="H1192" s="140" t="str">
        <f>HYPERLINK("http://mirror.ff7data.com.ar/ff7/data/minigame/condor.lgp/gv.rsd.png","View Picture")</f>
        <v>View Picture</v>
      </c>
      <c r="K1192" s="43"/>
    </row>
    <row r="1193">
      <c r="A1193" s="40"/>
      <c r="B1193" s="33" t="s">
        <v>11923</v>
      </c>
      <c r="C1193" s="42">
        <v>4456.0</v>
      </c>
      <c r="D1193" s="33" t="s">
        <v>11925</v>
      </c>
      <c r="E1193" s="74"/>
      <c r="F1193" s="46" t="s">
        <v>2775</v>
      </c>
      <c r="G1193" s="75"/>
      <c r="H1193" s="140" t="str">
        <f>HYPERLINK("http://mirror.ff7data.com.ar/ff7/data/minigame/condor.lgp/gw.p.png","View Picture")</f>
        <v>View Picture</v>
      </c>
      <c r="K1193" s="43"/>
    </row>
    <row r="1194">
      <c r="A1194" s="40"/>
      <c r="B1194" s="33" t="s">
        <v>11930</v>
      </c>
      <c r="C1194" s="42">
        <v>56.0</v>
      </c>
      <c r="D1194" s="33" t="s">
        <v>11925</v>
      </c>
      <c r="E1194" s="74"/>
      <c r="F1194" s="46" t="s">
        <v>2793</v>
      </c>
      <c r="G1194" s="75"/>
      <c r="H1194" s="140" t="str">
        <f>HYPERLINK("http://mirror.ff7data.com.ar/ff7/data/minigame/condor.lgp/gw.rsd.png","View Picture")</f>
        <v>View Picture</v>
      </c>
      <c r="K1194" s="43"/>
    </row>
    <row r="1195">
      <c r="A1195" s="40"/>
      <c r="B1195" s="33" t="s">
        <v>5113</v>
      </c>
      <c r="C1195" s="42">
        <v>4456.0</v>
      </c>
      <c r="D1195" s="33" t="s">
        <v>11934</v>
      </c>
      <c r="E1195" s="74"/>
      <c r="F1195" s="46" t="s">
        <v>2775</v>
      </c>
      <c r="G1195" s="75"/>
      <c r="H1195" s="140" t="str">
        <f>HYPERLINK("http://mirror.ff7data.com.ar/ff7/data/minigame/condor.lgp/gx.p.png","View Picture")</f>
        <v>View Picture</v>
      </c>
      <c r="K1195" s="43"/>
    </row>
    <row r="1196">
      <c r="A1196" s="40"/>
      <c r="B1196" s="33" t="s">
        <v>5123</v>
      </c>
      <c r="C1196" s="42">
        <v>56.0</v>
      </c>
      <c r="D1196" s="33" t="s">
        <v>11934</v>
      </c>
      <c r="E1196" s="74"/>
      <c r="F1196" s="46" t="s">
        <v>2793</v>
      </c>
      <c r="G1196" s="75"/>
      <c r="H1196" s="140" t="str">
        <f>HYPERLINK("http://mirror.ff7data.com.ar/ff7/data/minigame/condor.lgp/gx.rsd.png","View Picture")</f>
        <v>View Picture</v>
      </c>
      <c r="K1196" s="43"/>
    </row>
    <row r="1197">
      <c r="A1197" s="40"/>
      <c r="B1197" s="33" t="s">
        <v>11949</v>
      </c>
      <c r="C1197" s="42">
        <v>4456.0</v>
      </c>
      <c r="D1197" s="33" t="s">
        <v>11951</v>
      </c>
      <c r="E1197" s="74"/>
      <c r="F1197" s="46" t="s">
        <v>2775</v>
      </c>
      <c r="G1197" s="75"/>
      <c r="H1197" s="140" t="str">
        <f>HYPERLINK("http://mirror.ff7data.com.ar/ff7/data/minigame/condor.lgp/gy.p.png","View Picture")</f>
        <v>View Picture</v>
      </c>
      <c r="K1197" s="43"/>
    </row>
    <row r="1198">
      <c r="A1198" s="40"/>
      <c r="B1198" s="33" t="s">
        <v>11957</v>
      </c>
      <c r="C1198" s="42">
        <v>56.0</v>
      </c>
      <c r="D1198" s="33" t="s">
        <v>11951</v>
      </c>
      <c r="E1198" s="74"/>
      <c r="F1198" s="46" t="s">
        <v>2793</v>
      </c>
      <c r="G1198" s="75"/>
      <c r="H1198" s="140" t="str">
        <f>HYPERLINK("http://mirror.ff7data.com.ar/ff7/data/minigame/condor.lgp/gy.rsd.png","View Picture")</f>
        <v>View Picture</v>
      </c>
      <c r="K1198" s="43"/>
    </row>
    <row r="1199">
      <c r="A1199" s="40"/>
      <c r="B1199" s="33" t="s">
        <v>11965</v>
      </c>
      <c r="C1199" s="42">
        <v>4456.0</v>
      </c>
      <c r="D1199" s="33" t="s">
        <v>11967</v>
      </c>
      <c r="E1199" s="74"/>
      <c r="F1199" s="46" t="s">
        <v>2775</v>
      </c>
      <c r="G1199" s="75"/>
      <c r="H1199" s="140" t="str">
        <f>HYPERLINK("http://mirror.ff7data.com.ar/ff7/data/minigame/condor.lgp/gz.p.png","View Picture")</f>
        <v>View Picture</v>
      </c>
      <c r="K1199" s="43"/>
    </row>
    <row r="1200">
      <c r="A1200" s="40"/>
      <c r="B1200" s="33" t="s">
        <v>11975</v>
      </c>
      <c r="C1200" s="42">
        <v>56.0</v>
      </c>
      <c r="D1200" s="33" t="s">
        <v>11967</v>
      </c>
      <c r="E1200" s="74"/>
      <c r="F1200" s="46" t="s">
        <v>2793</v>
      </c>
      <c r="G1200" s="75"/>
      <c r="H1200" s="140" t="str">
        <f>HYPERLINK("http://mirror.ff7data.com.ar/ff7/data/minigame/condor.lgp/gz.rsd.png","View Picture")</f>
        <v>View Picture</v>
      </c>
      <c r="K1200" s="43"/>
    </row>
    <row r="1201">
      <c r="A1201" s="40"/>
      <c r="B1201" s="33" t="s">
        <v>5145</v>
      </c>
      <c r="C1201" s="42">
        <v>4456.0</v>
      </c>
      <c r="D1201" s="33" t="s">
        <v>11984</v>
      </c>
      <c r="E1201" s="74"/>
      <c r="F1201" s="46" t="s">
        <v>2775</v>
      </c>
      <c r="G1201" s="142"/>
      <c r="H1201" s="96" t="str">
        <f>HYPERLINK("http://mirror.ff7data.com.ar/ff7/data/minigame/condor.lgp/ha.p.png","View Picture")</f>
        <v>View Picture</v>
      </c>
      <c r="K1201" s="43"/>
    </row>
    <row r="1202">
      <c r="A1202" s="40"/>
      <c r="B1202" s="33" t="s">
        <v>5155</v>
      </c>
      <c r="C1202" s="42">
        <v>56.0</v>
      </c>
      <c r="D1202" s="33" t="s">
        <v>11984</v>
      </c>
      <c r="E1202" s="74"/>
      <c r="F1202" s="46" t="s">
        <v>2793</v>
      </c>
      <c r="G1202" s="142"/>
      <c r="H1202" s="96" t="str">
        <f>HYPERLINK("http://mirror.ff7data.com.ar/ff7/data/minigame/condor.lgp/ha.rsd.png","View Picture")</f>
        <v>View Picture</v>
      </c>
      <c r="K1202" s="43"/>
    </row>
    <row r="1203">
      <c r="A1203" s="40"/>
      <c r="B1203" s="33" t="s">
        <v>12011</v>
      </c>
      <c r="C1203" s="42">
        <v>2040.0</v>
      </c>
      <c r="D1203" s="33" t="s">
        <v>12012</v>
      </c>
      <c r="E1203" s="74"/>
      <c r="F1203" s="46" t="s">
        <v>2775</v>
      </c>
      <c r="G1203" s="142"/>
      <c r="H1203" s="96" t="str">
        <f>HYPERLINK("http://mirror.ff7data.com.ar/ff7/data/minigame/condor.lgp/hb.p.png","View Picture")</f>
        <v>View Picture</v>
      </c>
      <c r="K1203" s="43"/>
    </row>
    <row r="1204">
      <c r="A1204" s="40"/>
      <c r="B1204" s="33" t="s">
        <v>12019</v>
      </c>
      <c r="C1204" s="42">
        <v>56.0</v>
      </c>
      <c r="D1204" s="33" t="s">
        <v>12012</v>
      </c>
      <c r="E1204" s="74"/>
      <c r="F1204" s="46" t="s">
        <v>2793</v>
      </c>
      <c r="G1204" s="142"/>
      <c r="H1204" s="96" t="str">
        <f>HYPERLINK("http://mirror.ff7data.com.ar/ff7/data/minigame/condor.lgp/hb.rsd.png","View Picture")</f>
        <v>View Picture</v>
      </c>
      <c r="K1204" s="43"/>
    </row>
    <row r="1205">
      <c r="A1205" s="40"/>
      <c r="B1205" s="33" t="s">
        <v>12025</v>
      </c>
      <c r="C1205" s="42">
        <v>2040.0</v>
      </c>
      <c r="D1205" s="33" t="s">
        <v>12027</v>
      </c>
      <c r="E1205" s="74"/>
      <c r="F1205" s="46" t="s">
        <v>2775</v>
      </c>
      <c r="G1205" s="142"/>
      <c r="H1205" s="96" t="str">
        <f>HYPERLINK("http://mirror.ff7data.com.ar/ff7/data/minigame/condor.lgp/hc.p.png","View Picture")</f>
        <v>View Picture</v>
      </c>
      <c r="K1205" s="43"/>
    </row>
    <row r="1206">
      <c r="A1206" s="40"/>
      <c r="B1206" s="33" t="s">
        <v>12032</v>
      </c>
      <c r="C1206" s="42">
        <v>56.0</v>
      </c>
      <c r="D1206" s="33" t="s">
        <v>12027</v>
      </c>
      <c r="E1206" s="74"/>
      <c r="F1206" s="46" t="s">
        <v>2793</v>
      </c>
      <c r="G1206" s="142"/>
      <c r="H1206" s="96" t="str">
        <f>HYPERLINK("http://mirror.ff7data.com.ar/ff7/data/minigame/condor.lgp/hc.rsd.png","View Picture")</f>
        <v>View Picture</v>
      </c>
      <c r="K1206" s="43"/>
    </row>
    <row r="1207">
      <c r="A1207" s="40"/>
      <c r="B1207" s="33" t="s">
        <v>5190</v>
      </c>
      <c r="C1207" s="42">
        <v>2040.0</v>
      </c>
      <c r="D1207" s="33" t="s">
        <v>12042</v>
      </c>
      <c r="E1207" s="74"/>
      <c r="F1207" s="46" t="s">
        <v>2775</v>
      </c>
      <c r="G1207" s="142"/>
      <c r="H1207" s="96" t="str">
        <f>HYPERLINK("http://mirror.ff7data.com.ar/ff7/data/minigame/condor.lgp/hd.p.png","View Picture")</f>
        <v>View Picture</v>
      </c>
      <c r="K1207" s="43"/>
    </row>
    <row r="1208">
      <c r="A1208" s="40"/>
      <c r="B1208" s="33" t="s">
        <v>5205</v>
      </c>
      <c r="C1208" s="42">
        <v>56.0</v>
      </c>
      <c r="D1208" s="33" t="s">
        <v>12042</v>
      </c>
      <c r="E1208" s="74"/>
      <c r="F1208" s="46" t="s">
        <v>2793</v>
      </c>
      <c r="G1208" s="142"/>
      <c r="H1208" s="96" t="str">
        <f>HYPERLINK("http://mirror.ff7data.com.ar/ff7/data/minigame/condor.lgp/hd.rsd.png","View Picture")</f>
        <v>View Picture</v>
      </c>
      <c r="K1208" s="43"/>
    </row>
    <row r="1209">
      <c r="A1209" s="40"/>
      <c r="B1209" s="33" t="s">
        <v>12053</v>
      </c>
      <c r="C1209" s="42">
        <v>2040.0</v>
      </c>
      <c r="D1209" s="33" t="s">
        <v>12056</v>
      </c>
      <c r="E1209" s="74"/>
      <c r="F1209" s="46" t="s">
        <v>2775</v>
      </c>
      <c r="G1209" s="142"/>
      <c r="H1209" s="96" t="str">
        <f>HYPERLINK("http://mirror.ff7data.com.ar/ff7/data/minigame/condor.lgp/he.p.png","View Picture")</f>
        <v>View Picture</v>
      </c>
      <c r="K1209" s="43"/>
    </row>
    <row r="1210">
      <c r="A1210" s="40"/>
      <c r="B1210" s="33" t="s">
        <v>12060</v>
      </c>
      <c r="C1210" s="42">
        <v>56.0</v>
      </c>
      <c r="D1210" s="33" t="s">
        <v>12056</v>
      </c>
      <c r="E1210" s="74"/>
      <c r="F1210" s="46" t="s">
        <v>2793</v>
      </c>
      <c r="G1210" s="142"/>
      <c r="H1210" s="96" t="str">
        <f>HYPERLINK("http://mirror.ff7data.com.ar/ff7/data/minigame/condor.lgp/he.rsd.png","View Picture")</f>
        <v>View Picture</v>
      </c>
      <c r="K1210" s="43"/>
    </row>
    <row r="1211">
      <c r="A1211" s="40"/>
      <c r="B1211" s="33" t="s">
        <v>12067</v>
      </c>
      <c r="C1211" s="42">
        <v>2040.0</v>
      </c>
      <c r="D1211" s="33" t="s">
        <v>12070</v>
      </c>
      <c r="E1211" s="74"/>
      <c r="F1211" s="46" t="s">
        <v>2775</v>
      </c>
      <c r="G1211" s="142"/>
      <c r="H1211" s="96" t="str">
        <f>HYPERLINK("http://mirror.ff7data.com.ar/ff7/data/minigame/condor.lgp/hf.p.png","View Picture")</f>
        <v>View Picture</v>
      </c>
      <c r="K1211" s="43"/>
    </row>
    <row r="1212">
      <c r="A1212" s="40"/>
      <c r="B1212" s="33" t="s">
        <v>12075</v>
      </c>
      <c r="C1212" s="42">
        <v>56.0</v>
      </c>
      <c r="D1212" s="33" t="s">
        <v>12070</v>
      </c>
      <c r="E1212" s="74"/>
      <c r="F1212" s="46" t="s">
        <v>2793</v>
      </c>
      <c r="G1212" s="142"/>
      <c r="H1212" s="96" t="str">
        <f>HYPERLINK("http://mirror.ff7data.com.ar/ff7/data/minigame/condor.lgp/hf.rsd.png","View Picture")</f>
        <v>View Picture</v>
      </c>
      <c r="K1212" s="43"/>
    </row>
    <row r="1213">
      <c r="A1213" s="40"/>
      <c r="B1213" s="33" t="s">
        <v>5238</v>
      </c>
      <c r="C1213" s="42">
        <v>2040.0</v>
      </c>
      <c r="D1213" s="33" t="s">
        <v>12082</v>
      </c>
      <c r="E1213" s="74"/>
      <c r="F1213" s="46" t="s">
        <v>2775</v>
      </c>
      <c r="G1213" s="142"/>
      <c r="H1213" s="96" t="str">
        <f>HYPERLINK("http://mirror.ff7data.com.ar/ff7/data/minigame/condor.lgp/hg.p.png","View Picture")</f>
        <v>View Picture</v>
      </c>
      <c r="K1213" s="43"/>
    </row>
    <row r="1214">
      <c r="A1214" s="40"/>
      <c r="B1214" s="33" t="s">
        <v>5248</v>
      </c>
      <c r="C1214" s="42">
        <v>56.0</v>
      </c>
      <c r="D1214" s="33" t="s">
        <v>12082</v>
      </c>
      <c r="E1214" s="74"/>
      <c r="F1214" s="46" t="s">
        <v>2793</v>
      </c>
      <c r="G1214" s="142"/>
      <c r="H1214" s="96" t="str">
        <f>HYPERLINK("http://mirror.ff7data.com.ar/ff7/data/minigame/condor.lgp/hg.rsd.png","View Picture")</f>
        <v>View Picture</v>
      </c>
      <c r="K1214" s="43"/>
    </row>
    <row r="1215">
      <c r="A1215" s="40"/>
      <c r="B1215" s="33" t="s">
        <v>12095</v>
      </c>
      <c r="C1215" s="42">
        <v>2040.0</v>
      </c>
      <c r="D1215" s="33" t="s">
        <v>12096</v>
      </c>
      <c r="E1215" s="74"/>
      <c r="F1215" s="46" t="s">
        <v>2775</v>
      </c>
      <c r="G1215" s="142"/>
      <c r="H1215" s="96" t="str">
        <f>HYPERLINK("http://mirror.ff7data.com.ar/ff7/data/minigame/condor.lgp/hh.p.png","View Picture")</f>
        <v>View Picture</v>
      </c>
      <c r="K1215" s="43"/>
    </row>
    <row r="1216">
      <c r="A1216" s="40"/>
      <c r="B1216" s="33" t="s">
        <v>12106</v>
      </c>
      <c r="C1216" s="42">
        <v>56.0</v>
      </c>
      <c r="D1216" s="33" t="s">
        <v>12096</v>
      </c>
      <c r="E1216" s="74"/>
      <c r="F1216" s="46" t="s">
        <v>2793</v>
      </c>
      <c r="G1216" s="142"/>
      <c r="H1216" s="96" t="str">
        <f>HYPERLINK("http://mirror.ff7data.com.ar/ff7/data/minigame/condor.lgp/hh.rsd.png","View Picture")</f>
        <v>View Picture</v>
      </c>
      <c r="K1216" s="43"/>
    </row>
    <row r="1217">
      <c r="A1217" s="40"/>
      <c r="B1217" s="33" t="s">
        <v>12111</v>
      </c>
      <c r="C1217" s="42">
        <v>4456.0</v>
      </c>
      <c r="D1217" s="33" t="s">
        <v>12114</v>
      </c>
      <c r="E1217" s="74"/>
      <c r="F1217" s="46" t="s">
        <v>2775</v>
      </c>
      <c r="G1217" s="142"/>
      <c r="H1217" s="96" t="str">
        <f>HYPERLINK("http://mirror.ff7data.com.ar/ff7/data/minigame/condor.lgp/hi.p.png","View Picture")</f>
        <v>View Picture</v>
      </c>
      <c r="K1217" s="43"/>
    </row>
    <row r="1218">
      <c r="A1218" s="40"/>
      <c r="B1218" s="33" t="s">
        <v>12116</v>
      </c>
      <c r="C1218" s="42">
        <v>56.0</v>
      </c>
      <c r="D1218" s="33" t="s">
        <v>12114</v>
      </c>
      <c r="E1218" s="74"/>
      <c r="F1218" s="46" t="s">
        <v>2793</v>
      </c>
      <c r="G1218" s="142"/>
      <c r="H1218" s="96" t="str">
        <f>HYPERLINK("http://mirror.ff7data.com.ar/ff7/data/minigame/condor.lgp/hi.rsd.png","View Picture")</f>
        <v>View Picture</v>
      </c>
      <c r="K1218" s="43"/>
    </row>
    <row r="1219">
      <c r="A1219" s="40"/>
      <c r="B1219" s="33" t="s">
        <v>5275</v>
      </c>
      <c r="C1219" s="42">
        <v>4456.0</v>
      </c>
      <c r="D1219" s="33" t="s">
        <v>12125</v>
      </c>
      <c r="E1219" s="74"/>
      <c r="F1219" s="46" t="s">
        <v>2775</v>
      </c>
      <c r="G1219" s="142"/>
      <c r="H1219" s="96" t="str">
        <f>HYPERLINK("http://mirror.ff7data.com.ar/ff7/data/minigame/condor.lgp/hj.p.png","View Picture")</f>
        <v>View Picture</v>
      </c>
      <c r="K1219" s="43"/>
    </row>
    <row r="1220">
      <c r="A1220" s="40"/>
      <c r="B1220" s="33" t="s">
        <v>5289</v>
      </c>
      <c r="C1220" s="42">
        <v>56.0</v>
      </c>
      <c r="D1220" s="33" t="s">
        <v>12125</v>
      </c>
      <c r="E1220" s="74"/>
      <c r="F1220" s="46" t="s">
        <v>2793</v>
      </c>
      <c r="G1220" s="142"/>
      <c r="H1220" s="96" t="str">
        <f>HYPERLINK("http://mirror.ff7data.com.ar/ff7/data/minigame/condor.lgp/hj.rsd.png","View Picture")</f>
        <v>View Picture</v>
      </c>
      <c r="K1220" s="43"/>
    </row>
    <row r="1221">
      <c r="A1221" s="40"/>
      <c r="B1221" s="33" t="s">
        <v>12137</v>
      </c>
      <c r="C1221" s="42">
        <v>4456.0</v>
      </c>
      <c r="D1221" s="33" t="s">
        <v>12138</v>
      </c>
      <c r="E1221" s="74"/>
      <c r="F1221" s="46" t="s">
        <v>2775</v>
      </c>
      <c r="G1221" s="142"/>
      <c r="H1221" s="96" t="str">
        <f>HYPERLINK("http://mirror.ff7data.com.ar/ff7/data/minigame/condor.lgp/hk.p.png","View Picture")</f>
        <v>View Picture</v>
      </c>
      <c r="K1221" s="43"/>
    </row>
    <row r="1222">
      <c r="A1222" s="40"/>
      <c r="B1222" s="33" t="s">
        <v>12145</v>
      </c>
      <c r="C1222" s="42">
        <v>56.0</v>
      </c>
      <c r="D1222" s="33" t="s">
        <v>12138</v>
      </c>
      <c r="E1222" s="74"/>
      <c r="F1222" s="46" t="s">
        <v>2793</v>
      </c>
      <c r="G1222" s="142"/>
      <c r="H1222" s="96" t="str">
        <f>HYPERLINK("http://mirror.ff7data.com.ar/ff7/data/minigame/condor.lgp/hk.rsd.png","View Picture")</f>
        <v>View Picture</v>
      </c>
      <c r="K1222" s="43"/>
    </row>
    <row r="1223">
      <c r="A1223" s="40"/>
      <c r="B1223" s="33" t="s">
        <v>12151</v>
      </c>
      <c r="C1223" s="42">
        <v>4456.0</v>
      </c>
      <c r="D1223" s="33" t="s">
        <v>12153</v>
      </c>
      <c r="E1223" s="74"/>
      <c r="F1223" s="46" t="s">
        <v>2775</v>
      </c>
      <c r="G1223" s="142"/>
      <c r="H1223" s="96" t="str">
        <f>HYPERLINK("http://mirror.ff7data.com.ar/ff7/data/minigame/condor.lgp/hl.p.png","View Picture")</f>
        <v>View Picture</v>
      </c>
      <c r="K1223" s="43"/>
    </row>
    <row r="1224">
      <c r="A1224" s="40"/>
      <c r="B1224" s="33" t="s">
        <v>12160</v>
      </c>
      <c r="C1224" s="42">
        <v>56.0</v>
      </c>
      <c r="D1224" s="33" t="s">
        <v>12153</v>
      </c>
      <c r="E1224" s="74"/>
      <c r="F1224" s="46" t="s">
        <v>2793</v>
      </c>
      <c r="G1224" s="142"/>
      <c r="H1224" s="96" t="str">
        <f>HYPERLINK("http://mirror.ff7data.com.ar/ff7/data/minigame/condor.lgp/hl.rsd.png","View Picture")</f>
        <v>View Picture</v>
      </c>
      <c r="K1224" s="43"/>
    </row>
    <row r="1225">
      <c r="A1225" s="40"/>
      <c r="B1225" s="33" t="s">
        <v>5323</v>
      </c>
      <c r="C1225" s="42">
        <v>4456.0</v>
      </c>
      <c r="D1225" s="33" t="s">
        <v>12169</v>
      </c>
      <c r="E1225" s="74"/>
      <c r="F1225" s="46" t="s">
        <v>2775</v>
      </c>
      <c r="G1225" s="142"/>
      <c r="H1225" s="96" t="str">
        <f>HYPERLINK("http://mirror.ff7data.com.ar/ff7/data/minigame/condor.lgp/hm.p.png","View Picture")</f>
        <v>View Picture</v>
      </c>
      <c r="K1225" s="43"/>
    </row>
    <row r="1226">
      <c r="A1226" s="40"/>
      <c r="B1226" s="33" t="s">
        <v>5338</v>
      </c>
      <c r="C1226" s="42">
        <v>56.0</v>
      </c>
      <c r="D1226" s="33" t="s">
        <v>12169</v>
      </c>
      <c r="E1226" s="74"/>
      <c r="F1226" s="46" t="s">
        <v>2793</v>
      </c>
      <c r="G1226" s="142"/>
      <c r="H1226" s="96" t="str">
        <f>HYPERLINK("http://mirror.ff7data.com.ar/ff7/data/minigame/condor.lgp/hm.rsd.png","View Picture")</f>
        <v>View Picture</v>
      </c>
      <c r="K1226" s="43"/>
    </row>
    <row r="1227">
      <c r="A1227" s="40"/>
      <c r="B1227" s="33" t="s">
        <v>12187</v>
      </c>
      <c r="C1227" s="42">
        <v>4456.0</v>
      </c>
      <c r="D1227" s="33" t="s">
        <v>12189</v>
      </c>
      <c r="E1227" s="74"/>
      <c r="F1227" s="46" t="s">
        <v>2775</v>
      </c>
      <c r="G1227" s="142"/>
      <c r="H1227" s="96" t="str">
        <f>HYPERLINK("http://mirror.ff7data.com.ar/ff7/data/minigame/condor.lgp/hn.p.png","View Picture")</f>
        <v>View Picture</v>
      </c>
      <c r="K1227" s="43"/>
    </row>
    <row r="1228">
      <c r="A1228" s="40"/>
      <c r="B1228" s="33" t="s">
        <v>12194</v>
      </c>
      <c r="C1228" s="42">
        <v>56.0</v>
      </c>
      <c r="D1228" s="33" t="s">
        <v>12189</v>
      </c>
      <c r="E1228" s="74"/>
      <c r="F1228" s="46" t="s">
        <v>2793</v>
      </c>
      <c r="G1228" s="142"/>
      <c r="H1228" s="96" t="str">
        <f>HYPERLINK("http://mirror.ff7data.com.ar/ff7/data/minigame/condor.lgp/hn.rsd.png","View Picture")</f>
        <v>View Picture</v>
      </c>
      <c r="K1228" s="43"/>
    </row>
    <row r="1229">
      <c r="A1229" s="40"/>
      <c r="B1229" s="33" t="s">
        <v>12201</v>
      </c>
      <c r="C1229" s="42">
        <v>4456.0</v>
      </c>
      <c r="D1229" s="33" t="s">
        <v>12204</v>
      </c>
      <c r="E1229" s="74"/>
      <c r="F1229" s="46" t="s">
        <v>2775</v>
      </c>
      <c r="G1229" s="142"/>
      <c r="H1229" s="96" t="str">
        <f>HYPERLINK("http://mirror.ff7data.com.ar/ff7/data/minigame/condor.lgp/ho.p.png","View Picture")</f>
        <v>View Picture</v>
      </c>
      <c r="K1229" s="43"/>
    </row>
    <row r="1230">
      <c r="A1230" s="40"/>
      <c r="B1230" s="33" t="s">
        <v>12211</v>
      </c>
      <c r="C1230" s="42">
        <v>56.0</v>
      </c>
      <c r="D1230" s="33" t="s">
        <v>12204</v>
      </c>
      <c r="E1230" s="74"/>
      <c r="F1230" s="46" t="s">
        <v>2793</v>
      </c>
      <c r="G1230" s="142"/>
      <c r="H1230" s="96" t="str">
        <f>HYPERLINK("http://mirror.ff7data.com.ar/ff7/data/minigame/condor.lgp/ho.rsd.png","View Picture")</f>
        <v>View Picture</v>
      </c>
      <c r="K1230" s="43"/>
    </row>
    <row r="1231">
      <c r="A1231" s="40"/>
      <c r="B1231" s="33" t="s">
        <v>5381</v>
      </c>
      <c r="C1231" s="42">
        <v>4196.0</v>
      </c>
      <c r="D1231" s="33" t="s">
        <v>12218</v>
      </c>
      <c r="E1231" s="74"/>
      <c r="F1231" s="46" t="s">
        <v>2775</v>
      </c>
      <c r="G1231" s="142"/>
      <c r="H1231" s="96" t="str">
        <f>HYPERLINK("http://mirror.ff7data.com.ar/ff7/data/minigame/condor.lgp/hp.p.png","View Picture")</f>
        <v>View Picture</v>
      </c>
      <c r="K1231" s="43"/>
    </row>
    <row r="1232">
      <c r="A1232" s="40"/>
      <c r="B1232" s="33" t="s">
        <v>5397</v>
      </c>
      <c r="C1232" s="42">
        <v>56.0</v>
      </c>
      <c r="D1232" s="33" t="s">
        <v>12218</v>
      </c>
      <c r="E1232" s="74"/>
      <c r="F1232" s="46" t="s">
        <v>2793</v>
      </c>
      <c r="G1232" s="142"/>
      <c r="H1232" s="96" t="str">
        <f>HYPERLINK("http://mirror.ff7data.com.ar/ff7/data/minigame/condor.lgp/hp.rsd.png","View Picture")</f>
        <v>View Picture</v>
      </c>
      <c r="K1232" s="43"/>
    </row>
    <row r="1233">
      <c r="A1233" s="40"/>
      <c r="B1233" s="33" t="s">
        <v>12236</v>
      </c>
      <c r="C1233" s="42">
        <v>4196.0</v>
      </c>
      <c r="D1233" s="33" t="s">
        <v>12238</v>
      </c>
      <c r="E1233" s="74"/>
      <c r="F1233" s="46" t="s">
        <v>2775</v>
      </c>
      <c r="G1233" s="142"/>
      <c r="H1233" s="96" t="str">
        <f>HYPERLINK("http://mirror.ff7data.com.ar/ff7/data/minigame/condor.lgp/hq.p.png","View Picture")</f>
        <v>View Picture</v>
      </c>
      <c r="K1233" s="43"/>
    </row>
    <row r="1234">
      <c r="A1234" s="40"/>
      <c r="B1234" s="33" t="s">
        <v>12246</v>
      </c>
      <c r="C1234" s="42">
        <v>56.0</v>
      </c>
      <c r="D1234" s="33" t="s">
        <v>12238</v>
      </c>
      <c r="E1234" s="74"/>
      <c r="F1234" s="46" t="s">
        <v>2793</v>
      </c>
      <c r="G1234" s="142"/>
      <c r="H1234" s="96" t="str">
        <f>HYPERLINK("http://mirror.ff7data.com.ar/ff7/data/minigame/condor.lgp/hq.rsd.png","View Picture")</f>
        <v>View Picture</v>
      </c>
      <c r="K1234" s="43"/>
    </row>
    <row r="1235">
      <c r="A1235" s="40"/>
      <c r="B1235" s="33" t="s">
        <v>12253</v>
      </c>
      <c r="C1235" s="42">
        <v>4196.0</v>
      </c>
      <c r="D1235" s="33" t="s">
        <v>12254</v>
      </c>
      <c r="E1235" s="74"/>
      <c r="F1235" s="46" t="s">
        <v>2775</v>
      </c>
      <c r="G1235" s="142"/>
      <c r="H1235" s="96" t="str">
        <f>HYPERLINK("http://mirror.ff7data.com.ar/ff7/data/minigame/condor.lgp/hr.p.png","View Picture")</f>
        <v>View Picture</v>
      </c>
      <c r="K1235" s="43"/>
    </row>
    <row r="1236">
      <c r="A1236" s="40"/>
      <c r="B1236" s="33" t="s">
        <v>12257</v>
      </c>
      <c r="C1236" s="42">
        <v>56.0</v>
      </c>
      <c r="D1236" s="33" t="s">
        <v>12254</v>
      </c>
      <c r="E1236" s="74"/>
      <c r="F1236" s="46" t="s">
        <v>2793</v>
      </c>
      <c r="G1236" s="142"/>
      <c r="H1236" s="96" t="str">
        <f>HYPERLINK("http://mirror.ff7data.com.ar/ff7/data/minigame/condor.lgp/hr.rsd.png","View Picture")</f>
        <v>View Picture</v>
      </c>
      <c r="K1236" s="43"/>
    </row>
    <row r="1237">
      <c r="A1237" s="40"/>
      <c r="B1237" s="33" t="s">
        <v>5422</v>
      </c>
      <c r="C1237" s="42">
        <v>4196.0</v>
      </c>
      <c r="D1237" s="33" t="s">
        <v>12266</v>
      </c>
      <c r="E1237" s="74"/>
      <c r="F1237" s="46" t="s">
        <v>2775</v>
      </c>
      <c r="G1237" s="142"/>
      <c r="H1237" s="96" t="str">
        <f>HYPERLINK("http://mirror.ff7data.com.ar/ff7/data/minigame/condor.lgp/hs.p.png","View Picture")</f>
        <v>View Picture</v>
      </c>
      <c r="K1237" s="43"/>
    </row>
    <row r="1238">
      <c r="A1238" s="40"/>
      <c r="B1238" s="33" t="s">
        <v>5432</v>
      </c>
      <c r="C1238" s="42">
        <v>56.0</v>
      </c>
      <c r="D1238" s="33" t="s">
        <v>12266</v>
      </c>
      <c r="E1238" s="74"/>
      <c r="F1238" s="46" t="s">
        <v>2793</v>
      </c>
      <c r="G1238" s="142"/>
      <c r="H1238" s="96" t="str">
        <f>HYPERLINK("http://mirror.ff7data.com.ar/ff7/data/minigame/condor.lgp/hs.rsd.png","View Picture")</f>
        <v>View Picture</v>
      </c>
      <c r="K1238" s="43"/>
    </row>
    <row r="1239">
      <c r="A1239" s="40"/>
      <c r="B1239" s="33" t="s">
        <v>5443</v>
      </c>
      <c r="C1239" s="42">
        <v>4196.0</v>
      </c>
      <c r="D1239" s="33" t="s">
        <v>12286</v>
      </c>
      <c r="E1239" s="74"/>
      <c r="F1239" s="46" t="s">
        <v>2775</v>
      </c>
      <c r="G1239" s="142"/>
      <c r="H1239" s="96" t="str">
        <f>HYPERLINK("http://mirror.ff7data.com.ar/ff7/data/minigame/condor.lgp/ht.p.png","View Picture")</f>
        <v>View Picture</v>
      </c>
      <c r="K1239" s="43"/>
    </row>
    <row r="1240">
      <c r="A1240" s="40"/>
      <c r="B1240" s="33" t="s">
        <v>5455</v>
      </c>
      <c r="C1240" s="42">
        <v>56.0</v>
      </c>
      <c r="D1240" s="33" t="s">
        <v>12286</v>
      </c>
      <c r="E1240" s="74"/>
      <c r="F1240" s="46" t="s">
        <v>2793</v>
      </c>
      <c r="G1240" s="142"/>
      <c r="H1240" s="96" t="str">
        <f>HYPERLINK("http://mirror.ff7data.com.ar/ff7/data/minigame/condor.lgp/ht.rsd.png","View Picture")</f>
        <v>View Picture</v>
      </c>
      <c r="K1240" s="43"/>
    </row>
    <row r="1241">
      <c r="A1241" s="40"/>
      <c r="B1241" s="33" t="s">
        <v>5465</v>
      </c>
      <c r="C1241" s="42">
        <v>4196.0</v>
      </c>
      <c r="D1241" s="33" t="s">
        <v>12310</v>
      </c>
      <c r="E1241" s="74"/>
      <c r="F1241" s="46" t="s">
        <v>2775</v>
      </c>
      <c r="G1241" s="142"/>
      <c r="H1241" s="96" t="str">
        <f>HYPERLINK("http://mirror.ff7data.com.ar/ff7/data/minigame/condor.lgp/hu.p.png","View Picture")</f>
        <v>View Picture</v>
      </c>
      <c r="K1241" s="43"/>
    </row>
    <row r="1242">
      <c r="A1242" s="40"/>
      <c r="B1242" s="33" t="s">
        <v>5476</v>
      </c>
      <c r="C1242" s="42">
        <v>56.0</v>
      </c>
      <c r="D1242" s="33" t="s">
        <v>12310</v>
      </c>
      <c r="E1242" s="74"/>
      <c r="F1242" s="46" t="s">
        <v>2793</v>
      </c>
      <c r="G1242" s="142"/>
      <c r="H1242" s="96" t="str">
        <f>HYPERLINK("http://mirror.ff7data.com.ar/ff7/data/minigame/condor.lgp/hu.rsd.png","View Picture")</f>
        <v>View Picture</v>
      </c>
      <c r="K1242" s="43"/>
    </row>
    <row r="1243">
      <c r="A1243" s="40"/>
      <c r="B1243" s="33" t="s">
        <v>5489</v>
      </c>
      <c r="C1243" s="42">
        <v>4196.0</v>
      </c>
      <c r="D1243" s="33" t="s">
        <v>12329</v>
      </c>
      <c r="E1243" s="74"/>
      <c r="F1243" s="46" t="s">
        <v>2775</v>
      </c>
      <c r="G1243" s="142"/>
      <c r="H1243" s="96" t="str">
        <f>HYPERLINK("http://mirror.ff7data.com.ar/ff7/data/minigame/condor.lgp/hv.p.png","View Picture")</f>
        <v>View Picture</v>
      </c>
      <c r="K1243" s="43"/>
    </row>
    <row r="1244">
      <c r="A1244" s="40"/>
      <c r="B1244" s="33" t="s">
        <v>5505</v>
      </c>
      <c r="C1244" s="42">
        <v>56.0</v>
      </c>
      <c r="D1244" s="33" t="s">
        <v>12329</v>
      </c>
      <c r="E1244" s="74"/>
      <c r="F1244" s="46" t="s">
        <v>2793</v>
      </c>
      <c r="G1244" s="142"/>
      <c r="H1244" s="96" t="str">
        <f>HYPERLINK("http://mirror.ff7data.com.ar/ff7/data/minigame/condor.lgp/hv.rsd.png","View Picture")</f>
        <v>View Picture</v>
      </c>
      <c r="K1244" s="43"/>
    </row>
    <row r="1245">
      <c r="A1245" s="40"/>
      <c r="B1245" s="33" t="s">
        <v>5519</v>
      </c>
      <c r="C1245" s="42">
        <v>4196.0</v>
      </c>
      <c r="D1245" s="33" t="s">
        <v>12340</v>
      </c>
      <c r="E1245" s="74"/>
      <c r="F1245" s="46" t="s">
        <v>2775</v>
      </c>
      <c r="G1245" s="142"/>
      <c r="H1245" s="96" t="str">
        <f>HYPERLINK("http://mirror.ff7data.com.ar/ff7/data/minigame/condor.lgp/hw.p.png","View Picture")</f>
        <v>View Picture</v>
      </c>
      <c r="K1245" s="43"/>
    </row>
    <row r="1246">
      <c r="A1246" s="40"/>
      <c r="B1246" s="33" t="s">
        <v>5530</v>
      </c>
      <c r="C1246" s="42">
        <v>56.0</v>
      </c>
      <c r="D1246" s="33" t="s">
        <v>12340</v>
      </c>
      <c r="E1246" s="74"/>
      <c r="F1246" s="46" t="s">
        <v>2793</v>
      </c>
      <c r="G1246" s="142"/>
      <c r="H1246" s="96" t="str">
        <f>HYPERLINK("http://mirror.ff7data.com.ar/ff7/data/minigame/condor.lgp/hw.rsd.png","View Picture")</f>
        <v>View Picture</v>
      </c>
      <c r="K1246" s="43"/>
    </row>
    <row r="1247">
      <c r="A1247" s="40"/>
      <c r="B1247" s="33" t="s">
        <v>5541</v>
      </c>
      <c r="C1247" s="42">
        <v>4196.0</v>
      </c>
      <c r="D1247" s="33" t="s">
        <v>12356</v>
      </c>
      <c r="E1247" s="74"/>
      <c r="F1247" s="46" t="s">
        <v>2775</v>
      </c>
      <c r="G1247" s="142"/>
      <c r="H1247" s="96" t="str">
        <f>HYPERLINK("http://mirror.ff7data.com.ar/ff7/data/minigame/condor.lgp/hx.p.png","View Picture")</f>
        <v>View Picture</v>
      </c>
      <c r="K1247" s="43"/>
    </row>
    <row r="1248">
      <c r="A1248" s="40"/>
      <c r="B1248" s="33" t="s">
        <v>5551</v>
      </c>
      <c r="C1248" s="42">
        <v>56.0</v>
      </c>
      <c r="D1248" s="33" t="s">
        <v>12356</v>
      </c>
      <c r="E1248" s="74"/>
      <c r="F1248" s="46" t="s">
        <v>2793</v>
      </c>
      <c r="G1248" s="142"/>
      <c r="H1248" s="96" t="str">
        <f>HYPERLINK("http://mirror.ff7data.com.ar/ff7/data/minigame/condor.lgp/hx.rsd.png","View Picture")</f>
        <v>View Picture</v>
      </c>
      <c r="K1248" s="43"/>
    </row>
    <row r="1249">
      <c r="A1249" s="40"/>
      <c r="B1249" s="33" t="s">
        <v>5558</v>
      </c>
      <c r="C1249" s="42">
        <v>4196.0</v>
      </c>
      <c r="D1249" s="33" t="s">
        <v>12374</v>
      </c>
      <c r="E1249" s="74"/>
      <c r="F1249" s="46" t="s">
        <v>2775</v>
      </c>
      <c r="G1249" s="142"/>
      <c r="H1249" s="96" t="str">
        <f>HYPERLINK("http://mirror.ff7data.com.ar/ff7/data/minigame/condor.lgp/hy.p.png","View Picture")</f>
        <v>View Picture</v>
      </c>
      <c r="K1249" s="43"/>
    </row>
    <row r="1250">
      <c r="A1250" s="40"/>
      <c r="B1250" s="33" t="s">
        <v>5570</v>
      </c>
      <c r="C1250" s="42">
        <v>56.0</v>
      </c>
      <c r="D1250" s="33" t="s">
        <v>12374</v>
      </c>
      <c r="E1250" s="74"/>
      <c r="F1250" s="46" t="s">
        <v>2793</v>
      </c>
      <c r="G1250" s="142"/>
      <c r="H1250" s="96" t="str">
        <f>HYPERLINK("http://mirror.ff7data.com.ar/ff7/data/minigame/condor.lgp/hy.rsd.png","View Picture")</f>
        <v>View Picture</v>
      </c>
      <c r="K1250" s="43"/>
    </row>
    <row r="1251">
      <c r="A1251" s="40"/>
      <c r="B1251" s="33" t="s">
        <v>5583</v>
      </c>
      <c r="C1251" s="42">
        <v>4196.0</v>
      </c>
      <c r="D1251" s="33" t="s">
        <v>12391</v>
      </c>
      <c r="E1251" s="74"/>
      <c r="F1251" s="46" t="s">
        <v>2775</v>
      </c>
      <c r="G1251" s="142"/>
      <c r="H1251" s="96" t="str">
        <f>HYPERLINK("http://mirror.ff7data.com.ar/ff7/data/minigame/condor.lgp/hz.p.png","View Picture")</f>
        <v>View Picture</v>
      </c>
      <c r="K1251" s="43"/>
    </row>
    <row r="1252">
      <c r="A1252" s="40"/>
      <c r="B1252" s="33" t="s">
        <v>5595</v>
      </c>
      <c r="C1252" s="42">
        <v>56.0</v>
      </c>
      <c r="D1252" s="33" t="s">
        <v>12391</v>
      </c>
      <c r="E1252" s="74"/>
      <c r="F1252" s="46" t="s">
        <v>2793</v>
      </c>
      <c r="G1252" s="142"/>
      <c r="H1252" s="96" t="str">
        <f>HYPERLINK("http://mirror.ff7data.com.ar/ff7/data/minigame/condor.lgp/hz.rsd.png","View Picture")</f>
        <v>View Picture</v>
      </c>
      <c r="K1252" s="43"/>
    </row>
    <row r="1253">
      <c r="A1253" s="40"/>
      <c r="B1253" s="33" t="s">
        <v>12410</v>
      </c>
      <c r="C1253" s="42">
        <v>4196.0</v>
      </c>
      <c r="D1253" s="33" t="s">
        <v>12412</v>
      </c>
      <c r="E1253" s="74"/>
      <c r="F1253" s="46" t="s">
        <v>2775</v>
      </c>
      <c r="G1253" s="142"/>
      <c r="H1253" s="96" t="str">
        <f>HYPERLINK("http://mirror.ff7data.com.ar/ff7/data/minigame/condor.lgp/ia.p.png","View Picture")</f>
        <v>View Picture</v>
      </c>
      <c r="K1253" s="43"/>
    </row>
    <row r="1254">
      <c r="A1254" s="40"/>
      <c r="B1254" s="33" t="s">
        <v>12421</v>
      </c>
      <c r="C1254" s="42">
        <v>56.0</v>
      </c>
      <c r="D1254" s="33" t="s">
        <v>12412</v>
      </c>
      <c r="E1254" s="74"/>
      <c r="F1254" s="46" t="s">
        <v>2793</v>
      </c>
      <c r="G1254" s="142"/>
      <c r="H1254" s="96" t="str">
        <f>HYPERLINK("http://mirror.ff7data.com.ar/ff7/data/minigame/condor.lgp/ia.rsd.png","View Picture")</f>
        <v>View Picture</v>
      </c>
      <c r="K1254" s="43"/>
    </row>
    <row r="1255">
      <c r="A1255" s="40"/>
      <c r="B1255" s="33" t="s">
        <v>12432</v>
      </c>
      <c r="C1255" s="42">
        <v>4196.0</v>
      </c>
      <c r="D1255" s="33" t="s">
        <v>12442</v>
      </c>
      <c r="E1255" s="74"/>
      <c r="F1255" s="46" t="s">
        <v>2775</v>
      </c>
      <c r="G1255" s="142"/>
      <c r="H1255" s="96" t="str">
        <f>HYPERLINK("http://mirror.ff7data.com.ar/ff7/data/minigame/condor.lgp/ib.p.png","View Picture")</f>
        <v>View Picture</v>
      </c>
      <c r="K1255" s="43"/>
    </row>
    <row r="1256">
      <c r="A1256" s="40"/>
      <c r="B1256" s="33" t="s">
        <v>12453</v>
      </c>
      <c r="C1256" s="42">
        <v>56.0</v>
      </c>
      <c r="D1256" s="33" t="s">
        <v>12442</v>
      </c>
      <c r="E1256" s="74"/>
      <c r="F1256" s="46" t="s">
        <v>2793</v>
      </c>
      <c r="G1256" s="142"/>
      <c r="H1256" s="96" t="str">
        <f>HYPERLINK("http://mirror.ff7data.com.ar/ff7/data/minigame/condor.lgp/ib.rsd.png","View Picture")</f>
        <v>View Picture</v>
      </c>
      <c r="K1256" s="43"/>
    </row>
    <row r="1257">
      <c r="A1257" s="40"/>
      <c r="B1257" s="33" t="s">
        <v>5621</v>
      </c>
      <c r="C1257" s="42">
        <v>4196.0</v>
      </c>
      <c r="D1257" s="33" t="s">
        <v>12464</v>
      </c>
      <c r="E1257" s="74"/>
      <c r="F1257" s="46" t="s">
        <v>2775</v>
      </c>
      <c r="G1257" s="142"/>
      <c r="H1257" s="96" t="str">
        <f>HYPERLINK("http://mirror.ff7data.com.ar/ff7/data/minigame/condor.lgp/ic.p.png","View Picture")</f>
        <v>View Picture</v>
      </c>
      <c r="K1257" s="43"/>
    </row>
    <row r="1258">
      <c r="A1258" s="40"/>
      <c r="B1258" s="33" t="s">
        <v>5633</v>
      </c>
      <c r="C1258" s="42">
        <v>56.0</v>
      </c>
      <c r="D1258" s="33" t="s">
        <v>12464</v>
      </c>
      <c r="E1258" s="74"/>
      <c r="F1258" s="46" t="s">
        <v>2793</v>
      </c>
      <c r="G1258" s="142"/>
      <c r="H1258" s="96" t="str">
        <f>HYPERLINK("http://mirror.ff7data.com.ar/ff7/data/minigame/condor.lgp/ic.rsd.png","View Picture")</f>
        <v>View Picture</v>
      </c>
      <c r="K1258" s="43"/>
    </row>
    <row r="1259">
      <c r="A1259" s="21"/>
      <c r="B1259" s="33" t="s">
        <v>12483</v>
      </c>
      <c r="C1259" s="42">
        <v>10672.0</v>
      </c>
      <c r="D1259" s="31"/>
      <c r="E1259" s="74"/>
      <c r="F1259" s="46" t="s">
        <v>8439</v>
      </c>
      <c r="G1259" s="142"/>
      <c r="H1259" s="114"/>
      <c r="K1259" s="43"/>
    </row>
    <row r="1260">
      <c r="A1260" s="40"/>
      <c r="B1260" s="33" t="s">
        <v>5643</v>
      </c>
      <c r="C1260" s="42">
        <v>4196.0</v>
      </c>
      <c r="D1260" s="33" t="s">
        <v>12487</v>
      </c>
      <c r="E1260" s="74"/>
      <c r="F1260" s="46" t="s">
        <v>2775</v>
      </c>
      <c r="G1260" s="142"/>
      <c r="H1260" s="96" t="str">
        <f>HYPERLINK("http://mirror.ff7data.com.ar/ff7/data/minigame/condor.lgp/id.p.png","View Picture")</f>
        <v>View Picture</v>
      </c>
      <c r="K1260" s="43"/>
    </row>
    <row r="1261">
      <c r="A1261" s="40"/>
      <c r="B1261" s="33" t="s">
        <v>5654</v>
      </c>
      <c r="C1261" s="42">
        <v>56.0</v>
      </c>
      <c r="D1261" s="33" t="s">
        <v>12487</v>
      </c>
      <c r="E1261" s="74"/>
      <c r="F1261" s="46" t="s">
        <v>2793</v>
      </c>
      <c r="G1261" s="142"/>
      <c r="H1261" s="96" t="str">
        <f>HYPERLINK("http://mirror.ff7data.com.ar/ff7/data/minigame/condor.lgp/id.rsd.png","View Picture")</f>
        <v>View Picture</v>
      </c>
      <c r="K1261" s="43"/>
    </row>
    <row r="1262">
      <c r="A1262" s="40"/>
      <c r="B1262" s="33" t="s">
        <v>12507</v>
      </c>
      <c r="C1262" s="42">
        <v>4196.0</v>
      </c>
      <c r="D1262" s="33" t="s">
        <v>12509</v>
      </c>
      <c r="E1262" s="74"/>
      <c r="F1262" s="46" t="s">
        <v>2775</v>
      </c>
      <c r="G1262" s="142"/>
      <c r="H1262" s="96" t="str">
        <f>HYPERLINK("http://mirror.ff7data.com.ar/ff7/data/minigame/condor.lgp/ie.p.png","View Picture")</f>
        <v>View Picture</v>
      </c>
      <c r="K1262" s="43"/>
    </row>
    <row r="1263">
      <c r="A1263" s="40"/>
      <c r="B1263" s="33" t="s">
        <v>12517</v>
      </c>
      <c r="C1263" s="42">
        <v>56.0</v>
      </c>
      <c r="D1263" s="33" t="s">
        <v>12509</v>
      </c>
      <c r="E1263" s="74"/>
      <c r="F1263" s="46" t="s">
        <v>2793</v>
      </c>
      <c r="G1263" s="142"/>
      <c r="H1263" s="96" t="str">
        <f>HYPERLINK("http://mirror.ff7data.com.ar/ff7/data/minigame/condor.lgp/ie.rsd.png","View Picture")</f>
        <v>View Picture</v>
      </c>
      <c r="K1263" s="43"/>
    </row>
    <row r="1264">
      <c r="A1264" s="40"/>
      <c r="B1264" s="33" t="s">
        <v>12527</v>
      </c>
      <c r="C1264" s="42">
        <v>4196.0</v>
      </c>
      <c r="D1264" s="33" t="s">
        <v>12529</v>
      </c>
      <c r="E1264" s="74"/>
      <c r="F1264" s="46" t="s">
        <v>2775</v>
      </c>
      <c r="G1264" s="142"/>
      <c r="H1264" s="96" t="str">
        <f>HYPERLINK("http://mirror.ff7data.com.ar/ff7/data/minigame/condor.lgp/if.p.png","View Picture")</f>
        <v>View Picture</v>
      </c>
      <c r="K1264" s="43"/>
    </row>
    <row r="1265">
      <c r="A1265" s="40"/>
      <c r="B1265" s="33" t="s">
        <v>12539</v>
      </c>
      <c r="C1265" s="42">
        <v>56.0</v>
      </c>
      <c r="D1265" s="33" t="s">
        <v>12529</v>
      </c>
      <c r="E1265" s="74"/>
      <c r="F1265" s="46" t="s">
        <v>2793</v>
      </c>
      <c r="G1265" s="142"/>
      <c r="H1265" s="96" t="str">
        <f>HYPERLINK("http://mirror.ff7data.com.ar/ff7/data/minigame/condor.lgp/if.rsd.png","View Picture")</f>
        <v>View Picture</v>
      </c>
      <c r="K1265" s="43"/>
    </row>
    <row r="1266">
      <c r="A1266" s="40"/>
      <c r="B1266" s="33" t="s">
        <v>5684</v>
      </c>
      <c r="C1266" s="42">
        <v>4196.0</v>
      </c>
      <c r="D1266" s="33" t="s">
        <v>12546</v>
      </c>
      <c r="E1266" s="74"/>
      <c r="F1266" s="46" t="s">
        <v>2775</v>
      </c>
      <c r="G1266" s="142"/>
      <c r="H1266" s="96" t="str">
        <f>HYPERLINK("http://mirror.ff7data.com.ar/ff7/data/minigame/condor.lgp/ig.p.png","View Picture")</f>
        <v>View Picture</v>
      </c>
      <c r="K1266" s="43"/>
    </row>
    <row r="1267">
      <c r="A1267" s="40"/>
      <c r="B1267" s="33" t="s">
        <v>5695</v>
      </c>
      <c r="C1267" s="42">
        <v>56.0</v>
      </c>
      <c r="D1267" s="33" t="s">
        <v>12546</v>
      </c>
      <c r="E1267" s="74"/>
      <c r="F1267" s="46" t="s">
        <v>2793</v>
      </c>
      <c r="G1267" s="142"/>
      <c r="H1267" s="96" t="str">
        <f>HYPERLINK("http://mirror.ff7data.com.ar/ff7/data/minigame/condor.lgp/ig.rsd.png","View Picture")</f>
        <v>View Picture</v>
      </c>
      <c r="K1267" s="43"/>
    </row>
    <row r="1268">
      <c r="A1268" s="40"/>
      <c r="B1268" s="33" t="s">
        <v>5706</v>
      </c>
      <c r="C1268" s="42">
        <v>4196.0</v>
      </c>
      <c r="D1268" s="33" t="s">
        <v>12564</v>
      </c>
      <c r="E1268" s="74"/>
      <c r="F1268" s="46" t="s">
        <v>2775</v>
      </c>
      <c r="G1268" s="142"/>
      <c r="H1268" s="96" t="str">
        <f>HYPERLINK("http://mirror.ff7data.com.ar/ff7/data/minigame/condor.lgp/ih.p.png","View Picture")</f>
        <v>View Picture</v>
      </c>
      <c r="K1268" s="43"/>
    </row>
    <row r="1269">
      <c r="A1269" s="40"/>
      <c r="B1269" s="33" t="s">
        <v>5716</v>
      </c>
      <c r="C1269" s="42">
        <v>56.0</v>
      </c>
      <c r="D1269" s="33" t="s">
        <v>12564</v>
      </c>
      <c r="E1269" s="74"/>
      <c r="F1269" s="46" t="s">
        <v>2793</v>
      </c>
      <c r="G1269" s="142"/>
      <c r="H1269" s="96" t="str">
        <f>HYPERLINK("http://mirror.ff7data.com.ar/ff7/data/minigame/condor.lgp/ih.rsd.png","View Picture")</f>
        <v>View Picture</v>
      </c>
      <c r="K1269" s="43"/>
    </row>
    <row r="1270">
      <c r="A1270" s="40"/>
      <c r="B1270" s="33" t="s">
        <v>5727</v>
      </c>
      <c r="C1270" s="42">
        <v>4196.0</v>
      </c>
      <c r="D1270" s="33" t="s">
        <v>12588</v>
      </c>
      <c r="E1270" s="74"/>
      <c r="F1270" s="46" t="s">
        <v>2775</v>
      </c>
      <c r="G1270" s="142"/>
      <c r="H1270" s="96" t="str">
        <f>HYPERLINK("http://mirror.ff7data.com.ar/ff7/data/minigame/condor.lgp/ii.p.png","View Picture")</f>
        <v>View Picture</v>
      </c>
      <c r="K1270" s="43"/>
    </row>
    <row r="1271">
      <c r="A1271" s="40"/>
      <c r="B1271" s="33" t="s">
        <v>5738</v>
      </c>
      <c r="C1271" s="42">
        <v>56.0</v>
      </c>
      <c r="D1271" s="33" t="s">
        <v>12588</v>
      </c>
      <c r="E1271" s="74"/>
      <c r="F1271" s="46" t="s">
        <v>2793</v>
      </c>
      <c r="G1271" s="142"/>
      <c r="H1271" s="96" t="str">
        <f>HYPERLINK("http://mirror.ff7data.com.ar/ff7/data/minigame/condor.lgp/ii.rsd.png","View Picture")</f>
        <v>View Picture</v>
      </c>
      <c r="K1271" s="43"/>
    </row>
    <row r="1272">
      <c r="A1272" s="21"/>
      <c r="B1272" s="33" t="s">
        <v>5749</v>
      </c>
      <c r="C1272" s="42">
        <v>976.0</v>
      </c>
      <c r="D1272" s="141" t="s">
        <v>12615</v>
      </c>
      <c r="E1272" s="74"/>
      <c r="F1272" s="46" t="s">
        <v>2775</v>
      </c>
      <c r="G1272" s="142"/>
      <c r="H1272" s="96" t="str">
        <f>HYPERLINK("http://mirror.ff7data.com.ar/ff7/data/minigame/condor.lgp/ij.p.png","View Picture")</f>
        <v>View Picture</v>
      </c>
      <c r="K1272" s="43"/>
    </row>
    <row r="1273">
      <c r="A1273" s="21"/>
      <c r="B1273" s="33" t="s">
        <v>5760</v>
      </c>
      <c r="C1273" s="42">
        <v>56.0</v>
      </c>
      <c r="D1273" s="141" t="s">
        <v>12615</v>
      </c>
      <c r="E1273" s="74"/>
      <c r="F1273" s="46" t="s">
        <v>2793</v>
      </c>
      <c r="G1273" s="142"/>
      <c r="H1273" s="96" t="str">
        <f>HYPERLINK("http://mirror.ff7data.com.ar/ff7/data/minigame/condor.lgp/ij.rsd.png","View Picture")</f>
        <v>View Picture</v>
      </c>
      <c r="K1273" s="43"/>
    </row>
    <row r="1274">
      <c r="A1274" s="21"/>
      <c r="B1274" s="33" t="s">
        <v>12642</v>
      </c>
      <c r="C1274" s="42">
        <v>976.0</v>
      </c>
      <c r="D1274" s="141" t="s">
        <v>12615</v>
      </c>
      <c r="E1274" s="74"/>
      <c r="F1274" s="46" t="s">
        <v>2775</v>
      </c>
      <c r="G1274" s="142"/>
      <c r="H1274" s="96" t="str">
        <f>HYPERLINK("http://mirror.ff7data.com.ar/ff7/data/minigame/condor.lgp/ik.p.png","View Picture")</f>
        <v>View Picture</v>
      </c>
      <c r="K1274" s="43"/>
    </row>
    <row r="1275">
      <c r="A1275" s="21"/>
      <c r="B1275" s="33" t="s">
        <v>12652</v>
      </c>
      <c r="C1275" s="42">
        <v>56.0</v>
      </c>
      <c r="D1275" s="141" t="s">
        <v>12615</v>
      </c>
      <c r="E1275" s="74"/>
      <c r="F1275" s="46" t="s">
        <v>2793</v>
      </c>
      <c r="G1275" s="142"/>
      <c r="H1275" s="96" t="str">
        <f>HYPERLINK("http://mirror.ff7data.com.ar/ff7/data/minigame/condor.lgp/ik.rsd.png","View Picture")</f>
        <v>View Picture</v>
      </c>
      <c r="K1275" s="43"/>
    </row>
    <row r="1276">
      <c r="A1276" s="40"/>
      <c r="B1276" s="33" t="s">
        <v>12664</v>
      </c>
      <c r="C1276" s="42">
        <v>4892.0</v>
      </c>
      <c r="D1276" s="33" t="s">
        <v>12666</v>
      </c>
      <c r="E1276" s="74"/>
      <c r="F1276" s="46" t="s">
        <v>2775</v>
      </c>
      <c r="G1276" s="142"/>
      <c r="H1276" s="96" t="str">
        <f>HYPERLINK("http://mirror.ff7data.com.ar/ff7/data/minigame/condor.lgp/il.p.png","View Picture")</f>
        <v>View Picture</v>
      </c>
      <c r="K1276" s="43"/>
    </row>
    <row r="1277">
      <c r="A1277" s="40"/>
      <c r="B1277" s="33" t="s">
        <v>12673</v>
      </c>
      <c r="C1277" s="42">
        <v>56.0</v>
      </c>
      <c r="D1277" s="33" t="s">
        <v>12666</v>
      </c>
      <c r="E1277" s="74"/>
      <c r="F1277" s="46" t="s">
        <v>2793</v>
      </c>
      <c r="G1277" s="142"/>
      <c r="H1277" s="96" t="str">
        <f>HYPERLINK("http://mirror.ff7data.com.ar/ff7/data/minigame/condor.lgp/il.rsd.png","View Picture")</f>
        <v>View Picture</v>
      </c>
      <c r="K1277" s="43"/>
    </row>
    <row r="1278">
      <c r="A1278" s="40"/>
      <c r="B1278" s="33" t="s">
        <v>5790</v>
      </c>
      <c r="C1278" s="42">
        <v>4892.0</v>
      </c>
      <c r="D1278" s="33" t="s">
        <v>12680</v>
      </c>
      <c r="E1278" s="74"/>
      <c r="F1278" s="46" t="s">
        <v>2775</v>
      </c>
      <c r="G1278" s="142"/>
      <c r="H1278" s="96" t="str">
        <f>HYPERLINK("http://mirror.ff7data.com.ar/ff7/data/minigame/condor.lgp/im.p.png","View Picture")</f>
        <v>View Picture</v>
      </c>
      <c r="K1278" s="43"/>
    </row>
    <row r="1279">
      <c r="A1279" s="40"/>
      <c r="B1279" s="33" t="s">
        <v>5801</v>
      </c>
      <c r="C1279" s="42">
        <v>56.0</v>
      </c>
      <c r="D1279" s="33" t="s">
        <v>12680</v>
      </c>
      <c r="E1279" s="74"/>
      <c r="F1279" s="46" t="s">
        <v>2793</v>
      </c>
      <c r="G1279" s="142"/>
      <c r="H1279" s="96" t="str">
        <f>HYPERLINK("http://mirror.ff7data.com.ar/ff7/data/minigame/condor.lgp/im.rsd.png","View Picture")</f>
        <v>View Picture</v>
      </c>
      <c r="K1279" s="43"/>
    </row>
    <row r="1280">
      <c r="A1280" s="40"/>
      <c r="B1280" s="33" t="s">
        <v>5810</v>
      </c>
      <c r="C1280" s="42">
        <v>4892.0</v>
      </c>
      <c r="D1280" s="33" t="s">
        <v>12689</v>
      </c>
      <c r="E1280" s="74"/>
      <c r="F1280" s="46" t="s">
        <v>2775</v>
      </c>
      <c r="G1280" s="142"/>
      <c r="H1280" s="96" t="str">
        <f>HYPERLINK("http://mirror.ff7data.com.ar/ff7/data/minigame/condor.lgp/in.p.png","View Picture")</f>
        <v>View Picture</v>
      </c>
      <c r="K1280" s="43"/>
    </row>
    <row r="1281">
      <c r="A1281" s="40"/>
      <c r="B1281" s="33" t="s">
        <v>5822</v>
      </c>
      <c r="C1281" s="42">
        <v>56.0</v>
      </c>
      <c r="D1281" s="33" t="s">
        <v>12689</v>
      </c>
      <c r="E1281" s="74"/>
      <c r="F1281" s="46" t="s">
        <v>2793</v>
      </c>
      <c r="G1281" s="142"/>
      <c r="H1281" s="96" t="str">
        <f>HYPERLINK("http://mirror.ff7data.com.ar/ff7/data/minigame/condor.lgp/in.rsd.png","View Picture")</f>
        <v>View Picture</v>
      </c>
      <c r="K1281" s="43"/>
    </row>
    <row r="1282">
      <c r="A1282" s="40"/>
      <c r="B1282" s="33" t="s">
        <v>5832</v>
      </c>
      <c r="C1282" s="42">
        <v>4892.0</v>
      </c>
      <c r="D1282" s="33" t="s">
        <v>12703</v>
      </c>
      <c r="E1282" s="74"/>
      <c r="F1282" s="46" t="s">
        <v>2775</v>
      </c>
      <c r="G1282" s="142"/>
      <c r="H1282" s="96" t="str">
        <f>HYPERLINK("http://mirror.ff7data.com.ar/ff7/data/minigame/condor.lgp/io.p.png","View Picture")</f>
        <v>View Picture</v>
      </c>
      <c r="K1282" s="43"/>
    </row>
    <row r="1283">
      <c r="A1283" s="40"/>
      <c r="B1283" s="33" t="s">
        <v>5844</v>
      </c>
      <c r="C1283" s="42">
        <v>56.0</v>
      </c>
      <c r="D1283" s="33" t="s">
        <v>12703</v>
      </c>
      <c r="E1283" s="74"/>
      <c r="F1283" s="46" t="s">
        <v>2793</v>
      </c>
      <c r="G1283" s="142"/>
      <c r="H1283" s="96" t="str">
        <f>HYPERLINK("http://mirror.ff7data.com.ar/ff7/data/minigame/condor.lgp/io.rsd.png","View Picture")</f>
        <v>View Picture</v>
      </c>
      <c r="K1283" s="43"/>
    </row>
    <row r="1284">
      <c r="A1284" s="40"/>
      <c r="B1284" s="33" t="s">
        <v>12714</v>
      </c>
      <c r="C1284" s="42">
        <v>4892.0</v>
      </c>
      <c r="D1284" s="33" t="s">
        <v>12716</v>
      </c>
      <c r="E1284" s="74"/>
      <c r="F1284" s="46" t="s">
        <v>2775</v>
      </c>
      <c r="G1284" s="142"/>
      <c r="H1284" s="96" t="str">
        <f>HYPERLINK("http://mirror.ff7data.com.ar/ff7/data/minigame/condor.lgp/ip.p.png","View Picture")</f>
        <v>View Picture</v>
      </c>
      <c r="K1284" s="43"/>
    </row>
    <row r="1285">
      <c r="A1285" s="40"/>
      <c r="B1285" s="33" t="s">
        <v>12723</v>
      </c>
      <c r="C1285" s="42">
        <v>56.0</v>
      </c>
      <c r="D1285" s="33" t="s">
        <v>12716</v>
      </c>
      <c r="E1285" s="74"/>
      <c r="F1285" s="46" t="s">
        <v>2793</v>
      </c>
      <c r="G1285" s="142"/>
      <c r="H1285" s="96" t="str">
        <f>HYPERLINK("http://mirror.ff7data.com.ar/ff7/data/minigame/condor.lgp/ip.rsd.png","View Picture")</f>
        <v>View Picture</v>
      </c>
      <c r="K1285" s="43"/>
    </row>
    <row r="1286">
      <c r="A1286" s="40"/>
      <c r="B1286" s="33" t="s">
        <v>12730</v>
      </c>
      <c r="C1286" s="42">
        <v>4892.0</v>
      </c>
      <c r="D1286" s="33" t="s">
        <v>12731</v>
      </c>
      <c r="E1286" s="74"/>
      <c r="F1286" s="46" t="s">
        <v>2775</v>
      </c>
      <c r="G1286" s="142"/>
      <c r="H1286" s="96" t="str">
        <f>HYPERLINK("http://mirror.ff7data.com.ar/ff7/data/minigame/condor.lgp/iq.p.png","View Picture")</f>
        <v>View Picture</v>
      </c>
      <c r="K1286" s="43"/>
    </row>
    <row r="1287">
      <c r="A1287" s="40"/>
      <c r="B1287" s="33" t="s">
        <v>12738</v>
      </c>
      <c r="C1287" s="42">
        <v>56.0</v>
      </c>
      <c r="D1287" s="33" t="s">
        <v>12731</v>
      </c>
      <c r="E1287" s="74"/>
      <c r="F1287" s="46" t="s">
        <v>2793</v>
      </c>
      <c r="G1287" s="142"/>
      <c r="H1287" s="96" t="str">
        <f>HYPERLINK("http://mirror.ff7data.com.ar/ff7/data/minigame/condor.lgp/iq.rsd.png","View Picture")</f>
        <v>View Picture</v>
      </c>
      <c r="K1287" s="43"/>
    </row>
    <row r="1288">
      <c r="A1288" s="40"/>
      <c r="B1288" s="33" t="s">
        <v>5866</v>
      </c>
      <c r="C1288" s="42">
        <v>4892.0</v>
      </c>
      <c r="D1288" s="33" t="s">
        <v>12746</v>
      </c>
      <c r="E1288" s="74"/>
      <c r="F1288" s="46" t="s">
        <v>2775</v>
      </c>
      <c r="G1288" s="142"/>
      <c r="H1288" s="96" t="str">
        <f>HYPERLINK("http://mirror.ff7data.com.ar/ff7/data/minigame/condor.lgp/ir.p.png","View Picture")</f>
        <v>View Picture</v>
      </c>
      <c r="K1288" s="43"/>
    </row>
    <row r="1289">
      <c r="A1289" s="40"/>
      <c r="B1289" s="33" t="s">
        <v>5876</v>
      </c>
      <c r="C1289" s="42">
        <v>56.0</v>
      </c>
      <c r="D1289" s="33" t="s">
        <v>12746</v>
      </c>
      <c r="E1289" s="74"/>
      <c r="F1289" s="46" t="s">
        <v>2793</v>
      </c>
      <c r="G1289" s="142"/>
      <c r="H1289" s="96" t="str">
        <f>HYPERLINK("http://mirror.ff7data.com.ar/ff7/data/minigame/condor.lgp/ir.rsd.png","View Picture")</f>
        <v>View Picture</v>
      </c>
      <c r="K1289" s="43"/>
    </row>
    <row r="1290">
      <c r="A1290" s="40"/>
      <c r="B1290" s="33" t="s">
        <v>5887</v>
      </c>
      <c r="C1290" s="42">
        <v>4892.0</v>
      </c>
      <c r="D1290" s="33" t="s">
        <v>12764</v>
      </c>
      <c r="E1290" s="74"/>
      <c r="F1290" s="46" t="s">
        <v>2775</v>
      </c>
      <c r="G1290" s="142"/>
      <c r="H1290" s="96" t="str">
        <f>HYPERLINK("http://mirror.ff7data.com.ar/ff7/data/minigame/condor.lgp/is.p.png","View Picture")</f>
        <v>View Picture</v>
      </c>
      <c r="K1290" s="43"/>
    </row>
    <row r="1291">
      <c r="A1291" s="40"/>
      <c r="B1291" s="33" t="s">
        <v>5901</v>
      </c>
      <c r="C1291" s="42">
        <v>56.0</v>
      </c>
      <c r="D1291" s="33" t="s">
        <v>12764</v>
      </c>
      <c r="E1291" s="74"/>
      <c r="F1291" s="46" t="s">
        <v>2793</v>
      </c>
      <c r="G1291" s="142"/>
      <c r="H1291" s="96" t="str">
        <f>HYPERLINK("http://mirror.ff7data.com.ar/ff7/data/minigame/condor.lgp/is.rsd.png","View Picture")</f>
        <v>View Picture</v>
      </c>
      <c r="K1291" s="43"/>
    </row>
    <row r="1292">
      <c r="A1292" s="40"/>
      <c r="B1292" s="33" t="s">
        <v>5912</v>
      </c>
      <c r="C1292" s="42">
        <v>4892.0</v>
      </c>
      <c r="D1292" s="33" t="s">
        <v>12778</v>
      </c>
      <c r="E1292" s="74"/>
      <c r="F1292" s="46" t="s">
        <v>2775</v>
      </c>
      <c r="G1292" s="142"/>
      <c r="H1292" s="96" t="str">
        <f>HYPERLINK("http://mirror.ff7data.com.ar/ff7/data/minigame/condor.lgp/it.p.png","View Picture")</f>
        <v>View Picture</v>
      </c>
      <c r="K1292" s="43"/>
    </row>
    <row r="1293">
      <c r="A1293" s="40"/>
      <c r="B1293" s="33" t="s">
        <v>5922</v>
      </c>
      <c r="C1293" s="42">
        <v>56.0</v>
      </c>
      <c r="D1293" s="33" t="s">
        <v>12778</v>
      </c>
      <c r="E1293" s="74"/>
      <c r="F1293" s="46" t="s">
        <v>2793</v>
      </c>
      <c r="G1293" s="142"/>
      <c r="H1293" s="96" t="str">
        <f>HYPERLINK("http://mirror.ff7data.com.ar/ff7/data/minigame/condor.lgp/it.rsd.png","View Picture")</f>
        <v>View Picture</v>
      </c>
      <c r="K1293" s="43"/>
    </row>
    <row r="1294">
      <c r="A1294" s="40"/>
      <c r="B1294" s="33" t="s">
        <v>12792</v>
      </c>
      <c r="C1294" s="42">
        <v>4892.0</v>
      </c>
      <c r="D1294" s="33" t="s">
        <v>12793</v>
      </c>
      <c r="E1294" s="74"/>
      <c r="F1294" s="46" t="s">
        <v>2775</v>
      </c>
      <c r="G1294" s="142"/>
      <c r="H1294" s="96" t="str">
        <f>HYPERLINK("http://mirror.ff7data.com.ar/ff7/data/minigame/condor.lgp/iu.p.png","View Picture")</f>
        <v>View Picture</v>
      </c>
      <c r="K1294" s="43"/>
    </row>
    <row r="1295">
      <c r="A1295" s="40"/>
      <c r="B1295" s="33" t="s">
        <v>12801</v>
      </c>
      <c r="C1295" s="42">
        <v>56.0</v>
      </c>
      <c r="D1295" s="33" t="s">
        <v>12793</v>
      </c>
      <c r="E1295" s="74"/>
      <c r="F1295" s="46" t="s">
        <v>2793</v>
      </c>
      <c r="G1295" s="142"/>
      <c r="H1295" s="96" t="str">
        <f>HYPERLINK("http://mirror.ff7data.com.ar/ff7/data/minigame/condor.lgp/iu.rsd.png","View Picture")</f>
        <v>View Picture</v>
      </c>
      <c r="K1295" s="43"/>
    </row>
    <row r="1296">
      <c r="A1296" s="40"/>
      <c r="B1296" s="33" t="s">
        <v>12814</v>
      </c>
      <c r="C1296" s="42">
        <v>4892.0</v>
      </c>
      <c r="D1296" s="33" t="s">
        <v>12816</v>
      </c>
      <c r="E1296" s="74"/>
      <c r="F1296" s="46" t="s">
        <v>2775</v>
      </c>
      <c r="G1296" s="142"/>
      <c r="H1296" s="96" t="str">
        <f>HYPERLINK("http://mirror.ff7data.com.ar/ff7/data/minigame/condor.lgp/iv.p.png","View Picture")</f>
        <v>View Picture</v>
      </c>
      <c r="K1296" s="43"/>
    </row>
    <row r="1297">
      <c r="A1297" s="40"/>
      <c r="B1297" s="33" t="s">
        <v>12830</v>
      </c>
      <c r="C1297" s="42">
        <v>56.0</v>
      </c>
      <c r="D1297" s="33" t="s">
        <v>12816</v>
      </c>
      <c r="E1297" s="74"/>
      <c r="F1297" s="46" t="s">
        <v>2793</v>
      </c>
      <c r="G1297" s="142"/>
      <c r="H1297" s="96" t="str">
        <f>HYPERLINK("http://mirror.ff7data.com.ar/ff7/data/minigame/condor.lgp/iv.rsd.png","View Picture")</f>
        <v>View Picture</v>
      </c>
      <c r="K1297" s="43"/>
    </row>
    <row r="1298">
      <c r="A1298" s="40"/>
      <c r="B1298" s="33" t="s">
        <v>5948</v>
      </c>
      <c r="C1298" s="42">
        <v>4864.0</v>
      </c>
      <c r="D1298" s="33" t="s">
        <v>12850</v>
      </c>
      <c r="E1298" s="74"/>
      <c r="F1298" s="46" t="s">
        <v>2775</v>
      </c>
      <c r="G1298" s="142"/>
      <c r="H1298" s="96" t="str">
        <f>HYPERLINK("http://mirror.ff7data.com.ar/ff7/data/minigame/condor.lgp/iw.p.png","View Picture")</f>
        <v>View Picture</v>
      </c>
      <c r="K1298" s="43"/>
    </row>
    <row r="1299">
      <c r="A1299" s="40"/>
      <c r="B1299" s="33" t="s">
        <v>5956</v>
      </c>
      <c r="C1299" s="42">
        <v>56.0</v>
      </c>
      <c r="D1299" s="33" t="s">
        <v>12850</v>
      </c>
      <c r="E1299" s="74"/>
      <c r="F1299" s="46" t="s">
        <v>2793</v>
      </c>
      <c r="G1299" s="142"/>
      <c r="H1299" s="96" t="str">
        <f>HYPERLINK("http://mirror.ff7data.com.ar/ff7/data/minigame/condor.lgp/iw.rsd.png","View Picture")</f>
        <v>View Picture</v>
      </c>
      <c r="K1299" s="43"/>
    </row>
    <row r="1300">
      <c r="A1300" s="40"/>
      <c r="B1300" s="33" t="s">
        <v>12865</v>
      </c>
      <c r="C1300" s="42">
        <v>4892.0</v>
      </c>
      <c r="D1300" s="33" t="s">
        <v>12867</v>
      </c>
      <c r="E1300" s="74"/>
      <c r="F1300" s="46" t="s">
        <v>2775</v>
      </c>
      <c r="G1300" s="142"/>
      <c r="H1300" s="96" t="str">
        <f>HYPERLINK("http://mirror.ff7data.com.ar/ff7/data/minigame/condor.lgp/ix.p.png","View Picture")</f>
        <v>View Picture</v>
      </c>
      <c r="K1300" s="43"/>
    </row>
    <row r="1301">
      <c r="A1301" s="40"/>
      <c r="B1301" s="33" t="s">
        <v>12874</v>
      </c>
      <c r="C1301" s="42">
        <v>56.0</v>
      </c>
      <c r="D1301" s="33" t="s">
        <v>12867</v>
      </c>
      <c r="E1301" s="74"/>
      <c r="F1301" s="46" t="s">
        <v>2793</v>
      </c>
      <c r="G1301" s="142"/>
      <c r="H1301" s="96" t="str">
        <f>HYPERLINK("http://mirror.ff7data.com.ar/ff7/data/minigame/condor.lgp/ix.rsd.png","View Picture")</f>
        <v>View Picture</v>
      </c>
      <c r="K1301" s="43"/>
    </row>
    <row r="1302">
      <c r="A1302" s="40"/>
      <c r="B1302" s="33" t="s">
        <v>12882</v>
      </c>
      <c r="C1302" s="42">
        <v>4892.0</v>
      </c>
      <c r="D1302" s="33" t="s">
        <v>12884</v>
      </c>
      <c r="E1302" s="74"/>
      <c r="F1302" s="46" t="s">
        <v>2775</v>
      </c>
      <c r="G1302" s="142"/>
      <c r="H1302" s="96" t="str">
        <f>HYPERLINK("http://mirror.ff7data.com.ar/ff7/data/minigame/condor.lgp/iy.p.png","View Picture")</f>
        <v>View Picture</v>
      </c>
      <c r="K1302" s="43"/>
    </row>
    <row r="1303">
      <c r="A1303" s="40"/>
      <c r="B1303" s="33" t="s">
        <v>12893</v>
      </c>
      <c r="C1303" s="42">
        <v>56.0</v>
      </c>
      <c r="D1303" s="33" t="s">
        <v>12884</v>
      </c>
      <c r="E1303" s="74"/>
      <c r="F1303" s="46" t="s">
        <v>2793</v>
      </c>
      <c r="G1303" s="142"/>
      <c r="H1303" s="96" t="str">
        <f>HYPERLINK("http://mirror.ff7data.com.ar/ff7/data/minigame/condor.lgp/iy.rsd.png","View Picture")</f>
        <v>View Picture</v>
      </c>
      <c r="K1303" s="43"/>
    </row>
    <row r="1304">
      <c r="A1304" s="40"/>
      <c r="B1304" s="33" t="s">
        <v>5981</v>
      </c>
      <c r="C1304" s="42">
        <v>4892.0</v>
      </c>
      <c r="D1304" s="33" t="s">
        <v>12904</v>
      </c>
      <c r="E1304" s="74"/>
      <c r="F1304" s="46" t="s">
        <v>2775</v>
      </c>
      <c r="G1304" s="142"/>
      <c r="H1304" s="96" t="str">
        <f>HYPERLINK("http://mirror.ff7data.com.ar/ff7/data/minigame/condor.lgp/iz.p.png","View Picture")</f>
        <v>View Picture</v>
      </c>
      <c r="K1304" s="43"/>
    </row>
    <row r="1305">
      <c r="A1305" s="40"/>
      <c r="B1305" s="33" t="s">
        <v>5988</v>
      </c>
      <c r="C1305" s="42">
        <v>56.0</v>
      </c>
      <c r="D1305" s="33" t="s">
        <v>12904</v>
      </c>
      <c r="E1305" s="74"/>
      <c r="F1305" s="46" t="s">
        <v>2793</v>
      </c>
      <c r="G1305" s="142"/>
      <c r="H1305" s="96" t="str">
        <f>HYPERLINK("http://mirror.ff7data.com.ar/ff7/data/minigame/condor.lgp/iz.rsd.png","View Picture")</f>
        <v>View Picture</v>
      </c>
      <c r="K1305" s="43"/>
    </row>
    <row r="1306">
      <c r="A1306" s="40"/>
      <c r="B1306" s="33" t="s">
        <v>12923</v>
      </c>
      <c r="C1306" s="42">
        <v>4892.0</v>
      </c>
      <c r="D1306" s="33" t="s">
        <v>12924</v>
      </c>
      <c r="E1306" s="74"/>
      <c r="F1306" s="46" t="s">
        <v>2775</v>
      </c>
      <c r="G1306" s="142"/>
      <c r="H1306" s="96" t="str">
        <f>HYPERLINK("http://mirror.ff7data.com.ar/ff7/data/minigame/condor.lgp/ja.p.png","View Picture")</f>
        <v>View Picture</v>
      </c>
      <c r="K1306" s="43"/>
    </row>
    <row r="1307">
      <c r="A1307" s="40"/>
      <c r="B1307" s="33" t="s">
        <v>12932</v>
      </c>
      <c r="C1307" s="42">
        <v>56.0</v>
      </c>
      <c r="D1307" s="33" t="s">
        <v>12924</v>
      </c>
      <c r="E1307" s="74"/>
      <c r="F1307" s="46" t="s">
        <v>2793</v>
      </c>
      <c r="G1307" s="142"/>
      <c r="H1307" s="96" t="str">
        <f>HYPERLINK("http://mirror.ff7data.com.ar/ff7/data/minigame/condor.lgp/ja.rsd.png","View Picture")</f>
        <v>View Picture</v>
      </c>
      <c r="K1307" s="43"/>
    </row>
    <row r="1308">
      <c r="A1308" s="40"/>
      <c r="B1308" s="33" t="s">
        <v>12945</v>
      </c>
      <c r="C1308" s="42">
        <v>4856.0</v>
      </c>
      <c r="D1308" s="33" t="s">
        <v>12946</v>
      </c>
      <c r="E1308" s="74"/>
      <c r="F1308" s="46" t="s">
        <v>2775</v>
      </c>
      <c r="G1308" s="142"/>
      <c r="H1308" s="96" t="str">
        <f>HYPERLINK("http://mirror.ff7data.com.ar/ff7/data/minigame/condor.lgp/jb.p.png","View Picture")</f>
        <v>View Picture</v>
      </c>
      <c r="K1308" s="43"/>
    </row>
    <row r="1309">
      <c r="A1309" s="40"/>
      <c r="B1309" s="33" t="s">
        <v>12957</v>
      </c>
      <c r="C1309" s="42">
        <v>93.0</v>
      </c>
      <c r="D1309" s="33" t="s">
        <v>12946</v>
      </c>
      <c r="E1309" s="74"/>
      <c r="F1309" s="46" t="s">
        <v>2793</v>
      </c>
      <c r="G1309" s="142"/>
      <c r="H1309" s="96" t="str">
        <f>HYPERLINK("http://mirror.ff7data.com.ar/ff7/data/minigame/condor.lgp/jb.rsd.png","View Picture")</f>
        <v>View Picture</v>
      </c>
      <c r="K1309" s="43"/>
    </row>
    <row r="1310">
      <c r="A1310" s="40"/>
      <c r="B1310" s="33" t="s">
        <v>6031</v>
      </c>
      <c r="C1310" s="42">
        <v>4956.0</v>
      </c>
      <c r="D1310" s="33" t="s">
        <v>12969</v>
      </c>
      <c r="E1310" s="74"/>
      <c r="F1310" s="46" t="s">
        <v>2775</v>
      </c>
      <c r="G1310" s="142"/>
      <c r="H1310" s="96" t="str">
        <f>HYPERLINK("http://mirror.ff7data.com.ar/ff7/data/minigame/condor.lgp/jc.p.png","View Picture")</f>
        <v>View Picture</v>
      </c>
      <c r="K1310" s="43"/>
    </row>
    <row r="1311">
      <c r="A1311" s="40"/>
      <c r="B1311" s="33" t="s">
        <v>6038</v>
      </c>
      <c r="C1311" s="42">
        <v>56.0</v>
      </c>
      <c r="D1311" s="33" t="s">
        <v>12969</v>
      </c>
      <c r="E1311" s="74"/>
      <c r="F1311" s="46" t="s">
        <v>2793</v>
      </c>
      <c r="G1311" s="142"/>
      <c r="H1311" s="96" t="str">
        <f>HYPERLINK("http://mirror.ff7data.com.ar/ff7/data/minigame/condor.lgp/jc.rsd.png","View Picture")</f>
        <v>View Picture</v>
      </c>
      <c r="K1311" s="43"/>
    </row>
    <row r="1312">
      <c r="A1312" s="40"/>
      <c r="B1312" s="33" t="s">
        <v>6047</v>
      </c>
      <c r="C1312" s="42">
        <v>4900.0</v>
      </c>
      <c r="D1312" s="33" t="s">
        <v>12983</v>
      </c>
      <c r="E1312" s="74"/>
      <c r="F1312" s="46" t="s">
        <v>2775</v>
      </c>
      <c r="G1312" s="142"/>
      <c r="H1312" s="96" t="str">
        <f>HYPERLINK("http://mirror.ff7data.com.ar/ff7/data/minigame/condor.lgp/jd.p.png","View Picture")</f>
        <v>View Picture</v>
      </c>
      <c r="K1312" s="43"/>
    </row>
    <row r="1313">
      <c r="A1313" s="40"/>
      <c r="B1313" s="33" t="s">
        <v>6055</v>
      </c>
      <c r="C1313" s="42">
        <v>56.0</v>
      </c>
      <c r="D1313" s="33" t="s">
        <v>12983</v>
      </c>
      <c r="E1313" s="74"/>
      <c r="F1313" s="46" t="s">
        <v>2793</v>
      </c>
      <c r="G1313" s="142"/>
      <c r="H1313" s="96" t="str">
        <f>HYPERLINK("http://mirror.ff7data.com.ar/ff7/data/minigame/condor.lgp/jd.rsd.png","View Picture")</f>
        <v>View Picture</v>
      </c>
      <c r="K1313" s="43"/>
    </row>
    <row r="1314">
      <c r="A1314" s="40"/>
      <c r="B1314" s="33" t="s">
        <v>12995</v>
      </c>
      <c r="C1314" s="42">
        <v>4956.0</v>
      </c>
      <c r="D1314" s="33" t="s">
        <v>12998</v>
      </c>
      <c r="E1314" s="74"/>
      <c r="F1314" s="46" t="s">
        <v>2775</v>
      </c>
      <c r="G1314" s="142"/>
      <c r="H1314" s="96" t="str">
        <f>HYPERLINK("http://mirror.ff7data.com.ar/ff7/data/minigame/condor.lgp/je.p.png","View Picture")</f>
        <v>View Picture</v>
      </c>
      <c r="K1314" s="43"/>
    </row>
    <row r="1315">
      <c r="A1315" s="40"/>
      <c r="B1315" s="33" t="s">
        <v>13005</v>
      </c>
      <c r="C1315" s="42">
        <v>56.0</v>
      </c>
      <c r="D1315" s="33" t="s">
        <v>12998</v>
      </c>
      <c r="E1315" s="74"/>
      <c r="F1315" s="46" t="s">
        <v>2793</v>
      </c>
      <c r="G1315" s="142"/>
      <c r="H1315" s="96" t="str">
        <f>HYPERLINK("http://mirror.ff7data.com.ar/ff7/data/minigame/condor.lgp/je.rsd.png","View Picture")</f>
        <v>View Picture</v>
      </c>
      <c r="K1315" s="43"/>
    </row>
    <row r="1316">
      <c r="A1316" s="40"/>
      <c r="B1316" s="33" t="s">
        <v>13014</v>
      </c>
      <c r="C1316" s="42">
        <v>4956.0</v>
      </c>
      <c r="D1316" s="33" t="s">
        <v>13016</v>
      </c>
      <c r="E1316" s="74"/>
      <c r="F1316" s="46" t="s">
        <v>2775</v>
      </c>
      <c r="G1316" s="142"/>
      <c r="H1316" s="96" t="str">
        <f>HYPERLINK("http://mirror.ff7data.com.ar/ff7/data/minigame/condor.lgp/jf.p.png","View Picture")</f>
        <v>View Picture</v>
      </c>
      <c r="K1316" s="43"/>
    </row>
    <row r="1317">
      <c r="A1317" s="40"/>
      <c r="B1317" s="33" t="s">
        <v>13023</v>
      </c>
      <c r="C1317" s="42">
        <v>56.0</v>
      </c>
      <c r="D1317" s="33" t="s">
        <v>13016</v>
      </c>
      <c r="E1317" s="74"/>
      <c r="F1317" s="46" t="s">
        <v>2793</v>
      </c>
      <c r="G1317" s="142"/>
      <c r="H1317" s="96" t="str">
        <f>HYPERLINK("http://mirror.ff7data.com.ar/ff7/data/minigame/condor.lgp/jf.rsd.png","View Picture")</f>
        <v>View Picture</v>
      </c>
      <c r="K1317" s="43"/>
    </row>
    <row r="1318">
      <c r="A1318" s="40"/>
      <c r="B1318" s="33" t="s">
        <v>6077</v>
      </c>
      <c r="C1318" s="42">
        <v>4956.0</v>
      </c>
      <c r="D1318" s="33" t="s">
        <v>13029</v>
      </c>
      <c r="E1318" s="74"/>
      <c r="F1318" s="46" t="s">
        <v>2775</v>
      </c>
      <c r="G1318" s="142"/>
      <c r="H1318" s="96" t="str">
        <f>HYPERLINK("http://mirror.ff7data.com.ar/ff7/data/minigame/condor.lgp/jg.p.png","View Picture")</f>
        <v>View Picture</v>
      </c>
      <c r="K1318" s="43"/>
    </row>
    <row r="1319">
      <c r="A1319" s="40"/>
      <c r="B1319" s="33" t="s">
        <v>6086</v>
      </c>
      <c r="C1319" s="42">
        <v>56.0</v>
      </c>
      <c r="D1319" s="33" t="s">
        <v>13029</v>
      </c>
      <c r="E1319" s="74"/>
      <c r="F1319" s="46" t="s">
        <v>2793</v>
      </c>
      <c r="G1319" s="142"/>
      <c r="H1319" s="96" t="str">
        <f>HYPERLINK("http://mirror.ff7data.com.ar/ff7/data/minigame/condor.lgp/jg.rsd.png","View Picture")</f>
        <v>View Picture</v>
      </c>
      <c r="K1319" s="43"/>
    </row>
    <row r="1320">
      <c r="A1320" s="40"/>
      <c r="B1320" s="33" t="s">
        <v>6095</v>
      </c>
      <c r="C1320" s="42">
        <v>4956.0</v>
      </c>
      <c r="D1320" s="33" t="s">
        <v>13043</v>
      </c>
      <c r="E1320" s="74"/>
      <c r="F1320" s="46" t="s">
        <v>2775</v>
      </c>
      <c r="G1320" s="142"/>
      <c r="H1320" s="96" t="str">
        <f>HYPERLINK("http://mirror.ff7data.com.ar/ff7/data/minigame/condor.lgp/jh.p.png","View Picture")</f>
        <v>View Picture</v>
      </c>
      <c r="K1320" s="43"/>
    </row>
    <row r="1321">
      <c r="A1321" s="40"/>
      <c r="B1321" s="33" t="s">
        <v>6105</v>
      </c>
      <c r="C1321" s="42">
        <v>56.0</v>
      </c>
      <c r="D1321" s="33" t="s">
        <v>13043</v>
      </c>
      <c r="E1321" s="74"/>
      <c r="F1321" s="46" t="s">
        <v>2793</v>
      </c>
      <c r="G1321" s="142"/>
      <c r="H1321" s="96" t="str">
        <f>HYPERLINK("http://mirror.ff7data.com.ar/ff7/data/minigame/condor.lgp/jh.rsd.png","View Picture")</f>
        <v>View Picture</v>
      </c>
      <c r="K1321" s="43"/>
    </row>
    <row r="1322">
      <c r="A1322" s="40"/>
      <c r="B1322" s="33" t="s">
        <v>6114</v>
      </c>
      <c r="C1322" s="42">
        <v>4956.0</v>
      </c>
      <c r="D1322" s="33" t="s">
        <v>13056</v>
      </c>
      <c r="E1322" s="74"/>
      <c r="F1322" s="46" t="s">
        <v>2775</v>
      </c>
      <c r="G1322" s="142"/>
      <c r="H1322" s="96" t="str">
        <f>HYPERLINK("http://mirror.ff7data.com.ar/ff7/data/minigame/condor.lgp/ji.p.png","View Picture")</f>
        <v>View Picture</v>
      </c>
      <c r="K1322" s="43"/>
    </row>
    <row r="1323">
      <c r="A1323" s="40"/>
      <c r="B1323" s="33" t="s">
        <v>6125</v>
      </c>
      <c r="C1323" s="42">
        <v>56.0</v>
      </c>
      <c r="D1323" s="33" t="s">
        <v>13056</v>
      </c>
      <c r="E1323" s="74"/>
      <c r="F1323" s="46" t="s">
        <v>2793</v>
      </c>
      <c r="G1323" s="142"/>
      <c r="H1323" s="96" t="str">
        <f>HYPERLINK("http://mirror.ff7data.com.ar/ff7/data/minigame/condor.lgp/ji.rsd.png","View Picture")</f>
        <v>View Picture</v>
      </c>
      <c r="K1323" s="43"/>
    </row>
    <row r="1324">
      <c r="A1324" s="40"/>
      <c r="B1324" s="33" t="s">
        <v>6132</v>
      </c>
      <c r="C1324" s="42">
        <v>4956.0</v>
      </c>
      <c r="D1324" s="33" t="s">
        <v>13072</v>
      </c>
      <c r="E1324" s="74"/>
      <c r="F1324" s="46" t="s">
        <v>2775</v>
      </c>
      <c r="G1324" s="142"/>
      <c r="H1324" s="96" t="str">
        <f>HYPERLINK("http://mirror.ff7data.com.ar/ff7/data/minigame/condor.lgp/jj.p.png","View Picture")</f>
        <v>View Picture</v>
      </c>
      <c r="K1324" s="43"/>
    </row>
    <row r="1325">
      <c r="A1325" s="40"/>
      <c r="B1325" s="33" t="s">
        <v>6141</v>
      </c>
      <c r="C1325" s="42">
        <v>56.0</v>
      </c>
      <c r="D1325" s="33" t="s">
        <v>13072</v>
      </c>
      <c r="E1325" s="74"/>
      <c r="F1325" s="46" t="s">
        <v>2793</v>
      </c>
      <c r="G1325" s="142"/>
      <c r="H1325" s="96" t="str">
        <f>HYPERLINK("http://mirror.ff7data.com.ar/ff7/data/minigame/condor.lgp/jj.rsd.png","View Picture")</f>
        <v>View Picture</v>
      </c>
      <c r="K1325" s="43"/>
    </row>
    <row r="1326">
      <c r="A1326" s="40"/>
      <c r="B1326" s="33" t="s">
        <v>13088</v>
      </c>
      <c r="C1326" s="42">
        <v>4956.0</v>
      </c>
      <c r="D1326" s="33" t="s">
        <v>13089</v>
      </c>
      <c r="E1326" s="74"/>
      <c r="F1326" s="46" t="s">
        <v>2775</v>
      </c>
      <c r="G1326" s="142"/>
      <c r="H1326" s="96" t="str">
        <f>HYPERLINK("http://mirror.ff7data.com.ar/ff7/data/minigame/condor.lgp/jk.p.png","View Picture")</f>
        <v>View Picture</v>
      </c>
      <c r="K1326" s="43"/>
    </row>
    <row r="1327">
      <c r="A1327" s="40"/>
      <c r="B1327" s="33" t="s">
        <v>13097</v>
      </c>
      <c r="C1327" s="42">
        <v>56.0</v>
      </c>
      <c r="D1327" s="33" t="s">
        <v>13089</v>
      </c>
      <c r="E1327" s="74"/>
      <c r="F1327" s="46" t="s">
        <v>2793</v>
      </c>
      <c r="G1327" s="142"/>
      <c r="H1327" s="96" t="str">
        <f>HYPERLINK("http://mirror.ff7data.com.ar/ff7/data/minigame/condor.lgp/jk.rsd.png","View Picture")</f>
        <v>View Picture</v>
      </c>
      <c r="K1327" s="43"/>
    </row>
    <row r="1328">
      <c r="A1328" s="40"/>
      <c r="B1328" s="33" t="s">
        <v>13107</v>
      </c>
      <c r="C1328" s="42">
        <v>4956.0</v>
      </c>
      <c r="D1328" s="33" t="s">
        <v>13108</v>
      </c>
      <c r="E1328" s="74"/>
      <c r="F1328" s="46" t="s">
        <v>2775</v>
      </c>
      <c r="G1328" s="142"/>
      <c r="H1328" s="96" t="str">
        <f>HYPERLINK("http://mirror.ff7data.com.ar/ff7/data/minigame/condor.lgp/jl.p.png","View Picture")</f>
        <v>View Picture</v>
      </c>
      <c r="K1328" s="43"/>
    </row>
    <row r="1329">
      <c r="A1329" s="40"/>
      <c r="B1329" s="33" t="s">
        <v>13115</v>
      </c>
      <c r="C1329" s="42">
        <v>56.0</v>
      </c>
      <c r="D1329" s="33" t="s">
        <v>13108</v>
      </c>
      <c r="E1329" s="74"/>
      <c r="F1329" s="46" t="s">
        <v>2793</v>
      </c>
      <c r="G1329" s="142"/>
      <c r="H1329" s="96" t="str">
        <f>HYPERLINK("http://mirror.ff7data.com.ar/ff7/data/minigame/condor.lgp/jl.rsd.png","View Picture")</f>
        <v>View Picture</v>
      </c>
      <c r="K1329" s="43"/>
    </row>
    <row r="1330">
      <c r="A1330" s="40"/>
      <c r="B1330" s="33" t="s">
        <v>6161</v>
      </c>
      <c r="C1330" s="42">
        <v>4956.0</v>
      </c>
      <c r="D1330" s="33" t="s">
        <v>13124</v>
      </c>
      <c r="E1330" s="74"/>
      <c r="F1330" s="46" t="s">
        <v>2775</v>
      </c>
      <c r="G1330" s="142"/>
      <c r="H1330" s="96" t="str">
        <f>HYPERLINK("http://mirror.ff7data.com.ar/ff7/data/minigame/condor.lgp/jm.p.png","View Picture")</f>
        <v>View Picture</v>
      </c>
      <c r="K1330" s="43"/>
    </row>
    <row r="1331">
      <c r="A1331" s="40"/>
      <c r="B1331" s="33" t="s">
        <v>6170</v>
      </c>
      <c r="C1331" s="42">
        <v>56.0</v>
      </c>
      <c r="D1331" s="33" t="s">
        <v>13124</v>
      </c>
      <c r="E1331" s="74"/>
      <c r="F1331" s="46" t="s">
        <v>2793</v>
      </c>
      <c r="G1331" s="142"/>
      <c r="H1331" s="96" t="str">
        <f>HYPERLINK("http://mirror.ff7data.com.ar/ff7/data/minigame/condor.lgp/jm.rsd.png","View Picture")</f>
        <v>View Picture</v>
      </c>
      <c r="K1331" s="43"/>
    </row>
    <row r="1332">
      <c r="A1332" s="40"/>
      <c r="B1332" s="33" t="s">
        <v>13141</v>
      </c>
      <c r="C1332" s="42">
        <v>4956.0</v>
      </c>
      <c r="D1332" s="33" t="s">
        <v>13142</v>
      </c>
      <c r="E1332" s="74"/>
      <c r="F1332" s="46" t="s">
        <v>2775</v>
      </c>
      <c r="G1332" s="142"/>
      <c r="H1332" s="96" t="str">
        <f>HYPERLINK("http://mirror.ff7data.com.ar/ff7/data/minigame/condor.lgp/jn.p.png","View Picture")</f>
        <v>View Picture</v>
      </c>
      <c r="K1332" s="43"/>
    </row>
    <row r="1333">
      <c r="A1333" s="40"/>
      <c r="B1333" s="33" t="s">
        <v>13152</v>
      </c>
      <c r="C1333" s="42">
        <v>56.0</v>
      </c>
      <c r="D1333" s="33" t="s">
        <v>13142</v>
      </c>
      <c r="E1333" s="74"/>
      <c r="F1333" s="46" t="s">
        <v>2793</v>
      </c>
      <c r="G1333" s="142"/>
      <c r="H1333" s="96" t="str">
        <f>HYPERLINK("http://mirror.ff7data.com.ar/ff7/data/minigame/condor.lgp/jn.rsd.png","View Picture")</f>
        <v>View Picture</v>
      </c>
      <c r="K1333" s="43"/>
    </row>
    <row r="1334">
      <c r="A1334" s="40"/>
      <c r="B1334" s="33" t="s">
        <v>13162</v>
      </c>
      <c r="C1334" s="42">
        <v>4956.0</v>
      </c>
      <c r="D1334" s="33" t="s">
        <v>13164</v>
      </c>
      <c r="E1334" s="74"/>
      <c r="F1334" s="46" t="s">
        <v>2775</v>
      </c>
      <c r="G1334" s="142"/>
      <c r="H1334" s="96" t="str">
        <f>HYPERLINK("http://mirror.ff7data.com.ar/ff7/data/minigame/condor.lgp/jo.p.png","View Picture")</f>
        <v>View Picture</v>
      </c>
      <c r="K1334" s="43"/>
    </row>
    <row r="1335">
      <c r="A1335" s="40"/>
      <c r="B1335" s="33" t="s">
        <v>13171</v>
      </c>
      <c r="C1335" s="42">
        <v>56.0</v>
      </c>
      <c r="D1335" s="33" t="s">
        <v>13164</v>
      </c>
      <c r="E1335" s="74"/>
      <c r="F1335" s="46" t="s">
        <v>2793</v>
      </c>
      <c r="G1335" s="142"/>
      <c r="H1335" s="96" t="str">
        <f>HYPERLINK("http://mirror.ff7data.com.ar/ff7/data/minigame/condor.lgp/jo.rsd.png","View Picture")</f>
        <v>View Picture</v>
      </c>
      <c r="K1335" s="43"/>
    </row>
    <row r="1336">
      <c r="A1336" s="40"/>
      <c r="B1336" s="33" t="s">
        <v>6196</v>
      </c>
      <c r="C1336" s="42">
        <v>4956.0</v>
      </c>
      <c r="D1336" s="33" t="s">
        <v>13181</v>
      </c>
      <c r="E1336" s="74"/>
      <c r="F1336" s="46" t="s">
        <v>2775</v>
      </c>
      <c r="G1336" s="142"/>
      <c r="H1336" s="96" t="str">
        <f>HYPERLINK("http://mirror.ff7data.com.ar/ff7/data/minigame/condor.lgp/jp.p.png","View Picture")</f>
        <v>View Picture</v>
      </c>
      <c r="K1336" s="43"/>
    </row>
    <row r="1337">
      <c r="A1337" s="40"/>
      <c r="B1337" s="33" t="s">
        <v>6205</v>
      </c>
      <c r="C1337" s="42">
        <v>56.0</v>
      </c>
      <c r="D1337" s="33" t="s">
        <v>13181</v>
      </c>
      <c r="E1337" s="74"/>
      <c r="F1337" s="46" t="s">
        <v>2793</v>
      </c>
      <c r="G1337" s="142"/>
      <c r="H1337" s="96" t="str">
        <f>HYPERLINK("http://mirror.ff7data.com.ar/ff7/data/minigame/condor.lgp/jp.rsd.png","View Picture")</f>
        <v>View Picture</v>
      </c>
      <c r="K1337" s="43"/>
    </row>
    <row r="1338">
      <c r="A1338" s="40"/>
      <c r="B1338" s="33" t="s">
        <v>13210</v>
      </c>
      <c r="C1338" s="42">
        <v>4956.0</v>
      </c>
      <c r="D1338" s="33" t="s">
        <v>13212</v>
      </c>
      <c r="E1338" s="74"/>
      <c r="F1338" s="46" t="s">
        <v>2775</v>
      </c>
      <c r="G1338" s="142"/>
      <c r="H1338" s="96" t="str">
        <f>HYPERLINK("http://mirror.ff7data.com.ar/ff7/data/minigame/condor.lgp/jq.p.png","View Picture")</f>
        <v>View Picture</v>
      </c>
      <c r="K1338" s="43"/>
    </row>
    <row r="1339">
      <c r="A1339" s="40"/>
      <c r="B1339" s="33" t="s">
        <v>13219</v>
      </c>
      <c r="C1339" s="42">
        <v>56.0</v>
      </c>
      <c r="D1339" s="33" t="s">
        <v>13212</v>
      </c>
      <c r="E1339" s="74"/>
      <c r="F1339" s="46" t="s">
        <v>2793</v>
      </c>
      <c r="G1339" s="142"/>
      <c r="H1339" s="96" t="str">
        <f>HYPERLINK("http://mirror.ff7data.com.ar/ff7/data/minigame/condor.lgp/jq.rsd.png","View Picture")</f>
        <v>View Picture</v>
      </c>
      <c r="K1339" s="43"/>
    </row>
    <row r="1340">
      <c r="A1340" s="40"/>
      <c r="B1340" s="33" t="s">
        <v>13229</v>
      </c>
      <c r="C1340" s="42">
        <v>4956.0</v>
      </c>
      <c r="D1340" s="33" t="s">
        <v>13231</v>
      </c>
      <c r="E1340" s="74"/>
      <c r="F1340" s="46" t="s">
        <v>2775</v>
      </c>
      <c r="G1340" s="142"/>
      <c r="H1340" s="96" t="str">
        <f>HYPERLINK("http://mirror.ff7data.com.ar/ff7/data/minigame/condor.lgp/jr.p.png","View Picture")</f>
        <v>View Picture</v>
      </c>
      <c r="K1340" s="43"/>
    </row>
    <row r="1341">
      <c r="A1341" s="40"/>
      <c r="B1341" s="33" t="s">
        <v>13243</v>
      </c>
      <c r="C1341" s="42">
        <v>56.0</v>
      </c>
      <c r="D1341" s="33" t="s">
        <v>13231</v>
      </c>
      <c r="E1341" s="74"/>
      <c r="F1341" s="46" t="s">
        <v>2793</v>
      </c>
      <c r="G1341" s="142"/>
      <c r="H1341" s="96" t="str">
        <f>HYPERLINK("http://mirror.ff7data.com.ar/ff7/data/minigame/condor.lgp/jr.rsd.png","View Picture")</f>
        <v>View Picture</v>
      </c>
      <c r="K1341" s="43"/>
    </row>
    <row r="1342">
      <c r="A1342" s="40"/>
      <c r="B1342" s="33" t="s">
        <v>6230</v>
      </c>
      <c r="C1342" s="42">
        <v>4956.0</v>
      </c>
      <c r="D1342" s="33" t="s">
        <v>13259</v>
      </c>
      <c r="E1342" s="74"/>
      <c r="F1342" s="46" t="s">
        <v>2775</v>
      </c>
      <c r="G1342" s="142"/>
      <c r="H1342" s="96" t="str">
        <f>HYPERLINK("http://mirror.ff7data.com.ar/ff7/data/minigame/condor.lgp/js.p.png","View Picture")</f>
        <v>View Picture</v>
      </c>
      <c r="K1342" s="43"/>
    </row>
    <row r="1343">
      <c r="A1343" s="40"/>
      <c r="B1343" s="33" t="s">
        <v>6242</v>
      </c>
      <c r="C1343" s="42">
        <v>56.0</v>
      </c>
      <c r="D1343" s="33" t="s">
        <v>13259</v>
      </c>
      <c r="E1343" s="74"/>
      <c r="F1343" s="46" t="s">
        <v>2793</v>
      </c>
      <c r="G1343" s="142"/>
      <c r="H1343" s="96" t="str">
        <f>HYPERLINK("http://mirror.ff7data.com.ar/ff7/data/minigame/condor.lgp/js.rsd.png","View Picture")</f>
        <v>View Picture</v>
      </c>
      <c r="K1343" s="43"/>
    </row>
    <row r="1344">
      <c r="A1344" s="40"/>
      <c r="B1344" s="33" t="s">
        <v>13278</v>
      </c>
      <c r="C1344" s="42">
        <v>4956.0</v>
      </c>
      <c r="D1344" s="33" t="s">
        <v>13280</v>
      </c>
      <c r="E1344" s="74"/>
      <c r="F1344" s="46" t="s">
        <v>2775</v>
      </c>
      <c r="G1344" s="142"/>
      <c r="H1344" s="96" t="str">
        <f>HYPERLINK("http://mirror.ff7data.com.ar/ff7/data/minigame/condor.lgp/jt.p.png","View Picture")</f>
        <v>View Picture</v>
      </c>
      <c r="K1344" s="43"/>
    </row>
    <row r="1345">
      <c r="A1345" s="40"/>
      <c r="B1345" s="33" t="s">
        <v>13288</v>
      </c>
      <c r="C1345" s="42">
        <v>56.0</v>
      </c>
      <c r="D1345" s="33" t="s">
        <v>13280</v>
      </c>
      <c r="E1345" s="74"/>
      <c r="F1345" s="46" t="s">
        <v>2793</v>
      </c>
      <c r="G1345" s="142"/>
      <c r="H1345" s="96" t="str">
        <f>HYPERLINK("http://mirror.ff7data.com.ar/ff7/data/minigame/condor.lgp/jt.rsd.png","View Picture")</f>
        <v>View Picture</v>
      </c>
      <c r="K1345" s="43"/>
    </row>
    <row r="1346">
      <c r="A1346" s="40"/>
      <c r="B1346" s="33" t="s">
        <v>13296</v>
      </c>
      <c r="C1346" s="42">
        <v>4564.0</v>
      </c>
      <c r="D1346" s="33" t="s">
        <v>13298</v>
      </c>
      <c r="E1346" s="74"/>
      <c r="F1346" s="46" t="s">
        <v>2775</v>
      </c>
      <c r="G1346" s="142"/>
      <c r="H1346" s="96" t="str">
        <f>HYPERLINK("http://mirror.ff7data.com.ar/ff7/data/minigame/condor.lgp/ju.p.png","View Picture")</f>
        <v>View Picture</v>
      </c>
      <c r="K1346" s="43"/>
    </row>
    <row r="1347">
      <c r="A1347" s="40"/>
      <c r="B1347" s="33" t="s">
        <v>13302</v>
      </c>
      <c r="C1347" s="42">
        <v>93.0</v>
      </c>
      <c r="D1347" s="33" t="s">
        <v>13298</v>
      </c>
      <c r="E1347" s="74"/>
      <c r="F1347" s="46" t="s">
        <v>2793</v>
      </c>
      <c r="G1347" s="142"/>
      <c r="H1347" s="96" t="str">
        <f>HYPERLINK("http://mirror.ff7data.com.ar/ff7/data/minigame/condor.lgp/ju.rsd.png","View Picture")</f>
        <v>View Picture</v>
      </c>
      <c r="K1347" s="43"/>
    </row>
    <row r="1348">
      <c r="A1348" s="40"/>
      <c r="B1348" s="33" t="s">
        <v>6275</v>
      </c>
      <c r="C1348" s="42">
        <v>4564.0</v>
      </c>
      <c r="D1348" s="33" t="s">
        <v>13308</v>
      </c>
      <c r="E1348" s="74"/>
      <c r="F1348" s="46" t="s">
        <v>2775</v>
      </c>
      <c r="G1348" s="142"/>
      <c r="H1348" s="96" t="str">
        <f>HYPERLINK("http://mirror.ff7data.com.ar/ff7/data/minigame/condor.lgp/jv.p.png","View Picture")</f>
        <v>View Picture</v>
      </c>
      <c r="K1348" s="43"/>
    </row>
    <row r="1349">
      <c r="A1349" s="40"/>
      <c r="B1349" s="33" t="s">
        <v>6285</v>
      </c>
      <c r="C1349" s="42">
        <v>56.0</v>
      </c>
      <c r="D1349" s="33" t="s">
        <v>13308</v>
      </c>
      <c r="E1349" s="74"/>
      <c r="F1349" s="46" t="s">
        <v>2793</v>
      </c>
      <c r="G1349" s="142"/>
      <c r="H1349" s="96" t="str">
        <f>HYPERLINK("http://mirror.ff7data.com.ar/ff7/data/minigame/condor.lgp/jv.rsd.png","View Picture")</f>
        <v>View Picture</v>
      </c>
      <c r="K1349" s="43"/>
    </row>
    <row r="1350">
      <c r="A1350" s="40"/>
      <c r="B1350" s="33" t="s">
        <v>6296</v>
      </c>
      <c r="C1350" s="42">
        <v>4564.0</v>
      </c>
      <c r="D1350" s="33" t="s">
        <v>13320</v>
      </c>
      <c r="E1350" s="74"/>
      <c r="F1350" s="46" t="s">
        <v>2775</v>
      </c>
      <c r="G1350" s="142"/>
      <c r="H1350" s="96" t="str">
        <f>HYPERLINK("http://mirror.ff7data.com.ar/ff7/data/minigame/condor.lgp/jw.p.png","View Picture")</f>
        <v>View Picture</v>
      </c>
      <c r="K1350" s="43"/>
    </row>
    <row r="1351">
      <c r="A1351" s="40"/>
      <c r="B1351" s="33" t="s">
        <v>6309</v>
      </c>
      <c r="C1351" s="42">
        <v>56.0</v>
      </c>
      <c r="D1351" s="33" t="s">
        <v>13320</v>
      </c>
      <c r="E1351" s="74"/>
      <c r="F1351" s="46" t="s">
        <v>2793</v>
      </c>
      <c r="G1351" s="142"/>
      <c r="H1351" s="96" t="str">
        <f>HYPERLINK("http://mirror.ff7data.com.ar/ff7/data/minigame/condor.lgp/jw.rsd.png","View Picture")</f>
        <v>View Picture</v>
      </c>
      <c r="K1351" s="43"/>
    </row>
    <row r="1352">
      <c r="A1352" s="40"/>
      <c r="B1352" s="33" t="s">
        <v>6320</v>
      </c>
      <c r="C1352" s="42">
        <v>4564.0</v>
      </c>
      <c r="D1352" s="33" t="s">
        <v>13333</v>
      </c>
      <c r="E1352" s="74"/>
      <c r="F1352" s="46" t="s">
        <v>2775</v>
      </c>
      <c r="G1352" s="142"/>
      <c r="H1352" s="96" t="str">
        <f>HYPERLINK("http://mirror.ff7data.com.ar/ff7/data/minigame/condor.lgp/jx.p.png","View Picture")</f>
        <v>View Picture</v>
      </c>
      <c r="K1352" s="43"/>
    </row>
    <row r="1353">
      <c r="A1353" s="40"/>
      <c r="B1353" s="33" t="s">
        <v>6332</v>
      </c>
      <c r="C1353" s="42">
        <v>56.0</v>
      </c>
      <c r="D1353" s="33" t="s">
        <v>13333</v>
      </c>
      <c r="E1353" s="74"/>
      <c r="F1353" s="46" t="s">
        <v>2793</v>
      </c>
      <c r="G1353" s="142"/>
      <c r="H1353" s="96" t="str">
        <f>HYPERLINK("http://mirror.ff7data.com.ar/ff7/data/minigame/condor.lgp/jx.rsd.png","View Picture")</f>
        <v>View Picture</v>
      </c>
      <c r="K1353" s="43"/>
    </row>
    <row r="1354">
      <c r="A1354" s="40"/>
      <c r="B1354" s="33" t="s">
        <v>6345</v>
      </c>
      <c r="C1354" s="42">
        <v>4564.0</v>
      </c>
      <c r="D1354" s="33" t="s">
        <v>13348</v>
      </c>
      <c r="E1354" s="74"/>
      <c r="F1354" s="46" t="s">
        <v>2775</v>
      </c>
      <c r="G1354" s="142"/>
      <c r="H1354" s="96" t="str">
        <f>HYPERLINK("http://mirror.ff7data.com.ar/ff7/data/minigame/condor.lgp/jy.p.png","View Picture")</f>
        <v>View Picture</v>
      </c>
      <c r="K1354" s="43"/>
    </row>
    <row r="1355">
      <c r="A1355" s="40"/>
      <c r="B1355" s="33" t="s">
        <v>6358</v>
      </c>
      <c r="C1355" s="42">
        <v>56.0</v>
      </c>
      <c r="D1355" s="33" t="s">
        <v>13348</v>
      </c>
      <c r="E1355" s="74"/>
      <c r="F1355" s="46" t="s">
        <v>2793</v>
      </c>
      <c r="G1355" s="142"/>
      <c r="H1355" s="96" t="str">
        <f>HYPERLINK("http://mirror.ff7data.com.ar/ff7/data/minigame/condor.lgp/jy.rsd.png","View Picture")</f>
        <v>View Picture</v>
      </c>
      <c r="K1355" s="43"/>
    </row>
    <row r="1356">
      <c r="A1356" s="40"/>
      <c r="B1356" s="33" t="s">
        <v>6370</v>
      </c>
      <c r="C1356" s="42">
        <v>4564.0</v>
      </c>
      <c r="D1356" s="33" t="s">
        <v>13361</v>
      </c>
      <c r="E1356" s="74"/>
      <c r="F1356" s="46" t="s">
        <v>2775</v>
      </c>
      <c r="G1356" s="142"/>
      <c r="H1356" s="96" t="str">
        <f>HYPERLINK("http://mirror.ff7data.com.ar/ff7/data/minigame/condor.lgp/jz.p.png","View Picture")</f>
        <v>View Picture</v>
      </c>
      <c r="K1356" s="43"/>
    </row>
    <row r="1357">
      <c r="A1357" s="40"/>
      <c r="B1357" s="33" t="s">
        <v>6383</v>
      </c>
      <c r="C1357" s="42">
        <v>56.0</v>
      </c>
      <c r="D1357" s="33" t="s">
        <v>13361</v>
      </c>
      <c r="E1357" s="74"/>
      <c r="F1357" s="46" t="s">
        <v>2793</v>
      </c>
      <c r="G1357" s="142"/>
      <c r="H1357" s="96" t="str">
        <f>HYPERLINK("http://mirror.ff7data.com.ar/ff7/data/minigame/condor.lgp/jz.rsd.png","View Picture")</f>
        <v>View Picture</v>
      </c>
      <c r="K1357" s="43"/>
    </row>
    <row r="1358">
      <c r="A1358" s="40"/>
      <c r="B1358" s="33" t="s">
        <v>6384</v>
      </c>
      <c r="C1358" s="42">
        <v>4564.0</v>
      </c>
      <c r="D1358" s="33" t="s">
        <v>13372</v>
      </c>
      <c r="E1358" s="74"/>
      <c r="F1358" s="46" t="s">
        <v>2775</v>
      </c>
      <c r="G1358" s="142"/>
      <c r="H1358" s="96" t="str">
        <f>HYPERLINK("http://mirror.ff7data.com.ar/ff7/data/minigame/condor.lgp/ka.p.png","View Picture")</f>
        <v>View Picture</v>
      </c>
      <c r="K1358" s="43"/>
    </row>
    <row r="1359">
      <c r="A1359" s="40"/>
      <c r="B1359" s="33" t="s">
        <v>6389</v>
      </c>
      <c r="C1359" s="42">
        <v>56.0</v>
      </c>
      <c r="D1359" s="33" t="s">
        <v>13372</v>
      </c>
      <c r="E1359" s="74"/>
      <c r="F1359" s="46" t="s">
        <v>2793</v>
      </c>
      <c r="G1359" s="142"/>
      <c r="H1359" s="96" t="str">
        <f>HYPERLINK("http://mirror.ff7data.com.ar/ff7/data/minigame/condor.lgp/ka.rsd.png","View Picture")</f>
        <v>View Picture</v>
      </c>
      <c r="K1359" s="43"/>
    </row>
    <row r="1360">
      <c r="A1360" s="40"/>
      <c r="B1360" s="33" t="s">
        <v>6398</v>
      </c>
      <c r="C1360" s="42">
        <v>4564.0</v>
      </c>
      <c r="D1360" s="33" t="s">
        <v>13385</v>
      </c>
      <c r="E1360" s="74"/>
      <c r="F1360" s="46" t="s">
        <v>2775</v>
      </c>
      <c r="G1360" s="142"/>
      <c r="H1360" s="96" t="str">
        <f>HYPERLINK("http://mirror.ff7data.com.ar/ff7/data/minigame/condor.lgp/kb.p.png","View Picture")</f>
        <v>View Picture</v>
      </c>
      <c r="K1360" s="43"/>
    </row>
    <row r="1361">
      <c r="A1361" s="40"/>
      <c r="B1361" s="33" t="s">
        <v>6411</v>
      </c>
      <c r="C1361" s="42">
        <v>56.0</v>
      </c>
      <c r="D1361" s="33" t="s">
        <v>13385</v>
      </c>
      <c r="E1361" s="74"/>
      <c r="F1361" s="46" t="s">
        <v>2793</v>
      </c>
      <c r="G1361" s="142"/>
      <c r="H1361" s="96" t="str">
        <f>HYPERLINK("http://mirror.ff7data.com.ar/ff7/data/minigame/condor.lgp/kb.rsd.png","View Picture")</f>
        <v>View Picture</v>
      </c>
      <c r="K1361" s="43"/>
    </row>
    <row r="1362">
      <c r="A1362" s="40"/>
      <c r="B1362" s="33" t="s">
        <v>6421</v>
      </c>
      <c r="C1362" s="42">
        <v>4564.0</v>
      </c>
      <c r="D1362" s="33" t="s">
        <v>13395</v>
      </c>
      <c r="E1362" s="74"/>
      <c r="F1362" s="46" t="s">
        <v>2775</v>
      </c>
      <c r="G1362" s="142"/>
      <c r="H1362" s="96" t="str">
        <f>HYPERLINK("http://mirror.ff7data.com.ar/ff7/data/minigame/condor.lgp/kc.p.png","View Picture")</f>
        <v>View Picture</v>
      </c>
      <c r="K1362" s="43"/>
    </row>
    <row r="1363">
      <c r="A1363" s="40"/>
      <c r="B1363" s="33" t="s">
        <v>6433</v>
      </c>
      <c r="C1363" s="42">
        <v>56.0</v>
      </c>
      <c r="D1363" s="33" t="s">
        <v>13395</v>
      </c>
      <c r="E1363" s="74"/>
      <c r="F1363" s="46" t="s">
        <v>2793</v>
      </c>
      <c r="G1363" s="142"/>
      <c r="H1363" s="96" t="str">
        <f>HYPERLINK("http://mirror.ff7data.com.ar/ff7/data/minigame/condor.lgp/kc.rsd.png","View Picture")</f>
        <v>View Picture</v>
      </c>
      <c r="K1363" s="43"/>
    </row>
    <row r="1364">
      <c r="A1364" s="40"/>
      <c r="B1364" s="33" t="s">
        <v>13407</v>
      </c>
      <c r="C1364" s="42">
        <v>4564.0</v>
      </c>
      <c r="D1364" s="33" t="s">
        <v>13408</v>
      </c>
      <c r="E1364" s="74"/>
      <c r="F1364" s="46" t="s">
        <v>2775</v>
      </c>
      <c r="G1364" s="142"/>
      <c r="H1364" s="96" t="str">
        <f>HYPERLINK("http://mirror.ff7data.com.ar/ff7/data/minigame/condor.lgp/kd.p.png","View Picture")</f>
        <v>View Picture</v>
      </c>
      <c r="K1364" s="43"/>
    </row>
    <row r="1365">
      <c r="A1365" s="40"/>
      <c r="B1365" s="33" t="s">
        <v>13414</v>
      </c>
      <c r="C1365" s="42">
        <v>56.0</v>
      </c>
      <c r="D1365" s="33" t="s">
        <v>13408</v>
      </c>
      <c r="E1365" s="74"/>
      <c r="F1365" s="46" t="s">
        <v>2793</v>
      </c>
      <c r="G1365" s="142"/>
      <c r="H1365" s="96" t="str">
        <f>HYPERLINK("http://mirror.ff7data.com.ar/ff7/data/minigame/condor.lgp/kd.rsd.png","View Picture")</f>
        <v>View Picture</v>
      </c>
      <c r="K1365" s="43"/>
    </row>
    <row r="1366">
      <c r="A1366" s="40"/>
      <c r="B1366" s="33" t="s">
        <v>13419</v>
      </c>
      <c r="C1366" s="42">
        <v>4564.0</v>
      </c>
      <c r="D1366" s="33" t="s">
        <v>13421</v>
      </c>
      <c r="E1366" s="74"/>
      <c r="F1366" s="46" t="s">
        <v>2775</v>
      </c>
      <c r="G1366" s="142"/>
      <c r="H1366" s="96" t="str">
        <f>HYPERLINK("http://mirror.ff7data.com.ar/ff7/data/minigame/condor.lgp/ke.p.png","View Picture")</f>
        <v>View Picture</v>
      </c>
      <c r="K1366" s="43"/>
    </row>
    <row r="1367">
      <c r="A1367" s="40"/>
      <c r="B1367" s="33" t="s">
        <v>13425</v>
      </c>
      <c r="C1367" s="42">
        <v>56.0</v>
      </c>
      <c r="D1367" s="33" t="s">
        <v>13421</v>
      </c>
      <c r="E1367" s="74"/>
      <c r="F1367" s="46" t="s">
        <v>2793</v>
      </c>
      <c r="G1367" s="142"/>
      <c r="H1367" s="96" t="str">
        <f>HYPERLINK("http://mirror.ff7data.com.ar/ff7/data/minigame/condor.lgp/ke.rsd.png","View Picture")</f>
        <v>View Picture</v>
      </c>
      <c r="K1367" s="43"/>
    </row>
    <row r="1368">
      <c r="A1368" s="40"/>
      <c r="B1368" s="33" t="s">
        <v>6463</v>
      </c>
      <c r="C1368" s="42">
        <v>4564.0</v>
      </c>
      <c r="D1368" s="33" t="s">
        <v>13432</v>
      </c>
      <c r="E1368" s="74"/>
      <c r="F1368" s="46" t="s">
        <v>2775</v>
      </c>
      <c r="G1368" s="142"/>
      <c r="H1368" s="96" t="str">
        <f>HYPERLINK("http://mirror.ff7data.com.ar/ff7/data/minigame/condor.lgp/kf.p.png","View Picture")</f>
        <v>View Picture</v>
      </c>
      <c r="K1368" s="43"/>
    </row>
    <row r="1369">
      <c r="A1369" s="40"/>
      <c r="B1369" s="33" t="s">
        <v>6474</v>
      </c>
      <c r="C1369" s="42">
        <v>56.0</v>
      </c>
      <c r="D1369" s="33" t="s">
        <v>13432</v>
      </c>
      <c r="E1369" s="74"/>
      <c r="F1369" s="46" t="s">
        <v>2793</v>
      </c>
      <c r="G1369" s="142"/>
      <c r="H1369" s="96" t="str">
        <f>HYPERLINK("http://mirror.ff7data.com.ar/ff7/data/minigame/condor.lgp/kf.rsd.png","View Picture")</f>
        <v>View Picture</v>
      </c>
      <c r="K1369" s="43"/>
    </row>
    <row r="1370">
      <c r="A1370" s="40"/>
      <c r="B1370" s="33" t="s">
        <v>6483</v>
      </c>
      <c r="C1370" s="42">
        <v>4564.0</v>
      </c>
      <c r="D1370" s="33" t="s">
        <v>13440</v>
      </c>
      <c r="E1370" s="74"/>
      <c r="F1370" s="46" t="s">
        <v>2775</v>
      </c>
      <c r="G1370" s="142"/>
      <c r="H1370" s="96" t="str">
        <f>HYPERLINK("http://mirror.ff7data.com.ar/ff7/data/minigame/condor.lgp/kg.p.png","View Picture")</f>
        <v>View Picture</v>
      </c>
      <c r="K1370" s="43"/>
    </row>
    <row r="1371">
      <c r="A1371" s="40"/>
      <c r="B1371" s="33" t="s">
        <v>6495</v>
      </c>
      <c r="C1371" s="42">
        <v>56.0</v>
      </c>
      <c r="D1371" s="33" t="s">
        <v>13440</v>
      </c>
      <c r="E1371" s="74"/>
      <c r="F1371" s="46" t="s">
        <v>2793</v>
      </c>
      <c r="G1371" s="142"/>
      <c r="H1371" s="96" t="str">
        <f>HYPERLINK("http://mirror.ff7data.com.ar/ff7/data/minigame/condor.lgp/kg.rsd.png","View Picture")</f>
        <v>View Picture</v>
      </c>
      <c r="K1371" s="43"/>
    </row>
    <row r="1372">
      <c r="A1372" s="40"/>
      <c r="B1372" s="33" t="s">
        <v>6509</v>
      </c>
      <c r="C1372" s="42">
        <v>4564.0</v>
      </c>
      <c r="D1372" s="33" t="s">
        <v>13451</v>
      </c>
      <c r="E1372" s="74"/>
      <c r="F1372" s="46" t="s">
        <v>2775</v>
      </c>
      <c r="G1372" s="142"/>
      <c r="H1372" s="96" t="str">
        <f>HYPERLINK("http://mirror.ff7data.com.ar/ff7/data/minigame/condor.lgp/kh.p.png","View Picture")</f>
        <v>View Picture</v>
      </c>
      <c r="K1372" s="43"/>
    </row>
    <row r="1373">
      <c r="A1373" s="40"/>
      <c r="B1373" s="33" t="s">
        <v>6528</v>
      </c>
      <c r="C1373" s="42">
        <v>56.0</v>
      </c>
      <c r="D1373" s="33" t="s">
        <v>13451</v>
      </c>
      <c r="E1373" s="74"/>
      <c r="F1373" s="46" t="s">
        <v>2793</v>
      </c>
      <c r="G1373" s="142"/>
      <c r="H1373" s="96" t="str">
        <f>HYPERLINK("http://mirror.ff7data.com.ar/ff7/data/minigame/condor.lgp/kh.rsd.png","View Picture")</f>
        <v>View Picture</v>
      </c>
      <c r="K1373" s="43"/>
    </row>
    <row r="1374">
      <c r="A1374" s="40"/>
      <c r="B1374" s="33" t="s">
        <v>6537</v>
      </c>
      <c r="C1374" s="42">
        <v>4564.0</v>
      </c>
      <c r="D1374" s="33" t="s">
        <v>13461</v>
      </c>
      <c r="E1374" s="74"/>
      <c r="F1374" s="46" t="s">
        <v>2775</v>
      </c>
      <c r="G1374" s="142"/>
      <c r="H1374" s="96" t="str">
        <f>HYPERLINK("http://mirror.ff7data.com.ar/ff7/data/minigame/condor.lgp/ki.p.png","View Picture")</f>
        <v>View Picture</v>
      </c>
      <c r="K1374" s="43"/>
    </row>
    <row r="1375">
      <c r="A1375" s="40"/>
      <c r="B1375" s="33" t="s">
        <v>6553</v>
      </c>
      <c r="C1375" s="42">
        <v>56.0</v>
      </c>
      <c r="D1375" s="33" t="s">
        <v>13461</v>
      </c>
      <c r="E1375" s="74"/>
      <c r="F1375" s="46" t="s">
        <v>2793</v>
      </c>
      <c r="G1375" s="142"/>
      <c r="H1375" s="96" t="str">
        <f>HYPERLINK("http://mirror.ff7data.com.ar/ff7/data/minigame/condor.lgp/ki.rsd.png","View Picture")</f>
        <v>View Picture</v>
      </c>
      <c r="K1375" s="43"/>
    </row>
    <row r="1376">
      <c r="A1376" s="40"/>
      <c r="B1376" s="33" t="s">
        <v>6563</v>
      </c>
      <c r="C1376" s="42">
        <v>4724.0</v>
      </c>
      <c r="D1376" s="33" t="s">
        <v>13471</v>
      </c>
      <c r="E1376" s="74"/>
      <c r="F1376" s="46" t="s">
        <v>2775</v>
      </c>
      <c r="G1376" s="142"/>
      <c r="H1376" s="96" t="str">
        <f>HYPERLINK("http://mirror.ff7data.com.ar/ff7/data/minigame/condor.lgp/kj.p.png","View Picture")</f>
        <v>View Picture</v>
      </c>
      <c r="K1376" s="43"/>
    </row>
    <row r="1377">
      <c r="A1377" s="40"/>
      <c r="B1377" s="33" t="s">
        <v>6574</v>
      </c>
      <c r="C1377" s="42">
        <v>93.0</v>
      </c>
      <c r="D1377" s="33" t="s">
        <v>13471</v>
      </c>
      <c r="E1377" s="74"/>
      <c r="F1377" s="46" t="s">
        <v>2793</v>
      </c>
      <c r="G1377" s="142"/>
      <c r="H1377" s="96" t="str">
        <f>HYPERLINK("http://mirror.ff7data.com.ar/ff7/data/minigame/condor.lgp/kj.rsd.png","View Picture")</f>
        <v>View Picture</v>
      </c>
      <c r="K1377" s="43"/>
    </row>
    <row r="1378">
      <c r="A1378" s="40"/>
      <c r="B1378" s="33" t="s">
        <v>6583</v>
      </c>
      <c r="C1378" s="42">
        <v>4772.0</v>
      </c>
      <c r="D1378" s="33" t="s">
        <v>13487</v>
      </c>
      <c r="E1378" s="74"/>
      <c r="F1378" s="46" t="s">
        <v>2775</v>
      </c>
      <c r="G1378" s="142"/>
      <c r="H1378" s="96" t="str">
        <f>HYPERLINK("http://mirror.ff7data.com.ar/ff7/data/minigame/condor.lgp/kk.p.png","View Picture")</f>
        <v>View Picture</v>
      </c>
      <c r="K1378" s="43"/>
    </row>
    <row r="1379">
      <c r="A1379" s="40"/>
      <c r="B1379" s="33" t="s">
        <v>6595</v>
      </c>
      <c r="C1379" s="42">
        <v>56.0</v>
      </c>
      <c r="D1379" s="33" t="s">
        <v>13487</v>
      </c>
      <c r="E1379" s="74"/>
      <c r="F1379" s="46" t="s">
        <v>2793</v>
      </c>
      <c r="G1379" s="142"/>
      <c r="H1379" s="96" t="str">
        <f>HYPERLINK("http://mirror.ff7data.com.ar/ff7/data/minigame/condor.lgp/kk.rsd.png","View Picture")</f>
        <v>View Picture</v>
      </c>
      <c r="K1379" s="43"/>
    </row>
    <row r="1380">
      <c r="A1380" s="40"/>
      <c r="B1380" s="33" t="s">
        <v>6603</v>
      </c>
      <c r="C1380" s="42">
        <v>4772.0</v>
      </c>
      <c r="D1380" s="33" t="s">
        <v>13505</v>
      </c>
      <c r="E1380" s="74"/>
      <c r="F1380" s="46" t="s">
        <v>2775</v>
      </c>
      <c r="G1380" s="142"/>
      <c r="H1380" s="96" t="str">
        <f>HYPERLINK("http://mirror.ff7data.com.ar/ff7/data/minigame/condor.lgp/kl.p.png","View Picture")</f>
        <v>View Picture</v>
      </c>
      <c r="K1380" s="43"/>
    </row>
    <row r="1381">
      <c r="A1381" s="40"/>
      <c r="B1381" s="33" t="s">
        <v>6614</v>
      </c>
      <c r="C1381" s="42">
        <v>56.0</v>
      </c>
      <c r="D1381" s="33" t="s">
        <v>13505</v>
      </c>
      <c r="E1381" s="74"/>
      <c r="F1381" s="46" t="s">
        <v>2793</v>
      </c>
      <c r="G1381" s="142"/>
      <c r="H1381" s="96" t="str">
        <f>HYPERLINK("http://mirror.ff7data.com.ar/ff7/data/minigame/condor.lgp/kl.rsd.png","View Picture")</f>
        <v>View Picture</v>
      </c>
      <c r="K1381" s="43"/>
    </row>
    <row r="1382">
      <c r="A1382" s="40"/>
      <c r="B1382" s="33" t="s">
        <v>6626</v>
      </c>
      <c r="C1382" s="42">
        <v>4772.0</v>
      </c>
      <c r="D1382" s="33" t="s">
        <v>13522</v>
      </c>
      <c r="E1382" s="74"/>
      <c r="F1382" s="46" t="s">
        <v>2775</v>
      </c>
      <c r="G1382" s="142"/>
      <c r="H1382" s="96" t="str">
        <f>HYPERLINK("http://mirror.ff7data.com.ar/ff7/data/minigame/condor.lgp/km.p.png","View Picture")</f>
        <v>View Picture</v>
      </c>
      <c r="K1382" s="43"/>
    </row>
    <row r="1383">
      <c r="A1383" s="40"/>
      <c r="B1383" s="33" t="s">
        <v>6638</v>
      </c>
      <c r="C1383" s="42">
        <v>56.0</v>
      </c>
      <c r="D1383" s="33" t="s">
        <v>13522</v>
      </c>
      <c r="E1383" s="74"/>
      <c r="F1383" s="46" t="s">
        <v>2793</v>
      </c>
      <c r="G1383" s="142"/>
      <c r="H1383" s="96" t="str">
        <f>HYPERLINK("http://mirror.ff7data.com.ar/ff7/data/minigame/condor.lgp/km.rsd.png","View Picture")</f>
        <v>View Picture</v>
      </c>
      <c r="K1383" s="43"/>
    </row>
    <row r="1384">
      <c r="A1384" s="40"/>
      <c r="B1384" s="33" t="s">
        <v>13538</v>
      </c>
      <c r="C1384" s="42">
        <v>4772.0</v>
      </c>
      <c r="D1384" s="33" t="s">
        <v>13540</v>
      </c>
      <c r="E1384" s="74"/>
      <c r="F1384" s="46" t="s">
        <v>2775</v>
      </c>
      <c r="G1384" s="142"/>
      <c r="H1384" s="96" t="str">
        <f>HYPERLINK("http://mirror.ff7data.com.ar/ff7/data/minigame/condor.lgp/kn.p.png","View Picture")</f>
        <v>View Picture</v>
      </c>
      <c r="K1384" s="43"/>
    </row>
    <row r="1385">
      <c r="A1385" s="40"/>
      <c r="B1385" s="33" t="s">
        <v>13548</v>
      </c>
      <c r="C1385" s="42">
        <v>56.0</v>
      </c>
      <c r="D1385" s="33" t="s">
        <v>13540</v>
      </c>
      <c r="E1385" s="74"/>
      <c r="F1385" s="46" t="s">
        <v>2793</v>
      </c>
      <c r="G1385" s="142"/>
      <c r="H1385" s="96" t="str">
        <f>HYPERLINK("http://mirror.ff7data.com.ar/ff7/data/minigame/condor.lgp/kn.rsd.png","View Picture")</f>
        <v>View Picture</v>
      </c>
      <c r="K1385" s="43"/>
    </row>
    <row r="1386">
      <c r="A1386" s="40"/>
      <c r="B1386" s="33" t="s">
        <v>13556</v>
      </c>
      <c r="C1386" s="42">
        <v>4772.0</v>
      </c>
      <c r="D1386" s="33" t="s">
        <v>13558</v>
      </c>
      <c r="E1386" s="74"/>
      <c r="F1386" s="46" t="s">
        <v>2775</v>
      </c>
      <c r="G1386" s="142"/>
      <c r="H1386" s="96" t="str">
        <f>HYPERLINK("http://mirror.ff7data.com.ar/ff7/data/minigame/condor.lgp/ko.p.png","View Picture")</f>
        <v>View Picture</v>
      </c>
      <c r="K1386" s="43"/>
    </row>
    <row r="1387">
      <c r="A1387" s="40"/>
      <c r="B1387" s="33" t="s">
        <v>13567</v>
      </c>
      <c r="C1387" s="42">
        <v>56.0</v>
      </c>
      <c r="D1387" s="33" t="s">
        <v>13558</v>
      </c>
      <c r="E1387" s="74"/>
      <c r="F1387" s="46" t="s">
        <v>2793</v>
      </c>
      <c r="G1387" s="142"/>
      <c r="H1387" s="96" t="str">
        <f>HYPERLINK("http://mirror.ff7data.com.ar/ff7/data/minigame/condor.lgp/ko.rsd.png","View Picture")</f>
        <v>View Picture</v>
      </c>
      <c r="K1387" s="43"/>
    </row>
    <row r="1388">
      <c r="A1388" s="40"/>
      <c r="B1388" s="33" t="s">
        <v>6663</v>
      </c>
      <c r="C1388" s="42">
        <v>4772.0</v>
      </c>
      <c r="D1388" s="33" t="s">
        <v>13575</v>
      </c>
      <c r="E1388" s="74"/>
      <c r="F1388" s="46" t="s">
        <v>2775</v>
      </c>
      <c r="G1388" s="142"/>
      <c r="H1388" s="96" t="str">
        <f>HYPERLINK("http://mirror.ff7data.com.ar/ff7/data/minigame/condor.lgp/kp.p.png","View Picture")</f>
        <v>View Picture</v>
      </c>
      <c r="K1388" s="43"/>
    </row>
    <row r="1389">
      <c r="A1389" s="40"/>
      <c r="B1389" s="33" t="s">
        <v>6677</v>
      </c>
      <c r="C1389" s="42">
        <v>56.0</v>
      </c>
      <c r="D1389" s="33" t="s">
        <v>13575</v>
      </c>
      <c r="E1389" s="74"/>
      <c r="F1389" s="46" t="s">
        <v>2793</v>
      </c>
      <c r="G1389" s="142"/>
      <c r="H1389" s="96" t="str">
        <f>HYPERLINK("http://mirror.ff7data.com.ar/ff7/data/minigame/condor.lgp/kp.rsd.png","View Picture")</f>
        <v>View Picture</v>
      </c>
      <c r="K1389" s="43"/>
    </row>
    <row r="1390">
      <c r="A1390" s="40"/>
      <c r="B1390" s="33" t="s">
        <v>13588</v>
      </c>
      <c r="C1390" s="42">
        <v>4772.0</v>
      </c>
      <c r="D1390" s="33" t="s">
        <v>13590</v>
      </c>
      <c r="E1390" s="74"/>
      <c r="F1390" s="46" t="s">
        <v>2775</v>
      </c>
      <c r="G1390" s="142"/>
      <c r="H1390" s="96" t="str">
        <f>HYPERLINK("http://mirror.ff7data.com.ar/ff7/data/minigame/condor.lgp/kq.p.png","View Picture")</f>
        <v>View Picture</v>
      </c>
      <c r="K1390" s="43"/>
    </row>
    <row r="1391">
      <c r="A1391" s="40"/>
      <c r="B1391" s="33" t="s">
        <v>13596</v>
      </c>
      <c r="C1391" s="42">
        <v>56.0</v>
      </c>
      <c r="D1391" s="33" t="s">
        <v>13590</v>
      </c>
      <c r="E1391" s="74"/>
      <c r="F1391" s="46" t="s">
        <v>2793</v>
      </c>
      <c r="G1391" s="142"/>
      <c r="H1391" s="96" t="str">
        <f>HYPERLINK("http://mirror.ff7data.com.ar/ff7/data/minigame/condor.lgp/kq.rsd.png","View Picture")</f>
        <v>View Picture</v>
      </c>
      <c r="K1391" s="43"/>
    </row>
    <row r="1392">
      <c r="A1392" s="40"/>
      <c r="B1392" s="33" t="s">
        <v>13605</v>
      </c>
      <c r="C1392" s="42">
        <v>4772.0</v>
      </c>
      <c r="D1392" s="33" t="s">
        <v>13607</v>
      </c>
      <c r="E1392" s="74"/>
      <c r="F1392" s="46" t="s">
        <v>2775</v>
      </c>
      <c r="G1392" s="142"/>
      <c r="H1392" s="96" t="str">
        <f>HYPERLINK("http://mirror.ff7data.com.ar/ff7/data/minigame/condor.lgp/kr.p.png","View Picture")</f>
        <v>View Picture</v>
      </c>
      <c r="K1392" s="43"/>
    </row>
    <row r="1393">
      <c r="A1393" s="40"/>
      <c r="B1393" s="33" t="s">
        <v>13616</v>
      </c>
      <c r="C1393" s="42">
        <v>56.0</v>
      </c>
      <c r="D1393" s="33" t="s">
        <v>13607</v>
      </c>
      <c r="E1393" s="74"/>
      <c r="F1393" s="46" t="s">
        <v>2793</v>
      </c>
      <c r="G1393" s="142"/>
      <c r="H1393" s="96" t="str">
        <f>HYPERLINK("http://mirror.ff7data.com.ar/ff7/data/minigame/condor.lgp/kr.rsd.png","View Picture")</f>
        <v>View Picture</v>
      </c>
      <c r="K1393" s="43"/>
    </row>
    <row r="1394">
      <c r="A1394" s="40"/>
      <c r="B1394" s="33" t="s">
        <v>6705</v>
      </c>
      <c r="C1394" s="42">
        <v>4772.0</v>
      </c>
      <c r="D1394" s="33" t="s">
        <v>13632</v>
      </c>
      <c r="E1394" s="74"/>
      <c r="F1394" s="46" t="s">
        <v>2775</v>
      </c>
      <c r="G1394" s="142"/>
      <c r="H1394" s="96" t="str">
        <f>HYPERLINK("http://mirror.ff7data.com.ar/ff7/data/minigame/condor.lgp/ks.p.png","View Picture")</f>
        <v>View Picture</v>
      </c>
      <c r="K1394" s="43"/>
    </row>
    <row r="1395">
      <c r="A1395" s="40"/>
      <c r="B1395" s="33" t="s">
        <v>6715</v>
      </c>
      <c r="C1395" s="42">
        <v>56.0</v>
      </c>
      <c r="D1395" s="33" t="s">
        <v>13632</v>
      </c>
      <c r="E1395" s="74"/>
      <c r="F1395" s="46" t="s">
        <v>2793</v>
      </c>
      <c r="G1395" s="142"/>
      <c r="H1395" s="96" t="str">
        <f>HYPERLINK("http://mirror.ff7data.com.ar/ff7/data/minigame/condor.lgp/ks.rsd.png","View Picture")</f>
        <v>View Picture</v>
      </c>
      <c r="K1395" s="43"/>
    </row>
    <row r="1396">
      <c r="A1396" s="40"/>
      <c r="B1396" s="33" t="s">
        <v>13650</v>
      </c>
      <c r="C1396" s="42">
        <v>4772.0</v>
      </c>
      <c r="D1396" s="33" t="s">
        <v>13651</v>
      </c>
      <c r="E1396" s="74"/>
      <c r="F1396" s="46" t="s">
        <v>2775</v>
      </c>
      <c r="G1396" s="142"/>
      <c r="H1396" s="96" t="str">
        <f>HYPERLINK("http://mirror.ff7data.com.ar/ff7/data/minigame/condor.lgp/kt.p.png","View Picture")</f>
        <v>View Picture</v>
      </c>
      <c r="K1396" s="43"/>
    </row>
    <row r="1397">
      <c r="A1397" s="40"/>
      <c r="B1397" s="33" t="s">
        <v>13658</v>
      </c>
      <c r="C1397" s="42">
        <v>56.0</v>
      </c>
      <c r="D1397" s="33" t="s">
        <v>13651</v>
      </c>
      <c r="E1397" s="74"/>
      <c r="F1397" s="46" t="s">
        <v>2793</v>
      </c>
      <c r="G1397" s="142"/>
      <c r="H1397" s="96" t="str">
        <f>HYPERLINK("http://mirror.ff7data.com.ar/ff7/data/minigame/condor.lgp/kt.rsd.png","View Picture")</f>
        <v>View Picture</v>
      </c>
      <c r="K1397" s="43"/>
    </row>
    <row r="1398">
      <c r="A1398" s="40"/>
      <c r="B1398" s="33" t="s">
        <v>13665</v>
      </c>
      <c r="C1398" s="42">
        <v>4772.0</v>
      </c>
      <c r="D1398" s="33" t="s">
        <v>13667</v>
      </c>
      <c r="E1398" s="74"/>
      <c r="F1398" s="46" t="s">
        <v>2775</v>
      </c>
      <c r="G1398" s="142"/>
      <c r="H1398" s="96" t="str">
        <f>HYPERLINK("http://mirror.ff7data.com.ar/ff7/data/minigame/condor.lgp/ku.p.png","View Picture")</f>
        <v>View Picture</v>
      </c>
      <c r="K1398" s="43"/>
    </row>
    <row r="1399">
      <c r="A1399" s="40"/>
      <c r="B1399" s="33" t="s">
        <v>13673</v>
      </c>
      <c r="C1399" s="42">
        <v>56.0</v>
      </c>
      <c r="D1399" s="33" t="s">
        <v>13667</v>
      </c>
      <c r="E1399" s="74"/>
      <c r="F1399" s="46" t="s">
        <v>2793</v>
      </c>
      <c r="G1399" s="142"/>
      <c r="H1399" s="96" t="str">
        <f>HYPERLINK("http://mirror.ff7data.com.ar/ff7/data/minigame/condor.lgp/ku.rsd.png","View Picture")</f>
        <v>View Picture</v>
      </c>
      <c r="K1399" s="43"/>
    </row>
    <row r="1400">
      <c r="A1400" s="40"/>
      <c r="B1400" s="33" t="s">
        <v>6744</v>
      </c>
      <c r="C1400" s="42">
        <v>4772.0</v>
      </c>
      <c r="D1400" s="33" t="s">
        <v>13684</v>
      </c>
      <c r="E1400" s="74"/>
      <c r="F1400" s="46" t="s">
        <v>2775</v>
      </c>
      <c r="G1400" s="142"/>
      <c r="H1400" s="96" t="str">
        <f>HYPERLINK("http://mirror.ff7data.com.ar/ff7/data/minigame/condor.lgp/kv.p.png","View Picture")</f>
        <v>View Picture</v>
      </c>
      <c r="K1400" s="43"/>
    </row>
    <row r="1401">
      <c r="A1401" s="40"/>
      <c r="B1401" s="33" t="s">
        <v>6754</v>
      </c>
      <c r="C1401" s="42">
        <v>56.0</v>
      </c>
      <c r="D1401" s="33" t="s">
        <v>13684</v>
      </c>
      <c r="E1401" s="74"/>
      <c r="F1401" s="46" t="s">
        <v>2793</v>
      </c>
      <c r="G1401" s="142"/>
      <c r="H1401" s="96" t="str">
        <f>HYPERLINK("http://mirror.ff7data.com.ar/ff7/data/minigame/condor.lgp/kv.rsd.png","View Picture")</f>
        <v>View Picture</v>
      </c>
      <c r="K1401" s="43"/>
    </row>
    <row r="1402">
      <c r="A1402" s="21"/>
      <c r="B1402" s="33" t="s">
        <v>13702</v>
      </c>
      <c r="C1402" s="42">
        <v>976.0</v>
      </c>
      <c r="D1402" s="141" t="s">
        <v>12615</v>
      </c>
      <c r="E1402" s="74"/>
      <c r="F1402" s="46" t="s">
        <v>2775</v>
      </c>
      <c r="G1402" s="75"/>
      <c r="H1402" s="96" t="str">
        <f>HYPERLINK("http://mirror.ff7data.com.ar/ff7/data/minigame/condor.lgp/kw.p.png","View Picture")</f>
        <v>View Picture</v>
      </c>
      <c r="K1402" s="43"/>
    </row>
    <row r="1403">
      <c r="A1403" s="21"/>
      <c r="B1403" s="33" t="s">
        <v>13718</v>
      </c>
      <c r="C1403" s="42">
        <v>56.0</v>
      </c>
      <c r="D1403" s="141" t="s">
        <v>12615</v>
      </c>
      <c r="E1403" s="74"/>
      <c r="F1403" s="46" t="s">
        <v>2793</v>
      </c>
      <c r="G1403" s="75"/>
      <c r="H1403" s="96" t="str">
        <f>HYPERLINK("http://mirror.ff7data.com.ar/ff7/data/minigame/condor.lgp/kw.rsd.png","View Picture")</f>
        <v>View Picture</v>
      </c>
      <c r="K1403" s="43"/>
    </row>
    <row r="1404">
      <c r="A1404" s="21"/>
      <c r="B1404" s="33" t="s">
        <v>13727</v>
      </c>
      <c r="C1404" s="42">
        <v>976.0</v>
      </c>
      <c r="D1404" s="141" t="s">
        <v>12615</v>
      </c>
      <c r="E1404" s="74"/>
      <c r="F1404" s="46" t="s">
        <v>2775</v>
      </c>
      <c r="G1404" s="75"/>
      <c r="H1404" s="96" t="str">
        <f>HYPERLINK("http://mirror.ff7data.com.ar/ff7/data/minigame/condor.lgp/kx.p.png","View Picture")</f>
        <v>View Picture</v>
      </c>
      <c r="K1404" s="43"/>
    </row>
    <row r="1405">
      <c r="A1405" s="21"/>
      <c r="B1405" s="33" t="s">
        <v>13735</v>
      </c>
      <c r="C1405" s="42">
        <v>56.0</v>
      </c>
      <c r="D1405" s="141" t="s">
        <v>12615</v>
      </c>
      <c r="E1405" s="74"/>
      <c r="F1405" s="46" t="s">
        <v>2793</v>
      </c>
      <c r="G1405" s="75"/>
      <c r="H1405" s="96" t="str">
        <f>HYPERLINK("http://mirror.ff7data.com.ar/ff7/data/minigame/condor.lgp/kx.rsd.png","View Picture")</f>
        <v>View Picture</v>
      </c>
      <c r="K1405" s="43"/>
    </row>
    <row r="1406">
      <c r="A1406" s="21"/>
      <c r="B1406" s="33" t="s">
        <v>6797</v>
      </c>
      <c r="C1406" s="42">
        <v>976.0</v>
      </c>
      <c r="D1406" s="141" t="s">
        <v>12615</v>
      </c>
      <c r="E1406" s="74"/>
      <c r="F1406" s="46" t="s">
        <v>2775</v>
      </c>
      <c r="G1406" s="75"/>
      <c r="H1406" s="96" t="str">
        <f>HYPERLINK("http://mirror.ff7data.com.ar/ff7/data/minigame/condor.lgp/ky.p.png","View Picture")</f>
        <v>View Picture</v>
      </c>
      <c r="K1406" s="43"/>
    </row>
    <row r="1407">
      <c r="A1407" s="21"/>
      <c r="B1407" s="33" t="s">
        <v>6809</v>
      </c>
      <c r="C1407" s="42">
        <v>56.0</v>
      </c>
      <c r="D1407" s="141" t="s">
        <v>12615</v>
      </c>
      <c r="E1407" s="74"/>
      <c r="F1407" s="46" t="s">
        <v>2793</v>
      </c>
      <c r="G1407" s="75"/>
      <c r="H1407" s="96" t="str">
        <f>HYPERLINK("http://mirror.ff7data.com.ar/ff7/data/minigame/condor.lgp/ky.rsd.png","View Picture")</f>
        <v>View Picture</v>
      </c>
      <c r="K1407" s="43"/>
    </row>
    <row r="1408">
      <c r="A1408" s="21"/>
      <c r="B1408" s="33" t="s">
        <v>13750</v>
      </c>
      <c r="C1408" s="42">
        <v>976.0</v>
      </c>
      <c r="D1408" s="141" t="s">
        <v>12615</v>
      </c>
      <c r="E1408" s="74"/>
      <c r="F1408" s="46" t="s">
        <v>2775</v>
      </c>
      <c r="G1408" s="75"/>
      <c r="H1408" s="96" t="str">
        <f>HYPERLINK("http://mirror.ff7data.com.ar/ff7/data/minigame/condor.lgp/kz.p.png","View Picture")</f>
        <v>View Picture</v>
      </c>
      <c r="K1408" s="43"/>
    </row>
    <row r="1409">
      <c r="A1409" s="21"/>
      <c r="B1409" s="33" t="s">
        <v>13754</v>
      </c>
      <c r="C1409" s="42">
        <v>56.0</v>
      </c>
      <c r="D1409" s="141" t="s">
        <v>12615</v>
      </c>
      <c r="E1409" s="74"/>
      <c r="F1409" s="46" t="s">
        <v>2793</v>
      </c>
      <c r="G1409" s="75"/>
      <c r="H1409" s="96" t="str">
        <f>HYPERLINK("http://mirror.ff7data.com.ar/ff7/data/minigame/condor.lgp/kz.rsd.png","View Picture")</f>
        <v>View Picture</v>
      </c>
      <c r="K1409" s="43"/>
    </row>
    <row r="1410">
      <c r="A1410" s="40"/>
      <c r="B1410" s="33" t="s">
        <v>13765</v>
      </c>
      <c r="C1410" s="42">
        <v>1876.0</v>
      </c>
      <c r="D1410" s="33" t="s">
        <v>13767</v>
      </c>
      <c r="E1410" s="74"/>
      <c r="F1410" s="46" t="s">
        <v>2775</v>
      </c>
      <c r="G1410" s="75"/>
      <c r="H1410" s="96" t="str">
        <f>HYPERLINK("http://mirror.ff7data.com.ar/ff7/data/minigame/condor.lgp/la.p.png","View Picture")</f>
        <v>View Picture</v>
      </c>
      <c r="K1410" s="43"/>
    </row>
    <row r="1411">
      <c r="A1411" s="40"/>
      <c r="B1411" s="33" t="s">
        <v>13780</v>
      </c>
      <c r="C1411" s="42">
        <v>56.0</v>
      </c>
      <c r="D1411" s="33" t="s">
        <v>13767</v>
      </c>
      <c r="E1411" s="74"/>
      <c r="F1411" s="46" t="s">
        <v>2793</v>
      </c>
      <c r="G1411" s="75"/>
      <c r="H1411" s="96" t="str">
        <f>HYPERLINK("http://mirror.ff7data.com.ar/ff7/data/minigame/condor.lgp/la.rsd.png","View Picture")</f>
        <v>View Picture</v>
      </c>
      <c r="K1411" s="43"/>
    </row>
    <row r="1412">
      <c r="A1412" s="40"/>
      <c r="B1412" s="33" t="s">
        <v>6835</v>
      </c>
      <c r="C1412" s="42">
        <v>776.0</v>
      </c>
      <c r="D1412" s="33" t="s">
        <v>13797</v>
      </c>
      <c r="E1412" s="74"/>
      <c r="F1412" s="46" t="s">
        <v>2775</v>
      </c>
      <c r="G1412" s="75"/>
      <c r="H1412" s="96" t="str">
        <f>HYPERLINK("http://mirror.ff7data.com.ar/ff7/data/minigame/condor.lgp/lb.p.png","View Picture")</f>
        <v>View Picture</v>
      </c>
      <c r="K1412" s="43"/>
    </row>
    <row r="1413">
      <c r="A1413" s="40"/>
      <c r="B1413" s="33" t="s">
        <v>6846</v>
      </c>
      <c r="C1413" s="42">
        <v>56.0</v>
      </c>
      <c r="D1413" s="33" t="s">
        <v>13797</v>
      </c>
      <c r="E1413" s="74"/>
      <c r="F1413" s="46" t="s">
        <v>2793</v>
      </c>
      <c r="G1413" s="75"/>
      <c r="H1413" s="96" t="str">
        <f>HYPERLINK("http://mirror.ff7data.com.ar/ff7/data/minigame/condor.lgp/lb.rsd.png","View Picture")</f>
        <v>View Picture</v>
      </c>
      <c r="K1413" s="43"/>
    </row>
    <row r="1414">
      <c r="A1414" s="40"/>
      <c r="B1414" s="33" t="s">
        <v>6857</v>
      </c>
      <c r="C1414" s="42">
        <v>776.0</v>
      </c>
      <c r="D1414" s="33" t="s">
        <v>13819</v>
      </c>
      <c r="E1414" s="74"/>
      <c r="F1414" s="46" t="s">
        <v>2775</v>
      </c>
      <c r="G1414" s="75"/>
      <c r="H1414" s="96" t="str">
        <f>HYPERLINK("http://mirror.ff7data.com.ar/ff7/data/minigame/condor.lgp/lc.p.png","View Picture")</f>
        <v>View Picture</v>
      </c>
      <c r="K1414" s="43"/>
    </row>
    <row r="1415">
      <c r="A1415" s="40"/>
      <c r="B1415" s="33" t="s">
        <v>6867</v>
      </c>
      <c r="C1415" s="42">
        <v>56.0</v>
      </c>
      <c r="D1415" s="33" t="s">
        <v>13819</v>
      </c>
      <c r="E1415" s="74"/>
      <c r="F1415" s="46" t="s">
        <v>2793</v>
      </c>
      <c r="G1415" s="75"/>
      <c r="H1415" s="96" t="str">
        <f>HYPERLINK("http://mirror.ff7data.com.ar/ff7/data/minigame/condor.lgp/lc.rsd.png","View Picture")</f>
        <v>View Picture</v>
      </c>
      <c r="K1415" s="43"/>
    </row>
    <row r="1416">
      <c r="A1416" s="40"/>
      <c r="B1416" s="33" t="s">
        <v>6873</v>
      </c>
      <c r="C1416" s="42">
        <v>1176.0</v>
      </c>
      <c r="D1416" s="33" t="s">
        <v>13841</v>
      </c>
      <c r="E1416" s="74"/>
      <c r="F1416" s="46" t="s">
        <v>2775</v>
      </c>
      <c r="G1416" s="75"/>
      <c r="H1416" s="96" t="str">
        <f>HYPERLINK("http://mirror.ff7data.com.ar/ff7/data/minigame/condor.lgp/ld.p.png","View Picture")</f>
        <v>View Picture</v>
      </c>
      <c r="K1416" s="43"/>
    </row>
    <row r="1417">
      <c r="A1417" s="40"/>
      <c r="B1417" s="33" t="s">
        <v>6889</v>
      </c>
      <c r="C1417" s="42">
        <v>56.0</v>
      </c>
      <c r="D1417" s="33" t="s">
        <v>13841</v>
      </c>
      <c r="E1417" s="74"/>
      <c r="F1417" s="46" t="s">
        <v>2793</v>
      </c>
      <c r="G1417" s="75"/>
      <c r="H1417" s="96" t="str">
        <f>HYPERLINK("http://mirror.ff7data.com.ar/ff7/data/minigame/condor.lgp/ld.rsd.png","View Picture")</f>
        <v>View Picture</v>
      </c>
      <c r="K1417" s="43"/>
    </row>
    <row r="1418">
      <c r="A1418" s="40"/>
      <c r="B1418" s="33" t="s">
        <v>6902</v>
      </c>
      <c r="C1418" s="42">
        <v>1456.0</v>
      </c>
      <c r="D1418" s="33" t="s">
        <v>13858</v>
      </c>
      <c r="E1418" s="74"/>
      <c r="F1418" s="46" t="s">
        <v>2775</v>
      </c>
      <c r="G1418" s="75"/>
      <c r="H1418" s="96" t="str">
        <f>HYPERLINK("http://mirror.ff7data.com.ar/ff7/data/minigame/condor.lgp/le.p.png","View Picture")</f>
        <v>View Picture</v>
      </c>
      <c r="K1418" s="43"/>
    </row>
    <row r="1419">
      <c r="A1419" s="40"/>
      <c r="B1419" s="33" t="s">
        <v>6916</v>
      </c>
      <c r="C1419" s="42">
        <v>56.0</v>
      </c>
      <c r="D1419" s="33" t="s">
        <v>13858</v>
      </c>
      <c r="E1419" s="74"/>
      <c r="F1419" s="46" t="s">
        <v>2793</v>
      </c>
      <c r="G1419" s="75"/>
      <c r="H1419" s="96" t="str">
        <f>HYPERLINK("http://mirror.ff7data.com.ar/ff7/data/minigame/condor.lgp/le.rsd.png","View Picture")</f>
        <v>View Picture</v>
      </c>
      <c r="K1419" s="43"/>
    </row>
    <row r="1420">
      <c r="A1420" s="40"/>
      <c r="B1420" s="33" t="s">
        <v>6927</v>
      </c>
      <c r="C1420" s="42">
        <v>1456.0</v>
      </c>
      <c r="D1420" s="33" t="s">
        <v>13873</v>
      </c>
      <c r="E1420" s="74"/>
      <c r="F1420" s="46" t="s">
        <v>2775</v>
      </c>
      <c r="G1420" s="75"/>
      <c r="H1420" s="96" t="str">
        <f>HYPERLINK("http://mirror.ff7data.com.ar/ff7/data/minigame/condor.lgp/lf.p.png","View Picture")</f>
        <v>View Picture</v>
      </c>
      <c r="K1420" s="43"/>
    </row>
    <row r="1421">
      <c r="A1421" s="40"/>
      <c r="B1421" s="33" t="s">
        <v>6939</v>
      </c>
      <c r="C1421" s="42">
        <v>56.0</v>
      </c>
      <c r="D1421" s="33" t="s">
        <v>13873</v>
      </c>
      <c r="E1421" s="74"/>
      <c r="F1421" s="46" t="s">
        <v>2793</v>
      </c>
      <c r="G1421" s="75"/>
      <c r="H1421" s="96" t="str">
        <f>HYPERLINK("http://mirror.ff7data.com.ar/ff7/data/minigame/condor.lgp/lf.rsd.png","View Picture")</f>
        <v>View Picture</v>
      </c>
      <c r="K1421" s="43"/>
    </row>
    <row r="1422">
      <c r="A1422" s="40"/>
      <c r="B1422" s="33" t="s">
        <v>6949</v>
      </c>
      <c r="C1422" s="42">
        <v>1752.0</v>
      </c>
      <c r="D1422" s="33" t="s">
        <v>13889</v>
      </c>
      <c r="E1422" s="74"/>
      <c r="F1422" s="46" t="s">
        <v>2775</v>
      </c>
      <c r="G1422" s="75"/>
      <c r="H1422" s="96" t="str">
        <f>HYPERLINK("http://mirror.ff7data.com.ar/ff7/data/minigame/condor.lgp/lg.p.png","View Picture")</f>
        <v>View Picture</v>
      </c>
      <c r="K1422" s="43"/>
    </row>
    <row r="1423">
      <c r="A1423" s="40"/>
      <c r="B1423" s="33" t="s">
        <v>6962</v>
      </c>
      <c r="C1423" s="42">
        <v>56.0</v>
      </c>
      <c r="D1423" s="33" t="s">
        <v>13889</v>
      </c>
      <c r="E1423" s="74"/>
      <c r="F1423" s="46" t="s">
        <v>2793</v>
      </c>
      <c r="G1423" s="75"/>
      <c r="H1423" s="96" t="str">
        <f>HYPERLINK("http://mirror.ff7data.com.ar/ff7/data/minigame/condor.lgp/lg.rsd.png","View Picture")</f>
        <v>View Picture</v>
      </c>
      <c r="K1423" s="43"/>
    </row>
    <row r="1424">
      <c r="A1424" s="40"/>
      <c r="B1424" s="33" t="s">
        <v>6973</v>
      </c>
      <c r="C1424" s="42">
        <v>1576.0</v>
      </c>
      <c r="D1424" s="33" t="s">
        <v>13903</v>
      </c>
      <c r="E1424" s="74"/>
      <c r="F1424" s="46" t="s">
        <v>2775</v>
      </c>
      <c r="G1424" s="75"/>
      <c r="H1424" s="96" t="str">
        <f>HYPERLINK("http://mirror.ff7data.com.ar/ff7/data/minigame/condor.lgp/lh.p.png","View Picture")</f>
        <v>View Picture</v>
      </c>
      <c r="K1424" s="43"/>
    </row>
    <row r="1425">
      <c r="A1425" s="40"/>
      <c r="B1425" s="33" t="s">
        <v>6982</v>
      </c>
      <c r="C1425" s="42">
        <v>56.0</v>
      </c>
      <c r="D1425" s="33" t="s">
        <v>13903</v>
      </c>
      <c r="E1425" s="74"/>
      <c r="F1425" s="46" t="s">
        <v>2793</v>
      </c>
      <c r="G1425" s="75"/>
      <c r="H1425" s="96" t="str">
        <f>HYPERLINK("http://mirror.ff7data.com.ar/ff7/data/minigame/condor.lgp/lh.rsd.png","View Picture")</f>
        <v>View Picture</v>
      </c>
      <c r="K1425" s="43"/>
    </row>
    <row r="1426">
      <c r="A1426" s="40"/>
      <c r="B1426" s="33" t="s">
        <v>6985</v>
      </c>
      <c r="C1426" s="42">
        <v>976.0</v>
      </c>
      <c r="D1426" s="33" t="s">
        <v>13916</v>
      </c>
      <c r="E1426" s="74"/>
      <c r="F1426" s="46" t="s">
        <v>2775</v>
      </c>
      <c r="G1426" s="75"/>
      <c r="H1426" s="96" t="str">
        <f>HYPERLINK("http://mirror.ff7data.com.ar/ff7/data/minigame/condor.lgp/li.p.png","View Picture")</f>
        <v>View Picture</v>
      </c>
      <c r="K1426" s="43"/>
    </row>
    <row r="1427">
      <c r="A1427" s="40"/>
      <c r="B1427" s="33" t="s">
        <v>6990</v>
      </c>
      <c r="C1427" s="42">
        <v>56.0</v>
      </c>
      <c r="D1427" s="33" t="s">
        <v>13916</v>
      </c>
      <c r="E1427" s="74"/>
      <c r="F1427" s="46" t="s">
        <v>2793</v>
      </c>
      <c r="G1427" s="75"/>
      <c r="H1427" s="96" t="str">
        <f>HYPERLINK("http://mirror.ff7data.com.ar/ff7/data/minigame/condor.lgp/li.rsd.png","View Picture")</f>
        <v>View Picture</v>
      </c>
      <c r="K1427" s="43"/>
    </row>
    <row r="1428">
      <c r="A1428" s="40"/>
      <c r="B1428" s="33" t="s">
        <v>13930</v>
      </c>
      <c r="C1428" s="42">
        <v>1976.0</v>
      </c>
      <c r="D1428" s="33" t="s">
        <v>13932</v>
      </c>
      <c r="E1428" s="74"/>
      <c r="F1428" s="46" t="s">
        <v>2775</v>
      </c>
      <c r="G1428" s="75"/>
      <c r="H1428" s="96" t="str">
        <f>HYPERLINK("http://mirror.ff7data.com.ar/ff7/data/minigame/condor.lgp/lj.p.png","View Picture")</f>
        <v>View Picture</v>
      </c>
      <c r="K1428" s="43"/>
    </row>
    <row r="1429">
      <c r="A1429" s="40"/>
      <c r="B1429" s="33" t="s">
        <v>13940</v>
      </c>
      <c r="C1429" s="42">
        <v>56.0</v>
      </c>
      <c r="D1429" s="33" t="s">
        <v>13932</v>
      </c>
      <c r="E1429" s="74"/>
      <c r="F1429" s="46" t="s">
        <v>2793</v>
      </c>
      <c r="G1429" s="75"/>
      <c r="H1429" s="96" t="str">
        <f>HYPERLINK("http://mirror.ff7data.com.ar/ff7/data/minigame/condor.lgp/lj.rsd.png","View Picture")</f>
        <v>View Picture</v>
      </c>
      <c r="K1429" s="43"/>
    </row>
    <row r="1430">
      <c r="A1430" s="40"/>
      <c r="B1430" s="33" t="s">
        <v>13949</v>
      </c>
      <c r="C1430" s="42">
        <v>976.0</v>
      </c>
      <c r="D1430" s="33" t="s">
        <v>13916</v>
      </c>
      <c r="E1430" s="74"/>
      <c r="F1430" s="46" t="s">
        <v>2775</v>
      </c>
      <c r="G1430" s="75"/>
      <c r="H1430" s="96" t="str">
        <f>HYPERLINK("http://mirror.ff7data.com.ar/ff7/data/minigame/condor.lgp/lk.p.png","View Picture")</f>
        <v>View Picture</v>
      </c>
      <c r="K1430" s="43"/>
    </row>
    <row r="1431">
      <c r="A1431" s="40"/>
      <c r="B1431" s="33" t="s">
        <v>13958</v>
      </c>
      <c r="C1431" s="42">
        <v>56.0</v>
      </c>
      <c r="D1431" s="33" t="s">
        <v>13916</v>
      </c>
      <c r="E1431" s="74"/>
      <c r="F1431" s="46" t="s">
        <v>2793</v>
      </c>
      <c r="G1431" s="75"/>
      <c r="H1431" s="96" t="str">
        <f>HYPERLINK("http://mirror.ff7data.com.ar/ff7/data/minigame/condor.lgp/lk.rsd.png","View Picture")</f>
        <v>View Picture</v>
      </c>
      <c r="K1431" s="43"/>
    </row>
    <row r="1432">
      <c r="A1432" s="40"/>
      <c r="B1432" s="33" t="s">
        <v>7006</v>
      </c>
      <c r="C1432" s="42">
        <v>2256.0</v>
      </c>
      <c r="D1432" s="33" t="s">
        <v>13968</v>
      </c>
      <c r="E1432" s="74"/>
      <c r="F1432" s="46" t="s">
        <v>2775</v>
      </c>
      <c r="G1432" s="75"/>
      <c r="H1432" s="96" t="str">
        <f>HYPERLINK("http://mirror.ff7data.com.ar/ff7/data/minigame/condor.lgp/ll.p.png","View Picture")</f>
        <v>View Picture</v>
      </c>
      <c r="K1432" s="43"/>
    </row>
    <row r="1433">
      <c r="A1433" s="40"/>
      <c r="B1433" s="33" t="s">
        <v>7012</v>
      </c>
      <c r="C1433" s="42">
        <v>56.0</v>
      </c>
      <c r="D1433" s="33" t="s">
        <v>13968</v>
      </c>
      <c r="E1433" s="74"/>
      <c r="F1433" s="46" t="s">
        <v>2793</v>
      </c>
      <c r="G1433" s="75"/>
      <c r="H1433" s="96" t="str">
        <f>HYPERLINK("http://mirror.ff7data.com.ar/ff7/data/minigame/condor.lgp/ll.rsd.png","View Picture")</f>
        <v>View Picture</v>
      </c>
      <c r="K1433" s="43"/>
    </row>
    <row r="1434">
      <c r="A1434" s="40"/>
      <c r="B1434" s="33" t="s">
        <v>7017</v>
      </c>
      <c r="C1434" s="42">
        <v>2616.0</v>
      </c>
      <c r="D1434" s="33" t="s">
        <v>13982</v>
      </c>
      <c r="E1434" s="74"/>
      <c r="F1434" s="46" t="s">
        <v>2775</v>
      </c>
      <c r="G1434" s="75"/>
      <c r="H1434" s="96" t="str">
        <f>HYPERLINK("http://mirror.ff7data.com.ar/ff7/data/minigame/condor.lgp/lm.p.png","View Picture")</f>
        <v>View Picture</v>
      </c>
      <c r="K1434" s="43"/>
    </row>
    <row r="1435">
      <c r="A1435" s="40"/>
      <c r="B1435" s="33" t="s">
        <v>7019</v>
      </c>
      <c r="C1435" s="42">
        <v>56.0</v>
      </c>
      <c r="D1435" s="33" t="s">
        <v>13982</v>
      </c>
      <c r="E1435" s="74"/>
      <c r="F1435" s="46" t="s">
        <v>2793</v>
      </c>
      <c r="G1435" s="75"/>
      <c r="H1435" s="96" t="str">
        <f>HYPERLINK("http://mirror.ff7data.com.ar/ff7/data/minigame/condor.lgp/lm.rsd.png","View Picture")</f>
        <v>View Picture</v>
      </c>
      <c r="K1435" s="43"/>
    </row>
    <row r="1436">
      <c r="A1436" s="40"/>
      <c r="B1436" s="33" t="s">
        <v>7022</v>
      </c>
      <c r="C1436" s="42">
        <v>2648.0</v>
      </c>
      <c r="D1436" s="33" t="s">
        <v>13995</v>
      </c>
      <c r="E1436" s="74"/>
      <c r="F1436" s="46" t="s">
        <v>2775</v>
      </c>
      <c r="G1436" s="75"/>
      <c r="H1436" s="96" t="str">
        <f>HYPERLINK("http://mirror.ff7data.com.ar/ff7/data/minigame/condor.lgp/ln.p.png","View Picture")</f>
        <v>View Picture</v>
      </c>
      <c r="K1436" s="43"/>
    </row>
    <row r="1437">
      <c r="A1437" s="40"/>
      <c r="B1437" s="33" t="s">
        <v>7027</v>
      </c>
      <c r="C1437" s="42">
        <v>56.0</v>
      </c>
      <c r="D1437" s="33" t="s">
        <v>13995</v>
      </c>
      <c r="E1437" s="74"/>
      <c r="F1437" s="46" t="s">
        <v>2793</v>
      </c>
      <c r="G1437" s="75"/>
      <c r="H1437" s="96" t="str">
        <f>HYPERLINK("http://mirror.ff7data.com.ar/ff7/data/minigame/condor.lgp/ln.rsd.png","View Picture")</f>
        <v>View Picture</v>
      </c>
      <c r="K1437" s="43"/>
    </row>
    <row r="1438">
      <c r="A1438" s="40"/>
      <c r="B1438" s="33" t="s">
        <v>14010</v>
      </c>
      <c r="C1438" s="42">
        <v>2648.0</v>
      </c>
      <c r="D1438" s="33" t="s">
        <v>13995</v>
      </c>
      <c r="E1438" s="74"/>
      <c r="F1438" s="46" t="s">
        <v>2775</v>
      </c>
      <c r="G1438" s="46" t="s">
        <v>14012</v>
      </c>
      <c r="H1438" s="96" t="str">
        <f>HYPERLINK("http://mirror.ff7data.com.ar/ff7/data/minigame/condor.lgp/lo.p.png","View Picture")</f>
        <v>View Picture</v>
      </c>
      <c r="K1438" s="43"/>
    </row>
    <row r="1439">
      <c r="A1439" s="40"/>
      <c r="B1439" s="33" t="s">
        <v>14018</v>
      </c>
      <c r="C1439" s="42">
        <v>56.0</v>
      </c>
      <c r="D1439" s="33" t="s">
        <v>13995</v>
      </c>
      <c r="E1439" s="74"/>
      <c r="F1439" s="46" t="s">
        <v>2793</v>
      </c>
      <c r="G1439" s="46" t="s">
        <v>14012</v>
      </c>
      <c r="H1439" s="96" t="str">
        <f>HYPERLINK("http://mirror.ff7data.com.ar/ff7/data/minigame/condor.lgp/lo.rsd.png","View Picture")</f>
        <v>View Picture</v>
      </c>
      <c r="K1439" s="43"/>
    </row>
    <row r="1440">
      <c r="A1440" s="40"/>
      <c r="B1440" s="33" t="s">
        <v>14025</v>
      </c>
      <c r="C1440" s="42">
        <v>2040.0</v>
      </c>
      <c r="D1440" s="33" t="s">
        <v>14027</v>
      </c>
      <c r="E1440" s="74"/>
      <c r="F1440" s="46" t="s">
        <v>2775</v>
      </c>
      <c r="G1440" s="75"/>
      <c r="H1440" s="96" t="str">
        <f>HYPERLINK("http://mirror.ff7data.com.ar/ff7/data/minigame/condor.lgp/lp.p.png","View Picture")</f>
        <v>View Picture</v>
      </c>
      <c r="K1440" s="43"/>
    </row>
    <row r="1441">
      <c r="A1441" s="40"/>
      <c r="B1441" s="33" t="s">
        <v>14035</v>
      </c>
      <c r="C1441" s="42">
        <v>56.0</v>
      </c>
      <c r="D1441" s="33" t="s">
        <v>14027</v>
      </c>
      <c r="E1441" s="74"/>
      <c r="F1441" s="46" t="s">
        <v>2793</v>
      </c>
      <c r="G1441" s="75"/>
      <c r="H1441" s="96" t="str">
        <f>HYPERLINK("http://mirror.ff7data.com.ar/ff7/data/minigame/condor.lgp/lp.rsd.png","View Picture")</f>
        <v>View Picture</v>
      </c>
      <c r="K1441" s="43"/>
    </row>
    <row r="1442">
      <c r="A1442" s="40"/>
      <c r="B1442" s="33" t="s">
        <v>7043</v>
      </c>
      <c r="C1442" s="42">
        <v>2040.0</v>
      </c>
      <c r="D1442" s="33" t="s">
        <v>14027</v>
      </c>
      <c r="E1442" s="74"/>
      <c r="F1442" s="46" t="s">
        <v>2775</v>
      </c>
      <c r="G1442" s="46" t="s">
        <v>14045</v>
      </c>
      <c r="H1442" s="96" t="str">
        <f>HYPERLINK("http://mirror.ff7data.com.ar/ff7/data/minigame/condor.lgp/lq.p.png","View Picture")</f>
        <v>View Picture</v>
      </c>
      <c r="K1442" s="43"/>
    </row>
    <row r="1443">
      <c r="A1443" s="40"/>
      <c r="B1443" s="33" t="s">
        <v>7045</v>
      </c>
      <c r="C1443" s="42">
        <v>56.0</v>
      </c>
      <c r="D1443" s="33" t="s">
        <v>14027</v>
      </c>
      <c r="E1443" s="74"/>
      <c r="F1443" s="46" t="s">
        <v>2793</v>
      </c>
      <c r="G1443" s="46" t="s">
        <v>14045</v>
      </c>
      <c r="H1443" s="96" t="str">
        <f>HYPERLINK("http://mirror.ff7data.com.ar/ff7/data/minigame/condor.lgp/lq.rsd.png","View Picture")</f>
        <v>View Picture</v>
      </c>
      <c r="K1443" s="43"/>
    </row>
    <row r="1444">
      <c r="A1444" s="40"/>
      <c r="B1444" s="33" t="s">
        <v>14059</v>
      </c>
      <c r="C1444" s="42">
        <v>66796.0</v>
      </c>
      <c r="D1444" s="33" t="s">
        <v>14061</v>
      </c>
      <c r="E1444" s="74"/>
      <c r="F1444" s="46" t="s">
        <v>1348</v>
      </c>
      <c r="G1444" s="75"/>
      <c r="H1444" s="96" t="str">
        <f>HYPERLINK("http://mirror.ff7data.com.ar/ff7/data/minigame/condor.lgp/map0.tex.png","View Picture")</f>
        <v>View Picture</v>
      </c>
      <c r="K1444" s="43"/>
    </row>
    <row r="1445">
      <c r="A1445" s="40"/>
      <c r="B1445" s="33" t="s">
        <v>14074</v>
      </c>
      <c r="C1445" s="42">
        <v>66796.0</v>
      </c>
      <c r="D1445" s="33" t="s">
        <v>14075</v>
      </c>
      <c r="E1445" s="74"/>
      <c r="F1445" s="46" t="s">
        <v>1348</v>
      </c>
      <c r="G1445" s="75"/>
      <c r="H1445" s="96" t="str">
        <f>HYPERLINK("http://mirror.ff7data.com.ar/ff7/data/minigame/condor.lgp/map1.tex.png","View Picture")</f>
        <v>View Picture</v>
      </c>
      <c r="K1445" s="43"/>
    </row>
    <row r="1446">
      <c r="A1446" s="40"/>
      <c r="B1446" s="33" t="s">
        <v>14084</v>
      </c>
      <c r="C1446" s="42">
        <v>66796.0</v>
      </c>
      <c r="D1446" s="33" t="s">
        <v>14085</v>
      </c>
      <c r="E1446" s="74"/>
      <c r="F1446" s="46" t="s">
        <v>1348</v>
      </c>
      <c r="G1446" s="75"/>
      <c r="H1446" s="96" t="str">
        <f>HYPERLINK("http://mirror.ff7data.com.ar/ff7/data/minigame/condor.lgp/map2.tex.png","View Picture")</f>
        <v>View Picture</v>
      </c>
      <c r="K1446" s="43"/>
    </row>
    <row r="1447">
      <c r="A1447" s="40"/>
      <c r="B1447" s="33" t="s">
        <v>14094</v>
      </c>
      <c r="C1447" s="42">
        <v>66796.0</v>
      </c>
      <c r="D1447" s="33" t="s">
        <v>14095</v>
      </c>
      <c r="E1447" s="74"/>
      <c r="F1447" s="46" t="s">
        <v>1348</v>
      </c>
      <c r="G1447" s="75"/>
      <c r="H1447" s="96" t="str">
        <f>HYPERLINK("http://mirror.ff7data.com.ar/ff7/data/minigame/condor.lgp/map3.tex.png","View Picture")</f>
        <v>View Picture</v>
      </c>
      <c r="K1447" s="43"/>
    </row>
    <row r="1448">
      <c r="A1448" s="40"/>
      <c r="B1448" s="33" t="s">
        <v>14102</v>
      </c>
      <c r="C1448" s="42">
        <v>66796.0</v>
      </c>
      <c r="D1448" s="33" t="s">
        <v>14104</v>
      </c>
      <c r="E1448" s="74"/>
      <c r="F1448" s="46" t="s">
        <v>1348</v>
      </c>
      <c r="G1448" s="75"/>
      <c r="H1448" s="96" t="str">
        <f>HYPERLINK("http://mirror.ff7data.com.ar/ff7/data/minigame/condor.lgp/map4.tex.png","View Picture")</f>
        <v>View Picture</v>
      </c>
      <c r="K1448" s="43"/>
    </row>
    <row r="1449">
      <c r="A1449" s="40"/>
      <c r="B1449" s="33" t="s">
        <v>14112</v>
      </c>
      <c r="C1449" s="42">
        <v>66796.0</v>
      </c>
      <c r="D1449" s="33" t="s">
        <v>14113</v>
      </c>
      <c r="E1449" s="74"/>
      <c r="F1449" s="46" t="s">
        <v>1348</v>
      </c>
      <c r="G1449" s="75"/>
      <c r="H1449" s="96" t="str">
        <f>HYPERLINK("http://mirror.ff7data.com.ar/ff7/data/minigame/condor.lgp/map5.tex.png","View Picture")</f>
        <v>View Picture</v>
      </c>
      <c r="K1449" s="43"/>
    </row>
    <row r="1450">
      <c r="A1450" s="40"/>
      <c r="B1450" s="33" t="s">
        <v>14120</v>
      </c>
      <c r="C1450" s="42">
        <v>66796.0</v>
      </c>
      <c r="D1450" s="33" t="s">
        <v>14121</v>
      </c>
      <c r="E1450" s="74"/>
      <c r="F1450" s="46" t="s">
        <v>1348</v>
      </c>
      <c r="G1450" s="75"/>
      <c r="H1450" s="96" t="str">
        <f>HYPERLINK("http://mirror.ff7data.com.ar/ff7/data/minigame/condor.lgp/map6.tex.png","View Picture")</f>
        <v>View Picture</v>
      </c>
      <c r="K1450" s="43"/>
    </row>
    <row r="1451">
      <c r="A1451" s="40"/>
      <c r="B1451" s="33" t="s">
        <v>14130</v>
      </c>
      <c r="C1451" s="42">
        <v>66796.0</v>
      </c>
      <c r="D1451" s="33" t="s">
        <v>14133</v>
      </c>
      <c r="E1451" s="74"/>
      <c r="F1451" s="46" t="s">
        <v>1348</v>
      </c>
      <c r="G1451" s="75"/>
      <c r="H1451" s="96" t="str">
        <f>HYPERLINK("http://mirror.ff7data.com.ar/ff7/data/minigame/condor.lgp/map7.tex.png","View Picture")</f>
        <v>View Picture</v>
      </c>
      <c r="K1451" s="43"/>
    </row>
    <row r="1452">
      <c r="A1452" s="40"/>
      <c r="B1452" s="33" t="s">
        <v>14140</v>
      </c>
      <c r="C1452" s="42">
        <v>65836.0</v>
      </c>
      <c r="D1452" s="33" t="s">
        <v>14141</v>
      </c>
      <c r="E1452" s="74"/>
      <c r="F1452" s="46" t="s">
        <v>1348</v>
      </c>
      <c r="G1452" s="75"/>
      <c r="H1452" s="96" t="str">
        <f>HYPERLINK("http://mirror.ff7data.com.ar/ff7/data/minigame/condor.lgp/mes02.tex.png","View Picture")</f>
        <v>View Picture</v>
      </c>
      <c r="K1452" s="43"/>
    </row>
    <row r="1453">
      <c r="A1453" s="40"/>
      <c r="B1453" s="57" t="s">
        <v>14149</v>
      </c>
      <c r="C1453" s="58">
        <v>25308.0</v>
      </c>
      <c r="D1453" s="57" t="s">
        <v>14150</v>
      </c>
      <c r="E1453" s="19"/>
      <c r="F1453" s="61" t="s">
        <v>8439</v>
      </c>
      <c r="G1453" s="71"/>
      <c r="H1453" s="19"/>
      <c r="I1453" s="19"/>
      <c r="J1453" s="19"/>
      <c r="K1453" s="64"/>
    </row>
    <row r="1454">
      <c r="A1454" s="12"/>
      <c r="B1454" s="12"/>
      <c r="C1454" s="65"/>
      <c r="D1454" s="34"/>
      <c r="E1454" s="34"/>
      <c r="F1454" s="67"/>
      <c r="G1454" s="67"/>
      <c r="H1454" s="34"/>
      <c r="I1454" s="34"/>
      <c r="J1454" s="34"/>
      <c r="K1454" s="34"/>
    </row>
    <row r="1455">
      <c r="A1455" s="143"/>
      <c r="B1455" s="69" t="s">
        <v>149</v>
      </c>
      <c r="C1455" s="144"/>
      <c r="D1455" s="19"/>
      <c r="E1455" s="19"/>
      <c r="F1455" s="71"/>
      <c r="G1455" s="71"/>
      <c r="H1455" s="19"/>
      <c r="I1455" s="19"/>
      <c r="J1455" s="19"/>
      <c r="K1455" s="19"/>
    </row>
    <row r="1456" ht="25.5" customHeight="1">
      <c r="A1456" s="82"/>
      <c r="B1456" s="23" t="s">
        <v>14178</v>
      </c>
      <c r="C1456" s="24">
        <v>33068.0</v>
      </c>
      <c r="D1456" s="23" t="s">
        <v>14180</v>
      </c>
      <c r="E1456" s="34"/>
      <c r="F1456" s="36" t="s">
        <v>1348</v>
      </c>
      <c r="G1456" s="67"/>
      <c r="H1456" s="137" t="str">
        <f>HYPERLINK("http://mirror.ff7data.com.ar/ff7/data/cd/cr_us.lgp/after_1.tex.png","EN")</f>
        <v>EN</v>
      </c>
      <c r="I1456" s="137" t="str">
        <f>HYPERLINK("http://mirror.ff7data.com.ar/ff7/es/cr_sp/after_1.tex.png","ES")</f>
        <v>ES</v>
      </c>
      <c r="J1456" s="137" t="str">
        <f>HYPERLINK("http://mirror.ff7data.com.ar/ff7/es/cr_gm/after_1.tex.png","DE")</f>
        <v>DE</v>
      </c>
      <c r="K1456" s="38"/>
    </row>
    <row r="1457">
      <c r="A1457" s="82"/>
      <c r="B1457" s="33" t="s">
        <v>14204</v>
      </c>
      <c r="C1457" s="42">
        <v>66796.0</v>
      </c>
      <c r="D1457" s="33" t="s">
        <v>14206</v>
      </c>
      <c r="E1457" s="74"/>
      <c r="F1457" s="46" t="s">
        <v>1348</v>
      </c>
      <c r="G1457" s="75"/>
      <c r="H1457" s="98" t="str">
        <f>HYPERLINK("http://mirror.ff7data.com.ar/ff7/data/cd/cr_us.lgp/ff7logo.tex.png","View Picture")</f>
        <v>View Picture</v>
      </c>
      <c r="K1457" s="145"/>
    </row>
    <row r="1458">
      <c r="A1458" s="82"/>
      <c r="B1458" s="33" t="s">
        <v>14218</v>
      </c>
      <c r="C1458" s="42">
        <v>66796.0</v>
      </c>
      <c r="D1458" s="33" t="s">
        <v>14220</v>
      </c>
      <c r="E1458" s="74"/>
      <c r="F1458" s="46" t="s">
        <v>1348</v>
      </c>
      <c r="G1458" s="75"/>
      <c r="H1458" s="98" t="str">
        <f>HYPERLINK("http://mirror.ff7data.com.ar/ff7/data/cd/cr_us.lgp/ff7logo_a.tex.png","View Picture")</f>
        <v>View Picture</v>
      </c>
      <c r="K1458" s="145"/>
    </row>
    <row r="1459">
      <c r="A1459" s="82"/>
      <c r="B1459" s="33" t="s">
        <v>14228</v>
      </c>
      <c r="C1459" s="42">
        <v>66796.0</v>
      </c>
      <c r="D1459" s="33" t="s">
        <v>14230</v>
      </c>
      <c r="E1459" s="74"/>
      <c r="F1459" s="46" t="s">
        <v>1348</v>
      </c>
      <c r="G1459" s="75"/>
      <c r="H1459" s="98" t="str">
        <f>HYPERLINK("http://mirror.ff7data.com.ar/ff7/data/cd/cr_us.lgp/ff7logo_b.tex.png","View Picture")</f>
        <v>View Picture</v>
      </c>
      <c r="K1459" s="145"/>
    </row>
    <row r="1460">
      <c r="A1460" s="82"/>
      <c r="B1460" s="33" t="s">
        <v>14238</v>
      </c>
      <c r="C1460" s="42">
        <v>66796.0</v>
      </c>
      <c r="D1460" s="33" t="s">
        <v>14240</v>
      </c>
      <c r="E1460" s="74"/>
      <c r="F1460" s="46" t="s">
        <v>1348</v>
      </c>
      <c r="G1460" s="75"/>
      <c r="H1460" s="98" t="str">
        <f>HYPERLINK("http://mirror.ff7data.com.ar/ff7/data/cd/cr_us.lgp/ff7logo_c.tex.png","View Picture")</f>
        <v>View Picture</v>
      </c>
      <c r="K1460" s="145"/>
    </row>
    <row r="1461">
      <c r="A1461" s="82"/>
      <c r="B1461" s="33" t="s">
        <v>14253</v>
      </c>
      <c r="C1461" s="42">
        <v>66796.0</v>
      </c>
      <c r="D1461" s="33" t="s">
        <v>14255</v>
      </c>
      <c r="E1461" s="74"/>
      <c r="F1461" s="46" t="s">
        <v>1348</v>
      </c>
      <c r="G1461" s="75"/>
      <c r="H1461" s="98" t="str">
        <f>HYPERLINK("http://mirror.ff7data.com.ar/ff7/data/cd/cr_us.lgp/ff7logo_d.tex.png","View Picture")</f>
        <v>View Picture</v>
      </c>
      <c r="K1461" s="43"/>
    </row>
    <row r="1462" ht="25.5" customHeight="1">
      <c r="A1462" s="82"/>
      <c r="B1462" s="33" t="s">
        <v>14269</v>
      </c>
      <c r="C1462" s="42">
        <v>66028.0</v>
      </c>
      <c r="D1462" s="33" t="s">
        <v>14270</v>
      </c>
      <c r="E1462" s="74"/>
      <c r="F1462" s="46" t="s">
        <v>1348</v>
      </c>
      <c r="G1462" s="75"/>
      <c r="H1462" s="98" t="str">
        <f>HYPERLINK("http://mirror.ff7data.com.ar/ff7/data/cd/cr_us.lgp/font.tex.png","EN")</f>
        <v>EN</v>
      </c>
      <c r="I1462" s="98" t="str">
        <f>HYPERLINK("http://mirror.ff7data.com.ar/ff7/es/cr_sp/font.tex.png","ES")</f>
        <v>ES</v>
      </c>
      <c r="J1462" s="98" t="str">
        <f>HYPERLINK("http://mirror.ff7data.com.ar/ff7/es/cr_gm/font.tex.png","DE")</f>
        <v>DE</v>
      </c>
      <c r="K1462" s="43"/>
    </row>
    <row r="1463" ht="25.5" customHeight="1">
      <c r="A1463" s="82"/>
      <c r="B1463" s="33" t="s">
        <v>14302</v>
      </c>
      <c r="C1463" s="42">
        <v>66028.0</v>
      </c>
      <c r="D1463" s="33" t="s">
        <v>14270</v>
      </c>
      <c r="E1463" s="74"/>
      <c r="F1463" s="46" t="s">
        <v>1348</v>
      </c>
      <c r="G1463" s="75"/>
      <c r="H1463" s="98" t="str">
        <f>HYPERLINK("http://mirror.ff7data.com.ar/ff7/data/cd/cr_us.lgp/font_s.tex.png","EN")</f>
        <v>EN</v>
      </c>
      <c r="I1463" s="98" t="str">
        <f>HYPERLINK("http://mirror.ff7data.com.ar/ff7/es/cr_sp/font_s.tex.png","ES")</f>
        <v>ES</v>
      </c>
      <c r="J1463" s="98" t="str">
        <f>HYPERLINK("http://mirror.ff7data.com.ar/ff7/es/cr_gm/font_s.tex.png","DE")</f>
        <v>DE</v>
      </c>
      <c r="K1463" s="43"/>
    </row>
    <row r="1464" ht="25.5" customHeight="1">
      <c r="A1464" s="82"/>
      <c r="B1464" s="33" t="s">
        <v>14325</v>
      </c>
      <c r="C1464" s="42">
        <v>66028.0</v>
      </c>
      <c r="D1464" s="33" t="s">
        <v>14270</v>
      </c>
      <c r="E1464" s="74"/>
      <c r="F1464" s="46" t="s">
        <v>1348</v>
      </c>
      <c r="G1464" s="75"/>
      <c r="H1464" s="98" t="str">
        <f>HYPERLINK("http://mirror.ff7data.com.ar/ff7/data/cd/cr_us.lgp/font_ua.tex.png","EN")</f>
        <v>EN</v>
      </c>
      <c r="I1464" s="98" t="str">
        <f>HYPERLINK("http://mirror.ff7data.com.ar/ff7/es/cr_sp/font_ua.tex.png","ES")</f>
        <v>ES</v>
      </c>
      <c r="J1464" s="98" t="str">
        <f>HYPERLINK("http://mirror.ff7data.com.ar/ff7/es/cr_gm/font_ua.tex.png","DE")</f>
        <v>DE</v>
      </c>
      <c r="K1464" s="43"/>
    </row>
    <row r="1465" ht="25.5" customHeight="1">
      <c r="A1465" s="82"/>
      <c r="B1465" s="33" t="s">
        <v>14350</v>
      </c>
      <c r="C1465" s="42">
        <v>66028.0</v>
      </c>
      <c r="D1465" s="33" t="s">
        <v>14270</v>
      </c>
      <c r="E1465" s="74"/>
      <c r="F1465" s="46" t="s">
        <v>1348</v>
      </c>
      <c r="G1465" s="75"/>
      <c r="H1465" s="98" t="str">
        <f>HYPERLINK("http://mirror.ff7data.com.ar/ff7/data/cd/cr_us.lgp/font_ub.tex.png","EN")</f>
        <v>EN</v>
      </c>
      <c r="I1465" s="98" t="str">
        <f>HYPERLINK("http://mirror.ff7data.com.ar/ff7/es/cr_sp/font_ub.tex.png","ES")</f>
        <v>ES</v>
      </c>
      <c r="J1465" s="98" t="str">
        <f>HYPERLINK("http://mirror.ff7data.com.ar/ff7/es/cr_gm/font_ub.tex.png","DE")</f>
        <v>DE</v>
      </c>
      <c r="K1465" s="43"/>
    </row>
    <row r="1466" ht="25.5" customHeight="1">
      <c r="A1466" s="82"/>
      <c r="B1466" s="33" t="s">
        <v>14373</v>
      </c>
      <c r="C1466" s="42">
        <v>33068.0</v>
      </c>
      <c r="D1466" s="33" t="s">
        <v>14375</v>
      </c>
      <c r="E1466" s="74"/>
      <c r="F1466" s="46" t="s">
        <v>1348</v>
      </c>
      <c r="G1466" s="75"/>
      <c r="H1466" s="98" t="str">
        <f>HYPERLINK("http://mirror.ff7data.com.ar/ff7/data/cd/cr_us.lgp/name1.tex.png","EN")</f>
        <v>EN</v>
      </c>
      <c r="I1466" s="98" t="str">
        <f>HYPERLINK("http://mirror.ff7data.com.ar/ff7/es/cr_sp/name1.tex.png","ES")</f>
        <v>ES</v>
      </c>
      <c r="J1466" s="98" t="str">
        <f>HYPERLINK("http://mirror.ff7data.com.ar/ff7/es/cr_gm/name1.tex.png","DE")</f>
        <v>DE</v>
      </c>
      <c r="K1466" s="145"/>
    </row>
    <row r="1467" ht="25.5" customHeight="1">
      <c r="A1467" s="82"/>
      <c r="B1467" s="33" t="s">
        <v>14402</v>
      </c>
      <c r="C1467" s="42">
        <v>65836.0</v>
      </c>
      <c r="D1467" s="33" t="s">
        <v>14404</v>
      </c>
      <c r="E1467" s="74"/>
      <c r="F1467" s="46" t="s">
        <v>1348</v>
      </c>
      <c r="G1467" s="75"/>
      <c r="H1467" s="98" t="str">
        <f>HYPERLINK("http://mirror.ff7data.com.ar/ff7/data/cd/cr_us.lgp/name1_a.tex.png","EN")</f>
        <v>EN</v>
      </c>
      <c r="I1467" s="98" t="str">
        <f>HYPERLINK("http://mirror.ff7data.com.ar/ff7/es/cr_sp/name1_a.tex.png","ES")</f>
        <v>ES</v>
      </c>
      <c r="J1467" s="98" t="str">
        <f>HYPERLINK("http://mirror.ff7data.com.ar/ff7/es/cr_gm/name1_a.tex.png","DE")</f>
        <v>DE</v>
      </c>
      <c r="K1467" s="43"/>
    </row>
    <row r="1468" ht="25.5" customHeight="1">
      <c r="A1468" s="82"/>
      <c r="B1468" s="33" t="s">
        <v>14428</v>
      </c>
      <c r="C1468" s="42">
        <v>65836.0</v>
      </c>
      <c r="D1468" s="33" t="s">
        <v>14429</v>
      </c>
      <c r="E1468" s="74"/>
      <c r="F1468" s="46" t="s">
        <v>1348</v>
      </c>
      <c r="G1468" s="75"/>
      <c r="H1468" s="98" t="str">
        <f>HYPERLINK("http://mirror.ff7data.com.ar/ff7/data/cd/cr_us.lgp/name1_b.tex.png","EN")</f>
        <v>EN</v>
      </c>
      <c r="I1468" s="98" t="str">
        <f>HYPERLINK("http://mirror.ff7data.com.ar/ff7/es/cr_sp/name1_b.tex.png","ES")</f>
        <v>ES</v>
      </c>
      <c r="J1468" s="98" t="str">
        <f>HYPERLINK("http://mirror.ff7data.com.ar/ff7/es/cr_gm/name1_b.tex.png","DE")</f>
        <v>DE</v>
      </c>
      <c r="K1468" s="43"/>
    </row>
    <row r="1469" ht="25.5" customHeight="1">
      <c r="A1469" s="82"/>
      <c r="B1469" s="33" t="s">
        <v>14449</v>
      </c>
      <c r="C1469" s="42">
        <v>33068.0</v>
      </c>
      <c r="D1469" s="33" t="s">
        <v>14451</v>
      </c>
      <c r="E1469" s="74"/>
      <c r="F1469" s="46" t="s">
        <v>1348</v>
      </c>
      <c r="G1469" s="75"/>
      <c r="H1469" s="98" t="str">
        <f>HYPERLINK("http://mirror.ff7data.com.ar/ff7/data/cd/cr_us.lgp/name2.tex.png","EN")</f>
        <v>EN</v>
      </c>
      <c r="I1469" s="98" t="str">
        <f>HYPERLINK("http://mirror.ff7data.com.ar/ff7/es/cr_sp/name2.tex.png","ES")</f>
        <v>ES</v>
      </c>
      <c r="J1469" s="98" t="str">
        <f>HYPERLINK("http://mirror.ff7data.com.ar/ff7/es/cr_gm/name2.tex.png","DE")</f>
        <v>DE</v>
      </c>
      <c r="K1469" s="145"/>
    </row>
    <row r="1470" ht="25.5" customHeight="1">
      <c r="A1470" s="82"/>
      <c r="B1470" s="33" t="s">
        <v>14472</v>
      </c>
      <c r="C1470" s="42">
        <v>65836.0</v>
      </c>
      <c r="D1470" s="33" t="s">
        <v>14473</v>
      </c>
      <c r="E1470" s="74"/>
      <c r="F1470" s="46" t="s">
        <v>1348</v>
      </c>
      <c r="G1470" s="75"/>
      <c r="H1470" s="98" t="str">
        <f>HYPERLINK("http://mirror.ff7data.com.ar/ff7/data/cd/cr_us.lgp/name2_a.tex.png","EN")</f>
        <v>EN</v>
      </c>
      <c r="I1470" s="98" t="str">
        <f>HYPERLINK("http://mirror.ff7data.com.ar/ff7/es/cr_sp/name2_a.tex.png","ES")</f>
        <v>ES</v>
      </c>
      <c r="J1470" s="98" t="str">
        <f>HYPERLINK("http://mirror.ff7data.com.ar/ff7/es/cr_gm/name2_a.tex.png","DE")</f>
        <v>DE</v>
      </c>
      <c r="K1470" s="43"/>
    </row>
    <row r="1471" ht="25.5" customHeight="1">
      <c r="A1471" s="82"/>
      <c r="B1471" s="33" t="s">
        <v>14495</v>
      </c>
      <c r="C1471" s="42">
        <v>65836.0</v>
      </c>
      <c r="D1471" s="33" t="s">
        <v>14496</v>
      </c>
      <c r="E1471" s="74"/>
      <c r="F1471" s="46" t="s">
        <v>1348</v>
      </c>
      <c r="G1471" s="75"/>
      <c r="H1471" s="146" t="str">
        <f>HYPERLINK("http://mirror.ff7data.com.ar/ff7/data/cd/cr_us.lgp/name2_b.tex.png","EN")</f>
        <v>EN</v>
      </c>
      <c r="I1471" s="146" t="str">
        <f>HYPERLINK("http://mirror.ff7data.com.ar/ff7/es/cr_sp/name2_b.tex.png","ES")</f>
        <v>ES</v>
      </c>
      <c r="J1471" s="98" t="str">
        <f>HYPERLINK("http://mirror.ff7data.com.ar/ff7/es/cr_gm/name2_b.tex.png","DE")</f>
        <v>DE</v>
      </c>
      <c r="K1471" s="43"/>
    </row>
    <row r="1472" ht="25.5" customHeight="1">
      <c r="A1472" s="82"/>
      <c r="B1472" s="33" t="s">
        <v>14520</v>
      </c>
      <c r="C1472" s="42">
        <v>33068.0</v>
      </c>
      <c r="D1472" s="33" t="s">
        <v>14521</v>
      </c>
      <c r="E1472" s="74"/>
      <c r="F1472" s="46" t="s">
        <v>1348</v>
      </c>
      <c r="G1472" s="75"/>
      <c r="H1472" s="98" t="str">
        <f>HYPERLINK("http://mirror.ff7data.com.ar/ff7/data/cd/cr_us.lgp/name3.tex.png","EN")</f>
        <v>EN</v>
      </c>
      <c r="I1472" s="98" t="str">
        <f>HYPERLINK("http://mirror.ff7data.com.ar/ff7/es/cr_sp/name3.tex.png","ES")</f>
        <v>ES</v>
      </c>
      <c r="J1472" s="98" t="str">
        <f>HYPERLINK("http://mirror.ff7data.com.ar/ff7/es/cr_gm/name3.tex.png","DE")</f>
        <v>DE</v>
      </c>
      <c r="K1472" s="43"/>
    </row>
    <row r="1473" ht="25.5" customHeight="1">
      <c r="A1473" s="82"/>
      <c r="B1473" s="33" t="s">
        <v>14538</v>
      </c>
      <c r="C1473" s="42">
        <v>65836.0</v>
      </c>
      <c r="D1473" s="33" t="s">
        <v>14541</v>
      </c>
      <c r="E1473" s="74"/>
      <c r="F1473" s="46" t="s">
        <v>1348</v>
      </c>
      <c r="G1473" s="75"/>
      <c r="H1473" s="98" t="str">
        <f>HYPERLINK("http://mirror.ff7data.com.ar/ff7/data/cd/cr_us.lgp/name3_a.tex.png","EN")</f>
        <v>EN</v>
      </c>
      <c r="I1473" s="98" t="str">
        <f>HYPERLINK("http://mirror.ff7data.com.ar/ff7/es/cr_sp/name3_a.tex.png","ES")</f>
        <v>ES</v>
      </c>
      <c r="J1473" s="98" t="str">
        <f>HYPERLINK("http://mirror.ff7data.com.ar/ff7/es/cr_gm/name3_a.tex.png","DE")</f>
        <v>DE</v>
      </c>
      <c r="K1473" s="43"/>
    </row>
    <row r="1474" ht="25.5" customHeight="1">
      <c r="A1474" s="82"/>
      <c r="B1474" s="33" t="s">
        <v>14560</v>
      </c>
      <c r="C1474" s="42">
        <v>65836.0</v>
      </c>
      <c r="D1474" s="33" t="s">
        <v>14562</v>
      </c>
      <c r="E1474" s="74"/>
      <c r="F1474" s="46" t="s">
        <v>1348</v>
      </c>
      <c r="G1474" s="75"/>
      <c r="H1474" s="98" t="str">
        <f>HYPERLINK("http://mirror.ff7data.com.ar/ff7/data/cd/cr_us.lgp/name3_b.tex.png","EN")</f>
        <v>EN</v>
      </c>
      <c r="I1474" s="98" t="str">
        <f>HYPERLINK("http://mirror.ff7data.com.ar/ff7/es/cr_sp/name3_b.tex.png","ES")</f>
        <v>ES</v>
      </c>
      <c r="J1474" s="98" t="str">
        <f>HYPERLINK("http://mirror.ff7data.com.ar/ff7/es/cr_gm/name3_b.tex.png","DE")</f>
        <v>DE</v>
      </c>
      <c r="K1474" s="43"/>
    </row>
    <row r="1475" ht="25.5" customHeight="1">
      <c r="A1475" s="82"/>
      <c r="B1475" s="33" t="s">
        <v>14581</v>
      </c>
      <c r="C1475" s="42">
        <v>33068.0</v>
      </c>
      <c r="D1475" s="33" t="s">
        <v>14582</v>
      </c>
      <c r="E1475" s="74"/>
      <c r="F1475" s="46" t="s">
        <v>1348</v>
      </c>
      <c r="G1475" s="75"/>
      <c r="H1475" s="98" t="str">
        <f>HYPERLINK("http://mirror.ff7data.com.ar/ff7/data/cd/cr_us.lgp/name4.tex.png","EN")</f>
        <v>EN</v>
      </c>
      <c r="I1475" s="98" t="str">
        <f>HYPERLINK("http://mirror.ff7data.com.ar/ff7/es/cr_sp/name4.tex.png","ES")</f>
        <v>ES</v>
      </c>
      <c r="J1475" s="98" t="str">
        <f>HYPERLINK("http://mirror.ff7data.com.ar/ff7/es/cr_gm/name4.tex.png","DE")</f>
        <v>DE</v>
      </c>
      <c r="K1475" s="43"/>
    </row>
    <row r="1476" ht="25.5" customHeight="1">
      <c r="A1476" s="82"/>
      <c r="B1476" s="33" t="s">
        <v>14602</v>
      </c>
      <c r="C1476" s="42">
        <v>65836.0</v>
      </c>
      <c r="D1476" s="33" t="s">
        <v>14604</v>
      </c>
      <c r="E1476" s="74"/>
      <c r="F1476" s="46" t="s">
        <v>1348</v>
      </c>
      <c r="G1476" s="75"/>
      <c r="H1476" s="98" t="str">
        <f>HYPERLINK("http://mirror.ff7data.com.ar/ff7/data/cd/cr_us.lgp/name4_a.tex.png","EN")</f>
        <v>EN</v>
      </c>
      <c r="I1476" s="98" t="str">
        <f>HYPERLINK("http://mirror.ff7data.com.ar/ff7/es/cr_sp/name4_a.tex.png","ES")</f>
        <v>ES</v>
      </c>
      <c r="J1476" s="98" t="str">
        <f>HYPERLINK("http://mirror.ff7data.com.ar/ff7/es/cr_gm/name4_a.tex.png","DE")</f>
        <v>DE</v>
      </c>
      <c r="K1476" s="43"/>
    </row>
    <row r="1477" ht="25.5" customHeight="1">
      <c r="A1477" s="82"/>
      <c r="B1477" s="33" t="s">
        <v>14624</v>
      </c>
      <c r="C1477" s="42">
        <v>65836.0</v>
      </c>
      <c r="D1477" s="33" t="s">
        <v>14626</v>
      </c>
      <c r="E1477" s="74"/>
      <c r="F1477" s="46" t="s">
        <v>1348</v>
      </c>
      <c r="G1477" s="75"/>
      <c r="H1477" s="98" t="str">
        <f>HYPERLINK("http://mirror.ff7data.com.ar/ff7/data/cd/cr_us.lgp/name4_b.tex.png","EN")</f>
        <v>EN</v>
      </c>
      <c r="I1477" s="98" t="str">
        <f>HYPERLINK("http://mirror.ff7data.com.ar/ff7/es/cr_sp/name4_b.tex.png","ES")</f>
        <v>ES</v>
      </c>
      <c r="J1477" s="98" t="str">
        <f>HYPERLINK("http://mirror.ff7data.com.ar/ff7/es/cr_gm/name4_b.tex.png","DE")</f>
        <v>DE</v>
      </c>
      <c r="K1477" s="43"/>
    </row>
    <row r="1478" ht="25.5" customHeight="1">
      <c r="A1478" s="82"/>
      <c r="B1478" s="33" t="s">
        <v>14644</v>
      </c>
      <c r="C1478" s="42">
        <v>33068.0</v>
      </c>
      <c r="D1478" s="33" t="s">
        <v>14646</v>
      </c>
      <c r="E1478" s="74"/>
      <c r="F1478" s="46" t="s">
        <v>1348</v>
      </c>
      <c r="G1478" s="75"/>
      <c r="H1478" s="98" t="str">
        <f>HYPERLINK("http://mirror.ff7data.com.ar/ff7/data/cd/cr_us.lgp/name5.tex.png","EN")</f>
        <v>EN</v>
      </c>
      <c r="I1478" s="98" t="str">
        <f>HYPERLINK("http://mirror.ff7data.com.ar/ff7/es/cr_sp/name5.tex.png","ES")</f>
        <v>ES</v>
      </c>
      <c r="J1478" s="98" t="str">
        <f>HYPERLINK("http://mirror.ff7data.com.ar/ff7/es/cr_gm/name5.tex.png","DE")</f>
        <v>DE</v>
      </c>
      <c r="K1478" s="43"/>
    </row>
    <row r="1479" ht="25.5" customHeight="1">
      <c r="A1479" s="82"/>
      <c r="B1479" s="33" t="s">
        <v>14663</v>
      </c>
      <c r="C1479" s="42">
        <v>65836.0</v>
      </c>
      <c r="D1479" s="33" t="s">
        <v>14664</v>
      </c>
      <c r="E1479" s="74"/>
      <c r="F1479" s="46" t="s">
        <v>1348</v>
      </c>
      <c r="G1479" s="75"/>
      <c r="H1479" s="98" t="str">
        <f>HYPERLINK("http://mirror.ff7data.com.ar/ff7/data/cd/cr_us.lgp/name5_a.tex.png","EN")</f>
        <v>EN</v>
      </c>
      <c r="I1479" s="98" t="str">
        <f>HYPERLINK("http://mirror.ff7data.com.ar/ff7/es/cr_sp/name5_a.tex.png","ES")</f>
        <v>ES</v>
      </c>
      <c r="J1479" s="98" t="str">
        <f>HYPERLINK("http://mirror.ff7data.com.ar/ff7/es/cr_gm/name5_a.tex.png","DE")</f>
        <v>DE</v>
      </c>
      <c r="K1479" s="43"/>
    </row>
    <row r="1480" ht="25.5" customHeight="1">
      <c r="A1480" s="82"/>
      <c r="B1480" s="33" t="s">
        <v>14683</v>
      </c>
      <c r="C1480" s="42">
        <v>65836.0</v>
      </c>
      <c r="D1480" s="33" t="s">
        <v>14685</v>
      </c>
      <c r="E1480" s="74"/>
      <c r="F1480" s="46" t="s">
        <v>1348</v>
      </c>
      <c r="G1480" s="75"/>
      <c r="H1480" s="98" t="str">
        <f>HYPERLINK("http://mirror.ff7data.com.ar/ff7/data/cd/cr_us.lgp/name5_b.tex.png","EN")</f>
        <v>EN</v>
      </c>
      <c r="I1480" s="98" t="str">
        <f>HYPERLINK("http://mirror.ff7data.com.ar/ff7/es/cr_sp/name5_b.tex.png","ES")</f>
        <v>ES</v>
      </c>
      <c r="J1480" s="98" t="str">
        <f>HYPERLINK("http://mirror.ff7data.com.ar/ff7/es/cr_gm/name5_b.tex.png","DE")</f>
        <v>DE</v>
      </c>
      <c r="K1480" s="43"/>
    </row>
    <row r="1481" ht="25.5" customHeight="1">
      <c r="A1481" s="82"/>
      <c r="B1481" s="33" t="s">
        <v>14701</v>
      </c>
      <c r="C1481" s="42">
        <v>33068.0</v>
      </c>
      <c r="D1481" s="33" t="s">
        <v>14702</v>
      </c>
      <c r="E1481" s="74"/>
      <c r="F1481" s="46" t="s">
        <v>1348</v>
      </c>
      <c r="G1481" s="75"/>
      <c r="H1481" s="98" t="str">
        <f>HYPERLINK("http://mirror.ff7data.com.ar/ff7/data/cd/cr_us.lgp/name6.tex.png","EN")</f>
        <v>EN</v>
      </c>
      <c r="I1481" s="98" t="str">
        <f>HYPERLINK("http://mirror.ff7data.com.ar/ff7/es/cr_sp/name6.tex.png","ES")</f>
        <v>ES</v>
      </c>
      <c r="J1481" s="98" t="str">
        <f>HYPERLINK("http://mirror.ff7data.com.ar/ff7/es/cr_gm/name6.tex.png","DE")</f>
        <v>DE</v>
      </c>
      <c r="K1481" s="43"/>
    </row>
    <row r="1482" ht="25.5" customHeight="1">
      <c r="A1482" s="82"/>
      <c r="B1482" s="33" t="s">
        <v>14717</v>
      </c>
      <c r="C1482" s="42">
        <v>65836.0</v>
      </c>
      <c r="D1482" s="33" t="s">
        <v>14718</v>
      </c>
      <c r="E1482" s="74"/>
      <c r="F1482" s="46" t="s">
        <v>1348</v>
      </c>
      <c r="G1482" s="75"/>
      <c r="H1482" s="98" t="str">
        <f>HYPERLINK("http://mirror.ff7data.com.ar/ff7/data/cd/cr_us.lgp/name6_a.tex.png","EN")</f>
        <v>EN</v>
      </c>
      <c r="I1482" s="98" t="str">
        <f>HYPERLINK("http://mirror.ff7data.com.ar/ff7/es/cr_sp/name6_a.tex.png","ES")</f>
        <v>ES</v>
      </c>
      <c r="J1482" s="98" t="str">
        <f>HYPERLINK("http://mirror.ff7data.com.ar/ff7/es/cr_gm/name6_a.tex.png","DE")</f>
        <v>DE</v>
      </c>
      <c r="K1482" s="43"/>
    </row>
    <row r="1483" ht="25.5" customHeight="1">
      <c r="A1483" s="82"/>
      <c r="B1483" s="33" t="s">
        <v>14737</v>
      </c>
      <c r="C1483" s="42">
        <v>65836.0</v>
      </c>
      <c r="D1483" s="33" t="s">
        <v>14739</v>
      </c>
      <c r="E1483" s="74"/>
      <c r="F1483" s="46" t="s">
        <v>1348</v>
      </c>
      <c r="G1483" s="75"/>
      <c r="H1483" s="98" t="str">
        <f>HYPERLINK("http://mirror.ff7data.com.ar/ff7/data/cd/cr_us.lgp/name6_b.tex.png","EN")</f>
        <v>EN</v>
      </c>
      <c r="I1483" s="98" t="str">
        <f>HYPERLINK("http://mirror.ff7data.com.ar/ff7/es/cr_sp/name6_b.tex.png","ES")</f>
        <v>ES</v>
      </c>
      <c r="J1483" s="98" t="str">
        <f>HYPERLINK("http://mirror.ff7data.com.ar/ff7/es/cr_gm/name6_b.tex.png","DE")</f>
        <v>DE</v>
      </c>
      <c r="K1483" s="43"/>
    </row>
    <row r="1484" ht="25.5" customHeight="1">
      <c r="A1484" s="82"/>
      <c r="B1484" s="33" t="s">
        <v>14761</v>
      </c>
      <c r="C1484" s="42">
        <v>33068.0</v>
      </c>
      <c r="D1484" s="33" t="s">
        <v>14763</v>
      </c>
      <c r="E1484" s="74"/>
      <c r="F1484" s="46" t="s">
        <v>1348</v>
      </c>
      <c r="G1484" s="75"/>
      <c r="H1484" s="98" t="str">
        <f>HYPERLINK("http://mirror.ff7data.com.ar/ff7/data/cd/cr_us.lgp/name7.tex.png","EN")</f>
        <v>EN</v>
      </c>
      <c r="I1484" s="98" t="str">
        <f>HYPERLINK("http://mirror.ff7data.com.ar/ff7/es/cr_sp/name7.tex.png","ES")</f>
        <v>ES</v>
      </c>
      <c r="J1484" s="98" t="str">
        <f>HYPERLINK("http://mirror.ff7data.com.ar/ff7/es/cr_gm/name7.tex.png","DE")</f>
        <v>DE</v>
      </c>
      <c r="K1484" s="43"/>
    </row>
    <row r="1485" ht="25.5" customHeight="1">
      <c r="A1485" s="82"/>
      <c r="B1485" s="33" t="s">
        <v>14782</v>
      </c>
      <c r="C1485" s="42">
        <v>65836.0</v>
      </c>
      <c r="D1485" s="33" t="s">
        <v>14784</v>
      </c>
      <c r="E1485" s="74"/>
      <c r="F1485" s="46" t="s">
        <v>1348</v>
      </c>
      <c r="G1485" s="75"/>
      <c r="H1485" s="98" t="str">
        <f>HYPERLINK("http://mirror.ff7data.com.ar/ff7/data/cd/cr_us.lgp/name7_a.tex.png","EN")</f>
        <v>EN</v>
      </c>
      <c r="I1485" s="98" t="str">
        <f>HYPERLINK("http://mirror.ff7data.com.ar/ff7/es/cr_sp/name7_a.tex.png","ES")</f>
        <v>ES</v>
      </c>
      <c r="J1485" s="98" t="str">
        <f>HYPERLINK("http://mirror.ff7data.com.ar/ff7/es/cr_gm/name7_a.tex.png","DE")</f>
        <v>DE</v>
      </c>
      <c r="K1485" s="43"/>
    </row>
    <row r="1486" ht="25.5" customHeight="1">
      <c r="A1486" s="82"/>
      <c r="B1486" s="33" t="s">
        <v>14810</v>
      </c>
      <c r="C1486" s="42">
        <v>65836.0</v>
      </c>
      <c r="D1486" s="33" t="s">
        <v>14812</v>
      </c>
      <c r="E1486" s="74"/>
      <c r="F1486" s="46" t="s">
        <v>1348</v>
      </c>
      <c r="G1486" s="75"/>
      <c r="H1486" s="98" t="str">
        <f>HYPERLINK("http://mirror.ff7data.com.ar/ff7/data/cd/cr_us.lgp/name7_b.tex.png","EN")</f>
        <v>EN</v>
      </c>
      <c r="I1486" s="98" t="str">
        <f>HYPERLINK("http://mirror.ff7data.com.ar/ff7/es/cr_sp/name7_b.tex.png","ES")</f>
        <v>ES</v>
      </c>
      <c r="J1486" s="98" t="str">
        <f>HYPERLINK("http://mirror.ff7data.com.ar/ff7/es/cr_gm/name7_b.tex.png","DE")</f>
        <v>DE</v>
      </c>
      <c r="K1486" s="43"/>
    </row>
    <row r="1487" ht="25.5" customHeight="1">
      <c r="A1487" s="82"/>
      <c r="B1487" s="33" t="s">
        <v>14834</v>
      </c>
      <c r="C1487" s="42">
        <v>33068.0</v>
      </c>
      <c r="D1487" s="33" t="s">
        <v>14835</v>
      </c>
      <c r="E1487" s="74"/>
      <c r="F1487" s="46" t="s">
        <v>1348</v>
      </c>
      <c r="G1487" s="75"/>
      <c r="H1487" s="98" t="str">
        <f>HYPERLINK("http://mirror.ff7data.com.ar/ff7/data/cd/cr_us.lgp/name8.tex.png","EN")</f>
        <v>EN</v>
      </c>
      <c r="I1487" s="98" t="str">
        <f>HYPERLINK("http://mirror.ff7data.com.ar/ff7/es/cr_sp/name8.tex.png","ES")</f>
        <v>ES</v>
      </c>
      <c r="J1487" s="98" t="str">
        <f>HYPERLINK("http://mirror.ff7data.com.ar/ff7/es/cr_gm/name8.tex.png","DE")</f>
        <v>DE</v>
      </c>
      <c r="K1487" s="43"/>
    </row>
    <row r="1488" ht="25.5" customHeight="1">
      <c r="A1488" s="82"/>
      <c r="B1488" s="33" t="s">
        <v>14853</v>
      </c>
      <c r="C1488" s="42">
        <v>65836.0</v>
      </c>
      <c r="D1488" s="33" t="s">
        <v>14854</v>
      </c>
      <c r="E1488" s="74"/>
      <c r="F1488" s="46" t="s">
        <v>1348</v>
      </c>
      <c r="G1488" s="75"/>
      <c r="H1488" s="98" t="str">
        <f>HYPERLINK("http://mirror.ff7data.com.ar/ff7/data/cd/cr_us.lgp/name8_a.tex.png","EN")</f>
        <v>EN</v>
      </c>
      <c r="I1488" s="98" t="str">
        <f>HYPERLINK("http://mirror.ff7data.com.ar/ff7/es/cr_sp/name8_a.tex.png","ES")</f>
        <v>ES</v>
      </c>
      <c r="J1488" s="98" t="str">
        <f>HYPERLINK("http://mirror.ff7data.com.ar/ff7/es/cr_gm/name8_a.tex.png","DE")</f>
        <v>DE</v>
      </c>
      <c r="K1488" s="43"/>
    </row>
    <row r="1489" ht="25.5" customHeight="1">
      <c r="A1489" s="82"/>
      <c r="B1489" s="33" t="s">
        <v>14870</v>
      </c>
      <c r="C1489" s="42">
        <v>65836.0</v>
      </c>
      <c r="D1489" s="33" t="s">
        <v>14871</v>
      </c>
      <c r="E1489" s="74"/>
      <c r="F1489" s="46" t="s">
        <v>1348</v>
      </c>
      <c r="G1489" s="75"/>
      <c r="H1489" s="98" t="str">
        <f>HYPERLINK("http://mirror.ff7data.com.ar/ff7/data/cd/cr_us.lgp/name8_b.tex.png","EN")</f>
        <v>EN</v>
      </c>
      <c r="I1489" s="98" t="str">
        <f>HYPERLINK("http://mirror.ff7data.com.ar/ff7/es/cr_sp/name8_b.tex.png","ES")</f>
        <v>ES</v>
      </c>
      <c r="J1489" s="98" t="str">
        <f>HYPERLINK("http://mirror.ff7data.com.ar/ff7/es/cr_gm/name8_b.tex.png","DE")</f>
        <v>DE</v>
      </c>
      <c r="K1489" s="43"/>
    </row>
    <row r="1490">
      <c r="A1490" s="82"/>
      <c r="B1490" s="33" t="s">
        <v>14890</v>
      </c>
      <c r="C1490" s="42">
        <v>66796.0</v>
      </c>
      <c r="D1490" s="33" t="s">
        <v>14892</v>
      </c>
      <c r="E1490" s="74"/>
      <c r="F1490" s="46" t="s">
        <v>1348</v>
      </c>
      <c r="G1490" s="75"/>
      <c r="H1490" s="98" t="str">
        <f>HYPERLINK("http://mirror.ff7data.com.ar/ff7/data/cd/cr_us.lgp/opback_a.tex.png","View Picture")</f>
        <v>View Picture</v>
      </c>
      <c r="K1490" s="43"/>
    </row>
    <row r="1491">
      <c r="A1491" s="82"/>
      <c r="B1491" s="33" t="s">
        <v>14901</v>
      </c>
      <c r="C1491" s="42">
        <v>66796.0</v>
      </c>
      <c r="D1491" s="33" t="s">
        <v>14903</v>
      </c>
      <c r="E1491" s="74"/>
      <c r="F1491" s="46" t="s">
        <v>1348</v>
      </c>
      <c r="G1491" s="75"/>
      <c r="H1491" s="98" t="str">
        <f>HYPERLINK("http://mirror.ff7data.com.ar/ff7/data/cd/cr_us.lgp/opback_b.tex.png","View Picture")</f>
        <v>View Picture</v>
      </c>
      <c r="K1491" s="43"/>
    </row>
    <row r="1492">
      <c r="A1492" s="82"/>
      <c r="B1492" s="33" t="s">
        <v>14912</v>
      </c>
      <c r="C1492" s="42">
        <v>34028.0</v>
      </c>
      <c r="D1492" s="33" t="s">
        <v>14913</v>
      </c>
      <c r="E1492" s="74"/>
      <c r="F1492" s="46" t="s">
        <v>1348</v>
      </c>
      <c r="G1492" s="75"/>
      <c r="H1492" s="98" t="str">
        <f>HYPERLINK("http://mirror.ff7data.com.ar/ff7/data/cd/cr_us.lgp/opback_c.tex.png","View Picture")</f>
        <v>View Picture</v>
      </c>
      <c r="K1492" s="43"/>
    </row>
    <row r="1493">
      <c r="A1493" s="82"/>
      <c r="B1493" s="33" t="s">
        <v>14920</v>
      </c>
      <c r="C1493" s="42">
        <v>66796.0</v>
      </c>
      <c r="D1493" s="33" t="s">
        <v>14921</v>
      </c>
      <c r="E1493" s="74"/>
      <c r="F1493" s="46" t="s">
        <v>1348</v>
      </c>
      <c r="G1493" s="75"/>
      <c r="H1493" s="98" t="str">
        <f>HYPERLINK("http://mirror.ff7data.com.ar/ff7/data/cd/cr_us.lgp/opback_d.tex.png","View Picture")</f>
        <v>View Picture</v>
      </c>
      <c r="K1493" s="43"/>
    </row>
    <row r="1494">
      <c r="A1494" s="82"/>
      <c r="B1494" s="33" t="s">
        <v>14930</v>
      </c>
      <c r="C1494" s="42">
        <v>66796.0</v>
      </c>
      <c r="D1494" s="33" t="s">
        <v>14931</v>
      </c>
      <c r="E1494" s="74"/>
      <c r="F1494" s="46" t="s">
        <v>1348</v>
      </c>
      <c r="G1494" s="75"/>
      <c r="H1494" s="98" t="str">
        <f>HYPERLINK("http://mirror.ff7data.com.ar/ff7/data/cd/cr_us.lgp/opback_e.tex.png","View Picture")</f>
        <v>View Picture</v>
      </c>
      <c r="K1494" s="43"/>
    </row>
    <row r="1495">
      <c r="A1495" s="82"/>
      <c r="B1495" s="33" t="s">
        <v>14938</v>
      </c>
      <c r="C1495" s="42">
        <v>34028.0</v>
      </c>
      <c r="D1495" s="33" t="s">
        <v>14940</v>
      </c>
      <c r="E1495" s="74"/>
      <c r="F1495" s="46" t="s">
        <v>1348</v>
      </c>
      <c r="G1495" s="75"/>
      <c r="H1495" s="98" t="str">
        <f>HYPERLINK("http://mirror.ff7data.com.ar/ff7/data/cd/cr_us.lgp/opback_f.tex.png","View Picture")</f>
        <v>View Picture</v>
      </c>
      <c r="K1495" s="43"/>
    </row>
    <row r="1496">
      <c r="A1496" s="82"/>
      <c r="B1496" s="33" t="s">
        <v>14946</v>
      </c>
      <c r="C1496" s="42">
        <v>66796.0</v>
      </c>
      <c r="D1496" s="33" t="s">
        <v>14948</v>
      </c>
      <c r="E1496" s="74"/>
      <c r="F1496" s="46" t="s">
        <v>1348</v>
      </c>
      <c r="G1496" s="75"/>
      <c r="H1496" s="98" t="str">
        <f>HYPERLINK("http://mirror.ff7data.com.ar/ff7/data/cd/cr_us.lgp/opback1.tex.png","View Picture")</f>
        <v>View Picture</v>
      </c>
      <c r="K1496" s="43"/>
    </row>
    <row r="1497">
      <c r="A1497" s="82"/>
      <c r="B1497" s="33" t="s">
        <v>14954</v>
      </c>
      <c r="C1497" s="42">
        <v>17644.0</v>
      </c>
      <c r="D1497" s="33" t="s">
        <v>14956</v>
      </c>
      <c r="E1497" s="74"/>
      <c r="F1497" s="46" t="s">
        <v>1348</v>
      </c>
      <c r="G1497" s="75"/>
      <c r="H1497" s="98" t="str">
        <f>HYPERLINK("http://mirror.ff7data.com.ar/ff7/data/cd/cr_us.lgp/opback2.tex.png","View Picture")</f>
        <v>View Picture</v>
      </c>
      <c r="K1497" s="43"/>
    </row>
    <row r="1498">
      <c r="A1498" s="55"/>
      <c r="B1498" s="57" t="s">
        <v>14963</v>
      </c>
      <c r="C1498" s="58">
        <v>34496.0</v>
      </c>
      <c r="D1498" s="70"/>
      <c r="E1498" s="19"/>
      <c r="F1498" s="61" t="s">
        <v>8439</v>
      </c>
      <c r="G1498" s="71"/>
      <c r="H1498" s="19"/>
      <c r="I1498" s="19"/>
      <c r="J1498" s="19"/>
      <c r="K1498" s="64"/>
    </row>
    <row r="1499">
      <c r="A1499" s="12"/>
      <c r="B1499" s="12"/>
      <c r="C1499" s="65"/>
      <c r="D1499" s="34"/>
      <c r="E1499" s="34"/>
      <c r="F1499" s="67"/>
      <c r="G1499" s="67"/>
      <c r="H1499" s="34"/>
      <c r="I1499" s="34"/>
      <c r="J1499" s="34"/>
      <c r="K1499" s="34"/>
    </row>
    <row r="1500">
      <c r="A1500" s="68"/>
      <c r="B1500" s="69" t="s">
        <v>155</v>
      </c>
      <c r="C1500" s="144"/>
      <c r="D1500" s="19"/>
      <c r="E1500" s="19"/>
      <c r="F1500" s="71"/>
      <c r="G1500" s="71"/>
      <c r="H1500" s="19"/>
      <c r="I1500" s="19"/>
      <c r="J1500" s="19"/>
      <c r="K1500" s="19"/>
    </row>
    <row r="1501">
      <c r="A1501" s="82"/>
      <c r="B1501" s="23" t="s">
        <v>14975</v>
      </c>
      <c r="C1501" s="24">
        <v>66796.0</v>
      </c>
      <c r="D1501" s="23" t="s">
        <v>14977</v>
      </c>
      <c r="E1501" s="34"/>
      <c r="F1501" s="36" t="s">
        <v>1348</v>
      </c>
      <c r="G1501" s="67"/>
      <c r="H1501" s="137" t="str">
        <f>HYPERLINK("http://mirror.ff7data.com.ar/ff7/data/cd/disc_us.lgp/aeris_a.tex.png","View Picture")</f>
        <v>View Picture</v>
      </c>
      <c r="I1501" s="34"/>
      <c r="J1501" s="34"/>
      <c r="K1501" s="38"/>
    </row>
    <row r="1502">
      <c r="A1502" s="82"/>
      <c r="B1502" s="33" t="s">
        <v>14990</v>
      </c>
      <c r="C1502" s="42">
        <v>66796.0</v>
      </c>
      <c r="D1502" s="33" t="s">
        <v>14992</v>
      </c>
      <c r="E1502" s="74"/>
      <c r="F1502" s="46" t="s">
        <v>1348</v>
      </c>
      <c r="G1502" s="75"/>
      <c r="H1502" s="98" t="str">
        <f>HYPERLINK("http://mirror.ff7data.com.ar/ff7/data/cd/disc_us.lgp/aeris_b.tex.png","View Picture")</f>
        <v>View Picture</v>
      </c>
      <c r="K1502" s="43"/>
    </row>
    <row r="1503">
      <c r="A1503" s="82"/>
      <c r="B1503" s="33" t="s">
        <v>15006</v>
      </c>
      <c r="C1503" s="42">
        <v>17644.0</v>
      </c>
      <c r="D1503" s="33" t="s">
        <v>15008</v>
      </c>
      <c r="E1503" s="74"/>
      <c r="F1503" s="46" t="s">
        <v>1348</v>
      </c>
      <c r="G1503" s="75"/>
      <c r="H1503" s="98" t="str">
        <f>HYPERLINK("http://mirror.ff7data.com.ar/ff7/data/cd/disc_us.lgp/aeris_c.tex.png","View Picture")</f>
        <v>View Picture</v>
      </c>
      <c r="K1503" s="43"/>
    </row>
    <row r="1504">
      <c r="A1504" s="82"/>
      <c r="B1504" s="33" t="s">
        <v>15017</v>
      </c>
      <c r="C1504" s="42">
        <v>17644.0</v>
      </c>
      <c r="D1504" s="33" t="s">
        <v>15019</v>
      </c>
      <c r="E1504" s="74"/>
      <c r="F1504" s="46" t="s">
        <v>1348</v>
      </c>
      <c r="G1504" s="75"/>
      <c r="H1504" s="98" t="str">
        <f>HYPERLINK("http://mirror.ff7data.com.ar/ff7/data/cd/disc_us.lgp/aeris_d.tex.png","View Picture")</f>
        <v>View Picture</v>
      </c>
      <c r="K1504" s="43"/>
    </row>
    <row r="1505">
      <c r="A1505" s="82"/>
      <c r="B1505" s="33" t="s">
        <v>15027</v>
      </c>
      <c r="C1505" s="42">
        <v>66796.0</v>
      </c>
      <c r="D1505" s="33" t="s">
        <v>15029</v>
      </c>
      <c r="E1505" s="74"/>
      <c r="F1505" s="46" t="s">
        <v>1348</v>
      </c>
      <c r="G1505" s="75"/>
      <c r="H1505" s="98" t="str">
        <f>HYPERLINK("http://mirror.ff7data.com.ar/ff7/data/cd/disc_us.lgp/aeris_x.tex.png","View Picture")</f>
        <v>View Picture</v>
      </c>
      <c r="K1505" s="43"/>
    </row>
    <row r="1506">
      <c r="A1506" s="82"/>
      <c r="B1506" s="33" t="s">
        <v>15040</v>
      </c>
      <c r="C1506" s="42">
        <v>66796.0</v>
      </c>
      <c r="D1506" s="33" t="s">
        <v>15041</v>
      </c>
      <c r="E1506" s="74"/>
      <c r="F1506" s="46" t="s">
        <v>1348</v>
      </c>
      <c r="G1506" s="75"/>
      <c r="H1506" s="98" t="str">
        <f>HYPERLINK("http://mirror.ff7data.com.ar/ff7/data/cd/disc_us.lgp/barr_a.tex.png","View Picture")</f>
        <v>View Picture</v>
      </c>
      <c r="K1506" s="43"/>
    </row>
    <row r="1507">
      <c r="A1507" s="82"/>
      <c r="B1507" s="33" t="s">
        <v>15049</v>
      </c>
      <c r="C1507" s="42">
        <v>66796.0</v>
      </c>
      <c r="D1507" s="33" t="s">
        <v>15051</v>
      </c>
      <c r="E1507" s="74"/>
      <c r="F1507" s="46" t="s">
        <v>1348</v>
      </c>
      <c r="G1507" s="75"/>
      <c r="H1507" s="98" t="str">
        <f>HYPERLINK("http://mirror.ff7data.com.ar/ff7/data/cd/disc_us.lgp/barr_b.tex.png","View Picture")</f>
        <v>View Picture</v>
      </c>
      <c r="K1507" s="43"/>
    </row>
    <row r="1508">
      <c r="A1508" s="82"/>
      <c r="B1508" s="33" t="s">
        <v>15058</v>
      </c>
      <c r="C1508" s="42">
        <v>17644.0</v>
      </c>
      <c r="D1508" s="33" t="s">
        <v>15060</v>
      </c>
      <c r="E1508" s="74"/>
      <c r="F1508" s="46" t="s">
        <v>1348</v>
      </c>
      <c r="G1508" s="75"/>
      <c r="H1508" s="98" t="str">
        <f>HYPERLINK("http://mirror.ff7data.com.ar/ff7/data/cd/disc_us.lgp/barr_c.tex.png","View Picture")</f>
        <v>View Picture</v>
      </c>
      <c r="K1508" s="43"/>
    </row>
    <row r="1509">
      <c r="A1509" s="82"/>
      <c r="B1509" s="33" t="s">
        <v>15066</v>
      </c>
      <c r="C1509" s="42">
        <v>17644.0</v>
      </c>
      <c r="D1509" s="33" t="s">
        <v>15069</v>
      </c>
      <c r="E1509" s="74"/>
      <c r="F1509" s="46" t="s">
        <v>1348</v>
      </c>
      <c r="G1509" s="75"/>
      <c r="H1509" s="98" t="str">
        <f>HYPERLINK("http://mirror.ff7data.com.ar/ff7/data/cd/disc_us.lgp/barr_d.tex.png","View Picture")</f>
        <v>View Picture</v>
      </c>
      <c r="K1509" s="43"/>
    </row>
    <row r="1510">
      <c r="A1510" s="82"/>
      <c r="B1510" s="33" t="s">
        <v>15076</v>
      </c>
      <c r="C1510" s="42">
        <v>66796.0</v>
      </c>
      <c r="D1510" s="33" t="s">
        <v>15078</v>
      </c>
      <c r="E1510" s="74"/>
      <c r="F1510" s="46" t="s">
        <v>1348</v>
      </c>
      <c r="G1510" s="75"/>
      <c r="H1510" s="98" t="str">
        <f>HYPERLINK("http://mirror.ff7data.com.ar/ff7/data/cd/disc_us.lgp/barr_x.tex.png","View Picture")</f>
        <v>View Picture</v>
      </c>
      <c r="K1510" s="43"/>
    </row>
    <row r="1511">
      <c r="A1511" s="82"/>
      <c r="B1511" s="33" t="s">
        <v>15088</v>
      </c>
      <c r="C1511" s="42">
        <v>66796.0</v>
      </c>
      <c r="D1511" s="33" t="s">
        <v>15091</v>
      </c>
      <c r="E1511" s="74"/>
      <c r="F1511" s="46" t="s">
        <v>1348</v>
      </c>
      <c r="G1511" s="75"/>
      <c r="H1511" s="98" t="str">
        <f>HYPERLINK("http://mirror.ff7data.com.ar/ff7/data/cd/disc_us.lgp/cid_a.tex.png","View Picture")</f>
        <v>View Picture</v>
      </c>
      <c r="K1511" s="43"/>
    </row>
    <row r="1512">
      <c r="A1512" s="82"/>
      <c r="B1512" s="33" t="s">
        <v>15103</v>
      </c>
      <c r="C1512" s="42">
        <v>66796.0</v>
      </c>
      <c r="D1512" s="33" t="s">
        <v>15105</v>
      </c>
      <c r="E1512" s="74"/>
      <c r="F1512" s="46" t="s">
        <v>1348</v>
      </c>
      <c r="G1512" s="75"/>
      <c r="H1512" s="98" t="str">
        <f>HYPERLINK("http://mirror.ff7data.com.ar/ff7/data/cd/disc_us.lgp/cid_b.tex.png","View Picture")</f>
        <v>View Picture</v>
      </c>
      <c r="K1512" s="43"/>
    </row>
    <row r="1513">
      <c r="A1513" s="82"/>
      <c r="B1513" s="33" t="s">
        <v>15116</v>
      </c>
      <c r="C1513" s="42">
        <v>17644.0</v>
      </c>
      <c r="D1513" s="33" t="s">
        <v>15118</v>
      </c>
      <c r="E1513" s="74"/>
      <c r="F1513" s="46" t="s">
        <v>1348</v>
      </c>
      <c r="G1513" s="75"/>
      <c r="H1513" s="98" t="str">
        <f>HYPERLINK("http://mirror.ff7data.com.ar/ff7/data/cd/disc_us.lgp/cid_c.tex.png","View Picture")</f>
        <v>View Picture</v>
      </c>
      <c r="K1513" s="43"/>
    </row>
    <row r="1514">
      <c r="A1514" s="82"/>
      <c r="B1514" s="33" t="s">
        <v>15128</v>
      </c>
      <c r="C1514" s="42">
        <v>17644.0</v>
      </c>
      <c r="D1514" s="33" t="s">
        <v>15130</v>
      </c>
      <c r="E1514" s="74"/>
      <c r="F1514" s="46" t="s">
        <v>1348</v>
      </c>
      <c r="G1514" s="75"/>
      <c r="H1514" s="98" t="str">
        <f>HYPERLINK("http://mirror.ff7data.com.ar/ff7/data/cd/disc_us.lgp/cid_d.tex.png","View Picture")</f>
        <v>View Picture</v>
      </c>
      <c r="K1514" s="43"/>
    </row>
    <row r="1515">
      <c r="A1515" s="82"/>
      <c r="B1515" s="33" t="s">
        <v>15144</v>
      </c>
      <c r="C1515" s="42">
        <v>66796.0</v>
      </c>
      <c r="D1515" s="33" t="s">
        <v>15145</v>
      </c>
      <c r="E1515" s="74"/>
      <c r="F1515" s="46" t="s">
        <v>1348</v>
      </c>
      <c r="G1515" s="75"/>
      <c r="H1515" s="98" t="str">
        <f>HYPERLINK("http://mirror.ff7data.com.ar/ff7/data/cd/disc_us.lgp/cid_x.tex.png","View Picture")</f>
        <v>View Picture</v>
      </c>
      <c r="K1515" s="43"/>
    </row>
    <row r="1516">
      <c r="A1516" s="82"/>
      <c r="B1516" s="33" t="s">
        <v>15155</v>
      </c>
      <c r="C1516" s="42">
        <v>66796.0</v>
      </c>
      <c r="D1516" s="33" t="s">
        <v>15157</v>
      </c>
      <c r="E1516" s="74"/>
      <c r="F1516" s="46" t="s">
        <v>1348</v>
      </c>
      <c r="G1516" s="75"/>
      <c r="H1516" s="98" t="str">
        <f>HYPERLINK("http://mirror.ff7data.com.ar/ff7/data/cd/disc_us.lgp/cloud_a.tex.png","View Picture")</f>
        <v>View Picture</v>
      </c>
      <c r="K1516" s="43"/>
    </row>
    <row r="1517">
      <c r="A1517" s="82"/>
      <c r="B1517" s="33" t="s">
        <v>15165</v>
      </c>
      <c r="C1517" s="42">
        <v>66796.0</v>
      </c>
      <c r="D1517" s="33" t="s">
        <v>15167</v>
      </c>
      <c r="E1517" s="74"/>
      <c r="F1517" s="46" t="s">
        <v>1348</v>
      </c>
      <c r="G1517" s="75"/>
      <c r="H1517" s="98" t="str">
        <f>HYPERLINK("http://mirror.ff7data.com.ar/ff7/data/cd/disc_us.lgp/cloud_b.tex.png","View Picture")</f>
        <v>View Picture</v>
      </c>
      <c r="K1517" s="43"/>
    </row>
    <row r="1518">
      <c r="A1518" s="82"/>
      <c r="B1518" s="33" t="s">
        <v>15179</v>
      </c>
      <c r="C1518" s="42">
        <v>17644.0</v>
      </c>
      <c r="D1518" s="33" t="s">
        <v>15180</v>
      </c>
      <c r="E1518" s="74"/>
      <c r="F1518" s="46" t="s">
        <v>1348</v>
      </c>
      <c r="G1518" s="75"/>
      <c r="H1518" s="98" t="str">
        <f>HYPERLINK("http://mirror.ff7data.com.ar/ff7/data/cd/disc_us.lgp/cloud_c.tex.png","View Picture")</f>
        <v>View Picture</v>
      </c>
      <c r="K1518" s="43"/>
    </row>
    <row r="1519">
      <c r="A1519" s="82"/>
      <c r="B1519" s="33" t="s">
        <v>15190</v>
      </c>
      <c r="C1519" s="42">
        <v>17644.0</v>
      </c>
      <c r="D1519" s="33" t="s">
        <v>15192</v>
      </c>
      <c r="E1519" s="74"/>
      <c r="F1519" s="46" t="s">
        <v>1348</v>
      </c>
      <c r="G1519" s="75"/>
      <c r="H1519" s="98" t="str">
        <f>HYPERLINK("http://mirror.ff7data.com.ar/ff7/data/cd/disc_us.lgp/cloud_d.tex.png","View Picture")</f>
        <v>View Picture</v>
      </c>
      <c r="K1519" s="43"/>
    </row>
    <row r="1520">
      <c r="A1520" s="82"/>
      <c r="B1520" s="33" t="s">
        <v>15203</v>
      </c>
      <c r="C1520" s="42">
        <v>66796.0</v>
      </c>
      <c r="D1520" s="33" t="s">
        <v>15204</v>
      </c>
      <c r="E1520" s="74"/>
      <c r="F1520" s="46" t="s">
        <v>1348</v>
      </c>
      <c r="G1520" s="75"/>
      <c r="H1520" s="98" t="str">
        <f>HYPERLINK("http://mirror.ff7data.com.ar/ff7/data/cd/disc_us.lgp/cloud_x.tex.png","View Picture")</f>
        <v>View Picture</v>
      </c>
      <c r="K1520" s="43"/>
    </row>
    <row r="1521" ht="25.5" customHeight="1">
      <c r="A1521" s="82"/>
      <c r="B1521" s="33" t="s">
        <v>15214</v>
      </c>
      <c r="C1521" s="42">
        <v>66796.0</v>
      </c>
      <c r="D1521" s="33" t="s">
        <v>15216</v>
      </c>
      <c r="E1521" s="74"/>
      <c r="F1521" s="46" t="s">
        <v>1348</v>
      </c>
      <c r="G1521" s="46" t="s">
        <v>889</v>
      </c>
      <c r="H1521" s="98" t="str">
        <f>HYPERLINK("http://mirror.ff7data.com.ar/ff7/data/cd/disc_us.lgp/disk1_a.tex.png","EN")</f>
        <v>EN</v>
      </c>
      <c r="I1521" s="98" t="str">
        <f>HYPERLINK("http://mirror.ff7data.com.ar/ff7/es/disc_sp/sdisk1_a.tex.png","ES")</f>
        <v>ES</v>
      </c>
      <c r="J1521" s="98" t="str">
        <f>HYPERLINK("http://mirror.ff7data.com.ar/ff7/de/disc_gm/g_disk1_a.tex.png","DE")</f>
        <v>DE</v>
      </c>
      <c r="K1521" s="43"/>
    </row>
    <row r="1522" ht="25.5" customHeight="1">
      <c r="A1522" s="82"/>
      <c r="B1522" s="33" t="s">
        <v>15248</v>
      </c>
      <c r="C1522" s="42">
        <v>66796.0</v>
      </c>
      <c r="D1522" s="33" t="s">
        <v>15251</v>
      </c>
      <c r="E1522" s="74"/>
      <c r="F1522" s="46" t="s">
        <v>1348</v>
      </c>
      <c r="G1522" s="46" t="s">
        <v>889</v>
      </c>
      <c r="H1522" s="98" t="str">
        <f>HYPERLINK("http://mirror.ff7data.com.ar/ff7/data/cd/disc_us.lgp/disk1_b.tex.png","EN")</f>
        <v>EN</v>
      </c>
      <c r="I1522" s="98" t="str">
        <f>HYPERLINK("http://mirror.ff7data.com.ar/ff7/es/disc_sp/sdisk1_b.tex.png","ES")</f>
        <v>ES</v>
      </c>
      <c r="J1522" s="98" t="str">
        <f>HYPERLINK("http://mirror.ff7data.com.ar/ff7/de/disc_gm/g_disk1_b.tex.png","DE")</f>
        <v>DE</v>
      </c>
      <c r="K1522" s="43"/>
    </row>
    <row r="1523" ht="25.5" customHeight="1">
      <c r="A1523" s="82"/>
      <c r="B1523" s="33" t="s">
        <v>15278</v>
      </c>
      <c r="C1523" s="42">
        <v>34028.0</v>
      </c>
      <c r="D1523" s="33" t="s">
        <v>15279</v>
      </c>
      <c r="E1523" s="74"/>
      <c r="F1523" s="46" t="s">
        <v>1348</v>
      </c>
      <c r="G1523" s="46" t="s">
        <v>889</v>
      </c>
      <c r="H1523" s="98" t="str">
        <f>HYPERLINK("http://mirror.ff7data.com.ar/ff7/data/cd/disc_us.lgp/disk1_x.tex.png","EN")</f>
        <v>EN</v>
      </c>
      <c r="I1523" s="98" t="str">
        <f>HYPERLINK("http://mirror.ff7data.com.ar/ff7/es/disc_sp/sdisk1_x.tex.png","ES")</f>
        <v>ES</v>
      </c>
      <c r="J1523" s="98" t="str">
        <f>HYPERLINK("http://mirror.ff7data.com.ar/ff7/de/disc_gm/g_disk1_x.tex.png","DE")</f>
        <v>DE</v>
      </c>
      <c r="K1523" s="43"/>
    </row>
    <row r="1524" ht="25.5" customHeight="1">
      <c r="A1524" s="82"/>
      <c r="B1524" s="33" t="s">
        <v>15298</v>
      </c>
      <c r="C1524" s="42">
        <v>66796.0</v>
      </c>
      <c r="D1524" s="33" t="s">
        <v>15300</v>
      </c>
      <c r="E1524" s="74"/>
      <c r="F1524" s="46" t="s">
        <v>1348</v>
      </c>
      <c r="G1524" s="46" t="s">
        <v>889</v>
      </c>
      <c r="H1524" s="98" t="str">
        <f>HYPERLINK("http://mirror.ff7data.com.ar/ff7/data/cd/disc_us.lgp/disk2_a.tex.png","EN")</f>
        <v>EN</v>
      </c>
      <c r="I1524" s="98" t="str">
        <f>HYPERLINK("http://mirror.ff7data.com.ar/ff7/es/disc_sp/sdisk2_a.tex.png","ES")</f>
        <v>ES</v>
      </c>
      <c r="J1524" s="98" t="str">
        <f>HYPERLINK("http://mirror.ff7data.com.ar/ff7/de/disc_gm/g_disk2_a.tex.png","DE")</f>
        <v>DE</v>
      </c>
      <c r="K1524" s="43"/>
    </row>
    <row r="1525" ht="25.5" customHeight="1">
      <c r="A1525" s="82"/>
      <c r="B1525" s="33" t="s">
        <v>15326</v>
      </c>
      <c r="C1525" s="42">
        <v>66796.0</v>
      </c>
      <c r="D1525" s="33" t="s">
        <v>15328</v>
      </c>
      <c r="E1525" s="74"/>
      <c r="F1525" s="46" t="s">
        <v>1348</v>
      </c>
      <c r="G1525" s="46" t="s">
        <v>889</v>
      </c>
      <c r="H1525" s="98" t="str">
        <f>HYPERLINK("http://mirror.ff7data.com.ar/ff7/data/cd/disc_us.lgp/disk2_b.tex.png","EN")</f>
        <v>EN</v>
      </c>
      <c r="I1525" s="98" t="str">
        <f>HYPERLINK("http://mirror.ff7data.com.ar/ff7/es/disc_sp/sdisk2_b.tex.png","ES")</f>
        <v>ES</v>
      </c>
      <c r="J1525" s="98" t="str">
        <f>HYPERLINK("http://mirror.ff7data.com.ar/ff7/de/disc_gm/g_disk2_b.tex.png","DE")</f>
        <v>DE</v>
      </c>
      <c r="K1525" s="43"/>
    </row>
    <row r="1526" ht="25.5" customHeight="1">
      <c r="A1526" s="82"/>
      <c r="B1526" s="33" t="s">
        <v>15346</v>
      </c>
      <c r="C1526" s="42">
        <v>34028.0</v>
      </c>
      <c r="D1526" s="33" t="s">
        <v>15347</v>
      </c>
      <c r="E1526" s="74"/>
      <c r="F1526" s="46" t="s">
        <v>1348</v>
      </c>
      <c r="G1526" s="46" t="s">
        <v>889</v>
      </c>
      <c r="H1526" s="98" t="str">
        <f>HYPERLINK("http://mirror.ff7data.com.ar/ff7/data/cd/disc_us.lgp/disk2_x.tex.png","EN")</f>
        <v>EN</v>
      </c>
      <c r="I1526" s="98" t="str">
        <f>HYPERLINK("http://mirror.ff7data.com.ar/ff7/es/disc_sp/sdisk2_x.tex.png","ES")</f>
        <v>ES</v>
      </c>
      <c r="J1526" s="98" t="str">
        <f>HYPERLINK("http://mirror.ff7data.com.ar/ff7/de/disc_gm/g_disk2_x.tex.png","DE")</f>
        <v>DE</v>
      </c>
      <c r="K1526" s="43"/>
    </row>
    <row r="1527" ht="25.5" customHeight="1">
      <c r="A1527" s="82"/>
      <c r="B1527" s="33" t="s">
        <v>15362</v>
      </c>
      <c r="C1527" s="42">
        <v>66796.0</v>
      </c>
      <c r="D1527" s="33" t="s">
        <v>15363</v>
      </c>
      <c r="E1527" s="74"/>
      <c r="F1527" s="46" t="s">
        <v>1348</v>
      </c>
      <c r="G1527" s="46" t="s">
        <v>889</v>
      </c>
      <c r="H1527" s="98" t="str">
        <f>HYPERLINK("http://mirror.ff7data.com.ar/ff7/data/cd/disc_us.lgp/disk3_a.tex.png","EN")</f>
        <v>EN</v>
      </c>
      <c r="I1527" s="98" t="str">
        <f>HYPERLINK("http://mirror.ff7data.com.ar/ff7/es/disc_sp/sdisk3_a.tex.png","ES")</f>
        <v>ES</v>
      </c>
      <c r="J1527" s="98" t="str">
        <f>HYPERLINK("http://mirror.ff7data.com.ar/ff7/de/disc_gm/g_disk3_a.tex.png","DE")</f>
        <v>DE</v>
      </c>
      <c r="K1527" s="43"/>
    </row>
    <row r="1528" ht="25.5" customHeight="1">
      <c r="A1528" s="82"/>
      <c r="B1528" s="33" t="s">
        <v>15380</v>
      </c>
      <c r="C1528" s="42">
        <v>66796.0</v>
      </c>
      <c r="D1528" s="33" t="s">
        <v>15382</v>
      </c>
      <c r="E1528" s="74"/>
      <c r="F1528" s="46" t="s">
        <v>1348</v>
      </c>
      <c r="G1528" s="46" t="s">
        <v>889</v>
      </c>
      <c r="H1528" s="98" t="str">
        <f>HYPERLINK("http://mirror.ff7data.com.ar/ff7/data/cd/disc_us.lgp/disk3_b.tex.png","EN")</f>
        <v>EN</v>
      </c>
      <c r="I1528" s="98" t="str">
        <f>HYPERLINK("http://mirror.ff7data.com.ar/ff7/es/disc_sp/sdisk3_b.tex.png","ES")</f>
        <v>ES</v>
      </c>
      <c r="J1528" s="98" t="str">
        <f>HYPERLINK("http://mirror.ff7data.com.ar/ff7/de/disc_gm/g_disk3_b.tex.png","DE")</f>
        <v>DE</v>
      </c>
      <c r="K1528" s="43"/>
    </row>
    <row r="1529" ht="25.5" customHeight="1">
      <c r="A1529" s="82"/>
      <c r="B1529" s="33" t="s">
        <v>15400</v>
      </c>
      <c r="C1529" s="42">
        <v>34028.0</v>
      </c>
      <c r="D1529" s="33" t="s">
        <v>15403</v>
      </c>
      <c r="E1529" s="74"/>
      <c r="F1529" s="46" t="s">
        <v>1348</v>
      </c>
      <c r="G1529" s="46" t="s">
        <v>889</v>
      </c>
      <c r="H1529" s="98" t="str">
        <f>HYPERLINK("http://mirror.ff7data.com.ar/ff7/data/cd/disc_us.lgp/disk3_x.tex.png","EN")</f>
        <v>EN</v>
      </c>
      <c r="I1529" s="98" t="str">
        <f>HYPERLINK("http://mirror.ff7data.com.ar/ff7/es/disc_sp/sdisk3_x.tex.png","ES")</f>
        <v>ES</v>
      </c>
      <c r="J1529" s="98" t="str">
        <f>HYPERLINK("http://mirror.ff7data.com.ar/ff7/de/disc_gm/g_disk3_x.tex.png","DE")</f>
        <v>DE</v>
      </c>
      <c r="K1529" s="43"/>
    </row>
    <row r="1530" ht="25.5" customHeight="1">
      <c r="A1530" s="82"/>
      <c r="B1530" s="33" t="s">
        <v>15421</v>
      </c>
      <c r="C1530" s="42">
        <v>66796.0</v>
      </c>
      <c r="D1530" s="33" t="s">
        <v>15423</v>
      </c>
      <c r="E1530" s="74"/>
      <c r="F1530" s="46" t="s">
        <v>1348</v>
      </c>
      <c r="G1530" s="46" t="s">
        <v>15424</v>
      </c>
      <c r="H1530" s="98" t="str">
        <f>HYPERLINK("http://mirror.ff7data.com.ar/ff7/data/cd/disc_us.lgp/e_over_a.tex.png","EN")</f>
        <v>EN</v>
      </c>
      <c r="I1530" s="98" t="str">
        <f>HYPERLINK("http://mirror.ff7data.com.ar/ff7/es/disc_sp/s_over_a.tex.png","ES")</f>
        <v>ES</v>
      </c>
      <c r="J1530" s="98" t="str">
        <f>HYPERLINK("http://mirror.ff7data.com.ar/ff7/de/disc_gm/g_over_a.tex.png","DE")</f>
        <v>DE</v>
      </c>
      <c r="K1530" s="43"/>
    </row>
    <row r="1531" ht="25.5" customHeight="1">
      <c r="A1531" s="82"/>
      <c r="B1531" s="33" t="s">
        <v>15442</v>
      </c>
      <c r="C1531" s="42">
        <v>66796.0</v>
      </c>
      <c r="D1531" s="33" t="s">
        <v>15444</v>
      </c>
      <c r="E1531" s="74"/>
      <c r="F1531" s="46" t="s">
        <v>1348</v>
      </c>
      <c r="G1531" s="46" t="s">
        <v>15424</v>
      </c>
      <c r="H1531" s="98" t="str">
        <f>HYPERLINK("http://mirror.ff7data.com.ar/ff7/data/cd/disc_us.lgp/e_over_b.tex.png","EN")</f>
        <v>EN</v>
      </c>
      <c r="I1531" s="98" t="str">
        <f>HYPERLINK("http://mirror.ff7data.com.ar/ff7/es/disc_sp/s_over_b.tex.png","ES")</f>
        <v>ES</v>
      </c>
      <c r="J1531" s="98" t="str">
        <f>HYPERLINK("http://mirror.ff7data.com.ar/ff7/de/disc_gm/g_over_b.tex.png","DE")</f>
        <v>DE</v>
      </c>
      <c r="K1531" s="43"/>
    </row>
    <row r="1532" ht="25.5" customHeight="1">
      <c r="A1532" s="82"/>
      <c r="B1532" s="33" t="s">
        <v>15470</v>
      </c>
      <c r="C1532" s="42">
        <v>17644.0</v>
      </c>
      <c r="D1532" s="33" t="s">
        <v>15471</v>
      </c>
      <c r="E1532" s="74"/>
      <c r="F1532" s="46" t="s">
        <v>1348</v>
      </c>
      <c r="G1532" s="46" t="s">
        <v>15424</v>
      </c>
      <c r="H1532" s="98" t="str">
        <f>HYPERLINK("http://mirror.ff7data.com.ar/ff7/data/cd/disc_us.lgp/e_over_c.tex.png","EN")</f>
        <v>EN</v>
      </c>
      <c r="I1532" s="98" t="str">
        <f>HYPERLINK("http://mirror.ff7data.com.ar/ff7/es/disc_sp/s_over_c.tex.png","ES")</f>
        <v>ES</v>
      </c>
      <c r="J1532" s="98" t="str">
        <f>HYPERLINK("http://mirror.ff7data.com.ar/ff7/de/disc_gm/g_over_c.tex.png","DE")</f>
        <v>DE</v>
      </c>
      <c r="K1532" s="43"/>
    </row>
    <row r="1533" ht="25.5" customHeight="1">
      <c r="A1533" s="82"/>
      <c r="B1533" s="33" t="s">
        <v>15488</v>
      </c>
      <c r="C1533" s="42">
        <v>66796.0</v>
      </c>
      <c r="D1533" s="33" t="s">
        <v>15490</v>
      </c>
      <c r="E1533" s="74"/>
      <c r="F1533" s="46" t="s">
        <v>1348</v>
      </c>
      <c r="G1533" s="46" t="s">
        <v>15424</v>
      </c>
      <c r="H1533" s="98" t="str">
        <f>HYPERLINK("http://mirror.ff7data.com.ar/ff7/data/cd/disc_us.lgp/e_over_d.tex.png","EN")</f>
        <v>EN</v>
      </c>
      <c r="I1533" s="98" t="str">
        <f>HYPERLINK("http://mirror.ff7data.com.ar/ff7/es/disc_sp/s_over_d.tex.png","ES")</f>
        <v>ES</v>
      </c>
      <c r="J1533" s="98" t="str">
        <f>HYPERLINK("http://mirror.ff7data.com.ar/ff7/de/disc_gm/g_over_d.tex.png","DE")</f>
        <v>DE</v>
      </c>
      <c r="K1533" s="43"/>
    </row>
    <row r="1534" ht="25.5" customHeight="1">
      <c r="A1534" s="82"/>
      <c r="B1534" s="33" t="s">
        <v>15508</v>
      </c>
      <c r="C1534" s="42">
        <v>66796.0</v>
      </c>
      <c r="D1534" s="33" t="s">
        <v>15509</v>
      </c>
      <c r="E1534" s="74"/>
      <c r="F1534" s="46" t="s">
        <v>1348</v>
      </c>
      <c r="G1534" s="46" t="s">
        <v>15424</v>
      </c>
      <c r="H1534" s="98" t="str">
        <f>HYPERLINK("http://mirror.ff7data.com.ar/ff7/data/cd/disc_us.lgp/e_over_e.tex.png","EN")</f>
        <v>EN</v>
      </c>
      <c r="I1534" s="98" t="str">
        <f>HYPERLINK("http://mirror.ff7data.com.ar/ff7/es/disc_sp/s_over_e.tex.png","ES")</f>
        <v>ES</v>
      </c>
      <c r="J1534" s="98" t="str">
        <f>HYPERLINK("http://mirror.ff7data.com.ar/ff7/de/disc_gm/g_over_e.tex.png","DE")</f>
        <v>DE</v>
      </c>
      <c r="K1534" s="43"/>
    </row>
    <row r="1535" ht="25.5" customHeight="1">
      <c r="A1535" s="82"/>
      <c r="B1535" s="33" t="s">
        <v>15525</v>
      </c>
      <c r="C1535" s="42">
        <v>17644.0</v>
      </c>
      <c r="D1535" s="33" t="s">
        <v>15526</v>
      </c>
      <c r="E1535" s="74"/>
      <c r="F1535" s="46" t="s">
        <v>1348</v>
      </c>
      <c r="G1535" s="46" t="s">
        <v>15424</v>
      </c>
      <c r="H1535" s="98" t="str">
        <f>HYPERLINK("http://mirror.ff7data.com.ar/ff7/data/cd/disc_us.lgp/e_over_f.tex.png","EN")</f>
        <v>EN</v>
      </c>
      <c r="I1535" s="98" t="str">
        <f>HYPERLINK("http://mirror.ff7data.com.ar/ff7/es/disc_sp/s_over_f.tex.png","ES")</f>
        <v>ES</v>
      </c>
      <c r="J1535" s="98" t="str">
        <f>HYPERLINK("http://mirror.ff7data.com.ar/ff7/de/disc_gm/g_over_f.tex.png","DE")</f>
        <v>DE</v>
      </c>
      <c r="K1535" s="43"/>
    </row>
    <row r="1536" ht="25.5" customHeight="1">
      <c r="A1536" s="82"/>
      <c r="B1536" s="33" t="s">
        <v>15540</v>
      </c>
      <c r="C1536" s="42">
        <v>66796.0</v>
      </c>
      <c r="D1536" s="33" t="s">
        <v>15542</v>
      </c>
      <c r="E1536" s="74"/>
      <c r="F1536" s="46" t="s">
        <v>1348</v>
      </c>
      <c r="G1536" s="46" t="s">
        <v>15424</v>
      </c>
      <c r="H1536" s="98" t="str">
        <f>HYPERLINK("http://mirror.ff7data.com.ar/ff7/data/cd/disc_us.lgp/e_over_la.tex.png","EN")</f>
        <v>EN</v>
      </c>
      <c r="I1536" s="98" t="str">
        <f>HYPERLINK("http://mirror.ff7data.com.ar/ff7/es/disc_sp/s_over_la.tex.png","ES")</f>
        <v>ES</v>
      </c>
      <c r="J1536" s="98" t="str">
        <f>HYPERLINK("http://mirror.ff7data.com.ar/ff7/de/disc_gm/g_over_la.tex.png","DE")</f>
        <v>DE</v>
      </c>
      <c r="K1536" s="43"/>
    </row>
    <row r="1537" ht="25.5" customHeight="1">
      <c r="A1537" s="82"/>
      <c r="B1537" s="33" t="s">
        <v>15556</v>
      </c>
      <c r="C1537" s="42">
        <v>9452.0</v>
      </c>
      <c r="D1537" s="33" t="s">
        <v>15558</v>
      </c>
      <c r="E1537" s="74"/>
      <c r="F1537" s="46" t="s">
        <v>1348</v>
      </c>
      <c r="G1537" s="46" t="s">
        <v>15424</v>
      </c>
      <c r="H1537" s="98" t="str">
        <f>HYPERLINK("http://mirror.ff7data.com.ar/ff7/data/cd/disc_us.lgp/e_over_lb.tex.png","EN")</f>
        <v>EN</v>
      </c>
      <c r="I1537" s="98" t="str">
        <f>HYPERLINK("http://mirror.ff7data.com.ar/ff7/es/disc_sp/s_over_lb.tex.png","ES")</f>
        <v>ES</v>
      </c>
      <c r="J1537" s="98" t="str">
        <f>HYPERLINK("http://mirror.ff7data.com.ar/ff7/de/disc_gm/g_over_lb.tex.png","DE")</f>
        <v>DE</v>
      </c>
      <c r="K1537" s="43"/>
    </row>
    <row r="1538">
      <c r="A1538" s="82"/>
      <c r="B1538" s="33" t="s">
        <v>15579</v>
      </c>
      <c r="C1538" s="42">
        <v>66796.0</v>
      </c>
      <c r="D1538" s="33" t="s">
        <v>15581</v>
      </c>
      <c r="E1538" s="74"/>
      <c r="F1538" s="46" t="s">
        <v>1348</v>
      </c>
      <c r="G1538" s="75"/>
      <c r="H1538" s="98" t="str">
        <f>HYPERLINK("http://mirror.ff7data.com.ar/ff7/data/cd/disc_us.lgp/kets_a.tex.png","View Picture")</f>
        <v>View Picture</v>
      </c>
      <c r="K1538" s="43"/>
    </row>
    <row r="1539">
      <c r="A1539" s="82"/>
      <c r="B1539" s="33" t="s">
        <v>15591</v>
      </c>
      <c r="C1539" s="42">
        <v>66796.0</v>
      </c>
      <c r="D1539" s="33" t="s">
        <v>15592</v>
      </c>
      <c r="E1539" s="74"/>
      <c r="F1539" s="46" t="s">
        <v>1348</v>
      </c>
      <c r="G1539" s="75"/>
      <c r="H1539" s="98" t="str">
        <f>HYPERLINK("http://mirror.ff7data.com.ar/ff7/data/cd/disc_us.lgp/kets_b.tex.png","View Picture")</f>
        <v>View Picture</v>
      </c>
      <c r="K1539" s="43"/>
    </row>
    <row r="1540">
      <c r="A1540" s="82"/>
      <c r="B1540" s="33" t="s">
        <v>15600</v>
      </c>
      <c r="C1540" s="42">
        <v>17644.0</v>
      </c>
      <c r="D1540" s="33" t="s">
        <v>15602</v>
      </c>
      <c r="E1540" s="74"/>
      <c r="F1540" s="46" t="s">
        <v>1348</v>
      </c>
      <c r="G1540" s="75"/>
      <c r="H1540" s="98" t="str">
        <f>HYPERLINK("http://mirror.ff7data.com.ar/ff7/data/cd/disc_us.lgp/kets_c.tex.png","View Picture")</f>
        <v>View Picture</v>
      </c>
      <c r="K1540" s="43"/>
    </row>
    <row r="1541">
      <c r="A1541" s="82"/>
      <c r="B1541" s="33" t="s">
        <v>15612</v>
      </c>
      <c r="C1541" s="42">
        <v>17644.0</v>
      </c>
      <c r="D1541" s="33" t="s">
        <v>15615</v>
      </c>
      <c r="E1541" s="74"/>
      <c r="F1541" s="46" t="s">
        <v>1348</v>
      </c>
      <c r="G1541" s="75"/>
      <c r="H1541" s="98" t="str">
        <f>HYPERLINK("http://mirror.ff7data.com.ar/ff7/data/cd/disc_us.lgp/kets_d.tex.png","View Picture")</f>
        <v>View Picture</v>
      </c>
      <c r="K1541" s="43"/>
    </row>
    <row r="1542">
      <c r="A1542" s="82"/>
      <c r="B1542" s="33" t="s">
        <v>15627</v>
      </c>
      <c r="C1542" s="42">
        <v>66796.0</v>
      </c>
      <c r="D1542" s="33" t="s">
        <v>15629</v>
      </c>
      <c r="E1542" s="74"/>
      <c r="F1542" s="46" t="s">
        <v>1348</v>
      </c>
      <c r="G1542" s="75"/>
      <c r="H1542" s="98" t="str">
        <f>HYPERLINK("http://mirror.ff7data.com.ar/ff7/data/cd/disc_us.lgp/kets_x.tex.png","View Picture")</f>
        <v>View Picture</v>
      </c>
      <c r="K1542" s="43"/>
    </row>
    <row r="1543">
      <c r="A1543" s="82"/>
      <c r="B1543" s="33" t="s">
        <v>15642</v>
      </c>
      <c r="C1543" s="42">
        <v>66796.0</v>
      </c>
      <c r="D1543" s="33" t="s">
        <v>15643</v>
      </c>
      <c r="E1543" s="74"/>
      <c r="F1543" s="46" t="s">
        <v>1348</v>
      </c>
      <c r="G1543" s="75"/>
      <c r="H1543" s="98" t="str">
        <f>HYPERLINK("http://mirror.ff7data.com.ar/ff7/data/cd/disc_us.lgp/red_a.tex.png","View Picture")</f>
        <v>View Picture</v>
      </c>
      <c r="K1543" s="43"/>
    </row>
    <row r="1544">
      <c r="A1544" s="82"/>
      <c r="B1544" s="33" t="s">
        <v>15653</v>
      </c>
      <c r="C1544" s="42">
        <v>66796.0</v>
      </c>
      <c r="D1544" s="33" t="s">
        <v>15655</v>
      </c>
      <c r="E1544" s="74"/>
      <c r="F1544" s="46" t="s">
        <v>1348</v>
      </c>
      <c r="G1544" s="75"/>
      <c r="H1544" s="98" t="str">
        <f>HYPERLINK("http://mirror.ff7data.com.ar/ff7/data/cd/disc_us.lgp/red_b.tex.png","View Picture")</f>
        <v>View Picture</v>
      </c>
      <c r="K1544" s="43"/>
    </row>
    <row r="1545">
      <c r="A1545" s="82"/>
      <c r="B1545" s="33" t="s">
        <v>15664</v>
      </c>
      <c r="C1545" s="42">
        <v>17644.0</v>
      </c>
      <c r="D1545" s="33" t="s">
        <v>15665</v>
      </c>
      <c r="E1545" s="74"/>
      <c r="F1545" s="46" t="s">
        <v>1348</v>
      </c>
      <c r="G1545" s="75"/>
      <c r="H1545" s="98" t="str">
        <f>HYPERLINK("http://mirror.ff7data.com.ar/ff7/data/cd/disc_us.lgp/red_c.tex.png","View Picture")</f>
        <v>View Picture</v>
      </c>
      <c r="K1545" s="43"/>
    </row>
    <row r="1546">
      <c r="A1546" s="82"/>
      <c r="B1546" s="33" t="s">
        <v>15675</v>
      </c>
      <c r="C1546" s="42">
        <v>17644.0</v>
      </c>
      <c r="D1546" s="33" t="s">
        <v>15677</v>
      </c>
      <c r="E1546" s="74"/>
      <c r="F1546" s="46" t="s">
        <v>1348</v>
      </c>
      <c r="G1546" s="75"/>
      <c r="H1546" s="98" t="str">
        <f>HYPERLINK("http://mirror.ff7data.com.ar/ff7/data/cd/disc_us.lgp/red_d.tex.png","View Picture")</f>
        <v>View Picture</v>
      </c>
      <c r="K1546" s="43"/>
    </row>
    <row r="1547">
      <c r="A1547" s="82"/>
      <c r="B1547" s="33" t="s">
        <v>15688</v>
      </c>
      <c r="C1547" s="42">
        <v>66796.0</v>
      </c>
      <c r="D1547" s="33" t="s">
        <v>15691</v>
      </c>
      <c r="E1547" s="74"/>
      <c r="F1547" s="46" t="s">
        <v>1348</v>
      </c>
      <c r="G1547" s="75"/>
      <c r="H1547" s="98" t="str">
        <f>HYPERLINK("http://mirror.ff7data.com.ar/ff7/data/cd/disc_us.lgp/red_x.tex.png","View Picture")</f>
        <v>View Picture</v>
      </c>
      <c r="K1547" s="43"/>
    </row>
    <row r="1548">
      <c r="A1548" s="82"/>
      <c r="B1548" s="33" t="s">
        <v>15706</v>
      </c>
      <c r="C1548" s="42">
        <v>66796.0</v>
      </c>
      <c r="D1548" s="33" t="s">
        <v>15709</v>
      </c>
      <c r="E1548" s="74"/>
      <c r="F1548" s="46" t="s">
        <v>1348</v>
      </c>
      <c r="G1548" s="75"/>
      <c r="H1548" s="98" t="str">
        <f>HYPERLINK("http://mirror.ff7data.com.ar/ff7/data/cd/disc_us.lgp/tifa_a.tex.png","View Picture")</f>
        <v>View Picture</v>
      </c>
      <c r="K1548" s="43"/>
    </row>
    <row r="1549">
      <c r="A1549" s="82"/>
      <c r="B1549" s="33" t="s">
        <v>15721</v>
      </c>
      <c r="C1549" s="42">
        <v>66796.0</v>
      </c>
      <c r="D1549" s="33" t="s">
        <v>15723</v>
      </c>
      <c r="E1549" s="74"/>
      <c r="F1549" s="46" t="s">
        <v>1348</v>
      </c>
      <c r="G1549" s="75"/>
      <c r="H1549" s="98" t="str">
        <f>HYPERLINK("http://mirror.ff7data.com.ar/ff7/data/cd/disc_us.lgp/tifa_b.tex.png","View Picture")</f>
        <v>View Picture</v>
      </c>
      <c r="K1549" s="43"/>
    </row>
    <row r="1550">
      <c r="A1550" s="82"/>
      <c r="B1550" s="33" t="s">
        <v>15731</v>
      </c>
      <c r="C1550" s="42">
        <v>17644.0</v>
      </c>
      <c r="D1550" s="33" t="s">
        <v>15733</v>
      </c>
      <c r="E1550" s="74"/>
      <c r="F1550" s="46" t="s">
        <v>1348</v>
      </c>
      <c r="G1550" s="75"/>
      <c r="H1550" s="98" t="str">
        <f>HYPERLINK("http://mirror.ff7data.com.ar/ff7/data/cd/disc_us.lgp/tifa_c.tex.png","View Picture")</f>
        <v>View Picture</v>
      </c>
      <c r="K1550" s="43"/>
    </row>
    <row r="1551">
      <c r="A1551" s="82"/>
      <c r="B1551" s="33" t="s">
        <v>15742</v>
      </c>
      <c r="C1551" s="42">
        <v>17644.0</v>
      </c>
      <c r="D1551" s="33" t="s">
        <v>15743</v>
      </c>
      <c r="E1551" s="74"/>
      <c r="F1551" s="46" t="s">
        <v>1348</v>
      </c>
      <c r="G1551" s="75"/>
      <c r="H1551" s="98" t="str">
        <f>HYPERLINK("http://mirror.ff7data.com.ar/ff7/data/cd/disc_us.lgp/tifa_d.tex.png","View Picture")</f>
        <v>View Picture</v>
      </c>
      <c r="K1551" s="43"/>
    </row>
    <row r="1552">
      <c r="A1552" s="82"/>
      <c r="B1552" s="33" t="s">
        <v>15751</v>
      </c>
      <c r="C1552" s="42">
        <v>66796.0</v>
      </c>
      <c r="D1552" s="33" t="s">
        <v>15753</v>
      </c>
      <c r="E1552" s="74"/>
      <c r="F1552" s="46" t="s">
        <v>1348</v>
      </c>
      <c r="G1552" s="75"/>
      <c r="H1552" s="98" t="str">
        <f>HYPERLINK("http://mirror.ff7data.com.ar/ff7/data/cd/disc_us.lgp/tifa_x.tex.png","View Picture")</f>
        <v>View Picture</v>
      </c>
      <c r="K1552" s="43"/>
    </row>
    <row r="1553">
      <c r="A1553" s="82"/>
      <c r="B1553" s="33" t="s">
        <v>15760</v>
      </c>
      <c r="C1553" s="42">
        <v>66796.0</v>
      </c>
      <c r="D1553" s="33" t="s">
        <v>15761</v>
      </c>
      <c r="E1553" s="74"/>
      <c r="F1553" s="46" t="s">
        <v>1348</v>
      </c>
      <c r="G1553" s="75"/>
      <c r="H1553" s="98" t="str">
        <f>HYPERLINK("http://mirror.ff7data.com.ar/ff7/data/cd/disc_us.lgp/vinc_a.tex.png","View Picture")</f>
        <v>View Picture</v>
      </c>
      <c r="K1553" s="43"/>
    </row>
    <row r="1554">
      <c r="A1554" s="82"/>
      <c r="B1554" s="33" t="s">
        <v>15768</v>
      </c>
      <c r="C1554" s="42">
        <v>66796.0</v>
      </c>
      <c r="D1554" s="33" t="s">
        <v>15770</v>
      </c>
      <c r="E1554" s="74"/>
      <c r="F1554" s="46" t="s">
        <v>1348</v>
      </c>
      <c r="G1554" s="75"/>
      <c r="H1554" s="98" t="str">
        <f>HYPERLINK("http://mirror.ff7data.com.ar/ff7/data/cd/disc_us.lgp/vinc_b.tex.png","View Picture")</f>
        <v>View Picture</v>
      </c>
      <c r="K1554" s="43"/>
    </row>
    <row r="1555">
      <c r="A1555" s="82"/>
      <c r="B1555" s="33" t="s">
        <v>15776</v>
      </c>
      <c r="C1555" s="42">
        <v>17644.0</v>
      </c>
      <c r="D1555" s="33" t="s">
        <v>15778</v>
      </c>
      <c r="E1555" s="74"/>
      <c r="F1555" s="46" t="s">
        <v>1348</v>
      </c>
      <c r="G1555" s="75"/>
      <c r="H1555" s="98" t="str">
        <f>HYPERLINK("http://mirror.ff7data.com.ar/ff7/data/cd/disc_us.lgp/vinc_c.tex.png","View Picture")</f>
        <v>View Picture</v>
      </c>
      <c r="K1555" s="43"/>
    </row>
    <row r="1556">
      <c r="A1556" s="82"/>
      <c r="B1556" s="33" t="s">
        <v>15785</v>
      </c>
      <c r="C1556" s="42">
        <v>17644.0</v>
      </c>
      <c r="D1556" s="33" t="s">
        <v>15786</v>
      </c>
      <c r="E1556" s="74"/>
      <c r="F1556" s="46" t="s">
        <v>1348</v>
      </c>
      <c r="G1556" s="75"/>
      <c r="H1556" s="98" t="str">
        <f>HYPERLINK("http://mirror.ff7data.com.ar/ff7/data/cd/disc_us.lgp/vinc_d.tex.png","View Picture")</f>
        <v>View Picture</v>
      </c>
      <c r="K1556" s="43"/>
    </row>
    <row r="1557">
      <c r="A1557" s="82"/>
      <c r="B1557" s="33" t="s">
        <v>15792</v>
      </c>
      <c r="C1557" s="42">
        <v>66796.0</v>
      </c>
      <c r="D1557" s="33" t="s">
        <v>15794</v>
      </c>
      <c r="E1557" s="74"/>
      <c r="F1557" s="46" t="s">
        <v>1348</v>
      </c>
      <c r="G1557" s="75"/>
      <c r="H1557" s="98" t="str">
        <f>HYPERLINK("http://mirror.ff7data.com.ar/ff7/data/cd/disc_us.lgp/vinc_x.tex.png","View Picture")</f>
        <v>View Picture</v>
      </c>
      <c r="K1557" s="43"/>
    </row>
    <row r="1558">
      <c r="A1558" s="82"/>
      <c r="B1558" s="33" t="s">
        <v>15803</v>
      </c>
      <c r="C1558" s="42">
        <v>66796.0</v>
      </c>
      <c r="D1558" s="33" t="s">
        <v>15805</v>
      </c>
      <c r="E1558" s="74"/>
      <c r="F1558" s="46" t="s">
        <v>1348</v>
      </c>
      <c r="G1558" s="75"/>
      <c r="H1558" s="98" t="str">
        <f>HYPERLINK("http://mirror.ff7data.com.ar/ff7/data/cd/disc_us.lgp/yuff_a.tex.png","View Picture")</f>
        <v>View Picture</v>
      </c>
      <c r="K1558" s="43"/>
    </row>
    <row r="1559">
      <c r="A1559" s="82"/>
      <c r="B1559" s="33" t="s">
        <v>15817</v>
      </c>
      <c r="C1559" s="42">
        <v>66796.0</v>
      </c>
      <c r="D1559" s="33" t="s">
        <v>15819</v>
      </c>
      <c r="E1559" s="74"/>
      <c r="F1559" s="46" t="s">
        <v>1348</v>
      </c>
      <c r="G1559" s="75"/>
      <c r="H1559" s="98" t="str">
        <f>HYPERLINK("http://mirror.ff7data.com.ar/ff7/data/cd/disc_us.lgp/yuff_b.tex.png","View Picture")</f>
        <v>View Picture</v>
      </c>
      <c r="K1559" s="43"/>
    </row>
    <row r="1560">
      <c r="A1560" s="82"/>
      <c r="B1560" s="33" t="s">
        <v>15826</v>
      </c>
      <c r="C1560" s="42">
        <v>17644.0</v>
      </c>
      <c r="D1560" s="33" t="s">
        <v>15828</v>
      </c>
      <c r="E1560" s="74"/>
      <c r="F1560" s="46" t="s">
        <v>1348</v>
      </c>
      <c r="G1560" s="75"/>
      <c r="H1560" s="98" t="str">
        <f>HYPERLINK("http://mirror.ff7data.com.ar/ff7/data/cd/disc_us.lgp/yuff_c.tex.png","View Picture")</f>
        <v>View Picture</v>
      </c>
      <c r="K1560" s="43"/>
    </row>
    <row r="1561">
      <c r="A1561" s="82"/>
      <c r="B1561" s="33" t="s">
        <v>15837</v>
      </c>
      <c r="C1561" s="42">
        <v>17644.0</v>
      </c>
      <c r="D1561" s="33" t="s">
        <v>15839</v>
      </c>
      <c r="E1561" s="74"/>
      <c r="F1561" s="46" t="s">
        <v>1348</v>
      </c>
      <c r="G1561" s="75"/>
      <c r="H1561" s="98" t="str">
        <f>HYPERLINK("http://mirror.ff7data.com.ar/ff7/data/cd/disc_us.lgp/yuff_d.tex.png","View Picture")</f>
        <v>View Picture</v>
      </c>
      <c r="K1561" s="43"/>
    </row>
    <row r="1562">
      <c r="A1562" s="82"/>
      <c r="B1562" s="57" t="s">
        <v>15846</v>
      </c>
      <c r="C1562" s="58">
        <v>66796.0</v>
      </c>
      <c r="D1562" s="57" t="s">
        <v>15847</v>
      </c>
      <c r="E1562" s="19"/>
      <c r="F1562" s="61" t="s">
        <v>1348</v>
      </c>
      <c r="G1562" s="71"/>
      <c r="H1562" s="136" t="str">
        <f>HYPERLINK("http://mirror.ff7data.com.ar/ff7/data/cd/disc_us.lgp/yuff_x.tex.png","View Picture")</f>
        <v>View Picture</v>
      </c>
      <c r="I1562" s="19"/>
      <c r="J1562" s="19"/>
      <c r="K1562" s="64"/>
    </row>
    <row r="1563">
      <c r="A1563" s="12"/>
      <c r="B1563" s="12"/>
      <c r="C1563" s="65"/>
      <c r="D1563" s="34"/>
      <c r="E1563" s="34"/>
      <c r="F1563" s="67"/>
      <c r="G1563" s="67"/>
      <c r="H1563" s="34"/>
      <c r="I1563" s="34"/>
      <c r="J1563" s="34"/>
      <c r="K1563" s="34"/>
    </row>
    <row r="1564">
      <c r="A1564" s="68"/>
      <c r="B1564" s="69" t="s">
        <v>158</v>
      </c>
      <c r="C1564" s="144"/>
      <c r="D1564" s="19"/>
      <c r="E1564" s="19"/>
      <c r="F1564" s="71"/>
      <c r="G1564" s="71"/>
      <c r="H1564" s="19"/>
      <c r="I1564" s="19"/>
      <c r="J1564" s="19"/>
      <c r="K1564" s="19"/>
    </row>
    <row r="1565">
      <c r="A1565" s="82"/>
      <c r="B1565" s="23" t="s">
        <v>15861</v>
      </c>
      <c r="C1565" s="24">
        <v>598121.0</v>
      </c>
      <c r="D1565" s="23" t="s">
        <v>15863</v>
      </c>
      <c r="E1565" s="34"/>
      <c r="F1565" s="36" t="s">
        <v>15864</v>
      </c>
      <c r="G1565" s="67"/>
      <c r="H1565" s="137" t="str">
        <f>HYPERLINK("http://mirror.ff7data.com.ar/ff7/data/field/flevel.lgp/ancnt1.png","View Picture")</f>
        <v>View Picture</v>
      </c>
      <c r="I1565" s="34"/>
      <c r="J1565" s="34"/>
      <c r="K1565" s="38"/>
    </row>
    <row r="1566">
      <c r="A1566" s="82"/>
      <c r="B1566" s="33" t="s">
        <v>15875</v>
      </c>
      <c r="C1566" s="42">
        <v>589250.0</v>
      </c>
      <c r="D1566" s="33" t="s">
        <v>15877</v>
      </c>
      <c r="E1566" s="74"/>
      <c r="F1566" s="46" t="s">
        <v>15864</v>
      </c>
      <c r="G1566" s="75"/>
      <c r="H1566" s="98" t="str">
        <f>HYPERLINK("http://mirror.ff7data.com.ar/ff7/data/field/flevel.lgp/ancnt2.png","View Picture")</f>
        <v>View Picture</v>
      </c>
      <c r="K1566" s="43"/>
    </row>
    <row r="1567">
      <c r="A1567" s="82"/>
      <c r="B1567" s="33" t="s">
        <v>15889</v>
      </c>
      <c r="C1567" s="42">
        <v>589848.0</v>
      </c>
      <c r="D1567" s="33" t="s">
        <v>15877</v>
      </c>
      <c r="E1567" s="74"/>
      <c r="F1567" s="46" t="s">
        <v>15864</v>
      </c>
      <c r="G1567" s="46" t="s">
        <v>15892</v>
      </c>
      <c r="H1567" s="98" t="str">
        <f>HYPERLINK("http://mirror.ff7data.com.ar/ff7/data/field/flevel.lgp/ancnt3.png","View Picture")</f>
        <v>View Picture</v>
      </c>
      <c r="K1567" s="43"/>
    </row>
    <row r="1568">
      <c r="A1568" s="82"/>
      <c r="B1568" s="33" t="s">
        <v>15898</v>
      </c>
      <c r="C1568" s="42">
        <v>580809.0</v>
      </c>
      <c r="D1568" s="33" t="s">
        <v>15877</v>
      </c>
      <c r="E1568" s="74"/>
      <c r="F1568" s="46" t="s">
        <v>15864</v>
      </c>
      <c r="G1568" s="46" t="s">
        <v>15901</v>
      </c>
      <c r="H1568" s="98" t="str">
        <f>HYPERLINK("http://mirror.ff7data.com.ar/ff7/data/field/flevel.lgp/ancnt4.png","View Picture")</f>
        <v>View Picture</v>
      </c>
      <c r="K1568" s="43"/>
    </row>
    <row r="1569">
      <c r="A1569" s="82"/>
      <c r="B1569" s="33" t="s">
        <v>15906</v>
      </c>
      <c r="C1569" s="42">
        <v>723507.0</v>
      </c>
      <c r="D1569" s="33" t="s">
        <v>15908</v>
      </c>
      <c r="E1569" s="74"/>
      <c r="F1569" s="46" t="s">
        <v>15864</v>
      </c>
      <c r="G1569" s="75"/>
      <c r="H1569" s="98" t="str">
        <f>HYPERLINK("http://mirror.ff7data.com.ar/ff7/data/field/flevel.lgp/anfrst_1.png","View Picture")</f>
        <v>View Picture</v>
      </c>
      <c r="K1569" s="43"/>
    </row>
    <row r="1570">
      <c r="A1570" s="82"/>
      <c r="B1570" s="33" t="s">
        <v>15918</v>
      </c>
      <c r="C1570" s="42">
        <v>563422.0</v>
      </c>
      <c r="D1570" s="33" t="s">
        <v>15919</v>
      </c>
      <c r="E1570" s="74"/>
      <c r="F1570" s="46" t="s">
        <v>15864</v>
      </c>
      <c r="G1570" s="75"/>
      <c r="H1570" s="98" t="str">
        <f>HYPERLINK("http://mirror.ff7data.com.ar/ff7/data/field/flevel.lgp/anfrst_2.png","View Picture")</f>
        <v>View Picture</v>
      </c>
      <c r="K1570" s="43"/>
    </row>
    <row r="1571">
      <c r="A1571" s="82"/>
      <c r="B1571" s="33" t="s">
        <v>15924</v>
      </c>
      <c r="C1571" s="42">
        <v>584379.0</v>
      </c>
      <c r="D1571" s="33" t="s">
        <v>15926</v>
      </c>
      <c r="E1571" s="74"/>
      <c r="F1571" s="46" t="s">
        <v>15864</v>
      </c>
      <c r="G1571" s="75"/>
      <c r="H1571" s="98" t="str">
        <f>HYPERLINK("http://mirror.ff7data.com.ar/ff7/data/field/flevel.lgp/anfrst_3.png","View Picture")</f>
        <v>View Picture</v>
      </c>
      <c r="K1571" s="43"/>
    </row>
    <row r="1572">
      <c r="A1572" s="82"/>
      <c r="B1572" s="33" t="s">
        <v>15932</v>
      </c>
      <c r="C1572" s="42">
        <v>578896.0</v>
      </c>
      <c r="D1572" s="33" t="s">
        <v>15934</v>
      </c>
      <c r="E1572" s="74"/>
      <c r="F1572" s="46" t="s">
        <v>15864</v>
      </c>
      <c r="G1572" s="75"/>
      <c r="H1572" s="98" t="str">
        <f>HYPERLINK("http://mirror.ff7data.com.ar/ff7/data/field/flevel.lgp/anfrst_4.png","View Picture")</f>
        <v>View Picture</v>
      </c>
      <c r="K1572" s="43"/>
    </row>
    <row r="1573">
      <c r="A1573" s="82"/>
      <c r="B1573" s="33" t="s">
        <v>15941</v>
      </c>
      <c r="C1573" s="42">
        <v>502243.0</v>
      </c>
      <c r="D1573" s="33" t="s">
        <v>15942</v>
      </c>
      <c r="E1573" s="74"/>
      <c r="F1573" s="46" t="s">
        <v>15864</v>
      </c>
      <c r="G1573" s="75"/>
      <c r="H1573" s="98" t="str">
        <f>HYPERLINK("http://mirror.ff7data.com.ar/ff7/data/field/flevel.lgp/anfrst_5.png","View Picture")</f>
        <v>View Picture</v>
      </c>
      <c r="K1573" s="43"/>
    </row>
    <row r="1574">
      <c r="A1574" s="82"/>
      <c r="B1574" s="33" t="s">
        <v>15952</v>
      </c>
      <c r="C1574" s="42">
        <v>352230.0</v>
      </c>
      <c r="D1574" s="33" t="s">
        <v>15954</v>
      </c>
      <c r="E1574" s="74"/>
      <c r="F1574" s="46" t="s">
        <v>15864</v>
      </c>
      <c r="G1574" s="75"/>
      <c r="H1574" s="98" t="str">
        <f>HYPERLINK("http://mirror.ff7data.com.ar/ff7/data/field/flevel.lgp/astage_a.png","View Picture")</f>
        <v>View Picture</v>
      </c>
      <c r="K1574" s="43"/>
    </row>
    <row r="1575">
      <c r="A1575" s="82"/>
      <c r="B1575" s="33" t="s">
        <v>15960</v>
      </c>
      <c r="C1575" s="42">
        <v>172181.0</v>
      </c>
      <c r="D1575" s="33" t="s">
        <v>15962</v>
      </c>
      <c r="E1575" s="74"/>
      <c r="F1575" s="46" t="s">
        <v>15864</v>
      </c>
      <c r="G1575" s="75"/>
      <c r="H1575" s="98" t="str">
        <f>HYPERLINK("http://mirror.ff7data.com.ar/ff7/data/field/flevel.lgp/astage_b.png","View Picture")</f>
        <v>View Picture</v>
      </c>
      <c r="K1575" s="43"/>
    </row>
    <row r="1576">
      <c r="A1576" s="82"/>
      <c r="B1576" s="33" t="s">
        <v>15966</v>
      </c>
      <c r="C1576" s="42">
        <v>1324.0</v>
      </c>
      <c r="D1576" s="33" t="s">
        <v>15968</v>
      </c>
      <c r="E1576" s="74"/>
      <c r="F1576" s="46" t="s">
        <v>1348</v>
      </c>
      <c r="G1576" s="75"/>
      <c r="H1576" s="98" t="str">
        <f>HYPERLINK("http://mirror.ff7data.com.ar/ff7/data/field/flevel.lgp/b_eye2.tex.png","View Picture")</f>
        <v>View Picture</v>
      </c>
      <c r="K1576" s="43"/>
    </row>
    <row r="1577">
      <c r="A1577" s="82"/>
      <c r="B1577" s="33" t="s">
        <v>15975</v>
      </c>
      <c r="C1577" s="42">
        <v>1324.0</v>
      </c>
      <c r="D1577" s="33" t="s">
        <v>15968</v>
      </c>
      <c r="E1577" s="74"/>
      <c r="F1577" s="46" t="s">
        <v>1348</v>
      </c>
      <c r="G1577" s="75"/>
      <c r="H1577" s="98" t="str">
        <f>HYPERLINK("http://mirror.ff7data.com.ar/ff7/data/field/flevel.lgp/b_eye2r.tex.png","View Picture")</f>
        <v>View Picture</v>
      </c>
      <c r="K1577" s="43"/>
    </row>
    <row r="1578">
      <c r="A1578" s="82"/>
      <c r="B1578" s="33" t="s">
        <v>15981</v>
      </c>
      <c r="C1578" s="42">
        <v>185799.0</v>
      </c>
      <c r="D1578" s="33" t="s">
        <v>15982</v>
      </c>
      <c r="E1578" s="74"/>
      <c r="F1578" s="46" t="s">
        <v>15864</v>
      </c>
      <c r="G1578" s="75"/>
      <c r="H1578" s="98" t="str">
        <f>HYPERLINK("http://mirror.ff7data.com.ar/ff7/data/field/flevel.lgp/bigwheel.png","View Picture")</f>
        <v>View Picture</v>
      </c>
      <c r="K1578" s="43"/>
    </row>
    <row r="1579">
      <c r="A1579" s="82"/>
      <c r="B1579" s="33" t="s">
        <v>15987</v>
      </c>
      <c r="C1579" s="42">
        <v>336439.0</v>
      </c>
      <c r="D1579" s="33" t="s">
        <v>15989</v>
      </c>
      <c r="E1579" s="74"/>
      <c r="F1579" s="46" t="s">
        <v>15864</v>
      </c>
      <c r="G1579" s="75"/>
      <c r="H1579" s="98" t="str">
        <f>HYPERLINK("http://mirror.ff7data.com.ar/ff7/data/field/flevel.lgp/blackbg1.png","View Picture")</f>
        <v>View Picture</v>
      </c>
      <c r="K1579" s="43"/>
    </row>
    <row r="1580">
      <c r="A1580" s="82"/>
      <c r="B1580" s="33" t="s">
        <v>15993</v>
      </c>
      <c r="C1580" s="42">
        <v>378166.0</v>
      </c>
      <c r="D1580" s="33" t="s">
        <v>15994</v>
      </c>
      <c r="E1580" s="74"/>
      <c r="F1580" s="46" t="s">
        <v>15864</v>
      </c>
      <c r="G1580" s="75"/>
      <c r="H1580" s="98" t="str">
        <f>HYPERLINK("http://mirror.ff7data.com.ar/ff7/data/field/flevel.lgp/blackbg2.png","View Picture")</f>
        <v>View Picture</v>
      </c>
      <c r="K1580" s="43"/>
    </row>
    <row r="1581">
      <c r="A1581" s="82"/>
      <c r="B1581" s="33" t="s">
        <v>16000</v>
      </c>
      <c r="C1581" s="42">
        <v>368418.0</v>
      </c>
      <c r="D1581" s="33" t="s">
        <v>16002</v>
      </c>
      <c r="E1581" s="74"/>
      <c r="F1581" s="46" t="s">
        <v>15864</v>
      </c>
      <c r="G1581" s="75"/>
      <c r="H1581" s="98" t="str">
        <f>HYPERLINK("http://mirror.ff7data.com.ar/ff7/data/field/flevel.lgp/blackbg3.png","View Picture")</f>
        <v>View Picture</v>
      </c>
      <c r="K1581" s="43"/>
    </row>
    <row r="1582">
      <c r="A1582" s="82"/>
      <c r="B1582" s="33" t="s">
        <v>16009</v>
      </c>
      <c r="C1582" s="42">
        <v>340738.0</v>
      </c>
      <c r="D1582" s="33" t="s">
        <v>16011</v>
      </c>
      <c r="E1582" s="74"/>
      <c r="F1582" s="46" t="s">
        <v>15864</v>
      </c>
      <c r="G1582" s="75"/>
      <c r="H1582" s="98" t="str">
        <f>HYPERLINK("http://mirror.ff7data.com.ar/ff7/data/field/flevel.lgp/blackbg4.png","View Picture")</f>
        <v>View Picture</v>
      </c>
      <c r="K1582" s="43"/>
    </row>
    <row r="1583">
      <c r="A1583" s="82"/>
      <c r="B1583" s="33" t="s">
        <v>16018</v>
      </c>
      <c r="C1583" s="42">
        <v>339546.0</v>
      </c>
      <c r="D1583" s="33" t="s">
        <v>16019</v>
      </c>
      <c r="E1583" s="74"/>
      <c r="F1583" s="46" t="s">
        <v>15864</v>
      </c>
      <c r="G1583" s="75"/>
      <c r="H1583" s="98" t="str">
        <f>HYPERLINK("http://mirror.ff7data.com.ar/ff7/data/field/flevel.lgp/blackbg5.png","View Picture")</f>
        <v>View Picture</v>
      </c>
      <c r="K1583" s="43"/>
    </row>
    <row r="1584">
      <c r="A1584" s="82"/>
      <c r="B1584" s="33" t="s">
        <v>16026</v>
      </c>
      <c r="C1584" s="42">
        <v>334573.0</v>
      </c>
      <c r="D1584" s="33" t="s">
        <v>16028</v>
      </c>
      <c r="E1584" s="74"/>
      <c r="F1584" s="46" t="s">
        <v>15864</v>
      </c>
      <c r="G1584" s="75"/>
      <c r="H1584" s="98" t="str">
        <f>HYPERLINK("http://mirror.ff7data.com.ar/ff7/data/field/flevel.lgp/blackbg6.png","View Picture")</f>
        <v>View Picture</v>
      </c>
      <c r="K1584" s="43"/>
    </row>
    <row r="1585">
      <c r="A1585" s="82"/>
      <c r="B1585" s="33" t="s">
        <v>16039</v>
      </c>
      <c r="C1585" s="42">
        <v>342893.0</v>
      </c>
      <c r="D1585" s="33" t="s">
        <v>16040</v>
      </c>
      <c r="E1585" s="74"/>
      <c r="F1585" s="46" t="s">
        <v>15864</v>
      </c>
      <c r="G1585" s="75"/>
      <c r="H1585" s="98" t="str">
        <f>HYPERLINK("http://mirror.ff7data.com.ar/ff7/data/field/flevel.lgp/blackbg7.png","View Picture")</f>
        <v>View Picture</v>
      </c>
      <c r="K1585" s="43"/>
    </row>
    <row r="1586">
      <c r="A1586" s="82"/>
      <c r="B1586" s="33" t="s">
        <v>16050</v>
      </c>
      <c r="C1586" s="42">
        <v>332471.0</v>
      </c>
      <c r="D1586" s="33" t="s">
        <v>16052</v>
      </c>
      <c r="E1586" s="74"/>
      <c r="F1586" s="46" t="s">
        <v>15864</v>
      </c>
      <c r="G1586" s="75"/>
      <c r="H1586" s="98" t="str">
        <f>HYPERLINK("http://mirror.ff7data.com.ar/ff7/data/field/flevel.lgp/blackbg8.png","View Picture")</f>
        <v>View Picture</v>
      </c>
      <c r="K1586" s="43"/>
    </row>
    <row r="1587">
      <c r="A1587" s="55"/>
      <c r="B1587" s="33" t="s">
        <v>16064</v>
      </c>
      <c r="C1587" s="42">
        <v>341377.0</v>
      </c>
      <c r="D1587" s="141" t="s">
        <v>16065</v>
      </c>
      <c r="E1587" s="74"/>
      <c r="F1587" s="46" t="s">
        <v>15864</v>
      </c>
      <c r="G1587" s="75"/>
      <c r="H1587" s="98" t="str">
        <f>HYPERLINK("http://mirror.ff7data.com.ar/ff7/data/field/flevel.lgp/blackbg9.png","View Picture")</f>
        <v>View Picture</v>
      </c>
      <c r="K1587" s="43"/>
    </row>
    <row r="1588">
      <c r="A1588" s="55"/>
      <c r="B1588" s="33" t="s">
        <v>16073</v>
      </c>
      <c r="C1588" s="42">
        <v>341984.0</v>
      </c>
      <c r="D1588" s="141" t="s">
        <v>16065</v>
      </c>
      <c r="E1588" s="74"/>
      <c r="F1588" s="46" t="s">
        <v>15864</v>
      </c>
      <c r="G1588" s="75"/>
      <c r="H1588" s="98" t="str">
        <f>HYPERLINK("http://mirror.ff7data.com.ar/ff7/data/field/flevel.lgp/blackbgb.png","View Picture")</f>
        <v>View Picture</v>
      </c>
      <c r="K1588" s="43"/>
    </row>
    <row r="1589">
      <c r="A1589" s="55"/>
      <c r="B1589" s="33" t="s">
        <v>16084</v>
      </c>
      <c r="C1589" s="42">
        <v>328398.0</v>
      </c>
      <c r="D1589" s="141" t="s">
        <v>16065</v>
      </c>
      <c r="E1589" s="74"/>
      <c r="F1589" s="46" t="s">
        <v>15864</v>
      </c>
      <c r="G1589" s="75"/>
      <c r="H1589" s="98" t="str">
        <f>HYPERLINK("http://mirror.ff7data.com.ar/ff7/data/field/flevel.lgp/blackbgc.png","View Picture")</f>
        <v>View Picture</v>
      </c>
      <c r="K1589" s="43"/>
    </row>
    <row r="1590">
      <c r="A1590" s="55"/>
      <c r="B1590" s="33" t="s">
        <v>16095</v>
      </c>
      <c r="C1590" s="42">
        <v>329671.0</v>
      </c>
      <c r="D1590" s="141" t="s">
        <v>16065</v>
      </c>
      <c r="E1590" s="74"/>
      <c r="F1590" s="46" t="s">
        <v>15864</v>
      </c>
      <c r="G1590" s="75"/>
      <c r="H1590" s="98" t="str">
        <f>HYPERLINK("http://mirror.ff7data.com.ar/ff7/data/field/flevel.lgp/blackbgd.png","View Picture")</f>
        <v>View Picture</v>
      </c>
      <c r="K1590" s="43"/>
    </row>
    <row r="1591">
      <c r="A1591" s="55"/>
      <c r="B1591" s="33" t="s">
        <v>16108</v>
      </c>
      <c r="C1591" s="42">
        <v>328582.0</v>
      </c>
      <c r="D1591" s="141" t="s">
        <v>16065</v>
      </c>
      <c r="E1591" s="74"/>
      <c r="F1591" s="46" t="s">
        <v>15864</v>
      </c>
      <c r="G1591" s="75"/>
      <c r="H1591" s="98" t="str">
        <f>HYPERLINK("http://mirror.ff7data.com.ar/ff7/data/field/flevel.lgp/blackbge.png","View Picture")</f>
        <v>View Picture</v>
      </c>
      <c r="K1591" s="43"/>
    </row>
    <row r="1592">
      <c r="A1592" s="55"/>
      <c r="B1592" s="33" t="s">
        <v>16117</v>
      </c>
      <c r="C1592" s="42">
        <v>343242.0</v>
      </c>
      <c r="D1592" s="141" t="s">
        <v>16065</v>
      </c>
      <c r="E1592" s="74"/>
      <c r="F1592" s="46" t="s">
        <v>15864</v>
      </c>
      <c r="G1592" s="75"/>
      <c r="H1592" s="98" t="str">
        <f>HYPERLINK("http://mirror.ff7data.com.ar/ff7/data/field/flevel.lgp/blackbgh.png","View Picture")</f>
        <v>View Picture</v>
      </c>
      <c r="K1592" s="43"/>
    </row>
    <row r="1593">
      <c r="A1593" s="82"/>
      <c r="B1593" s="33" t="s">
        <v>16128</v>
      </c>
      <c r="C1593" s="42">
        <v>343933.0</v>
      </c>
      <c r="D1593" s="33" t="s">
        <v>16130</v>
      </c>
      <c r="E1593" s="74"/>
      <c r="F1593" s="46" t="s">
        <v>15864</v>
      </c>
      <c r="G1593" s="75"/>
      <c r="H1593" s="98" t="str">
        <f>HYPERLINK("http://mirror.ff7data.com.ar/ff7/data/field/flevel.lgp/blackbgi.png","View Picture")</f>
        <v>View Picture</v>
      </c>
      <c r="K1593" s="43"/>
    </row>
    <row r="1594">
      <c r="A1594" s="55"/>
      <c r="B1594" s="33" t="s">
        <v>16139</v>
      </c>
      <c r="C1594" s="42">
        <v>329979.0</v>
      </c>
      <c r="D1594" s="141" t="s">
        <v>16065</v>
      </c>
      <c r="E1594" s="74"/>
      <c r="F1594" s="46" t="s">
        <v>15864</v>
      </c>
      <c r="G1594" s="75"/>
      <c r="H1594" s="98" t="str">
        <f>HYPERLINK("http://mirror.ff7data.com.ar/ff7/data/field/flevel.lgp/blackbgj.png","View Picture")</f>
        <v>View Picture</v>
      </c>
      <c r="K1594" s="43"/>
    </row>
    <row r="1595">
      <c r="A1595" s="55"/>
      <c r="B1595" s="33" t="s">
        <v>16150</v>
      </c>
      <c r="C1595" s="42">
        <v>344347.0</v>
      </c>
      <c r="D1595" s="33" t="s">
        <v>16152</v>
      </c>
      <c r="E1595" s="74"/>
      <c r="F1595" s="46" t="s">
        <v>15864</v>
      </c>
      <c r="G1595" s="75"/>
      <c r="H1595" s="98" t="str">
        <f>HYPERLINK("http://mirror.ff7data.com.ar/ff7/data/field/flevel.lgp/blackbgk.png","View Picture")</f>
        <v>View Picture</v>
      </c>
      <c r="K1595" s="43"/>
    </row>
    <row r="1596">
      <c r="A1596" s="82"/>
      <c r="B1596" s="33" t="s">
        <v>16168</v>
      </c>
      <c r="C1596" s="42">
        <v>440468.0</v>
      </c>
      <c r="D1596" s="33" t="s">
        <v>16169</v>
      </c>
      <c r="E1596" s="74"/>
      <c r="F1596" s="46" t="s">
        <v>15864</v>
      </c>
      <c r="G1596" s="75"/>
      <c r="H1596" s="98" t="str">
        <f>HYPERLINK("http://mirror.ff7data.com.ar/ff7/data/field/flevel.lgp/blin1.png","View Picture")</f>
        <v>View Picture</v>
      </c>
      <c r="K1596" s="43"/>
    </row>
    <row r="1597">
      <c r="A1597" s="82"/>
      <c r="B1597" s="33" t="s">
        <v>16176</v>
      </c>
      <c r="C1597" s="42">
        <v>257109.0</v>
      </c>
      <c r="D1597" s="33" t="s">
        <v>16178</v>
      </c>
      <c r="E1597" s="74"/>
      <c r="F1597" s="46" t="s">
        <v>15864</v>
      </c>
      <c r="G1597" s="75"/>
      <c r="H1597" s="98" t="str">
        <f>HYPERLINK("http://mirror.ff7data.com.ar/ff7/data/field/flevel.lgp/blin2.png","View Picture")</f>
        <v>View Picture</v>
      </c>
      <c r="K1597" s="43"/>
    </row>
    <row r="1598">
      <c r="A1598" s="82"/>
      <c r="B1598" s="33" t="s">
        <v>16186</v>
      </c>
      <c r="C1598" s="42">
        <v>262444.0</v>
      </c>
      <c r="D1598" s="33" t="s">
        <v>16188</v>
      </c>
      <c r="E1598" s="74"/>
      <c r="F1598" s="46" t="s">
        <v>15864</v>
      </c>
      <c r="G1598" s="75"/>
      <c r="H1598" s="98" t="str">
        <f>HYPERLINK("http://mirror.ff7data.com.ar/ff7/data/field/flevel.lgp/blin2_i.png","View Picture")</f>
        <v>View Picture</v>
      </c>
      <c r="K1598" s="43"/>
    </row>
    <row r="1599">
      <c r="A1599" s="82"/>
      <c r="B1599" s="33" t="s">
        <v>16198</v>
      </c>
      <c r="C1599" s="42">
        <v>244286.0</v>
      </c>
      <c r="D1599" s="33" t="s">
        <v>16201</v>
      </c>
      <c r="E1599" s="74"/>
      <c r="F1599" s="46" t="s">
        <v>15864</v>
      </c>
      <c r="G1599" s="75"/>
      <c r="H1599" s="98" t="str">
        <f>HYPERLINK("http://mirror.ff7data.com.ar/ff7/data/field/flevel.lgp/blin3_1.png","View Picture")</f>
        <v>View Picture</v>
      </c>
      <c r="K1599" s="43"/>
    </row>
    <row r="1600">
      <c r="A1600" s="82"/>
      <c r="B1600" s="33" t="s">
        <v>16211</v>
      </c>
      <c r="C1600" s="42">
        <v>336535.0</v>
      </c>
      <c r="D1600" s="33" t="s">
        <v>16213</v>
      </c>
      <c r="E1600" s="74"/>
      <c r="F1600" s="46" t="s">
        <v>15864</v>
      </c>
      <c r="G1600" s="75"/>
      <c r="H1600" s="98" t="str">
        <f>HYPERLINK("http://mirror.ff7data.com.ar/ff7/data/field/flevel.lgp/blin59.png","View Picture")</f>
        <v>View Picture</v>
      </c>
      <c r="K1600" s="43"/>
    </row>
    <row r="1601">
      <c r="A1601" s="82"/>
      <c r="B1601" s="33" t="s">
        <v>16221</v>
      </c>
      <c r="C1601" s="42">
        <v>424395.0</v>
      </c>
      <c r="D1601" s="33" t="s">
        <v>16222</v>
      </c>
      <c r="E1601" s="74"/>
      <c r="F1601" s="46" t="s">
        <v>15864</v>
      </c>
      <c r="G1601" s="75"/>
      <c r="H1601" s="98" t="str">
        <f>HYPERLINK("http://mirror.ff7data.com.ar/ff7/data/field/flevel.lgp/blin60_1.png","View Picture")</f>
        <v>View Picture</v>
      </c>
      <c r="K1601" s="43"/>
    </row>
    <row r="1602">
      <c r="A1602" s="82"/>
      <c r="B1602" s="33" t="s">
        <v>16230</v>
      </c>
      <c r="C1602" s="42">
        <v>250337.0</v>
      </c>
      <c r="D1602" s="33" t="s">
        <v>16222</v>
      </c>
      <c r="E1602" s="74"/>
      <c r="F1602" s="46" t="s">
        <v>15864</v>
      </c>
      <c r="G1602" s="75"/>
      <c r="H1602" s="98" t="str">
        <f>HYPERLINK("http://mirror.ff7data.com.ar/ff7/data/field/flevel.lgp/blin60_2.png","View Picture")</f>
        <v>View Picture</v>
      </c>
      <c r="K1602" s="43"/>
    </row>
    <row r="1603">
      <c r="A1603" s="82"/>
      <c r="B1603" s="33" t="s">
        <v>16239</v>
      </c>
      <c r="C1603" s="42">
        <v>430747.0</v>
      </c>
      <c r="D1603" s="33" t="s">
        <v>16241</v>
      </c>
      <c r="E1603" s="74"/>
      <c r="F1603" s="46" t="s">
        <v>15864</v>
      </c>
      <c r="G1603" s="75"/>
      <c r="H1603" s="98" t="str">
        <f>HYPERLINK("http://mirror.ff7data.com.ar/ff7/data/field/flevel.lgp/blin61.png","View Picture")</f>
        <v>View Picture</v>
      </c>
      <c r="K1603" s="43"/>
    </row>
    <row r="1604">
      <c r="A1604" s="82"/>
      <c r="B1604" s="33" t="s">
        <v>16250</v>
      </c>
      <c r="C1604" s="42">
        <v>508177.0</v>
      </c>
      <c r="D1604" s="33" t="s">
        <v>16252</v>
      </c>
      <c r="E1604" s="74"/>
      <c r="F1604" s="46" t="s">
        <v>15864</v>
      </c>
      <c r="G1604" s="75"/>
      <c r="H1604" s="98" t="str">
        <f>HYPERLINK("http://mirror.ff7data.com.ar/ff7/data/field/flevel.lgp/blin62_1.png","View Picture")</f>
        <v>View Picture</v>
      </c>
      <c r="K1604" s="43"/>
    </row>
    <row r="1605">
      <c r="A1605" s="82"/>
      <c r="B1605" s="33" t="s">
        <v>16260</v>
      </c>
      <c r="C1605" s="42">
        <v>247333.0</v>
      </c>
      <c r="D1605" s="33" t="s">
        <v>16252</v>
      </c>
      <c r="E1605" s="74"/>
      <c r="F1605" s="46" t="s">
        <v>15864</v>
      </c>
      <c r="G1605" s="75"/>
      <c r="H1605" s="98" t="str">
        <f>HYPERLINK("http://mirror.ff7data.com.ar/ff7/data/field/flevel.lgp/blin62_2.png","View Picture")</f>
        <v>View Picture</v>
      </c>
      <c r="K1605" s="43"/>
    </row>
    <row r="1606">
      <c r="A1606" s="82"/>
      <c r="B1606" s="33" t="s">
        <v>16269</v>
      </c>
      <c r="C1606" s="42">
        <v>245756.0</v>
      </c>
      <c r="D1606" s="33" t="s">
        <v>16252</v>
      </c>
      <c r="E1606" s="74"/>
      <c r="F1606" s="46" t="s">
        <v>15864</v>
      </c>
      <c r="G1606" s="75"/>
      <c r="H1606" s="98" t="str">
        <f>HYPERLINK("http://mirror.ff7data.com.ar/ff7/data/field/flevel.lgp/blin62_3.png","View Picture")</f>
        <v>View Picture</v>
      </c>
      <c r="K1606" s="43"/>
    </row>
    <row r="1607">
      <c r="A1607" s="82"/>
      <c r="B1607" s="33" t="s">
        <v>16279</v>
      </c>
      <c r="C1607" s="42">
        <v>520092.0</v>
      </c>
      <c r="D1607" s="33" t="s">
        <v>16280</v>
      </c>
      <c r="E1607" s="74"/>
      <c r="F1607" s="46" t="s">
        <v>15864</v>
      </c>
      <c r="G1607" s="75"/>
      <c r="H1607" s="98" t="str">
        <f>HYPERLINK("http://mirror.ff7data.com.ar/ff7/data/field/flevel.lgp/blin63_1.png","View Picture")</f>
        <v>View Picture</v>
      </c>
      <c r="K1607" s="43"/>
    </row>
    <row r="1608">
      <c r="A1608" s="82"/>
      <c r="B1608" s="33" t="s">
        <v>16316</v>
      </c>
      <c r="C1608" s="42">
        <v>311272.0</v>
      </c>
      <c r="D1608" s="33" t="s">
        <v>16280</v>
      </c>
      <c r="E1608" s="74"/>
      <c r="F1608" s="46" t="s">
        <v>15864</v>
      </c>
      <c r="G1608" s="75"/>
      <c r="H1608" s="98" t="str">
        <f>HYPERLINK("http://mirror.ff7data.com.ar/ff7/data/field/flevel.lgp/blin63_t.png","View Picture")</f>
        <v>View Picture</v>
      </c>
      <c r="K1608" s="43"/>
    </row>
    <row r="1609">
      <c r="A1609" s="82"/>
      <c r="B1609" s="33" t="s">
        <v>16331</v>
      </c>
      <c r="C1609" s="42">
        <v>511177.0</v>
      </c>
      <c r="D1609" s="33" t="s">
        <v>16333</v>
      </c>
      <c r="E1609" s="74"/>
      <c r="F1609" s="46" t="s">
        <v>15864</v>
      </c>
      <c r="G1609" s="75"/>
      <c r="H1609" s="98" t="str">
        <f>HYPERLINK("http://mirror.ff7data.com.ar/ff7/data/field/flevel.lgp/blin64.png","View Picture")</f>
        <v>View Picture</v>
      </c>
      <c r="K1609" s="43"/>
    </row>
    <row r="1610">
      <c r="A1610" s="82"/>
      <c r="B1610" s="33" t="s">
        <v>16347</v>
      </c>
      <c r="C1610" s="42">
        <v>489859.0</v>
      </c>
      <c r="D1610" s="33" t="s">
        <v>16348</v>
      </c>
      <c r="E1610" s="74"/>
      <c r="F1610" s="46" t="s">
        <v>15864</v>
      </c>
      <c r="G1610" s="75"/>
      <c r="H1610" s="98" t="str">
        <f>HYPERLINK("http://mirror.ff7data.com.ar/ff7/data/field/flevel.lgp/blin65_1.png","View Picture")</f>
        <v>View Picture</v>
      </c>
      <c r="K1610" s="43"/>
    </row>
    <row r="1611">
      <c r="A1611" s="82"/>
      <c r="B1611" s="33" t="s">
        <v>16355</v>
      </c>
      <c r="C1611" s="42">
        <v>329041.0</v>
      </c>
      <c r="D1611" s="33" t="s">
        <v>16348</v>
      </c>
      <c r="E1611" s="74"/>
      <c r="F1611" s="46" t="s">
        <v>15864</v>
      </c>
      <c r="G1611" s="75"/>
      <c r="H1611" s="98" t="str">
        <f>HYPERLINK("http://mirror.ff7data.com.ar/ff7/data/field/flevel.lgp/blin65_2.png","View Picture")</f>
        <v>View Picture</v>
      </c>
      <c r="K1611" s="43"/>
    </row>
    <row r="1612">
      <c r="A1612" s="82"/>
      <c r="B1612" s="33" t="s">
        <v>16362</v>
      </c>
      <c r="C1612" s="42">
        <v>528758.0</v>
      </c>
      <c r="D1612" s="33" t="s">
        <v>16363</v>
      </c>
      <c r="E1612" s="74"/>
      <c r="F1612" s="46" t="s">
        <v>15864</v>
      </c>
      <c r="G1612" s="75"/>
      <c r="H1612" s="98" t="str">
        <f>HYPERLINK("http://mirror.ff7data.com.ar/ff7/data/field/flevel.lgp/blin66_1.png","View Picture")</f>
        <v>View Picture</v>
      </c>
      <c r="K1612" s="43"/>
    </row>
    <row r="1613">
      <c r="A1613" s="82"/>
      <c r="B1613" s="33" t="s">
        <v>16374</v>
      </c>
      <c r="C1613" s="42">
        <v>477667.0</v>
      </c>
      <c r="D1613" s="33" t="s">
        <v>16363</v>
      </c>
      <c r="E1613" s="74"/>
      <c r="F1613" s="46" t="s">
        <v>15864</v>
      </c>
      <c r="G1613" s="75"/>
      <c r="H1613" s="98" t="str">
        <f>HYPERLINK("http://mirror.ff7data.com.ar/ff7/data/field/flevel.lgp/blin66_2.png","View Picture")</f>
        <v>View Picture</v>
      </c>
      <c r="K1613" s="43"/>
    </row>
    <row r="1614">
      <c r="A1614" s="82"/>
      <c r="B1614" s="33" t="s">
        <v>16384</v>
      </c>
      <c r="C1614" s="42">
        <v>261736.0</v>
      </c>
      <c r="D1614" s="33" t="s">
        <v>16363</v>
      </c>
      <c r="E1614" s="74"/>
      <c r="F1614" s="46" t="s">
        <v>15864</v>
      </c>
      <c r="G1614" s="75"/>
      <c r="H1614" s="98" t="str">
        <f>HYPERLINK("http://mirror.ff7data.com.ar/ff7/data/field/flevel.lgp/blin66_3.png","View Picture")</f>
        <v>View Picture</v>
      </c>
      <c r="K1614" s="43"/>
    </row>
    <row r="1615">
      <c r="A1615" s="82"/>
      <c r="B1615" s="33" t="s">
        <v>16392</v>
      </c>
      <c r="C1615" s="42">
        <v>251732.0</v>
      </c>
      <c r="D1615" s="33" t="s">
        <v>16363</v>
      </c>
      <c r="E1615" s="74"/>
      <c r="F1615" s="46" t="s">
        <v>15864</v>
      </c>
      <c r="G1615" s="75"/>
      <c r="H1615" s="98" t="str">
        <f>HYPERLINK("http://mirror.ff7data.com.ar/ff7/data/field/flevel.lgp/blin66_4.png","View Picture")</f>
        <v>View Picture</v>
      </c>
      <c r="K1615" s="43"/>
    </row>
    <row r="1616">
      <c r="A1616" s="82"/>
      <c r="B1616" s="33" t="s">
        <v>16399</v>
      </c>
      <c r="C1616" s="42">
        <v>272433.0</v>
      </c>
      <c r="D1616" s="33" t="s">
        <v>16363</v>
      </c>
      <c r="E1616" s="74"/>
      <c r="F1616" s="46" t="s">
        <v>15864</v>
      </c>
      <c r="G1616" s="75"/>
      <c r="H1616" s="98" t="str">
        <f>HYPERLINK("http://mirror.ff7data.com.ar/ff7/data/field/flevel.lgp/blin66_5.png","View Picture")</f>
        <v>View Picture</v>
      </c>
      <c r="K1616" s="43"/>
    </row>
    <row r="1617">
      <c r="A1617" s="82"/>
      <c r="B1617" s="33" t="s">
        <v>16409</v>
      </c>
      <c r="C1617" s="42">
        <v>463586.0</v>
      </c>
      <c r="D1617" s="33" t="s">
        <v>16363</v>
      </c>
      <c r="E1617" s="74"/>
      <c r="F1617" s="46" t="s">
        <v>15864</v>
      </c>
      <c r="G1617" s="75"/>
      <c r="H1617" s="98" t="str">
        <f>HYPERLINK("http://mirror.ff7data.com.ar/ff7/data/field/flevel.lgp/blin66_6.png","View Picture")</f>
        <v>View Picture</v>
      </c>
      <c r="K1617" s="43"/>
    </row>
    <row r="1618">
      <c r="A1618" s="82"/>
      <c r="B1618" s="33" t="s">
        <v>16416</v>
      </c>
      <c r="C1618" s="42">
        <v>509987.0</v>
      </c>
      <c r="D1618" s="33" t="s">
        <v>16417</v>
      </c>
      <c r="E1618" s="74"/>
      <c r="F1618" s="46" t="s">
        <v>15864</v>
      </c>
      <c r="G1618" s="75"/>
      <c r="H1618" s="98" t="str">
        <f>HYPERLINK("http://mirror.ff7data.com.ar/ff7/data/field/flevel.lgp/blin67_1.png","View Picture")</f>
        <v>View Picture</v>
      </c>
      <c r="K1618" s="43"/>
    </row>
    <row r="1619">
      <c r="A1619" s="82"/>
      <c r="B1619" s="33" t="s">
        <v>16425</v>
      </c>
      <c r="C1619" s="42">
        <v>283870.0</v>
      </c>
      <c r="D1619" s="33" t="s">
        <v>16417</v>
      </c>
      <c r="E1619" s="74"/>
      <c r="F1619" s="46" t="s">
        <v>15864</v>
      </c>
      <c r="G1619" s="75"/>
      <c r="H1619" s="98" t="str">
        <f>HYPERLINK("http://mirror.ff7data.com.ar/ff7/data/field/flevel.lgp/blin67_2.png","View Picture")</f>
        <v>View Picture</v>
      </c>
      <c r="K1619" s="43"/>
    </row>
    <row r="1620">
      <c r="A1620" s="82"/>
      <c r="B1620" s="33" t="s">
        <v>16431</v>
      </c>
      <c r="C1620" s="42">
        <v>440442.0</v>
      </c>
      <c r="D1620" s="33" t="s">
        <v>16417</v>
      </c>
      <c r="E1620" s="74"/>
      <c r="F1620" s="46" t="s">
        <v>15864</v>
      </c>
      <c r="G1620" s="75"/>
      <c r="H1620" s="98" t="str">
        <f>HYPERLINK("http://mirror.ff7data.com.ar/ff7/data/field/flevel.lgp/blin67_3.png","View Picture")</f>
        <v>View Picture</v>
      </c>
      <c r="K1620" s="43"/>
    </row>
    <row r="1621">
      <c r="A1621" s="82"/>
      <c r="B1621" s="33" t="s">
        <v>16437</v>
      </c>
      <c r="C1621" s="42">
        <v>310242.0</v>
      </c>
      <c r="D1621" s="33" t="s">
        <v>16417</v>
      </c>
      <c r="E1621" s="74"/>
      <c r="F1621" s="46" t="s">
        <v>15864</v>
      </c>
      <c r="G1621" s="75"/>
      <c r="H1621" s="98" t="str">
        <f>HYPERLINK("http://mirror.ff7data.com.ar/ff7/data/field/flevel.lgp/blin67_4.png","View Picture")</f>
        <v>View Picture</v>
      </c>
      <c r="K1621" s="43"/>
    </row>
    <row r="1622">
      <c r="A1622" s="82"/>
      <c r="B1622" s="33" t="s">
        <v>16444</v>
      </c>
      <c r="C1622" s="42">
        <v>505496.0</v>
      </c>
      <c r="D1622" s="33" t="s">
        <v>16417</v>
      </c>
      <c r="E1622" s="74"/>
      <c r="F1622" s="46" t="s">
        <v>15864</v>
      </c>
      <c r="G1622" s="75"/>
      <c r="H1622" s="98" t="str">
        <f>HYPERLINK("http://mirror.ff7data.com.ar/ff7/data/field/flevel.lgp/blin671b.png","View Picture")</f>
        <v>View Picture</v>
      </c>
      <c r="K1622" s="43"/>
    </row>
    <row r="1623">
      <c r="A1623" s="82"/>
      <c r="B1623" s="33" t="s">
        <v>16450</v>
      </c>
      <c r="C1623" s="42">
        <v>426350.0</v>
      </c>
      <c r="D1623" s="33" t="s">
        <v>16417</v>
      </c>
      <c r="E1623" s="74"/>
      <c r="F1623" s="46" t="s">
        <v>15864</v>
      </c>
      <c r="G1623" s="75"/>
      <c r="H1623" s="98" t="str">
        <f>HYPERLINK("http://mirror.ff7data.com.ar/ff7/data/field/flevel.lgp/blin673b.png","View Picture")</f>
        <v>View Picture</v>
      </c>
      <c r="K1623" s="43"/>
    </row>
    <row r="1624">
      <c r="A1624" s="82"/>
      <c r="B1624" s="33" t="s">
        <v>16457</v>
      </c>
      <c r="C1624" s="42">
        <v>594156.0</v>
      </c>
      <c r="D1624" s="33" t="s">
        <v>16460</v>
      </c>
      <c r="E1624" s="74"/>
      <c r="F1624" s="46" t="s">
        <v>15864</v>
      </c>
      <c r="G1624" s="75"/>
      <c r="H1624" s="98" t="str">
        <f>HYPERLINK("http://mirror.ff7data.com.ar/ff7/data/field/flevel.lgp/blin68_1.png","View Picture")</f>
        <v>View Picture</v>
      </c>
      <c r="K1624" s="43"/>
    </row>
    <row r="1625">
      <c r="A1625" s="82"/>
      <c r="B1625" s="33" t="s">
        <v>16467</v>
      </c>
      <c r="C1625" s="42">
        <v>522411.0</v>
      </c>
      <c r="D1625" s="33" t="s">
        <v>16460</v>
      </c>
      <c r="E1625" s="74"/>
      <c r="F1625" s="46" t="s">
        <v>15864</v>
      </c>
      <c r="G1625" s="75"/>
      <c r="H1625" s="98" t="str">
        <f>HYPERLINK("http://mirror.ff7data.com.ar/ff7/data/field/flevel.lgp/blin68_2.png","View Picture")</f>
        <v>View Picture</v>
      </c>
      <c r="K1625" s="43"/>
    </row>
    <row r="1626">
      <c r="A1626" s="82"/>
      <c r="B1626" s="33" t="s">
        <v>16482</v>
      </c>
      <c r="C1626" s="42">
        <v>611805.0</v>
      </c>
      <c r="D1626" s="33" t="s">
        <v>16483</v>
      </c>
      <c r="E1626" s="74"/>
      <c r="F1626" s="46" t="s">
        <v>15864</v>
      </c>
      <c r="G1626" s="75"/>
      <c r="H1626" s="98" t="str">
        <f>HYPERLINK("http://mirror.ff7data.com.ar/ff7/data/field/flevel.lgp/blin69_1.png","View Picture")</f>
        <v>View Picture</v>
      </c>
      <c r="K1626" s="43"/>
    </row>
    <row r="1627">
      <c r="A1627" s="82"/>
      <c r="B1627" s="33" t="s">
        <v>16491</v>
      </c>
      <c r="C1627" s="42">
        <v>520106.0</v>
      </c>
      <c r="D1627" s="33" t="s">
        <v>16493</v>
      </c>
      <c r="E1627" s="74"/>
      <c r="F1627" s="46" t="s">
        <v>15864</v>
      </c>
      <c r="G1627" s="75"/>
      <c r="H1627" s="98" t="str">
        <f>HYPERLINK("http://mirror.ff7data.com.ar/ff7/data/field/flevel.lgp/blin70_1.png","View Picture")</f>
        <v>View Picture</v>
      </c>
      <c r="K1627" s="43"/>
    </row>
    <row r="1628">
      <c r="A1628" s="82"/>
      <c r="B1628" s="33" t="s">
        <v>16499</v>
      </c>
      <c r="C1628" s="42">
        <v>267779.0</v>
      </c>
      <c r="D1628" s="33" t="s">
        <v>16493</v>
      </c>
      <c r="E1628" s="74"/>
      <c r="F1628" s="46" t="s">
        <v>15864</v>
      </c>
      <c r="G1628" s="75"/>
      <c r="H1628" s="98" t="str">
        <f>HYPERLINK("http://mirror.ff7data.com.ar/ff7/data/field/flevel.lgp/blin70_2.png","View Picture")</f>
        <v>View Picture</v>
      </c>
      <c r="K1628" s="43"/>
    </row>
    <row r="1629">
      <c r="A1629" s="82"/>
      <c r="B1629" s="33" t="s">
        <v>16506</v>
      </c>
      <c r="C1629" s="42">
        <v>358478.0</v>
      </c>
      <c r="D1629" s="33" t="s">
        <v>16493</v>
      </c>
      <c r="E1629" s="74"/>
      <c r="F1629" s="46" t="s">
        <v>15864</v>
      </c>
      <c r="G1629" s="75"/>
      <c r="H1629" s="98" t="str">
        <f>HYPERLINK("http://mirror.ff7data.com.ar/ff7/data/field/flevel.lgp/blin70_3.png","View Picture")</f>
        <v>View Picture</v>
      </c>
      <c r="K1629" s="43"/>
    </row>
    <row r="1630">
      <c r="A1630" s="82"/>
      <c r="B1630" s="33" t="s">
        <v>16516</v>
      </c>
      <c r="C1630" s="42">
        <v>252591.0</v>
      </c>
      <c r="D1630" s="33" t="s">
        <v>16493</v>
      </c>
      <c r="E1630" s="74"/>
      <c r="F1630" s="46" t="s">
        <v>15864</v>
      </c>
      <c r="G1630" s="75"/>
      <c r="H1630" s="98" t="str">
        <f>HYPERLINK("http://mirror.ff7data.com.ar/ff7/data/field/flevel.lgp/blin70_4.png","View Picture")</f>
        <v>View Picture</v>
      </c>
      <c r="K1630" s="43"/>
    </row>
    <row r="1631">
      <c r="A1631" s="82"/>
      <c r="B1631" s="33" t="s">
        <v>16524</v>
      </c>
      <c r="C1631" s="42">
        <v>250392.0</v>
      </c>
      <c r="D1631" s="33" t="s">
        <v>16525</v>
      </c>
      <c r="E1631" s="74"/>
      <c r="F1631" s="46" t="s">
        <v>15864</v>
      </c>
      <c r="G1631" s="75"/>
      <c r="H1631" s="98" t="str">
        <f>HYPERLINK("http://mirror.ff7data.com.ar/ff7/data/field/flevel.lgp/blinele.png","View Picture")</f>
        <v>View Picture</v>
      </c>
      <c r="K1631" s="43"/>
    </row>
    <row r="1632">
      <c r="A1632" s="82"/>
      <c r="B1632" s="33" t="s">
        <v>16531</v>
      </c>
      <c r="C1632" s="42">
        <v>559089.0</v>
      </c>
      <c r="D1632" s="33" t="s">
        <v>16534</v>
      </c>
      <c r="E1632" s="74"/>
      <c r="F1632" s="46" t="s">
        <v>15864</v>
      </c>
      <c r="G1632" s="75"/>
      <c r="H1632" s="98" t="str">
        <f>HYPERLINK("http://mirror.ff7data.com.ar/ff7/data/field/flevel.lgp/blinst_1.png","View Picture")</f>
        <v>View Picture</v>
      </c>
      <c r="K1632" s="43"/>
    </row>
    <row r="1633">
      <c r="A1633" s="82"/>
      <c r="B1633" s="33" t="s">
        <v>16540</v>
      </c>
      <c r="C1633" s="42">
        <v>593554.0</v>
      </c>
      <c r="D1633" s="33" t="s">
        <v>16542</v>
      </c>
      <c r="E1633" s="74"/>
      <c r="F1633" s="46" t="s">
        <v>15864</v>
      </c>
      <c r="G1633" s="75"/>
      <c r="H1633" s="98" t="str">
        <f>HYPERLINK("http://mirror.ff7data.com.ar/ff7/data/field/flevel.lgp/blinst_2.png","View Picture")</f>
        <v>View Picture</v>
      </c>
      <c r="K1633" s="43"/>
    </row>
    <row r="1634">
      <c r="A1634" s="82"/>
      <c r="B1634" s="33" t="s">
        <v>16549</v>
      </c>
      <c r="C1634" s="42">
        <v>556558.0</v>
      </c>
      <c r="D1634" s="33" t="s">
        <v>16550</v>
      </c>
      <c r="E1634" s="74"/>
      <c r="F1634" s="46" t="s">
        <v>15864</v>
      </c>
      <c r="G1634" s="75"/>
      <c r="H1634" s="98" t="str">
        <f>HYPERLINK("http://mirror.ff7data.com.ar/ff7/data/field/flevel.lgp/blinst_3.png","View Picture")</f>
        <v>View Picture</v>
      </c>
      <c r="K1634" s="43"/>
    </row>
    <row r="1635">
      <c r="A1635" s="82"/>
      <c r="B1635" s="33" t="s">
        <v>16557</v>
      </c>
      <c r="C1635" s="42">
        <v>249712.0</v>
      </c>
      <c r="D1635" s="33" t="s">
        <v>16558</v>
      </c>
      <c r="E1635" s="74"/>
      <c r="F1635" s="46" t="s">
        <v>15864</v>
      </c>
      <c r="G1635" s="75"/>
      <c r="H1635" s="98" t="str">
        <f>HYPERLINK("http://mirror.ff7data.com.ar/ff7/data/field/flevel.lgp/blue_1.png","View Picture")</f>
        <v>View Picture</v>
      </c>
      <c r="K1635" s="43"/>
    </row>
    <row r="1636">
      <c r="A1636" s="82"/>
      <c r="B1636" s="33" t="s">
        <v>16565</v>
      </c>
      <c r="C1636" s="42">
        <v>344166.0</v>
      </c>
      <c r="D1636" s="33" t="s">
        <v>16566</v>
      </c>
      <c r="E1636" s="74"/>
      <c r="F1636" s="46" t="s">
        <v>15864</v>
      </c>
      <c r="G1636" s="75"/>
      <c r="H1636" s="98" t="str">
        <f>HYPERLINK("http://mirror.ff7data.com.ar/ff7/data/field/flevel.lgp/blue_2.png","View Picture")</f>
        <v>View Picture</v>
      </c>
      <c r="K1636" s="43"/>
    </row>
    <row r="1637">
      <c r="A1637" s="82"/>
      <c r="B1637" s="33" t="s">
        <v>16573</v>
      </c>
      <c r="C1637" s="42">
        <v>351013.0</v>
      </c>
      <c r="D1637" s="33" t="s">
        <v>16574</v>
      </c>
      <c r="E1637" s="74"/>
      <c r="F1637" s="46" t="s">
        <v>15864</v>
      </c>
      <c r="G1637" s="46" t="s">
        <v>16576</v>
      </c>
      <c r="H1637" s="98" t="str">
        <f>HYPERLINK("http://mirror.ff7data.com.ar/ff7/data/field/flevel.lgp/bonevil.png","View Picture")</f>
        <v>View Picture</v>
      </c>
      <c r="K1637" s="43"/>
    </row>
    <row r="1638">
      <c r="A1638" s="82"/>
      <c r="B1638" s="33" t="s">
        <v>16582</v>
      </c>
      <c r="C1638" s="42">
        <v>345816.0</v>
      </c>
      <c r="D1638" s="33" t="s">
        <v>16574</v>
      </c>
      <c r="E1638" s="74"/>
      <c r="F1638" s="46" t="s">
        <v>15864</v>
      </c>
      <c r="G1638" s="46" t="s">
        <v>16583</v>
      </c>
      <c r="H1638" s="98" t="str">
        <f>HYPERLINK("http://mirror.ff7data.com.ar/ff7/data/field/flevel.lgp/bonevil2.png","View Picture")</f>
        <v>View Picture</v>
      </c>
      <c r="K1638" s="43"/>
    </row>
    <row r="1639">
      <c r="A1639" s="82"/>
      <c r="B1639" s="33" t="s">
        <v>16588</v>
      </c>
      <c r="C1639" s="42">
        <v>327176.0</v>
      </c>
      <c r="D1639" s="33" t="s">
        <v>16589</v>
      </c>
      <c r="E1639" s="74"/>
      <c r="F1639" s="46" t="s">
        <v>15864</v>
      </c>
      <c r="G1639" s="74"/>
      <c r="H1639" s="98" t="str">
        <f>HYPERLINK("http://mirror.ff7data.com.ar/ff7/data/field/flevel.lgp/bugin1a.png","View Picture")</f>
        <v>View Picture</v>
      </c>
      <c r="K1639" s="43"/>
    </row>
    <row r="1640">
      <c r="A1640" s="82"/>
      <c r="B1640" s="33" t="s">
        <v>16596</v>
      </c>
      <c r="C1640" s="42">
        <v>165057.0</v>
      </c>
      <c r="D1640" s="33" t="s">
        <v>16597</v>
      </c>
      <c r="E1640" s="74"/>
      <c r="F1640" s="46" t="s">
        <v>15864</v>
      </c>
      <c r="G1640" s="46" t="s">
        <v>16599</v>
      </c>
      <c r="H1640" s="98" t="str">
        <f>HYPERLINK("http://mirror.ff7data.com.ar/ff7/data/field/flevel.lgp/bugin1b.png","View Picture")</f>
        <v>View Picture</v>
      </c>
      <c r="K1640" s="43"/>
    </row>
    <row r="1641">
      <c r="A1641" s="82"/>
      <c r="B1641" s="33" t="s">
        <v>16605</v>
      </c>
      <c r="C1641" s="42">
        <v>179869.0</v>
      </c>
      <c r="D1641" s="33" t="s">
        <v>16597</v>
      </c>
      <c r="E1641" s="74"/>
      <c r="F1641" s="46" t="s">
        <v>15864</v>
      </c>
      <c r="G1641" s="46" t="s">
        <v>16608</v>
      </c>
      <c r="H1641" s="98" t="str">
        <f>HYPERLINK("http://mirror.ff7data.com.ar/ff7/data/field/flevel.lgp/bugin1c.png","View Picture")</f>
        <v>View Picture</v>
      </c>
      <c r="K1641" s="43"/>
    </row>
    <row r="1642">
      <c r="A1642" s="82"/>
      <c r="B1642" s="33" t="s">
        <v>16612</v>
      </c>
      <c r="C1642" s="42">
        <v>499244.0</v>
      </c>
      <c r="D1642" s="33" t="s">
        <v>16615</v>
      </c>
      <c r="E1642" s="74"/>
      <c r="F1642" s="46" t="s">
        <v>15864</v>
      </c>
      <c r="G1642" s="75"/>
      <c r="H1642" s="98" t="str">
        <f>HYPERLINK("http://mirror.ff7data.com.ar/ff7/data/field/flevel.lgp/bugin2.png","View Picture")</f>
        <v>View Picture</v>
      </c>
      <c r="K1642" s="43"/>
    </row>
    <row r="1643">
      <c r="A1643" s="82"/>
      <c r="B1643" s="33" t="s">
        <v>16620</v>
      </c>
      <c r="C1643" s="42">
        <v>580268.0</v>
      </c>
      <c r="D1643" s="33" t="s">
        <v>16597</v>
      </c>
      <c r="E1643" s="74"/>
      <c r="F1643" s="46" t="s">
        <v>15864</v>
      </c>
      <c r="G1643" s="46" t="s">
        <v>16622</v>
      </c>
      <c r="H1643" s="98" t="str">
        <f>HYPERLINK("http://mirror.ff7data.com.ar/ff7/data/field/flevel.lgp/bugin3.png","View Picture")</f>
        <v>View Picture</v>
      </c>
      <c r="K1643" s="43"/>
    </row>
    <row r="1644">
      <c r="A1644" s="82"/>
      <c r="B1644" s="33" t="s">
        <v>16629</v>
      </c>
      <c r="C1644" s="42">
        <v>448916.0</v>
      </c>
      <c r="D1644" s="33" t="s">
        <v>16631</v>
      </c>
      <c r="E1644" s="74"/>
      <c r="F1644" s="46" t="s">
        <v>15864</v>
      </c>
      <c r="G1644" s="75"/>
      <c r="H1644" s="98" t="str">
        <f>HYPERLINK("http://mirror.ff7data.com.ar/ff7/data/field/flevel.lgp/bwhlin.png","View Picture")</f>
        <v>View Picture</v>
      </c>
      <c r="K1644" s="43"/>
    </row>
    <row r="1645">
      <c r="A1645" s="82"/>
      <c r="B1645" s="33" t="s">
        <v>16638</v>
      </c>
      <c r="C1645" s="42">
        <v>438445.0</v>
      </c>
      <c r="D1645" s="33" t="s">
        <v>16631</v>
      </c>
      <c r="E1645" s="74"/>
      <c r="F1645" s="46" t="s">
        <v>15864</v>
      </c>
      <c r="G1645" s="75"/>
      <c r="H1645" s="98" t="str">
        <f>HYPERLINK("http://mirror.ff7data.com.ar/ff7/data/field/flevel.lgp/bwhlin2.png","View Picture")</f>
        <v>View Picture</v>
      </c>
      <c r="K1645" s="43"/>
    </row>
    <row r="1646">
      <c r="A1646" s="82"/>
      <c r="B1646" s="33" t="s">
        <v>16647</v>
      </c>
      <c r="C1646" s="42">
        <v>1324.0</v>
      </c>
      <c r="D1646" s="33" t="s">
        <v>16648</v>
      </c>
      <c r="E1646" s="74"/>
      <c r="F1646" s="46" t="s">
        <v>1348</v>
      </c>
      <c r="G1646" s="74"/>
      <c r="H1646" s="98" t="str">
        <f>HYPERLINK("http://mirror.ff7data.com.ar/ff7/data/field/flevel.lgp/c_eye2.tex.png","View Picture")</f>
        <v>View Picture</v>
      </c>
      <c r="K1646" s="43"/>
    </row>
    <row r="1647">
      <c r="A1647" s="82"/>
      <c r="B1647" s="33" t="s">
        <v>16650</v>
      </c>
      <c r="C1647" s="42">
        <v>1324.0</v>
      </c>
      <c r="D1647" s="33" t="s">
        <v>16648</v>
      </c>
      <c r="E1647" s="74"/>
      <c r="F1647" s="46" t="s">
        <v>1348</v>
      </c>
      <c r="G1647" s="75"/>
      <c r="H1647" s="98" t="str">
        <f>HYPERLINK("http://mirror.ff7data.com.ar/ff7/data/field/flevel.lgp/c_eye2r.tex.png","View Picture")</f>
        <v>View Picture</v>
      </c>
      <c r="K1647" s="43"/>
    </row>
    <row r="1648">
      <c r="A1648" s="82"/>
      <c r="B1648" s="33" t="s">
        <v>16652</v>
      </c>
      <c r="C1648" s="42">
        <v>272904.0</v>
      </c>
      <c r="D1648" s="33" t="s">
        <v>16653</v>
      </c>
      <c r="E1648" s="74"/>
      <c r="F1648" s="46" t="s">
        <v>15864</v>
      </c>
      <c r="G1648" s="75"/>
      <c r="H1648" s="98" t="str">
        <f>HYPERLINK("http://mirror.ff7data.com.ar/ff7/data/field/flevel.lgp/canon_1.png","View Picture")</f>
        <v>View Picture</v>
      </c>
      <c r="K1648" s="43"/>
    </row>
    <row r="1649">
      <c r="A1649" s="82"/>
      <c r="B1649" s="33" t="s">
        <v>16655</v>
      </c>
      <c r="C1649" s="42">
        <v>607129.0</v>
      </c>
      <c r="D1649" s="33" t="s">
        <v>16657</v>
      </c>
      <c r="E1649" s="74"/>
      <c r="F1649" s="46" t="s">
        <v>15864</v>
      </c>
      <c r="G1649" s="75"/>
      <c r="H1649" s="98" t="str">
        <f>HYPERLINK("http://mirror.ff7data.com.ar/ff7/data/field/flevel.lgp/canon_2.png","View Picture")</f>
        <v>View Picture</v>
      </c>
      <c r="K1649" s="43"/>
    </row>
    <row r="1650">
      <c r="A1650" s="82"/>
      <c r="B1650" s="33" t="s">
        <v>16664</v>
      </c>
      <c r="C1650" s="42">
        <v>250276.0</v>
      </c>
      <c r="D1650" s="33" t="s">
        <v>16666</v>
      </c>
      <c r="E1650" s="74"/>
      <c r="F1650" s="46" t="s">
        <v>15864</v>
      </c>
      <c r="G1650" s="46" t="s">
        <v>16669</v>
      </c>
      <c r="H1650" s="98" t="str">
        <f>HYPERLINK("http://mirror.ff7data.com.ar/ff7/data/field/flevel.lgp/cargoin.png","View Picture")</f>
        <v>View Picture</v>
      </c>
      <c r="K1650" s="43"/>
    </row>
    <row r="1651">
      <c r="A1651" s="82"/>
      <c r="B1651" s="33" t="s">
        <v>16674</v>
      </c>
      <c r="C1651" s="42">
        <v>1324.0</v>
      </c>
      <c r="D1651" s="33" t="s">
        <v>16676</v>
      </c>
      <c r="E1651" s="74"/>
      <c r="F1651" s="46" t="s">
        <v>1348</v>
      </c>
      <c r="G1651" s="74"/>
      <c r="H1651" s="98" t="str">
        <f>HYPERLINK("http://mirror.ff7data.com.ar/ff7/data/field/flevel.lgp/chi_red2.tex.png","View Picture")</f>
        <v>View Picture</v>
      </c>
      <c r="K1651" s="43"/>
    </row>
    <row r="1652">
      <c r="A1652" s="82"/>
      <c r="B1652" s="33" t="s">
        <v>16683</v>
      </c>
      <c r="C1652" s="42">
        <v>1324.0</v>
      </c>
      <c r="D1652" s="33" t="s">
        <v>16676</v>
      </c>
      <c r="E1652" s="74"/>
      <c r="F1652" s="46" t="s">
        <v>1348</v>
      </c>
      <c r="G1652" s="74"/>
      <c r="H1652" s="98" t="str">
        <f>HYPERLINK("http://mirror.ff7data.com.ar/ff7/data/field/flevel.lgp/chi_red5.tex.png","View Picture")</f>
        <v>View Picture</v>
      </c>
      <c r="K1652" s="43"/>
    </row>
    <row r="1653">
      <c r="A1653" s="82"/>
      <c r="B1653" s="33" t="s">
        <v>16690</v>
      </c>
      <c r="C1653" s="42">
        <v>270751.0</v>
      </c>
      <c r="D1653" s="33" t="s">
        <v>16692</v>
      </c>
      <c r="E1653" s="74"/>
      <c r="F1653" s="46" t="s">
        <v>15864</v>
      </c>
      <c r="G1653" s="46" t="s">
        <v>16694</v>
      </c>
      <c r="H1653" s="98" t="str">
        <f>HYPERLINK("http://mirror.ff7data.com.ar/ff7/data/field/flevel.lgp/chorace.png","View Picture")</f>
        <v>View Picture</v>
      </c>
      <c r="K1653" s="43"/>
    </row>
    <row r="1654">
      <c r="A1654" s="82"/>
      <c r="B1654" s="33" t="s">
        <v>16700</v>
      </c>
      <c r="C1654" s="42">
        <v>271254.0</v>
      </c>
      <c r="D1654" s="33" t="s">
        <v>16692</v>
      </c>
      <c r="E1654" s="74"/>
      <c r="F1654" s="46" t="s">
        <v>15864</v>
      </c>
      <c r="G1654" s="46" t="s">
        <v>16702</v>
      </c>
      <c r="H1654" s="98" t="str">
        <f>HYPERLINK("http://mirror.ff7data.com.ar/ff7/data/field/flevel.lgp/chorace2.png","View Picture")</f>
        <v>View Picture</v>
      </c>
      <c r="K1654" s="43"/>
    </row>
    <row r="1655">
      <c r="A1655" s="82"/>
      <c r="B1655" s="33" t="s">
        <v>16708</v>
      </c>
      <c r="C1655" s="42">
        <v>254024.0</v>
      </c>
      <c r="D1655" s="33" t="s">
        <v>16710</v>
      </c>
      <c r="E1655" s="74"/>
      <c r="F1655" s="46" t="s">
        <v>15864</v>
      </c>
      <c r="G1655" s="75"/>
      <c r="H1655" s="98" t="str">
        <f>HYPERLINK("http://mirror.ff7data.com.ar/ff7/data/field/flevel.lgp/chrin_1a.png","View Picture")</f>
        <v>View Picture</v>
      </c>
      <c r="K1655" s="43"/>
    </row>
    <row r="1656">
      <c r="A1656" s="82"/>
      <c r="B1656" s="33" t="s">
        <v>16716</v>
      </c>
      <c r="C1656" s="42">
        <v>257301.0</v>
      </c>
      <c r="D1656" s="33" t="s">
        <v>16710</v>
      </c>
      <c r="E1656" s="74"/>
      <c r="F1656" s="46" t="s">
        <v>15864</v>
      </c>
      <c r="G1656" s="46" t="s">
        <v>15901</v>
      </c>
      <c r="H1656" s="98" t="str">
        <f>HYPERLINK("http://mirror.ff7data.com.ar/ff7/data/field/flevel.lgp/chrin_1b.png","View Picture")</f>
        <v>View Picture</v>
      </c>
      <c r="K1656" s="43"/>
    </row>
    <row r="1657">
      <c r="A1657" s="82"/>
      <c r="B1657" s="33" t="s">
        <v>16729</v>
      </c>
      <c r="C1657" s="42">
        <v>351275.0</v>
      </c>
      <c r="D1657" s="33" t="s">
        <v>16732</v>
      </c>
      <c r="E1657" s="74"/>
      <c r="F1657" s="46" t="s">
        <v>15864</v>
      </c>
      <c r="G1657" s="75"/>
      <c r="H1657" s="98" t="str">
        <f>HYPERLINK("http://mirror.ff7data.com.ar/ff7/data/field/flevel.lgp/chrin_2.png","View Picture")</f>
        <v>View Picture</v>
      </c>
      <c r="K1657" s="43"/>
    </row>
    <row r="1658">
      <c r="A1658" s="82"/>
      <c r="B1658" s="33" t="s">
        <v>16740</v>
      </c>
      <c r="C1658" s="42">
        <v>173424.0</v>
      </c>
      <c r="D1658" s="33" t="s">
        <v>16732</v>
      </c>
      <c r="E1658" s="74"/>
      <c r="F1658" s="46" t="s">
        <v>15864</v>
      </c>
      <c r="G1658" s="75"/>
      <c r="H1658" s="98" t="str">
        <f>HYPERLINK("http://mirror.ff7data.com.ar/ff7/data/field/flevel.lgp/chrin_3a.png","View Picture")</f>
        <v>View Picture</v>
      </c>
      <c r="K1658" s="43"/>
    </row>
    <row r="1659">
      <c r="A1659" s="82"/>
      <c r="B1659" s="33" t="s">
        <v>16751</v>
      </c>
      <c r="C1659" s="42">
        <v>324052.0</v>
      </c>
      <c r="D1659" s="33" t="s">
        <v>16753</v>
      </c>
      <c r="E1659" s="74"/>
      <c r="F1659" s="46" t="s">
        <v>15864</v>
      </c>
      <c r="G1659" s="75"/>
      <c r="H1659" s="98" t="str">
        <f>HYPERLINK("http://mirror.ff7data.com.ar/ff7/data/field/flevel.lgp/chrin_3b.png","View Picture")</f>
        <v>View Picture</v>
      </c>
      <c r="K1659" s="43"/>
    </row>
    <row r="1660">
      <c r="A1660" s="82"/>
      <c r="B1660" s="33" t="s">
        <v>16761</v>
      </c>
      <c r="C1660" s="42">
        <v>237370.0</v>
      </c>
      <c r="D1660" s="33" t="s">
        <v>16763</v>
      </c>
      <c r="E1660" s="74"/>
      <c r="F1660" s="46" t="s">
        <v>15864</v>
      </c>
      <c r="G1660" s="75"/>
      <c r="H1660" s="98" t="str">
        <f>HYPERLINK("http://mirror.ff7data.com.ar/ff7/data/field/flevel.lgp/church.png","View Picture")</f>
        <v>View Picture</v>
      </c>
      <c r="K1660" s="43"/>
    </row>
    <row r="1661">
      <c r="A1661" s="82"/>
      <c r="B1661" s="33" t="s">
        <v>16771</v>
      </c>
      <c r="C1661" s="42">
        <v>1324.0</v>
      </c>
      <c r="D1661" s="33" t="s">
        <v>16773</v>
      </c>
      <c r="E1661" s="74"/>
      <c r="F1661" s="46" t="s">
        <v>1348</v>
      </c>
      <c r="G1661" s="74"/>
      <c r="H1661" s="98" t="str">
        <f>HYPERLINK("http://mirror.ff7data.com.ar/ff7/data/field/flevel.lgp/ci_eye2.tex.png","View Picture")</f>
        <v>View Picture</v>
      </c>
      <c r="K1661" s="43"/>
    </row>
    <row r="1662">
      <c r="A1662" s="82"/>
      <c r="B1662" s="33" t="s">
        <v>16781</v>
      </c>
      <c r="C1662" s="42">
        <v>1324.0</v>
      </c>
      <c r="D1662" s="33" t="s">
        <v>16773</v>
      </c>
      <c r="E1662" s="74"/>
      <c r="F1662" s="46" t="s">
        <v>1348</v>
      </c>
      <c r="G1662" s="75"/>
      <c r="H1662" s="98" t="str">
        <f>HYPERLINK("http://mirror.ff7data.com.ar/ff7/data/field/flevel.lgp/ci_eye2r.tex.png","View Picture")</f>
        <v>View Picture</v>
      </c>
      <c r="K1662" s="43"/>
    </row>
    <row r="1663">
      <c r="A1663" s="82"/>
      <c r="B1663" s="33" t="s">
        <v>16791</v>
      </c>
      <c r="C1663" s="42">
        <v>909320.0</v>
      </c>
      <c r="D1663" s="33" t="s">
        <v>16793</v>
      </c>
      <c r="E1663" s="74"/>
      <c r="F1663" s="46" t="s">
        <v>15864</v>
      </c>
      <c r="G1663" s="75"/>
      <c r="H1663" s="98" t="str">
        <f>HYPERLINK("http://mirror.ff7data.com.ar/ff7/data/field/flevel.lgp/clsin2_1.png","View Picture")</f>
        <v>View Picture</v>
      </c>
      <c r="K1663" s="43"/>
    </row>
    <row r="1664">
      <c r="A1664" s="82"/>
      <c r="B1664" s="33" t="s">
        <v>16800</v>
      </c>
      <c r="C1664" s="42">
        <v>320232.0</v>
      </c>
      <c r="D1664" s="33" t="s">
        <v>16801</v>
      </c>
      <c r="E1664" s="74"/>
      <c r="F1664" s="46" t="s">
        <v>15864</v>
      </c>
      <c r="G1664" s="75"/>
      <c r="H1664" s="98" t="str">
        <f>HYPERLINK("http://mirror.ff7data.com.ar/ff7/data/field/flevel.lgp/clsin2_2.png","View Picture")</f>
        <v>View Picture</v>
      </c>
      <c r="K1664" s="43"/>
    </row>
    <row r="1665">
      <c r="A1665" s="82"/>
      <c r="B1665" s="33" t="s">
        <v>16810</v>
      </c>
      <c r="C1665" s="42">
        <v>242572.0</v>
      </c>
      <c r="D1665" s="33" t="s">
        <v>16812</v>
      </c>
      <c r="E1665" s="74"/>
      <c r="F1665" s="46" t="s">
        <v>15864</v>
      </c>
      <c r="G1665" s="75"/>
      <c r="H1665" s="98" t="str">
        <f>HYPERLINK("http://mirror.ff7data.com.ar/ff7/data/field/flevel.lgp/clsin2_3.png","View Picture")</f>
        <v>View Picture</v>
      </c>
      <c r="K1665" s="43"/>
    </row>
    <row r="1666">
      <c r="A1666" s="82"/>
      <c r="B1666" s="33" t="s">
        <v>16820</v>
      </c>
      <c r="C1666" s="42">
        <v>563226.0</v>
      </c>
      <c r="D1666" s="33" t="s">
        <v>16822</v>
      </c>
      <c r="E1666" s="74"/>
      <c r="F1666" s="46" t="s">
        <v>15864</v>
      </c>
      <c r="G1666" s="75"/>
      <c r="H1666" s="98" t="str">
        <f>HYPERLINK("http://mirror.ff7data.com.ar/ff7/data/field/flevel.lgp/colne_1.png","View Picture")</f>
        <v>View Picture</v>
      </c>
      <c r="K1666" s="43"/>
    </row>
    <row r="1667">
      <c r="A1667" s="82"/>
      <c r="B1667" s="33" t="s">
        <v>16831</v>
      </c>
      <c r="C1667" s="42">
        <v>498050.0</v>
      </c>
      <c r="D1667" s="33" t="s">
        <v>16833</v>
      </c>
      <c r="E1667" s="74"/>
      <c r="F1667" s="46" t="s">
        <v>15864</v>
      </c>
      <c r="G1667" s="75"/>
      <c r="H1667" s="98" t="str">
        <f>HYPERLINK("http://mirror.ff7data.com.ar/ff7/data/field/flevel.lgp/colne_2.png","View Picture")</f>
        <v>View Picture</v>
      </c>
      <c r="K1667" s="43"/>
    </row>
    <row r="1668">
      <c r="A1668" s="82"/>
      <c r="B1668" s="33" t="s">
        <v>16842</v>
      </c>
      <c r="C1668" s="42">
        <v>331960.0</v>
      </c>
      <c r="D1668" s="33" t="s">
        <v>16843</v>
      </c>
      <c r="E1668" s="74"/>
      <c r="F1668" s="46" t="s">
        <v>15864</v>
      </c>
      <c r="G1668" s="75"/>
      <c r="H1668" s="98" t="str">
        <f>HYPERLINK("http://mirror.ff7data.com.ar/ff7/data/field/flevel.lgp/colne_3.png","View Picture")</f>
        <v>View Picture</v>
      </c>
      <c r="K1668" s="43"/>
    </row>
    <row r="1669">
      <c r="A1669" s="82"/>
      <c r="B1669" s="33" t="s">
        <v>16853</v>
      </c>
      <c r="C1669" s="42">
        <v>323304.0</v>
      </c>
      <c r="D1669" s="33" t="s">
        <v>16854</v>
      </c>
      <c r="E1669" s="74"/>
      <c r="F1669" s="46" t="s">
        <v>15864</v>
      </c>
      <c r="G1669" s="75"/>
      <c r="H1669" s="98" t="str">
        <f>HYPERLINK("http://mirror.ff7data.com.ar/ff7/data/field/flevel.lgp/colne_4.png","View Picture")</f>
        <v>View Picture</v>
      </c>
      <c r="K1669" s="43"/>
    </row>
    <row r="1670">
      <c r="A1670" s="82"/>
      <c r="B1670" s="33" t="s">
        <v>16862</v>
      </c>
      <c r="C1670" s="42">
        <v>412107.0</v>
      </c>
      <c r="D1670" s="33" t="s">
        <v>16864</v>
      </c>
      <c r="E1670" s="74"/>
      <c r="F1670" s="46" t="s">
        <v>15864</v>
      </c>
      <c r="G1670" s="75"/>
      <c r="H1670" s="98" t="str">
        <f>HYPERLINK("http://mirror.ff7data.com.ar/ff7/data/field/flevel.lgp/colne_5.png","View Picture")</f>
        <v>View Picture</v>
      </c>
      <c r="K1670" s="43"/>
    </row>
    <row r="1671">
      <c r="A1671" s="82"/>
      <c r="B1671" s="33" t="s">
        <v>16871</v>
      </c>
      <c r="C1671" s="42">
        <v>331052.0</v>
      </c>
      <c r="D1671" s="33" t="s">
        <v>16872</v>
      </c>
      <c r="E1671" s="74"/>
      <c r="F1671" s="46" t="s">
        <v>15864</v>
      </c>
      <c r="G1671" s="75"/>
      <c r="H1671" s="98" t="str">
        <f>HYPERLINK("http://mirror.ff7data.com.ar/ff7/data/field/flevel.lgp/colne_6.png","View Picture")</f>
        <v>View Picture</v>
      </c>
      <c r="K1671" s="43"/>
    </row>
    <row r="1672">
      <c r="A1672" s="82"/>
      <c r="B1672" s="33" t="s">
        <v>16880</v>
      </c>
      <c r="C1672" s="42">
        <v>523148.0</v>
      </c>
      <c r="D1672" s="33" t="s">
        <v>16881</v>
      </c>
      <c r="E1672" s="74"/>
      <c r="F1672" s="46" t="s">
        <v>15864</v>
      </c>
      <c r="G1672" s="75"/>
      <c r="H1672" s="98" t="str">
        <f>HYPERLINK("http://mirror.ff7data.com.ar/ff7/data/field/flevel.lgp/colne_b1.png","View Picture")</f>
        <v>View Picture</v>
      </c>
      <c r="K1672" s="43"/>
    </row>
    <row r="1673">
      <c r="A1673" s="82"/>
      <c r="B1673" s="33" t="s">
        <v>16888</v>
      </c>
      <c r="C1673" s="42">
        <v>259790.0</v>
      </c>
      <c r="D1673" s="33" t="s">
        <v>16889</v>
      </c>
      <c r="E1673" s="74"/>
      <c r="F1673" s="46" t="s">
        <v>15864</v>
      </c>
      <c r="G1673" s="75"/>
      <c r="H1673" s="98" t="str">
        <f>HYPERLINK("http://mirror.ff7data.com.ar/ff7/data/field/flevel.lgp/colne_b3.png","View Picture")</f>
        <v>View Picture</v>
      </c>
      <c r="K1673" s="43"/>
    </row>
    <row r="1674">
      <c r="A1674" s="82"/>
      <c r="B1674" s="33" t="s">
        <v>16897</v>
      </c>
      <c r="C1674" s="42">
        <v>583867.0</v>
      </c>
      <c r="D1674" s="33" t="s">
        <v>16898</v>
      </c>
      <c r="E1674" s="74"/>
      <c r="F1674" s="46" t="s">
        <v>15864</v>
      </c>
      <c r="G1674" s="46" t="s">
        <v>16899</v>
      </c>
      <c r="H1674" s="98" t="str">
        <f>HYPERLINK("http://mirror.ff7data.com.ar/ff7/data/field/flevel.lgp/coloin1.png","View Picture")</f>
        <v>View Picture</v>
      </c>
      <c r="K1674" s="43"/>
    </row>
    <row r="1675">
      <c r="A1675" s="82"/>
      <c r="B1675" s="33" t="s">
        <v>16905</v>
      </c>
      <c r="C1675" s="42">
        <v>570522.0</v>
      </c>
      <c r="D1675" s="33" t="s">
        <v>16898</v>
      </c>
      <c r="E1675" s="74"/>
      <c r="F1675" s="46" t="s">
        <v>15864</v>
      </c>
      <c r="G1675" s="46" t="s">
        <v>16908</v>
      </c>
      <c r="H1675" s="98" t="str">
        <f>HYPERLINK("http://mirror.ff7data.com.ar/ff7/data/field/flevel.lgp/coloin2.png","View Picture")</f>
        <v>View Picture</v>
      </c>
      <c r="K1675" s="43"/>
    </row>
    <row r="1676">
      <c r="A1676" s="82"/>
      <c r="B1676" s="33" t="s">
        <v>16914</v>
      </c>
      <c r="C1676" s="42">
        <v>332658.0</v>
      </c>
      <c r="D1676" s="33" t="s">
        <v>16916</v>
      </c>
      <c r="E1676" s="74"/>
      <c r="F1676" s="46" t="s">
        <v>15864</v>
      </c>
      <c r="G1676" s="75"/>
      <c r="H1676" s="98" t="str">
        <f>HYPERLINK("http://mirror.ff7data.com.ar/ff7/data/field/flevel.lgp/coloss.png","View Picture")</f>
        <v>View Picture</v>
      </c>
      <c r="K1676" s="43"/>
    </row>
    <row r="1677">
      <c r="A1677" s="82"/>
      <c r="B1677" s="33" t="s">
        <v>16924</v>
      </c>
      <c r="C1677" s="42">
        <v>157438.0</v>
      </c>
      <c r="D1677" s="33" t="s">
        <v>16926</v>
      </c>
      <c r="E1677" s="74"/>
      <c r="F1677" s="46" t="s">
        <v>15864</v>
      </c>
      <c r="G1677" s="75"/>
      <c r="H1677" s="98" t="str">
        <f>HYPERLINK("http://mirror.ff7data.com.ar/ff7/data/field/flevel.lgp/condor1.png","View Picture")</f>
        <v>View Picture</v>
      </c>
      <c r="K1677" s="43"/>
    </row>
    <row r="1678">
      <c r="A1678" s="82"/>
      <c r="B1678" s="33" t="s">
        <v>16933</v>
      </c>
      <c r="C1678" s="42">
        <v>168541.0</v>
      </c>
      <c r="D1678" s="33" t="s">
        <v>16935</v>
      </c>
      <c r="E1678" s="74"/>
      <c r="F1678" s="46" t="s">
        <v>15864</v>
      </c>
      <c r="G1678" s="75"/>
      <c r="H1678" s="98" t="str">
        <f>HYPERLINK("http://mirror.ff7data.com.ar/ff7/data/field/flevel.lgp/condor2.png","View Picture")</f>
        <v>View Picture</v>
      </c>
      <c r="K1678" s="43"/>
    </row>
    <row r="1679">
      <c r="A1679" s="82"/>
      <c r="B1679" s="33" t="s">
        <v>16944</v>
      </c>
      <c r="C1679" s="42">
        <v>594357.0</v>
      </c>
      <c r="D1679" s="33" t="s">
        <v>16946</v>
      </c>
      <c r="E1679" s="74"/>
      <c r="F1679" s="46" t="s">
        <v>15864</v>
      </c>
      <c r="G1679" s="75"/>
      <c r="H1679" s="98" t="str">
        <f>HYPERLINK("http://mirror.ff7data.com.ar/ff7/data/field/flevel.lgp/convil_1.png","View Picture")</f>
        <v>View Picture</v>
      </c>
      <c r="K1679" s="43"/>
    </row>
    <row r="1680">
      <c r="A1680" s="82"/>
      <c r="B1680" s="33" t="s">
        <v>16953</v>
      </c>
      <c r="C1680" s="42">
        <v>368039.0</v>
      </c>
      <c r="D1680" s="33" t="s">
        <v>16955</v>
      </c>
      <c r="E1680" s="74"/>
      <c r="F1680" s="46" t="s">
        <v>15864</v>
      </c>
      <c r="G1680" s="75"/>
      <c r="H1680" s="98" t="str">
        <f>HYPERLINK("http://mirror.ff7data.com.ar/ff7/data/field/flevel.lgp/convil_2.png","View Picture")</f>
        <v>View Picture</v>
      </c>
      <c r="K1680" s="43"/>
    </row>
    <row r="1681">
      <c r="A1681" s="82"/>
      <c r="B1681" s="33" t="s">
        <v>16964</v>
      </c>
      <c r="C1681" s="42">
        <v>241883.0</v>
      </c>
      <c r="D1681" s="33" t="s">
        <v>16955</v>
      </c>
      <c r="E1681" s="74"/>
      <c r="F1681" s="46" t="s">
        <v>15864</v>
      </c>
      <c r="G1681" s="46" t="s">
        <v>16967</v>
      </c>
      <c r="H1681" s="98" t="str">
        <f>HYPERLINK("http://mirror.ff7data.com.ar/ff7/data/field/flevel.lgp/convil_4.png","View Picture")</f>
        <v>View Picture</v>
      </c>
      <c r="K1681" s="43"/>
    </row>
    <row r="1682">
      <c r="A1682" s="82"/>
      <c r="B1682" s="33" t="s">
        <v>16976</v>
      </c>
      <c r="C1682" s="42">
        <v>577504.0</v>
      </c>
      <c r="D1682" s="33" t="s">
        <v>16978</v>
      </c>
      <c r="E1682" s="74"/>
      <c r="F1682" s="46" t="s">
        <v>15864</v>
      </c>
      <c r="G1682" s="75"/>
      <c r="H1682" s="98" t="str">
        <f>HYPERLINK("http://mirror.ff7data.com.ar/ff7/data/field/flevel.lgp/corel1.png","View Picture")</f>
        <v>View Picture</v>
      </c>
      <c r="K1682" s="43"/>
    </row>
    <row r="1683">
      <c r="A1683" s="82"/>
      <c r="B1683" s="33" t="s">
        <v>16986</v>
      </c>
      <c r="C1683" s="42">
        <v>168666.0</v>
      </c>
      <c r="D1683" s="33" t="s">
        <v>16987</v>
      </c>
      <c r="E1683" s="74"/>
      <c r="F1683" s="46" t="s">
        <v>15864</v>
      </c>
      <c r="G1683" s="75"/>
      <c r="H1683" s="98" t="str">
        <f>HYPERLINK("http://mirror.ff7data.com.ar/ff7/data/field/flevel.lgp/corel2.png","View Picture")</f>
        <v>View Picture</v>
      </c>
      <c r="K1683" s="43"/>
    </row>
    <row r="1684">
      <c r="A1684" s="82"/>
      <c r="B1684" s="33" t="s">
        <v>17001</v>
      </c>
      <c r="C1684" s="42">
        <v>534895.0</v>
      </c>
      <c r="D1684" s="33" t="s">
        <v>17002</v>
      </c>
      <c r="E1684" s="74"/>
      <c r="F1684" s="46" t="s">
        <v>15864</v>
      </c>
      <c r="G1684" s="75"/>
      <c r="H1684" s="98" t="str">
        <f>HYPERLINK("http://mirror.ff7data.com.ar/ff7/data/field/flevel.lgp/corel3.png","View Picture")</f>
        <v>View Picture</v>
      </c>
      <c r="K1684" s="43"/>
    </row>
    <row r="1685">
      <c r="A1685" s="82"/>
      <c r="B1685" s="33" t="s">
        <v>17013</v>
      </c>
      <c r="C1685" s="42">
        <v>156644.0</v>
      </c>
      <c r="D1685" s="33" t="s">
        <v>17015</v>
      </c>
      <c r="E1685" s="74"/>
      <c r="F1685" s="46" t="s">
        <v>15864</v>
      </c>
      <c r="G1685" s="75"/>
      <c r="H1685" s="98" t="str">
        <f>HYPERLINK("http://mirror.ff7data.com.ar/ff7/data/field/flevel.lgp/corelin.png","View Picture")</f>
        <v>View Picture</v>
      </c>
      <c r="K1685" s="43"/>
    </row>
    <row r="1686">
      <c r="A1686" s="82"/>
      <c r="B1686" s="33" t="s">
        <v>17025</v>
      </c>
      <c r="C1686" s="42">
        <v>582025.0</v>
      </c>
      <c r="D1686" s="33" t="s">
        <v>17027</v>
      </c>
      <c r="E1686" s="74"/>
      <c r="F1686" s="46" t="s">
        <v>15864</v>
      </c>
      <c r="G1686" s="75"/>
      <c r="H1686" s="98" t="str">
        <f>HYPERLINK("http://mirror.ff7data.com.ar/ff7/data/field/flevel.lgp/cos_btm.png","View Picture")</f>
        <v>View Picture</v>
      </c>
      <c r="K1686" s="43"/>
    </row>
    <row r="1687">
      <c r="A1687" s="82"/>
      <c r="B1687" s="33" t="s">
        <v>17034</v>
      </c>
      <c r="C1687" s="42">
        <v>348205.0</v>
      </c>
      <c r="D1687" s="33" t="s">
        <v>17036</v>
      </c>
      <c r="E1687" s="74"/>
      <c r="F1687" s="46" t="s">
        <v>15864</v>
      </c>
      <c r="G1687" s="75"/>
      <c r="H1687" s="98" t="str">
        <f>HYPERLINK("http://mirror.ff7data.com.ar/ff7/data/field/flevel.lgp/cos_btm2.png","View Picture")</f>
        <v>View Picture</v>
      </c>
      <c r="K1687" s="43"/>
    </row>
    <row r="1688">
      <c r="A1688" s="82"/>
      <c r="B1688" s="33" t="s">
        <v>17042</v>
      </c>
      <c r="C1688" s="42">
        <v>167581.0</v>
      </c>
      <c r="D1688" s="33" t="s">
        <v>17043</v>
      </c>
      <c r="E1688" s="74"/>
      <c r="F1688" s="46" t="s">
        <v>15864</v>
      </c>
      <c r="G1688" s="75"/>
      <c r="H1688" s="98" t="str">
        <f>HYPERLINK("http://mirror.ff7data.com.ar/ff7/data/field/flevel.lgp/cos_top.png","View Picture")</f>
        <v>View Picture</v>
      </c>
      <c r="K1688" s="43"/>
    </row>
    <row r="1689">
      <c r="A1689" s="82"/>
      <c r="B1689" s="33" t="s">
        <v>17051</v>
      </c>
      <c r="C1689" s="42">
        <v>252915.0</v>
      </c>
      <c r="D1689" s="33" t="s">
        <v>17052</v>
      </c>
      <c r="E1689" s="74"/>
      <c r="F1689" s="46" t="s">
        <v>15864</v>
      </c>
      <c r="G1689" s="75"/>
      <c r="H1689" s="98" t="str">
        <f>HYPERLINK("http://mirror.ff7data.com.ar/ff7/data/field/flevel.lgp/cosin1.png","View Picture")</f>
        <v>View Picture</v>
      </c>
      <c r="K1689" s="43"/>
    </row>
    <row r="1690">
      <c r="A1690" s="82"/>
      <c r="B1690" s="33" t="s">
        <v>17060</v>
      </c>
      <c r="C1690" s="42">
        <v>172634.0</v>
      </c>
      <c r="D1690" s="33" t="s">
        <v>17062</v>
      </c>
      <c r="E1690" s="74"/>
      <c r="F1690" s="46" t="s">
        <v>15864</v>
      </c>
      <c r="G1690" s="75"/>
      <c r="H1690" s="98" t="str">
        <f>HYPERLINK("http://mirror.ff7data.com.ar/ff7/data/field/flevel.lgp/cosin1_1.png","View Picture")</f>
        <v>View Picture</v>
      </c>
      <c r="K1690" s="43"/>
    </row>
    <row r="1691">
      <c r="A1691" s="82"/>
      <c r="B1691" s="33" t="s">
        <v>17072</v>
      </c>
      <c r="C1691" s="42">
        <v>414773.0</v>
      </c>
      <c r="D1691" s="33" t="s">
        <v>17073</v>
      </c>
      <c r="E1691" s="74"/>
      <c r="F1691" s="46" t="s">
        <v>15864</v>
      </c>
      <c r="G1691" s="75"/>
      <c r="H1691" s="98" t="str">
        <f>HYPERLINK("http://mirror.ff7data.com.ar/ff7/data/field/flevel.lgp/cosin2.png","View Picture")</f>
        <v>View Picture</v>
      </c>
      <c r="K1691" s="43"/>
    </row>
    <row r="1692">
      <c r="A1692" s="82"/>
      <c r="B1692" s="33" t="s">
        <v>17081</v>
      </c>
      <c r="C1692" s="42">
        <v>411509.0</v>
      </c>
      <c r="D1692" s="33" t="s">
        <v>17083</v>
      </c>
      <c r="E1692" s="74"/>
      <c r="F1692" s="46" t="s">
        <v>15864</v>
      </c>
      <c r="G1692" s="75"/>
      <c r="H1692" s="98" t="str">
        <f>HYPERLINK("http://mirror.ff7data.com.ar/ff7/data/field/flevel.lgp/cosin3.png","View Picture")</f>
        <v>View Picture</v>
      </c>
      <c r="K1692" s="43"/>
    </row>
    <row r="1693">
      <c r="A1693" s="82"/>
      <c r="B1693" s="33" t="s">
        <v>17092</v>
      </c>
      <c r="C1693" s="42">
        <v>84857.0</v>
      </c>
      <c r="D1693" s="33" t="s">
        <v>17093</v>
      </c>
      <c r="E1693" s="74"/>
      <c r="F1693" s="46" t="s">
        <v>15864</v>
      </c>
      <c r="G1693" s="75"/>
      <c r="H1693" s="98" t="str">
        <f>HYPERLINK("http://mirror.ff7data.com.ar/ff7/data/field/flevel.lgp/cosin4.png","View Picture")</f>
        <v>View Picture</v>
      </c>
      <c r="K1693" s="43"/>
    </row>
    <row r="1694">
      <c r="A1694" s="82"/>
      <c r="B1694" s="33" t="s">
        <v>17102</v>
      </c>
      <c r="C1694" s="42">
        <v>260724.0</v>
      </c>
      <c r="D1694" s="33" t="s">
        <v>17104</v>
      </c>
      <c r="E1694" s="74"/>
      <c r="F1694" s="46" t="s">
        <v>15864</v>
      </c>
      <c r="G1694" s="75"/>
      <c r="H1694" s="98" t="str">
        <f>HYPERLINK("http://mirror.ff7data.com.ar/ff7/data/field/flevel.lgp/cosin5.png","View Picture")</f>
        <v>View Picture</v>
      </c>
      <c r="K1694" s="43"/>
    </row>
    <row r="1695">
      <c r="A1695" s="82"/>
      <c r="B1695" s="33" t="s">
        <v>17114</v>
      </c>
      <c r="C1695" s="42">
        <v>335317.0</v>
      </c>
      <c r="D1695" s="33" t="s">
        <v>17115</v>
      </c>
      <c r="E1695" s="74"/>
      <c r="F1695" s="46" t="s">
        <v>15864</v>
      </c>
      <c r="G1695" s="75"/>
      <c r="H1695" s="98" t="str">
        <f>HYPERLINK("http://mirror.ff7data.com.ar/ff7/data/field/flevel.lgp/cosmin2.png","View Picture")</f>
        <v>View Picture</v>
      </c>
      <c r="K1695" s="43"/>
    </row>
    <row r="1696">
      <c r="A1696" s="82"/>
      <c r="B1696" s="33" t="s">
        <v>17124</v>
      </c>
      <c r="C1696" s="42">
        <v>337011.0</v>
      </c>
      <c r="D1696" s="33" t="s">
        <v>17126</v>
      </c>
      <c r="E1696" s="74"/>
      <c r="F1696" s="46" t="s">
        <v>15864</v>
      </c>
      <c r="G1696" s="75"/>
      <c r="H1696" s="98" t="str">
        <f>HYPERLINK("http://mirror.ff7data.com.ar/ff7/data/field/flevel.lgp/cosmin3.png","View Picture")</f>
        <v>View Picture</v>
      </c>
      <c r="K1696" s="43"/>
    </row>
    <row r="1697">
      <c r="A1697" s="82"/>
      <c r="B1697" s="33" t="s">
        <v>17132</v>
      </c>
      <c r="C1697" s="42">
        <v>338886.0</v>
      </c>
      <c r="D1697" s="33" t="s">
        <v>17134</v>
      </c>
      <c r="E1697" s="74"/>
      <c r="F1697" s="46" t="s">
        <v>15864</v>
      </c>
      <c r="G1697" s="75"/>
      <c r="H1697" s="98" t="str">
        <f>HYPERLINK("http://mirror.ff7data.com.ar/ff7/data/field/flevel.lgp/cosmin4.png","View Picture")</f>
        <v>View Picture</v>
      </c>
      <c r="K1697" s="43"/>
    </row>
    <row r="1698">
      <c r="A1698" s="82"/>
      <c r="B1698" s="33" t="s">
        <v>17141</v>
      </c>
      <c r="C1698" s="42">
        <v>91185.0</v>
      </c>
      <c r="D1698" s="33" t="s">
        <v>17142</v>
      </c>
      <c r="E1698" s="74"/>
      <c r="F1698" s="46" t="s">
        <v>15864</v>
      </c>
      <c r="G1698" s="75"/>
      <c r="H1698" s="98" t="str">
        <f>HYPERLINK("http://mirror.ff7data.com.ar/ff7/data/field/flevel.lgp/cosmin6.png","View Picture")</f>
        <v>View Picture</v>
      </c>
      <c r="K1698" s="43"/>
    </row>
    <row r="1699">
      <c r="A1699" s="82"/>
      <c r="B1699" s="33" t="s">
        <v>17150</v>
      </c>
      <c r="C1699" s="42">
        <v>329079.0</v>
      </c>
      <c r="D1699" s="33" t="s">
        <v>17151</v>
      </c>
      <c r="E1699" s="74"/>
      <c r="F1699" s="46" t="s">
        <v>15864</v>
      </c>
      <c r="G1699" s="75"/>
      <c r="H1699" s="98" t="str">
        <f>HYPERLINK("http://mirror.ff7data.com.ar/ff7/data/field/flevel.lgp/cosmin7.png","View Picture")</f>
        <v>View Picture</v>
      </c>
      <c r="K1699" s="43"/>
    </row>
    <row r="1700">
      <c r="A1700" s="82"/>
      <c r="B1700" s="33" t="s">
        <v>17159</v>
      </c>
      <c r="C1700" s="42">
        <v>366220.0</v>
      </c>
      <c r="D1700" s="33" t="s">
        <v>17162</v>
      </c>
      <c r="E1700" s="74"/>
      <c r="F1700" s="46" t="s">
        <v>15864</v>
      </c>
      <c r="G1700" s="46" t="s">
        <v>17164</v>
      </c>
      <c r="H1700" s="98" t="str">
        <f>HYPERLINK("http://mirror.ff7data.com.ar/ff7/data/field/flevel.lgp/cosmo.png","View Picture")</f>
        <v>View Picture</v>
      </c>
      <c r="K1700" s="43"/>
    </row>
    <row r="1701">
      <c r="A1701" s="82"/>
      <c r="B1701" s="33" t="s">
        <v>17173</v>
      </c>
      <c r="C1701" s="42">
        <v>536539.0</v>
      </c>
      <c r="D1701" s="33" t="s">
        <v>17175</v>
      </c>
      <c r="E1701" s="74"/>
      <c r="F1701" s="46" t="s">
        <v>15864</v>
      </c>
      <c r="G1701" s="46" t="s">
        <v>17164</v>
      </c>
      <c r="H1701" s="98" t="str">
        <f>HYPERLINK("http://mirror.ff7data.com.ar/ff7/data/field/flevel.lgp/cosmo2.png","View Picture")</f>
        <v>View Picture</v>
      </c>
      <c r="K1701" s="43"/>
    </row>
    <row r="1702">
      <c r="A1702" s="82"/>
      <c r="B1702" s="33" t="s">
        <v>17188</v>
      </c>
      <c r="C1702" s="42">
        <v>543102.0</v>
      </c>
      <c r="D1702" s="33" t="s">
        <v>17190</v>
      </c>
      <c r="E1702" s="74"/>
      <c r="F1702" s="46" t="s">
        <v>15864</v>
      </c>
      <c r="G1702" s="75"/>
      <c r="H1702" s="98" t="str">
        <f>HYPERLINK("http://mirror.ff7data.com.ar/ff7/data/field/flevel.lgp/crater_1.png","View Picture")</f>
        <v>View Picture</v>
      </c>
      <c r="K1702" s="43"/>
    </row>
    <row r="1703">
      <c r="A1703" s="82"/>
      <c r="B1703" s="33" t="s">
        <v>17202</v>
      </c>
      <c r="C1703" s="42">
        <v>749183.0</v>
      </c>
      <c r="D1703" s="33" t="s">
        <v>17204</v>
      </c>
      <c r="E1703" s="74"/>
      <c r="F1703" s="46" t="s">
        <v>15864</v>
      </c>
      <c r="G1703" s="75"/>
      <c r="H1703" s="98" t="str">
        <f>HYPERLINK("http://mirror.ff7data.com.ar/ff7/data/field/flevel.lgp/crater_2.png","View Picture")</f>
        <v>View Picture</v>
      </c>
      <c r="K1703" s="43"/>
    </row>
    <row r="1704">
      <c r="A1704" s="82"/>
      <c r="B1704" s="33" t="s">
        <v>17215</v>
      </c>
      <c r="C1704" s="42">
        <v>355204.0</v>
      </c>
      <c r="D1704" s="33" t="s">
        <v>17217</v>
      </c>
      <c r="E1704" s="74"/>
      <c r="F1704" s="46" t="s">
        <v>15864</v>
      </c>
      <c r="G1704" s="75"/>
      <c r="H1704" s="98" t="str">
        <f>HYPERLINK("http://mirror.ff7data.com.ar/ff7/data/field/flevel.lgp/crcin_1.png","View Picture")</f>
        <v>View Picture</v>
      </c>
      <c r="K1704" s="43"/>
    </row>
    <row r="1705">
      <c r="A1705" s="82"/>
      <c r="B1705" s="33" t="s">
        <v>17224</v>
      </c>
      <c r="C1705" s="42">
        <v>250572.0</v>
      </c>
      <c r="D1705" s="33" t="s">
        <v>17226</v>
      </c>
      <c r="E1705" s="74"/>
      <c r="F1705" s="46" t="s">
        <v>15864</v>
      </c>
      <c r="G1705" s="75"/>
      <c r="H1705" s="98" t="str">
        <f>HYPERLINK("http://mirror.ff7data.com.ar/ff7/data/field/flevel.lgp/crcin_2.png","View Picture")</f>
        <v>View Picture</v>
      </c>
      <c r="K1705" s="43"/>
    </row>
    <row r="1706">
      <c r="A1706" s="82"/>
      <c r="B1706" s="33" t="s">
        <v>17235</v>
      </c>
      <c r="C1706" s="42">
        <v>197580.0</v>
      </c>
      <c r="D1706" s="33" t="s">
        <v>17237</v>
      </c>
      <c r="E1706" s="74"/>
      <c r="F1706" s="46" t="s">
        <v>15864</v>
      </c>
      <c r="G1706" s="75"/>
      <c r="H1706" s="98" t="str">
        <f>HYPERLINK("http://mirror.ff7data.com.ar/ff7/data/field/flevel.lgp/datiao_1.png","View Picture")</f>
        <v>View Picture</v>
      </c>
      <c r="K1706" s="43"/>
    </row>
    <row r="1707">
      <c r="A1707" s="82"/>
      <c r="B1707" s="33" t="s">
        <v>17245</v>
      </c>
      <c r="C1707" s="42">
        <v>190818.0</v>
      </c>
      <c r="D1707" s="33" t="s">
        <v>17246</v>
      </c>
      <c r="E1707" s="74"/>
      <c r="F1707" s="46" t="s">
        <v>15864</v>
      </c>
      <c r="G1707" s="75"/>
      <c r="H1707" s="98" t="str">
        <f>HYPERLINK("http://mirror.ff7data.com.ar/ff7/data/field/flevel.lgp/datiao_2.png","View Picture")</f>
        <v>View Picture</v>
      </c>
      <c r="K1707" s="43"/>
    </row>
    <row r="1708">
      <c r="A1708" s="82"/>
      <c r="B1708" s="33" t="s">
        <v>17255</v>
      </c>
      <c r="C1708" s="42">
        <v>178967.0</v>
      </c>
      <c r="D1708" s="33" t="s">
        <v>17257</v>
      </c>
      <c r="E1708" s="74"/>
      <c r="F1708" s="46" t="s">
        <v>15864</v>
      </c>
      <c r="G1708" s="75"/>
      <c r="H1708" s="98" t="str">
        <f>HYPERLINK("http://mirror.ff7data.com.ar/ff7/data/field/flevel.lgp/datiao_3.png","View Picture")</f>
        <v>View Picture</v>
      </c>
      <c r="K1708" s="43"/>
    </row>
    <row r="1709">
      <c r="A1709" s="82"/>
      <c r="B1709" s="33" t="s">
        <v>17270</v>
      </c>
      <c r="C1709" s="42">
        <v>176723.0</v>
      </c>
      <c r="D1709" s="33" t="s">
        <v>17272</v>
      </c>
      <c r="E1709" s="74"/>
      <c r="F1709" s="46" t="s">
        <v>15864</v>
      </c>
      <c r="G1709" s="75"/>
      <c r="H1709" s="98" t="str">
        <f>HYPERLINK("http://mirror.ff7data.com.ar/ff7/data/field/flevel.lgp/datiao_4.png","View Picture")</f>
        <v>View Picture</v>
      </c>
      <c r="K1709" s="43"/>
    </row>
    <row r="1710">
      <c r="A1710" s="82"/>
      <c r="B1710" s="33" t="s">
        <v>17279</v>
      </c>
      <c r="C1710" s="42">
        <v>256975.0</v>
      </c>
      <c r="D1710" s="33" t="s">
        <v>17280</v>
      </c>
      <c r="E1710" s="74"/>
      <c r="F1710" s="46" t="s">
        <v>15864</v>
      </c>
      <c r="G1710" s="75"/>
      <c r="H1710" s="98" t="str">
        <f>HYPERLINK("http://mirror.ff7data.com.ar/ff7/data/field/flevel.lgp/datiao_5.png","View Picture")</f>
        <v>View Picture</v>
      </c>
      <c r="K1710" s="43"/>
    </row>
    <row r="1711">
      <c r="A1711" s="82"/>
      <c r="B1711" s="33" t="s">
        <v>17289</v>
      </c>
      <c r="C1711" s="42">
        <v>197570.0</v>
      </c>
      <c r="D1711" s="33" t="s">
        <v>17272</v>
      </c>
      <c r="E1711" s="74"/>
      <c r="F1711" s="46" t="s">
        <v>15864</v>
      </c>
      <c r="G1711" s="75"/>
      <c r="H1711" s="98" t="str">
        <f>HYPERLINK("http://mirror.ff7data.com.ar/ff7/data/field/flevel.lgp/datiao_6.png","View Picture")</f>
        <v>View Picture</v>
      </c>
      <c r="K1711" s="43"/>
    </row>
    <row r="1712">
      <c r="A1712" s="82"/>
      <c r="B1712" s="33" t="s">
        <v>17298</v>
      </c>
      <c r="C1712" s="42">
        <v>180830.0</v>
      </c>
      <c r="D1712" s="33" t="s">
        <v>17257</v>
      </c>
      <c r="E1712" s="74"/>
      <c r="F1712" s="46" t="s">
        <v>15864</v>
      </c>
      <c r="G1712" s="75"/>
      <c r="H1712" s="98" t="str">
        <f>HYPERLINK("http://mirror.ff7data.com.ar/ff7/data/field/flevel.lgp/datiao_7.png","View Picture")</f>
        <v>View Picture</v>
      </c>
      <c r="K1712" s="43"/>
    </row>
    <row r="1713">
      <c r="A1713" s="82"/>
      <c r="B1713" s="33" t="s">
        <v>17306</v>
      </c>
      <c r="C1713" s="42">
        <v>508342.0</v>
      </c>
      <c r="D1713" s="33" t="s">
        <v>17308</v>
      </c>
      <c r="E1713" s="74"/>
      <c r="F1713" s="46" t="s">
        <v>15864</v>
      </c>
      <c r="G1713" s="75"/>
      <c r="H1713" s="98" t="str">
        <f>HYPERLINK("http://mirror.ff7data.com.ar/ff7/data/field/flevel.lgp/datiao_8.png","View Picture")</f>
        <v>View Picture</v>
      </c>
      <c r="K1713" s="43"/>
    </row>
    <row r="1714">
      <c r="A1714" s="40"/>
      <c r="B1714" s="33" t="s">
        <v>17316</v>
      </c>
      <c r="C1714" s="42">
        <v>517843.0</v>
      </c>
      <c r="D1714" s="33" t="s">
        <v>17318</v>
      </c>
      <c r="E1714" s="74"/>
      <c r="F1714" s="46" t="s">
        <v>15864</v>
      </c>
      <c r="G1714" s="75"/>
      <c r="H1714" s="98" t="str">
        <f>HYPERLINK("http://mirror.ff7data.com.ar/ff7/data/field/flevel.lgp/del1.png","View Picture")</f>
        <v>View Picture</v>
      </c>
      <c r="K1714" s="43"/>
    </row>
    <row r="1715">
      <c r="A1715" s="40"/>
      <c r="B1715" s="33" t="s">
        <v>17328</v>
      </c>
      <c r="C1715" s="42">
        <v>516688.0</v>
      </c>
      <c r="D1715" s="33" t="s">
        <v>17329</v>
      </c>
      <c r="E1715" s="74"/>
      <c r="F1715" s="46" t="s">
        <v>15864</v>
      </c>
      <c r="G1715" s="75"/>
      <c r="H1715" s="98" t="str">
        <f>HYPERLINK("http://mirror.ff7data.com.ar/ff7/data/field/flevel.lgp/del12.png","View Picture")</f>
        <v>View Picture</v>
      </c>
      <c r="K1715" s="43"/>
    </row>
    <row r="1716">
      <c r="A1716" s="40"/>
      <c r="B1716" s="33" t="s">
        <v>17337</v>
      </c>
      <c r="C1716" s="42">
        <v>590599.0</v>
      </c>
      <c r="D1716" s="33" t="s">
        <v>714</v>
      </c>
      <c r="E1716" s="74"/>
      <c r="F1716" s="46" t="s">
        <v>15864</v>
      </c>
      <c r="G1716" s="75"/>
      <c r="H1716" s="98" t="str">
        <f>HYPERLINK("http://mirror.ff7data.com.ar/ff7/data/field/flevel.lgp/del2.png","View Picture")</f>
        <v>View Picture</v>
      </c>
      <c r="K1716" s="43"/>
    </row>
    <row r="1717">
      <c r="A1717" s="40"/>
      <c r="B1717" s="33" t="s">
        <v>17346</v>
      </c>
      <c r="C1717" s="42">
        <v>829246.0</v>
      </c>
      <c r="D1717" s="33" t="s">
        <v>714</v>
      </c>
      <c r="E1717" s="74"/>
      <c r="F1717" s="46" t="s">
        <v>15864</v>
      </c>
      <c r="G1717" s="46" t="s">
        <v>17349</v>
      </c>
      <c r="H1717" s="98" t="str">
        <f>HYPERLINK("http://mirror.ff7data.com.ar/ff7/data/field/flevel.lgp/del3.png","View Picture")</f>
        <v>View Picture</v>
      </c>
      <c r="K1717" s="43"/>
    </row>
    <row r="1718">
      <c r="A1718" s="40"/>
      <c r="B1718" s="33" t="s">
        <v>17354</v>
      </c>
      <c r="C1718" s="42">
        <v>322499.0</v>
      </c>
      <c r="D1718" s="33" t="s">
        <v>17355</v>
      </c>
      <c r="E1718" s="74"/>
      <c r="F1718" s="46" t="s">
        <v>15864</v>
      </c>
      <c r="G1718" s="75"/>
      <c r="H1718" s="98" t="str">
        <f>HYPERLINK("http://mirror.ff7data.com.ar/ff7/data/field/flevel.lgp/delinn.png","View Picture")</f>
        <v>View Picture</v>
      </c>
      <c r="K1718" s="43"/>
    </row>
    <row r="1719">
      <c r="A1719" s="40"/>
      <c r="B1719" s="33" t="s">
        <v>17362</v>
      </c>
      <c r="C1719" s="42">
        <v>339748.0</v>
      </c>
      <c r="D1719" s="33" t="s">
        <v>17364</v>
      </c>
      <c r="E1719" s="74"/>
      <c r="F1719" s="46" t="s">
        <v>15864</v>
      </c>
      <c r="G1719" s="46" t="s">
        <v>714</v>
      </c>
      <c r="H1719" s="98" t="str">
        <f>HYPERLINK("http://mirror.ff7data.com.ar/ff7/data/field/flevel.lgp/delmin1.png","View Picture")</f>
        <v>View Picture</v>
      </c>
      <c r="K1719" s="43"/>
    </row>
    <row r="1720">
      <c r="A1720" s="82"/>
      <c r="B1720" s="33" t="s">
        <v>17378</v>
      </c>
      <c r="C1720" s="42">
        <v>231111.0</v>
      </c>
      <c r="D1720" s="33" t="s">
        <v>17379</v>
      </c>
      <c r="E1720" s="74"/>
      <c r="F1720" s="46" t="s">
        <v>15864</v>
      </c>
      <c r="G1720" s="75"/>
      <c r="H1720" s="98" t="str">
        <f>HYPERLINK("http://mirror.ff7data.com.ar/ff7/data/field/flevel.lgp/delmin12.png","View Picture")</f>
        <v>View Picture</v>
      </c>
      <c r="K1720" s="43"/>
    </row>
    <row r="1721">
      <c r="A1721" s="82"/>
      <c r="B1721" s="33" t="s">
        <v>17387</v>
      </c>
      <c r="C1721" s="42">
        <v>316637.0</v>
      </c>
      <c r="D1721" s="33" t="s">
        <v>17389</v>
      </c>
      <c r="E1721" s="74"/>
      <c r="F1721" s="46" t="s">
        <v>15864</v>
      </c>
      <c r="G1721" s="75"/>
      <c r="H1721" s="98" t="str">
        <f>HYPERLINK("http://mirror.ff7data.com.ar/ff7/data/field/flevel.lgp/delmin2.png","View Picture")</f>
        <v>View Picture</v>
      </c>
      <c r="K1721" s="43"/>
    </row>
    <row r="1722">
      <c r="A1722" s="82"/>
      <c r="B1722" s="33" t="s">
        <v>17400</v>
      </c>
      <c r="C1722" s="42">
        <v>329642.0</v>
      </c>
      <c r="D1722" s="33" t="s">
        <v>17402</v>
      </c>
      <c r="E1722" s="74"/>
      <c r="F1722" s="46" t="s">
        <v>15864</v>
      </c>
      <c r="G1722" s="75"/>
      <c r="H1722" s="98" t="str">
        <f>HYPERLINK("http://mirror.ff7data.com.ar/ff7/data/field/flevel.lgp/delpb.png","View Picture")</f>
        <v>View Picture</v>
      </c>
      <c r="K1722" s="43"/>
    </row>
    <row r="1723">
      <c r="A1723" s="79"/>
      <c r="B1723" s="33" t="s">
        <v>17410</v>
      </c>
      <c r="C1723" s="42">
        <v>425714.0</v>
      </c>
      <c r="D1723" s="33" t="s">
        <v>17411</v>
      </c>
      <c r="E1723" s="74"/>
      <c r="F1723" s="46" t="s">
        <v>15864</v>
      </c>
      <c r="G1723" s="75"/>
      <c r="H1723" s="98" t="str">
        <f>HYPERLINK("http://mirror.ff7data.com.ar/ff7/data/field/flevel.lgp/desert1.png","View Picture")</f>
        <v>View Picture</v>
      </c>
      <c r="K1723" s="43"/>
    </row>
    <row r="1724">
      <c r="A1724" s="79"/>
      <c r="B1724" s="33" t="s">
        <v>17417</v>
      </c>
      <c r="C1724" s="42">
        <v>422832.0</v>
      </c>
      <c r="D1724" s="33" t="s">
        <v>17411</v>
      </c>
      <c r="E1724" s="74"/>
      <c r="F1724" s="46" t="s">
        <v>15864</v>
      </c>
      <c r="G1724" s="75"/>
      <c r="H1724" s="98" t="str">
        <f>HYPERLINK("http://mirror.ff7data.com.ar/ff7/data/field/flevel.lgp/desert2.png","View Picture")</f>
        <v>View Picture</v>
      </c>
      <c r="K1724" s="43"/>
    </row>
    <row r="1725">
      <c r="A1725" s="40"/>
      <c r="B1725" s="33" t="s">
        <v>17425</v>
      </c>
      <c r="C1725" s="42">
        <v>413037.0</v>
      </c>
      <c r="D1725" s="33" t="s">
        <v>477</v>
      </c>
      <c r="E1725" s="74"/>
      <c r="F1725" s="46" t="s">
        <v>15864</v>
      </c>
      <c r="G1725" s="75"/>
      <c r="H1725" s="98" t="str">
        <f>HYPERLINK("http://mirror.ff7data.com.ar/ff7/data/field/flevel.lgp/dyne.png","View Picture")</f>
        <v>View Picture</v>
      </c>
      <c r="K1725" s="43"/>
    </row>
    <row r="1726">
      <c r="A1726" s="82"/>
      <c r="B1726" s="33" t="s">
        <v>17430</v>
      </c>
      <c r="C1726" s="42">
        <v>1324.0</v>
      </c>
      <c r="D1726" s="33" t="s">
        <v>17431</v>
      </c>
      <c r="E1726" s="74"/>
      <c r="F1726" s="46" t="s">
        <v>1348</v>
      </c>
      <c r="G1726" s="75"/>
      <c r="H1726" s="98" t="str">
        <f>HYPERLINK("http://mirror.ff7data.com.ar/ff7/data/field/flevel.lgp/ea_eye2.tex.png","View Picture")</f>
        <v>View Picture</v>
      </c>
      <c r="K1726" s="43"/>
    </row>
    <row r="1727">
      <c r="A1727" s="82"/>
      <c r="B1727" s="33" t="s">
        <v>17436</v>
      </c>
      <c r="C1727" s="42">
        <v>1324.0</v>
      </c>
      <c r="D1727" s="33" t="s">
        <v>17431</v>
      </c>
      <c r="E1727" s="74"/>
      <c r="F1727" s="46" t="s">
        <v>1348</v>
      </c>
      <c r="G1727" s="75"/>
      <c r="H1727" s="98" t="str">
        <f>HYPERLINK("http://mirror.ff7data.com.ar/ff7/data/field/flevel.lgp/ea_eye2r.tex.png","View Picture")</f>
        <v>View Picture</v>
      </c>
      <c r="K1727" s="43"/>
    </row>
    <row r="1728">
      <c r="A1728" s="82"/>
      <c r="B1728" s="33" t="s">
        <v>17439</v>
      </c>
      <c r="C1728" s="42">
        <v>249608.0</v>
      </c>
      <c r="D1728" s="33" t="s">
        <v>17441</v>
      </c>
      <c r="E1728" s="74"/>
      <c r="F1728" s="46" t="s">
        <v>15864</v>
      </c>
      <c r="G1728" s="75"/>
      <c r="H1728" s="98" t="str">
        <f>HYPERLINK("http://mirror.ff7data.com.ar/ff7/data/field/flevel.lgp/ealin_1.png","View Picture")</f>
        <v>View Picture</v>
      </c>
      <c r="K1728" s="43"/>
    </row>
    <row r="1729">
      <c r="A1729" s="82"/>
      <c r="B1729" s="33" t="s">
        <v>17446</v>
      </c>
      <c r="C1729" s="42">
        <v>243399.0</v>
      </c>
      <c r="D1729" s="33" t="s">
        <v>17441</v>
      </c>
      <c r="E1729" s="74"/>
      <c r="F1729" s="46" t="s">
        <v>15864</v>
      </c>
      <c r="G1729" s="75"/>
      <c r="H1729" s="98" t="str">
        <f>HYPERLINK("http://mirror.ff7data.com.ar/ff7/data/field/flevel.lgp/ealin_12.png","View Picture")</f>
        <v>View Picture</v>
      </c>
      <c r="K1729" s="43"/>
    </row>
    <row r="1730">
      <c r="A1730" s="82"/>
      <c r="B1730" s="33" t="s">
        <v>17452</v>
      </c>
      <c r="C1730" s="42">
        <v>315562.0</v>
      </c>
      <c r="D1730" s="33" t="s">
        <v>17441</v>
      </c>
      <c r="E1730" s="74"/>
      <c r="F1730" s="46" t="s">
        <v>15864</v>
      </c>
      <c r="G1730" s="75"/>
      <c r="H1730" s="98" t="str">
        <f>HYPERLINK("http://mirror.ff7data.com.ar/ff7/data/field/flevel.lgp/ealin_2.png","View Picture")</f>
        <v>View Picture</v>
      </c>
      <c r="K1730" s="43"/>
    </row>
    <row r="1731">
      <c r="A1731" s="82"/>
      <c r="B1731" s="33" t="s">
        <v>17458</v>
      </c>
      <c r="C1731" s="42">
        <v>398154.0</v>
      </c>
      <c r="D1731" s="33" t="s">
        <v>17460</v>
      </c>
      <c r="E1731" s="74"/>
      <c r="F1731" s="46" t="s">
        <v>15864</v>
      </c>
      <c r="G1731" s="75"/>
      <c r="H1731" s="98" t="str">
        <f>HYPERLINK("http://mirror.ff7data.com.ar/ff7/data/field/flevel.lgp/eals_1.png","View Picture")</f>
        <v>View Picture</v>
      </c>
      <c r="K1731" s="43"/>
    </row>
    <row r="1732">
      <c r="A1732" s="82"/>
      <c r="B1732" s="33" t="s">
        <v>17465</v>
      </c>
      <c r="C1732" s="42">
        <v>638455.0</v>
      </c>
      <c r="D1732" s="148" t="s">
        <v>17467</v>
      </c>
      <c r="E1732" s="74"/>
      <c r="F1732" s="46" t="s">
        <v>15864</v>
      </c>
      <c r="G1732" s="75"/>
      <c r="H1732" s="98" t="str">
        <f>HYPERLINK("http://mirror.ff7data.com.ar/ff7/data/field/flevel.lgp/eleout.png","View Picture")</f>
        <v>View Picture</v>
      </c>
      <c r="K1732" s="43"/>
    </row>
    <row r="1733">
      <c r="A1733" s="82"/>
      <c r="B1733" s="33" t="s">
        <v>17497</v>
      </c>
      <c r="C1733" s="42">
        <v>237760.0</v>
      </c>
      <c r="D1733" s="33" t="s">
        <v>17498</v>
      </c>
      <c r="E1733" s="74"/>
      <c r="F1733" s="46" t="s">
        <v>15864</v>
      </c>
      <c r="G1733" s="46" t="s">
        <v>17500</v>
      </c>
      <c r="H1733" s="98" t="str">
        <f>HYPERLINK("http://mirror.ff7data.com.ar/ff7/data/field/flevel.lgp/elevtr1.png","View Picture")</f>
        <v>View Picture</v>
      </c>
      <c r="K1733" s="43"/>
    </row>
    <row r="1734">
      <c r="A1734" s="40"/>
      <c r="B1734" s="33" t="s">
        <v>17508</v>
      </c>
      <c r="C1734" s="42">
        <v>525700.0</v>
      </c>
      <c r="D1734" s="33" t="s">
        <v>17509</v>
      </c>
      <c r="E1734" s="74"/>
      <c r="F1734" s="46" t="s">
        <v>15864</v>
      </c>
      <c r="G1734" s="75"/>
      <c r="H1734" s="98" t="str">
        <f>HYPERLINK("http://mirror.ff7data.com.ar/ff7/data/field/flevel.lgp/elm.png","View Picture")</f>
        <v>View Picture</v>
      </c>
      <c r="K1734" s="43"/>
    </row>
    <row r="1735">
      <c r="A1735" s="40"/>
      <c r="B1735" s="33" t="s">
        <v>17520</v>
      </c>
      <c r="C1735" s="42">
        <v>249611.0</v>
      </c>
      <c r="D1735" s="33" t="s">
        <v>17522</v>
      </c>
      <c r="E1735" s="74"/>
      <c r="F1735" s="46" t="s">
        <v>15864</v>
      </c>
      <c r="G1735" s="46" t="s">
        <v>17509</v>
      </c>
      <c r="H1735" s="98" t="str">
        <f>HYPERLINK("http://mirror.ff7data.com.ar/ff7/data/field/flevel.lgp/elm_i.png","View Picture")</f>
        <v>View Picture</v>
      </c>
      <c r="K1735" s="43"/>
    </row>
    <row r="1736">
      <c r="A1736" s="40"/>
      <c r="B1736" s="33" t="s">
        <v>17532</v>
      </c>
      <c r="C1736" s="42">
        <v>338374.0</v>
      </c>
      <c r="D1736" s="33" t="s">
        <v>17533</v>
      </c>
      <c r="E1736" s="74"/>
      <c r="F1736" s="46" t="s">
        <v>15864</v>
      </c>
      <c r="G1736" s="75"/>
      <c r="H1736" s="98" t="str">
        <f>HYPERLINK("http://mirror.ff7data.com.ar/ff7/data/field/flevel.lgp/elm_wa.png","View Picture")</f>
        <v>View Picture</v>
      </c>
      <c r="K1736" s="43"/>
    </row>
    <row r="1737">
      <c r="A1737" s="82"/>
      <c r="B1737" s="33" t="s">
        <v>17543</v>
      </c>
      <c r="C1737" s="42">
        <v>252390.0</v>
      </c>
      <c r="D1737" s="33" t="s">
        <v>17544</v>
      </c>
      <c r="E1737" s="74"/>
      <c r="F1737" s="46" t="s">
        <v>15864</v>
      </c>
      <c r="G1737" s="75"/>
      <c r="H1737" s="98" t="str">
        <f>HYPERLINK("http://mirror.ff7data.com.ar/ff7/data/field/flevel.lgp/elmin1_1.png","View Picture")</f>
        <v>View Picture</v>
      </c>
      <c r="K1737" s="43"/>
    </row>
    <row r="1738">
      <c r="A1738" s="82"/>
      <c r="B1738" s="33" t="s">
        <v>17553</v>
      </c>
      <c r="C1738" s="42">
        <v>256060.0</v>
      </c>
      <c r="D1738" s="33" t="s">
        <v>17554</v>
      </c>
      <c r="E1738" s="74"/>
      <c r="F1738" s="46" t="s">
        <v>15864</v>
      </c>
      <c r="G1738" s="75"/>
      <c r="H1738" s="98" t="str">
        <f>HYPERLINK("http://mirror.ff7data.com.ar/ff7/data/field/flevel.lgp/elmin1_2.png","View Picture")</f>
        <v>View Picture</v>
      </c>
      <c r="K1738" s="43"/>
    </row>
    <row r="1739">
      <c r="A1739" s="82"/>
      <c r="B1739" s="33" t="s">
        <v>17564</v>
      </c>
      <c r="C1739" s="42">
        <v>252224.0</v>
      </c>
      <c r="D1739" s="33" t="s">
        <v>17566</v>
      </c>
      <c r="E1739" s="74"/>
      <c r="F1739" s="46" t="s">
        <v>15864</v>
      </c>
      <c r="G1739" s="75"/>
      <c r="H1739" s="98" t="str">
        <f>HYPERLINK("http://mirror.ff7data.com.ar/ff7/data/field/flevel.lgp/elmin2_1.png","View Picture")</f>
        <v>View Picture</v>
      </c>
      <c r="K1739" s="43"/>
    </row>
    <row r="1740">
      <c r="A1740" s="82"/>
      <c r="B1740" s="33" t="s">
        <v>17576</v>
      </c>
      <c r="C1740" s="42">
        <v>250837.0</v>
      </c>
      <c r="D1740" s="33" t="s">
        <v>17578</v>
      </c>
      <c r="E1740" s="74"/>
      <c r="F1740" s="46" t="s">
        <v>15864</v>
      </c>
      <c r="G1740" s="75"/>
      <c r="H1740" s="98" t="str">
        <f>HYPERLINK("http://mirror.ff7data.com.ar/ff7/data/field/flevel.lgp/elmin2_2.png","View Picture")</f>
        <v>View Picture</v>
      </c>
      <c r="K1740" s="43"/>
    </row>
    <row r="1741">
      <c r="A1741" s="82"/>
      <c r="B1741" s="33" t="s">
        <v>17585</v>
      </c>
      <c r="C1741" s="42">
        <v>328935.0</v>
      </c>
      <c r="D1741" s="33" t="s">
        <v>17587</v>
      </c>
      <c r="E1741" s="74"/>
      <c r="F1741" s="46" t="s">
        <v>15864</v>
      </c>
      <c r="G1741" s="75"/>
      <c r="H1741" s="98" t="str">
        <f>HYPERLINK("http://mirror.ff7data.com.ar/ff7/data/field/flevel.lgp/elmin3_1.png","View Picture")</f>
        <v>View Picture</v>
      </c>
      <c r="K1741" s="43"/>
    </row>
    <row r="1742">
      <c r="A1742" s="82"/>
      <c r="B1742" s="33" t="s">
        <v>17593</v>
      </c>
      <c r="C1742" s="42">
        <v>250743.0</v>
      </c>
      <c r="D1742" s="33" t="s">
        <v>17595</v>
      </c>
      <c r="E1742" s="74"/>
      <c r="F1742" s="46" t="s">
        <v>15864</v>
      </c>
      <c r="G1742" s="75"/>
      <c r="H1742" s="98" t="str">
        <f>HYPERLINK("http://mirror.ff7data.com.ar/ff7/data/field/flevel.lgp/elmin3_2.png","View Picture")</f>
        <v>View Picture</v>
      </c>
      <c r="K1742" s="43"/>
    </row>
    <row r="1743">
      <c r="A1743" s="82"/>
      <c r="B1743" s="33" t="s">
        <v>17600</v>
      </c>
      <c r="C1743" s="42">
        <v>251514.0</v>
      </c>
      <c r="D1743" s="33" t="s">
        <v>17601</v>
      </c>
      <c r="E1743" s="74"/>
      <c r="F1743" s="46" t="s">
        <v>15864</v>
      </c>
      <c r="G1743" s="75"/>
      <c r="H1743" s="98" t="str">
        <f>HYPERLINK("http://mirror.ff7data.com.ar/ff7/data/field/flevel.lgp/elmin4_1.png","View Picture")</f>
        <v>View Picture</v>
      </c>
      <c r="K1743" s="43"/>
    </row>
    <row r="1744">
      <c r="A1744" s="82"/>
      <c r="B1744" s="33" t="s">
        <v>17607</v>
      </c>
      <c r="C1744" s="42">
        <v>252252.0</v>
      </c>
      <c r="D1744" s="33" t="s">
        <v>17609</v>
      </c>
      <c r="E1744" s="74"/>
      <c r="F1744" s="46" t="s">
        <v>15864</v>
      </c>
      <c r="G1744" s="75"/>
      <c r="H1744" s="98" t="str">
        <f>HYPERLINK("http://mirror.ff7data.com.ar/ff7/data/field/flevel.lgp/elmin4_2.png","View Picture")</f>
        <v>View Picture</v>
      </c>
      <c r="K1744" s="43"/>
    </row>
    <row r="1745">
      <c r="A1745" s="82"/>
      <c r="B1745" s="33" t="s">
        <v>17615</v>
      </c>
      <c r="C1745" s="42">
        <v>251231.0</v>
      </c>
      <c r="D1745" s="33" t="s">
        <v>17617</v>
      </c>
      <c r="E1745" s="74"/>
      <c r="F1745" s="46" t="s">
        <v>15864</v>
      </c>
      <c r="G1745" s="75"/>
      <c r="H1745" s="98" t="str">
        <f>HYPERLINK("http://mirror.ff7data.com.ar/ff7/data/field/flevel.lgp/elminn_1.png","View Picture")</f>
        <v>View Picture</v>
      </c>
      <c r="K1745" s="43"/>
    </row>
    <row r="1746">
      <c r="A1746" s="82"/>
      <c r="B1746" s="33" t="s">
        <v>17624</v>
      </c>
      <c r="C1746" s="42">
        <v>335346.0</v>
      </c>
      <c r="D1746" s="33" t="s">
        <v>17626</v>
      </c>
      <c r="E1746" s="74"/>
      <c r="F1746" s="46" t="s">
        <v>15864</v>
      </c>
      <c r="G1746" s="75"/>
      <c r="H1746" s="98" t="str">
        <f>HYPERLINK("http://mirror.ff7data.com.ar/ff7/data/field/flevel.lgp/elminn_2.png","View Picture")</f>
        <v>View Picture</v>
      </c>
      <c r="K1746" s="43"/>
    </row>
    <row r="1747">
      <c r="A1747" s="40"/>
      <c r="B1747" s="33" t="s">
        <v>17634</v>
      </c>
      <c r="C1747" s="42">
        <v>413315.0</v>
      </c>
      <c r="D1747" s="33" t="s">
        <v>17637</v>
      </c>
      <c r="E1747" s="74"/>
      <c r="F1747" s="46" t="s">
        <v>15864</v>
      </c>
      <c r="G1747" s="46" t="s">
        <v>17509</v>
      </c>
      <c r="H1747" s="98" t="str">
        <f>HYPERLINK("http://mirror.ff7data.com.ar/ff7/data/field/flevel.lgp/elmpb.png","View Picture")</f>
        <v>View Picture</v>
      </c>
      <c r="K1747" s="43"/>
    </row>
    <row r="1748">
      <c r="A1748" s="82"/>
      <c r="B1748" s="33" t="s">
        <v>17645</v>
      </c>
      <c r="C1748" s="42">
        <v>173281.0</v>
      </c>
      <c r="D1748" s="33" t="s">
        <v>17647</v>
      </c>
      <c r="E1748" s="74"/>
      <c r="F1748" s="46" t="s">
        <v>15864</v>
      </c>
      <c r="G1748" s="46" t="s">
        <v>17509</v>
      </c>
      <c r="H1748" s="98" t="str">
        <f>HYPERLINK("http://mirror.ff7data.com.ar/ff7/data/field/flevel.lgp/elmtow.png","View Picture")</f>
        <v>View Picture</v>
      </c>
      <c r="K1748" s="43"/>
    </row>
    <row r="1749">
      <c r="A1749" s="40"/>
      <c r="B1749" s="33" t="s">
        <v>17655</v>
      </c>
      <c r="C1749" s="42">
        <v>427581.0</v>
      </c>
      <c r="D1749" s="33" t="s">
        <v>17657</v>
      </c>
      <c r="E1749" s="74"/>
      <c r="F1749" s="46" t="s">
        <v>15864</v>
      </c>
      <c r="G1749" s="75"/>
      <c r="H1749" s="98" t="str">
        <f>HYPERLINK("http://mirror.ff7data.com.ar/ff7/data/field/flevel.lgp/farm.png","View Picture")</f>
        <v>View Picture</v>
      </c>
      <c r="K1749" s="43"/>
    </row>
    <row r="1750">
      <c r="A1750" s="55"/>
      <c r="B1750" s="33" t="s">
        <v>17667</v>
      </c>
      <c r="C1750" s="42">
        <v>3148.0</v>
      </c>
      <c r="D1750" s="31"/>
      <c r="E1750" s="74"/>
      <c r="F1750" s="75"/>
      <c r="G1750" s="46" t="s">
        <v>17669</v>
      </c>
      <c r="H1750" s="114"/>
      <c r="K1750" s="43"/>
    </row>
    <row r="1751">
      <c r="A1751" s="21"/>
      <c r="B1751" s="33" t="s">
        <v>17673</v>
      </c>
      <c r="C1751" s="42">
        <v>450099.0</v>
      </c>
      <c r="D1751" s="33" t="s">
        <v>17675</v>
      </c>
      <c r="E1751" s="74"/>
      <c r="F1751" s="46" t="s">
        <v>15864</v>
      </c>
      <c r="G1751" s="46" t="s">
        <v>17677</v>
      </c>
      <c r="H1751" s="98" t="str">
        <f>HYPERLINK("http://mirror.ff7data.com.ar/ff7/data/field/flevel.lgp/fr_e.png","View Picture")</f>
        <v>View Picture</v>
      </c>
      <c r="K1751" s="43"/>
    </row>
    <row r="1752">
      <c r="A1752" s="40"/>
      <c r="B1752" s="33" t="s">
        <v>17686</v>
      </c>
      <c r="C1752" s="42">
        <v>470619.0</v>
      </c>
      <c r="D1752" s="33" t="s">
        <v>17688</v>
      </c>
      <c r="E1752" s="74"/>
      <c r="F1752" s="46" t="s">
        <v>15864</v>
      </c>
      <c r="G1752" s="46" t="s">
        <v>17657</v>
      </c>
      <c r="H1752" s="98" t="str">
        <f>HYPERLINK("http://mirror.ff7data.com.ar/ff7/data/field/flevel.lgp/frcyo.png","View Picture")</f>
        <v>View Picture</v>
      </c>
      <c r="K1752" s="43"/>
    </row>
    <row r="1753">
      <c r="A1753" s="40"/>
      <c r="B1753" s="33" t="s">
        <v>17700</v>
      </c>
      <c r="C1753" s="42">
        <v>334429.0</v>
      </c>
      <c r="D1753" s="33" t="s">
        <v>17702</v>
      </c>
      <c r="E1753" s="74"/>
      <c r="F1753" s="46" t="s">
        <v>15864</v>
      </c>
      <c r="G1753" s="46" t="s">
        <v>17657</v>
      </c>
      <c r="H1753" s="98" t="str">
        <f>HYPERLINK("http://mirror.ff7data.com.ar/ff7/data/field/flevel.lgp/frmin.png","View Picture")</f>
        <v>View Picture</v>
      </c>
      <c r="K1753" s="43"/>
    </row>
    <row r="1754">
      <c r="A1754" s="82"/>
      <c r="B1754" s="33" t="s">
        <v>17712</v>
      </c>
      <c r="C1754" s="42">
        <v>366604.0</v>
      </c>
      <c r="D1754" s="33" t="s">
        <v>17713</v>
      </c>
      <c r="E1754" s="74"/>
      <c r="F1754" s="46" t="s">
        <v>15864</v>
      </c>
      <c r="G1754" s="74"/>
      <c r="H1754" s="98" t="str">
        <f>HYPERLINK("http://mirror.ff7data.com.ar/ff7/data/field/flevel.lgp/fship_1.png","View Picture")</f>
        <v>View Picture</v>
      </c>
      <c r="K1754" s="43"/>
    </row>
    <row r="1755">
      <c r="A1755" s="82"/>
      <c r="B1755" s="33" t="s">
        <v>17720</v>
      </c>
      <c r="C1755" s="42">
        <v>374398.0</v>
      </c>
      <c r="D1755" s="33" t="s">
        <v>17721</v>
      </c>
      <c r="E1755" s="74"/>
      <c r="F1755" s="46" t="s">
        <v>15864</v>
      </c>
      <c r="G1755" s="46" t="s">
        <v>17713</v>
      </c>
      <c r="H1755" s="98" t="str">
        <f>HYPERLINK("http://mirror.ff7data.com.ar/ff7/data/field/flevel.lgp/fship_12.png","View Picture")</f>
        <v>View Picture</v>
      </c>
      <c r="K1755" s="43"/>
    </row>
    <row r="1756">
      <c r="A1756" s="82"/>
      <c r="B1756" s="33" t="s">
        <v>17727</v>
      </c>
      <c r="C1756" s="42">
        <v>901544.0</v>
      </c>
      <c r="D1756" s="33" t="s">
        <v>17713</v>
      </c>
      <c r="E1756" s="74"/>
      <c r="F1756" s="46" t="s">
        <v>15864</v>
      </c>
      <c r="G1756" s="46" t="s">
        <v>17729</v>
      </c>
      <c r="H1756" s="98" t="str">
        <f>HYPERLINK("http://mirror.ff7data.com.ar/ff7/data/field/flevel.lgp/fship_2.png","View Picture")</f>
        <v>View Picture</v>
      </c>
      <c r="K1756" s="43"/>
    </row>
    <row r="1757">
      <c r="A1757" s="82"/>
      <c r="B1757" s="33" t="s">
        <v>17735</v>
      </c>
      <c r="C1757" s="42">
        <v>889549.0</v>
      </c>
      <c r="D1757" s="33" t="s">
        <v>17713</v>
      </c>
      <c r="E1757" s="74"/>
      <c r="F1757" s="46" t="s">
        <v>15864</v>
      </c>
      <c r="G1757" s="75"/>
      <c r="H1757" s="98" t="str">
        <f>HYPERLINK("http://mirror.ff7data.com.ar/ff7/data/field/flevel.lgp/fship_22.png","View Picture")</f>
        <v>View Picture</v>
      </c>
      <c r="K1757" s="43"/>
    </row>
    <row r="1758">
      <c r="A1758" s="82"/>
      <c r="B1758" s="33" t="s">
        <v>17742</v>
      </c>
      <c r="C1758" s="42">
        <v>908665.0</v>
      </c>
      <c r="D1758" s="33" t="s">
        <v>17713</v>
      </c>
      <c r="E1758" s="74"/>
      <c r="F1758" s="46" t="s">
        <v>15864</v>
      </c>
      <c r="G1758" s="75"/>
      <c r="H1758" s="98" t="str">
        <f>HYPERLINK("http://mirror.ff7data.com.ar/ff7/data/field/flevel.lgp/fship_23.png","View Picture")</f>
        <v>View Picture</v>
      </c>
      <c r="K1758" s="43"/>
    </row>
    <row r="1759">
      <c r="A1759" s="82"/>
      <c r="B1759" s="33" t="s">
        <v>17755</v>
      </c>
      <c r="C1759" s="42">
        <v>896023.0</v>
      </c>
      <c r="D1759" s="33" t="s">
        <v>17757</v>
      </c>
      <c r="E1759" s="74"/>
      <c r="F1759" s="46" t="s">
        <v>15864</v>
      </c>
      <c r="G1759" s="46" t="s">
        <v>17713</v>
      </c>
      <c r="H1759" s="98" t="str">
        <f>HYPERLINK("http://mirror.ff7data.com.ar/ff7/data/field/flevel.lgp/fship_24.png","View Picture")</f>
        <v>View Picture</v>
      </c>
      <c r="K1759" s="43"/>
    </row>
    <row r="1760">
      <c r="A1760" s="82"/>
      <c r="B1760" s="33" t="s">
        <v>17770</v>
      </c>
      <c r="C1760" s="42">
        <v>926733.0</v>
      </c>
      <c r="D1760" s="33" t="s">
        <v>17713</v>
      </c>
      <c r="E1760" s="74"/>
      <c r="F1760" s="46" t="s">
        <v>15864</v>
      </c>
      <c r="G1760" s="75"/>
      <c r="H1760" s="98" t="str">
        <f>HYPERLINK("http://mirror.ff7data.com.ar/ff7/data/field/flevel.lgp/fship_25.png","View Picture")</f>
        <v>View Picture</v>
      </c>
      <c r="K1760" s="43"/>
    </row>
    <row r="1761">
      <c r="A1761" s="82"/>
      <c r="B1761" s="33" t="s">
        <v>17788</v>
      </c>
      <c r="C1761" s="42">
        <v>539706.0</v>
      </c>
      <c r="D1761" s="33" t="s">
        <v>17713</v>
      </c>
      <c r="E1761" s="74"/>
      <c r="F1761" s="46" t="s">
        <v>15864</v>
      </c>
      <c r="G1761" s="75"/>
      <c r="H1761" s="98" t="str">
        <f>HYPERLINK("http://mirror.ff7data.com.ar/ff7/data/field/flevel.lgp/fship_3.png","View Picture")</f>
        <v>View Picture</v>
      </c>
      <c r="K1761" s="43"/>
    </row>
    <row r="1762">
      <c r="A1762" s="82"/>
      <c r="B1762" s="33" t="s">
        <v>17799</v>
      </c>
      <c r="C1762" s="42">
        <v>492485.0</v>
      </c>
      <c r="D1762" s="33" t="s">
        <v>17713</v>
      </c>
      <c r="E1762" s="74"/>
      <c r="F1762" s="46" t="s">
        <v>15864</v>
      </c>
      <c r="G1762" s="75"/>
      <c r="H1762" s="98" t="str">
        <f>HYPERLINK("http://mirror.ff7data.com.ar/ff7/data/field/flevel.lgp/fship_4.png","View Picture")</f>
        <v>View Picture</v>
      </c>
      <c r="K1762" s="43"/>
    </row>
    <row r="1763">
      <c r="A1763" s="40"/>
      <c r="B1763" s="33" t="s">
        <v>17807</v>
      </c>
      <c r="C1763" s="42">
        <v>479753.0</v>
      </c>
      <c r="D1763" s="33" t="s">
        <v>17808</v>
      </c>
      <c r="E1763" s="74"/>
      <c r="F1763" s="46" t="s">
        <v>15864</v>
      </c>
      <c r="G1763" s="46" t="s">
        <v>17713</v>
      </c>
      <c r="H1763" s="98" t="str">
        <f>HYPERLINK("http://mirror.ff7data.com.ar/ff7/data/field/flevel.lgp/fship_42.png","View Picture")</f>
        <v>View Picture</v>
      </c>
      <c r="K1763" s="43"/>
    </row>
    <row r="1764">
      <c r="A1764" s="82"/>
      <c r="B1764" s="33" t="s">
        <v>17822</v>
      </c>
      <c r="C1764" s="42">
        <v>234135.0</v>
      </c>
      <c r="D1764" s="33" t="s">
        <v>17713</v>
      </c>
      <c r="E1764" s="74"/>
      <c r="F1764" s="46" t="s">
        <v>15864</v>
      </c>
      <c r="G1764" s="75"/>
      <c r="H1764" s="98" t="str">
        <f>HYPERLINK("http://mirror.ff7data.com.ar/ff7/data/field/flevel.lgp/fship_5.png","View Picture")</f>
        <v>View Picture</v>
      </c>
      <c r="K1764" s="43"/>
    </row>
    <row r="1765">
      <c r="A1765" s="82"/>
      <c r="B1765" s="33" t="s">
        <v>17837</v>
      </c>
      <c r="C1765" s="42">
        <v>757902.0</v>
      </c>
      <c r="D1765" s="33" t="s">
        <v>17839</v>
      </c>
      <c r="E1765" s="74"/>
      <c r="F1765" s="46" t="s">
        <v>15864</v>
      </c>
      <c r="G1765" s="75"/>
      <c r="H1765" s="98" t="str">
        <f>HYPERLINK("http://mirror.ff7data.com.ar/ff7/data/field/flevel.lgp/gaia_1.png","View Picture")</f>
        <v>View Picture</v>
      </c>
      <c r="K1765" s="43"/>
    </row>
    <row r="1766">
      <c r="A1766" s="82"/>
      <c r="B1766" s="33" t="s">
        <v>17853</v>
      </c>
      <c r="C1766" s="42">
        <v>762177.0</v>
      </c>
      <c r="D1766" s="33" t="s">
        <v>17839</v>
      </c>
      <c r="E1766" s="74"/>
      <c r="F1766" s="46" t="s">
        <v>15864</v>
      </c>
      <c r="G1766" s="75"/>
      <c r="H1766" s="98" t="str">
        <f>HYPERLINK("http://mirror.ff7data.com.ar/ff7/data/field/flevel.lgp/gaia_2.png","View Picture")</f>
        <v>View Picture</v>
      </c>
      <c r="K1766" s="43"/>
    </row>
    <row r="1767">
      <c r="A1767" s="82"/>
      <c r="B1767" s="33" t="s">
        <v>17868</v>
      </c>
      <c r="C1767" s="42">
        <v>681771.0</v>
      </c>
      <c r="D1767" s="33" t="s">
        <v>17839</v>
      </c>
      <c r="E1767" s="74"/>
      <c r="F1767" s="46" t="s">
        <v>15864</v>
      </c>
      <c r="G1767" s="75"/>
      <c r="H1767" s="98" t="str">
        <f>HYPERLINK("http://mirror.ff7data.com.ar/ff7/data/field/flevel.lgp/gaia_31.png","View Picture")</f>
        <v>View Picture</v>
      </c>
      <c r="K1767" s="43"/>
    </row>
    <row r="1768">
      <c r="A1768" s="82"/>
      <c r="B1768" s="33" t="s">
        <v>17883</v>
      </c>
      <c r="C1768" s="42">
        <v>167425.0</v>
      </c>
      <c r="D1768" s="33" t="s">
        <v>17839</v>
      </c>
      <c r="E1768" s="74"/>
      <c r="F1768" s="46" t="s">
        <v>15864</v>
      </c>
      <c r="G1768" s="75"/>
      <c r="H1768" s="98" t="str">
        <f>HYPERLINK("http://mirror.ff7data.com.ar/ff7/data/field/flevel.lgp/gaia_32.png","View Picture")</f>
        <v>View Picture</v>
      </c>
      <c r="K1768" s="43"/>
    </row>
    <row r="1769">
      <c r="A1769" s="40"/>
      <c r="B1769" s="33" t="s">
        <v>17894</v>
      </c>
      <c r="C1769" s="42">
        <v>335680.0</v>
      </c>
      <c r="D1769" s="33" t="s">
        <v>17895</v>
      </c>
      <c r="E1769" s="74"/>
      <c r="F1769" s="46" t="s">
        <v>15864</v>
      </c>
      <c r="G1769" s="75"/>
      <c r="H1769" s="98" t="str">
        <f>HYPERLINK("http://mirror.ff7data.com.ar/ff7/data/field/flevel.lgp/gaiafoot.png","View Picture")</f>
        <v>View Picture</v>
      </c>
      <c r="K1769" s="43"/>
    </row>
    <row r="1770">
      <c r="A1770" s="40"/>
      <c r="B1770" s="33" t="s">
        <v>17906</v>
      </c>
      <c r="C1770" s="42">
        <v>656201.0</v>
      </c>
      <c r="D1770" s="33" t="s">
        <v>17907</v>
      </c>
      <c r="E1770" s="74"/>
      <c r="F1770" s="46" t="s">
        <v>15864</v>
      </c>
      <c r="G1770" s="75"/>
      <c r="H1770" s="98" t="str">
        <f>HYPERLINK("http://mirror.ff7data.com.ar/ff7/data/field/flevel.lgp/gaiin_1.png","View Picture")</f>
        <v>View Picture</v>
      </c>
      <c r="K1770" s="43"/>
    </row>
    <row r="1771">
      <c r="A1771" s="40"/>
      <c r="B1771" s="33" t="s">
        <v>17918</v>
      </c>
      <c r="C1771" s="42">
        <v>591928.0</v>
      </c>
      <c r="D1771" s="33" t="s">
        <v>17907</v>
      </c>
      <c r="E1771" s="74"/>
      <c r="F1771" s="46" t="s">
        <v>15864</v>
      </c>
      <c r="G1771" s="75"/>
      <c r="H1771" s="98" t="str">
        <f>HYPERLINK("http://mirror.ff7data.com.ar/ff7/data/field/flevel.lgp/gaiin_2.png","View Picture")</f>
        <v>View Picture</v>
      </c>
      <c r="K1771" s="43"/>
    </row>
    <row r="1772">
      <c r="A1772" s="40"/>
      <c r="B1772" s="33" t="s">
        <v>17931</v>
      </c>
      <c r="C1772" s="42">
        <v>431354.0</v>
      </c>
      <c r="D1772" s="33" t="s">
        <v>17907</v>
      </c>
      <c r="E1772" s="74"/>
      <c r="F1772" s="46" t="s">
        <v>15864</v>
      </c>
      <c r="G1772" s="75"/>
      <c r="H1772" s="98" t="str">
        <f>HYPERLINK("http://mirror.ff7data.com.ar/ff7/data/field/flevel.lgp/gaiin_3.png","View Picture")</f>
        <v>View Picture</v>
      </c>
      <c r="K1772" s="43"/>
    </row>
    <row r="1773">
      <c r="A1773" s="40"/>
      <c r="B1773" s="33" t="s">
        <v>17942</v>
      </c>
      <c r="C1773" s="42">
        <v>758303.0</v>
      </c>
      <c r="D1773" s="33" t="s">
        <v>17907</v>
      </c>
      <c r="E1773" s="74"/>
      <c r="F1773" s="46" t="s">
        <v>15864</v>
      </c>
      <c r="G1773" s="75"/>
      <c r="H1773" s="98" t="str">
        <f>HYPERLINK("http://mirror.ff7data.com.ar/ff7/data/field/flevel.lgp/gaiin_4.png","View Picture")</f>
        <v>View Picture</v>
      </c>
      <c r="K1773" s="43"/>
    </row>
    <row r="1774">
      <c r="A1774" s="40"/>
      <c r="B1774" s="33" t="s">
        <v>17952</v>
      </c>
      <c r="C1774" s="42">
        <v>239575.0</v>
      </c>
      <c r="D1774" s="33" t="s">
        <v>17907</v>
      </c>
      <c r="E1774" s="74"/>
      <c r="F1774" s="46" t="s">
        <v>15864</v>
      </c>
      <c r="G1774" s="75"/>
      <c r="H1774" s="98" t="str">
        <f>HYPERLINK("http://mirror.ff7data.com.ar/ff7/data/field/flevel.lgp/gaiin_5.png","View Picture")</f>
        <v>View Picture</v>
      </c>
      <c r="K1774" s="43"/>
    </row>
    <row r="1775">
      <c r="A1775" s="40"/>
      <c r="B1775" s="33" t="s">
        <v>17962</v>
      </c>
      <c r="C1775" s="42">
        <v>304118.0</v>
      </c>
      <c r="D1775" s="33" t="s">
        <v>17907</v>
      </c>
      <c r="E1775" s="74"/>
      <c r="F1775" s="46" t="s">
        <v>15864</v>
      </c>
      <c r="G1775" s="75"/>
      <c r="H1775" s="98" t="str">
        <f>HYPERLINK("http://mirror.ff7data.com.ar/ff7/data/field/flevel.lgp/gaiin_6.png","View Picture")</f>
        <v>View Picture</v>
      </c>
      <c r="K1775" s="43"/>
    </row>
    <row r="1776">
      <c r="A1776" s="40"/>
      <c r="B1776" s="33" t="s">
        <v>17970</v>
      </c>
      <c r="C1776" s="42">
        <v>380820.0</v>
      </c>
      <c r="D1776" s="33" t="s">
        <v>17907</v>
      </c>
      <c r="E1776" s="74"/>
      <c r="F1776" s="46" t="s">
        <v>15864</v>
      </c>
      <c r="G1776" s="75"/>
      <c r="H1776" s="98" t="str">
        <f>HYPERLINK("http://mirror.ff7data.com.ar/ff7/data/field/flevel.lgp/gaiin_7.png","View Picture")</f>
        <v>View Picture</v>
      </c>
      <c r="K1776" s="43"/>
    </row>
    <row r="1777">
      <c r="A1777" s="40"/>
      <c r="B1777" s="33" t="s">
        <v>17977</v>
      </c>
      <c r="C1777" s="42">
        <v>600626.0</v>
      </c>
      <c r="D1777" s="33" t="s">
        <v>17978</v>
      </c>
      <c r="E1777" s="74"/>
      <c r="F1777" s="46" t="s">
        <v>15864</v>
      </c>
      <c r="G1777" s="75"/>
      <c r="H1777" s="98" t="str">
        <f>HYPERLINK("http://mirror.ff7data.com.ar/ff7/data/field/flevel.lgp/games.png","View Picture")</f>
        <v>View Picture</v>
      </c>
      <c r="K1777" s="43"/>
    </row>
    <row r="1778">
      <c r="A1778" s="40"/>
      <c r="B1778" s="33" t="s">
        <v>17991</v>
      </c>
      <c r="C1778" s="42">
        <v>588792.0</v>
      </c>
      <c r="D1778" s="33" t="s">
        <v>17993</v>
      </c>
      <c r="E1778" s="74"/>
      <c r="F1778" s="46" t="s">
        <v>15864</v>
      </c>
      <c r="G1778" s="75"/>
      <c r="H1778" s="98" t="str">
        <f>HYPERLINK("http://mirror.ff7data.com.ar/ff7/data/field/flevel.lgp/games_1.png","View Picture")</f>
        <v>View Picture</v>
      </c>
      <c r="K1778" s="43"/>
    </row>
    <row r="1779">
      <c r="A1779" s="40"/>
      <c r="B1779" s="33" t="s">
        <v>18003</v>
      </c>
      <c r="C1779" s="42">
        <v>660368.0</v>
      </c>
      <c r="D1779" s="33" t="s">
        <v>18004</v>
      </c>
      <c r="E1779" s="74"/>
      <c r="F1779" s="46" t="s">
        <v>15864</v>
      </c>
      <c r="G1779" s="75"/>
      <c r="H1779" s="98" t="str">
        <f>HYPERLINK("http://mirror.ff7data.com.ar/ff7/data/field/flevel.lgp/games_2.png","View Picture")</f>
        <v>View Picture</v>
      </c>
      <c r="K1779" s="43"/>
    </row>
    <row r="1780">
      <c r="A1780" s="40"/>
      <c r="B1780" s="33" t="s">
        <v>18017</v>
      </c>
      <c r="C1780" s="42">
        <v>572789.0</v>
      </c>
      <c r="D1780" s="33" t="s">
        <v>18019</v>
      </c>
      <c r="E1780" s="74"/>
      <c r="F1780" s="46" t="s">
        <v>15864</v>
      </c>
      <c r="G1780" s="75"/>
      <c r="H1780" s="98" t="str">
        <f>HYPERLINK("http://mirror.ff7data.com.ar/ff7/data/field/flevel.lgp/ghotel.png","View Picture")</f>
        <v>View Picture</v>
      </c>
      <c r="K1780" s="43"/>
    </row>
    <row r="1781">
      <c r="A1781" s="82"/>
      <c r="B1781" s="33" t="s">
        <v>18028</v>
      </c>
      <c r="C1781" s="42">
        <v>424558.0</v>
      </c>
      <c r="D1781" s="33" t="s">
        <v>18019</v>
      </c>
      <c r="E1781" s="74"/>
      <c r="F1781" s="46" t="s">
        <v>15864</v>
      </c>
      <c r="G1781" s="75"/>
      <c r="H1781" s="98" t="str">
        <f>HYPERLINK("http://mirror.ff7data.com.ar/ff7/data/field/flevel.lgp/ghotin_1.png","View Picture")</f>
        <v>View Picture</v>
      </c>
      <c r="K1781" s="43"/>
    </row>
    <row r="1782">
      <c r="A1782" s="82"/>
      <c r="B1782" s="33" t="s">
        <v>18037</v>
      </c>
      <c r="C1782" s="42">
        <v>241456.0</v>
      </c>
      <c r="D1782" s="33" t="s">
        <v>18019</v>
      </c>
      <c r="E1782" s="74"/>
      <c r="F1782" s="46" t="s">
        <v>15864</v>
      </c>
      <c r="G1782" s="75"/>
      <c r="H1782" s="98" t="str">
        <f>HYPERLINK("http://mirror.ff7data.com.ar/ff7/data/field/flevel.lgp/ghotin_2.png","View Picture")</f>
        <v>View Picture</v>
      </c>
      <c r="K1782" s="43"/>
    </row>
    <row r="1783">
      <c r="A1783" s="40"/>
      <c r="B1783" s="33" t="s">
        <v>18040</v>
      </c>
      <c r="C1783" s="42">
        <v>233195.0</v>
      </c>
      <c r="D1783" s="33" t="s">
        <v>18041</v>
      </c>
      <c r="E1783" s="74"/>
      <c r="F1783" s="46" t="s">
        <v>15864</v>
      </c>
      <c r="G1783" s="75"/>
      <c r="H1783" s="98" t="str">
        <f>HYPERLINK("http://mirror.ff7data.com.ar/ff7/data/field/flevel.lgp/ghotin_3.png","View Picture")</f>
        <v>View Picture</v>
      </c>
      <c r="K1783" s="43"/>
    </row>
    <row r="1784">
      <c r="A1784" s="82"/>
      <c r="B1784" s="33" t="s">
        <v>18042</v>
      </c>
      <c r="C1784" s="42">
        <v>427376.0</v>
      </c>
      <c r="D1784" s="33" t="s">
        <v>18019</v>
      </c>
      <c r="E1784" s="74"/>
      <c r="F1784" s="46" t="s">
        <v>15864</v>
      </c>
      <c r="G1784" s="75"/>
      <c r="H1784" s="98" t="str">
        <f>HYPERLINK("http://mirror.ff7data.com.ar/ff7/data/field/flevel.lgp/ghotin_4.png","View Picture")</f>
        <v>View Picture</v>
      </c>
      <c r="K1784" s="43"/>
    </row>
    <row r="1785">
      <c r="A1785" s="40"/>
      <c r="B1785" s="33" t="s">
        <v>18044</v>
      </c>
      <c r="C1785" s="42">
        <v>660605.0</v>
      </c>
      <c r="D1785" s="33" t="s">
        <v>18045</v>
      </c>
      <c r="E1785" s="74"/>
      <c r="F1785" s="46" t="s">
        <v>15864</v>
      </c>
      <c r="G1785" s="75"/>
      <c r="H1785" s="98" t="str">
        <f>HYPERLINK("http://mirror.ff7data.com.ar/ff7/data/field/flevel.lgp/gidun_1.png","View Picture")</f>
        <v>View Picture</v>
      </c>
      <c r="K1785" s="43"/>
    </row>
    <row r="1786">
      <c r="A1786" s="40"/>
      <c r="B1786" s="33" t="s">
        <v>18051</v>
      </c>
      <c r="C1786" s="42">
        <v>591846.0</v>
      </c>
      <c r="D1786" s="33" t="s">
        <v>18045</v>
      </c>
      <c r="E1786" s="74"/>
      <c r="F1786" s="46" t="s">
        <v>15864</v>
      </c>
      <c r="G1786" s="75"/>
      <c r="H1786" s="98" t="str">
        <f>HYPERLINK("http://mirror.ff7data.com.ar/ff7/data/field/flevel.lgp/gidun_2.png","View Picture")</f>
        <v>View Picture</v>
      </c>
      <c r="K1786" s="43"/>
    </row>
    <row r="1787">
      <c r="A1787" s="40"/>
      <c r="B1787" s="33" t="s">
        <v>18060</v>
      </c>
      <c r="C1787" s="42">
        <v>506149.0</v>
      </c>
      <c r="D1787" s="33" t="s">
        <v>18045</v>
      </c>
      <c r="E1787" s="74"/>
      <c r="F1787" s="46" t="s">
        <v>15864</v>
      </c>
      <c r="G1787" s="75"/>
      <c r="H1787" s="98" t="str">
        <f>HYPERLINK("http://mirror.ff7data.com.ar/ff7/data/field/flevel.lgp/gidun_3.png","View Picture")</f>
        <v>View Picture</v>
      </c>
      <c r="K1787" s="43"/>
    </row>
    <row r="1788">
      <c r="A1788" s="40"/>
      <c r="B1788" s="33" t="s">
        <v>18067</v>
      </c>
      <c r="C1788" s="42">
        <v>578219.0</v>
      </c>
      <c r="D1788" s="33" t="s">
        <v>18045</v>
      </c>
      <c r="E1788" s="74"/>
      <c r="F1788" s="46" t="s">
        <v>15864</v>
      </c>
      <c r="G1788" s="75"/>
      <c r="H1788" s="98" t="str">
        <f>HYPERLINK("http://mirror.ff7data.com.ar/ff7/data/field/flevel.lgp/gidun_4.png","View Picture")</f>
        <v>View Picture</v>
      </c>
      <c r="K1788" s="43"/>
    </row>
    <row r="1789">
      <c r="A1789" s="79"/>
      <c r="B1789" s="33" t="s">
        <v>18074</v>
      </c>
      <c r="C1789" s="42">
        <v>219980.0</v>
      </c>
      <c r="D1789" s="33" t="s">
        <v>18075</v>
      </c>
      <c r="E1789" s="74"/>
      <c r="F1789" s="46" t="s">
        <v>15864</v>
      </c>
      <c r="G1789" s="75"/>
      <c r="H1789" s="98" t="str">
        <f>HYPERLINK("http://mirror.ff7data.com.ar/ff7/data/field/flevel.lgp/gldelev.png","View Picture")</f>
        <v>View Picture</v>
      </c>
      <c r="K1789" s="43"/>
    </row>
    <row r="1790">
      <c r="A1790" s="79"/>
      <c r="B1790" s="33" t="s">
        <v>18082</v>
      </c>
      <c r="C1790" s="42">
        <v>347732.0</v>
      </c>
      <c r="D1790" s="33" t="s">
        <v>18083</v>
      </c>
      <c r="E1790" s="74"/>
      <c r="F1790" s="46" t="s">
        <v>15864</v>
      </c>
      <c r="G1790" s="75"/>
      <c r="H1790" s="98" t="str">
        <f>HYPERLINK("http://mirror.ff7data.com.ar/ff7/data/field/flevel.lgp/gldgate.png","View Picture")</f>
        <v>View Picture</v>
      </c>
      <c r="K1790" s="43"/>
    </row>
    <row r="1791">
      <c r="A1791" s="21"/>
      <c r="B1791" s="33" t="s">
        <v>18090</v>
      </c>
      <c r="C1791" s="42">
        <v>284345.0</v>
      </c>
      <c r="D1791" s="33" t="s">
        <v>18092</v>
      </c>
      <c r="E1791" s="74"/>
      <c r="F1791" s="46" t="s">
        <v>15864</v>
      </c>
      <c r="G1791" s="75"/>
      <c r="H1791" s="98" t="str">
        <f>HYPERLINK("http://mirror.ff7data.com.ar/ff7/data/field/flevel.lgp/gldinfo.png","View Picture")</f>
        <v>View Picture</v>
      </c>
      <c r="K1791" s="43"/>
    </row>
    <row r="1792">
      <c r="A1792" s="40"/>
      <c r="B1792" s="33" t="s">
        <v>18098</v>
      </c>
      <c r="C1792" s="42">
        <v>303603.0</v>
      </c>
      <c r="D1792" s="33" t="s">
        <v>18100</v>
      </c>
      <c r="E1792" s="74"/>
      <c r="F1792" s="46" t="s">
        <v>15864</v>
      </c>
      <c r="G1792" s="75"/>
      <c r="H1792" s="98" t="str">
        <f>HYPERLINK("http://mirror.ff7data.com.ar/ff7/data/field/flevel.lgp/gldst.png","View Picture")</f>
        <v>View Picture</v>
      </c>
      <c r="K1792" s="43"/>
    </row>
    <row r="1793">
      <c r="A1793" s="40"/>
      <c r="B1793" s="33" t="s">
        <v>18107</v>
      </c>
      <c r="C1793" s="42">
        <v>337239.0</v>
      </c>
      <c r="D1793" s="33" t="s">
        <v>18109</v>
      </c>
      <c r="E1793" s="74"/>
      <c r="F1793" s="46" t="s">
        <v>15864</v>
      </c>
      <c r="G1793" s="75"/>
      <c r="H1793" s="98" t="str">
        <f>HYPERLINK("http://mirror.ff7data.com.ar/ff7/data/field/flevel.lgp/gninn.png","View Picture")</f>
        <v>View Picture</v>
      </c>
      <c r="K1793" s="43"/>
    </row>
    <row r="1794">
      <c r="A1794" s="40"/>
      <c r="B1794" s="33" t="s">
        <v>18115</v>
      </c>
      <c r="C1794" s="42">
        <v>345623.0</v>
      </c>
      <c r="D1794" s="33" t="s">
        <v>18118</v>
      </c>
      <c r="E1794" s="74"/>
      <c r="F1794" s="46" t="s">
        <v>15864</v>
      </c>
      <c r="G1794" s="75"/>
      <c r="H1794" s="98" t="str">
        <f>HYPERLINK("http://mirror.ff7data.com.ar/ff7/data/field/flevel.lgp/gnmk.png","View Picture")</f>
        <v>View Picture</v>
      </c>
      <c r="K1794" s="43"/>
    </row>
    <row r="1795">
      <c r="A1795" s="79"/>
      <c r="B1795" s="33" t="s">
        <v>18123</v>
      </c>
      <c r="C1795" s="42">
        <v>195483.0</v>
      </c>
      <c r="D1795" s="33" t="s">
        <v>18125</v>
      </c>
      <c r="E1795" s="74"/>
      <c r="F1795" s="46" t="s">
        <v>15864</v>
      </c>
      <c r="G1795" s="75"/>
      <c r="H1795" s="98" t="str">
        <f>HYPERLINK("http://mirror.ff7data.com.ar/ff7/data/field/flevel.lgp/gnmkf.png","View Picture")</f>
        <v>View Picture</v>
      </c>
      <c r="K1795" s="43"/>
    </row>
    <row r="1796">
      <c r="A1796" s="40"/>
      <c r="B1796" s="33" t="s">
        <v>18132</v>
      </c>
      <c r="C1796" s="42">
        <v>187024.0</v>
      </c>
      <c r="D1796" s="33" t="s">
        <v>18133</v>
      </c>
      <c r="E1796" s="74"/>
      <c r="F1796" s="46" t="s">
        <v>15864</v>
      </c>
      <c r="G1796" s="75"/>
      <c r="H1796" s="98" t="str">
        <f>HYPERLINK("http://mirror.ff7data.com.ar/ff7/data/field/flevel.lgp/gomin.png","View Picture")</f>
        <v>View Picture</v>
      </c>
      <c r="K1796" s="43"/>
    </row>
    <row r="1797">
      <c r="A1797" s="40"/>
      <c r="B1797" s="33" t="s">
        <v>18140</v>
      </c>
      <c r="C1797" s="42">
        <v>238968.0</v>
      </c>
      <c r="D1797" s="33" t="s">
        <v>18141</v>
      </c>
      <c r="E1797" s="74"/>
      <c r="F1797" s="46" t="s">
        <v>15864</v>
      </c>
      <c r="G1797" s="75"/>
      <c r="H1797" s="98" t="str">
        <f>HYPERLINK("http://mirror.ff7data.com.ar/ff7/data/field/flevel.lgp/gon_i.png","View Picture")</f>
        <v>View Picture</v>
      </c>
      <c r="K1797" s="43"/>
    </row>
    <row r="1798">
      <c r="A1798" s="40"/>
      <c r="B1798" s="33" t="s">
        <v>18154</v>
      </c>
      <c r="C1798" s="42">
        <v>243451.0</v>
      </c>
      <c r="D1798" s="33" t="s">
        <v>18157</v>
      </c>
      <c r="E1798" s="74"/>
      <c r="F1798" s="46" t="s">
        <v>15864</v>
      </c>
      <c r="G1798" s="75"/>
      <c r="H1798" s="98" t="str">
        <f>HYPERLINK("http://mirror.ff7data.com.ar/ff7/data/field/flevel.lgp/gon_wa1.png","View Picture")</f>
        <v>View Picture</v>
      </c>
      <c r="K1798" s="43"/>
    </row>
    <row r="1799">
      <c r="A1799" s="40"/>
      <c r="B1799" s="33" t="s">
        <v>18163</v>
      </c>
      <c r="C1799" s="42">
        <v>175051.0</v>
      </c>
      <c r="D1799" s="33" t="s">
        <v>18165</v>
      </c>
      <c r="E1799" s="74"/>
      <c r="F1799" s="46" t="s">
        <v>15864</v>
      </c>
      <c r="G1799" s="75"/>
      <c r="H1799" s="98" t="str">
        <f>HYPERLINK("http://mirror.ff7data.com.ar/ff7/data/field/flevel.lgp/gon_wa2.png","View Picture")</f>
        <v>View Picture</v>
      </c>
      <c r="K1799" s="43"/>
    </row>
    <row r="1800">
      <c r="A1800" s="40"/>
      <c r="B1800" s="33" t="s">
        <v>18174</v>
      </c>
      <c r="C1800" s="42">
        <v>586310.0</v>
      </c>
      <c r="D1800" s="33" t="s">
        <v>18176</v>
      </c>
      <c r="E1800" s="74"/>
      <c r="F1800" s="46" t="s">
        <v>15864</v>
      </c>
      <c r="G1800" s="75"/>
      <c r="H1800" s="98" t="str">
        <f>HYPERLINK("http://mirror.ff7data.com.ar/ff7/data/field/flevel.lgp/gongaga.png","View Picture")</f>
        <v>View Picture</v>
      </c>
      <c r="K1800" s="43"/>
    </row>
    <row r="1801">
      <c r="A1801" s="40"/>
      <c r="B1801" s="33" t="s">
        <v>18185</v>
      </c>
      <c r="C1801" s="42">
        <v>360547.0</v>
      </c>
      <c r="D1801" s="33" t="s">
        <v>18125</v>
      </c>
      <c r="E1801" s="74"/>
      <c r="F1801" s="46" t="s">
        <v>15864</v>
      </c>
      <c r="G1801" s="75"/>
      <c r="H1801" s="98" t="str">
        <f>HYPERLINK("http://mirror.ff7data.com.ar/ff7/data/field/flevel.lgp/gonjun1.png","View Picture")</f>
        <v>View Picture</v>
      </c>
      <c r="K1801" s="43"/>
    </row>
    <row r="1802">
      <c r="A1802" s="40"/>
      <c r="B1802" s="33" t="s">
        <v>18189</v>
      </c>
      <c r="C1802" s="42">
        <v>433360.0</v>
      </c>
      <c r="D1802" s="33" t="s">
        <v>18125</v>
      </c>
      <c r="E1802" s="74"/>
      <c r="F1802" s="46" t="s">
        <v>15864</v>
      </c>
      <c r="G1802" s="75"/>
      <c r="H1802" s="98" t="str">
        <f>HYPERLINK("http://mirror.ff7data.com.ar/ff7/data/field/flevel.lgp/gonjun2.png","View Picture")</f>
        <v>View Picture</v>
      </c>
      <c r="K1802" s="43"/>
    </row>
    <row r="1803">
      <c r="A1803" s="40"/>
      <c r="B1803" s="33" t="s">
        <v>18199</v>
      </c>
      <c r="C1803" s="42">
        <v>335584.0</v>
      </c>
      <c r="D1803" s="33" t="s">
        <v>18201</v>
      </c>
      <c r="E1803" s="74"/>
      <c r="F1803" s="46" t="s">
        <v>15864</v>
      </c>
      <c r="G1803" s="75"/>
      <c r="H1803" s="98" t="str">
        <f>HYPERLINK("http://mirror.ff7data.com.ar/ff7/data/field/flevel.lgp/goson.png","View Picture")</f>
        <v>View Picture</v>
      </c>
      <c r="K1803" s="43"/>
    </row>
    <row r="1804">
      <c r="A1804" s="82"/>
      <c r="B1804" s="33" t="s">
        <v>18208</v>
      </c>
      <c r="C1804" s="42">
        <v>3308.0</v>
      </c>
      <c r="D1804" s="33" t="s">
        <v>18209</v>
      </c>
      <c r="E1804" s="74"/>
      <c r="F1804" s="46" t="s">
        <v>15864</v>
      </c>
      <c r="G1804" s="75"/>
      <c r="H1804" s="98" t="str">
        <f>HYPERLINK("http://mirror.ff7data.com.ar/ff7/data/field/flevel.lgp/hand.tex.png","View Picture")</f>
        <v>View Picture</v>
      </c>
      <c r="K1804" s="43"/>
    </row>
    <row r="1805">
      <c r="A1805" s="82"/>
      <c r="B1805" s="33" t="s">
        <v>18218</v>
      </c>
      <c r="C1805" s="42">
        <v>9452.0</v>
      </c>
      <c r="D1805" s="33" t="s">
        <v>18209</v>
      </c>
      <c r="E1805" s="74"/>
      <c r="F1805" s="46" t="s">
        <v>15864</v>
      </c>
      <c r="G1805" s="75"/>
      <c r="H1805" s="98" t="str">
        <f>HYPERLINK("http://mirror.ff7data.com.ar/ff7/data/field/flevel.lgp/hand_1.tex.png","View Picture")</f>
        <v>View Picture</v>
      </c>
      <c r="K1805" s="43"/>
    </row>
    <row r="1806">
      <c r="A1806" s="79"/>
      <c r="B1806" s="33" t="s">
        <v>18229</v>
      </c>
      <c r="C1806" s="42">
        <v>247315.0</v>
      </c>
      <c r="D1806" s="33" t="s">
        <v>18231</v>
      </c>
      <c r="E1806" s="74"/>
      <c r="F1806" s="46" t="s">
        <v>15864</v>
      </c>
      <c r="G1806" s="75"/>
      <c r="H1806" s="98" t="str">
        <f>HYPERLINK("http://mirror.ff7data.com.ar/ff7/data/field/flevel.lgp/hekiga.png","View Picture")</f>
        <v>View Picture</v>
      </c>
      <c r="K1806" s="43"/>
    </row>
    <row r="1807">
      <c r="A1807" s="40"/>
      <c r="B1807" s="33" t="s">
        <v>18237</v>
      </c>
      <c r="C1807" s="42">
        <v>81538.0</v>
      </c>
      <c r="D1807" s="33" t="s">
        <v>18238</v>
      </c>
      <c r="E1807" s="74"/>
      <c r="F1807" s="46" t="s">
        <v>15864</v>
      </c>
      <c r="G1807" s="75"/>
      <c r="H1807" s="98" t="str">
        <f>HYPERLINK("http://mirror.ff7data.com.ar/ff7/data/field/flevel.lgp/hideway1.png","View Picture")</f>
        <v>View Picture</v>
      </c>
      <c r="K1807" s="43"/>
    </row>
    <row r="1808">
      <c r="A1808" s="40"/>
      <c r="B1808" s="33" t="s">
        <v>18244</v>
      </c>
      <c r="C1808" s="42">
        <v>80438.0</v>
      </c>
      <c r="D1808" s="33" t="s">
        <v>18238</v>
      </c>
      <c r="E1808" s="74"/>
      <c r="F1808" s="46" t="s">
        <v>15864</v>
      </c>
      <c r="G1808" s="75"/>
      <c r="H1808" s="98" t="str">
        <f>HYPERLINK("http://mirror.ff7data.com.ar/ff7/data/field/flevel.lgp/hideway2.png","View Picture")</f>
        <v>View Picture</v>
      </c>
      <c r="K1808" s="43"/>
    </row>
    <row r="1809">
      <c r="A1809" s="40"/>
      <c r="B1809" s="33" t="s">
        <v>18250</v>
      </c>
      <c r="C1809" s="42">
        <v>87039.0</v>
      </c>
      <c r="D1809" s="33" t="s">
        <v>18238</v>
      </c>
      <c r="E1809" s="74"/>
      <c r="F1809" s="46" t="s">
        <v>15864</v>
      </c>
      <c r="G1809" s="75"/>
      <c r="H1809" s="98" t="str">
        <f>HYPERLINK("http://mirror.ff7data.com.ar/ff7/data/field/flevel.lgp/hideway3.png","View Picture")</f>
        <v>View Picture</v>
      </c>
      <c r="K1809" s="43"/>
    </row>
    <row r="1810">
      <c r="A1810" s="82"/>
      <c r="B1810" s="33" t="s">
        <v>18258</v>
      </c>
      <c r="C1810" s="42">
        <v>450685.0</v>
      </c>
      <c r="D1810" s="33" t="s">
        <v>18259</v>
      </c>
      <c r="E1810" s="74"/>
      <c r="F1810" s="46" t="s">
        <v>15864</v>
      </c>
      <c r="G1810" s="75"/>
      <c r="H1810" s="98" t="str">
        <f>HYPERLINK("http://mirror.ff7data.com.ar/ff7/data/field/flevel.lgp/hill.png","View Picture")</f>
        <v>View Picture</v>
      </c>
      <c r="K1810" s="43"/>
    </row>
    <row r="1811">
      <c r="A1811" s="82"/>
      <c r="B1811" s="33" t="s">
        <v>18266</v>
      </c>
      <c r="C1811" s="42">
        <v>449429.0</v>
      </c>
      <c r="D1811" s="33" t="s">
        <v>18259</v>
      </c>
      <c r="E1811" s="74"/>
      <c r="F1811" s="46" t="s">
        <v>15864</v>
      </c>
      <c r="G1811" s="75"/>
      <c r="H1811" s="98" t="str">
        <f>HYPERLINK("http://mirror.ff7data.com.ar/ff7/data/field/flevel.lgp/hill2.png","View Picture")</f>
        <v>View Picture</v>
      </c>
      <c r="K1811" s="43"/>
    </row>
    <row r="1812">
      <c r="A1812" s="40"/>
      <c r="B1812" s="33" t="s">
        <v>18273</v>
      </c>
      <c r="C1812" s="42">
        <v>235364.0</v>
      </c>
      <c r="D1812" s="33" t="s">
        <v>17895</v>
      </c>
      <c r="E1812" s="74"/>
      <c r="F1812" s="46" t="s">
        <v>15864</v>
      </c>
      <c r="G1812" s="75"/>
      <c r="H1812" s="98" t="str">
        <f>HYPERLINK("http://mirror.ff7data.com.ar/ff7/data/field/flevel.lgp/holu_1.png","View Picture")</f>
        <v>View Picture</v>
      </c>
      <c r="K1812" s="43"/>
    </row>
    <row r="1813">
      <c r="A1813" s="40"/>
      <c r="B1813" s="33" t="s">
        <v>18281</v>
      </c>
      <c r="C1813" s="42">
        <v>246841.0</v>
      </c>
      <c r="D1813" s="33" t="s">
        <v>17895</v>
      </c>
      <c r="E1813" s="74"/>
      <c r="F1813" s="46" t="s">
        <v>15864</v>
      </c>
      <c r="G1813" s="75"/>
      <c r="H1813" s="98" t="str">
        <f>HYPERLINK("http://mirror.ff7data.com.ar/ff7/data/field/flevel.lgp/holu_2.png","View Picture")</f>
        <v>View Picture</v>
      </c>
      <c r="K1813" s="43"/>
    </row>
    <row r="1814">
      <c r="A1814" s="82"/>
      <c r="B1814" s="33" t="s">
        <v>18290</v>
      </c>
      <c r="C1814" s="42">
        <v>316280.0</v>
      </c>
      <c r="D1814" s="33" t="s">
        <v>18292</v>
      </c>
      <c r="E1814" s="74"/>
      <c r="F1814" s="46" t="s">
        <v>15864</v>
      </c>
      <c r="G1814" s="46" t="s">
        <v>18294</v>
      </c>
      <c r="H1814" s="98" t="str">
        <f>HYPERLINK("http://mirror.ff7data.com.ar/ff7/data/field/flevel.lgp/hyou1.png","View Picture")</f>
        <v>View Picture</v>
      </c>
      <c r="K1814" s="43"/>
    </row>
    <row r="1815">
      <c r="A1815" s="82"/>
      <c r="B1815" s="33" t="s">
        <v>18302</v>
      </c>
      <c r="C1815" s="42">
        <v>817869.0</v>
      </c>
      <c r="D1815" s="33" t="s">
        <v>18292</v>
      </c>
      <c r="E1815" s="74"/>
      <c r="F1815" s="46" t="s">
        <v>15864</v>
      </c>
      <c r="G1815" s="75"/>
      <c r="H1815" s="98" t="str">
        <f>HYPERLINK("http://mirror.ff7data.com.ar/ff7/data/field/flevel.lgp/hyou2.png","View Picture")</f>
        <v>View Picture</v>
      </c>
      <c r="K1815" s="43"/>
    </row>
    <row r="1816">
      <c r="A1816" s="82"/>
      <c r="B1816" s="33" t="s">
        <v>18317</v>
      </c>
      <c r="C1816" s="42">
        <v>311298.0</v>
      </c>
      <c r="D1816" s="33" t="s">
        <v>18292</v>
      </c>
      <c r="E1816" s="74"/>
      <c r="F1816" s="46" t="s">
        <v>15864</v>
      </c>
      <c r="G1816" s="75"/>
      <c r="H1816" s="98" t="str">
        <f>HYPERLINK("http://mirror.ff7data.com.ar/ff7/data/field/flevel.lgp/hyou3.png","View Picture")</f>
        <v>View Picture</v>
      </c>
      <c r="K1816" s="43"/>
    </row>
    <row r="1817">
      <c r="A1817" s="82"/>
      <c r="B1817" s="33" t="s">
        <v>18327</v>
      </c>
      <c r="C1817" s="42">
        <v>493720.0</v>
      </c>
      <c r="D1817" s="33" t="s">
        <v>18292</v>
      </c>
      <c r="E1817" s="74"/>
      <c r="F1817" s="46" t="s">
        <v>15864</v>
      </c>
      <c r="G1817" s="75"/>
      <c r="H1817" s="98" t="str">
        <f>HYPERLINK("http://mirror.ff7data.com.ar/ff7/data/field/flevel.lgp/hyou4.png","View Picture")</f>
        <v>View Picture</v>
      </c>
      <c r="K1817" s="43"/>
    </row>
    <row r="1818">
      <c r="A1818" s="82"/>
      <c r="B1818" s="33" t="s">
        <v>18341</v>
      </c>
      <c r="C1818" s="42">
        <v>481724.0</v>
      </c>
      <c r="D1818" s="33" t="s">
        <v>18342</v>
      </c>
      <c r="E1818" s="74"/>
      <c r="F1818" s="46" t="s">
        <v>15864</v>
      </c>
      <c r="G1818" s="75"/>
      <c r="H1818" s="98" t="str">
        <f>HYPERLINK("http://mirror.ff7data.com.ar/ff7/data/field/flevel.lgp/hyou5_1.png","View Picture")</f>
        <v>View Picture</v>
      </c>
      <c r="K1818" s="43"/>
    </row>
    <row r="1819">
      <c r="A1819" s="82"/>
      <c r="B1819" s="33" t="s">
        <v>18354</v>
      </c>
      <c r="C1819" s="42">
        <v>896585.0</v>
      </c>
      <c r="D1819" s="33" t="s">
        <v>18357</v>
      </c>
      <c r="E1819" s="74"/>
      <c r="F1819" s="46" t="s">
        <v>15864</v>
      </c>
      <c r="G1819" s="75"/>
      <c r="H1819" s="98" t="str">
        <f>HYPERLINK("http://mirror.ff7data.com.ar/ff7/data/field/flevel.lgp/hyou5_2.png","View Picture")</f>
        <v>View Picture</v>
      </c>
      <c r="K1819" s="43"/>
    </row>
    <row r="1820">
      <c r="A1820" s="79"/>
      <c r="B1820" s="33" t="s">
        <v>18371</v>
      </c>
      <c r="C1820" s="42">
        <v>407846.0</v>
      </c>
      <c r="D1820" s="33" t="s">
        <v>18373</v>
      </c>
      <c r="E1820" s="74"/>
      <c r="F1820" s="46" t="s">
        <v>15864</v>
      </c>
      <c r="G1820" s="75"/>
      <c r="H1820" s="98" t="str">
        <f>HYPERLINK("http://mirror.ff7data.com.ar/ff7/data/field/flevel.lgp/hyou5_3.png","View Picture")</f>
        <v>View Picture</v>
      </c>
      <c r="K1820" s="43"/>
    </row>
    <row r="1821">
      <c r="A1821" s="82"/>
      <c r="B1821" s="33" t="s">
        <v>18383</v>
      </c>
      <c r="C1821" s="42">
        <v>401498.0</v>
      </c>
      <c r="D1821" s="33" t="s">
        <v>18292</v>
      </c>
      <c r="E1821" s="74"/>
      <c r="F1821" s="46" t="s">
        <v>15864</v>
      </c>
      <c r="G1821" s="75"/>
      <c r="H1821" s="98" t="str">
        <f>HYPERLINK("http://mirror.ff7data.com.ar/ff7/data/field/flevel.lgp/hyou5_4.png","View Picture")</f>
        <v>View Picture</v>
      </c>
      <c r="K1821" s="43"/>
    </row>
    <row r="1822">
      <c r="A1822" s="82"/>
      <c r="B1822" s="33" t="s">
        <v>18392</v>
      </c>
      <c r="C1822" s="42">
        <v>316280.0</v>
      </c>
      <c r="D1822" s="33" t="s">
        <v>18292</v>
      </c>
      <c r="E1822" s="74"/>
      <c r="F1822" s="46" t="s">
        <v>15864</v>
      </c>
      <c r="G1822" s="75"/>
      <c r="H1822" s="98" t="str">
        <f>HYPERLINK("http://mirror.ff7data.com.ar/ff7/data/field/flevel.lgp/hyou6.png","View Picture")</f>
        <v>View Picture</v>
      </c>
      <c r="K1822" s="43"/>
    </row>
    <row r="1823">
      <c r="A1823" s="82"/>
      <c r="B1823" s="33" t="s">
        <v>18404</v>
      </c>
      <c r="C1823" s="42">
        <v>325728.0</v>
      </c>
      <c r="D1823" s="33" t="s">
        <v>18292</v>
      </c>
      <c r="E1823" s="74"/>
      <c r="F1823" s="46" t="s">
        <v>15864</v>
      </c>
      <c r="G1823" s="75"/>
      <c r="H1823" s="98" t="str">
        <f>HYPERLINK("http://mirror.ff7data.com.ar/ff7/data/field/flevel.lgp/hyou7.png","View Picture")</f>
        <v>View Picture</v>
      </c>
      <c r="K1823" s="43"/>
    </row>
    <row r="1824">
      <c r="A1824" s="82"/>
      <c r="B1824" s="33" t="s">
        <v>18415</v>
      </c>
      <c r="C1824" s="42">
        <v>561924.0</v>
      </c>
      <c r="D1824" s="33" t="s">
        <v>18292</v>
      </c>
      <c r="E1824" s="74"/>
      <c r="F1824" s="46" t="s">
        <v>15864</v>
      </c>
      <c r="G1824" s="75"/>
      <c r="H1824" s="98" t="str">
        <f>HYPERLINK("http://mirror.ff7data.com.ar/ff7/data/field/flevel.lgp/hyou8_1.png","View Picture")</f>
        <v>View Picture</v>
      </c>
      <c r="K1824" s="43"/>
    </row>
    <row r="1825">
      <c r="A1825" s="79"/>
      <c r="B1825" s="33" t="s">
        <v>18424</v>
      </c>
      <c r="C1825" s="42">
        <v>246234.0</v>
      </c>
      <c r="D1825" s="33" t="s">
        <v>18373</v>
      </c>
      <c r="E1825" s="74"/>
      <c r="F1825" s="46" t="s">
        <v>15864</v>
      </c>
      <c r="G1825" s="75"/>
      <c r="H1825" s="98" t="str">
        <f>HYPERLINK("http://mirror.ff7data.com.ar/ff7/data/field/flevel.lgp/hyou8_2.png","View Picture")</f>
        <v>View Picture</v>
      </c>
      <c r="K1825" s="43"/>
    </row>
    <row r="1826">
      <c r="A1826" s="82"/>
      <c r="B1826" s="33" t="s">
        <v>18432</v>
      </c>
      <c r="C1826" s="42">
        <v>314304.0</v>
      </c>
      <c r="D1826" s="33" t="s">
        <v>18292</v>
      </c>
      <c r="E1826" s="74"/>
      <c r="F1826" s="46" t="s">
        <v>15864</v>
      </c>
      <c r="G1826" s="75"/>
      <c r="H1826" s="98" t="str">
        <f>HYPERLINK("http://mirror.ff7data.com.ar/ff7/data/field/flevel.lgp/hyou9.png","View Picture")</f>
        <v>View Picture</v>
      </c>
      <c r="K1826" s="43"/>
    </row>
    <row r="1827">
      <c r="A1827" s="82"/>
      <c r="B1827" s="33" t="s">
        <v>18440</v>
      </c>
      <c r="C1827" s="42">
        <v>729325.0</v>
      </c>
      <c r="D1827" s="33" t="s">
        <v>18292</v>
      </c>
      <c r="E1827" s="74"/>
      <c r="F1827" s="46" t="s">
        <v>15864</v>
      </c>
      <c r="G1827" s="75"/>
      <c r="H1827" s="98" t="str">
        <f>HYPERLINK("http://mirror.ff7data.com.ar/ff7/data/field/flevel.lgp/hyou10.png","View Picture")</f>
        <v>View Picture</v>
      </c>
      <c r="K1827" s="43"/>
    </row>
    <row r="1828">
      <c r="A1828" s="82"/>
      <c r="B1828" s="33" t="s">
        <v>18445</v>
      </c>
      <c r="C1828" s="42">
        <v>314823.0</v>
      </c>
      <c r="D1828" s="33" t="s">
        <v>18292</v>
      </c>
      <c r="E1828" s="74"/>
      <c r="F1828" s="46" t="s">
        <v>15864</v>
      </c>
      <c r="G1828" s="75"/>
      <c r="H1828" s="98" t="str">
        <f>HYPERLINK("http://mirror.ff7data.com.ar/ff7/data/field/flevel.lgp/hyou11.png","View Picture")</f>
        <v>View Picture</v>
      </c>
      <c r="K1828" s="43"/>
    </row>
    <row r="1829">
      <c r="A1829" s="79"/>
      <c r="B1829" s="33" t="s">
        <v>18451</v>
      </c>
      <c r="C1829" s="42">
        <v>239483.0</v>
      </c>
      <c r="D1829" s="33" t="s">
        <v>18373</v>
      </c>
      <c r="E1829" s="74"/>
      <c r="F1829" s="46" t="s">
        <v>15864</v>
      </c>
      <c r="G1829" s="75"/>
      <c r="H1829" s="98" t="str">
        <f>HYPERLINK("http://mirror.ff7data.com.ar/ff7/data/field/flevel.lgp/hyou12.png","View Picture")</f>
        <v>View Picture</v>
      </c>
      <c r="K1829" s="43"/>
    </row>
    <row r="1830">
      <c r="A1830" s="82"/>
      <c r="B1830" s="33" t="s">
        <v>18461</v>
      </c>
      <c r="C1830" s="42">
        <v>414343.0</v>
      </c>
      <c r="D1830" s="33" t="s">
        <v>18292</v>
      </c>
      <c r="E1830" s="74"/>
      <c r="F1830" s="46" t="s">
        <v>15864</v>
      </c>
      <c r="G1830" s="75"/>
      <c r="H1830" s="98" t="str">
        <f>HYPERLINK("http://mirror.ff7data.com.ar/ff7/data/field/flevel.lgp/hyou13_1.png","View Picture")</f>
        <v>View Picture</v>
      </c>
      <c r="K1830" s="43"/>
    </row>
    <row r="1831">
      <c r="A1831" s="79"/>
      <c r="B1831" s="33" t="s">
        <v>18468</v>
      </c>
      <c r="C1831" s="42">
        <v>247604.0</v>
      </c>
      <c r="D1831" s="33" t="s">
        <v>18373</v>
      </c>
      <c r="E1831" s="74"/>
      <c r="F1831" s="46" t="s">
        <v>15864</v>
      </c>
      <c r="G1831" s="75"/>
      <c r="H1831" s="98" t="str">
        <f>HYPERLINK("http://mirror.ff7data.com.ar/ff7/data/field/flevel.lgp/hyou13_2.png","View Picture")</f>
        <v>View Picture</v>
      </c>
      <c r="K1831" s="43"/>
    </row>
    <row r="1832">
      <c r="A1832" s="21"/>
      <c r="B1832" s="33" t="s">
        <v>18477</v>
      </c>
      <c r="C1832" s="42">
        <v>290417.0</v>
      </c>
      <c r="D1832" s="33" t="s">
        <v>18478</v>
      </c>
      <c r="E1832" s="74"/>
      <c r="F1832" s="46" t="s">
        <v>15864</v>
      </c>
      <c r="G1832" s="75"/>
      <c r="H1832" s="98" t="str">
        <f>HYPERLINK("http://mirror.ff7data.com.ar/ff7/data/field/flevel.lgp/hyoumap.png","View Picture")</f>
        <v>View Picture</v>
      </c>
      <c r="K1832" s="43"/>
    </row>
    <row r="1833">
      <c r="A1833" s="79"/>
      <c r="B1833" s="33" t="s">
        <v>18488</v>
      </c>
      <c r="C1833" s="42">
        <v>500819.0</v>
      </c>
      <c r="D1833" s="33" t="s">
        <v>18490</v>
      </c>
      <c r="E1833" s="74"/>
      <c r="F1833" s="46" t="s">
        <v>15864</v>
      </c>
      <c r="G1833" s="75"/>
      <c r="H1833" s="98" t="str">
        <f>HYPERLINK("http://mirror.ff7data.com.ar/ff7/data/field/flevel.lgp/icedun_1.png","View Picture")</f>
        <v>View Picture</v>
      </c>
      <c r="K1833" s="43"/>
    </row>
    <row r="1834">
      <c r="A1834" s="79"/>
      <c r="B1834" s="33" t="s">
        <v>18497</v>
      </c>
      <c r="C1834" s="42">
        <v>655977.0</v>
      </c>
      <c r="D1834" s="33" t="s">
        <v>18490</v>
      </c>
      <c r="E1834" s="74"/>
      <c r="F1834" s="46" t="s">
        <v>15864</v>
      </c>
      <c r="G1834" s="75"/>
      <c r="H1834" s="98" t="str">
        <f>HYPERLINK("http://mirror.ff7data.com.ar/ff7/data/field/flevel.lgp/icedun_2.png","View Picture")</f>
        <v>View Picture</v>
      </c>
      <c r="K1834" s="43"/>
    </row>
    <row r="1835">
      <c r="A1835" s="40"/>
      <c r="B1835" s="33" t="s">
        <v>18505</v>
      </c>
      <c r="C1835" s="42">
        <v>338730.0</v>
      </c>
      <c r="D1835" s="33" t="s">
        <v>18506</v>
      </c>
      <c r="E1835" s="74"/>
      <c r="F1835" s="46" t="s">
        <v>15864</v>
      </c>
      <c r="G1835" s="75"/>
      <c r="H1835" s="98" t="str">
        <f>HYPERLINK("http://mirror.ff7data.com.ar/ff7/data/field/flevel.lgp/ithill.png","View Picture")</f>
        <v>View Picture</v>
      </c>
      <c r="K1835" s="43"/>
    </row>
    <row r="1836">
      <c r="A1836" s="40"/>
      <c r="B1836" s="33" t="s">
        <v>18513</v>
      </c>
      <c r="C1836" s="42">
        <v>341191.0</v>
      </c>
      <c r="D1836" s="33" t="s">
        <v>18515</v>
      </c>
      <c r="E1836" s="74"/>
      <c r="F1836" s="46" t="s">
        <v>15864</v>
      </c>
      <c r="G1836" s="75"/>
      <c r="H1836" s="98" t="str">
        <f>HYPERLINK("http://mirror.ff7data.com.ar/ff7/data/field/flevel.lgp/ithos.png","View Picture")</f>
        <v>View Picture</v>
      </c>
      <c r="K1836" s="43"/>
    </row>
    <row r="1837">
      <c r="A1837" s="40"/>
      <c r="B1837" s="33" t="s">
        <v>18523</v>
      </c>
      <c r="C1837" s="42">
        <v>244284.0</v>
      </c>
      <c r="D1837" s="33" t="s">
        <v>18525</v>
      </c>
      <c r="E1837" s="74"/>
      <c r="F1837" s="46" t="s">
        <v>15864</v>
      </c>
      <c r="G1837" s="75"/>
      <c r="H1837" s="98" t="str">
        <f>HYPERLINK("http://mirror.ff7data.com.ar/ff7/data/field/flevel.lgp/itmin1.png","View Picture")</f>
        <v>View Picture</v>
      </c>
      <c r="K1837" s="43"/>
    </row>
    <row r="1838">
      <c r="A1838" s="40"/>
      <c r="B1838" s="33" t="s">
        <v>18532</v>
      </c>
      <c r="C1838" s="42">
        <v>245419.0</v>
      </c>
      <c r="D1838" s="33" t="s">
        <v>18533</v>
      </c>
      <c r="E1838" s="74"/>
      <c r="F1838" s="46" t="s">
        <v>15864</v>
      </c>
      <c r="G1838" s="75"/>
      <c r="H1838" s="98" t="str">
        <f>HYPERLINK("http://mirror.ff7data.com.ar/ff7/data/field/flevel.lgp/itmin2.png","View Picture")</f>
        <v>View Picture</v>
      </c>
      <c r="K1838" s="43"/>
    </row>
    <row r="1839">
      <c r="A1839" s="40"/>
      <c r="B1839" s="33" t="s">
        <v>18540</v>
      </c>
      <c r="C1839" s="42">
        <v>252080.0</v>
      </c>
      <c r="D1839" s="33" t="s">
        <v>18542</v>
      </c>
      <c r="E1839" s="74"/>
      <c r="F1839" s="46" t="s">
        <v>15864</v>
      </c>
      <c r="G1839" s="75"/>
      <c r="H1839" s="98" t="str">
        <f>HYPERLINK("http://mirror.ff7data.com.ar/ff7/data/field/flevel.lgp/itown_i.png","View Picture")</f>
        <v>View Picture</v>
      </c>
      <c r="K1839" s="43"/>
    </row>
    <row r="1840">
      <c r="A1840" s="40"/>
      <c r="B1840" s="33" t="s">
        <v>18551</v>
      </c>
      <c r="C1840" s="42">
        <v>245631.0</v>
      </c>
      <c r="D1840" s="33" t="s">
        <v>18553</v>
      </c>
      <c r="E1840" s="74"/>
      <c r="F1840" s="46" t="s">
        <v>15864</v>
      </c>
      <c r="G1840" s="75"/>
      <c r="H1840" s="98" t="str">
        <f>HYPERLINK("http://mirror.ff7data.com.ar/ff7/data/field/flevel.lgp/itown_m.png","View Picture")</f>
        <v>View Picture</v>
      </c>
      <c r="K1840" s="43"/>
    </row>
    <row r="1841">
      <c r="A1841" s="40"/>
      <c r="B1841" s="33" t="s">
        <v>18567</v>
      </c>
      <c r="C1841" s="42">
        <v>251199.0</v>
      </c>
      <c r="D1841" s="33" t="s">
        <v>18569</v>
      </c>
      <c r="E1841" s="74"/>
      <c r="F1841" s="46" t="s">
        <v>15864</v>
      </c>
      <c r="G1841" s="75"/>
      <c r="H1841" s="98" t="str">
        <f>HYPERLINK("http://mirror.ff7data.com.ar/ff7/data/field/flevel.lgp/itown_w.png","View Picture")</f>
        <v>View Picture</v>
      </c>
      <c r="K1841" s="43"/>
    </row>
    <row r="1842">
      <c r="A1842" s="79"/>
      <c r="B1842" s="33" t="s">
        <v>18582</v>
      </c>
      <c r="C1842" s="42">
        <v>594404.0</v>
      </c>
      <c r="D1842" s="33" t="s">
        <v>18584</v>
      </c>
      <c r="E1842" s="74"/>
      <c r="F1842" s="46" t="s">
        <v>15864</v>
      </c>
      <c r="G1842" s="75"/>
      <c r="H1842" s="98" t="str">
        <f>HYPERLINK("http://mirror.ff7data.com.ar/ff7/data/field/flevel.lgp/itown12.png","View Picture")</f>
        <v>View Picture</v>
      </c>
      <c r="K1842" s="43"/>
    </row>
    <row r="1843">
      <c r="A1843" s="40"/>
      <c r="B1843" s="33" t="s">
        <v>18594</v>
      </c>
      <c r="C1843" s="42">
        <v>603410.0</v>
      </c>
      <c r="D1843" s="33" t="s">
        <v>18584</v>
      </c>
      <c r="E1843" s="74"/>
      <c r="F1843" s="46" t="s">
        <v>15864</v>
      </c>
      <c r="G1843" s="75"/>
      <c r="H1843" s="98" t="str">
        <f>HYPERLINK("http://mirror.ff7data.com.ar/ff7/data/field/flevel.lgp/itown1a.png","View Picture")</f>
        <v>View Picture</v>
      </c>
      <c r="K1843" s="43"/>
    </row>
    <row r="1844">
      <c r="A1844" s="40"/>
      <c r="B1844" s="33" t="s">
        <v>18604</v>
      </c>
      <c r="C1844" s="42">
        <v>662433.0</v>
      </c>
      <c r="D1844" s="33" t="s">
        <v>18605</v>
      </c>
      <c r="E1844" s="74"/>
      <c r="F1844" s="46" t="s">
        <v>15864</v>
      </c>
      <c r="G1844" s="75"/>
      <c r="H1844" s="98" t="str">
        <f>HYPERLINK("http://mirror.ff7data.com.ar/ff7/data/field/flevel.lgp/itown1b.png","View Picture")</f>
        <v>View Picture</v>
      </c>
      <c r="K1844" s="43"/>
    </row>
    <row r="1845">
      <c r="A1845" s="82"/>
      <c r="B1845" s="33" t="s">
        <v>18615</v>
      </c>
      <c r="C1845" s="42">
        <v>326043.0</v>
      </c>
      <c r="D1845" s="33" t="s">
        <v>18584</v>
      </c>
      <c r="E1845" s="74"/>
      <c r="F1845" s="46" t="s">
        <v>15864</v>
      </c>
      <c r="G1845" s="75"/>
      <c r="H1845" s="98" t="str">
        <f>HYPERLINK("http://mirror.ff7data.com.ar/ff7/data/field/flevel.lgp/itown2.png","View Picture")</f>
        <v>View Picture</v>
      </c>
      <c r="K1845" s="43"/>
    </row>
    <row r="1846">
      <c r="A1846" s="40"/>
      <c r="B1846" s="33" t="s">
        <v>18626</v>
      </c>
      <c r="C1846" s="42">
        <v>602854.0</v>
      </c>
      <c r="D1846" s="33" t="s">
        <v>18628</v>
      </c>
      <c r="E1846" s="74"/>
      <c r="F1846" s="46" t="s">
        <v>15864</v>
      </c>
      <c r="G1846" s="75"/>
      <c r="H1846" s="98" t="str">
        <f>HYPERLINK("http://mirror.ff7data.com.ar/ff7/data/field/flevel.lgp/jail1.png","View Picture")</f>
        <v>View Picture</v>
      </c>
      <c r="K1846" s="43"/>
    </row>
    <row r="1847">
      <c r="A1847" s="40"/>
      <c r="B1847" s="33" t="s">
        <v>18637</v>
      </c>
      <c r="C1847" s="42">
        <v>664363.0</v>
      </c>
      <c r="D1847" s="33" t="s">
        <v>18628</v>
      </c>
      <c r="E1847" s="74"/>
      <c r="F1847" s="46" t="s">
        <v>15864</v>
      </c>
      <c r="G1847" s="75"/>
      <c r="H1847" s="98" t="str">
        <f>HYPERLINK("http://mirror.ff7data.com.ar/ff7/data/field/flevel.lgp/jail2.png","View Picture")</f>
        <v>View Picture</v>
      </c>
      <c r="K1847" s="43"/>
    </row>
    <row r="1848">
      <c r="A1848" s="40"/>
      <c r="B1848" s="33" t="s">
        <v>18648</v>
      </c>
      <c r="C1848" s="42">
        <v>501373.0</v>
      </c>
      <c r="D1848" s="33" t="s">
        <v>18628</v>
      </c>
      <c r="E1848" s="74"/>
      <c r="F1848" s="46" t="s">
        <v>15864</v>
      </c>
      <c r="G1848" s="75"/>
      <c r="H1848" s="98" t="str">
        <f>HYPERLINK("http://mirror.ff7data.com.ar/ff7/data/field/flevel.lgp/jail3.png","View Picture")</f>
        <v>View Picture</v>
      </c>
      <c r="K1848" s="43"/>
    </row>
    <row r="1849">
      <c r="A1849" s="40"/>
      <c r="B1849" s="33" t="s">
        <v>18657</v>
      </c>
      <c r="C1849" s="42">
        <v>500258.0</v>
      </c>
      <c r="D1849" s="33" t="s">
        <v>18628</v>
      </c>
      <c r="E1849" s="74"/>
      <c r="F1849" s="46" t="s">
        <v>15864</v>
      </c>
      <c r="G1849" s="75"/>
      <c r="H1849" s="98" t="str">
        <f>HYPERLINK("http://mirror.ff7data.com.ar/ff7/data/field/flevel.lgp/jail4.png","View Picture")</f>
        <v>View Picture</v>
      </c>
      <c r="K1849" s="43"/>
    </row>
    <row r="1850">
      <c r="A1850" s="40"/>
      <c r="B1850" s="33" t="s">
        <v>18667</v>
      </c>
      <c r="C1850" s="42">
        <v>239800.0</v>
      </c>
      <c r="D1850" s="33" t="s">
        <v>18668</v>
      </c>
      <c r="E1850" s="74"/>
      <c r="F1850" s="46" t="s">
        <v>15864</v>
      </c>
      <c r="G1850" s="75"/>
      <c r="H1850" s="98" t="str">
        <f>HYPERLINK("http://mirror.ff7data.com.ar/ff7/data/field/flevel.lgp/jailin1.png","View Picture")</f>
        <v>View Picture</v>
      </c>
      <c r="K1850" s="43"/>
    </row>
    <row r="1851">
      <c r="A1851" s="40"/>
      <c r="B1851" s="33" t="s">
        <v>18679</v>
      </c>
      <c r="C1851" s="42">
        <v>161535.0</v>
      </c>
      <c r="D1851" s="33" t="s">
        <v>18681</v>
      </c>
      <c r="E1851" s="74"/>
      <c r="F1851" s="46" t="s">
        <v>15864</v>
      </c>
      <c r="G1851" s="75"/>
      <c r="H1851" s="98" t="str">
        <f>HYPERLINK("http://mirror.ff7data.com.ar/ff7/data/field/flevel.lgp/jailin2.png","View Picture")</f>
        <v>View Picture</v>
      </c>
      <c r="K1851" s="43"/>
    </row>
    <row r="1852">
      <c r="A1852" s="82"/>
      <c r="B1852" s="33" t="s">
        <v>18690</v>
      </c>
      <c r="C1852" s="42">
        <v>162558.0</v>
      </c>
      <c r="D1852" s="33" t="s">
        <v>18692</v>
      </c>
      <c r="E1852" s="74"/>
      <c r="F1852" s="46" t="s">
        <v>15864</v>
      </c>
      <c r="G1852" s="75"/>
      <c r="H1852" s="98" t="str">
        <f>HYPERLINK("http://mirror.ff7data.com.ar/ff7/data/field/flevel.lgp/jailin3.png","View Picture")</f>
        <v>View Picture</v>
      </c>
      <c r="K1852" s="43"/>
    </row>
    <row r="1853">
      <c r="A1853" s="40"/>
      <c r="B1853" s="33" t="s">
        <v>18702</v>
      </c>
      <c r="C1853" s="42">
        <v>165557.0</v>
      </c>
      <c r="D1853" s="33" t="s">
        <v>18704</v>
      </c>
      <c r="E1853" s="74"/>
      <c r="F1853" s="46" t="s">
        <v>15864</v>
      </c>
      <c r="G1853" s="75"/>
      <c r="H1853" s="98" t="str">
        <f>HYPERLINK("http://mirror.ff7data.com.ar/ff7/data/field/flevel.lgp/jailin4.png","View Picture")</f>
        <v>View Picture</v>
      </c>
      <c r="K1853" s="43"/>
    </row>
    <row r="1854">
      <c r="A1854" s="40"/>
      <c r="B1854" s="33" t="s">
        <v>18715</v>
      </c>
      <c r="C1854" s="42">
        <v>404959.0</v>
      </c>
      <c r="D1854" s="33" t="s">
        <v>18717</v>
      </c>
      <c r="E1854" s="74"/>
      <c r="F1854" s="46" t="s">
        <v>15864</v>
      </c>
      <c r="G1854" s="75"/>
      <c r="H1854" s="98" t="str">
        <f>HYPERLINK("http://mirror.ff7data.com.ar/ff7/data/field/flevel.lgp/jailpb.png","View Picture")</f>
        <v>View Picture</v>
      </c>
      <c r="K1854" s="43"/>
    </row>
    <row r="1855">
      <c r="A1855" s="82"/>
      <c r="B1855" s="33" t="s">
        <v>18728</v>
      </c>
      <c r="C1855" s="42">
        <v>334193.0</v>
      </c>
      <c r="D1855" s="33" t="s">
        <v>18732</v>
      </c>
      <c r="E1855" s="74"/>
      <c r="F1855" s="46" t="s">
        <v>15864</v>
      </c>
      <c r="G1855" s="75"/>
      <c r="H1855" s="98" t="str">
        <f>HYPERLINK("http://mirror.ff7data.com.ar/ff7/data/field/flevel.lgp/jet.png","View Picture")</f>
        <v>View Picture</v>
      </c>
      <c r="K1855" s="43"/>
    </row>
    <row r="1856">
      <c r="A1856" s="82"/>
      <c r="B1856" s="33" t="s">
        <v>18752</v>
      </c>
      <c r="C1856" s="42">
        <v>406739.0</v>
      </c>
      <c r="D1856" s="33" t="s">
        <v>18083</v>
      </c>
      <c r="E1856" s="74"/>
      <c r="F1856" s="46" t="s">
        <v>15864</v>
      </c>
      <c r="G1856" s="75"/>
      <c r="H1856" s="98" t="str">
        <f>HYPERLINK("http://mirror.ff7data.com.ar/ff7/data/field/flevel.lgp/jetin1.png","View Picture")</f>
        <v>View Picture</v>
      </c>
      <c r="K1856" s="43"/>
    </row>
    <row r="1857">
      <c r="A1857" s="40"/>
      <c r="B1857" s="33" t="s">
        <v>18766</v>
      </c>
      <c r="C1857" s="42">
        <v>597175.0</v>
      </c>
      <c r="D1857" s="33" t="s">
        <v>18768</v>
      </c>
      <c r="E1857" s="74"/>
      <c r="F1857" s="46" t="s">
        <v>15864</v>
      </c>
      <c r="G1857" s="75"/>
      <c r="H1857" s="98" t="str">
        <f>HYPERLINK("http://mirror.ff7data.com.ar/ff7/data/field/flevel.lgp/jtempl.png","View Picture")</f>
        <v>View Picture</v>
      </c>
      <c r="K1857" s="43"/>
    </row>
    <row r="1858">
      <c r="A1858" s="40"/>
      <c r="B1858" s="33" t="s">
        <v>18779</v>
      </c>
      <c r="C1858" s="42">
        <v>429714.0</v>
      </c>
      <c r="D1858" s="33" t="s">
        <v>18781</v>
      </c>
      <c r="E1858" s="74"/>
      <c r="F1858" s="46" t="s">
        <v>15864</v>
      </c>
      <c r="G1858" s="75"/>
      <c r="H1858" s="98" t="str">
        <f>HYPERLINK("http://mirror.ff7data.com.ar/ff7/data/field/flevel.lgp/jtemplb.png","View Picture")</f>
        <v>View Picture</v>
      </c>
      <c r="K1858" s="43"/>
    </row>
    <row r="1859">
      <c r="A1859" s="82"/>
      <c r="B1859" s="33" t="s">
        <v>18793</v>
      </c>
      <c r="C1859" s="42">
        <v>303711.0</v>
      </c>
      <c r="D1859" s="33" t="s">
        <v>18795</v>
      </c>
      <c r="E1859" s="74"/>
      <c r="F1859" s="46" t="s">
        <v>15864</v>
      </c>
      <c r="G1859" s="75"/>
      <c r="H1859" s="98" t="str">
        <f>HYPERLINK("http://mirror.ff7data.com.ar/ff7/data/field/flevel.lgp/jtemplc.png","View Picture")</f>
        <v>View Picture</v>
      </c>
      <c r="K1859" s="43"/>
    </row>
    <row r="1860">
      <c r="A1860" s="82"/>
      <c r="B1860" s="33" t="s">
        <v>18806</v>
      </c>
      <c r="C1860" s="42">
        <v>329331.0</v>
      </c>
      <c r="D1860" s="33" t="s">
        <v>18795</v>
      </c>
      <c r="E1860" s="74"/>
      <c r="F1860" s="46" t="s">
        <v>15864</v>
      </c>
      <c r="G1860" s="75"/>
      <c r="H1860" s="98" t="str">
        <f>HYPERLINK("http://mirror.ff7data.com.ar/ff7/data/field/flevel.lgp/jtmpin1 .png","View Picture")</f>
        <v>View Picture</v>
      </c>
      <c r="K1860" s="43"/>
    </row>
    <row r="1861">
      <c r="A1861" s="82"/>
      <c r="B1861" s="33" t="s">
        <v>18816</v>
      </c>
      <c r="C1861" s="42">
        <v>160439.0</v>
      </c>
      <c r="D1861" s="33" t="s">
        <v>18818</v>
      </c>
      <c r="E1861" s="74"/>
      <c r="F1861" s="46" t="s">
        <v>15864</v>
      </c>
      <c r="G1861" s="75"/>
      <c r="H1861" s="98" t="str">
        <f>HYPERLINK("http://mirror.ff7data.com.ar/ff7/data/field/flevel.lgp/jtmpin2.png","View Picture")</f>
        <v>View Picture</v>
      </c>
      <c r="K1861" s="43"/>
    </row>
    <row r="1862">
      <c r="A1862" s="79"/>
      <c r="B1862" s="33" t="s">
        <v>18824</v>
      </c>
      <c r="C1862" s="42">
        <v>327680.0</v>
      </c>
      <c r="D1862" s="33" t="s">
        <v>18826</v>
      </c>
      <c r="E1862" s="74"/>
      <c r="F1862" s="46" t="s">
        <v>15864</v>
      </c>
      <c r="G1862" s="75"/>
      <c r="H1862" s="98" t="str">
        <f>HYPERLINK("http://mirror.ff7data.com.ar/ff7/data/field/flevel.lgp/jumin.png","View Picture")</f>
        <v>View Picture</v>
      </c>
      <c r="K1862" s="43"/>
    </row>
    <row r="1863">
      <c r="A1863" s="40"/>
      <c r="B1863" s="33" t="s">
        <v>18831</v>
      </c>
      <c r="C1863" s="42">
        <v>247656.0</v>
      </c>
      <c r="D1863" s="33" t="s">
        <v>18832</v>
      </c>
      <c r="E1863" s="74"/>
      <c r="F1863" s="46" t="s">
        <v>15864</v>
      </c>
      <c r="G1863" s="75"/>
      <c r="H1863" s="98" t="str">
        <f>HYPERLINK("http://mirror.ff7data.com.ar/ff7/data/field/flevel.lgp/jun_a.png","View Picture")</f>
        <v>View Picture</v>
      </c>
      <c r="K1863" s="43"/>
    </row>
    <row r="1864">
      <c r="A1864" s="40"/>
      <c r="B1864" s="33" t="s">
        <v>18842</v>
      </c>
      <c r="C1864" s="42">
        <v>313703.0</v>
      </c>
      <c r="D1864" s="33" t="s">
        <v>18844</v>
      </c>
      <c r="E1864" s="74"/>
      <c r="F1864" s="46" t="s">
        <v>15864</v>
      </c>
      <c r="G1864" s="75"/>
      <c r="H1864" s="98" t="str">
        <f>HYPERLINK("http://mirror.ff7data.com.ar/ff7/data/field/flevel.lgp/jun_i1.png","View Picture")</f>
        <v>View Picture</v>
      </c>
      <c r="K1864" s="43"/>
    </row>
    <row r="1865">
      <c r="A1865" s="40"/>
      <c r="B1865" s="33" t="s">
        <v>18854</v>
      </c>
      <c r="C1865" s="42">
        <v>318117.0</v>
      </c>
      <c r="D1865" s="33" t="s">
        <v>18857</v>
      </c>
      <c r="E1865" s="74"/>
      <c r="F1865" s="46" t="s">
        <v>15864</v>
      </c>
      <c r="G1865" s="75"/>
      <c r="H1865" s="98" t="str">
        <f>HYPERLINK("http://mirror.ff7data.com.ar/ff7/data/field/flevel.lgp/jun_i2.png","View Picture")</f>
        <v>View Picture</v>
      </c>
      <c r="K1865" s="43"/>
    </row>
    <row r="1866">
      <c r="A1866" s="40"/>
      <c r="B1866" s="33" t="s">
        <v>18865</v>
      </c>
      <c r="C1866" s="42">
        <v>239394.0</v>
      </c>
      <c r="D1866" s="33" t="s">
        <v>18868</v>
      </c>
      <c r="E1866" s="74"/>
      <c r="F1866" s="46" t="s">
        <v>15864</v>
      </c>
      <c r="G1866" s="75"/>
      <c r="H1866" s="98" t="str">
        <f>HYPERLINK("http://mirror.ff7data.com.ar/ff7/data/field/flevel.lgp/jun_m.png","View Picture")</f>
        <v>View Picture</v>
      </c>
      <c r="K1866" s="43"/>
    </row>
    <row r="1867">
      <c r="A1867" s="40"/>
      <c r="B1867" s="33" t="s">
        <v>18876</v>
      </c>
      <c r="C1867" s="42">
        <v>402957.0</v>
      </c>
      <c r="D1867" s="33" t="s">
        <v>18879</v>
      </c>
      <c r="E1867" s="74"/>
      <c r="F1867" s="46" t="s">
        <v>15864</v>
      </c>
      <c r="G1867" s="75"/>
      <c r="H1867" s="98" t="str">
        <f>HYPERLINK("http://mirror.ff7data.com.ar/ff7/data/field/flevel.lgp/jun_w.png","View Picture")</f>
        <v>View Picture</v>
      </c>
      <c r="K1867" s="43"/>
    </row>
    <row r="1868">
      <c r="A1868" s="40"/>
      <c r="B1868" s="33" t="s">
        <v>18887</v>
      </c>
      <c r="C1868" s="42">
        <v>244853.0</v>
      </c>
      <c r="D1868" s="33" t="s">
        <v>18890</v>
      </c>
      <c r="E1868" s="74"/>
      <c r="F1868" s="46" t="s">
        <v>15864</v>
      </c>
      <c r="G1868" s="75"/>
      <c r="H1868" s="98" t="str">
        <f>HYPERLINK("http://mirror.ff7data.com.ar/ff7/data/field/flevel.lgp/jun_wa.png","View Picture")</f>
        <v>View Picture</v>
      </c>
      <c r="K1868" s="43"/>
    </row>
    <row r="1869">
      <c r="A1869" s="40"/>
      <c r="B1869" s="33" t="s">
        <v>18899</v>
      </c>
      <c r="C1869" s="42">
        <v>728751.0</v>
      </c>
      <c r="D1869" s="33" t="s">
        <v>18901</v>
      </c>
      <c r="E1869" s="74"/>
      <c r="F1869" s="46" t="s">
        <v>15864</v>
      </c>
      <c r="G1869" s="75"/>
      <c r="H1869" s="98" t="str">
        <f>HYPERLINK("http://mirror.ff7data.com.ar/ff7/data/field/flevel.lgp/junair.png","View Picture")</f>
        <v>View Picture</v>
      </c>
      <c r="K1869" s="43"/>
    </row>
    <row r="1870">
      <c r="A1870" s="82"/>
      <c r="B1870" s="33" t="s">
        <v>18908</v>
      </c>
      <c r="C1870" s="42">
        <v>534186.0</v>
      </c>
      <c r="D1870" s="33" t="s">
        <v>18901</v>
      </c>
      <c r="E1870" s="74"/>
      <c r="F1870" s="46" t="s">
        <v>15864</v>
      </c>
      <c r="G1870" s="46" t="s">
        <v>18912</v>
      </c>
      <c r="H1870" s="98" t="str">
        <f>HYPERLINK("http://mirror.ff7data.com.ar/ff7/data/field/flevel.lgp/junair2.png","View Picture")</f>
        <v>View Picture</v>
      </c>
      <c r="K1870" s="43"/>
    </row>
    <row r="1871">
      <c r="A1871" s="82"/>
      <c r="B1871" s="33" t="s">
        <v>18923</v>
      </c>
      <c r="C1871" s="42">
        <v>415357.0</v>
      </c>
      <c r="D1871" s="33" t="s">
        <v>18925</v>
      </c>
      <c r="E1871" s="74"/>
      <c r="F1871" s="46" t="s">
        <v>15864</v>
      </c>
      <c r="G1871" s="75"/>
      <c r="H1871" s="98" t="str">
        <f>HYPERLINK("http://mirror.ff7data.com.ar/ff7/data/field/flevel.lgp/junbin1.png","View Picture")</f>
        <v>View Picture</v>
      </c>
      <c r="K1871" s="43"/>
    </row>
    <row r="1872">
      <c r="A1872" s="82"/>
      <c r="B1872" s="33" t="s">
        <v>18935</v>
      </c>
      <c r="C1872" s="42">
        <v>173426.0</v>
      </c>
      <c r="D1872" s="33" t="s">
        <v>18925</v>
      </c>
      <c r="E1872" s="74"/>
      <c r="F1872" s="46" t="s">
        <v>15864</v>
      </c>
      <c r="G1872" s="75"/>
      <c r="H1872" s="98" t="str">
        <f>HYPERLINK("http://mirror.ff7data.com.ar/ff7/data/field/flevel.lgp/junbin12.png","View Picture")</f>
        <v>View Picture</v>
      </c>
      <c r="K1872" s="43"/>
    </row>
    <row r="1873">
      <c r="A1873" s="82"/>
      <c r="B1873" s="33" t="s">
        <v>18946</v>
      </c>
      <c r="C1873" s="42">
        <v>695476.0</v>
      </c>
      <c r="D1873" s="33" t="s">
        <v>18948</v>
      </c>
      <c r="E1873" s="74"/>
      <c r="F1873" s="46" t="s">
        <v>15864</v>
      </c>
      <c r="G1873" s="75"/>
      <c r="H1873" s="98" t="str">
        <f>HYPERLINK("http://mirror.ff7data.com.ar/ff7/data/field/flevel.lgp/junbin21.png","View Picture")</f>
        <v>View Picture</v>
      </c>
      <c r="K1873" s="43"/>
    </row>
    <row r="1874">
      <c r="A1874" s="82"/>
      <c r="B1874" s="33" t="s">
        <v>18956</v>
      </c>
      <c r="C1874" s="42">
        <v>338260.0</v>
      </c>
      <c r="D1874" s="33" t="s">
        <v>18948</v>
      </c>
      <c r="E1874" s="74"/>
      <c r="F1874" s="46" t="s">
        <v>15864</v>
      </c>
      <c r="G1874" s="75"/>
      <c r="H1874" s="98" t="str">
        <f>HYPERLINK("http://mirror.ff7data.com.ar/ff7/data/field/flevel.lgp/junbin22.png","View Picture")</f>
        <v>View Picture</v>
      </c>
      <c r="K1874" s="43"/>
    </row>
    <row r="1875">
      <c r="A1875" s="82"/>
      <c r="B1875" s="33" t="s">
        <v>18964</v>
      </c>
      <c r="C1875" s="42">
        <v>250781.0</v>
      </c>
      <c r="D1875" s="33" t="s">
        <v>18966</v>
      </c>
      <c r="E1875" s="74"/>
      <c r="F1875" s="46" t="s">
        <v>15864</v>
      </c>
      <c r="G1875" s="75"/>
      <c r="H1875" s="98" t="str">
        <f>HYPERLINK("http://mirror.ff7data.com.ar/ff7/data/field/flevel.lgp/junbin3.png","View Picture")</f>
        <v>View Picture</v>
      </c>
      <c r="K1875" s="43"/>
    </row>
    <row r="1876">
      <c r="A1876" s="79"/>
      <c r="B1876" s="33" t="s">
        <v>18975</v>
      </c>
      <c r="C1876" s="42">
        <v>424834.0</v>
      </c>
      <c r="D1876" s="33" t="s">
        <v>18976</v>
      </c>
      <c r="E1876" s="74"/>
      <c r="F1876" s="46" t="s">
        <v>15864</v>
      </c>
      <c r="G1876" s="75"/>
      <c r="H1876" s="98" t="str">
        <f>HYPERLINK("http://mirror.ff7data.com.ar/ff7/data/field/flevel.lgp/junbin4.png","View Picture")</f>
        <v>View Picture</v>
      </c>
      <c r="K1876" s="43"/>
    </row>
    <row r="1877">
      <c r="A1877" s="40"/>
      <c r="B1877" s="33" t="s">
        <v>18986</v>
      </c>
      <c r="C1877" s="42">
        <v>589614.0</v>
      </c>
      <c r="D1877" s="33" t="s">
        <v>18989</v>
      </c>
      <c r="E1877" s="74"/>
      <c r="F1877" s="46" t="s">
        <v>15864</v>
      </c>
      <c r="G1877" s="75"/>
      <c r="H1877" s="98" t="str">
        <f>HYPERLINK("http://mirror.ff7data.com.ar/ff7/data/field/flevel.lgp/junbin5.png","View Picture")</f>
        <v>View Picture</v>
      </c>
      <c r="K1877" s="43"/>
    </row>
    <row r="1878">
      <c r="A1878" s="40"/>
      <c r="B1878" s="33" t="s">
        <v>19004</v>
      </c>
      <c r="C1878" s="42">
        <v>514658.0</v>
      </c>
      <c r="D1878" s="33" t="s">
        <v>19005</v>
      </c>
      <c r="E1878" s="74"/>
      <c r="F1878" s="46" t="s">
        <v>15864</v>
      </c>
      <c r="G1878" s="75"/>
      <c r="H1878" s="98" t="str">
        <f>HYPERLINK("http://mirror.ff7data.com.ar/ff7/data/field/flevel.lgp/jundoc1a.png","View Picture")</f>
        <v>View Picture</v>
      </c>
      <c r="K1878" s="43"/>
    </row>
    <row r="1879">
      <c r="A1879" s="40"/>
      <c r="B1879" s="33" t="s">
        <v>19011</v>
      </c>
      <c r="C1879" s="42">
        <v>580420.0</v>
      </c>
      <c r="D1879" s="33" t="s">
        <v>19005</v>
      </c>
      <c r="E1879" s="74"/>
      <c r="F1879" s="46" t="s">
        <v>15864</v>
      </c>
      <c r="G1879" s="75"/>
      <c r="H1879" s="98" t="str">
        <f>HYPERLINK("http://mirror.ff7data.com.ar/ff7/data/field/flevel.lgp/jundoc1b.png","View Picture")</f>
        <v>View Picture</v>
      </c>
      <c r="K1879" s="43"/>
    </row>
    <row r="1880">
      <c r="A1880" s="40"/>
      <c r="B1880" s="33" t="s">
        <v>19021</v>
      </c>
      <c r="C1880" s="42">
        <v>174130.0</v>
      </c>
      <c r="D1880" s="33" t="s">
        <v>19023</v>
      </c>
      <c r="E1880" s="74"/>
      <c r="F1880" s="46" t="s">
        <v>15864</v>
      </c>
      <c r="G1880" s="75"/>
      <c r="H1880" s="98" t="str">
        <f>HYPERLINK("http://mirror.ff7data.com.ar/ff7/data/field/flevel.lgp/junele1.png","View Picture")</f>
        <v>View Picture</v>
      </c>
      <c r="K1880" s="43"/>
    </row>
    <row r="1881">
      <c r="A1881" s="79"/>
      <c r="B1881" s="33" t="s">
        <v>19032</v>
      </c>
      <c r="C1881" s="42">
        <v>309048.0</v>
      </c>
      <c r="D1881" s="33" t="s">
        <v>19023</v>
      </c>
      <c r="E1881" s="74"/>
      <c r="F1881" s="46" t="s">
        <v>15864</v>
      </c>
      <c r="G1881" s="75"/>
      <c r="H1881" s="98" t="str">
        <f>HYPERLINK("http://mirror.ff7data.com.ar/ff7/data/field/flevel.lgp/junele2.png","View Picture")</f>
        <v>View Picture</v>
      </c>
      <c r="K1881" s="43"/>
    </row>
    <row r="1882">
      <c r="A1882" s="40"/>
      <c r="B1882" s="33" t="s">
        <v>19038</v>
      </c>
      <c r="C1882" s="42">
        <v>254508.0</v>
      </c>
      <c r="D1882" s="33" t="s">
        <v>19040</v>
      </c>
      <c r="E1882" s="74"/>
      <c r="F1882" s="46" t="s">
        <v>15864</v>
      </c>
      <c r="G1882" s="75"/>
      <c r="H1882" s="98" t="str">
        <f>HYPERLINK("http://mirror.ff7data.com.ar/ff7/data/field/flevel.lgp/junin1.png","View Picture")</f>
        <v>View Picture</v>
      </c>
      <c r="K1882" s="43"/>
    </row>
    <row r="1883">
      <c r="A1883" s="40"/>
      <c r="B1883" s="33" t="s">
        <v>19047</v>
      </c>
      <c r="C1883" s="42">
        <v>175841.0</v>
      </c>
      <c r="D1883" s="33" t="s">
        <v>19048</v>
      </c>
      <c r="E1883" s="74"/>
      <c r="F1883" s="46" t="s">
        <v>15864</v>
      </c>
      <c r="G1883" s="75"/>
      <c r="H1883" s="98" t="str">
        <f>HYPERLINK("http://mirror.ff7data.com.ar/ff7/data/field/flevel.lgp/junin1a.png","View Picture")</f>
        <v>View Picture</v>
      </c>
      <c r="K1883" s="43"/>
    </row>
    <row r="1884">
      <c r="A1884" s="82"/>
      <c r="B1884" s="33" t="s">
        <v>19054</v>
      </c>
      <c r="C1884" s="42">
        <v>333151.0</v>
      </c>
      <c r="D1884" s="33" t="s">
        <v>19056</v>
      </c>
      <c r="E1884" s="74"/>
      <c r="F1884" s="46" t="s">
        <v>15864</v>
      </c>
      <c r="G1884" s="46" t="s">
        <v>17164</v>
      </c>
      <c r="H1884" s="98" t="str">
        <f>HYPERLINK("http://mirror.ff7data.com.ar/ff7/data/field/flevel.lgp/junin2.png","View Picture")</f>
        <v>View Picture</v>
      </c>
      <c r="K1884" s="43"/>
    </row>
    <row r="1885">
      <c r="A1885" s="40"/>
      <c r="B1885" s="33" t="s">
        <v>19068</v>
      </c>
      <c r="C1885" s="42">
        <v>178624.0</v>
      </c>
      <c r="D1885" s="33" t="s">
        <v>19069</v>
      </c>
      <c r="E1885" s="74"/>
      <c r="F1885" s="46" t="s">
        <v>15864</v>
      </c>
      <c r="G1885" s="75"/>
      <c r="H1885" s="98" t="str">
        <f>HYPERLINK("http://mirror.ff7data.com.ar/ff7/data/field/flevel.lgp/junin3.png","View Picture")</f>
        <v>View Picture</v>
      </c>
      <c r="K1885" s="43"/>
    </row>
    <row r="1886">
      <c r="A1886" s="40"/>
      <c r="B1886" s="33" t="s">
        <v>19079</v>
      </c>
      <c r="C1886" s="42">
        <v>255493.0</v>
      </c>
      <c r="D1886" s="33" t="s">
        <v>19069</v>
      </c>
      <c r="E1886" s="74"/>
      <c r="F1886" s="46" t="s">
        <v>15864</v>
      </c>
      <c r="G1886" s="75"/>
      <c r="H1886" s="98" t="str">
        <f>HYPERLINK("http://mirror.ff7data.com.ar/ff7/data/field/flevel.lgp/junin4.png","View Picture")</f>
        <v>View Picture</v>
      </c>
      <c r="K1886" s="43"/>
    </row>
    <row r="1887">
      <c r="A1887" s="40"/>
      <c r="B1887" s="33" t="s">
        <v>19086</v>
      </c>
      <c r="C1887" s="42">
        <v>175163.0</v>
      </c>
      <c r="D1887" s="33" t="s">
        <v>19069</v>
      </c>
      <c r="E1887" s="74"/>
      <c r="F1887" s="46" t="s">
        <v>15864</v>
      </c>
      <c r="G1887" s="75"/>
      <c r="H1887" s="98" t="str">
        <f>HYPERLINK("http://mirror.ff7data.com.ar/ff7/data/field/flevel.lgp/junin5.png","View Picture")</f>
        <v>View Picture</v>
      </c>
      <c r="K1887" s="43"/>
    </row>
    <row r="1888">
      <c r="A1888" s="40"/>
      <c r="B1888" s="33" t="s">
        <v>19093</v>
      </c>
      <c r="C1888" s="42">
        <v>167155.0</v>
      </c>
      <c r="D1888" s="33" t="s">
        <v>19069</v>
      </c>
      <c r="E1888" s="74"/>
      <c r="F1888" s="46" t="s">
        <v>15864</v>
      </c>
      <c r="G1888" s="75"/>
      <c r="H1888" s="98" t="str">
        <f>HYPERLINK("http://mirror.ff7data.com.ar/ff7/data/field/flevel.lgp/junin6.png","View Picture")</f>
        <v>View Picture</v>
      </c>
      <c r="K1888" s="43"/>
    </row>
    <row r="1889">
      <c r="A1889" s="40"/>
      <c r="B1889" s="33" t="s">
        <v>19100</v>
      </c>
      <c r="C1889" s="42">
        <v>394122.0</v>
      </c>
      <c r="D1889" s="33" t="s">
        <v>19023</v>
      </c>
      <c r="E1889" s="74"/>
      <c r="F1889" s="46" t="s">
        <v>15864</v>
      </c>
      <c r="G1889" s="75"/>
      <c r="H1889" s="98" t="str">
        <f>HYPERLINK("http://mirror.ff7data.com.ar/ff7/data/field/flevel.lgp/junin7.png","View Picture")</f>
        <v>View Picture</v>
      </c>
      <c r="K1889" s="43"/>
    </row>
    <row r="1890">
      <c r="A1890" s="40"/>
      <c r="B1890" s="33" t="s">
        <v>19109</v>
      </c>
      <c r="C1890" s="42">
        <v>339990.0</v>
      </c>
      <c r="D1890" s="33" t="s">
        <v>19111</v>
      </c>
      <c r="E1890" s="74"/>
      <c r="F1890" s="46" t="s">
        <v>15864</v>
      </c>
      <c r="G1890" s="75"/>
      <c r="H1890" s="98" t="str">
        <f>HYPERLINK("http://mirror.ff7data.com.ar/ff7/data/field/flevel.lgp/juninn.png","View Picture")</f>
        <v>View Picture</v>
      </c>
      <c r="K1890" s="43"/>
    </row>
    <row r="1891">
      <c r="A1891" s="40"/>
      <c r="B1891" s="33" t="s">
        <v>19119</v>
      </c>
      <c r="C1891" s="42">
        <v>259285.0</v>
      </c>
      <c r="D1891" s="33" t="s">
        <v>19121</v>
      </c>
      <c r="E1891" s="74"/>
      <c r="F1891" s="46" t="s">
        <v>15864</v>
      </c>
      <c r="G1891" s="75"/>
      <c r="H1891" s="98" t="str">
        <f>HYPERLINK("http://mirror.ff7data.com.ar/ff7/data/field/flevel.lgp/junmin1.png","View Picture")</f>
        <v>View Picture</v>
      </c>
      <c r="K1891" s="43"/>
    </row>
    <row r="1892">
      <c r="A1892" s="40"/>
      <c r="B1892" s="33" t="s">
        <v>19129</v>
      </c>
      <c r="C1892" s="42">
        <v>323503.0</v>
      </c>
      <c r="D1892" s="33" t="s">
        <v>19121</v>
      </c>
      <c r="E1892" s="74"/>
      <c r="F1892" s="46" t="s">
        <v>15864</v>
      </c>
      <c r="G1892" s="75"/>
      <c r="H1892" s="98" t="str">
        <f>HYPERLINK("http://mirror.ff7data.com.ar/ff7/data/field/flevel.lgp/junmin2.png","View Picture")</f>
        <v>View Picture</v>
      </c>
      <c r="K1892" s="43"/>
    </row>
    <row r="1893">
      <c r="A1893" s="40"/>
      <c r="B1893" s="33" t="s">
        <v>19138</v>
      </c>
      <c r="C1893" s="42">
        <v>322090.0</v>
      </c>
      <c r="D1893" s="33" t="s">
        <v>19121</v>
      </c>
      <c r="E1893" s="74"/>
      <c r="F1893" s="46" t="s">
        <v>15864</v>
      </c>
      <c r="G1893" s="75"/>
      <c r="H1893" s="98" t="str">
        <f>HYPERLINK("http://mirror.ff7data.com.ar/ff7/data/field/flevel.lgp/junmin3.png","View Picture")</f>
        <v>View Picture</v>
      </c>
      <c r="K1893" s="43"/>
    </row>
    <row r="1894">
      <c r="A1894" s="40"/>
      <c r="B1894" s="33" t="s">
        <v>19147</v>
      </c>
      <c r="C1894" s="42">
        <v>254831.0</v>
      </c>
      <c r="D1894" s="33" t="s">
        <v>19121</v>
      </c>
      <c r="E1894" s="74"/>
      <c r="F1894" s="46" t="s">
        <v>15864</v>
      </c>
      <c r="G1894" s="75"/>
      <c r="H1894" s="98" t="str">
        <f>HYPERLINK("http://mirror.ff7data.com.ar/ff7/data/field/flevel.lgp/junmin4.png","View Picture")</f>
        <v>View Picture</v>
      </c>
      <c r="K1894" s="43"/>
    </row>
    <row r="1895">
      <c r="A1895" s="40"/>
      <c r="B1895" s="33" t="s">
        <v>19157</v>
      </c>
      <c r="C1895" s="42">
        <v>240733.0</v>
      </c>
      <c r="D1895" s="33" t="s">
        <v>19121</v>
      </c>
      <c r="E1895" s="74"/>
      <c r="F1895" s="46" t="s">
        <v>15864</v>
      </c>
      <c r="G1895" s="75"/>
      <c r="H1895" s="98" t="str">
        <f>HYPERLINK("http://mirror.ff7data.com.ar/ff7/data/field/flevel.lgp/junmin5.png","View Picture")</f>
        <v>View Picture</v>
      </c>
      <c r="K1895" s="43"/>
    </row>
    <row r="1896">
      <c r="A1896" s="40"/>
      <c r="B1896" s="33" t="s">
        <v>19168</v>
      </c>
      <c r="C1896" s="42">
        <v>153713.0</v>
      </c>
      <c r="D1896" s="33" t="s">
        <v>19170</v>
      </c>
      <c r="E1896" s="74"/>
      <c r="F1896" s="46" t="s">
        <v>15864</v>
      </c>
      <c r="G1896" s="75"/>
      <c r="H1896" s="98" t="str">
        <f>HYPERLINK("http://mirror.ff7data.com.ar/ff7/data/field/flevel.lgp/junon.png","View Picture")</f>
        <v>View Picture</v>
      </c>
      <c r="K1896" s="43"/>
    </row>
    <row r="1897">
      <c r="A1897" s="40"/>
      <c r="B1897" s="33" t="s">
        <v>19179</v>
      </c>
      <c r="C1897" s="42">
        <v>252984.0</v>
      </c>
      <c r="D1897" s="33" t="s">
        <v>19181</v>
      </c>
      <c r="E1897" s="74"/>
      <c r="F1897" s="46" t="s">
        <v>15864</v>
      </c>
      <c r="G1897" s="75"/>
      <c r="H1897" s="98" t="str">
        <f>HYPERLINK("http://mirror.ff7data.com.ar/ff7/data/field/flevel.lgp/junone2.png","View Picture")</f>
        <v>View Picture</v>
      </c>
      <c r="K1897" s="43"/>
    </row>
    <row r="1898">
      <c r="A1898" s="82"/>
      <c r="B1898" s="33" t="s">
        <v>19191</v>
      </c>
      <c r="C1898" s="42">
        <v>288781.0</v>
      </c>
      <c r="D1898" s="33" t="s">
        <v>19181</v>
      </c>
      <c r="E1898" s="74"/>
      <c r="F1898" s="46" t="s">
        <v>15864</v>
      </c>
      <c r="G1898" s="46" t="s">
        <v>19193</v>
      </c>
      <c r="H1898" s="98" t="str">
        <f>HYPERLINK("http://mirror.ff7data.com.ar/ff7/data/field/flevel.lgp/junone22.png","View Picture")</f>
        <v>View Picture</v>
      </c>
      <c r="K1898" s="43"/>
    </row>
    <row r="1899">
      <c r="A1899" s="40"/>
      <c r="B1899" s="33" t="s">
        <v>19205</v>
      </c>
      <c r="C1899" s="42">
        <v>327385.0</v>
      </c>
      <c r="D1899" s="33" t="s">
        <v>19181</v>
      </c>
      <c r="E1899" s="74"/>
      <c r="F1899" s="46" t="s">
        <v>15864</v>
      </c>
      <c r="G1899" s="75"/>
      <c r="H1899" s="98" t="str">
        <f>HYPERLINK("http://mirror.ff7data.com.ar/ff7/data/field/flevel.lgp/junone3.png","View Picture")</f>
        <v>View Picture</v>
      </c>
      <c r="K1899" s="43"/>
    </row>
    <row r="1900">
      <c r="A1900" s="40"/>
      <c r="B1900" s="33" t="s">
        <v>19218</v>
      </c>
      <c r="C1900" s="42">
        <v>422322.0</v>
      </c>
      <c r="D1900" s="33" t="s">
        <v>19181</v>
      </c>
      <c r="E1900" s="74"/>
      <c r="F1900" s="46" t="s">
        <v>15864</v>
      </c>
      <c r="G1900" s="75"/>
      <c r="H1900" s="98" t="str">
        <f>HYPERLINK("http://mirror.ff7data.com.ar/ff7/data/field/flevel.lgp/junone4.png","View Picture")</f>
        <v>View Picture</v>
      </c>
      <c r="K1900" s="43"/>
    </row>
    <row r="1901">
      <c r="A1901" s="40"/>
      <c r="B1901" s="33" t="s">
        <v>19232</v>
      </c>
      <c r="C1901" s="42">
        <v>571529.0</v>
      </c>
      <c r="D1901" s="33" t="s">
        <v>19181</v>
      </c>
      <c r="E1901" s="74"/>
      <c r="F1901" s="46" t="s">
        <v>15864</v>
      </c>
      <c r="G1901" s="75"/>
      <c r="H1901" s="98" t="str">
        <f>HYPERLINK("http://mirror.ff7data.com.ar/ff7/data/field/flevel.lgp/junone5.png","View Picture")</f>
        <v>View Picture</v>
      </c>
      <c r="K1901" s="43"/>
    </row>
    <row r="1902">
      <c r="A1902" s="40"/>
      <c r="B1902" s="33" t="s">
        <v>19246</v>
      </c>
      <c r="C1902" s="42">
        <v>424310.0</v>
      </c>
      <c r="D1902" s="33" t="s">
        <v>19181</v>
      </c>
      <c r="E1902" s="74"/>
      <c r="F1902" s="46" t="s">
        <v>15864</v>
      </c>
      <c r="G1902" s="75"/>
      <c r="H1902" s="98" t="str">
        <f>HYPERLINK("http://mirror.ff7data.com.ar/ff7/data/field/flevel.lgp/junone6.png","View Picture")</f>
        <v>View Picture</v>
      </c>
      <c r="K1902" s="43"/>
    </row>
    <row r="1903">
      <c r="A1903" s="40"/>
      <c r="B1903" s="33" t="s">
        <v>19259</v>
      </c>
      <c r="C1903" s="42">
        <v>336464.0</v>
      </c>
      <c r="D1903" s="33" t="s">
        <v>19181</v>
      </c>
      <c r="E1903" s="74"/>
      <c r="F1903" s="46" t="s">
        <v>15864</v>
      </c>
      <c r="G1903" s="46" t="s">
        <v>18912</v>
      </c>
      <c r="H1903" s="98" t="str">
        <f>HYPERLINK("http://mirror.ff7data.com.ar/ff7/data/field/flevel.lgp/junone7.png","View Picture")</f>
        <v>View Picture</v>
      </c>
      <c r="K1903" s="43"/>
    </row>
    <row r="1904">
      <c r="A1904" s="40"/>
      <c r="B1904" s="33" t="s">
        <v>19273</v>
      </c>
      <c r="C1904" s="42">
        <v>648036.0</v>
      </c>
      <c r="D1904" s="33" t="s">
        <v>19276</v>
      </c>
      <c r="E1904" s="74"/>
      <c r="F1904" s="46" t="s">
        <v>15864</v>
      </c>
      <c r="G1904" s="75"/>
      <c r="H1904" s="98" t="str">
        <f>HYPERLINK("http://mirror.ff7data.com.ar/ff7/data/field/flevel.lgp/junonl1.png","View Picture")</f>
        <v>View Picture</v>
      </c>
      <c r="K1904" s="43"/>
    </row>
    <row r="1905">
      <c r="A1905" s="40"/>
      <c r="B1905" s="33" t="s">
        <v>19283</v>
      </c>
      <c r="C1905" s="42">
        <v>468725.0</v>
      </c>
      <c r="D1905" s="33" t="s">
        <v>19276</v>
      </c>
      <c r="E1905" s="74"/>
      <c r="F1905" s="46" t="s">
        <v>15864</v>
      </c>
      <c r="G1905" s="75"/>
      <c r="H1905" s="98" t="str">
        <f>HYPERLINK("http://mirror.ff7data.com.ar/ff7/data/field/flevel.lgp/junonl2.png","View Picture")</f>
        <v>View Picture</v>
      </c>
      <c r="K1905" s="43"/>
    </row>
    <row r="1906">
      <c r="A1906" s="40"/>
      <c r="B1906" s="33" t="s">
        <v>19290</v>
      </c>
      <c r="C1906" s="42">
        <v>493308.0</v>
      </c>
      <c r="D1906" s="33" t="s">
        <v>19276</v>
      </c>
      <c r="E1906" s="74"/>
      <c r="F1906" s="46" t="s">
        <v>15864</v>
      </c>
      <c r="G1906" s="75"/>
      <c r="H1906" s="98" t="str">
        <f>HYPERLINK("http://mirror.ff7data.com.ar/ff7/data/field/flevel.lgp/junonl3.png","View Picture")</f>
        <v>View Picture</v>
      </c>
      <c r="K1906" s="43"/>
    </row>
    <row r="1907">
      <c r="A1907" s="40"/>
      <c r="B1907" s="33" t="s">
        <v>19297</v>
      </c>
      <c r="C1907" s="42">
        <v>580759.0</v>
      </c>
      <c r="D1907" s="33" t="s">
        <v>19276</v>
      </c>
      <c r="E1907" s="74"/>
      <c r="F1907" s="46" t="s">
        <v>15864</v>
      </c>
      <c r="G1907" s="75"/>
      <c r="H1907" s="98" t="str">
        <f>HYPERLINK("http://mirror.ff7data.com.ar/ff7/data/field/flevel.lgp/junonr1.png","View Picture")</f>
        <v>View Picture</v>
      </c>
      <c r="K1907" s="43"/>
    </row>
    <row r="1908">
      <c r="A1908" s="40"/>
      <c r="B1908" s="33" t="s">
        <v>19306</v>
      </c>
      <c r="C1908" s="42">
        <v>544559.0</v>
      </c>
      <c r="D1908" s="33" t="s">
        <v>19276</v>
      </c>
      <c r="E1908" s="74"/>
      <c r="F1908" s="46" t="s">
        <v>15864</v>
      </c>
      <c r="G1908" s="75"/>
      <c r="H1908" s="98" t="str">
        <f>HYPERLINK("http://mirror.ff7data.com.ar/ff7/data/field/flevel.lgp/junonr2.png","View Picture")</f>
        <v>View Picture</v>
      </c>
      <c r="K1908" s="43"/>
    </row>
    <row r="1909">
      <c r="A1909" s="40"/>
      <c r="B1909" s="33" t="s">
        <v>19316</v>
      </c>
      <c r="C1909" s="42">
        <v>493990.0</v>
      </c>
      <c r="D1909" s="33" t="s">
        <v>19276</v>
      </c>
      <c r="E1909" s="74"/>
      <c r="F1909" s="46" t="s">
        <v>15864</v>
      </c>
      <c r="G1909" s="75"/>
      <c r="H1909" s="98" t="str">
        <f>HYPERLINK("http://mirror.ff7data.com.ar/ff7/data/field/flevel.lgp/junonr3.png","View Picture")</f>
        <v>View Picture</v>
      </c>
      <c r="K1909" s="43"/>
    </row>
    <row r="1910">
      <c r="A1910" s="40"/>
      <c r="B1910" s="33" t="s">
        <v>19326</v>
      </c>
      <c r="C1910" s="42">
        <v>252824.0</v>
      </c>
      <c r="D1910" s="33" t="s">
        <v>19276</v>
      </c>
      <c r="E1910" s="74"/>
      <c r="F1910" s="46" t="s">
        <v>15864</v>
      </c>
      <c r="G1910" s="75"/>
      <c r="H1910" s="98" t="str">
        <f>HYPERLINK("http://mirror.ff7data.com.ar/ff7/data/field/flevel.lgp/junonr4.png","View Picture")</f>
        <v>View Picture</v>
      </c>
      <c r="K1910" s="43"/>
    </row>
    <row r="1911">
      <c r="A1911" s="55"/>
      <c r="B1911" s="33" t="s">
        <v>19339</v>
      </c>
      <c r="C1911" s="42">
        <v>14344.0</v>
      </c>
      <c r="D1911" s="33" t="s">
        <v>19341</v>
      </c>
      <c r="E1911" s="74"/>
      <c r="F1911" s="46" t="s">
        <v>15864</v>
      </c>
      <c r="G1911" s="75"/>
      <c r="H1911" s="114"/>
      <c r="K1911" s="43"/>
    </row>
    <row r="1912">
      <c r="A1912" s="40"/>
      <c r="B1912" s="33" t="s">
        <v>19344</v>
      </c>
      <c r="C1912" s="42">
        <v>245938.0</v>
      </c>
      <c r="D1912" s="33" t="s">
        <v>19345</v>
      </c>
      <c r="E1912" s="74"/>
      <c r="F1912" s="46" t="s">
        <v>15864</v>
      </c>
      <c r="G1912" s="46" t="s">
        <v>18948</v>
      </c>
      <c r="H1912" s="98" t="str">
        <f>HYPERLINK("http://mirror.ff7data.com.ar/ff7/data/field/flevel.lgp/junpb_1.png","View Picture")</f>
        <v>View Picture</v>
      </c>
      <c r="K1912" s="43"/>
    </row>
    <row r="1913">
      <c r="A1913" s="40"/>
      <c r="B1913" s="33" t="s">
        <v>19354</v>
      </c>
      <c r="C1913" s="42">
        <v>345542.0</v>
      </c>
      <c r="D1913" s="33" t="s">
        <v>19356</v>
      </c>
      <c r="E1913" s="74"/>
      <c r="F1913" s="46" t="s">
        <v>15864</v>
      </c>
      <c r="G1913" s="46" t="s">
        <v>18948</v>
      </c>
      <c r="H1913" s="98" t="str">
        <f>HYPERLINK("http://mirror.ff7data.com.ar/ff7/data/field/flevel.lgp/junpb_2.png","View Picture")</f>
        <v>View Picture</v>
      </c>
      <c r="K1913" s="43"/>
    </row>
    <row r="1914">
      <c r="A1914" s="40"/>
      <c r="B1914" s="33" t="s">
        <v>19366</v>
      </c>
      <c r="C1914" s="42">
        <v>494328.0</v>
      </c>
      <c r="D1914" s="33" t="s">
        <v>17402</v>
      </c>
      <c r="E1914" s="74"/>
      <c r="F1914" s="46" t="s">
        <v>15864</v>
      </c>
      <c r="G1914" s="46" t="s">
        <v>18948</v>
      </c>
      <c r="H1914" s="98" t="str">
        <f>HYPERLINK("http://mirror.ff7data.com.ar/ff7/data/field/flevel.lgp/junpb_3.png","View Picture")</f>
        <v>View Picture</v>
      </c>
      <c r="K1914" s="43"/>
    </row>
    <row r="1915">
      <c r="A1915" s="40"/>
      <c r="B1915" s="33" t="s">
        <v>19376</v>
      </c>
      <c r="C1915" s="42">
        <v>508664.0</v>
      </c>
      <c r="D1915" s="33" t="s">
        <v>19378</v>
      </c>
      <c r="E1915" s="74"/>
      <c r="F1915" s="46" t="s">
        <v>15864</v>
      </c>
      <c r="G1915" s="46" t="s">
        <v>18948</v>
      </c>
      <c r="H1915" s="98" t="str">
        <f>HYPERLINK("http://mirror.ff7data.com.ar/ff7/data/field/flevel.lgp/junsbd1.png","View Picture")</f>
        <v>View Picture</v>
      </c>
      <c r="K1915" s="43"/>
    </row>
    <row r="1916">
      <c r="A1916" s="82"/>
      <c r="B1916" s="33" t="s">
        <v>19388</v>
      </c>
      <c r="C1916" s="42">
        <v>643318.0</v>
      </c>
      <c r="D1916" s="33" t="s">
        <v>18795</v>
      </c>
      <c r="E1916" s="74"/>
      <c r="F1916" s="46" t="s">
        <v>15864</v>
      </c>
      <c r="G1916" s="75"/>
      <c r="H1916" s="98" t="str">
        <f>HYPERLINK("http://mirror.ff7data.com.ar/ff7/data/field/flevel.lgp/kuro_1.png","View Picture")</f>
        <v>View Picture</v>
      </c>
      <c r="K1916" s="43"/>
    </row>
    <row r="1917">
      <c r="A1917" s="82"/>
      <c r="B1917" s="33" t="s">
        <v>19399</v>
      </c>
      <c r="C1917" s="42">
        <v>167795.0</v>
      </c>
      <c r="D1917" s="33" t="s">
        <v>18795</v>
      </c>
      <c r="E1917" s="74"/>
      <c r="F1917" s="46" t="s">
        <v>15864</v>
      </c>
      <c r="G1917" s="75"/>
      <c r="H1917" s="98" t="str">
        <f>HYPERLINK("http://mirror.ff7data.com.ar/ff7/data/field/flevel.lgp/kuro_2.png","View Picture")</f>
        <v>View Picture</v>
      </c>
      <c r="K1917" s="43"/>
    </row>
    <row r="1918">
      <c r="A1918" s="82"/>
      <c r="B1918" s="33" t="s">
        <v>19412</v>
      </c>
      <c r="C1918" s="42">
        <v>573315.0</v>
      </c>
      <c r="D1918" s="33" t="s">
        <v>18795</v>
      </c>
      <c r="E1918" s="74"/>
      <c r="F1918" s="46" t="s">
        <v>15864</v>
      </c>
      <c r="G1918" s="75"/>
      <c r="H1918" s="98" t="str">
        <f>HYPERLINK("http://mirror.ff7data.com.ar/ff7/data/field/flevel.lgp/kuro_3.png","View Picture")</f>
        <v>View Picture</v>
      </c>
      <c r="K1918" s="43"/>
    </row>
    <row r="1919">
      <c r="A1919" s="82"/>
      <c r="B1919" s="33" t="s">
        <v>19427</v>
      </c>
      <c r="C1919" s="42">
        <v>257230.0</v>
      </c>
      <c r="D1919" s="33" t="s">
        <v>18795</v>
      </c>
      <c r="E1919" s="74"/>
      <c r="F1919" s="46" t="s">
        <v>15864</v>
      </c>
      <c r="G1919" s="75"/>
      <c r="H1919" s="98" t="str">
        <f>HYPERLINK("http://mirror.ff7data.com.ar/ff7/data/field/flevel.lgp/kuro_4.png","View Picture")</f>
        <v>View Picture</v>
      </c>
      <c r="K1919" s="43"/>
    </row>
    <row r="1920">
      <c r="A1920" s="82"/>
      <c r="B1920" s="33" t="s">
        <v>19438</v>
      </c>
      <c r="C1920" s="42">
        <v>332628.0</v>
      </c>
      <c r="D1920" s="33" t="s">
        <v>18795</v>
      </c>
      <c r="E1920" s="74"/>
      <c r="F1920" s="46" t="s">
        <v>15864</v>
      </c>
      <c r="G1920" s="75"/>
      <c r="H1920" s="98" t="str">
        <f>HYPERLINK("http://mirror.ff7data.com.ar/ff7/data/field/flevel.lgp/kuro_5.png","View Picture")</f>
        <v>View Picture</v>
      </c>
      <c r="K1920" s="43"/>
    </row>
    <row r="1921">
      <c r="A1921" s="82"/>
      <c r="B1921" s="33" t="s">
        <v>19453</v>
      </c>
      <c r="C1921" s="42">
        <v>237956.0</v>
      </c>
      <c r="D1921" s="33" t="s">
        <v>18795</v>
      </c>
      <c r="E1921" s="74"/>
      <c r="F1921" s="46" t="s">
        <v>15864</v>
      </c>
      <c r="G1921" s="75"/>
      <c r="H1921" s="98" t="str">
        <f>HYPERLINK("http://mirror.ff7data.com.ar/ff7/data/field/flevel.lgp/kuro_6.png","View Picture")</f>
        <v>View Picture</v>
      </c>
      <c r="K1921" s="43"/>
    </row>
    <row r="1922">
      <c r="A1922" s="82"/>
      <c r="B1922" s="33" t="s">
        <v>19469</v>
      </c>
      <c r="C1922" s="42">
        <v>323116.0</v>
      </c>
      <c r="D1922" s="33" t="s">
        <v>18795</v>
      </c>
      <c r="E1922" s="74"/>
      <c r="F1922" s="46" t="s">
        <v>15864</v>
      </c>
      <c r="G1922" s="75"/>
      <c r="H1922" s="98" t="str">
        <f>HYPERLINK("http://mirror.ff7data.com.ar/ff7/data/field/flevel.lgp/kuro_7.png","View Picture")</f>
        <v>View Picture</v>
      </c>
      <c r="K1922" s="43"/>
    </row>
    <row r="1923">
      <c r="A1923" s="82"/>
      <c r="B1923" s="33" t="s">
        <v>19486</v>
      </c>
      <c r="C1923" s="42">
        <v>657021.0</v>
      </c>
      <c r="D1923" s="33" t="s">
        <v>18795</v>
      </c>
      <c r="E1923" s="74"/>
      <c r="F1923" s="46" t="s">
        <v>15864</v>
      </c>
      <c r="G1923" s="75"/>
      <c r="H1923" s="98" t="str">
        <f>HYPERLINK("http://mirror.ff7data.com.ar/ff7/data/field/flevel.lgp/kuro_8.png","View Picture")</f>
        <v>View Picture</v>
      </c>
      <c r="K1923" s="43"/>
    </row>
    <row r="1924">
      <c r="A1924" s="82"/>
      <c r="B1924" s="33" t="s">
        <v>19503</v>
      </c>
      <c r="C1924" s="42">
        <v>670231.0</v>
      </c>
      <c r="D1924" s="33" t="s">
        <v>18795</v>
      </c>
      <c r="E1924" s="74"/>
      <c r="F1924" s="46" t="s">
        <v>15864</v>
      </c>
      <c r="G1924" s="75"/>
      <c r="H1924" s="98" t="str">
        <f>HYPERLINK("http://mirror.ff7data.com.ar/ff7/data/field/flevel.lgp/kuro_82.png","View Picture")</f>
        <v>View Picture</v>
      </c>
      <c r="K1924" s="43"/>
    </row>
    <row r="1925">
      <c r="A1925" s="82"/>
      <c r="B1925" s="33" t="s">
        <v>19516</v>
      </c>
      <c r="C1925" s="42">
        <v>338780.0</v>
      </c>
      <c r="D1925" s="33" t="s">
        <v>18795</v>
      </c>
      <c r="E1925" s="74"/>
      <c r="F1925" s="46" t="s">
        <v>15864</v>
      </c>
      <c r="G1925" s="75"/>
      <c r="H1925" s="98" t="str">
        <f>HYPERLINK("http://mirror.ff7data.com.ar/ff7/data/field/flevel.lgp/kuro_9.png","View Picture")</f>
        <v>View Picture</v>
      </c>
      <c r="K1925" s="43"/>
    </row>
    <row r="1926">
      <c r="A1926" s="82"/>
      <c r="B1926" s="33" t="s">
        <v>19523</v>
      </c>
      <c r="C1926" s="42">
        <v>164405.0</v>
      </c>
      <c r="D1926" s="33" t="s">
        <v>18795</v>
      </c>
      <c r="E1926" s="74"/>
      <c r="F1926" s="46" t="s">
        <v>15864</v>
      </c>
      <c r="G1926" s="75"/>
      <c r="H1926" s="98" t="str">
        <f>HYPERLINK("http://mirror.ff7data.com.ar/ff7/data/field/flevel.lgp/kuro_10.png","View Picture")</f>
        <v>View Picture</v>
      </c>
      <c r="K1926" s="43"/>
    </row>
    <row r="1927">
      <c r="A1927" s="82"/>
      <c r="B1927" s="33" t="s">
        <v>19531</v>
      </c>
      <c r="C1927" s="42">
        <v>290571.0</v>
      </c>
      <c r="D1927" s="33" t="s">
        <v>18795</v>
      </c>
      <c r="E1927" s="74"/>
      <c r="F1927" s="46" t="s">
        <v>15864</v>
      </c>
      <c r="G1927" s="75"/>
      <c r="H1927" s="98" t="str">
        <f>HYPERLINK("http://mirror.ff7data.com.ar/ff7/data/field/flevel.lgp/kuro_11.png","View Picture")</f>
        <v>View Picture</v>
      </c>
      <c r="K1927" s="43"/>
    </row>
    <row r="1928">
      <c r="A1928" s="82"/>
      <c r="B1928" s="33" t="s">
        <v>19540</v>
      </c>
      <c r="C1928" s="42">
        <v>190038.0</v>
      </c>
      <c r="D1928" s="33" t="s">
        <v>18795</v>
      </c>
      <c r="E1928" s="74"/>
      <c r="F1928" s="46" t="s">
        <v>15864</v>
      </c>
      <c r="G1928" s="75"/>
      <c r="H1928" s="98" t="str">
        <f>HYPERLINK("http://mirror.ff7data.com.ar/ff7/data/field/flevel.lgp/kuro_12.png","View Picture")</f>
        <v>View Picture</v>
      </c>
      <c r="K1928" s="43"/>
    </row>
    <row r="1929">
      <c r="A1929" s="40"/>
      <c r="B1929" s="33" t="s">
        <v>19547</v>
      </c>
      <c r="C1929" s="42">
        <v>507108.0</v>
      </c>
      <c r="D1929" s="33" t="s">
        <v>19550</v>
      </c>
      <c r="E1929" s="74"/>
      <c r="F1929" s="46" t="s">
        <v>15864</v>
      </c>
      <c r="G1929" s="75"/>
      <c r="H1929" s="98" t="str">
        <f>HYPERLINK("http://mirror.ff7data.com.ar/ff7/data/field/flevel.lgp/las0_1.png","View Picture")</f>
        <v>View Picture</v>
      </c>
      <c r="K1929" s="43"/>
    </row>
    <row r="1930">
      <c r="A1930" s="40"/>
      <c r="B1930" s="33" t="s">
        <v>19557</v>
      </c>
      <c r="C1930" s="42">
        <v>813995.0</v>
      </c>
      <c r="D1930" s="33" t="s">
        <v>19558</v>
      </c>
      <c r="E1930" s="74"/>
      <c r="F1930" s="46" t="s">
        <v>15864</v>
      </c>
      <c r="G1930" s="75"/>
      <c r="H1930" s="98" t="str">
        <f>HYPERLINK("http://mirror.ff7data.com.ar/ff7/data/field/flevel.lgp/las0_2.png","View Picture")</f>
        <v>View Picture</v>
      </c>
      <c r="K1930" s="43"/>
    </row>
    <row r="1931">
      <c r="A1931" s="40"/>
      <c r="B1931" s="33" t="s">
        <v>19567</v>
      </c>
      <c r="C1931" s="42">
        <v>759741.0</v>
      </c>
      <c r="D1931" s="33" t="s">
        <v>19569</v>
      </c>
      <c r="E1931" s="74"/>
      <c r="F1931" s="46" t="s">
        <v>15864</v>
      </c>
      <c r="G1931" s="75"/>
      <c r="H1931" s="98" t="str">
        <f>HYPERLINK("http://mirror.ff7data.com.ar/ff7/data/field/flevel.lgp/las0_3.png","View Picture")</f>
        <v>View Picture</v>
      </c>
      <c r="K1931" s="43"/>
    </row>
    <row r="1932">
      <c r="A1932" s="82"/>
      <c r="B1932" s="33" t="s">
        <v>19577</v>
      </c>
      <c r="C1932" s="42">
        <v>578183.0</v>
      </c>
      <c r="D1932" s="33" t="s">
        <v>19569</v>
      </c>
      <c r="E1932" s="74"/>
      <c r="F1932" s="46" t="s">
        <v>15864</v>
      </c>
      <c r="G1932" s="75"/>
      <c r="H1932" s="98" t="str">
        <f>HYPERLINK("http://mirror.ff7data.com.ar/ff7/data/field/flevel.lgp/las0_4.png","View Picture")</f>
        <v>View Picture</v>
      </c>
      <c r="K1932" s="43"/>
    </row>
    <row r="1933">
      <c r="A1933" s="82"/>
      <c r="B1933" s="33" t="s">
        <v>19586</v>
      </c>
      <c r="C1933" s="42">
        <v>766916.0</v>
      </c>
      <c r="D1933" s="33" t="s">
        <v>19588</v>
      </c>
      <c r="E1933" s="74"/>
      <c r="F1933" s="46" t="s">
        <v>15864</v>
      </c>
      <c r="G1933" s="75"/>
      <c r="H1933" s="98" t="str">
        <f>HYPERLINK("http://mirror.ff7data.com.ar/ff7/data/field/flevel.lgp/las0_5.png","View Picture")</f>
        <v>View Picture</v>
      </c>
      <c r="K1933" s="43"/>
    </row>
    <row r="1934">
      <c r="A1934" s="82"/>
      <c r="B1934" s="33" t="s">
        <v>19597</v>
      </c>
      <c r="C1934" s="42">
        <v>343812.0</v>
      </c>
      <c r="D1934" s="33" t="s">
        <v>19588</v>
      </c>
      <c r="E1934" s="74"/>
      <c r="F1934" s="46" t="s">
        <v>15864</v>
      </c>
      <c r="G1934" s="75"/>
      <c r="H1934" s="98" t="str">
        <f>HYPERLINK("http://mirror.ff7data.com.ar/ff7/data/field/flevel.lgp/las0_6.png","View Picture")</f>
        <v>View Picture</v>
      </c>
      <c r="K1934" s="43"/>
    </row>
    <row r="1935">
      <c r="A1935" s="82"/>
      <c r="B1935" s="33" t="s">
        <v>19607</v>
      </c>
      <c r="C1935" s="42">
        <v>263340.0</v>
      </c>
      <c r="D1935" s="33" t="s">
        <v>19588</v>
      </c>
      <c r="E1935" s="74"/>
      <c r="F1935" s="46" t="s">
        <v>15864</v>
      </c>
      <c r="G1935" s="75"/>
      <c r="H1935" s="98" t="str">
        <f>HYPERLINK("http://mirror.ff7data.com.ar/ff7/data/field/flevel.lgp/las0_7.png","View Picture")</f>
        <v>View Picture</v>
      </c>
      <c r="K1935" s="43"/>
    </row>
    <row r="1936">
      <c r="A1936" s="82"/>
      <c r="B1936" s="33" t="s">
        <v>19618</v>
      </c>
      <c r="C1936" s="42">
        <v>662295.0</v>
      </c>
      <c r="D1936" s="33" t="s">
        <v>19588</v>
      </c>
      <c r="E1936" s="74"/>
      <c r="F1936" s="46" t="s">
        <v>15864</v>
      </c>
      <c r="G1936" s="75"/>
      <c r="H1936" s="98" t="str">
        <f>HYPERLINK("http://mirror.ff7data.com.ar/ff7/data/field/flevel.lgp/las0_8.png","View Picture")</f>
        <v>View Picture</v>
      </c>
      <c r="K1936" s="43"/>
    </row>
    <row r="1937">
      <c r="A1937" s="82"/>
      <c r="B1937" s="33" t="s">
        <v>19630</v>
      </c>
      <c r="C1937" s="42">
        <v>514821.0</v>
      </c>
      <c r="D1937" s="33" t="s">
        <v>19588</v>
      </c>
      <c r="E1937" s="74"/>
      <c r="F1937" s="46" t="s">
        <v>15864</v>
      </c>
      <c r="G1937" s="75"/>
      <c r="H1937" s="98" t="str">
        <f>HYPERLINK("http://mirror.ff7data.com.ar/ff7/data/field/flevel.lgp/las1_1.png","View Picture")</f>
        <v>View Picture</v>
      </c>
      <c r="K1937" s="43"/>
    </row>
    <row r="1938">
      <c r="A1938" s="82"/>
      <c r="B1938" s="33" t="s">
        <v>19642</v>
      </c>
      <c r="C1938" s="42">
        <v>499336.0</v>
      </c>
      <c r="D1938" s="33" t="s">
        <v>19588</v>
      </c>
      <c r="E1938" s="74"/>
      <c r="F1938" s="46" t="s">
        <v>15864</v>
      </c>
      <c r="G1938" s="75"/>
      <c r="H1938" s="98" t="str">
        <f>HYPERLINK("http://mirror.ff7data.com.ar/ff7/data/field/flevel.lgp/las1_2.png","View Picture")</f>
        <v>View Picture</v>
      </c>
      <c r="K1938" s="43"/>
    </row>
    <row r="1939">
      <c r="A1939" s="82"/>
      <c r="B1939" s="33" t="s">
        <v>19657</v>
      </c>
      <c r="C1939" s="42">
        <v>576957.0</v>
      </c>
      <c r="D1939" s="33" t="s">
        <v>19588</v>
      </c>
      <c r="E1939" s="74"/>
      <c r="F1939" s="46" t="s">
        <v>15864</v>
      </c>
      <c r="G1939" s="75"/>
      <c r="H1939" s="98" t="str">
        <f>HYPERLINK("http://mirror.ff7data.com.ar/ff7/data/field/flevel.lgp/las1_3.png","View Picture")</f>
        <v>View Picture</v>
      </c>
      <c r="K1939" s="43"/>
    </row>
    <row r="1940">
      <c r="A1940" s="82"/>
      <c r="B1940" s="33" t="s">
        <v>19668</v>
      </c>
      <c r="C1940" s="42">
        <v>570777.0</v>
      </c>
      <c r="D1940" s="33" t="s">
        <v>19588</v>
      </c>
      <c r="E1940" s="74"/>
      <c r="F1940" s="46" t="s">
        <v>15864</v>
      </c>
      <c r="G1940" s="75"/>
      <c r="H1940" s="98" t="str">
        <f>HYPERLINK("http://mirror.ff7data.com.ar/ff7/data/field/flevel.lgp/las1_4.png","View Picture")</f>
        <v>View Picture</v>
      </c>
      <c r="K1940" s="43"/>
    </row>
    <row r="1941">
      <c r="A1941" s="82"/>
      <c r="B1941" s="33" t="s">
        <v>19678</v>
      </c>
      <c r="C1941" s="42">
        <v>598818.0</v>
      </c>
      <c r="D1941" s="33" t="s">
        <v>19588</v>
      </c>
      <c r="E1941" s="74"/>
      <c r="F1941" s="46" t="s">
        <v>15864</v>
      </c>
      <c r="G1941" s="75"/>
      <c r="H1941" s="98" t="str">
        <f>HYPERLINK("http://mirror.ff7data.com.ar/ff7/data/field/flevel.lgp/las2_1.png","View Picture")</f>
        <v>View Picture</v>
      </c>
      <c r="K1941" s="43"/>
    </row>
    <row r="1942">
      <c r="A1942" s="82"/>
      <c r="B1942" s="33" t="s">
        <v>19687</v>
      </c>
      <c r="C1942" s="42">
        <v>603292.0</v>
      </c>
      <c r="D1942" s="33" t="s">
        <v>19588</v>
      </c>
      <c r="E1942" s="74"/>
      <c r="F1942" s="46" t="s">
        <v>15864</v>
      </c>
      <c r="G1942" s="75"/>
      <c r="H1942" s="98" t="str">
        <f>HYPERLINK("http://mirror.ff7data.com.ar/ff7/data/field/flevel.lgp/las2_2.png","View Picture")</f>
        <v>View Picture</v>
      </c>
      <c r="K1942" s="43"/>
    </row>
    <row r="1943">
      <c r="A1943" s="82"/>
      <c r="B1943" s="33" t="s">
        <v>19698</v>
      </c>
      <c r="C1943" s="42">
        <v>670739.0</v>
      </c>
      <c r="D1943" s="33" t="s">
        <v>19588</v>
      </c>
      <c r="E1943" s="74"/>
      <c r="F1943" s="46" t="s">
        <v>15864</v>
      </c>
      <c r="G1943" s="75"/>
      <c r="H1943" s="98" t="str">
        <f>HYPERLINK("http://mirror.ff7data.com.ar/ff7/data/field/flevel.lgp/las2_3.png","View Picture")</f>
        <v>View Picture</v>
      </c>
      <c r="K1943" s="43"/>
    </row>
    <row r="1944">
      <c r="A1944" s="82"/>
      <c r="B1944" s="33" t="s">
        <v>19705</v>
      </c>
      <c r="C1944" s="42">
        <v>668770.0</v>
      </c>
      <c r="D1944" s="33" t="s">
        <v>19588</v>
      </c>
      <c r="E1944" s="74"/>
      <c r="F1944" s="46" t="s">
        <v>15864</v>
      </c>
      <c r="G1944" s="75"/>
      <c r="H1944" s="98" t="str">
        <f>HYPERLINK("http://mirror.ff7data.com.ar/ff7/data/field/flevel.lgp/las2_4.png","View Picture")</f>
        <v>View Picture</v>
      </c>
      <c r="K1944" s="43"/>
    </row>
    <row r="1945">
      <c r="A1945" s="82"/>
      <c r="B1945" s="33" t="s">
        <v>19711</v>
      </c>
      <c r="C1945" s="42">
        <v>414124.0</v>
      </c>
      <c r="D1945" s="33" t="s">
        <v>19588</v>
      </c>
      <c r="E1945" s="74"/>
      <c r="F1945" s="46" t="s">
        <v>15864</v>
      </c>
      <c r="G1945" s="75"/>
      <c r="H1945" s="98" t="str">
        <f>HYPERLINK("http://mirror.ff7data.com.ar/ff7/data/field/flevel.lgp/las3_1.png","View Picture")</f>
        <v>View Picture</v>
      </c>
      <c r="K1945" s="43"/>
    </row>
    <row r="1946">
      <c r="A1946" s="82"/>
      <c r="B1946" s="33" t="s">
        <v>19718</v>
      </c>
      <c r="C1946" s="42">
        <v>668675.0</v>
      </c>
      <c r="D1946" s="33" t="s">
        <v>19588</v>
      </c>
      <c r="E1946" s="74"/>
      <c r="F1946" s="46" t="s">
        <v>15864</v>
      </c>
      <c r="G1946" s="75"/>
      <c r="H1946" s="98" t="str">
        <f>HYPERLINK("http://mirror.ff7data.com.ar/ff7/data/field/flevel.lgp/las3_2.png","View Picture")</f>
        <v>View Picture</v>
      </c>
      <c r="K1946" s="43"/>
    </row>
    <row r="1947">
      <c r="A1947" s="82"/>
      <c r="B1947" s="33" t="s">
        <v>19724</v>
      </c>
      <c r="C1947" s="42">
        <v>604244.0</v>
      </c>
      <c r="D1947" s="33" t="s">
        <v>19588</v>
      </c>
      <c r="E1947" s="74"/>
      <c r="F1947" s="46" t="s">
        <v>15864</v>
      </c>
      <c r="G1947" s="75"/>
      <c r="H1947" s="98" t="str">
        <f>HYPERLINK("http://mirror.ff7data.com.ar/ff7/data/field/flevel.lgp/las3_3.png","View Picture")</f>
        <v>View Picture</v>
      </c>
      <c r="K1947" s="43"/>
    </row>
    <row r="1948">
      <c r="A1948" s="82"/>
      <c r="B1948" s="33" t="s">
        <v>19731</v>
      </c>
      <c r="C1948" s="42">
        <v>577618.0</v>
      </c>
      <c r="D1948" s="33" t="s">
        <v>19733</v>
      </c>
      <c r="E1948" s="74"/>
      <c r="F1948" s="46" t="s">
        <v>15864</v>
      </c>
      <c r="G1948" s="75"/>
      <c r="H1948" s="98" t="str">
        <f>HYPERLINK("http://mirror.ff7data.com.ar/ff7/data/field/flevel.lgp/las4_0.png","View Picture")</f>
        <v>View Picture</v>
      </c>
      <c r="K1948" s="43"/>
    </row>
    <row r="1949">
      <c r="A1949" s="82"/>
      <c r="B1949" s="33" t="s">
        <v>19745</v>
      </c>
      <c r="C1949" s="42">
        <v>651889.0</v>
      </c>
      <c r="D1949" s="33" t="s">
        <v>19733</v>
      </c>
      <c r="E1949" s="74"/>
      <c r="F1949" s="46" t="s">
        <v>15864</v>
      </c>
      <c r="G1949" s="75"/>
      <c r="H1949" s="98" t="str">
        <f>HYPERLINK("http://mirror.ff7data.com.ar/ff7/data/field/flevel.lgp/las4_1.png","View Picture")</f>
        <v>View Picture</v>
      </c>
      <c r="K1949" s="43"/>
    </row>
    <row r="1950">
      <c r="A1950" s="82"/>
      <c r="B1950" s="33" t="s">
        <v>19755</v>
      </c>
      <c r="C1950" s="42">
        <v>163478.0</v>
      </c>
      <c r="D1950" s="33" t="s">
        <v>19757</v>
      </c>
      <c r="E1950" s="74"/>
      <c r="F1950" s="46" t="s">
        <v>15864</v>
      </c>
      <c r="G1950" s="75"/>
      <c r="H1950" s="98" t="str">
        <f>HYPERLINK("http://mirror.ff7data.com.ar/ff7/data/field/flevel.lgp/las4_2.png","View Picture")</f>
        <v>View Picture</v>
      </c>
      <c r="K1950" s="43"/>
    </row>
    <row r="1951">
      <c r="A1951" s="82"/>
      <c r="B1951" s="33" t="s">
        <v>19767</v>
      </c>
      <c r="C1951" s="42">
        <v>254100.0</v>
      </c>
      <c r="D1951" s="33" t="s">
        <v>19588</v>
      </c>
      <c r="E1951" s="74"/>
      <c r="F1951" s="46" t="s">
        <v>15864</v>
      </c>
      <c r="G1951" s="75"/>
      <c r="H1951" s="98" t="str">
        <f>HYPERLINK("http://mirror.ff7data.com.ar/ff7/data/field/flevel.lgp/las4_3.png","View Picture")</f>
        <v>View Picture</v>
      </c>
      <c r="K1951" s="43"/>
    </row>
    <row r="1952">
      <c r="A1952" s="82"/>
      <c r="B1952" s="33" t="s">
        <v>19775</v>
      </c>
      <c r="C1952" s="42">
        <v>170637.0</v>
      </c>
      <c r="D1952" s="33" t="s">
        <v>19588</v>
      </c>
      <c r="E1952" s="74"/>
      <c r="F1952" s="46" t="s">
        <v>15864</v>
      </c>
      <c r="G1952" s="75"/>
      <c r="H1952" s="98" t="str">
        <f>HYPERLINK("http://mirror.ff7data.com.ar/ff7/data/field/flevel.lgp/las4_4.png","View Picture")</f>
        <v>View Picture</v>
      </c>
      <c r="K1952" s="43"/>
    </row>
    <row r="1953">
      <c r="A1953" s="82"/>
      <c r="B1953" s="33" t="s">
        <v>19782</v>
      </c>
      <c r="C1953" s="42">
        <v>162166.0</v>
      </c>
      <c r="D1953" s="33" t="s">
        <v>19588</v>
      </c>
      <c r="E1953" s="74"/>
      <c r="F1953" s="46" t="s">
        <v>15864</v>
      </c>
      <c r="G1953" s="75"/>
      <c r="H1953" s="98" t="str">
        <f>HYPERLINK("http://mirror.ff7data.com.ar/ff7/data/field/flevel.lgp/las4_42.png","View Picture")</f>
        <v>View Picture</v>
      </c>
      <c r="K1953" s="43"/>
    </row>
    <row r="1954">
      <c r="A1954" s="82"/>
      <c r="B1954" s="33" t="s">
        <v>19792</v>
      </c>
      <c r="C1954" s="42">
        <v>440579.0</v>
      </c>
      <c r="D1954" s="33" t="s">
        <v>19794</v>
      </c>
      <c r="E1954" s="74"/>
      <c r="F1954" s="46" t="s">
        <v>15864</v>
      </c>
      <c r="G1954" s="46" t="s">
        <v>19796</v>
      </c>
      <c r="H1954" s="98" t="str">
        <f>HYPERLINK("http://mirror.ff7data.com.ar/ff7/data/field/flevel.lgp/lastmap.png","View Picture")</f>
        <v>View Picture</v>
      </c>
      <c r="K1954" s="43"/>
    </row>
    <row r="1955">
      <c r="A1955" s="82"/>
      <c r="B1955" s="33" t="s">
        <v>19802</v>
      </c>
      <c r="C1955" s="42">
        <v>406140.0</v>
      </c>
      <c r="D1955" s="33" t="s">
        <v>19804</v>
      </c>
      <c r="E1955" s="74"/>
      <c r="F1955" s="46" t="s">
        <v>15864</v>
      </c>
      <c r="G1955" s="75"/>
      <c r="H1955" s="98" t="str">
        <f>HYPERLINK("http://mirror.ff7data.com.ar/ff7/data/field/flevel.lgp/life.png","View Picture")</f>
        <v>View Picture</v>
      </c>
      <c r="K1955" s="43"/>
    </row>
    <row r="1956">
      <c r="A1956" s="82"/>
      <c r="B1956" s="33" t="s">
        <v>19813</v>
      </c>
      <c r="C1956" s="42">
        <v>406076.0</v>
      </c>
      <c r="D1956" s="33" t="s">
        <v>19804</v>
      </c>
      <c r="E1956" s="74"/>
      <c r="F1956" s="46" t="s">
        <v>15864</v>
      </c>
      <c r="G1956" s="75"/>
      <c r="H1956" s="98" t="str">
        <f>HYPERLINK("http://mirror.ff7data.com.ar/ff7/data/field/flevel.lgp/life2.png","View Picture")</f>
        <v>View Picture</v>
      </c>
      <c r="K1956" s="43"/>
    </row>
    <row r="1957">
      <c r="A1957" s="40"/>
      <c r="B1957" s="33" t="s">
        <v>19823</v>
      </c>
      <c r="C1957" s="42">
        <v>653306.0</v>
      </c>
      <c r="D1957" s="33" t="s">
        <v>19824</v>
      </c>
      <c r="E1957" s="74"/>
      <c r="F1957" s="46" t="s">
        <v>15864</v>
      </c>
      <c r="G1957" s="75"/>
      <c r="H1957" s="98" t="str">
        <f>HYPERLINK("http://mirror.ff7data.com.ar/ff7/data/field/flevel.lgp/losin1.png","View Picture")</f>
        <v>View Picture</v>
      </c>
      <c r="K1957" s="43"/>
    </row>
    <row r="1958">
      <c r="A1958" s="40"/>
      <c r="B1958" s="33" t="s">
        <v>19831</v>
      </c>
      <c r="C1958" s="42">
        <v>332830.0</v>
      </c>
      <c r="D1958" s="33" t="s">
        <v>19824</v>
      </c>
      <c r="E1958" s="74"/>
      <c r="F1958" s="46" t="s">
        <v>15864</v>
      </c>
      <c r="G1958" s="75"/>
      <c r="H1958" s="98" t="str">
        <f>HYPERLINK("http://mirror.ff7data.com.ar/ff7/data/field/flevel.lgp/losin2.png","View Picture")</f>
        <v>View Picture</v>
      </c>
      <c r="K1958" s="43"/>
    </row>
    <row r="1959">
      <c r="A1959" s="40"/>
      <c r="B1959" s="33" t="s">
        <v>19839</v>
      </c>
      <c r="C1959" s="42">
        <v>333566.0</v>
      </c>
      <c r="D1959" s="33" t="s">
        <v>19824</v>
      </c>
      <c r="E1959" s="74"/>
      <c r="F1959" s="46" t="s">
        <v>15864</v>
      </c>
      <c r="G1959" s="75"/>
      <c r="H1959" s="98" t="str">
        <f>HYPERLINK("http://mirror.ff7data.com.ar/ff7/data/field/flevel.lgp/losin3.png","View Picture")</f>
        <v>View Picture</v>
      </c>
      <c r="K1959" s="43"/>
    </row>
    <row r="1960">
      <c r="A1960" s="40"/>
      <c r="B1960" s="33" t="s">
        <v>19847</v>
      </c>
      <c r="C1960" s="42">
        <v>409583.0</v>
      </c>
      <c r="D1960" s="33" t="s">
        <v>19849</v>
      </c>
      <c r="E1960" s="74"/>
      <c r="F1960" s="46" t="s">
        <v>15864</v>
      </c>
      <c r="G1960" s="75"/>
      <c r="H1960" s="98" t="str">
        <f>HYPERLINK("http://mirror.ff7data.com.ar/ff7/data/field/flevel.lgp/losinn.png","View Picture")</f>
        <v>View Picture</v>
      </c>
      <c r="K1960" s="43"/>
    </row>
    <row r="1961">
      <c r="A1961" s="82"/>
      <c r="B1961" s="33" t="s">
        <v>19862</v>
      </c>
      <c r="C1961" s="42">
        <v>587425.0</v>
      </c>
      <c r="D1961" s="33" t="s">
        <v>19864</v>
      </c>
      <c r="E1961" s="74"/>
      <c r="F1961" s="46" t="s">
        <v>15864</v>
      </c>
      <c r="G1961" s="75"/>
      <c r="H1961" s="98" t="str">
        <f>HYPERLINK("http://mirror.ff7data.com.ar/ff7/data/field/flevel.lgp/loslake1.png","View Picture")</f>
        <v>View Picture</v>
      </c>
      <c r="K1961" s="43"/>
    </row>
    <row r="1962">
      <c r="A1962" s="82"/>
      <c r="B1962" s="33" t="s">
        <v>19872</v>
      </c>
      <c r="C1962" s="42">
        <v>492742.0</v>
      </c>
      <c r="D1962" s="33" t="s">
        <v>19864</v>
      </c>
      <c r="E1962" s="74"/>
      <c r="F1962" s="46" t="s">
        <v>15864</v>
      </c>
      <c r="G1962" s="75"/>
      <c r="H1962" s="98" t="str">
        <f>HYPERLINK("http://mirror.ff7data.com.ar/ff7/data/field/flevel.lgp/loslake2.png","View Picture")</f>
        <v>View Picture</v>
      </c>
      <c r="K1962" s="43"/>
    </row>
    <row r="1963">
      <c r="A1963" s="82"/>
      <c r="B1963" s="33" t="s">
        <v>19879</v>
      </c>
      <c r="C1963" s="42">
        <v>255855.0</v>
      </c>
      <c r="D1963" s="33" t="s">
        <v>19864</v>
      </c>
      <c r="E1963" s="74"/>
      <c r="F1963" s="46" t="s">
        <v>15864</v>
      </c>
      <c r="G1963" s="75"/>
      <c r="H1963" s="98" t="str">
        <f>HYPERLINK("http://mirror.ff7data.com.ar/ff7/data/field/flevel.lgp/loslake3.png","View Picture")</f>
        <v>View Picture</v>
      </c>
      <c r="K1963" s="43"/>
    </row>
    <row r="1964">
      <c r="A1964" s="82"/>
      <c r="B1964" s="33" t="s">
        <v>19889</v>
      </c>
      <c r="C1964" s="42">
        <v>587653.0</v>
      </c>
      <c r="D1964" s="33" t="s">
        <v>19864</v>
      </c>
      <c r="E1964" s="74"/>
      <c r="F1964" s="46" t="s">
        <v>15864</v>
      </c>
      <c r="G1964" s="75"/>
      <c r="H1964" s="98" t="str">
        <f>HYPERLINK("http://mirror.ff7data.com.ar/ff7/data/field/flevel.lgp/lost1.png","View Picture")</f>
        <v>View Picture</v>
      </c>
      <c r="K1964" s="43"/>
    </row>
    <row r="1965">
      <c r="A1965" s="82"/>
      <c r="B1965" s="33" t="s">
        <v>19897</v>
      </c>
      <c r="C1965" s="42">
        <v>428068.0</v>
      </c>
      <c r="D1965" s="33" t="s">
        <v>19864</v>
      </c>
      <c r="E1965" s="74"/>
      <c r="F1965" s="46" t="s">
        <v>15864</v>
      </c>
      <c r="G1965" s="75"/>
      <c r="H1965" s="98" t="str">
        <f>HYPERLINK("http://mirror.ff7data.com.ar/ff7/data/field/flevel.lgp/lost2.png","View Picture")</f>
        <v>View Picture</v>
      </c>
      <c r="K1965" s="43"/>
    </row>
    <row r="1966">
      <c r="A1966" s="82"/>
      <c r="B1966" s="33" t="s">
        <v>19904</v>
      </c>
      <c r="C1966" s="42">
        <v>578805.0</v>
      </c>
      <c r="D1966" s="33" t="s">
        <v>19864</v>
      </c>
      <c r="E1966" s="74"/>
      <c r="F1966" s="46" t="s">
        <v>15864</v>
      </c>
      <c r="G1966" s="75"/>
      <c r="H1966" s="98" t="str">
        <f>HYPERLINK("http://mirror.ff7data.com.ar/ff7/data/field/flevel.lgp/lost3.png","View Picture")</f>
        <v>View Picture</v>
      </c>
      <c r="K1966" s="43"/>
    </row>
    <row r="1967">
      <c r="A1967" s="55"/>
      <c r="B1967" s="33" t="s">
        <v>19913</v>
      </c>
      <c r="C1967" s="42">
        <v>25218.0</v>
      </c>
      <c r="D1967" s="31"/>
      <c r="E1967" s="74"/>
      <c r="F1967" s="75"/>
      <c r="G1967" s="75"/>
      <c r="H1967" s="114"/>
      <c r="K1967" s="43"/>
    </row>
    <row r="1968">
      <c r="A1968" s="21"/>
      <c r="B1968" s="33" t="s">
        <v>19918</v>
      </c>
      <c r="C1968" s="42">
        <v>803704.0</v>
      </c>
      <c r="D1968" s="33" t="s">
        <v>19919</v>
      </c>
      <c r="E1968" s="74"/>
      <c r="F1968" s="46" t="s">
        <v>15864</v>
      </c>
      <c r="G1968" s="46" t="s">
        <v>17164</v>
      </c>
      <c r="H1968" s="98" t="str">
        <f>HYPERLINK("http://mirror.ff7data.com.ar/ff7/data/field/flevel.lgp/md_e1.png","View Picture")</f>
        <v>View Picture</v>
      </c>
      <c r="K1968" s="43"/>
    </row>
    <row r="1969">
      <c r="A1969" s="82"/>
      <c r="B1969" s="33" t="s">
        <v>19927</v>
      </c>
      <c r="C1969" s="42">
        <v>332208.0</v>
      </c>
      <c r="D1969" s="33" t="s">
        <v>19928</v>
      </c>
      <c r="E1969" s="74"/>
      <c r="F1969" s="46" t="s">
        <v>15864</v>
      </c>
      <c r="G1969" s="46" t="s">
        <v>17164</v>
      </c>
      <c r="H1969" s="98" t="str">
        <f>HYPERLINK("http://mirror.ff7data.com.ar/ff7/data/field/flevel.lgp/md0.png","View Picture")</f>
        <v>View Picture</v>
      </c>
      <c r="K1969" s="43"/>
    </row>
    <row r="1970">
      <c r="A1970" s="79"/>
      <c r="B1970" s="33" t="s">
        <v>19937</v>
      </c>
      <c r="C1970" s="42">
        <v>498684.0</v>
      </c>
      <c r="D1970" s="33" t="s">
        <v>17500</v>
      </c>
      <c r="E1970" s="74"/>
      <c r="F1970" s="46" t="s">
        <v>15864</v>
      </c>
      <c r="G1970" s="75"/>
      <c r="H1970" s="98" t="str">
        <f>HYPERLINK("http://mirror.ff7data.com.ar/ff7/data/field/flevel.lgp/md1_1.png","View Picture")</f>
        <v>View Picture</v>
      </c>
      <c r="K1970" s="43"/>
    </row>
    <row r="1971">
      <c r="A1971" s="82"/>
      <c r="B1971" s="33" t="s">
        <v>19946</v>
      </c>
      <c r="C1971" s="42">
        <v>499185.0</v>
      </c>
      <c r="D1971" s="33" t="s">
        <v>19948</v>
      </c>
      <c r="E1971" s="74"/>
      <c r="F1971" s="46" t="s">
        <v>15864</v>
      </c>
      <c r="G1971" s="46" t="s">
        <v>17164</v>
      </c>
      <c r="H1971" s="98" t="str">
        <f>HYPERLINK("http://mirror.ff7data.com.ar/ff7/data/field/flevel.lgp/md1_2.png","View Picture")</f>
        <v>View Picture</v>
      </c>
      <c r="K1971" s="43"/>
    </row>
    <row r="1972">
      <c r="A1972" s="40"/>
      <c r="B1972" s="33" t="s">
        <v>19956</v>
      </c>
      <c r="C1972" s="42">
        <v>426902.0</v>
      </c>
      <c r="D1972" s="33" t="s">
        <v>19958</v>
      </c>
      <c r="E1972" s="74"/>
      <c r="F1972" s="46" t="s">
        <v>15864</v>
      </c>
      <c r="G1972" s="75"/>
      <c r="H1972" s="98" t="str">
        <f>HYPERLINK("http://mirror.ff7data.com.ar/ff7/data/field/flevel.lgp/md1stin.png","View Picture")</f>
        <v>View Picture</v>
      </c>
      <c r="K1972" s="43"/>
    </row>
    <row r="1973">
      <c r="A1973" s="82"/>
      <c r="B1973" s="33" t="s">
        <v>19967</v>
      </c>
      <c r="C1973" s="42">
        <v>333501.0</v>
      </c>
      <c r="D1973" s="33" t="s">
        <v>19969</v>
      </c>
      <c r="E1973" s="74"/>
      <c r="F1973" s="46" t="s">
        <v>15864</v>
      </c>
      <c r="G1973" s="75"/>
      <c r="H1973" s="98" t="str">
        <f>HYPERLINK("http://mirror.ff7data.com.ar/ff7/data/field/flevel.lgp/md8_1.png","View Picture")</f>
        <v>View Picture</v>
      </c>
      <c r="K1973" s="43"/>
    </row>
    <row r="1974">
      <c r="A1974" s="82"/>
      <c r="B1974" s="33" t="s">
        <v>19976</v>
      </c>
      <c r="C1974" s="42">
        <v>584820.0</v>
      </c>
      <c r="D1974" s="33" t="s">
        <v>19969</v>
      </c>
      <c r="E1974" s="74"/>
      <c r="F1974" s="46" t="s">
        <v>15864</v>
      </c>
      <c r="G1974" s="75"/>
      <c r="H1974" s="98" t="str">
        <f>HYPERLINK("http://mirror.ff7data.com.ar/ff7/data/field/flevel.lgp/md8_2.png","View Picture")</f>
        <v>View Picture</v>
      </c>
      <c r="K1974" s="43"/>
    </row>
    <row r="1975">
      <c r="A1975" s="82"/>
      <c r="B1975" s="33" t="s">
        <v>19983</v>
      </c>
      <c r="C1975" s="42">
        <v>499917.0</v>
      </c>
      <c r="D1975" s="33" t="s">
        <v>19969</v>
      </c>
      <c r="E1975" s="74"/>
      <c r="F1975" s="46" t="s">
        <v>15864</v>
      </c>
      <c r="G1975" s="75"/>
      <c r="H1975" s="98" t="str">
        <f>HYPERLINK("http://mirror.ff7data.com.ar/ff7/data/field/flevel.lgp/md8_3.png","View Picture")</f>
        <v>View Picture</v>
      </c>
      <c r="K1975" s="43"/>
    </row>
    <row r="1976">
      <c r="A1976" s="82"/>
      <c r="B1976" s="33" t="s">
        <v>19990</v>
      </c>
      <c r="C1976" s="42">
        <v>267351.0</v>
      </c>
      <c r="D1976" s="33" t="s">
        <v>19969</v>
      </c>
      <c r="E1976" s="74"/>
      <c r="F1976" s="46" t="s">
        <v>15864</v>
      </c>
      <c r="G1976" s="75"/>
      <c r="H1976" s="98" t="str">
        <f>HYPERLINK("http://mirror.ff7data.com.ar/ff7/data/field/flevel.lgp/md8_32.png","View Picture")</f>
        <v>View Picture</v>
      </c>
      <c r="K1976" s="43"/>
    </row>
    <row r="1977">
      <c r="A1977" s="82"/>
      <c r="B1977" s="33" t="s">
        <v>20000</v>
      </c>
      <c r="C1977" s="42">
        <v>156103.0</v>
      </c>
      <c r="D1977" s="33" t="s">
        <v>19969</v>
      </c>
      <c r="E1977" s="74"/>
      <c r="F1977" s="46" t="s">
        <v>15864</v>
      </c>
      <c r="G1977" s="75"/>
      <c r="H1977" s="98" t="str">
        <f>HYPERLINK("http://mirror.ff7data.com.ar/ff7/data/field/flevel.lgp/md8_4.png","View Picture")</f>
        <v>View Picture</v>
      </c>
      <c r="K1977" s="43"/>
    </row>
    <row r="1978">
      <c r="A1978" s="82"/>
      <c r="B1978" s="33" t="s">
        <v>20006</v>
      </c>
      <c r="C1978" s="42">
        <v>190361.0</v>
      </c>
      <c r="D1978" s="33" t="s">
        <v>19969</v>
      </c>
      <c r="E1978" s="74"/>
      <c r="F1978" s="46" t="s">
        <v>15864</v>
      </c>
      <c r="G1978" s="75"/>
      <c r="H1978" s="98" t="str">
        <f>HYPERLINK("http://mirror.ff7data.com.ar/ff7/data/field/flevel.lgp/md8_5.png","View Picture")</f>
        <v>View Picture</v>
      </c>
      <c r="K1978" s="43"/>
    </row>
    <row r="1979">
      <c r="A1979" s="82"/>
      <c r="B1979" s="33" t="s">
        <v>20016</v>
      </c>
      <c r="C1979" s="42">
        <v>247046.0</v>
      </c>
      <c r="D1979" s="33" t="s">
        <v>19969</v>
      </c>
      <c r="E1979" s="74"/>
      <c r="F1979" s="46" t="s">
        <v>15864</v>
      </c>
      <c r="G1979" s="75"/>
      <c r="H1979" s="98" t="str">
        <f>HYPERLINK("http://mirror.ff7data.com.ar/ff7/data/field/flevel.lgp/md8_52.png","View Picture")</f>
        <v>View Picture</v>
      </c>
      <c r="K1979" s="43"/>
    </row>
    <row r="1980">
      <c r="A1980" s="82"/>
      <c r="B1980" s="33" t="s">
        <v>20024</v>
      </c>
      <c r="C1980" s="42">
        <v>357413.0</v>
      </c>
      <c r="D1980" s="33" t="s">
        <v>19969</v>
      </c>
      <c r="E1980" s="74"/>
      <c r="F1980" s="46" t="s">
        <v>15864</v>
      </c>
      <c r="G1980" s="75"/>
      <c r="H1980" s="98" t="str">
        <f>HYPERLINK("http://mirror.ff7data.com.ar/ff7/data/field/flevel.lgp/md8_6.png","View Picture")</f>
        <v>View Picture</v>
      </c>
      <c r="K1980" s="43"/>
    </row>
    <row r="1981">
      <c r="A1981" s="82"/>
      <c r="B1981" s="33" t="s">
        <v>20032</v>
      </c>
      <c r="C1981" s="42">
        <v>432762.0</v>
      </c>
      <c r="D1981" s="33" t="s">
        <v>19969</v>
      </c>
      <c r="E1981" s="74"/>
      <c r="F1981" s="46" t="s">
        <v>15864</v>
      </c>
      <c r="G1981" s="75"/>
      <c r="H1981" s="98" t="str">
        <f>HYPERLINK("http://mirror.ff7data.com.ar/ff7/data/field/flevel.lgp/md8_b1.png","View Picture")</f>
        <v>View Picture</v>
      </c>
      <c r="K1981" s="43"/>
    </row>
    <row r="1982">
      <c r="A1982" s="82"/>
      <c r="B1982" s="33" t="s">
        <v>20040</v>
      </c>
      <c r="C1982" s="42">
        <v>570857.0</v>
      </c>
      <c r="D1982" s="33" t="s">
        <v>19969</v>
      </c>
      <c r="E1982" s="74"/>
      <c r="F1982" s="46" t="s">
        <v>15864</v>
      </c>
      <c r="G1982" s="75"/>
      <c r="H1982" s="98" t="str">
        <f>HYPERLINK("http://mirror.ff7data.com.ar/ff7/data/field/flevel.lgp/md8_b2.png","View Picture")</f>
        <v>View Picture</v>
      </c>
      <c r="K1982" s="43"/>
    </row>
    <row r="1983">
      <c r="A1983" s="82"/>
      <c r="B1983" s="33" t="s">
        <v>20047</v>
      </c>
      <c r="C1983" s="42">
        <v>241233.0</v>
      </c>
      <c r="D1983" s="33" t="s">
        <v>19969</v>
      </c>
      <c r="E1983" s="74"/>
      <c r="F1983" s="46" t="s">
        <v>15864</v>
      </c>
      <c r="G1983" s="75"/>
      <c r="H1983" s="98" t="str">
        <f>HYPERLINK("http://mirror.ff7data.com.ar/ff7/data/field/flevel.lgp/md8brdg.png","View Picture")</f>
        <v>View Picture</v>
      </c>
      <c r="K1983" s="43"/>
    </row>
    <row r="1984">
      <c r="A1984" s="82"/>
      <c r="B1984" s="33" t="s">
        <v>20051</v>
      </c>
      <c r="C1984" s="42">
        <v>274935.0</v>
      </c>
      <c r="D1984" s="33" t="s">
        <v>19969</v>
      </c>
      <c r="E1984" s="74"/>
      <c r="F1984" s="46" t="s">
        <v>15864</v>
      </c>
      <c r="G1984" s="75"/>
      <c r="H1984" s="98" t="str">
        <f>HYPERLINK("http://mirror.ff7data.com.ar/ff7/data/field/flevel.lgp/md8brdg2.png","View Picture")</f>
        <v>View Picture</v>
      </c>
      <c r="K1984" s="43"/>
    </row>
    <row r="1985">
      <c r="A1985" s="82"/>
      <c r="B1985" s="33" t="s">
        <v>20057</v>
      </c>
      <c r="C1985" s="42">
        <v>581917.0</v>
      </c>
      <c r="D1985" s="33" t="s">
        <v>20058</v>
      </c>
      <c r="E1985" s="74"/>
      <c r="F1985" s="46" t="s">
        <v>15864</v>
      </c>
      <c r="G1985" s="75"/>
      <c r="H1985" s="98" t="str">
        <f>HYPERLINK("http://mirror.ff7data.com.ar/ff7/data/field/flevel.lgp/mds5_1.png","View Picture")</f>
        <v>View Picture</v>
      </c>
      <c r="K1985" s="43"/>
    </row>
    <row r="1986">
      <c r="A1986" s="82"/>
      <c r="B1986" s="33" t="s">
        <v>20061</v>
      </c>
      <c r="C1986" s="42">
        <v>566989.0</v>
      </c>
      <c r="D1986" s="33" t="s">
        <v>20058</v>
      </c>
      <c r="E1986" s="74"/>
      <c r="F1986" s="46" t="s">
        <v>15864</v>
      </c>
      <c r="G1986" s="75"/>
      <c r="H1986" s="98" t="str">
        <f>HYPERLINK("http://mirror.ff7data.com.ar/ff7/data/field/flevel.lgp/mds5_2.png","View Picture")</f>
        <v>View Picture</v>
      </c>
      <c r="K1986" s="43"/>
    </row>
    <row r="1987">
      <c r="A1987" s="82"/>
      <c r="B1987" s="33" t="s">
        <v>20067</v>
      </c>
      <c r="C1987" s="42">
        <v>494277.0</v>
      </c>
      <c r="D1987" s="33" t="s">
        <v>20058</v>
      </c>
      <c r="E1987" s="74"/>
      <c r="F1987" s="46" t="s">
        <v>15864</v>
      </c>
      <c r="G1987" s="75"/>
      <c r="H1987" s="98" t="str">
        <f>HYPERLINK("http://mirror.ff7data.com.ar/ff7/data/field/flevel.lgp/mds5_3.png","View Picture")</f>
        <v>View Picture</v>
      </c>
      <c r="K1987" s="43"/>
    </row>
    <row r="1988">
      <c r="A1988" s="82"/>
      <c r="B1988" s="33" t="s">
        <v>20070</v>
      </c>
      <c r="C1988" s="42">
        <v>312613.0</v>
      </c>
      <c r="D1988" s="33" t="s">
        <v>20071</v>
      </c>
      <c r="E1988" s="74"/>
      <c r="F1988" s="46" t="s">
        <v>15864</v>
      </c>
      <c r="G1988" s="75"/>
      <c r="H1988" s="98" t="str">
        <f>HYPERLINK("http://mirror.ff7data.com.ar/ff7/data/field/flevel.lgp/mds5_4.png","View Picture")</f>
        <v>View Picture</v>
      </c>
      <c r="K1988" s="43"/>
    </row>
    <row r="1989">
      <c r="A1989" s="82"/>
      <c r="B1989" s="33" t="s">
        <v>20075</v>
      </c>
      <c r="C1989" s="42">
        <v>249211.0</v>
      </c>
      <c r="D1989" s="33" t="s">
        <v>20058</v>
      </c>
      <c r="E1989" s="74"/>
      <c r="F1989" s="46" t="s">
        <v>15864</v>
      </c>
      <c r="G1989" s="75"/>
      <c r="H1989" s="98" t="str">
        <f>HYPERLINK("http://mirror.ff7data.com.ar/ff7/data/field/flevel.lgp/mds5_5.png","View Picture")</f>
        <v>View Picture</v>
      </c>
      <c r="K1989" s="43"/>
    </row>
    <row r="1990">
      <c r="A1990" s="82"/>
      <c r="B1990" s="33" t="s">
        <v>20083</v>
      </c>
      <c r="C1990" s="42">
        <v>157484.0</v>
      </c>
      <c r="D1990" s="33" t="s">
        <v>20058</v>
      </c>
      <c r="E1990" s="74"/>
      <c r="F1990" s="46" t="s">
        <v>15864</v>
      </c>
      <c r="G1990" s="75"/>
      <c r="H1990" s="98" t="str">
        <f>HYPERLINK("http://mirror.ff7data.com.ar/ff7/data/field/flevel.lgp/mds5_dk.png","View Picture")</f>
        <v>View Picture</v>
      </c>
      <c r="K1990" s="43"/>
    </row>
    <row r="1991">
      <c r="A1991" s="82"/>
      <c r="B1991" s="33" t="s">
        <v>20093</v>
      </c>
      <c r="C1991" s="42">
        <v>173591.0</v>
      </c>
      <c r="D1991" s="33" t="s">
        <v>20095</v>
      </c>
      <c r="E1991" s="74"/>
      <c r="F1991" s="46" t="s">
        <v>15864</v>
      </c>
      <c r="G1991" s="75"/>
      <c r="H1991" s="98" t="str">
        <f>HYPERLINK("http://mirror.ff7data.com.ar/ff7/data/field/flevel.lgp/mds5_i.png","View Picture")</f>
        <v>View Picture</v>
      </c>
      <c r="K1991" s="43"/>
    </row>
    <row r="1992">
      <c r="A1992" s="82"/>
      <c r="B1992" s="33" t="s">
        <v>20109</v>
      </c>
      <c r="C1992" s="42">
        <v>236537.0</v>
      </c>
      <c r="D1992" s="33" t="s">
        <v>20110</v>
      </c>
      <c r="E1992" s="74"/>
      <c r="F1992" s="46" t="s">
        <v>15864</v>
      </c>
      <c r="G1992" s="75"/>
      <c r="H1992" s="98" t="str">
        <f>HYPERLINK("http://mirror.ff7data.com.ar/ff7/data/field/flevel.lgp/mds5_m.png","View Picture")</f>
        <v>View Picture</v>
      </c>
      <c r="K1992" s="43"/>
    </row>
    <row r="1993">
      <c r="A1993" s="82"/>
      <c r="B1993" s="33" t="s">
        <v>20117</v>
      </c>
      <c r="C1993" s="42">
        <v>174785.0</v>
      </c>
      <c r="D1993" s="33" t="s">
        <v>20119</v>
      </c>
      <c r="E1993" s="74"/>
      <c r="F1993" s="46" t="s">
        <v>15864</v>
      </c>
      <c r="G1993" s="75"/>
      <c r="H1993" s="98" t="str">
        <f>HYPERLINK("http://mirror.ff7data.com.ar/ff7/data/field/flevel.lgp/mds5_w.png","View Picture")</f>
        <v>View Picture</v>
      </c>
      <c r="K1993" s="43"/>
    </row>
    <row r="1994">
      <c r="A1994" s="82"/>
      <c r="B1994" s="33" t="s">
        <v>20123</v>
      </c>
      <c r="C1994" s="42">
        <v>577397.0</v>
      </c>
      <c r="D1994" s="33" t="s">
        <v>20124</v>
      </c>
      <c r="E1994" s="74"/>
      <c r="F1994" s="46" t="s">
        <v>15864</v>
      </c>
      <c r="G1994" s="75"/>
      <c r="H1994" s="98" t="str">
        <f>HYPERLINK("http://mirror.ff7data.com.ar/ff7/data/field/flevel.lgp/mds6_1.png","View Picture")</f>
        <v>View Picture</v>
      </c>
      <c r="K1994" s="43"/>
    </row>
    <row r="1995">
      <c r="A1995" s="82"/>
      <c r="B1995" s="33" t="s">
        <v>20128</v>
      </c>
      <c r="C1995" s="42">
        <v>432026.0</v>
      </c>
      <c r="D1995" s="33" t="s">
        <v>20124</v>
      </c>
      <c r="E1995" s="74"/>
      <c r="F1995" s="46" t="s">
        <v>15864</v>
      </c>
      <c r="G1995" s="75"/>
      <c r="H1995" s="98" t="str">
        <f>HYPERLINK("http://mirror.ff7data.com.ar/ff7/data/field/flevel.lgp/mds6_2.png","View Picture")</f>
        <v>View Picture</v>
      </c>
      <c r="K1995" s="43"/>
    </row>
    <row r="1996">
      <c r="A1996" s="82"/>
      <c r="B1996" s="33" t="s">
        <v>20132</v>
      </c>
      <c r="C1996" s="42">
        <v>511917.0</v>
      </c>
      <c r="D1996" s="33" t="s">
        <v>20124</v>
      </c>
      <c r="E1996" s="74"/>
      <c r="F1996" s="46" t="s">
        <v>15864</v>
      </c>
      <c r="G1996" s="75"/>
      <c r="H1996" s="98" t="str">
        <f>HYPERLINK("http://mirror.ff7data.com.ar/ff7/data/field/flevel.lgp/mds6_22.png","View Picture")</f>
        <v>View Picture</v>
      </c>
      <c r="K1996" s="43"/>
    </row>
    <row r="1997">
      <c r="A1997" s="82"/>
      <c r="B1997" s="33" t="s">
        <v>20142</v>
      </c>
      <c r="C1997" s="42">
        <v>163045.0</v>
      </c>
      <c r="D1997" s="33" t="s">
        <v>20124</v>
      </c>
      <c r="E1997" s="74"/>
      <c r="F1997" s="46" t="s">
        <v>15864</v>
      </c>
      <c r="G1997" s="75"/>
      <c r="H1997" s="98" t="str">
        <f>HYPERLINK("http://mirror.ff7data.com.ar/ff7/data/field/flevel.lgp/mds6_3.png","View Picture")</f>
        <v>View Picture</v>
      </c>
      <c r="K1997" s="43"/>
    </row>
    <row r="1998">
      <c r="A1998" s="82"/>
      <c r="B1998" s="33" t="s">
        <v>20149</v>
      </c>
      <c r="C1998" s="42">
        <v>599556.0</v>
      </c>
      <c r="D1998" s="33" t="s">
        <v>20151</v>
      </c>
      <c r="E1998" s="74"/>
      <c r="F1998" s="46" t="s">
        <v>15864</v>
      </c>
      <c r="G1998" s="75"/>
      <c r="H1998" s="98" t="str">
        <f>HYPERLINK("http://mirror.ff7data.com.ar/ff7/data/field/flevel.lgp/mds7.png","View Picture")</f>
        <v>View Picture</v>
      </c>
      <c r="K1998" s="43"/>
    </row>
    <row r="1999">
      <c r="A1999" s="82"/>
      <c r="B1999" s="33" t="s">
        <v>20157</v>
      </c>
      <c r="C1999" s="42">
        <v>327159.0</v>
      </c>
      <c r="D1999" s="33" t="s">
        <v>20151</v>
      </c>
      <c r="E1999" s="74"/>
      <c r="F1999" s="46" t="s">
        <v>15864</v>
      </c>
      <c r="G1999" s="75"/>
      <c r="H1999" s="98" t="str">
        <f>HYPERLINK("http://mirror.ff7data.com.ar/ff7/data/field/flevel.lgp/mds7_im.png","View Picture")</f>
        <v>View Picture</v>
      </c>
      <c r="K1999" s="43"/>
    </row>
    <row r="2000">
      <c r="A2000" s="82"/>
      <c r="B2000" s="33" t="s">
        <v>20168</v>
      </c>
      <c r="C2000" s="42">
        <v>14345.0</v>
      </c>
      <c r="D2000" s="33" t="s">
        <v>20169</v>
      </c>
      <c r="E2000" s="74"/>
      <c r="F2000" s="46" t="s">
        <v>15864</v>
      </c>
      <c r="G2000" s="75"/>
      <c r="H2000" s="98" t="str">
        <f>HYPERLINK("http://mirror.ff7data.com.ar/ff7/data/field/flevel.lgp/mds7_w.tut.png","View Picture")</f>
        <v>View Picture</v>
      </c>
      <c r="K2000" s="43"/>
    </row>
    <row r="2001">
      <c r="A2001" s="82"/>
      <c r="B2001" s="33" t="s">
        <v>20180</v>
      </c>
      <c r="C2001" s="42">
        <v>334331.0</v>
      </c>
      <c r="D2001" s="33" t="s">
        <v>20151</v>
      </c>
      <c r="E2001" s="74"/>
      <c r="F2001" s="46" t="s">
        <v>15864</v>
      </c>
      <c r="G2001" s="75"/>
      <c r="H2001" s="98" t="str">
        <f>HYPERLINK("http://mirror.ff7data.com.ar/ff7/data/field/flevel.lgp/mds7_w1.png","View Picture")</f>
        <v>View Picture</v>
      </c>
      <c r="K2001" s="43"/>
    </row>
    <row r="2002">
      <c r="A2002" s="82"/>
      <c r="B2002" s="33" t="s">
        <v>20190</v>
      </c>
      <c r="C2002" s="42">
        <v>438142.0</v>
      </c>
      <c r="D2002" s="33" t="s">
        <v>20151</v>
      </c>
      <c r="E2002" s="74"/>
      <c r="F2002" s="46" t="s">
        <v>15864</v>
      </c>
      <c r="G2002" s="75"/>
      <c r="H2002" s="98" t="str">
        <f>HYPERLINK("http://mirror.ff7data.com.ar/ff7/data/field/flevel.lgp/mds7_w2.png","View Picture")</f>
        <v>View Picture</v>
      </c>
      <c r="K2002" s="43"/>
    </row>
    <row r="2003">
      <c r="A2003" s="82"/>
      <c r="B2003" s="33" t="s">
        <v>20200</v>
      </c>
      <c r="C2003" s="42">
        <v>262801.0</v>
      </c>
      <c r="D2003" s="33" t="s">
        <v>20151</v>
      </c>
      <c r="E2003" s="74"/>
      <c r="F2003" s="46" t="s">
        <v>15864</v>
      </c>
      <c r="G2003" s="75"/>
      <c r="H2003" s="98" t="str">
        <f>HYPERLINK("http://mirror.ff7data.com.ar/ff7/data/field/flevel.lgp/mds7_w3.png","View Picture")</f>
        <v>View Picture</v>
      </c>
      <c r="K2003" s="43"/>
    </row>
    <row r="2004">
      <c r="A2004" s="82"/>
      <c r="B2004" s="33" t="s">
        <v>20213</v>
      </c>
      <c r="C2004" s="42">
        <v>1855.0</v>
      </c>
      <c r="D2004" s="33" t="s">
        <v>20215</v>
      </c>
      <c r="E2004" s="74"/>
      <c r="F2004" s="46" t="s">
        <v>15864</v>
      </c>
      <c r="G2004" s="75"/>
      <c r="H2004" s="98" t="str">
        <f>HYPERLINK("http://mirror.ff7data.com.ar/ff7/data/field/flevel.lgp/mds7pb.tut.png","View Picture")</f>
        <v>View Picture</v>
      </c>
      <c r="K2004" s="43"/>
    </row>
    <row r="2005">
      <c r="A2005" s="82"/>
      <c r="B2005" s="33" t="s">
        <v>20225</v>
      </c>
      <c r="C2005" s="42">
        <v>424283.0</v>
      </c>
      <c r="D2005" s="33" t="s">
        <v>20151</v>
      </c>
      <c r="E2005" s="74"/>
      <c r="F2005" s="46" t="s">
        <v>15864</v>
      </c>
      <c r="G2005" s="75"/>
      <c r="H2005" s="98" t="str">
        <f>HYPERLINK("http://mirror.ff7data.com.ar/ff7/data/field/flevel.lgp/mds7pb_1.png","View Picture")</f>
        <v>View Picture</v>
      </c>
      <c r="K2005" s="43"/>
    </row>
    <row r="2006">
      <c r="A2006" s="82"/>
      <c r="B2006" s="33" t="s">
        <v>20238</v>
      </c>
      <c r="C2006" s="42">
        <v>342636.0</v>
      </c>
      <c r="D2006" s="33" t="s">
        <v>20151</v>
      </c>
      <c r="E2006" s="74"/>
      <c r="F2006" s="46" t="s">
        <v>15864</v>
      </c>
      <c r="G2006" s="75"/>
      <c r="H2006" s="98" t="str">
        <f>HYPERLINK("http://mirror.ff7data.com.ar/ff7/data/field/flevel.lgp/mds7pb_2.png","View Picture")</f>
        <v>View Picture</v>
      </c>
      <c r="K2006" s="43"/>
    </row>
    <row r="2007">
      <c r="A2007" s="82"/>
      <c r="B2007" s="33" t="s">
        <v>20251</v>
      </c>
      <c r="C2007" s="42">
        <v>515769.0</v>
      </c>
      <c r="D2007" s="33" t="s">
        <v>20151</v>
      </c>
      <c r="E2007" s="74"/>
      <c r="F2007" s="46" t="s">
        <v>15864</v>
      </c>
      <c r="G2007" s="75"/>
      <c r="H2007" s="98" t="str">
        <f>HYPERLINK("http://mirror.ff7data.com.ar/ff7/data/field/flevel.lgp/mds7plr1.png","View Picture")</f>
        <v>View Picture</v>
      </c>
      <c r="K2007" s="43"/>
    </row>
    <row r="2008">
      <c r="A2008" s="82"/>
      <c r="B2008" s="33" t="s">
        <v>20258</v>
      </c>
      <c r="C2008" s="42">
        <v>490451.0</v>
      </c>
      <c r="D2008" s="33" t="s">
        <v>20151</v>
      </c>
      <c r="E2008" s="74"/>
      <c r="F2008" s="46" t="s">
        <v>15864</v>
      </c>
      <c r="G2008" s="75"/>
      <c r="H2008" s="98" t="str">
        <f>HYPERLINK("http://mirror.ff7data.com.ar/ff7/data/field/flevel.lgp/mds7plr2.png","View Picture")</f>
        <v>View Picture</v>
      </c>
      <c r="K2008" s="43"/>
    </row>
    <row r="2009">
      <c r="A2009" s="82"/>
      <c r="B2009" s="33" t="s">
        <v>20266</v>
      </c>
      <c r="C2009" s="42">
        <v>425074.0</v>
      </c>
      <c r="D2009" s="33" t="s">
        <v>20151</v>
      </c>
      <c r="E2009" s="74"/>
      <c r="F2009" s="46" t="s">
        <v>15864</v>
      </c>
      <c r="G2009" s="75"/>
      <c r="H2009" s="98" t="str">
        <f>HYPERLINK("http://mirror.ff7data.com.ar/ff7/data/field/flevel.lgp/mds7st1.png","View Picture")</f>
        <v>View Picture</v>
      </c>
      <c r="K2009" s="43"/>
    </row>
    <row r="2010">
      <c r="A2010" s="82"/>
      <c r="B2010" s="33" t="s">
        <v>20276</v>
      </c>
      <c r="C2010" s="42">
        <v>428104.0</v>
      </c>
      <c r="D2010" s="33" t="s">
        <v>20151</v>
      </c>
      <c r="E2010" s="74"/>
      <c r="F2010" s="46" t="s">
        <v>15864</v>
      </c>
      <c r="G2010" s="75"/>
      <c r="H2010" s="98" t="str">
        <f>HYPERLINK("http://mirror.ff7data.com.ar/ff7/data/field/flevel.lgp/mds7st2.png","View Picture")</f>
        <v>View Picture</v>
      </c>
      <c r="K2010" s="43"/>
    </row>
    <row r="2011">
      <c r="A2011" s="82"/>
      <c r="B2011" s="33" t="s">
        <v>20285</v>
      </c>
      <c r="C2011" s="42">
        <v>173103.0</v>
      </c>
      <c r="D2011" s="33" t="s">
        <v>20151</v>
      </c>
      <c r="E2011" s="74"/>
      <c r="F2011" s="46" t="s">
        <v>15864</v>
      </c>
      <c r="G2011" s="75"/>
      <c r="H2011" s="98" t="str">
        <f>HYPERLINK("http://mirror.ff7data.com.ar/ff7/data/field/flevel.lgp/mds7st3.png","View Picture")</f>
        <v>View Picture</v>
      </c>
      <c r="K2011" s="43"/>
    </row>
    <row r="2012">
      <c r="A2012" s="82"/>
      <c r="B2012" s="33" t="s">
        <v>20295</v>
      </c>
      <c r="C2012" s="42">
        <v>258472.0</v>
      </c>
      <c r="D2012" s="33" t="s">
        <v>20151</v>
      </c>
      <c r="E2012" s="74"/>
      <c r="F2012" s="46" t="s">
        <v>15864</v>
      </c>
      <c r="G2012" s="75"/>
      <c r="H2012" s="98" t="str">
        <f>HYPERLINK("http://mirror.ff7data.com.ar/ff7/data/field/flevel.lgp/mds7st32.png","View Picture")</f>
        <v>View Picture</v>
      </c>
      <c r="K2012" s="43"/>
    </row>
    <row r="2013">
      <c r="A2013" s="82"/>
      <c r="B2013" s="33" t="s">
        <v>20306</v>
      </c>
      <c r="C2013" s="42">
        <v>260958.0</v>
      </c>
      <c r="D2013" s="33" t="s">
        <v>20151</v>
      </c>
      <c r="E2013" s="74"/>
      <c r="F2013" s="46" t="s">
        <v>15864</v>
      </c>
      <c r="G2013" s="75"/>
      <c r="H2013" s="98" t="str">
        <f>HYPERLINK("http://mirror.ff7data.com.ar/ff7/data/field/flevel.lgp/mds7st33.png","View Picture")</f>
        <v>View Picture</v>
      </c>
      <c r="K2013" s="43"/>
    </row>
    <row r="2014">
      <c r="A2014" s="82"/>
      <c r="B2014" s="33" t="s">
        <v>20320</v>
      </c>
      <c r="C2014" s="42">
        <v>452090.0</v>
      </c>
      <c r="D2014" s="33" t="s">
        <v>20322</v>
      </c>
      <c r="E2014" s="74"/>
      <c r="F2014" s="46" t="s">
        <v>15864</v>
      </c>
      <c r="G2014" s="75"/>
      <c r="H2014" s="98" t="str">
        <f>HYPERLINK("http://mirror.ff7data.com.ar/ff7/data/field/flevel.lgp/midgal.png","View Picture")</f>
        <v>View Picture</v>
      </c>
      <c r="K2014" s="43"/>
    </row>
    <row r="2015">
      <c r="A2015" s="82"/>
      <c r="B2015" s="33" t="s">
        <v>20331</v>
      </c>
      <c r="C2015" s="42">
        <v>405071.0</v>
      </c>
      <c r="D2015" s="33" t="s">
        <v>20332</v>
      </c>
      <c r="E2015" s="74"/>
      <c r="F2015" s="46" t="s">
        <v>15864</v>
      </c>
      <c r="G2015" s="75"/>
      <c r="H2015" s="98" t="str">
        <f>HYPERLINK("http://mirror.ff7data.com.ar/ff7/data/field/flevel.lgp/min51_1.png","View Picture")</f>
        <v>View Picture</v>
      </c>
      <c r="K2015" s="43"/>
    </row>
    <row r="2016">
      <c r="A2016" s="82"/>
      <c r="B2016" s="33" t="s">
        <v>20340</v>
      </c>
      <c r="C2016" s="42">
        <v>246943.0</v>
      </c>
      <c r="D2016" s="33" t="s">
        <v>20342</v>
      </c>
      <c r="E2016" s="74"/>
      <c r="F2016" s="46" t="s">
        <v>15864</v>
      </c>
      <c r="G2016" s="75"/>
      <c r="H2016" s="98" t="str">
        <f>HYPERLINK("http://mirror.ff7data.com.ar/ff7/data/field/flevel.lgp/min51_2.png","View Picture")</f>
        <v>View Picture</v>
      </c>
      <c r="K2016" s="43"/>
    </row>
    <row r="2017">
      <c r="A2017" s="82"/>
      <c r="B2017" s="33" t="s">
        <v>20348</v>
      </c>
      <c r="C2017" s="42">
        <v>401318.0</v>
      </c>
      <c r="D2017" s="33" t="s">
        <v>20332</v>
      </c>
      <c r="E2017" s="74"/>
      <c r="F2017" s="46" t="s">
        <v>15864</v>
      </c>
      <c r="G2017" s="75"/>
      <c r="H2017" s="98" t="str">
        <f>HYPERLINK("http://mirror.ff7data.com.ar/ff7/data/field/flevel.lgp/min71.png","View Picture")</f>
        <v>View Picture</v>
      </c>
      <c r="K2017" s="43"/>
    </row>
    <row r="2018">
      <c r="A2018" s="82"/>
      <c r="B2018" s="33" t="s">
        <v>20356</v>
      </c>
      <c r="C2018" s="42">
        <v>159945.0</v>
      </c>
      <c r="D2018" s="33" t="s">
        <v>20357</v>
      </c>
      <c r="E2018" s="74"/>
      <c r="F2018" s="46" t="s">
        <v>15864</v>
      </c>
      <c r="G2018" s="75"/>
      <c r="H2018" s="98" t="str">
        <f>HYPERLINK("http://mirror.ff7data.com.ar/ff7/data/field/flevel.lgp/mkt_ia.png","View Picture")</f>
        <v>View Picture</v>
      </c>
      <c r="K2018" s="43"/>
    </row>
    <row r="2019">
      <c r="A2019" s="82"/>
      <c r="B2019" s="33" t="s">
        <v>20364</v>
      </c>
      <c r="C2019" s="42">
        <v>159024.0</v>
      </c>
      <c r="D2019" s="33" t="s">
        <v>20366</v>
      </c>
      <c r="E2019" s="74"/>
      <c r="F2019" s="46" t="s">
        <v>15864</v>
      </c>
      <c r="G2019" s="75"/>
      <c r="H2019" s="98" t="str">
        <f>HYPERLINK("http://mirror.ff7data.com.ar/ff7/data/field/flevel.lgp/mkt_m.png","View Picture")</f>
        <v>View Picture</v>
      </c>
      <c r="K2019" s="43"/>
    </row>
    <row r="2020">
      <c r="A2020" s="82"/>
      <c r="B2020" s="33" t="s">
        <v>20373</v>
      </c>
      <c r="C2020" s="42">
        <v>250863.0</v>
      </c>
      <c r="D2020" s="33" t="s">
        <v>20375</v>
      </c>
      <c r="E2020" s="74"/>
      <c r="F2020" s="46" t="s">
        <v>15864</v>
      </c>
      <c r="G2020" s="75"/>
      <c r="H2020" s="98" t="str">
        <f>HYPERLINK("http://mirror.ff7data.com.ar/ff7/data/field/flevel.lgp/mkt_mens.png","View Picture")</f>
        <v>View Picture</v>
      </c>
      <c r="K2020" s="43"/>
    </row>
    <row r="2021">
      <c r="A2021" s="82"/>
      <c r="B2021" s="33" t="s">
        <v>20382</v>
      </c>
      <c r="C2021" s="42">
        <v>161320.0</v>
      </c>
      <c r="D2021" s="33" t="s">
        <v>20384</v>
      </c>
      <c r="E2021" s="74"/>
      <c r="F2021" s="46" t="s">
        <v>15864</v>
      </c>
      <c r="G2021" s="75"/>
      <c r="H2021" s="98" t="str">
        <f>HYPERLINK("http://mirror.ff7data.com.ar/ff7/data/field/flevel.lgp/mkt_s1.png","View Picture")</f>
        <v>View Picture</v>
      </c>
      <c r="K2021" s="43"/>
    </row>
    <row r="2022">
      <c r="A2022" s="82"/>
      <c r="B2022" s="33" t="s">
        <v>20394</v>
      </c>
      <c r="C2022" s="42">
        <v>232734.0</v>
      </c>
      <c r="D2022" s="33" t="s">
        <v>20396</v>
      </c>
      <c r="E2022" s="74"/>
      <c r="F2022" s="46" t="s">
        <v>15864</v>
      </c>
      <c r="G2022" s="75"/>
      <c r="H2022" s="98" t="str">
        <f>HYPERLINK("http://mirror.ff7data.com.ar/ff7/data/field/flevel.lgp/mkt_s2.png","View Picture")</f>
        <v>View Picture</v>
      </c>
      <c r="K2022" s="43"/>
    </row>
    <row r="2023">
      <c r="A2023" s="82"/>
      <c r="B2023" s="33" t="s">
        <v>20404</v>
      </c>
      <c r="C2023" s="42">
        <v>157143.0</v>
      </c>
      <c r="D2023" s="33" t="s">
        <v>20406</v>
      </c>
      <c r="E2023" s="74"/>
      <c r="F2023" s="46" t="s">
        <v>15864</v>
      </c>
      <c r="G2023" s="75"/>
      <c r="H2023" s="98" t="str">
        <f>HYPERLINK("http://mirror.ff7data.com.ar/ff7/data/field/flevel.lgp/mkt_s3.png","View Picture")</f>
        <v>View Picture</v>
      </c>
      <c r="K2023" s="43"/>
    </row>
    <row r="2024">
      <c r="A2024" s="82"/>
      <c r="B2024" s="33" t="s">
        <v>20414</v>
      </c>
      <c r="C2024" s="42">
        <v>230903.0</v>
      </c>
      <c r="D2024" s="33" t="s">
        <v>20415</v>
      </c>
      <c r="E2024" s="74"/>
      <c r="F2024" s="46" t="s">
        <v>15864</v>
      </c>
      <c r="G2024" s="75"/>
      <c r="H2024" s="98" t="str">
        <f>HYPERLINK("http://mirror.ff7data.com.ar/ff7/data/field/flevel.lgp/mkt_w.png","View Picture")</f>
        <v>View Picture</v>
      </c>
      <c r="K2024" s="43"/>
    </row>
    <row r="2025">
      <c r="A2025" s="82"/>
      <c r="B2025" s="33" t="s">
        <v>20423</v>
      </c>
      <c r="C2025" s="42">
        <v>248984.0</v>
      </c>
      <c r="D2025" s="33" t="s">
        <v>20425</v>
      </c>
      <c r="E2025" s="74"/>
      <c r="F2025" s="46" t="s">
        <v>15864</v>
      </c>
      <c r="G2025" s="75"/>
      <c r="H2025" s="98" t="str">
        <f>HYPERLINK("http://mirror.ff7data.com.ar/ff7/data/field/flevel.lgp/mktinn.png","View Picture")</f>
        <v>View Picture</v>
      </c>
      <c r="K2025" s="43"/>
    </row>
    <row r="2026">
      <c r="A2026" s="82"/>
      <c r="B2026" s="33" t="s">
        <v>20431</v>
      </c>
      <c r="C2026" s="42">
        <v>321734.0</v>
      </c>
      <c r="D2026" s="33" t="s">
        <v>20433</v>
      </c>
      <c r="E2026" s="74"/>
      <c r="F2026" s="46" t="s">
        <v>15864</v>
      </c>
      <c r="G2026" s="75"/>
      <c r="H2026" s="98" t="str">
        <f>HYPERLINK("http://mirror.ff7data.com.ar/ff7/data/field/flevel.lgp/mktpb.png","View Picture")</f>
        <v>View Picture</v>
      </c>
      <c r="K2026" s="43"/>
    </row>
    <row r="2027">
      <c r="A2027" s="82"/>
      <c r="B2027" s="33" t="s">
        <v>20439</v>
      </c>
      <c r="C2027" s="42">
        <v>505416.0</v>
      </c>
      <c r="D2027" s="33" t="s">
        <v>20440</v>
      </c>
      <c r="E2027" s="74"/>
      <c r="F2027" s="46" t="s">
        <v>15864</v>
      </c>
      <c r="G2027" s="75"/>
      <c r="H2027" s="98" t="str">
        <f>HYPERLINK("http://mirror.ff7data.com.ar/ff7/data/field/flevel.lgp/mogu_1.png","View Picture")</f>
        <v>View Picture</v>
      </c>
      <c r="K2027" s="43"/>
    </row>
    <row r="2028">
      <c r="A2028" s="82"/>
      <c r="B2028" s="33" t="s">
        <v>20446</v>
      </c>
      <c r="C2028" s="42">
        <v>569918.0</v>
      </c>
      <c r="D2028" s="33" t="s">
        <v>20448</v>
      </c>
      <c r="E2028" s="74"/>
      <c r="F2028" s="46" t="s">
        <v>15864</v>
      </c>
      <c r="G2028" s="75"/>
      <c r="H2028" s="98" t="str">
        <f>HYPERLINK("http://mirror.ff7data.com.ar/ff7/data/field/flevel.lgp/move_d.png","View Picture")</f>
        <v>View Picture</v>
      </c>
      <c r="K2028" s="43"/>
    </row>
    <row r="2029">
      <c r="A2029" s="82"/>
      <c r="B2029" s="33" t="s">
        <v>20459</v>
      </c>
      <c r="C2029" s="42">
        <v>648199.0</v>
      </c>
      <c r="D2029" s="33" t="s">
        <v>20461</v>
      </c>
      <c r="E2029" s="74"/>
      <c r="F2029" s="46" t="s">
        <v>15864</v>
      </c>
      <c r="G2029" s="75"/>
      <c r="H2029" s="98" t="str">
        <f>HYPERLINK("http://mirror.ff7data.com.ar/ff7/data/field/flevel.lgp/move_f.png","View Picture")</f>
        <v>View Picture</v>
      </c>
      <c r="K2029" s="43"/>
    </row>
    <row r="2030">
      <c r="A2030" s="82"/>
      <c r="B2030" s="33" t="s">
        <v>20468</v>
      </c>
      <c r="C2030" s="42">
        <v>485942.0</v>
      </c>
      <c r="D2030" s="33" t="s">
        <v>20470</v>
      </c>
      <c r="E2030" s="74"/>
      <c r="F2030" s="46" t="s">
        <v>15864</v>
      </c>
      <c r="G2030" s="75"/>
      <c r="H2030" s="98" t="str">
        <f>HYPERLINK("http://mirror.ff7data.com.ar/ff7/data/field/flevel.lgp/move_i.png","View Picture")</f>
        <v>View Picture</v>
      </c>
      <c r="K2030" s="43"/>
    </row>
    <row r="2031">
      <c r="A2031" s="82"/>
      <c r="B2031" s="33" t="s">
        <v>20477</v>
      </c>
      <c r="C2031" s="42">
        <v>484096.0</v>
      </c>
      <c r="D2031" s="33" t="s">
        <v>20479</v>
      </c>
      <c r="E2031" s="74"/>
      <c r="F2031" s="46" t="s">
        <v>15864</v>
      </c>
      <c r="G2031" s="75"/>
      <c r="H2031" s="98" t="str">
        <f>HYPERLINK("http://mirror.ff7data.com.ar/ff7/data/field/flevel.lgp/move_r.png","View Picture")</f>
        <v>View Picture</v>
      </c>
      <c r="K2031" s="43"/>
    </row>
    <row r="2032">
      <c r="A2032" s="82"/>
      <c r="B2032" s="33" t="s">
        <v>20492</v>
      </c>
      <c r="C2032" s="42">
        <v>483534.0</v>
      </c>
      <c r="D2032" s="33" t="s">
        <v>20494</v>
      </c>
      <c r="E2032" s="74"/>
      <c r="F2032" s="46" t="s">
        <v>15864</v>
      </c>
      <c r="G2032" s="75"/>
      <c r="H2032" s="98" t="str">
        <f>HYPERLINK("http://mirror.ff7data.com.ar/ff7/data/field/flevel.lgp/move_s.png","View Picture")</f>
        <v>View Picture</v>
      </c>
      <c r="K2032" s="43"/>
    </row>
    <row r="2033">
      <c r="A2033" s="82"/>
      <c r="B2033" s="33" t="s">
        <v>20504</v>
      </c>
      <c r="C2033" s="42">
        <v>569998.0</v>
      </c>
      <c r="D2033" s="33" t="s">
        <v>20505</v>
      </c>
      <c r="E2033" s="74"/>
      <c r="F2033" s="46" t="s">
        <v>15864</v>
      </c>
      <c r="G2033" s="75"/>
      <c r="H2033" s="98" t="str">
        <f>HYPERLINK("http://mirror.ff7data.com.ar/ff7/data/field/flevel.lgp/move_u.png","View Picture")</f>
        <v>View Picture</v>
      </c>
      <c r="K2033" s="43"/>
    </row>
    <row r="2034">
      <c r="A2034" s="82"/>
      <c r="B2034" s="33" t="s">
        <v>20517</v>
      </c>
      <c r="C2034" s="42">
        <v>509283.0</v>
      </c>
      <c r="D2034" s="33" t="s">
        <v>20519</v>
      </c>
      <c r="E2034" s="74"/>
      <c r="F2034" s="46" t="s">
        <v>15864</v>
      </c>
      <c r="G2034" s="75"/>
      <c r="H2034" s="98" t="str">
        <f>HYPERLINK("http://mirror.ff7data.com.ar/ff7/data/field/flevel.lgp/mrkt1.png","View Picture")</f>
        <v>View Picture</v>
      </c>
      <c r="K2034" s="43"/>
    </row>
    <row r="2035">
      <c r="A2035" s="82"/>
      <c r="B2035" s="33" t="s">
        <v>20525</v>
      </c>
      <c r="C2035" s="42">
        <v>588674.0</v>
      </c>
      <c r="D2035" s="33" t="s">
        <v>20527</v>
      </c>
      <c r="E2035" s="74"/>
      <c r="F2035" s="46" t="s">
        <v>15864</v>
      </c>
      <c r="G2035" s="75"/>
      <c r="H2035" s="98" t="str">
        <f>HYPERLINK("http://mirror.ff7data.com.ar/ff7/data/field/flevel.lgp/mrkt2.png","View Picture")</f>
        <v>View Picture</v>
      </c>
      <c r="K2035" s="43"/>
    </row>
    <row r="2036">
      <c r="A2036" s="82"/>
      <c r="B2036" s="33" t="s">
        <v>20532</v>
      </c>
      <c r="C2036" s="42">
        <v>320518.0</v>
      </c>
      <c r="D2036" s="33" t="s">
        <v>20535</v>
      </c>
      <c r="E2036" s="74"/>
      <c r="F2036" s="46" t="s">
        <v>15864</v>
      </c>
      <c r="G2036" s="75"/>
      <c r="H2036" s="98" t="str">
        <f>HYPERLINK("http://mirror.ff7data.com.ar/ff7/data/field/flevel.lgp/mrkt3.png","View Picture")</f>
        <v>View Picture</v>
      </c>
      <c r="K2036" s="43"/>
    </row>
    <row r="2037">
      <c r="A2037" s="82"/>
      <c r="B2037" s="33" t="s">
        <v>20541</v>
      </c>
      <c r="C2037" s="42">
        <v>401616.0</v>
      </c>
      <c r="D2037" s="33" t="s">
        <v>20542</v>
      </c>
      <c r="E2037" s="74"/>
      <c r="F2037" s="46" t="s">
        <v>15864</v>
      </c>
      <c r="G2037" s="75"/>
      <c r="H2037" s="98" t="str">
        <f>HYPERLINK("http://mirror.ff7data.com.ar/ff7/data/field/flevel.lgp/mrkt4.png","View Picture")</f>
        <v>View Picture</v>
      </c>
      <c r="K2037" s="43"/>
    </row>
    <row r="2038">
      <c r="A2038" s="82"/>
      <c r="B2038" s="33" t="s">
        <v>20549</v>
      </c>
      <c r="C2038" s="42">
        <v>569701.0</v>
      </c>
      <c r="D2038" s="33" t="s">
        <v>20551</v>
      </c>
      <c r="E2038" s="74"/>
      <c r="F2038" s="46" t="s">
        <v>15864</v>
      </c>
      <c r="G2038" s="75"/>
      <c r="H2038" s="98" t="str">
        <f>HYPERLINK("http://mirror.ff7data.com.ar/ff7/data/field/flevel.lgp/mtcrl_0.png","View Picture")</f>
        <v>View Picture</v>
      </c>
      <c r="K2038" s="43"/>
    </row>
    <row r="2039">
      <c r="A2039" s="82"/>
      <c r="B2039" s="33" t="s">
        <v>20557</v>
      </c>
      <c r="C2039" s="42">
        <v>498928.0</v>
      </c>
      <c r="D2039" s="33" t="s">
        <v>20551</v>
      </c>
      <c r="E2039" s="74"/>
      <c r="F2039" s="46" t="s">
        <v>15864</v>
      </c>
      <c r="G2039" s="75"/>
      <c r="H2039" s="98" t="str">
        <f>HYPERLINK("http://mirror.ff7data.com.ar/ff7/data/field/flevel.lgp/mtcrl_1.png","View Picture")</f>
        <v>View Picture</v>
      </c>
      <c r="K2039" s="43"/>
    </row>
    <row r="2040">
      <c r="A2040" s="82"/>
      <c r="B2040" s="33" t="s">
        <v>20564</v>
      </c>
      <c r="C2040" s="42">
        <v>438061.0</v>
      </c>
      <c r="D2040" s="33" t="s">
        <v>20566</v>
      </c>
      <c r="E2040" s="74"/>
      <c r="F2040" s="46" t="s">
        <v>15864</v>
      </c>
      <c r="G2040" s="75"/>
      <c r="H2040" s="98" t="str">
        <f>HYPERLINK("http://mirror.ff7data.com.ar/ff7/data/field/flevel.lgp/mtcrl_2.png","View Picture")</f>
        <v>View Picture</v>
      </c>
      <c r="K2040" s="43"/>
    </row>
    <row r="2041">
      <c r="A2041" s="82"/>
      <c r="B2041" s="33" t="s">
        <v>20574</v>
      </c>
      <c r="C2041" s="42">
        <v>269736.0</v>
      </c>
      <c r="D2041" s="33" t="s">
        <v>20575</v>
      </c>
      <c r="E2041" s="74"/>
      <c r="F2041" s="46" t="s">
        <v>15864</v>
      </c>
      <c r="G2041" s="75"/>
      <c r="H2041" s="98" t="str">
        <f>HYPERLINK("http://mirror.ff7data.com.ar/ff7/data/field/flevel.lgp/mtcrl_3.png","View Picture")</f>
        <v>View Picture</v>
      </c>
      <c r="K2041" s="43"/>
    </row>
    <row r="2042">
      <c r="A2042" s="82"/>
      <c r="B2042" s="33" t="s">
        <v>20583</v>
      </c>
      <c r="C2042" s="42">
        <v>480811.0</v>
      </c>
      <c r="D2042" s="33" t="s">
        <v>20585</v>
      </c>
      <c r="E2042" s="74"/>
      <c r="F2042" s="46" t="s">
        <v>15864</v>
      </c>
      <c r="G2042" s="46" t="s">
        <v>17164</v>
      </c>
      <c r="H2042" s="98" t="str">
        <f>HYPERLINK("http://mirror.ff7data.com.ar/ff7/data/field/flevel.lgp/mtcrl_4.png","View Picture")</f>
        <v>View Picture</v>
      </c>
      <c r="K2042" s="43"/>
    </row>
    <row r="2043">
      <c r="A2043" s="82"/>
      <c r="B2043" s="33" t="s">
        <v>20597</v>
      </c>
      <c r="C2043" s="42">
        <v>478057.0</v>
      </c>
      <c r="D2043" s="33" t="s">
        <v>20598</v>
      </c>
      <c r="E2043" s="74"/>
      <c r="F2043" s="46" t="s">
        <v>15864</v>
      </c>
      <c r="G2043" s="75"/>
      <c r="H2043" s="98" t="str">
        <f>HYPERLINK("http://mirror.ff7data.com.ar/ff7/data/field/flevel.lgp/mtcrl_5.png","View Picture")</f>
        <v>View Picture</v>
      </c>
      <c r="K2043" s="43"/>
    </row>
    <row r="2044">
      <c r="A2044" s="82"/>
      <c r="B2044" s="33" t="s">
        <v>20609</v>
      </c>
      <c r="C2044" s="42">
        <v>509431.0</v>
      </c>
      <c r="D2044" s="33" t="s">
        <v>20611</v>
      </c>
      <c r="E2044" s="74"/>
      <c r="F2044" s="46" t="s">
        <v>15864</v>
      </c>
      <c r="G2044" s="75"/>
      <c r="H2044" s="98" t="str">
        <f>HYPERLINK("http://mirror.ff7data.com.ar/ff7/data/field/flevel.lgp/mtcrl_6.png","View Picture")</f>
        <v>View Picture</v>
      </c>
      <c r="K2044" s="43"/>
    </row>
    <row r="2045">
      <c r="A2045" s="82"/>
      <c r="B2045" s="33" t="s">
        <v>20622</v>
      </c>
      <c r="C2045" s="42">
        <v>166752.0</v>
      </c>
      <c r="D2045" s="33" t="s">
        <v>20623</v>
      </c>
      <c r="E2045" s="74"/>
      <c r="F2045" s="46" t="s">
        <v>15864</v>
      </c>
      <c r="G2045" s="75"/>
      <c r="H2045" s="98" t="str">
        <f>HYPERLINK("http://mirror.ff7data.com.ar/ff7/data/field/flevel.lgp/mtcrl_7.png","View Picture")</f>
        <v>View Picture</v>
      </c>
      <c r="K2045" s="43"/>
    </row>
    <row r="2046">
      <c r="A2046" s="82"/>
      <c r="B2046" s="33" t="s">
        <v>20632</v>
      </c>
      <c r="C2046" s="42">
        <v>250841.0</v>
      </c>
      <c r="D2046" s="33" t="s">
        <v>20634</v>
      </c>
      <c r="E2046" s="74"/>
      <c r="F2046" s="46" t="s">
        <v>15864</v>
      </c>
      <c r="G2046" s="75"/>
      <c r="H2046" s="98" t="str">
        <f>HYPERLINK("http://mirror.ff7data.com.ar/ff7/data/field/flevel.lgp/mtcrl_8.png","View Picture")</f>
        <v>View Picture</v>
      </c>
      <c r="K2046" s="43"/>
    </row>
    <row r="2047">
      <c r="A2047" s="82"/>
      <c r="B2047" s="33" t="s">
        <v>20646</v>
      </c>
      <c r="C2047" s="42">
        <v>339077.0</v>
      </c>
      <c r="D2047" s="33" t="s">
        <v>20648</v>
      </c>
      <c r="E2047" s="74"/>
      <c r="F2047" s="46" t="s">
        <v>15864</v>
      </c>
      <c r="G2047" s="75"/>
      <c r="H2047" s="98" t="str">
        <f>HYPERLINK("http://mirror.ff7data.com.ar/ff7/data/field/flevel.lgp/mtcrl_9.png","View Picture")</f>
        <v>View Picture</v>
      </c>
      <c r="K2047" s="43"/>
    </row>
    <row r="2048">
      <c r="A2048" s="82"/>
      <c r="B2048" s="33" t="s">
        <v>20661</v>
      </c>
      <c r="C2048" s="42">
        <v>681629.0</v>
      </c>
      <c r="D2048" s="33" t="s">
        <v>20664</v>
      </c>
      <c r="E2048" s="74"/>
      <c r="F2048" s="46" t="s">
        <v>15864</v>
      </c>
      <c r="G2048" s="75"/>
      <c r="H2048" s="98" t="str">
        <f>HYPERLINK("http://mirror.ff7data.com.ar/ff7/data/field/flevel.lgp/mtnvl2.png","View Picture")</f>
        <v>View Picture</v>
      </c>
      <c r="K2048" s="43"/>
    </row>
    <row r="2049">
      <c r="A2049" s="82"/>
      <c r="B2049" s="33" t="s">
        <v>20671</v>
      </c>
      <c r="C2049" s="42">
        <v>600824.0</v>
      </c>
      <c r="D2049" s="33" t="s">
        <v>20672</v>
      </c>
      <c r="E2049" s="74"/>
      <c r="F2049" s="46" t="s">
        <v>15864</v>
      </c>
      <c r="G2049" s="75"/>
      <c r="H2049" s="98" t="str">
        <f>HYPERLINK("http://mirror.ff7data.com.ar/ff7/data/field/flevel.lgp/mtnvl3.png","View Picture")</f>
        <v>View Picture</v>
      </c>
      <c r="K2049" s="43"/>
    </row>
    <row r="2050">
      <c r="A2050" s="82"/>
      <c r="B2050" s="33" t="s">
        <v>20680</v>
      </c>
      <c r="C2050" s="42">
        <v>599230.0</v>
      </c>
      <c r="D2050" s="33" t="s">
        <v>20682</v>
      </c>
      <c r="E2050" s="74"/>
      <c r="F2050" s="46" t="s">
        <v>15864</v>
      </c>
      <c r="G2050" s="75"/>
      <c r="H2050" s="98" t="str">
        <f>HYPERLINK("http://mirror.ff7data.com.ar/ff7/data/field/flevel.lgp/mtnvl4.png","View Picture")</f>
        <v>View Picture</v>
      </c>
      <c r="K2050" s="43"/>
    </row>
    <row r="2051">
      <c r="A2051" s="82"/>
      <c r="B2051" s="33" t="s">
        <v>20691</v>
      </c>
      <c r="C2051" s="42">
        <v>511986.0</v>
      </c>
      <c r="D2051" s="33" t="s">
        <v>20692</v>
      </c>
      <c r="E2051" s="74"/>
      <c r="F2051" s="46" t="s">
        <v>15864</v>
      </c>
      <c r="G2051" s="75"/>
      <c r="H2051" s="98" t="str">
        <f>HYPERLINK("http://mirror.ff7data.com.ar/ff7/data/field/flevel.lgp/mtnvl5.png","View Picture")</f>
        <v>View Picture</v>
      </c>
      <c r="K2051" s="43"/>
    </row>
    <row r="2052">
      <c r="A2052" s="82"/>
      <c r="B2052" s="33" t="s">
        <v>20701</v>
      </c>
      <c r="C2052" s="42">
        <v>593782.0</v>
      </c>
      <c r="D2052" s="33" t="s">
        <v>20703</v>
      </c>
      <c r="E2052" s="74"/>
      <c r="F2052" s="46" t="s">
        <v>15864</v>
      </c>
      <c r="G2052" s="75"/>
      <c r="H2052" s="98" t="str">
        <f>HYPERLINK("http://mirror.ff7data.com.ar/ff7/data/field/flevel.lgp/mtnvl6.png","View Picture")</f>
        <v>View Picture</v>
      </c>
      <c r="K2052" s="43"/>
    </row>
    <row r="2053">
      <c r="A2053" s="82"/>
      <c r="B2053" s="33" t="s">
        <v>20712</v>
      </c>
      <c r="C2053" s="42">
        <v>262032.0</v>
      </c>
      <c r="D2053" s="33" t="s">
        <v>20714</v>
      </c>
      <c r="E2053" s="74"/>
      <c r="F2053" s="46" t="s">
        <v>15864</v>
      </c>
      <c r="G2053" s="75"/>
      <c r="H2053" s="98" t="str">
        <f>HYPERLINK("http://mirror.ff7data.com.ar/ff7/data/field/flevel.lgp/mtnvl6b.png","View Picture")</f>
        <v>View Picture</v>
      </c>
      <c r="K2053" s="43"/>
    </row>
    <row r="2054">
      <c r="A2054" s="82"/>
      <c r="B2054" s="33" t="s">
        <v>20724</v>
      </c>
      <c r="C2054" s="42">
        <v>222446.0</v>
      </c>
      <c r="D2054" s="33" t="s">
        <v>20726</v>
      </c>
      <c r="E2054" s="74"/>
      <c r="F2054" s="46" t="s">
        <v>15864</v>
      </c>
      <c r="G2054" s="75"/>
      <c r="H2054" s="98" t="str">
        <f>HYPERLINK("http://mirror.ff7data.com.ar/ff7/data/field/flevel.lgp/ncoin1.png","View Picture")</f>
        <v>View Picture</v>
      </c>
      <c r="K2054" s="43"/>
    </row>
    <row r="2055">
      <c r="A2055" s="82"/>
      <c r="B2055" s="33" t="s">
        <v>20736</v>
      </c>
      <c r="C2055" s="42">
        <v>151243.0</v>
      </c>
      <c r="D2055" s="33" t="s">
        <v>20738</v>
      </c>
      <c r="E2055" s="74"/>
      <c r="F2055" s="46" t="s">
        <v>15864</v>
      </c>
      <c r="G2055" s="75"/>
      <c r="H2055" s="98" t="str">
        <f>HYPERLINK("http://mirror.ff7data.com.ar/ff7/data/field/flevel.lgp/ncoin2.png","View Picture")</f>
        <v>View Picture</v>
      </c>
      <c r="K2055" s="43"/>
    </row>
    <row r="2056">
      <c r="A2056" s="82"/>
      <c r="B2056" s="33" t="s">
        <v>20745</v>
      </c>
      <c r="C2056" s="42">
        <v>157815.0</v>
      </c>
      <c r="D2056" s="33" t="s">
        <v>20747</v>
      </c>
      <c r="E2056" s="74"/>
      <c r="F2056" s="46" t="s">
        <v>15864</v>
      </c>
      <c r="G2056" s="75"/>
      <c r="H2056" s="98" t="str">
        <f>HYPERLINK("http://mirror.ff7data.com.ar/ff7/data/field/flevel.lgp/ncoin3.png","View Picture")</f>
        <v>View Picture</v>
      </c>
      <c r="K2056" s="43"/>
    </row>
    <row r="2057">
      <c r="A2057" s="82"/>
      <c r="B2057" s="33" t="s">
        <v>20754</v>
      </c>
      <c r="C2057" s="42">
        <v>163234.0</v>
      </c>
      <c r="D2057" s="33" t="s">
        <v>20755</v>
      </c>
      <c r="E2057" s="74"/>
      <c r="F2057" s="46" t="s">
        <v>15864</v>
      </c>
      <c r="G2057" s="75"/>
      <c r="H2057" s="98" t="str">
        <f>HYPERLINK("http://mirror.ff7data.com.ar/ff7/data/field/flevel.lgp/ncoinn.png","View Picture")</f>
        <v>View Picture</v>
      </c>
      <c r="K2057" s="43"/>
    </row>
    <row r="2058">
      <c r="A2058" s="82"/>
      <c r="B2058" s="33" t="s">
        <v>20763</v>
      </c>
      <c r="C2058" s="42">
        <v>502086.0</v>
      </c>
      <c r="D2058" s="33" t="s">
        <v>20764</v>
      </c>
      <c r="E2058" s="74"/>
      <c r="F2058" s="46" t="s">
        <v>15864</v>
      </c>
      <c r="G2058" s="75"/>
      <c r="H2058" s="98" t="str">
        <f>HYPERLINK("http://mirror.ff7data.com.ar/ff7/data/field/flevel.lgp/ncorel.png","View Picture")</f>
        <v>View Picture</v>
      </c>
      <c r="K2058" s="43"/>
    </row>
    <row r="2059">
      <c r="A2059" s="82"/>
      <c r="B2059" s="33" t="s">
        <v>20771</v>
      </c>
      <c r="C2059" s="42">
        <v>499407.0</v>
      </c>
      <c r="D2059" s="33" t="s">
        <v>20772</v>
      </c>
      <c r="E2059" s="74"/>
      <c r="F2059" s="46" t="s">
        <v>15864</v>
      </c>
      <c r="G2059" s="75"/>
      <c r="H2059" s="98" t="str">
        <f>HYPERLINK("http://mirror.ff7data.com.ar/ff7/data/field/flevel.lgp/ncorel2.png","View Picture")</f>
        <v>View Picture</v>
      </c>
      <c r="K2059" s="43"/>
    </row>
    <row r="2060">
      <c r="A2060" s="82"/>
      <c r="B2060" s="33" t="s">
        <v>20779</v>
      </c>
      <c r="C2060" s="42">
        <v>496746.0</v>
      </c>
      <c r="D2060" s="33" t="s">
        <v>20781</v>
      </c>
      <c r="E2060" s="74"/>
      <c r="F2060" s="46" t="s">
        <v>15864</v>
      </c>
      <c r="G2060" s="75"/>
      <c r="H2060" s="98" t="str">
        <f>HYPERLINK("http://mirror.ff7data.com.ar/ff7/data/field/flevel.lgp/ncorel3.png","View Picture")</f>
        <v>View Picture</v>
      </c>
      <c r="K2060" s="43"/>
    </row>
    <row r="2061">
      <c r="A2061" s="82"/>
      <c r="B2061" s="33" t="s">
        <v>20790</v>
      </c>
      <c r="C2061" s="42">
        <v>249102.0</v>
      </c>
      <c r="D2061" s="33" t="s">
        <v>20792</v>
      </c>
      <c r="E2061" s="74"/>
      <c r="F2061" s="46" t="s">
        <v>15864</v>
      </c>
      <c r="G2061" s="75"/>
      <c r="H2061" s="98" t="str">
        <f>HYPERLINK("http://mirror.ff7data.com.ar/ff7/data/field/flevel.lgp/niv_cl.png","View Picture")</f>
        <v>View Picture</v>
      </c>
      <c r="K2061" s="43"/>
    </row>
    <row r="2062">
      <c r="A2062" s="82"/>
      <c r="B2062" s="33" t="s">
        <v>20800</v>
      </c>
      <c r="C2062" s="42">
        <v>316076.0</v>
      </c>
      <c r="D2062" s="33" t="s">
        <v>20802</v>
      </c>
      <c r="E2062" s="74"/>
      <c r="F2062" s="46" t="s">
        <v>15864</v>
      </c>
      <c r="G2062" s="75"/>
      <c r="H2062" s="98" t="str">
        <f>HYPERLINK("http://mirror.ff7data.com.ar/ff7/data/field/flevel.lgp/niv_ti1.png","View Picture")</f>
        <v>View Picture</v>
      </c>
      <c r="K2062" s="43"/>
    </row>
    <row r="2063">
      <c r="A2063" s="82"/>
      <c r="B2063" s="33" t="s">
        <v>20811</v>
      </c>
      <c r="C2063" s="42">
        <v>405448.0</v>
      </c>
      <c r="D2063" s="33" t="s">
        <v>20812</v>
      </c>
      <c r="E2063" s="74"/>
      <c r="F2063" s="46" t="s">
        <v>15864</v>
      </c>
      <c r="G2063" s="75"/>
      <c r="H2063" s="98" t="str">
        <f>HYPERLINK("http://mirror.ff7data.com.ar/ff7/data/field/flevel.lgp/niv_ti2.png","View Picture")</f>
        <v>View Picture</v>
      </c>
      <c r="K2063" s="43"/>
    </row>
    <row r="2064">
      <c r="A2064" s="82"/>
      <c r="B2064" s="33" t="s">
        <v>20821</v>
      </c>
      <c r="C2064" s="42">
        <v>322978.0</v>
      </c>
      <c r="D2064" s="33" t="s">
        <v>20822</v>
      </c>
      <c r="E2064" s="74"/>
      <c r="F2064" s="46" t="s">
        <v>15864</v>
      </c>
      <c r="G2064" s="75"/>
      <c r="H2064" s="98" t="str">
        <f>HYPERLINK("http://mirror.ff7data.com.ar/ff7/data/field/flevel.lgp/niv_ti3.png","View Picture")</f>
        <v>View Picture</v>
      </c>
      <c r="K2064" s="43"/>
    </row>
    <row r="2065">
      <c r="A2065" s="82"/>
      <c r="B2065" s="33" t="s">
        <v>20831</v>
      </c>
      <c r="C2065" s="42">
        <v>331772.0</v>
      </c>
      <c r="D2065" s="33" t="s">
        <v>20822</v>
      </c>
      <c r="E2065" s="74"/>
      <c r="F2065" s="46" t="s">
        <v>15864</v>
      </c>
      <c r="G2065" s="75"/>
      <c r="H2065" s="98" t="str">
        <f>HYPERLINK("http://mirror.ff7data.com.ar/ff7/data/field/flevel.lgp/niv_ti4.png","View Picture")</f>
        <v>View Picture</v>
      </c>
      <c r="K2065" s="43"/>
    </row>
    <row r="2066">
      <c r="A2066" s="82"/>
      <c r="B2066" s="33" t="s">
        <v>20838</v>
      </c>
      <c r="C2066" s="42">
        <v>308753.0</v>
      </c>
      <c r="D2066" s="33" t="s">
        <v>20840</v>
      </c>
      <c r="E2066" s="74"/>
      <c r="F2066" s="46" t="s">
        <v>15864</v>
      </c>
      <c r="G2066" s="75"/>
      <c r="H2066" s="98" t="str">
        <f>HYPERLINK("http://mirror.ff7data.com.ar/ff7/data/field/flevel.lgp/niv_w.png","View Picture")</f>
        <v>View Picture</v>
      </c>
      <c r="K2066" s="43"/>
    </row>
    <row r="2067">
      <c r="A2067" s="82"/>
      <c r="B2067" s="33" t="s">
        <v>20846</v>
      </c>
      <c r="C2067" s="42">
        <v>167651.0</v>
      </c>
      <c r="D2067" s="33" t="s">
        <v>20848</v>
      </c>
      <c r="E2067" s="74"/>
      <c r="F2067" s="46" t="s">
        <v>15864</v>
      </c>
      <c r="G2067" s="75"/>
      <c r="H2067" s="98" t="str">
        <f>HYPERLINK("http://mirror.ff7data.com.ar/ff7/data/field/flevel.lgp/nivgate.png","View Picture")</f>
        <v>View Picture</v>
      </c>
      <c r="K2067" s="43"/>
    </row>
    <row r="2068">
      <c r="A2068" s="82"/>
      <c r="B2068" s="33" t="s">
        <v>20853</v>
      </c>
      <c r="C2068" s="42">
        <v>436297.0</v>
      </c>
      <c r="D2068" s="33" t="s">
        <v>20848</v>
      </c>
      <c r="E2068" s="74"/>
      <c r="F2068" s="46" t="s">
        <v>15864</v>
      </c>
      <c r="G2068" s="46" t="s">
        <v>17164</v>
      </c>
      <c r="H2068" s="98" t="str">
        <f>HYPERLINK("http://mirror.ff7data.com.ar/ff7/data/field/flevel.lgp/nivgate2.png","View Picture")</f>
        <v>View Picture</v>
      </c>
      <c r="K2068" s="43"/>
    </row>
    <row r="2069">
      <c r="A2069" s="82"/>
      <c r="B2069" s="33" t="s">
        <v>20861</v>
      </c>
      <c r="C2069" s="42">
        <v>430809.0</v>
      </c>
      <c r="D2069" s="33" t="s">
        <v>20848</v>
      </c>
      <c r="E2069" s="74"/>
      <c r="F2069" s="46" t="s">
        <v>15864</v>
      </c>
      <c r="G2069" s="46" t="s">
        <v>17164</v>
      </c>
      <c r="H2069" s="98" t="str">
        <f>HYPERLINK("http://mirror.ff7data.com.ar/ff7/data/field/flevel.lgp/nivgate3.png","View Picture")</f>
        <v>View Picture</v>
      </c>
      <c r="K2069" s="43"/>
    </row>
    <row r="2070">
      <c r="A2070" s="82"/>
      <c r="B2070" s="33" t="s">
        <v>20869</v>
      </c>
      <c r="C2070" s="42">
        <v>158298.0</v>
      </c>
      <c r="D2070" s="33" t="s">
        <v>20871</v>
      </c>
      <c r="E2070" s="74"/>
      <c r="F2070" s="46" t="s">
        <v>15864</v>
      </c>
      <c r="G2070" s="75"/>
      <c r="H2070" s="98" t="str">
        <f>HYPERLINK("http://mirror.ff7data.com.ar/ff7/data/field/flevel.lgp/nivgate4.png","View Picture")</f>
        <v>View Picture</v>
      </c>
      <c r="K2070" s="43"/>
    </row>
    <row r="2071">
      <c r="A2071" s="82"/>
      <c r="B2071" s="33" t="s">
        <v>20878</v>
      </c>
      <c r="C2071" s="42">
        <v>335086.0</v>
      </c>
      <c r="D2071" s="33" t="s">
        <v>20880</v>
      </c>
      <c r="E2071" s="74"/>
      <c r="F2071" s="46" t="s">
        <v>15864</v>
      </c>
      <c r="G2071" s="75"/>
      <c r="H2071" s="98" t="str">
        <f>HYPERLINK("http://mirror.ff7data.com.ar/ff7/data/field/flevel.lgp/nivinn_1.png","View Picture")</f>
        <v>View Picture</v>
      </c>
      <c r="K2071" s="43"/>
    </row>
    <row r="2072">
      <c r="A2072" s="82"/>
      <c r="B2072" s="33" t="s">
        <v>20886</v>
      </c>
      <c r="C2072" s="42">
        <v>397652.0</v>
      </c>
      <c r="D2072" s="33" t="s">
        <v>20888</v>
      </c>
      <c r="E2072" s="74"/>
      <c r="F2072" s="46" t="s">
        <v>15864</v>
      </c>
      <c r="G2072" s="75"/>
      <c r="H2072" s="98" t="str">
        <f>HYPERLINK("http://mirror.ff7data.com.ar/ff7/data/field/flevel.lgp/nivinn_2.png","View Picture")</f>
        <v>View Picture</v>
      </c>
      <c r="K2072" s="43"/>
    </row>
    <row r="2073">
      <c r="A2073" s="82"/>
      <c r="B2073" s="33" t="s">
        <v>20900</v>
      </c>
      <c r="C2073" s="42">
        <v>395390.0</v>
      </c>
      <c r="D2073" s="33" t="s">
        <v>20901</v>
      </c>
      <c r="E2073" s="74"/>
      <c r="F2073" s="46" t="s">
        <v>15864</v>
      </c>
      <c r="G2073" s="75"/>
      <c r="H2073" s="98" t="str">
        <f>HYPERLINK("http://mirror.ff7data.com.ar/ff7/data/field/flevel.lgp/nivinn_3.png","View Picture")</f>
        <v>View Picture</v>
      </c>
      <c r="K2073" s="43"/>
    </row>
    <row r="2074">
      <c r="A2074" s="82"/>
      <c r="B2074" s="33" t="s">
        <v>20907</v>
      </c>
      <c r="C2074" s="42">
        <v>503685.0</v>
      </c>
      <c r="D2074" s="33" t="s">
        <v>20908</v>
      </c>
      <c r="E2074" s="74"/>
      <c r="F2074" s="46" t="s">
        <v>15864</v>
      </c>
      <c r="G2074" s="75"/>
      <c r="H2074" s="98" t="str">
        <f>HYPERLINK("http://mirror.ff7data.com.ar/ff7/data/field/flevel.lgp/nivl.png","View Picture")</f>
        <v>View Picture</v>
      </c>
      <c r="K2074" s="43"/>
    </row>
    <row r="2075">
      <c r="A2075" s="82"/>
      <c r="B2075" s="33" t="s">
        <v>20918</v>
      </c>
      <c r="C2075" s="42">
        <v>491878.0</v>
      </c>
      <c r="D2075" s="33" t="s">
        <v>20919</v>
      </c>
      <c r="E2075" s="74"/>
      <c r="F2075" s="46" t="s">
        <v>15864</v>
      </c>
      <c r="G2075" s="75"/>
      <c r="H2075" s="98" t="str">
        <f>HYPERLINK("http://mirror.ff7data.com.ar/ff7/data/field/flevel.lgp/nivl_2.png","View Picture")</f>
        <v>View Picture</v>
      </c>
      <c r="K2075" s="43"/>
    </row>
    <row r="2076">
      <c r="A2076" s="82"/>
      <c r="B2076" s="33" t="s">
        <v>20925</v>
      </c>
      <c r="C2076" s="42">
        <v>508787.0</v>
      </c>
      <c r="D2076" s="33" t="s">
        <v>20927</v>
      </c>
      <c r="E2076" s="74"/>
      <c r="F2076" s="46" t="s">
        <v>15864</v>
      </c>
      <c r="G2076" s="75"/>
      <c r="H2076" s="98" t="str">
        <f>HYPERLINK("http://mirror.ff7data.com.ar/ff7/data/field/flevel.lgp/nivl_3.png","View Picture")</f>
        <v>View Picture</v>
      </c>
      <c r="K2076" s="43"/>
    </row>
    <row r="2077">
      <c r="A2077" s="82"/>
      <c r="B2077" s="33" t="s">
        <v>20934</v>
      </c>
      <c r="C2077" s="42">
        <v>492311.0</v>
      </c>
      <c r="D2077" s="33" t="s">
        <v>20935</v>
      </c>
      <c r="E2077" s="74"/>
      <c r="F2077" s="46" t="s">
        <v>15864</v>
      </c>
      <c r="G2077" s="75"/>
      <c r="H2077" s="98" t="str">
        <f>HYPERLINK("http://mirror.ff7data.com.ar/ff7/data/field/flevel.lgp/nivl_4.png","View Picture")</f>
        <v>View Picture</v>
      </c>
      <c r="K2077" s="43"/>
    </row>
    <row r="2078">
      <c r="A2078" s="82"/>
      <c r="B2078" s="33" t="s">
        <v>20940</v>
      </c>
      <c r="C2078" s="42">
        <v>422407.0</v>
      </c>
      <c r="D2078" s="33" t="s">
        <v>20941</v>
      </c>
      <c r="E2078" s="74"/>
      <c r="F2078" s="46" t="s">
        <v>15864</v>
      </c>
      <c r="G2078" s="75"/>
      <c r="H2078" s="98" t="str">
        <f>HYPERLINK("http://mirror.ff7data.com.ar/ff7/data/field/flevel.lgp/nivl_b1.png","View Picture")</f>
        <v>View Picture</v>
      </c>
      <c r="K2078" s="43"/>
    </row>
    <row r="2079">
      <c r="A2079" s="82"/>
      <c r="B2079" s="33" t="s">
        <v>20947</v>
      </c>
      <c r="C2079" s="42">
        <v>422553.0</v>
      </c>
      <c r="D2079" s="33" t="s">
        <v>20949</v>
      </c>
      <c r="E2079" s="74"/>
      <c r="F2079" s="46" t="s">
        <v>15864</v>
      </c>
      <c r="G2079" s="74"/>
      <c r="H2079" s="98" t="str">
        <f>HYPERLINK("http://mirror.ff7data.com.ar/ff7/data/field/flevel.lgp/nivl_b12.png","View Picture")</f>
        <v>View Picture</v>
      </c>
      <c r="K2079" s="43"/>
    </row>
    <row r="2080">
      <c r="A2080" s="82"/>
      <c r="B2080" s="33" t="s">
        <v>20955</v>
      </c>
      <c r="C2080" s="42">
        <v>653800.0</v>
      </c>
      <c r="D2080" s="33" t="s">
        <v>20949</v>
      </c>
      <c r="E2080" s="74"/>
      <c r="F2080" s="46" t="s">
        <v>15864</v>
      </c>
      <c r="G2080" s="46" t="s">
        <v>15901</v>
      </c>
      <c r="H2080" s="98" t="str">
        <f>HYPERLINK("http://mirror.ff7data.com.ar/ff7/data/field/flevel.lgp/nivl_b2.png","View Picture")</f>
        <v>View Picture</v>
      </c>
      <c r="K2080" s="43"/>
    </row>
    <row r="2081">
      <c r="A2081" s="82"/>
      <c r="B2081" s="33" t="s">
        <v>20965</v>
      </c>
      <c r="C2081" s="42">
        <v>657664.0</v>
      </c>
      <c r="D2081" s="33" t="s">
        <v>20949</v>
      </c>
      <c r="E2081" s="74"/>
      <c r="F2081" s="46" t="s">
        <v>15864</v>
      </c>
      <c r="G2081" s="46" t="s">
        <v>15901</v>
      </c>
      <c r="H2081" s="98" t="str">
        <f>HYPERLINK("http://mirror.ff7data.com.ar/ff7/data/field/flevel.lgp/nivl_b22.png","View Picture")</f>
        <v>View Picture</v>
      </c>
      <c r="K2081" s="43"/>
    </row>
    <row r="2082">
      <c r="A2082" s="82"/>
      <c r="B2082" s="33" t="s">
        <v>20974</v>
      </c>
      <c r="C2082" s="42">
        <v>318691.0</v>
      </c>
      <c r="D2082" s="33" t="s">
        <v>20976</v>
      </c>
      <c r="E2082" s="74"/>
      <c r="F2082" s="46" t="s">
        <v>15864</v>
      </c>
      <c r="G2082" s="75"/>
      <c r="H2082" s="98" t="str">
        <f>HYPERLINK("http://mirror.ff7data.com.ar/ff7/data/field/flevel.lgp/nivl_e1.png","View Picture")</f>
        <v>View Picture</v>
      </c>
      <c r="K2082" s="43"/>
    </row>
    <row r="2083">
      <c r="A2083" s="82"/>
      <c r="B2083" s="33" t="s">
        <v>20984</v>
      </c>
      <c r="C2083" s="42">
        <v>382840.0</v>
      </c>
      <c r="D2083" s="33" t="s">
        <v>20985</v>
      </c>
      <c r="E2083" s="74"/>
      <c r="F2083" s="46" t="s">
        <v>15864</v>
      </c>
      <c r="G2083" s="46" t="s">
        <v>17164</v>
      </c>
      <c r="H2083" s="98" t="str">
        <f>HYPERLINK("http://mirror.ff7data.com.ar/ff7/data/field/flevel.lgp/nivl_e2.png","View Picture")</f>
        <v>View Picture</v>
      </c>
      <c r="K2083" s="43"/>
    </row>
    <row r="2084">
      <c r="A2084" s="82"/>
      <c r="B2084" s="33" t="s">
        <v>20992</v>
      </c>
      <c r="C2084" s="42">
        <v>154663.0</v>
      </c>
      <c r="D2084" s="33" t="s">
        <v>20993</v>
      </c>
      <c r="E2084" s="74"/>
      <c r="F2084" s="46" t="s">
        <v>15864</v>
      </c>
      <c r="G2084" s="46" t="s">
        <v>17164</v>
      </c>
      <c r="H2084" s="98" t="str">
        <f>HYPERLINK("http://mirror.ff7data.com.ar/ff7/data/field/flevel.lgp/nivl_e3.png","View Picture")</f>
        <v>View Picture</v>
      </c>
      <c r="K2084" s="43"/>
    </row>
    <row r="2085">
      <c r="A2085" s="82"/>
      <c r="B2085" s="33" t="s">
        <v>21001</v>
      </c>
      <c r="C2085" s="42">
        <v>425720.0</v>
      </c>
      <c r="D2085" s="33" t="s">
        <v>21002</v>
      </c>
      <c r="E2085" s="74"/>
      <c r="F2085" s="46" t="s">
        <v>15864</v>
      </c>
      <c r="G2085" s="75"/>
      <c r="H2085" s="98" t="str">
        <f>HYPERLINK("http://mirror.ff7data.com.ar/ff7/data/field/flevel.lgp/nmkin_1.png","View Picture")</f>
        <v>View Picture</v>
      </c>
      <c r="K2085" s="43"/>
    </row>
    <row r="2086">
      <c r="A2086" s="82"/>
      <c r="B2086" s="33" t="s">
        <v>21009</v>
      </c>
      <c r="C2086" s="42">
        <v>590112.0</v>
      </c>
      <c r="D2086" s="33" t="s">
        <v>21011</v>
      </c>
      <c r="E2086" s="74"/>
      <c r="F2086" s="46" t="s">
        <v>15864</v>
      </c>
      <c r="G2086" s="75"/>
      <c r="H2086" s="98" t="str">
        <f>HYPERLINK("http://mirror.ff7data.com.ar/ff7/data/field/flevel.lgp/nmkin_2.png","View Picture")</f>
        <v>View Picture</v>
      </c>
      <c r="K2086" s="43"/>
    </row>
    <row r="2087">
      <c r="A2087" s="82"/>
      <c r="B2087" s="33" t="s">
        <v>21016</v>
      </c>
      <c r="C2087" s="42">
        <v>659050.0</v>
      </c>
      <c r="D2087" s="33" t="s">
        <v>21017</v>
      </c>
      <c r="E2087" s="74"/>
      <c r="F2087" s="46" t="s">
        <v>15864</v>
      </c>
      <c r="G2087" s="75"/>
      <c r="H2087" s="98" t="str">
        <f>HYPERLINK("http://mirror.ff7data.com.ar/ff7/data/field/flevel.lgp/nmkin_3.png","View Picture")</f>
        <v>View Picture</v>
      </c>
      <c r="K2087" s="43"/>
    </row>
    <row r="2088">
      <c r="A2088" s="82"/>
      <c r="B2088" s="33" t="s">
        <v>21025</v>
      </c>
      <c r="C2088" s="42">
        <v>584712.0</v>
      </c>
      <c r="D2088" s="33" t="s">
        <v>21026</v>
      </c>
      <c r="E2088" s="74"/>
      <c r="F2088" s="46" t="s">
        <v>15864</v>
      </c>
      <c r="G2088" s="75"/>
      <c r="H2088" s="98" t="str">
        <f>HYPERLINK("http://mirror.ff7data.com.ar/ff7/data/field/flevel.lgp/nmkin_4.png","View Picture")</f>
        <v>View Picture</v>
      </c>
      <c r="K2088" s="43"/>
    </row>
    <row r="2089">
      <c r="A2089" s="82"/>
      <c r="B2089" s="33" t="s">
        <v>21033</v>
      </c>
      <c r="C2089" s="42">
        <v>661871.0</v>
      </c>
      <c r="D2089" s="33" t="s">
        <v>21026</v>
      </c>
      <c r="E2089" s="74"/>
      <c r="F2089" s="46" t="s">
        <v>15864</v>
      </c>
      <c r="G2089" s="75"/>
      <c r="H2089" s="98" t="str">
        <f>HYPERLINK("http://mirror.ff7data.com.ar/ff7/data/field/flevel.lgp/nmkin_5.png","View Picture")</f>
        <v>View Picture</v>
      </c>
      <c r="K2089" s="43"/>
    </row>
    <row r="2090">
      <c r="A2090" s="82"/>
      <c r="B2090" s="33" t="s">
        <v>21042</v>
      </c>
      <c r="C2090" s="42">
        <v>424669.0</v>
      </c>
      <c r="D2090" s="33" t="s">
        <v>21043</v>
      </c>
      <c r="E2090" s="74"/>
      <c r="F2090" s="46" t="s">
        <v>15864</v>
      </c>
      <c r="G2090" s="75"/>
      <c r="H2090" s="98" t="str">
        <f>HYPERLINK("http://mirror.ff7data.com.ar/ff7/data/field/flevel.lgp/nrthmk.png","View Picture")</f>
        <v>View Picture</v>
      </c>
      <c r="K2090" s="43"/>
    </row>
    <row r="2091">
      <c r="A2091" s="82"/>
      <c r="B2091" s="33" t="s">
        <v>21050</v>
      </c>
      <c r="C2091" s="42">
        <v>451175.0</v>
      </c>
      <c r="D2091" s="33" t="s">
        <v>21051</v>
      </c>
      <c r="E2091" s="74"/>
      <c r="F2091" s="46" t="s">
        <v>15864</v>
      </c>
      <c r="G2091" s="75"/>
      <c r="H2091" s="98" t="str">
        <f>HYPERLINK("http://mirror.ff7data.com.ar/ff7/data/field/flevel.lgp/nvdun1.png","View Picture")</f>
        <v>View Picture</v>
      </c>
      <c r="K2091" s="43"/>
    </row>
    <row r="2092">
      <c r="A2092" s="82"/>
      <c r="B2092" s="33" t="s">
        <v>21058</v>
      </c>
      <c r="C2092" s="42">
        <v>427276.0</v>
      </c>
      <c r="D2092" s="33" t="s">
        <v>21059</v>
      </c>
      <c r="E2092" s="74"/>
      <c r="F2092" s="46" t="s">
        <v>15864</v>
      </c>
      <c r="G2092" s="75"/>
      <c r="H2092" s="98" t="str">
        <f>HYPERLINK("http://mirror.ff7data.com.ar/ff7/data/field/flevel.lgp/nvdun2.png","View Picture")</f>
        <v>View Picture</v>
      </c>
      <c r="K2092" s="43"/>
    </row>
    <row r="2093">
      <c r="A2093" s="82"/>
      <c r="B2093" s="33" t="s">
        <v>21063</v>
      </c>
      <c r="C2093" s="42">
        <v>598043.0</v>
      </c>
      <c r="D2093" s="33" t="s">
        <v>21059</v>
      </c>
      <c r="E2093" s="74"/>
      <c r="F2093" s="46" t="s">
        <v>15864</v>
      </c>
      <c r="G2093" s="75"/>
      <c r="H2093" s="98" t="str">
        <f>HYPERLINK("http://mirror.ff7data.com.ar/ff7/data/field/flevel.lgp/nvdun3.png","View Picture")</f>
        <v>View Picture</v>
      </c>
      <c r="K2093" s="43"/>
    </row>
    <row r="2094">
      <c r="A2094" s="82"/>
      <c r="B2094" s="33" t="s">
        <v>21069</v>
      </c>
      <c r="C2094" s="42">
        <v>342680.0</v>
      </c>
      <c r="D2094" s="33" t="s">
        <v>21070</v>
      </c>
      <c r="E2094" s="74"/>
      <c r="F2094" s="46" t="s">
        <v>15864</v>
      </c>
      <c r="G2094" s="75"/>
      <c r="H2094" s="98" t="str">
        <f>HYPERLINK("http://mirror.ff7data.com.ar/ff7/data/field/flevel.lgp/nvdun31.png","View Picture")</f>
        <v>View Picture</v>
      </c>
      <c r="K2094" s="43"/>
    </row>
    <row r="2095">
      <c r="A2095" s="82"/>
      <c r="B2095" s="33" t="s">
        <v>21074</v>
      </c>
      <c r="C2095" s="42">
        <v>600867.0</v>
      </c>
      <c r="D2095" s="33" t="s">
        <v>21059</v>
      </c>
      <c r="E2095" s="74"/>
      <c r="F2095" s="46" t="s">
        <v>15864</v>
      </c>
      <c r="G2095" s="75"/>
      <c r="H2095" s="98" t="str">
        <f>HYPERLINK("http://mirror.ff7data.com.ar/ff7/data/field/flevel.lgp/nvdun4.png","View Picture")</f>
        <v>View Picture</v>
      </c>
      <c r="K2095" s="43"/>
    </row>
    <row r="2096">
      <c r="A2096" s="82"/>
      <c r="B2096" s="33" t="s">
        <v>21078</v>
      </c>
      <c r="C2096" s="42">
        <v>316696.0</v>
      </c>
      <c r="D2096" s="33" t="s">
        <v>20840</v>
      </c>
      <c r="E2096" s="74"/>
      <c r="F2096" s="46" t="s">
        <v>15864</v>
      </c>
      <c r="G2096" s="75"/>
      <c r="H2096" s="98" t="str">
        <f>HYPERLINK("http://mirror.ff7data.com.ar/ff7/data/field/flevel.lgp/nvmin1_1.png","View Picture")</f>
        <v>View Picture</v>
      </c>
      <c r="K2096" s="43"/>
    </row>
    <row r="2097">
      <c r="A2097" s="82"/>
      <c r="B2097" s="33" t="s">
        <v>21085</v>
      </c>
      <c r="C2097" s="42">
        <v>225484.0</v>
      </c>
      <c r="D2097" s="33" t="s">
        <v>21087</v>
      </c>
      <c r="E2097" s="74"/>
      <c r="F2097" s="46" t="s">
        <v>15864</v>
      </c>
      <c r="G2097" s="75"/>
      <c r="H2097" s="98" t="str">
        <f>HYPERLINK("http://mirror.ff7data.com.ar/ff7/data/field/flevel.lgp/nvmin1_2.png","View Picture")</f>
        <v>View Picture</v>
      </c>
      <c r="K2097" s="43"/>
    </row>
    <row r="2098">
      <c r="A2098" s="82"/>
      <c r="B2098" s="33" t="s">
        <v>21095</v>
      </c>
      <c r="C2098" s="42">
        <v>586867.0</v>
      </c>
      <c r="D2098" s="33" t="s">
        <v>21097</v>
      </c>
      <c r="E2098" s="74"/>
      <c r="F2098" s="46" t="s">
        <v>15864</v>
      </c>
      <c r="G2098" s="75"/>
      <c r="H2098" s="98" t="str">
        <f>HYPERLINK("http://mirror.ff7data.com.ar/ff7/data/field/flevel.lgp/nvmkin1.png","View Picture")</f>
        <v>View Picture</v>
      </c>
      <c r="K2098" s="43"/>
    </row>
    <row r="2099">
      <c r="A2099" s="82"/>
      <c r="B2099" s="33" t="s">
        <v>21105</v>
      </c>
      <c r="C2099" s="42">
        <v>512154.0</v>
      </c>
      <c r="D2099" s="33" t="s">
        <v>21109</v>
      </c>
      <c r="E2099" s="74"/>
      <c r="F2099" s="46" t="s">
        <v>15864</v>
      </c>
      <c r="G2099" s="75"/>
      <c r="H2099" s="98" t="str">
        <f>HYPERLINK("http://mirror.ff7data.com.ar/ff7/data/field/flevel.lgp/nvmkin21.png","View Picture")</f>
        <v>View Picture</v>
      </c>
      <c r="K2099" s="43"/>
    </row>
    <row r="2100">
      <c r="A2100" s="82"/>
      <c r="B2100" s="33" t="s">
        <v>21115</v>
      </c>
      <c r="C2100" s="42">
        <v>507843.0</v>
      </c>
      <c r="D2100" s="33" t="s">
        <v>21116</v>
      </c>
      <c r="E2100" s="74"/>
      <c r="F2100" s="46" t="s">
        <v>15864</v>
      </c>
      <c r="G2100" s="75"/>
      <c r="H2100" s="98" t="str">
        <f>HYPERLINK("http://mirror.ff7data.com.ar/ff7/data/field/flevel.lgp/nvmkin22.png","View Picture")</f>
        <v>View Picture</v>
      </c>
      <c r="K2100" s="43"/>
    </row>
    <row r="2101">
      <c r="A2101" s="82"/>
      <c r="B2101" s="33" t="s">
        <v>21123</v>
      </c>
      <c r="C2101" s="42">
        <v>504327.0</v>
      </c>
      <c r="D2101" s="33" t="s">
        <v>21125</v>
      </c>
      <c r="E2101" s="74"/>
      <c r="F2101" s="46" t="s">
        <v>15864</v>
      </c>
      <c r="G2101" s="75"/>
      <c r="H2101" s="98" t="str">
        <f>HYPERLINK("http://mirror.ff7data.com.ar/ff7/data/field/flevel.lgp/nvmkin23.png","View Picture")</f>
        <v>View Picture</v>
      </c>
      <c r="K2101" s="43"/>
    </row>
    <row r="2102">
      <c r="A2102" s="82"/>
      <c r="B2102" s="33" t="s">
        <v>21133</v>
      </c>
      <c r="C2102" s="42">
        <v>338673.0</v>
      </c>
      <c r="D2102" s="33" t="s">
        <v>21134</v>
      </c>
      <c r="E2102" s="74"/>
      <c r="F2102" s="46" t="s">
        <v>15864</v>
      </c>
      <c r="G2102" s="75"/>
      <c r="H2102" s="98" t="str">
        <f>HYPERLINK("http://mirror.ff7data.com.ar/ff7/data/field/flevel.lgp/nvmkin31.png","View Picture")</f>
        <v>View Picture</v>
      </c>
      <c r="K2102" s="43"/>
    </row>
    <row r="2103">
      <c r="A2103" s="82"/>
      <c r="B2103" s="33" t="s">
        <v>21140</v>
      </c>
      <c r="C2103" s="42">
        <v>349779.0</v>
      </c>
      <c r="D2103" s="33" t="s">
        <v>21141</v>
      </c>
      <c r="E2103" s="74"/>
      <c r="F2103" s="46" t="s">
        <v>15864</v>
      </c>
      <c r="G2103" s="75"/>
      <c r="H2103" s="98" t="str">
        <f>HYPERLINK("http://mirror.ff7data.com.ar/ff7/data/field/flevel.lgp/nvmkin32.png","View Picture")</f>
        <v>View Picture</v>
      </c>
      <c r="K2103" s="43"/>
    </row>
    <row r="2104">
      <c r="A2104" s="82"/>
      <c r="B2104" s="33" t="s">
        <v>21150</v>
      </c>
      <c r="C2104" s="42">
        <v>475000.0</v>
      </c>
      <c r="D2104" s="33" t="s">
        <v>21152</v>
      </c>
      <c r="E2104" s="74"/>
      <c r="F2104" s="46" t="s">
        <v>15864</v>
      </c>
      <c r="G2104" s="75"/>
      <c r="H2104" s="98" t="str">
        <f>HYPERLINK("http://mirror.ff7data.com.ar/ff7/data/field/flevel.lgp/onna_2.png","View Picture")</f>
        <v>View Picture</v>
      </c>
      <c r="K2104" s="43"/>
    </row>
    <row r="2105">
      <c r="A2105" s="82"/>
      <c r="B2105" s="33" t="s">
        <v>21160</v>
      </c>
      <c r="C2105" s="42">
        <v>572676.0</v>
      </c>
      <c r="D2105" s="33" t="s">
        <v>21162</v>
      </c>
      <c r="E2105" s="74"/>
      <c r="F2105" s="46" t="s">
        <v>15864</v>
      </c>
      <c r="G2105" s="75"/>
      <c r="H2105" s="98" t="str">
        <f>HYPERLINK("http://mirror.ff7data.com.ar/ff7/data/field/flevel.lgp/onna_4.png","View Picture")</f>
        <v>View Picture</v>
      </c>
      <c r="K2105" s="43"/>
    </row>
    <row r="2106">
      <c r="A2106" s="82"/>
      <c r="B2106" s="33" t="s">
        <v>21171</v>
      </c>
      <c r="C2106" s="42">
        <v>700657.0</v>
      </c>
      <c r="D2106" s="33" t="s">
        <v>21172</v>
      </c>
      <c r="E2106" s="74"/>
      <c r="F2106" s="46" t="s">
        <v>15864</v>
      </c>
      <c r="G2106" s="75"/>
      <c r="H2106" s="98" t="str">
        <f>HYPERLINK("http://mirror.ff7data.com.ar/ff7/data/field/flevel.lgp/onna_5.png","View Picture")</f>
        <v>View Picture</v>
      </c>
      <c r="K2106" s="43"/>
    </row>
    <row r="2107">
      <c r="A2107" s="82"/>
      <c r="B2107" s="33" t="s">
        <v>21181</v>
      </c>
      <c r="C2107" s="42">
        <v>582373.0</v>
      </c>
      <c r="D2107" s="33" t="s">
        <v>21183</v>
      </c>
      <c r="E2107" s="74"/>
      <c r="F2107" s="46" t="s">
        <v>15864</v>
      </c>
      <c r="G2107" s="75"/>
      <c r="H2107" s="98" t="str">
        <f>HYPERLINK("http://mirror.ff7data.com.ar/ff7/data/field/flevel.lgp/onna_52.png","View Picture")</f>
        <v>View Picture</v>
      </c>
      <c r="K2107" s="43"/>
    </row>
    <row r="2108">
      <c r="A2108" s="82"/>
      <c r="B2108" s="33" t="s">
        <v>21192</v>
      </c>
      <c r="C2108" s="42">
        <v>494478.0</v>
      </c>
      <c r="D2108" s="33" t="s">
        <v>21195</v>
      </c>
      <c r="E2108" s="74"/>
      <c r="F2108" s="46" t="s">
        <v>15864</v>
      </c>
      <c r="G2108" s="75"/>
      <c r="H2108" s="98" t="str">
        <f>HYPERLINK("http://mirror.ff7data.com.ar/ff7/data/field/flevel.lgp/pillar_1.png","View Picture")</f>
        <v>View Picture</v>
      </c>
      <c r="K2108" s="43"/>
    </row>
    <row r="2109">
      <c r="A2109" s="82"/>
      <c r="B2109" s="33" t="s">
        <v>21203</v>
      </c>
      <c r="C2109" s="42">
        <v>583513.0</v>
      </c>
      <c r="D2109" s="33" t="s">
        <v>21204</v>
      </c>
      <c r="E2109" s="74"/>
      <c r="F2109" s="46" t="s">
        <v>15864</v>
      </c>
      <c r="G2109" s="75"/>
      <c r="H2109" s="98" t="str">
        <f>HYPERLINK("http://mirror.ff7data.com.ar/ff7/data/field/flevel.lgp/pillar_2.png","View Picture")</f>
        <v>View Picture</v>
      </c>
      <c r="K2109" s="43"/>
    </row>
    <row r="2110">
      <c r="A2110" s="82"/>
      <c r="B2110" s="33" t="s">
        <v>21209</v>
      </c>
      <c r="C2110" s="42">
        <v>279344.0</v>
      </c>
      <c r="D2110" s="33" t="s">
        <v>21204</v>
      </c>
      <c r="E2110" s="74"/>
      <c r="F2110" s="46" t="s">
        <v>15864</v>
      </c>
      <c r="G2110" s="46" t="s">
        <v>21211</v>
      </c>
      <c r="H2110" s="98" t="str">
        <f>HYPERLINK("http://mirror.ff7data.com.ar/ff7/data/field/flevel.lgp/pillar_3.png","View Picture")</f>
        <v>View Picture</v>
      </c>
      <c r="K2110" s="43"/>
    </row>
    <row r="2111">
      <c r="A2111" s="82"/>
      <c r="B2111" s="33" t="s">
        <v>21217</v>
      </c>
      <c r="C2111" s="42">
        <v>386494.0</v>
      </c>
      <c r="D2111" s="33" t="s">
        <v>21219</v>
      </c>
      <c r="E2111" s="74"/>
      <c r="F2111" s="46" t="s">
        <v>15864</v>
      </c>
      <c r="G2111" s="75"/>
      <c r="H2111" s="98" t="str">
        <f>HYPERLINK("http://mirror.ff7data.com.ar/ff7/data/field/flevel.lgp/prisila.png","View Picture")</f>
        <v>View Picture</v>
      </c>
      <c r="K2111" s="43"/>
    </row>
    <row r="2112">
      <c r="A2112" s="82"/>
      <c r="B2112" s="33" t="s">
        <v>21225</v>
      </c>
      <c r="C2112" s="42">
        <v>416758.0</v>
      </c>
      <c r="D2112" s="33" t="s">
        <v>21226</v>
      </c>
      <c r="E2112" s="74"/>
      <c r="F2112" s="46" t="s">
        <v>15864</v>
      </c>
      <c r="G2112" s="75"/>
      <c r="H2112" s="98" t="str">
        <f>HYPERLINK("http://mirror.ff7data.com.ar/ff7/data/field/flevel.lgp/psdun_1.png","View Picture")</f>
        <v>View Picture</v>
      </c>
      <c r="K2112" s="43"/>
    </row>
    <row r="2113">
      <c r="A2113" s="82"/>
      <c r="B2113" s="33" t="s">
        <v>21233</v>
      </c>
      <c r="C2113" s="42">
        <v>426728.0</v>
      </c>
      <c r="D2113" s="33" t="s">
        <v>21226</v>
      </c>
      <c r="E2113" s="74"/>
      <c r="F2113" s="46" t="s">
        <v>15864</v>
      </c>
      <c r="G2113" s="75"/>
      <c r="H2113" s="98" t="str">
        <f>HYPERLINK("http://mirror.ff7data.com.ar/ff7/data/field/flevel.lgp/psdun_2.png","View Picture")</f>
        <v>View Picture</v>
      </c>
      <c r="K2113" s="43"/>
    </row>
    <row r="2114">
      <c r="A2114" s="82"/>
      <c r="B2114" s="33" t="s">
        <v>21240</v>
      </c>
      <c r="C2114" s="42">
        <v>426299.0</v>
      </c>
      <c r="D2114" s="33" t="s">
        <v>21226</v>
      </c>
      <c r="E2114" s="74"/>
      <c r="F2114" s="46" t="s">
        <v>15864</v>
      </c>
      <c r="G2114" s="75"/>
      <c r="H2114" s="98" t="str">
        <f>HYPERLINK("http://mirror.ff7data.com.ar/ff7/data/field/flevel.lgp/psdun_3.png","View Picture")</f>
        <v>View Picture</v>
      </c>
      <c r="K2114" s="43"/>
    </row>
    <row r="2115">
      <c r="A2115" s="82"/>
      <c r="B2115" s="33" t="s">
        <v>21246</v>
      </c>
      <c r="C2115" s="42">
        <v>650652.0</v>
      </c>
      <c r="D2115" s="33" t="s">
        <v>21226</v>
      </c>
      <c r="E2115" s="74"/>
      <c r="F2115" s="46" t="s">
        <v>15864</v>
      </c>
      <c r="G2115" s="75"/>
      <c r="H2115" s="98" t="str">
        <f>HYPERLINK("http://mirror.ff7data.com.ar/ff7/data/field/flevel.lgp/psdun_4.png","View Picture")</f>
        <v>View Picture</v>
      </c>
      <c r="K2115" s="43"/>
    </row>
    <row r="2116">
      <c r="A2116" s="82"/>
      <c r="B2116" s="33" t="s">
        <v>21251</v>
      </c>
      <c r="C2116" s="42">
        <v>414465.0</v>
      </c>
      <c r="D2116" s="33" t="s">
        <v>21252</v>
      </c>
      <c r="E2116" s="74"/>
      <c r="F2116" s="46" t="s">
        <v>15864</v>
      </c>
      <c r="G2116" s="75"/>
      <c r="H2116" s="98" t="str">
        <f>HYPERLINK("http://mirror.ff7data.com.ar/ff7/data/field/flevel.lgp/qa.png","View Picture")</f>
        <v>View Picture</v>
      </c>
      <c r="K2116" s="43"/>
    </row>
    <row r="2117">
      <c r="A2117" s="82"/>
      <c r="B2117" s="33" t="s">
        <v>21258</v>
      </c>
      <c r="C2117" s="42">
        <v>492780.0</v>
      </c>
      <c r="D2117" s="33" t="s">
        <v>21260</v>
      </c>
      <c r="E2117" s="74"/>
      <c r="F2117" s="46" t="s">
        <v>15864</v>
      </c>
      <c r="G2117" s="75"/>
      <c r="H2117" s="98" t="str">
        <f>HYPERLINK("http://mirror.ff7data.com.ar/ff7/data/field/flevel.lgp/qb.png","View Picture")</f>
        <v>View Picture</v>
      </c>
      <c r="K2117" s="43"/>
    </row>
    <row r="2118">
      <c r="A2118" s="55"/>
      <c r="B2118" s="33" t="s">
        <v>21267</v>
      </c>
      <c r="C2118" s="42">
        <v>535989.0</v>
      </c>
      <c r="D2118" s="141" t="s">
        <v>21269</v>
      </c>
      <c r="E2118" s="74"/>
      <c r="F2118" s="46" t="s">
        <v>15864</v>
      </c>
      <c r="G2118" s="46" t="s">
        <v>17164</v>
      </c>
      <c r="H2118" s="98" t="str">
        <f>HYPERLINK("http://mirror.ff7data.com.ar/ff7/data/field/flevel.lgp/qc.png","View Picture")</f>
        <v>View Picture</v>
      </c>
      <c r="K2118" s="43"/>
    </row>
    <row r="2119">
      <c r="A2119" s="82"/>
      <c r="B2119" s="33" t="s">
        <v>21277</v>
      </c>
      <c r="C2119" s="42">
        <v>494401.0</v>
      </c>
      <c r="D2119" s="33" t="s">
        <v>21279</v>
      </c>
      <c r="E2119" s="74"/>
      <c r="F2119" s="46" t="s">
        <v>15864</v>
      </c>
      <c r="G2119" s="75"/>
      <c r="H2119" s="98" t="str">
        <f>HYPERLINK("http://mirror.ff7data.com.ar/ff7/data/field/flevel.lgp/qd.png","View Picture")</f>
        <v>View Picture</v>
      </c>
      <c r="K2119" s="43"/>
    </row>
    <row r="2120">
      <c r="A2120" s="82"/>
      <c r="B2120" s="33" t="s">
        <v>21285</v>
      </c>
      <c r="C2120" s="42">
        <v>510361.0</v>
      </c>
      <c r="D2120" s="33" t="s">
        <v>21287</v>
      </c>
      <c r="E2120" s="74"/>
      <c r="F2120" s="46" t="s">
        <v>15864</v>
      </c>
      <c r="G2120" s="75"/>
      <c r="H2120" s="98" t="str">
        <f>HYPERLINK("http://mirror.ff7data.com.ar/ff7/data/field/flevel.lgp/rckt.png","View Picture")</f>
        <v>View Picture</v>
      </c>
      <c r="K2120" s="43"/>
    </row>
    <row r="2121">
      <c r="A2121" s="82"/>
      <c r="B2121" s="33" t="s">
        <v>21295</v>
      </c>
      <c r="C2121" s="42">
        <v>590920.0</v>
      </c>
      <c r="D2121" s="33" t="s">
        <v>21287</v>
      </c>
      <c r="E2121" s="74"/>
      <c r="F2121" s="46" t="s">
        <v>15864</v>
      </c>
      <c r="G2121" s="46" t="s">
        <v>21297</v>
      </c>
      <c r="H2121" s="98" t="str">
        <f>HYPERLINK("http://mirror.ff7data.com.ar/ff7/data/field/flevel.lgp/rckt2.png","View Picture")</f>
        <v>View Picture</v>
      </c>
      <c r="K2121" s="43"/>
    </row>
    <row r="2122">
      <c r="A2122" s="82"/>
      <c r="B2122" s="33" t="s">
        <v>21305</v>
      </c>
      <c r="C2122" s="42">
        <v>315874.0</v>
      </c>
      <c r="D2122" s="33" t="s">
        <v>21307</v>
      </c>
      <c r="E2122" s="74"/>
      <c r="F2122" s="46" t="s">
        <v>15864</v>
      </c>
      <c r="G2122" s="75"/>
      <c r="H2122" s="98" t="str">
        <f>HYPERLINK("http://mirror.ff7data.com.ar/ff7/data/field/flevel.lgp/rckt3.png","View Picture")</f>
        <v>View Picture</v>
      </c>
      <c r="K2122" s="43"/>
    </row>
    <row r="2123">
      <c r="A2123" s="82"/>
      <c r="B2123" s="33" t="s">
        <v>21315</v>
      </c>
      <c r="C2123" s="42">
        <v>321516.0</v>
      </c>
      <c r="D2123" s="33" t="s">
        <v>21317</v>
      </c>
      <c r="E2123" s="74"/>
      <c r="F2123" s="46" t="s">
        <v>15864</v>
      </c>
      <c r="G2123" s="75"/>
      <c r="H2123" s="98" t="str">
        <f>HYPERLINK("http://mirror.ff7data.com.ar/ff7/data/field/flevel.lgp/rckt32.png","View Picture")</f>
        <v>View Picture</v>
      </c>
      <c r="K2123" s="43"/>
    </row>
    <row r="2124">
      <c r="A2124" s="82"/>
      <c r="B2124" s="33" t="s">
        <v>21326</v>
      </c>
      <c r="C2124" s="42">
        <v>677411.0</v>
      </c>
      <c r="D2124" s="33" t="s">
        <v>21328</v>
      </c>
      <c r="E2124" s="74"/>
      <c r="F2124" s="46" t="s">
        <v>15864</v>
      </c>
      <c r="G2124" s="75"/>
      <c r="H2124" s="98" t="str">
        <f>HYPERLINK("http://mirror.ff7data.com.ar/ff7/data/field/flevel.lgp/rcktbas1.png","View Picture")</f>
        <v>View Picture</v>
      </c>
      <c r="K2124" s="43"/>
    </row>
    <row r="2125">
      <c r="A2125" s="82"/>
      <c r="B2125" s="33" t="s">
        <v>21336</v>
      </c>
      <c r="C2125" s="42">
        <v>671007.0</v>
      </c>
      <c r="D2125" s="33" t="s">
        <v>21338</v>
      </c>
      <c r="E2125" s="74"/>
      <c r="F2125" s="46" t="s">
        <v>15864</v>
      </c>
      <c r="G2125" s="75"/>
      <c r="H2125" s="98" t="str">
        <f>HYPERLINK("http://mirror.ff7data.com.ar/ff7/data/field/flevel.lgp/rcktbas2.png","View Picture")</f>
        <v>View Picture</v>
      </c>
      <c r="K2125" s="43"/>
    </row>
    <row r="2126">
      <c r="A2126" s="82"/>
      <c r="B2126" s="33" t="s">
        <v>21345</v>
      </c>
      <c r="C2126" s="42">
        <v>172907.0</v>
      </c>
      <c r="D2126" s="33" t="s">
        <v>21347</v>
      </c>
      <c r="E2126" s="74"/>
      <c r="F2126" s="46" t="s">
        <v>15864</v>
      </c>
      <c r="G2126" s="75"/>
      <c r="H2126" s="98" t="str">
        <f>HYPERLINK("http://mirror.ff7data.com.ar/ff7/data/field/flevel.lgp/rcktin1.png","View Picture")</f>
        <v>View Picture</v>
      </c>
      <c r="K2126" s="43"/>
    </row>
    <row r="2127">
      <c r="A2127" s="82"/>
      <c r="B2127" s="33" t="s">
        <v>21356</v>
      </c>
      <c r="C2127" s="42">
        <v>267283.0</v>
      </c>
      <c r="D2127" s="33" t="s">
        <v>21347</v>
      </c>
      <c r="E2127" s="74"/>
      <c r="F2127" s="46" t="s">
        <v>15864</v>
      </c>
      <c r="G2127" s="75"/>
      <c r="H2127" s="98" t="str">
        <f>HYPERLINK("http://mirror.ff7data.com.ar/ff7/data/field/flevel.lgp/rcktin2.png","View Picture")</f>
        <v>View Picture</v>
      </c>
      <c r="K2127" s="43"/>
    </row>
    <row r="2128">
      <c r="A2128" s="82"/>
      <c r="B2128" s="33" t="s">
        <v>21367</v>
      </c>
      <c r="C2128" s="42">
        <v>183982.0</v>
      </c>
      <c r="D2128" s="33" t="s">
        <v>21347</v>
      </c>
      <c r="E2128" s="74"/>
      <c r="F2128" s="46" t="s">
        <v>15864</v>
      </c>
      <c r="G2128" s="75"/>
      <c r="H2128" s="98" t="str">
        <f>HYPERLINK("http://mirror.ff7data.com.ar/ff7/data/field/flevel.lgp/rcktin3.png","View Picture")</f>
        <v>View Picture</v>
      </c>
      <c r="K2128" s="43"/>
    </row>
    <row r="2129">
      <c r="A2129" s="82"/>
      <c r="B2129" s="33" t="s">
        <v>21377</v>
      </c>
      <c r="C2129" s="42">
        <v>255401.0</v>
      </c>
      <c r="D2129" s="33" t="s">
        <v>21378</v>
      </c>
      <c r="E2129" s="74"/>
      <c r="F2129" s="46" t="s">
        <v>15864</v>
      </c>
      <c r="G2129" s="75"/>
      <c r="H2129" s="98" t="str">
        <f>HYPERLINK("http://mirror.ff7data.com.ar/ff7/data/field/flevel.lgp/rcktin4.png","View Picture")</f>
        <v>View Picture</v>
      </c>
      <c r="K2129" s="43"/>
    </row>
    <row r="2130">
      <c r="A2130" s="82"/>
      <c r="B2130" s="33" t="s">
        <v>21385</v>
      </c>
      <c r="C2130" s="42">
        <v>276256.0</v>
      </c>
      <c r="D2130" s="33" t="s">
        <v>21387</v>
      </c>
      <c r="E2130" s="74"/>
      <c r="F2130" s="46" t="s">
        <v>15864</v>
      </c>
      <c r="G2130" s="75"/>
      <c r="H2130" s="98" t="str">
        <f>HYPERLINK("http://mirror.ff7data.com.ar/ff7/data/field/flevel.lgp/rcktin5.png","View Picture")</f>
        <v>View Picture</v>
      </c>
      <c r="K2130" s="43"/>
    </row>
    <row r="2131">
      <c r="A2131" s="82"/>
      <c r="B2131" s="33" t="s">
        <v>21394</v>
      </c>
      <c r="C2131" s="42">
        <v>337353.0</v>
      </c>
      <c r="D2131" s="33" t="s">
        <v>21395</v>
      </c>
      <c r="E2131" s="74"/>
      <c r="F2131" s="46" t="s">
        <v>15864</v>
      </c>
      <c r="G2131" s="75"/>
      <c r="H2131" s="98" t="str">
        <f>HYPERLINK("http://mirror.ff7data.com.ar/ff7/data/field/flevel.lgp/rcktin6.png","View Picture")</f>
        <v>View Picture</v>
      </c>
      <c r="K2131" s="43"/>
    </row>
    <row r="2132">
      <c r="A2132" s="82"/>
      <c r="B2132" s="33" t="s">
        <v>21402</v>
      </c>
      <c r="C2132" s="42">
        <v>590065.0</v>
      </c>
      <c r="D2132" s="33" t="s">
        <v>21404</v>
      </c>
      <c r="E2132" s="74"/>
      <c r="F2132" s="46" t="s">
        <v>15864</v>
      </c>
      <c r="G2132" s="75"/>
      <c r="H2132" s="98" t="str">
        <f>HYPERLINK("http://mirror.ff7data.com.ar/ff7/data/field/flevel.lgp/rcktin7.png","View Picture")</f>
        <v>View Picture</v>
      </c>
      <c r="K2132" s="43"/>
    </row>
    <row r="2133">
      <c r="A2133" s="82"/>
      <c r="B2133" s="33" t="s">
        <v>21408</v>
      </c>
      <c r="C2133" s="42">
        <v>174465.0</v>
      </c>
      <c r="D2133" s="33" t="s">
        <v>21347</v>
      </c>
      <c r="E2133" s="74"/>
      <c r="F2133" s="46" t="s">
        <v>15864</v>
      </c>
      <c r="G2133" s="46" t="s">
        <v>21411</v>
      </c>
      <c r="H2133" s="98" t="str">
        <f>HYPERLINK("http://mirror.ff7data.com.ar/ff7/data/field/flevel.lgp/rcktin8.png","View Picture")</f>
        <v>View Picture</v>
      </c>
      <c r="K2133" s="43"/>
    </row>
    <row r="2134">
      <c r="A2134" s="82"/>
      <c r="B2134" s="33" t="s">
        <v>21416</v>
      </c>
      <c r="C2134" s="42">
        <v>420427.0</v>
      </c>
      <c r="D2134" s="33" t="s">
        <v>21417</v>
      </c>
      <c r="E2134" s="74"/>
      <c r="F2134" s="46" t="s">
        <v>15864</v>
      </c>
      <c r="G2134" s="75"/>
      <c r="H2134" s="98" t="str">
        <f>HYPERLINK("http://mirror.ff7data.com.ar/ff7/data/field/flevel.lgp/rkt_i.png","View Picture")</f>
        <v>View Picture</v>
      </c>
      <c r="K2134" s="43"/>
    </row>
    <row r="2135">
      <c r="A2135" s="82"/>
      <c r="B2135" s="33" t="s">
        <v>21423</v>
      </c>
      <c r="C2135" s="42">
        <v>412854.0</v>
      </c>
      <c r="D2135" s="33" t="s">
        <v>21425</v>
      </c>
      <c r="E2135" s="74"/>
      <c r="F2135" s="46" t="s">
        <v>15864</v>
      </c>
      <c r="G2135" s="75"/>
      <c r="H2135" s="98" t="str">
        <f>HYPERLINK("http://mirror.ff7data.com.ar/ff7/data/field/flevel.lgp/rkt_w.png","View Picture")</f>
        <v>View Picture</v>
      </c>
      <c r="K2135" s="43"/>
    </row>
    <row r="2136">
      <c r="A2136" s="82"/>
      <c r="B2136" s="33" t="s">
        <v>21431</v>
      </c>
      <c r="C2136" s="42">
        <v>415531.0</v>
      </c>
      <c r="D2136" s="33" t="s">
        <v>21432</v>
      </c>
      <c r="E2136" s="74"/>
      <c r="F2136" s="46" t="s">
        <v>15864</v>
      </c>
      <c r="G2136" s="75"/>
      <c r="H2136" s="98" t="str">
        <f>HYPERLINK("http://mirror.ff7data.com.ar/ff7/data/field/flevel.lgp/rktinn1.png","View Picture")</f>
        <v>View Picture</v>
      </c>
      <c r="K2136" s="43"/>
    </row>
    <row r="2137">
      <c r="A2137" s="82"/>
      <c r="B2137" s="33" t="s">
        <v>21439</v>
      </c>
      <c r="C2137" s="42">
        <v>338760.0</v>
      </c>
      <c r="D2137" s="33" t="s">
        <v>21440</v>
      </c>
      <c r="E2137" s="74"/>
      <c r="F2137" s="46" t="s">
        <v>15864</v>
      </c>
      <c r="G2137" s="75"/>
      <c r="H2137" s="98" t="str">
        <f>HYPERLINK("http://mirror.ff7data.com.ar/ff7/data/field/flevel.lgp/rktinn2.png","View Picture")</f>
        <v>View Picture</v>
      </c>
      <c r="K2137" s="43"/>
    </row>
    <row r="2138">
      <c r="A2138" s="82"/>
      <c r="B2138" s="33" t="s">
        <v>21445</v>
      </c>
      <c r="C2138" s="42">
        <v>335549.0</v>
      </c>
      <c r="D2138" s="33" t="s">
        <v>21446</v>
      </c>
      <c r="E2138" s="74"/>
      <c r="F2138" s="46" t="s">
        <v>15864</v>
      </c>
      <c r="G2138" s="75"/>
      <c r="H2138" s="98" t="str">
        <f>HYPERLINK("http://mirror.ff7data.com.ar/ff7/data/field/flevel.lgp/rktmin1.png","View Picture")</f>
        <v>View Picture</v>
      </c>
      <c r="K2138" s="43"/>
    </row>
    <row r="2139">
      <c r="A2139" s="82"/>
      <c r="B2139" s="33" t="s">
        <v>21453</v>
      </c>
      <c r="C2139" s="42">
        <v>411641.0</v>
      </c>
      <c r="D2139" s="33" t="s">
        <v>21454</v>
      </c>
      <c r="E2139" s="74"/>
      <c r="F2139" s="46" t="s">
        <v>15864</v>
      </c>
      <c r="G2139" s="75"/>
      <c r="H2139" s="98" t="str">
        <f>HYPERLINK("http://mirror.ff7data.com.ar/ff7/data/field/flevel.lgp/rktmin2.png","View Picture")</f>
        <v>View Picture</v>
      </c>
      <c r="K2139" s="43"/>
    </row>
    <row r="2140">
      <c r="A2140" s="82"/>
      <c r="B2140" s="33" t="s">
        <v>21460</v>
      </c>
      <c r="C2140" s="42">
        <v>354561.0</v>
      </c>
      <c r="D2140" s="33" t="s">
        <v>21462</v>
      </c>
      <c r="E2140" s="74"/>
      <c r="F2140" s="46" t="s">
        <v>15864</v>
      </c>
      <c r="G2140" s="75"/>
      <c r="H2140" s="98" t="str">
        <f>HYPERLINK("http://mirror.ff7data.com.ar/ff7/data/field/flevel.lgp/rktsid.png","View Picture")</f>
        <v>View Picture</v>
      </c>
      <c r="K2140" s="43"/>
    </row>
    <row r="2141">
      <c r="A2141" s="82"/>
      <c r="B2141" s="33" t="s">
        <v>21469</v>
      </c>
      <c r="C2141" s="42">
        <v>251213.0</v>
      </c>
      <c r="D2141" s="33" t="s">
        <v>21471</v>
      </c>
      <c r="E2141" s="74"/>
      <c r="F2141" s="46" t="s">
        <v>15864</v>
      </c>
      <c r="G2141" s="75"/>
      <c r="H2141" s="98" t="str">
        <f>HYPERLINK("http://mirror.ff7data.com.ar/ff7/data/field/flevel.lgp/roadend.png","View Picture")</f>
        <v>View Picture</v>
      </c>
      <c r="K2141" s="43"/>
    </row>
    <row r="2142">
      <c r="A2142" s="82"/>
      <c r="B2142" s="33" t="s">
        <v>21478</v>
      </c>
      <c r="C2142" s="42">
        <v>407115.0</v>
      </c>
      <c r="D2142" s="33" t="s">
        <v>21481</v>
      </c>
      <c r="E2142" s="74"/>
      <c r="F2142" s="46" t="s">
        <v>15864</v>
      </c>
      <c r="G2142" s="75"/>
      <c r="H2142" s="98" t="str">
        <f>HYPERLINK("http://mirror.ff7data.com.ar/ff7/data/field/flevel.lgp/rootmap.png","View Picture")</f>
        <v>View Picture</v>
      </c>
      <c r="K2142" s="43"/>
    </row>
    <row r="2143">
      <c r="A2143" s="82"/>
      <c r="B2143" s="33" t="s">
        <v>21486</v>
      </c>
      <c r="C2143" s="42">
        <v>422166.0</v>
      </c>
      <c r="D2143" s="33" t="s">
        <v>21487</v>
      </c>
      <c r="E2143" s="74"/>
      <c r="F2143" s="46" t="s">
        <v>15864</v>
      </c>
      <c r="G2143" s="75"/>
      <c r="H2143" s="98" t="str">
        <f>HYPERLINK("http://mirror.ff7data.com.ar/ff7/data/field/flevel.lgp/ropest.png","View Picture")</f>
        <v>View Picture</v>
      </c>
      <c r="K2143" s="43"/>
    </row>
    <row r="2144">
      <c r="A2144" s="82"/>
      <c r="B2144" s="33" t="s">
        <v>21494</v>
      </c>
      <c r="C2144" s="42">
        <v>587012.0</v>
      </c>
      <c r="D2144" s="33" t="s">
        <v>21495</v>
      </c>
      <c r="E2144" s="74"/>
      <c r="F2144" s="46" t="s">
        <v>15864</v>
      </c>
      <c r="G2144" s="75"/>
      <c r="H2144" s="98" t="str">
        <f>HYPERLINK("http://mirror.ff7data.com.ar/ff7/data/field/flevel.lgp/sandun_1.png","View Picture")</f>
        <v>View Picture</v>
      </c>
      <c r="K2144" s="43"/>
    </row>
    <row r="2145">
      <c r="A2145" s="82"/>
      <c r="B2145" s="33" t="s">
        <v>21499</v>
      </c>
      <c r="C2145" s="42">
        <v>259418.0</v>
      </c>
      <c r="D2145" s="33" t="s">
        <v>21501</v>
      </c>
      <c r="E2145" s="74"/>
      <c r="F2145" s="46" t="s">
        <v>15864</v>
      </c>
      <c r="G2145" s="75"/>
      <c r="H2145" s="98" t="str">
        <f>HYPERLINK("http://mirror.ff7data.com.ar/ff7/data/field/flevel.lgp/sandun_2.png","View Picture")</f>
        <v>View Picture</v>
      </c>
      <c r="K2145" s="43"/>
    </row>
    <row r="2146">
      <c r="A2146" s="82"/>
      <c r="B2146" s="33" t="s">
        <v>21506</v>
      </c>
      <c r="C2146" s="42">
        <v>513396.0</v>
      </c>
      <c r="D2146" s="33" t="s">
        <v>19824</v>
      </c>
      <c r="E2146" s="74"/>
      <c r="F2146" s="46" t="s">
        <v>15864</v>
      </c>
      <c r="G2146" s="75"/>
      <c r="H2146" s="98" t="str">
        <f>HYPERLINK("http://mirror.ff7data.com.ar/ff7/data/field/flevel.lgp/sango1.png","View Picture")</f>
        <v>View Picture</v>
      </c>
      <c r="K2146" s="43"/>
    </row>
    <row r="2147">
      <c r="A2147" s="82"/>
      <c r="B2147" s="33" t="s">
        <v>21511</v>
      </c>
      <c r="C2147" s="42">
        <v>459128.0</v>
      </c>
      <c r="D2147" s="33" t="s">
        <v>21513</v>
      </c>
      <c r="E2147" s="74"/>
      <c r="F2147" s="46" t="s">
        <v>15864</v>
      </c>
      <c r="G2147" s="46" t="s">
        <v>21514</v>
      </c>
      <c r="H2147" s="98" t="str">
        <f>HYPERLINK("http://mirror.ff7data.com.ar/ff7/data/field/flevel.lgp/sango2.png","View Picture")</f>
        <v>View Picture</v>
      </c>
      <c r="K2147" s="43"/>
    </row>
    <row r="2148">
      <c r="A2148" s="82"/>
      <c r="B2148" s="33" t="s">
        <v>21517</v>
      </c>
      <c r="C2148" s="42">
        <v>432943.0</v>
      </c>
      <c r="D2148" s="33" t="s">
        <v>19824</v>
      </c>
      <c r="E2148" s="74"/>
      <c r="F2148" s="46" t="s">
        <v>15864</v>
      </c>
      <c r="G2148" s="75"/>
      <c r="H2148" s="98" t="str">
        <f>HYPERLINK("http://mirror.ff7data.com.ar/ff7/data/field/flevel.lgp/sango3.png","View Picture")</f>
        <v>View Picture</v>
      </c>
      <c r="K2148" s="43"/>
    </row>
    <row r="2149">
      <c r="A2149" s="82"/>
      <c r="B2149" s="33" t="s">
        <v>21524</v>
      </c>
      <c r="C2149" s="42">
        <v>90388.0</v>
      </c>
      <c r="D2149" s="33" t="s">
        <v>21525</v>
      </c>
      <c r="E2149" s="74"/>
      <c r="F2149" s="46" t="s">
        <v>15864</v>
      </c>
      <c r="G2149" s="75"/>
      <c r="H2149" s="98" t="str">
        <f>HYPERLINK("http://mirror.ff7data.com.ar/ff7/data/field/flevel.lgp/sbwy4_1.png","View Picture")</f>
        <v>View Picture</v>
      </c>
      <c r="K2149" s="43"/>
    </row>
    <row r="2150">
      <c r="A2150" s="82"/>
      <c r="B2150" s="33" t="s">
        <v>21531</v>
      </c>
      <c r="C2150" s="42">
        <v>162053.0</v>
      </c>
      <c r="D2150" s="33" t="s">
        <v>21532</v>
      </c>
      <c r="E2150" s="74"/>
      <c r="F2150" s="46" t="s">
        <v>15864</v>
      </c>
      <c r="G2150" s="75"/>
      <c r="H2150" s="98" t="str">
        <f>HYPERLINK("http://mirror.ff7data.com.ar/ff7/data/field/flevel.lgp/sbwy4_2.png","View Picture")</f>
        <v>View Picture</v>
      </c>
      <c r="K2150" s="43"/>
    </row>
    <row r="2151">
      <c r="A2151" s="82"/>
      <c r="B2151" s="33" t="s">
        <v>21540</v>
      </c>
      <c r="C2151" s="42">
        <v>173930.0</v>
      </c>
      <c r="D2151" s="33" t="s">
        <v>21541</v>
      </c>
      <c r="E2151" s="74"/>
      <c r="F2151" s="46" t="s">
        <v>15864</v>
      </c>
      <c r="G2151" s="75"/>
      <c r="H2151" s="98" t="str">
        <f>HYPERLINK("http://mirror.ff7data.com.ar/ff7/data/field/flevel.lgp/sbwy4_22.png","View Picture")</f>
        <v>View Picture</v>
      </c>
      <c r="K2151" s="43"/>
    </row>
    <row r="2152">
      <c r="A2152" s="82"/>
      <c r="B2152" s="33" t="s">
        <v>21548</v>
      </c>
      <c r="C2152" s="42">
        <v>245727.0</v>
      </c>
      <c r="D2152" s="33" t="s">
        <v>21549</v>
      </c>
      <c r="E2152" s="74"/>
      <c r="F2152" s="46" t="s">
        <v>15864</v>
      </c>
      <c r="G2152" s="75"/>
      <c r="H2152" s="98" t="str">
        <f>HYPERLINK("http://mirror.ff7data.com.ar/ff7/data/field/flevel.lgp/sbwy4_3.png","View Picture")</f>
        <v>View Picture</v>
      </c>
      <c r="K2152" s="43"/>
    </row>
    <row r="2153">
      <c r="A2153" s="82"/>
      <c r="B2153" s="33" t="s">
        <v>21556</v>
      </c>
      <c r="C2153" s="42">
        <v>322254.0</v>
      </c>
      <c r="D2153" s="33" t="s">
        <v>21557</v>
      </c>
      <c r="E2153" s="74"/>
      <c r="F2153" s="46" t="s">
        <v>15864</v>
      </c>
      <c r="G2153" s="75"/>
      <c r="H2153" s="98" t="str">
        <f>HYPERLINK("http://mirror.ff7data.com.ar/ff7/data/field/flevel.lgp/sbwy4_4.png","View Picture")</f>
        <v>View Picture</v>
      </c>
      <c r="K2153" s="43"/>
    </row>
    <row r="2154">
      <c r="A2154" s="82"/>
      <c r="B2154" s="33" t="s">
        <v>21564</v>
      </c>
      <c r="C2154" s="42">
        <v>559032.0</v>
      </c>
      <c r="D2154" s="33" t="s">
        <v>21565</v>
      </c>
      <c r="E2154" s="74"/>
      <c r="F2154" s="46" t="s">
        <v>15864</v>
      </c>
      <c r="G2154" s="75"/>
      <c r="H2154" s="98" t="str">
        <f>HYPERLINK("http://mirror.ff7data.com.ar/ff7/data/field/flevel.lgp/sbwy4_5.png","View Picture")</f>
        <v>View Picture</v>
      </c>
      <c r="K2154" s="43"/>
    </row>
    <row r="2155">
      <c r="A2155" s="82"/>
      <c r="B2155" s="33" t="s">
        <v>21572</v>
      </c>
      <c r="C2155" s="42">
        <v>559430.0</v>
      </c>
      <c r="D2155" s="33" t="s">
        <v>21574</v>
      </c>
      <c r="E2155" s="74"/>
      <c r="F2155" s="46" t="s">
        <v>15864</v>
      </c>
      <c r="G2155" s="75"/>
      <c r="H2155" s="98" t="str">
        <f>HYPERLINK("http://mirror.ff7data.com.ar/ff7/data/field/flevel.lgp/sbwy4_6.png","View Picture")</f>
        <v>View Picture</v>
      </c>
      <c r="K2155" s="43"/>
    </row>
    <row r="2156">
      <c r="A2156" s="82"/>
      <c r="B2156" s="33" t="s">
        <v>21581</v>
      </c>
      <c r="C2156" s="42">
        <v>422035.0</v>
      </c>
      <c r="D2156" s="33" t="s">
        <v>21583</v>
      </c>
      <c r="E2156" s="74"/>
      <c r="F2156" s="46" t="s">
        <v>15864</v>
      </c>
      <c r="G2156" s="75"/>
      <c r="H2156" s="98" t="str">
        <f>HYPERLINK("http://mirror.ff7data.com.ar/ff7/data/field/flevel.lgp/sea.png","View Picture")</f>
        <v>View Picture</v>
      </c>
      <c r="K2156" s="43"/>
    </row>
    <row r="2157">
      <c r="A2157" s="82"/>
      <c r="B2157" s="33" t="s">
        <v>21590</v>
      </c>
      <c r="C2157" s="42">
        <v>575864.0</v>
      </c>
      <c r="D2157" s="33" t="s">
        <v>21591</v>
      </c>
      <c r="E2157" s="74"/>
      <c r="F2157" s="46" t="s">
        <v>15864</v>
      </c>
      <c r="G2157" s="75"/>
      <c r="H2157" s="98" t="str">
        <f>HYPERLINK("http://mirror.ff7data.com.ar/ff7/data/field/flevel.lgp/semkin_1.png","View Picture")</f>
        <v>View Picture</v>
      </c>
      <c r="K2157" s="43"/>
    </row>
    <row r="2158">
      <c r="A2158" s="82"/>
      <c r="B2158" s="33" t="s">
        <v>21600</v>
      </c>
      <c r="C2158" s="42">
        <v>515985.0</v>
      </c>
      <c r="D2158" s="33" t="s">
        <v>21602</v>
      </c>
      <c r="E2158" s="74"/>
      <c r="F2158" s="46" t="s">
        <v>15864</v>
      </c>
      <c r="G2158" s="75"/>
      <c r="H2158" s="98" t="str">
        <f>HYPERLINK("http://mirror.ff7data.com.ar/ff7/data/field/flevel.lgp/semkin_2.png","View Picture")</f>
        <v>View Picture</v>
      </c>
      <c r="K2158" s="43"/>
    </row>
    <row r="2159">
      <c r="A2159" s="82"/>
      <c r="B2159" s="33" t="s">
        <v>21609</v>
      </c>
      <c r="C2159" s="42">
        <v>508210.0</v>
      </c>
      <c r="D2159" s="33" t="s">
        <v>21610</v>
      </c>
      <c r="E2159" s="74"/>
      <c r="F2159" s="46" t="s">
        <v>15864</v>
      </c>
      <c r="G2159" s="75"/>
      <c r="H2159" s="98" t="str">
        <f>HYPERLINK("http://mirror.ff7data.com.ar/ff7/data/field/flevel.lgp/semkin_3.png","View Picture")</f>
        <v>View Picture</v>
      </c>
      <c r="K2159" s="43"/>
    </row>
    <row r="2160">
      <c r="A2160" s="82"/>
      <c r="B2160" s="33" t="s">
        <v>21616</v>
      </c>
      <c r="C2160" s="42">
        <v>659075.0</v>
      </c>
      <c r="D2160" s="33" t="s">
        <v>21617</v>
      </c>
      <c r="E2160" s="74"/>
      <c r="F2160" s="46" t="s">
        <v>15864</v>
      </c>
      <c r="G2160" s="75"/>
      <c r="H2160" s="98" t="str">
        <f>HYPERLINK("http://mirror.ff7data.com.ar/ff7/data/field/flevel.lgp/semkin_4.png","View Picture")</f>
        <v>View Picture</v>
      </c>
      <c r="K2160" s="43"/>
    </row>
    <row r="2161">
      <c r="A2161" s="82"/>
      <c r="B2161" s="33" t="s">
        <v>21624</v>
      </c>
      <c r="C2161" s="42">
        <v>519859.0</v>
      </c>
      <c r="D2161" s="33" t="s">
        <v>21602</v>
      </c>
      <c r="E2161" s="74"/>
      <c r="F2161" s="46" t="s">
        <v>15864</v>
      </c>
      <c r="G2161" s="46" t="s">
        <v>15901</v>
      </c>
      <c r="H2161" s="98" t="str">
        <f>HYPERLINK("http://mirror.ff7data.com.ar/ff7/data/field/flevel.lgp/semkin_5.png","View Picture")</f>
        <v>View Picture</v>
      </c>
      <c r="K2161" s="43"/>
    </row>
    <row r="2162">
      <c r="A2162" s="82"/>
      <c r="B2162" s="33" t="s">
        <v>21630</v>
      </c>
      <c r="C2162" s="42">
        <v>588530.0</v>
      </c>
      <c r="D2162" s="33" t="s">
        <v>21633</v>
      </c>
      <c r="E2162" s="74"/>
      <c r="F2162" s="46" t="s">
        <v>15864</v>
      </c>
      <c r="G2162" s="75"/>
      <c r="H2162" s="98" t="str">
        <f>HYPERLINK("http://mirror.ff7data.com.ar/ff7/data/field/flevel.lgp/semkin_6.png","View Picture")</f>
        <v>View Picture</v>
      </c>
      <c r="K2162" s="43"/>
    </row>
    <row r="2163">
      <c r="A2163" s="82"/>
      <c r="B2163" s="33" t="s">
        <v>21636</v>
      </c>
      <c r="C2163" s="42">
        <v>429578.0</v>
      </c>
      <c r="D2163" s="33" t="s">
        <v>21633</v>
      </c>
      <c r="E2163" s="74"/>
      <c r="F2163" s="46" t="s">
        <v>15864</v>
      </c>
      <c r="G2163" s="46" t="s">
        <v>15901</v>
      </c>
      <c r="H2163" s="98" t="str">
        <f>HYPERLINK("http://mirror.ff7data.com.ar/ff7/data/field/flevel.lgp/semkin_7.png","View Picture")</f>
        <v>View Picture</v>
      </c>
      <c r="K2163" s="43"/>
    </row>
    <row r="2164">
      <c r="A2164" s="82"/>
      <c r="B2164" s="33" t="s">
        <v>21644</v>
      </c>
      <c r="C2164" s="42">
        <v>419636.0</v>
      </c>
      <c r="D2164" s="33" t="s">
        <v>21645</v>
      </c>
      <c r="E2164" s="74"/>
      <c r="F2164" s="46" t="s">
        <v>15864</v>
      </c>
      <c r="G2164" s="75"/>
      <c r="H2164" s="98" t="str">
        <f>HYPERLINK("http://mirror.ff7data.com.ar/ff7/data/field/flevel.lgp/semkin_8.png","View Picture")</f>
        <v>View Picture</v>
      </c>
      <c r="K2164" s="43"/>
    </row>
    <row r="2165">
      <c r="A2165" s="82"/>
      <c r="B2165" s="33" t="s">
        <v>21650</v>
      </c>
      <c r="C2165" s="42">
        <v>482306.0</v>
      </c>
      <c r="D2165" s="33" t="s">
        <v>21651</v>
      </c>
      <c r="E2165" s="74"/>
      <c r="F2165" s="46" t="s">
        <v>15864</v>
      </c>
      <c r="G2165" s="75"/>
      <c r="H2165" s="98" t="str">
        <f>HYPERLINK("http://mirror.ff7data.com.ar/ff7/data/field/flevel.lgp/seto1.png","View Picture")</f>
        <v>View Picture</v>
      </c>
      <c r="K2165" s="43"/>
    </row>
    <row r="2166">
      <c r="A2166" s="82"/>
      <c r="B2166" s="33" t="s">
        <v>21658</v>
      </c>
      <c r="C2166" s="42">
        <v>515220.0</v>
      </c>
      <c r="D2166" s="33" t="s">
        <v>21659</v>
      </c>
      <c r="E2166" s="74"/>
      <c r="F2166" s="46" t="s">
        <v>15864</v>
      </c>
      <c r="G2166" s="75"/>
      <c r="H2166" s="98" t="str">
        <f>HYPERLINK("http://mirror.ff7data.com.ar/ff7/data/field/flevel.lgp/ship_1.png","View Picture")</f>
        <v>View Picture</v>
      </c>
      <c r="K2166" s="43"/>
    </row>
    <row r="2167">
      <c r="A2167" s="82"/>
      <c r="B2167" s="33" t="s">
        <v>21664</v>
      </c>
      <c r="C2167" s="42">
        <v>331130.0</v>
      </c>
      <c r="D2167" s="33" t="s">
        <v>21666</v>
      </c>
      <c r="E2167" s="74"/>
      <c r="F2167" s="46" t="s">
        <v>15864</v>
      </c>
      <c r="G2167" s="75"/>
      <c r="H2167" s="98" t="str">
        <f>HYPERLINK("http://mirror.ff7data.com.ar/ff7/data/field/flevel.lgp/ship_2.png","View Picture")</f>
        <v>View Picture</v>
      </c>
      <c r="K2167" s="43"/>
    </row>
    <row r="2168">
      <c r="A2168" s="82"/>
      <c r="B2168" s="33" t="s">
        <v>21674</v>
      </c>
      <c r="C2168" s="42">
        <v>270047.0</v>
      </c>
      <c r="D2168" s="33" t="s">
        <v>21675</v>
      </c>
      <c r="E2168" s="74"/>
      <c r="F2168" s="46" t="s">
        <v>15864</v>
      </c>
      <c r="G2168" s="75"/>
      <c r="H2168" s="98" t="str">
        <f>HYPERLINK("http://mirror.ff7data.com.ar/ff7/data/field/flevel.lgp/shpin_2.png","View Picture")</f>
        <v>View Picture</v>
      </c>
      <c r="K2168" s="43"/>
    </row>
    <row r="2169">
      <c r="A2169" s="82"/>
      <c r="B2169" s="33" t="s">
        <v>21684</v>
      </c>
      <c r="C2169" s="42">
        <v>245154.0</v>
      </c>
      <c r="D2169" s="33" t="s">
        <v>21685</v>
      </c>
      <c r="E2169" s="74"/>
      <c r="F2169" s="46" t="s">
        <v>15864</v>
      </c>
      <c r="G2169" s="75"/>
      <c r="H2169" s="98" t="str">
        <f>HYPERLINK("http://mirror.ff7data.com.ar/ff7/data/field/flevel.lgp/shpin_22.png","View Picture")</f>
        <v>View Picture</v>
      </c>
      <c r="K2169" s="43"/>
    </row>
    <row r="2170">
      <c r="A2170" s="82"/>
      <c r="B2170" s="33" t="s">
        <v>21693</v>
      </c>
      <c r="C2170" s="42">
        <v>274673.0</v>
      </c>
      <c r="D2170" s="33" t="s">
        <v>21695</v>
      </c>
      <c r="E2170" s="74"/>
      <c r="F2170" s="46" t="s">
        <v>15864</v>
      </c>
      <c r="G2170" s="75"/>
      <c r="H2170" s="98" t="str">
        <f>HYPERLINK("http://mirror.ff7data.com.ar/ff7/data/field/flevel.lgp/shpin_3.png","View Picture")</f>
        <v>View Picture</v>
      </c>
      <c r="K2170" s="43"/>
    </row>
    <row r="2171">
      <c r="A2171" s="84"/>
      <c r="B2171" s="33" t="s">
        <v>21704</v>
      </c>
      <c r="C2171" s="42">
        <v>2284.0</v>
      </c>
      <c r="D2171" s="31"/>
      <c r="E2171" s="74"/>
      <c r="F2171" s="46" t="s">
        <v>1348</v>
      </c>
      <c r="G2171" s="75"/>
      <c r="H2171" s="98" t="str">
        <f>HYPERLINK("http://mirror.ff7data.com.ar/ff7/data/field/flevel.lgp/sibuki1.tex.png","View Picture")</f>
        <v>View Picture</v>
      </c>
      <c r="K2171" s="43"/>
    </row>
    <row r="2172">
      <c r="A2172" s="84"/>
      <c r="B2172" s="33" t="s">
        <v>21714</v>
      </c>
      <c r="C2172" s="42">
        <v>2284.0</v>
      </c>
      <c r="D2172" s="31"/>
      <c r="E2172" s="74"/>
      <c r="F2172" s="46" t="s">
        <v>1348</v>
      </c>
      <c r="G2172" s="75"/>
      <c r="H2172" s="98" t="str">
        <f>HYPERLINK("http://mirror.ff7data.com.ar/ff7/data/field/flevel.lgp/sibuki2.tex.png","View Picture")</f>
        <v>View Picture</v>
      </c>
      <c r="K2172" s="43"/>
    </row>
    <row r="2173">
      <c r="A2173" s="84"/>
      <c r="B2173" s="33" t="s">
        <v>21722</v>
      </c>
      <c r="C2173" s="42">
        <v>2284.0</v>
      </c>
      <c r="D2173" s="31"/>
      <c r="E2173" s="74"/>
      <c r="F2173" s="46" t="s">
        <v>1348</v>
      </c>
      <c r="G2173" s="75"/>
      <c r="H2173" s="98" t="str">
        <f>HYPERLINK("http://mirror.ff7data.com.ar/ff7/data/field/flevel.lgp/sibuki3.tex.png","View Picture")</f>
        <v>View Picture</v>
      </c>
      <c r="K2173" s="43"/>
    </row>
    <row r="2174">
      <c r="A2174" s="84"/>
      <c r="B2174" s="33" t="s">
        <v>21733</v>
      </c>
      <c r="C2174" s="42">
        <v>2284.0</v>
      </c>
      <c r="D2174" s="31"/>
      <c r="E2174" s="74"/>
      <c r="F2174" s="46" t="s">
        <v>1348</v>
      </c>
      <c r="G2174" s="75"/>
      <c r="H2174" s="98" t="str">
        <f>HYPERLINK("http://mirror.ff7data.com.ar/ff7/data/field/flevel.lgp/sibuki4.tex.png","View Picture")</f>
        <v>View Picture</v>
      </c>
      <c r="K2174" s="43"/>
    </row>
    <row r="2175">
      <c r="A2175" s="82"/>
      <c r="B2175" s="33" t="s">
        <v>21743</v>
      </c>
      <c r="C2175" s="42">
        <v>330982.0</v>
      </c>
      <c r="D2175" s="33" t="s">
        <v>21744</v>
      </c>
      <c r="E2175" s="74"/>
      <c r="F2175" s="46" t="s">
        <v>15864</v>
      </c>
      <c r="G2175" s="75"/>
      <c r="H2175" s="98" t="str">
        <f>HYPERLINK("http://mirror.ff7data.com.ar/ff7/data/field/flevel.lgp/sichi.png","View Picture")</f>
        <v>View Picture</v>
      </c>
      <c r="K2175" s="43"/>
    </row>
    <row r="2176">
      <c r="A2176" s="82"/>
      <c r="B2176" s="33" t="s">
        <v>21753</v>
      </c>
      <c r="C2176" s="42">
        <v>249259.0</v>
      </c>
      <c r="D2176" s="33" t="s">
        <v>21755</v>
      </c>
      <c r="E2176" s="74"/>
      <c r="F2176" s="46" t="s">
        <v>15864</v>
      </c>
      <c r="G2176" s="75"/>
      <c r="H2176" s="98" t="str">
        <f>HYPERLINK("http://mirror.ff7data.com.ar/ff7/data/field/flevel.lgp/sinbil_1.png","View Picture")</f>
        <v>View Picture</v>
      </c>
      <c r="K2176" s="43"/>
    </row>
    <row r="2177">
      <c r="A2177" s="82"/>
      <c r="B2177" s="33" t="s">
        <v>21765</v>
      </c>
      <c r="C2177" s="42">
        <v>230412.0</v>
      </c>
      <c r="D2177" s="33" t="s">
        <v>21767</v>
      </c>
      <c r="E2177" s="74"/>
      <c r="F2177" s="46" t="s">
        <v>15864</v>
      </c>
      <c r="G2177" s="75"/>
      <c r="H2177" s="98" t="str">
        <f>HYPERLINK("http://mirror.ff7data.com.ar/ff7/data/field/flevel.lgp/sinbil_2.png","View Picture")</f>
        <v>View Picture</v>
      </c>
      <c r="K2177" s="43"/>
    </row>
    <row r="2178">
      <c r="A2178" s="82"/>
      <c r="B2178" s="33" t="s">
        <v>21777</v>
      </c>
      <c r="C2178" s="42">
        <v>344277.0</v>
      </c>
      <c r="D2178" s="33" t="s">
        <v>21779</v>
      </c>
      <c r="E2178" s="74"/>
      <c r="F2178" s="46" t="s">
        <v>15864</v>
      </c>
      <c r="G2178" s="75"/>
      <c r="H2178" s="98" t="str">
        <f>HYPERLINK("http://mirror.ff7data.com.ar/ff7/data/field/flevel.lgp/sinin1_1.png","View Picture")</f>
        <v>View Picture</v>
      </c>
      <c r="K2178" s="43"/>
    </row>
    <row r="2179">
      <c r="A2179" s="82"/>
      <c r="B2179" s="33" t="s">
        <v>21788</v>
      </c>
      <c r="C2179" s="42">
        <v>493375.0</v>
      </c>
      <c r="D2179" s="33" t="s">
        <v>21790</v>
      </c>
      <c r="E2179" s="74"/>
      <c r="F2179" s="46" t="s">
        <v>15864</v>
      </c>
      <c r="G2179" s="75"/>
      <c r="H2179" s="98" t="str">
        <f>HYPERLINK("http://mirror.ff7data.com.ar/ff7/data/field/flevel.lgp/sinin1_2.png","View Picture")</f>
        <v>View Picture</v>
      </c>
      <c r="K2179" s="43"/>
    </row>
    <row r="2180">
      <c r="A2180" s="82"/>
      <c r="B2180" s="33" t="s">
        <v>21800</v>
      </c>
      <c r="C2180" s="42">
        <v>444117.0</v>
      </c>
      <c r="D2180" s="33" t="s">
        <v>21803</v>
      </c>
      <c r="E2180" s="74"/>
      <c r="F2180" s="46" t="s">
        <v>15864</v>
      </c>
      <c r="G2180" s="75"/>
      <c r="H2180" s="98" t="str">
        <f>HYPERLINK("http://mirror.ff7data.com.ar/ff7/data/field/flevel.lgp/sinin2_1.png","View Picture")</f>
        <v>View Picture</v>
      </c>
      <c r="K2180" s="43"/>
    </row>
    <row r="2181">
      <c r="A2181" s="82"/>
      <c r="B2181" s="33" t="s">
        <v>21812</v>
      </c>
      <c r="C2181" s="42">
        <v>497780.0</v>
      </c>
      <c r="D2181" s="33" t="s">
        <v>21814</v>
      </c>
      <c r="E2181" s="74"/>
      <c r="F2181" s="46" t="s">
        <v>15864</v>
      </c>
      <c r="G2181" s="75"/>
      <c r="H2181" s="98" t="str">
        <f>HYPERLINK("http://mirror.ff7data.com.ar/ff7/data/field/flevel.lgp/sinin2_2.png","View Picture")</f>
        <v>View Picture</v>
      </c>
      <c r="K2181" s="43"/>
    </row>
    <row r="2182">
      <c r="A2182" s="82"/>
      <c r="B2182" s="33" t="s">
        <v>21825</v>
      </c>
      <c r="C2182" s="42">
        <v>248465.0</v>
      </c>
      <c r="D2182" s="33" t="s">
        <v>21826</v>
      </c>
      <c r="E2182" s="74"/>
      <c r="F2182" s="46" t="s">
        <v>15864</v>
      </c>
      <c r="G2182" s="75"/>
      <c r="H2182" s="98" t="str">
        <f>HYPERLINK("http://mirror.ff7data.com.ar/ff7/data/field/flevel.lgp/sinin3.png","View Picture")</f>
        <v>View Picture</v>
      </c>
      <c r="K2182" s="43"/>
    </row>
    <row r="2183">
      <c r="A2183" s="82"/>
      <c r="B2183" s="33" t="s">
        <v>21836</v>
      </c>
      <c r="C2183" s="42">
        <v>173533.0</v>
      </c>
      <c r="D2183" s="33" t="s">
        <v>21838</v>
      </c>
      <c r="E2183" s="74"/>
      <c r="F2183" s="46" t="s">
        <v>15864</v>
      </c>
      <c r="G2183" s="75"/>
      <c r="H2183" s="98" t="str">
        <f>HYPERLINK("http://mirror.ff7data.com.ar/ff7/data/field/flevel.lgp/sininb1.png","View Picture")</f>
        <v>View Picture</v>
      </c>
      <c r="K2183" s="43"/>
    </row>
    <row r="2184">
      <c r="A2184" s="82"/>
      <c r="B2184" s="33" t="s">
        <v>21848</v>
      </c>
      <c r="C2184" s="42">
        <v>351719.0</v>
      </c>
      <c r="D2184" s="33" t="s">
        <v>21850</v>
      </c>
      <c r="E2184" s="74"/>
      <c r="F2184" s="46" t="s">
        <v>15864</v>
      </c>
      <c r="G2184" s="75"/>
      <c r="H2184" s="98" t="str">
        <f>HYPERLINK("http://mirror.ff7data.com.ar/ff7/data/field/flevel.lgp/sininb2.png","View Picture")</f>
        <v>View Picture</v>
      </c>
      <c r="K2184" s="43"/>
    </row>
    <row r="2185">
      <c r="A2185" s="82"/>
      <c r="B2185" s="33" t="s">
        <v>21862</v>
      </c>
      <c r="C2185" s="42">
        <v>337297.0</v>
      </c>
      <c r="D2185" s="33" t="s">
        <v>21864</v>
      </c>
      <c r="E2185" s="74"/>
      <c r="F2185" s="46" t="s">
        <v>15864</v>
      </c>
      <c r="G2185" s="75"/>
      <c r="H2185" s="98" t="str">
        <f>HYPERLINK("http://mirror.ff7data.com.ar/ff7/data/field/flevel.lgp/sininb31.png","View Picture")</f>
        <v>View Picture</v>
      </c>
      <c r="K2185" s="43"/>
    </row>
    <row r="2186">
      <c r="A2186" s="82"/>
      <c r="B2186" s="33" t="s">
        <v>21874</v>
      </c>
      <c r="C2186" s="42">
        <v>327728.0</v>
      </c>
      <c r="D2186" s="33" t="s">
        <v>21877</v>
      </c>
      <c r="E2186" s="74"/>
      <c r="F2186" s="46" t="s">
        <v>15864</v>
      </c>
      <c r="G2186" s="75"/>
      <c r="H2186" s="98" t="str">
        <f>HYPERLINK("http://mirror.ff7data.com.ar/ff7/data/field/flevel.lgp/sininb32.png","View Picture")</f>
        <v>View Picture</v>
      </c>
      <c r="K2186" s="43"/>
    </row>
    <row r="2187">
      <c r="A2187" s="82"/>
      <c r="B2187" s="33" t="s">
        <v>21885</v>
      </c>
      <c r="C2187" s="42">
        <v>322492.0</v>
      </c>
      <c r="D2187" s="33" t="s">
        <v>21886</v>
      </c>
      <c r="E2187" s="74"/>
      <c r="F2187" s="46" t="s">
        <v>15864</v>
      </c>
      <c r="G2187" s="75"/>
      <c r="H2187" s="98" t="str">
        <f>HYPERLINK("http://mirror.ff7data.com.ar/ff7/data/field/flevel.lgp/sininb33.png","View Picture")</f>
        <v>View Picture</v>
      </c>
      <c r="K2187" s="43"/>
    </row>
    <row r="2188">
      <c r="A2188" s="82"/>
      <c r="B2188" s="33" t="s">
        <v>21895</v>
      </c>
      <c r="C2188" s="42">
        <v>571367.0</v>
      </c>
      <c r="D2188" s="33" t="s">
        <v>21896</v>
      </c>
      <c r="E2188" s="74"/>
      <c r="F2188" s="46" t="s">
        <v>15864</v>
      </c>
      <c r="G2188" s="75"/>
      <c r="H2188" s="98" t="str">
        <f>HYPERLINK("http://mirror.ff7data.com.ar/ff7/data/field/flevel.lgp/sininb34.png","View Picture")</f>
        <v>View Picture</v>
      </c>
      <c r="K2188" s="43"/>
    </row>
    <row r="2189">
      <c r="A2189" s="82"/>
      <c r="B2189" s="33" t="s">
        <v>21904</v>
      </c>
      <c r="C2189" s="42">
        <v>649343.0</v>
      </c>
      <c r="D2189" s="33" t="s">
        <v>21906</v>
      </c>
      <c r="E2189" s="74"/>
      <c r="F2189" s="46" t="s">
        <v>15864</v>
      </c>
      <c r="G2189" s="75"/>
      <c r="H2189" s="98" t="str">
        <f>HYPERLINK("http://mirror.ff7data.com.ar/ff7/data/field/flevel.lgp/sininb35.png","View Picture")</f>
        <v>View Picture</v>
      </c>
      <c r="K2189" s="43"/>
    </row>
    <row r="2190">
      <c r="A2190" s="82"/>
      <c r="B2190" s="33" t="s">
        <v>21916</v>
      </c>
      <c r="C2190" s="42">
        <v>237653.0</v>
      </c>
      <c r="D2190" s="33" t="s">
        <v>21896</v>
      </c>
      <c r="E2190" s="74"/>
      <c r="F2190" s="46" t="s">
        <v>15864</v>
      </c>
      <c r="G2190" s="75"/>
      <c r="H2190" s="98" t="str">
        <f>HYPERLINK("http://mirror.ff7data.com.ar/ff7/data/field/flevel.lgp/sininb36.png","View Picture")</f>
        <v>View Picture</v>
      </c>
      <c r="K2190" s="43"/>
    </row>
    <row r="2191">
      <c r="A2191" s="82"/>
      <c r="B2191" s="33" t="s">
        <v>21928</v>
      </c>
      <c r="C2191" s="42">
        <v>334654.0</v>
      </c>
      <c r="D2191" s="33" t="s">
        <v>21931</v>
      </c>
      <c r="E2191" s="74"/>
      <c r="F2191" s="46" t="s">
        <v>15864</v>
      </c>
      <c r="G2191" s="75"/>
      <c r="H2191" s="98" t="str">
        <f>HYPERLINK("http://mirror.ff7data.com.ar/ff7/data/field/flevel.lgp/sininb41.png","View Picture")</f>
        <v>View Picture</v>
      </c>
      <c r="K2191" s="43"/>
    </row>
    <row r="2192">
      <c r="A2192" s="82"/>
      <c r="B2192" s="33" t="s">
        <v>21943</v>
      </c>
      <c r="C2192" s="42">
        <v>178560.0</v>
      </c>
      <c r="D2192" s="33" t="s">
        <v>21945</v>
      </c>
      <c r="E2192" s="74"/>
      <c r="F2192" s="46" t="s">
        <v>15864</v>
      </c>
      <c r="G2192" s="75"/>
      <c r="H2192" s="98" t="str">
        <f>HYPERLINK("http://mirror.ff7data.com.ar/ff7/data/field/flevel.lgp/sininb42.png","View Picture")</f>
        <v>View Picture</v>
      </c>
      <c r="K2192" s="43"/>
    </row>
    <row r="2193">
      <c r="A2193" s="82"/>
      <c r="B2193" s="33" t="s">
        <v>21957</v>
      </c>
      <c r="C2193" s="42">
        <v>246257.0</v>
      </c>
      <c r="D2193" s="33" t="s">
        <v>21931</v>
      </c>
      <c r="E2193" s="74"/>
      <c r="F2193" s="46" t="s">
        <v>15864</v>
      </c>
      <c r="G2193" s="75"/>
      <c r="H2193" s="98" t="str">
        <f>HYPERLINK("http://mirror.ff7data.com.ar/ff7/data/field/flevel.lgp/sininb51.png","View Picture")</f>
        <v>View Picture</v>
      </c>
      <c r="K2193" s="43"/>
    </row>
    <row r="2194">
      <c r="A2194" s="82"/>
      <c r="B2194" s="33" t="s">
        <v>21973</v>
      </c>
      <c r="C2194" s="42">
        <v>173077.0</v>
      </c>
      <c r="D2194" s="33" t="s">
        <v>21945</v>
      </c>
      <c r="E2194" s="74"/>
      <c r="F2194" s="46" t="s">
        <v>15864</v>
      </c>
      <c r="G2194" s="75"/>
      <c r="H2194" s="98" t="str">
        <f>HYPERLINK("http://mirror.ff7data.com.ar/ff7/data/field/flevel.lgp/sininb52.png","View Picture")</f>
        <v>View Picture</v>
      </c>
      <c r="K2194" s="43"/>
    </row>
    <row r="2195">
      <c r="A2195" s="82"/>
      <c r="B2195" s="33" t="s">
        <v>21986</v>
      </c>
      <c r="C2195" s="42">
        <v>589377.0</v>
      </c>
      <c r="D2195" s="33" t="s">
        <v>21988</v>
      </c>
      <c r="E2195" s="74"/>
      <c r="F2195" s="46" t="s">
        <v>15864</v>
      </c>
      <c r="G2195" s="75"/>
      <c r="H2195" s="98" t="str">
        <f>HYPERLINK("http://mirror.ff7data.com.ar/ff7/data/field/flevel.lgp/sky.png","View Picture")</f>
        <v>View Picture</v>
      </c>
      <c r="K2195" s="43"/>
    </row>
    <row r="2196">
      <c r="A2196" s="82"/>
      <c r="B2196" s="33" t="s">
        <v>22001</v>
      </c>
      <c r="C2196" s="42">
        <v>323807.0</v>
      </c>
      <c r="D2196" s="33" t="s">
        <v>22002</v>
      </c>
      <c r="E2196" s="74"/>
      <c r="F2196" s="46" t="s">
        <v>15864</v>
      </c>
      <c r="G2196" s="75"/>
      <c r="H2196" s="98" t="str">
        <f>HYPERLINK("http://mirror.ff7data.com.ar/ff7/data/field/flevel.lgp/slfrst_1.png","View Picture")</f>
        <v>View Picture</v>
      </c>
      <c r="K2196" s="43"/>
    </row>
    <row r="2197">
      <c r="A2197" s="82"/>
      <c r="B2197" s="33" t="s">
        <v>22024</v>
      </c>
      <c r="C2197" s="42">
        <v>513520.0</v>
      </c>
      <c r="D2197" s="33" t="s">
        <v>22026</v>
      </c>
      <c r="E2197" s="74"/>
      <c r="F2197" s="46" t="s">
        <v>15864</v>
      </c>
      <c r="G2197" s="75"/>
      <c r="H2197" s="98" t="str">
        <f>HYPERLINK("http://mirror.ff7data.com.ar/ff7/data/field/flevel.lgp/slfrst_2.png","View Picture")</f>
        <v>View Picture</v>
      </c>
      <c r="K2197" s="43"/>
    </row>
    <row r="2198">
      <c r="A2198" s="82"/>
      <c r="B2198" s="33" t="s">
        <v>22039</v>
      </c>
      <c r="C2198" s="42">
        <v>497800.0</v>
      </c>
      <c r="D2198" s="33" t="s">
        <v>22042</v>
      </c>
      <c r="E2198" s="74"/>
      <c r="F2198" s="46" t="s">
        <v>15864</v>
      </c>
      <c r="G2198" s="75"/>
      <c r="H2198" s="98" t="str">
        <f>HYPERLINK("http://mirror.ff7data.com.ar/ff7/data/field/flevel.lgp/smkin_1.png","View Picture")</f>
        <v>View Picture</v>
      </c>
      <c r="K2198" s="43"/>
    </row>
    <row r="2199">
      <c r="A2199" s="82"/>
      <c r="B2199" s="33" t="s">
        <v>22057</v>
      </c>
      <c r="C2199" s="42">
        <v>584564.0</v>
      </c>
      <c r="D2199" s="33" t="s">
        <v>22059</v>
      </c>
      <c r="E2199" s="74"/>
      <c r="F2199" s="46" t="s">
        <v>15864</v>
      </c>
      <c r="G2199" s="75"/>
      <c r="H2199" s="98" t="str">
        <f>HYPERLINK("http://mirror.ff7data.com.ar/ff7/data/field/flevel.lgp/smkin_2.png","View Picture")</f>
        <v>View Picture</v>
      </c>
      <c r="K2199" s="43"/>
    </row>
    <row r="2200">
      <c r="A2200" s="82"/>
      <c r="B2200" s="33" t="s">
        <v>22068</v>
      </c>
      <c r="C2200" s="42">
        <v>652484.0</v>
      </c>
      <c r="D2200" s="33" t="s">
        <v>22059</v>
      </c>
      <c r="E2200" s="74"/>
      <c r="F2200" s="46" t="s">
        <v>15864</v>
      </c>
      <c r="G2200" s="75"/>
      <c r="H2200" s="98" t="str">
        <f>HYPERLINK("http://mirror.ff7data.com.ar/ff7/data/field/flevel.lgp/smkin_3.png","View Picture")</f>
        <v>View Picture</v>
      </c>
      <c r="K2200" s="43"/>
    </row>
    <row r="2201">
      <c r="A2201" s="82"/>
      <c r="B2201" s="33" t="s">
        <v>22079</v>
      </c>
      <c r="C2201" s="42">
        <v>586013.0</v>
      </c>
      <c r="D2201" s="33" t="s">
        <v>22059</v>
      </c>
      <c r="E2201" s="74"/>
      <c r="F2201" s="46" t="s">
        <v>15864</v>
      </c>
      <c r="G2201" s="75"/>
      <c r="H2201" s="98" t="str">
        <f>HYPERLINK("http://mirror.ff7data.com.ar/ff7/data/field/flevel.lgp/smkin_4.png","View Picture")</f>
        <v>View Picture</v>
      </c>
      <c r="K2201" s="43"/>
    </row>
    <row r="2202">
      <c r="A2202" s="82"/>
      <c r="B2202" s="33" t="s">
        <v>22090</v>
      </c>
      <c r="C2202" s="42">
        <v>660286.0</v>
      </c>
      <c r="D2202" s="33" t="s">
        <v>22059</v>
      </c>
      <c r="E2202" s="74"/>
      <c r="F2202" s="46" t="s">
        <v>15864</v>
      </c>
      <c r="G2202" s="75"/>
      <c r="H2202" s="98" t="str">
        <f>HYPERLINK("http://mirror.ff7data.com.ar/ff7/data/field/flevel.lgp/smkin_5.png","View Picture")</f>
        <v>View Picture</v>
      </c>
      <c r="K2202" s="43"/>
    </row>
    <row r="2203">
      <c r="A2203" s="82"/>
      <c r="B2203" s="33" t="s">
        <v>22101</v>
      </c>
      <c r="C2203" s="42">
        <v>342764.0</v>
      </c>
      <c r="D2203" s="33" t="s">
        <v>22104</v>
      </c>
      <c r="E2203" s="74"/>
      <c r="F2203" s="46" t="s">
        <v>15864</v>
      </c>
      <c r="G2203" s="75"/>
      <c r="H2203" s="98" t="str">
        <f>HYPERLINK("http://mirror.ff7data.com.ar/ff7/data/field/flevel.lgp/sninn_1.png","View Picture")</f>
        <v>View Picture</v>
      </c>
      <c r="K2203" s="43"/>
    </row>
    <row r="2204">
      <c r="A2204" s="82"/>
      <c r="B2204" s="33" t="s">
        <v>22118</v>
      </c>
      <c r="C2204" s="42">
        <v>245092.0</v>
      </c>
      <c r="D2204" s="33" t="s">
        <v>22120</v>
      </c>
      <c r="E2204" s="74"/>
      <c r="F2204" s="46" t="s">
        <v>15864</v>
      </c>
      <c r="G2204" s="75"/>
      <c r="H2204" s="98" t="str">
        <f>HYPERLINK("http://mirror.ff7data.com.ar/ff7/data/field/flevel.lgp/sninn_2.png","View Picture")</f>
        <v>View Picture</v>
      </c>
      <c r="K2204" s="43"/>
    </row>
    <row r="2205">
      <c r="A2205" s="82"/>
      <c r="B2205" s="33" t="s">
        <v>22133</v>
      </c>
      <c r="C2205" s="42">
        <v>404649.0</v>
      </c>
      <c r="D2205" s="33" t="s">
        <v>22136</v>
      </c>
      <c r="E2205" s="74"/>
      <c r="F2205" s="46" t="s">
        <v>15864</v>
      </c>
      <c r="G2205" s="75"/>
      <c r="H2205" s="98" t="str">
        <f>HYPERLINK("http://mirror.ff7data.com.ar/ff7/data/field/flevel.lgp/sninn_b1.png","View Picture")</f>
        <v>View Picture</v>
      </c>
      <c r="K2205" s="43"/>
    </row>
    <row r="2206">
      <c r="A2206" s="82"/>
      <c r="B2206" s="33" t="s">
        <v>22150</v>
      </c>
      <c r="C2206" s="42">
        <v>503511.0</v>
      </c>
      <c r="D2206" s="33" t="s">
        <v>22152</v>
      </c>
      <c r="E2206" s="74"/>
      <c r="F2206" s="46" t="s">
        <v>15864</v>
      </c>
      <c r="G2206" s="75"/>
      <c r="H2206" s="98" t="str">
        <f>HYPERLINK("http://mirror.ff7data.com.ar/ff7/data/field/flevel.lgp/snmayor.png","View Picture")</f>
        <v>View Picture</v>
      </c>
      <c r="K2206" s="43"/>
    </row>
    <row r="2207">
      <c r="A2207" s="82"/>
      <c r="B2207" s="33" t="s">
        <v>22169</v>
      </c>
      <c r="C2207" s="42">
        <v>347443.0</v>
      </c>
      <c r="D2207" s="33" t="s">
        <v>22171</v>
      </c>
      <c r="E2207" s="74"/>
      <c r="F2207" s="46" t="s">
        <v>15864</v>
      </c>
      <c r="G2207" s="75"/>
      <c r="H2207" s="98" t="str">
        <f>HYPERLINK("http://mirror.ff7data.com.ar/ff7/data/field/flevel.lgp/snmin1.png","View Picture")</f>
        <v>View Picture</v>
      </c>
      <c r="K2207" s="43"/>
    </row>
    <row r="2208">
      <c r="A2208" s="82"/>
      <c r="B2208" s="33" t="s">
        <v>22186</v>
      </c>
      <c r="C2208" s="42">
        <v>414625.0</v>
      </c>
      <c r="D2208" s="33" t="s">
        <v>22188</v>
      </c>
      <c r="E2208" s="74"/>
      <c r="F2208" s="46" t="s">
        <v>15864</v>
      </c>
      <c r="G2208" s="75"/>
      <c r="H2208" s="98" t="str">
        <f>HYPERLINK("http://mirror.ff7data.com.ar/ff7/data/field/flevel.lgp/snmin2.png","View Picture")</f>
        <v>View Picture</v>
      </c>
      <c r="K2208" s="43"/>
    </row>
    <row r="2209">
      <c r="A2209" s="82"/>
      <c r="B2209" s="33" t="s">
        <v>22201</v>
      </c>
      <c r="C2209" s="42">
        <v>672155.0</v>
      </c>
      <c r="D2209" s="33" t="s">
        <v>22203</v>
      </c>
      <c r="E2209" s="74"/>
      <c r="F2209" s="46" t="s">
        <v>15864</v>
      </c>
      <c r="G2209" s="75"/>
      <c r="H2209" s="98" t="str">
        <f>HYPERLINK("http://mirror.ff7data.com.ar/ff7/data/field/flevel.lgp/snow.png","View Picture")</f>
        <v>View Picture</v>
      </c>
      <c r="K2209" s="43"/>
    </row>
    <row r="2210">
      <c r="A2210" s="82"/>
      <c r="B2210" s="33" t="s">
        <v>22219</v>
      </c>
      <c r="C2210" s="42">
        <v>332623.0</v>
      </c>
      <c r="D2210" s="33" t="s">
        <v>22222</v>
      </c>
      <c r="E2210" s="74"/>
      <c r="F2210" s="46" t="s">
        <v>15864</v>
      </c>
      <c r="G2210" s="75"/>
      <c r="H2210" s="98" t="str">
        <f>HYPERLINK("http://mirror.ff7data.com.ar/ff7/data/field/flevel.lgp/snw_w.png","View Picture")</f>
        <v>View Picture</v>
      </c>
      <c r="K2210" s="43"/>
    </row>
    <row r="2211">
      <c r="A2211" s="82"/>
      <c r="B2211" s="33" t="s">
        <v>22238</v>
      </c>
      <c r="C2211" s="42">
        <v>497166.0</v>
      </c>
      <c r="D2211" s="33" t="s">
        <v>22240</v>
      </c>
      <c r="E2211" s="74"/>
      <c r="F2211" s="46" t="s">
        <v>15864</v>
      </c>
      <c r="G2211" s="75"/>
      <c r="H2211" s="98" t="str">
        <f>HYPERLINK("http://mirror.ff7data.com.ar/ff7/data/field/flevel.lgp/southmk1.png","View Picture")</f>
        <v>View Picture</v>
      </c>
      <c r="K2211" s="43"/>
    </row>
    <row r="2212">
      <c r="A2212" s="82"/>
      <c r="B2212" s="33" t="s">
        <v>22254</v>
      </c>
      <c r="C2212" s="42">
        <v>341901.0</v>
      </c>
      <c r="D2212" s="33" t="s">
        <v>22240</v>
      </c>
      <c r="E2212" s="74"/>
      <c r="F2212" s="46" t="s">
        <v>15864</v>
      </c>
      <c r="G2212" s="75"/>
      <c r="H2212" s="98" t="str">
        <f>HYPERLINK("http://mirror.ff7data.com.ar/ff7/data/field/flevel.lgp/southmk2.png","View Picture")</f>
        <v>View Picture</v>
      </c>
      <c r="K2212" s="43"/>
    </row>
    <row r="2213">
      <c r="A2213" s="82"/>
      <c r="B2213" s="33" t="s">
        <v>22272</v>
      </c>
      <c r="C2213" s="42">
        <v>256330.0</v>
      </c>
      <c r="D2213" s="33" t="s">
        <v>22275</v>
      </c>
      <c r="E2213" s="74"/>
      <c r="F2213" s="46" t="s">
        <v>15864</v>
      </c>
      <c r="G2213" s="75"/>
      <c r="H2213" s="98" t="str">
        <f>HYPERLINK("http://mirror.ff7data.com.ar/ff7/data/field/flevel.lgp/spgate.png","View Picture")</f>
        <v>View Picture</v>
      </c>
      <c r="K2213" s="43"/>
    </row>
    <row r="2214">
      <c r="A2214" s="82"/>
      <c r="B2214" s="33" t="s">
        <v>22286</v>
      </c>
      <c r="C2214" s="42">
        <v>362832.0</v>
      </c>
      <c r="D2214" s="33" t="s">
        <v>22288</v>
      </c>
      <c r="E2214" s="74"/>
      <c r="F2214" s="46" t="s">
        <v>15864</v>
      </c>
      <c r="G2214" s="75"/>
      <c r="H2214" s="98" t="str">
        <f>HYPERLINK("http://mirror.ff7data.com.ar/ff7/data/field/flevel.lgp/spipe_1.png","View Picture")</f>
        <v>View Picture</v>
      </c>
      <c r="K2214" s="43"/>
    </row>
    <row r="2215">
      <c r="A2215" s="82"/>
      <c r="B2215" s="33" t="s">
        <v>22300</v>
      </c>
      <c r="C2215" s="42">
        <v>413563.0</v>
      </c>
      <c r="D2215" s="33" t="s">
        <v>22288</v>
      </c>
      <c r="E2215" s="74"/>
      <c r="F2215" s="46" t="s">
        <v>15864</v>
      </c>
      <c r="G2215" s="46" t="s">
        <v>17164</v>
      </c>
      <c r="H2215" s="98" t="str">
        <f>HYPERLINK("http://mirror.ff7data.com.ar/ff7/data/field/flevel.lgp/spipe_2.png","View Picture")</f>
        <v>View Picture</v>
      </c>
      <c r="K2215" s="43"/>
    </row>
    <row r="2216">
      <c r="A2216" s="82"/>
      <c r="B2216" s="33" t="s">
        <v>22311</v>
      </c>
      <c r="C2216" s="42">
        <v>332517.0</v>
      </c>
      <c r="D2216" s="33" t="s">
        <v>22312</v>
      </c>
      <c r="E2216" s="74"/>
      <c r="F2216" s="46" t="s">
        <v>15864</v>
      </c>
      <c r="G2216" s="75"/>
      <c r="H2216" s="98" t="str">
        <f>HYPERLINK("http://mirror.ff7data.com.ar/ff7/data/field/flevel.lgp/startmap.png","View Picture")</f>
        <v>View Picture</v>
      </c>
      <c r="K2216" s="43"/>
    </row>
    <row r="2217">
      <c r="A2217" s="82"/>
      <c r="B2217" s="33" t="s">
        <v>22323</v>
      </c>
      <c r="C2217" s="42">
        <v>329689.0</v>
      </c>
      <c r="D2217" s="33" t="s">
        <v>22325</v>
      </c>
      <c r="E2217" s="74"/>
      <c r="F2217" s="46" t="s">
        <v>15864</v>
      </c>
      <c r="G2217" s="75"/>
      <c r="H2217" s="98" t="str">
        <f>HYPERLINK("http://mirror.ff7data.com.ar/ff7/data/field/flevel.lgp/subin_1a.png","View Picture")</f>
        <v>View Picture</v>
      </c>
      <c r="K2217" s="43"/>
    </row>
    <row r="2218">
      <c r="A2218" s="82"/>
      <c r="B2218" s="33" t="s">
        <v>22335</v>
      </c>
      <c r="C2218" s="42">
        <v>351457.0</v>
      </c>
      <c r="D2218" s="33" t="s">
        <v>22336</v>
      </c>
      <c r="E2218" s="74"/>
      <c r="F2218" s="46" t="s">
        <v>15864</v>
      </c>
      <c r="G2218" s="75"/>
      <c r="H2218" s="98" t="str">
        <f>HYPERLINK("http://mirror.ff7data.com.ar/ff7/data/field/flevel.lgp/subin_1b.png","View Picture")</f>
        <v>View Picture</v>
      </c>
      <c r="K2218" s="43"/>
    </row>
    <row r="2219">
      <c r="A2219" s="82"/>
      <c r="B2219" s="33" t="s">
        <v>22346</v>
      </c>
      <c r="C2219" s="42">
        <v>341303.0</v>
      </c>
      <c r="D2219" s="33" t="s">
        <v>22348</v>
      </c>
      <c r="E2219" s="74"/>
      <c r="F2219" s="46" t="s">
        <v>15864</v>
      </c>
      <c r="G2219" s="75"/>
      <c r="H2219" s="98" t="str">
        <f>HYPERLINK("http://mirror.ff7data.com.ar/ff7/data/field/flevel.lgp/subin_2a.png","View Picture")</f>
        <v>View Picture</v>
      </c>
      <c r="K2219" s="43"/>
    </row>
    <row r="2220">
      <c r="A2220" s="82"/>
      <c r="B2220" s="33" t="s">
        <v>22358</v>
      </c>
      <c r="C2220" s="42">
        <v>347237.0</v>
      </c>
      <c r="D2220" s="33" t="s">
        <v>22360</v>
      </c>
      <c r="E2220" s="74"/>
      <c r="F2220" s="46" t="s">
        <v>15864</v>
      </c>
      <c r="G2220" s="75"/>
      <c r="H2220" s="98" t="str">
        <f>HYPERLINK("http://mirror.ff7data.com.ar/ff7/data/field/flevel.lgp/subin_2b.png","View Picture")</f>
        <v>View Picture</v>
      </c>
      <c r="K2220" s="43"/>
    </row>
    <row r="2221">
      <c r="A2221" s="82"/>
      <c r="B2221" s="33" t="s">
        <v>22373</v>
      </c>
      <c r="C2221" s="42">
        <v>259151.0</v>
      </c>
      <c r="D2221" s="33" t="s">
        <v>22360</v>
      </c>
      <c r="E2221" s="74"/>
      <c r="F2221" s="46" t="s">
        <v>15864</v>
      </c>
      <c r="G2221" s="46" t="s">
        <v>22375</v>
      </c>
      <c r="H2221" s="98" t="str">
        <f>HYPERLINK("http://mirror.ff7data.com.ar/ff7/data/field/flevel.lgp/subin_3.png","View Picture")</f>
        <v>View Picture</v>
      </c>
      <c r="K2221" s="43"/>
    </row>
    <row r="2222">
      <c r="A2222" s="82"/>
      <c r="B2222" s="33" t="s">
        <v>22385</v>
      </c>
      <c r="C2222" s="42">
        <v>1324.0</v>
      </c>
      <c r="D2222" s="33" t="s">
        <v>22387</v>
      </c>
      <c r="E2222" s="74"/>
      <c r="F2222" s="46" t="s">
        <v>1348</v>
      </c>
      <c r="G2222" s="75"/>
      <c r="H2222" s="98" t="str">
        <f>HYPERLINK("http://mirror.ff7data.com.ar/ff7/data/field/flevel.lgp/t_eye2.tex.png","View Picture")</f>
        <v>View Picture</v>
      </c>
      <c r="K2222" s="43"/>
    </row>
    <row r="2223">
      <c r="A2223" s="82"/>
      <c r="B2223" s="33" t="s">
        <v>22397</v>
      </c>
      <c r="C2223" s="42">
        <v>1324.0</v>
      </c>
      <c r="D2223" s="33" t="s">
        <v>22387</v>
      </c>
      <c r="E2223" s="74"/>
      <c r="F2223" s="46" t="s">
        <v>1348</v>
      </c>
      <c r="G2223" s="75"/>
      <c r="H2223" s="98" t="str">
        <f>HYPERLINK("http://mirror.ff7data.com.ar/ff7/data/field/flevel.lgp/t_eye2r.tex.png","View Picture")</f>
        <v>View Picture</v>
      </c>
      <c r="K2223" s="43"/>
    </row>
    <row r="2224">
      <c r="A2224" s="82"/>
      <c r="B2224" s="33" t="s">
        <v>22409</v>
      </c>
      <c r="C2224" s="42">
        <v>428150.0</v>
      </c>
      <c r="D2224" s="33" t="s">
        <v>22411</v>
      </c>
      <c r="E2224" s="74"/>
      <c r="F2224" s="46" t="s">
        <v>15864</v>
      </c>
      <c r="G2224" s="75"/>
      <c r="H2224" s="98" t="str">
        <f>HYPERLINK("http://mirror.ff7data.com.ar/ff7/data/field/flevel.lgp/tin_1.png","View Picture")</f>
        <v>View Picture</v>
      </c>
      <c r="K2224" s="43"/>
    </row>
    <row r="2225">
      <c r="A2225" s="82"/>
      <c r="B2225" s="33" t="s">
        <v>22425</v>
      </c>
      <c r="C2225" s="42">
        <v>402228.0</v>
      </c>
      <c r="D2225" s="33" t="s">
        <v>22426</v>
      </c>
      <c r="E2225" s="74"/>
      <c r="F2225" s="46" t="s">
        <v>15864</v>
      </c>
      <c r="G2225" s="75"/>
      <c r="H2225" s="98" t="str">
        <f>HYPERLINK("http://mirror.ff7data.com.ar/ff7/data/field/flevel.lgp/tin_2.png","View Picture")</f>
        <v>View Picture</v>
      </c>
      <c r="K2225" s="43"/>
    </row>
    <row r="2226">
      <c r="A2226" s="82"/>
      <c r="B2226" s="33" t="s">
        <v>22439</v>
      </c>
      <c r="C2226" s="42">
        <v>404097.0</v>
      </c>
      <c r="D2226" s="33" t="s">
        <v>22441</v>
      </c>
      <c r="E2226" s="74"/>
      <c r="F2226" s="46" t="s">
        <v>15864</v>
      </c>
      <c r="G2226" s="75"/>
      <c r="H2226" s="98" t="str">
        <f>HYPERLINK("http://mirror.ff7data.com.ar/ff7/data/field/flevel.lgp/tin_3.png","View Picture")</f>
        <v>View Picture</v>
      </c>
      <c r="K2226" s="43"/>
    </row>
    <row r="2227">
      <c r="A2227" s="82"/>
      <c r="B2227" s="33" t="s">
        <v>22451</v>
      </c>
      <c r="C2227" s="42">
        <v>322884.0</v>
      </c>
      <c r="D2227" s="33" t="s">
        <v>22453</v>
      </c>
      <c r="E2227" s="74"/>
      <c r="F2227" s="46" t="s">
        <v>15864</v>
      </c>
      <c r="G2227" s="75"/>
      <c r="H2227" s="98" t="str">
        <f>HYPERLINK("http://mirror.ff7data.com.ar/ff7/data/field/flevel.lgp/tin_4.png","View Picture")</f>
        <v>View Picture</v>
      </c>
      <c r="K2227" s="43"/>
    </row>
    <row r="2228">
      <c r="A2228" s="82"/>
      <c r="B2228" s="33" t="s">
        <v>22466</v>
      </c>
      <c r="C2228" s="42">
        <v>199091.0</v>
      </c>
      <c r="D2228" s="33" t="s">
        <v>22468</v>
      </c>
      <c r="E2228" s="74"/>
      <c r="F2228" s="46" t="s">
        <v>15864</v>
      </c>
      <c r="G2228" s="75"/>
      <c r="H2228" s="98" t="str">
        <f>HYPERLINK("http://mirror.ff7data.com.ar/ff7/data/field/flevel.lgp/tower5.png","View Picture")</f>
        <v>View Picture</v>
      </c>
      <c r="K2228" s="43"/>
    </row>
    <row r="2229">
      <c r="A2229" s="82"/>
      <c r="B2229" s="33" t="s">
        <v>22482</v>
      </c>
      <c r="C2229" s="42">
        <v>336540.0</v>
      </c>
      <c r="D2229" s="33" t="s">
        <v>22484</v>
      </c>
      <c r="E2229" s="74"/>
      <c r="F2229" s="46" t="s">
        <v>15864</v>
      </c>
      <c r="G2229" s="75"/>
      <c r="H2229" s="98" t="str">
        <f>HYPERLINK("http://mirror.ff7data.com.ar/ff7/data/field/flevel.lgp/trackin.png","View Picture")</f>
        <v>View Picture</v>
      </c>
      <c r="K2229" s="43"/>
    </row>
    <row r="2230">
      <c r="A2230" s="82"/>
      <c r="B2230" s="33" t="s">
        <v>22497</v>
      </c>
      <c r="C2230" s="42">
        <v>336425.0</v>
      </c>
      <c r="D2230" s="33" t="s">
        <v>22499</v>
      </c>
      <c r="E2230" s="74"/>
      <c r="F2230" s="46" t="s">
        <v>15864</v>
      </c>
      <c r="G2230" s="75"/>
      <c r="H2230" s="98" t="str">
        <f>HYPERLINK("http://mirror.ff7data.com.ar/ff7/data/field/flevel.lgp/trackin2.png","View Picture")</f>
        <v>View Picture</v>
      </c>
      <c r="K2230" s="43"/>
    </row>
    <row r="2231">
      <c r="A2231" s="82"/>
      <c r="B2231" s="33" t="s">
        <v>22512</v>
      </c>
      <c r="C2231" s="42">
        <v>638325.0</v>
      </c>
      <c r="D2231" s="33" t="s">
        <v>22514</v>
      </c>
      <c r="E2231" s="74"/>
      <c r="F2231" s="46" t="s">
        <v>15864</v>
      </c>
      <c r="G2231" s="75"/>
      <c r="H2231" s="98" t="str">
        <f>HYPERLINK("http://mirror.ff7data.com.ar/ff7/data/field/flevel.lgp/trnad_1.png","View Picture")</f>
        <v>View Picture</v>
      </c>
      <c r="K2231" s="43"/>
    </row>
    <row r="2232">
      <c r="A2232" s="82"/>
      <c r="B2232" s="33" t="s">
        <v>22527</v>
      </c>
      <c r="C2232" s="42">
        <v>471496.0</v>
      </c>
      <c r="D2232" s="33" t="s">
        <v>22530</v>
      </c>
      <c r="E2232" s="74"/>
      <c r="F2232" s="46" t="s">
        <v>15864</v>
      </c>
      <c r="G2232" s="75"/>
      <c r="H2232" s="98" t="str">
        <f>HYPERLINK("http://mirror.ff7data.com.ar/ff7/data/field/flevel.lgp/trnad_2.png","View Picture")</f>
        <v>View Picture</v>
      </c>
      <c r="K2232" s="43"/>
    </row>
    <row r="2233">
      <c r="A2233" s="82"/>
      <c r="B2233" s="33" t="s">
        <v>22543</v>
      </c>
      <c r="C2233" s="42">
        <v>406870.0</v>
      </c>
      <c r="D2233" s="33" t="s">
        <v>22545</v>
      </c>
      <c r="E2233" s="74"/>
      <c r="F2233" s="46" t="s">
        <v>15864</v>
      </c>
      <c r="G2233" s="75"/>
      <c r="H2233" s="98" t="str">
        <f>HYPERLINK("http://mirror.ff7data.com.ar/ff7/data/field/flevel.lgp/trnad_3.png","View Picture")</f>
        <v>View Picture</v>
      </c>
      <c r="K2233" s="43"/>
    </row>
    <row r="2234">
      <c r="A2234" s="82"/>
      <c r="B2234" s="33" t="s">
        <v>22558</v>
      </c>
      <c r="C2234" s="42">
        <v>568998.0</v>
      </c>
      <c r="D2234" s="33" t="s">
        <v>22560</v>
      </c>
      <c r="E2234" s="74"/>
      <c r="F2234" s="46" t="s">
        <v>15864</v>
      </c>
      <c r="G2234" s="75"/>
      <c r="H2234" s="98" t="str">
        <f>HYPERLINK("http://mirror.ff7data.com.ar/ff7/data/field/flevel.lgp/trnad_4.png","View Picture")</f>
        <v>View Picture</v>
      </c>
      <c r="K2234" s="43"/>
    </row>
    <row r="2235">
      <c r="A2235" s="82"/>
      <c r="B2235" s="33" t="s">
        <v>22569</v>
      </c>
      <c r="C2235" s="42">
        <v>420288.0</v>
      </c>
      <c r="D2235" s="33" t="s">
        <v>22571</v>
      </c>
      <c r="E2235" s="74"/>
      <c r="F2235" s="46" t="s">
        <v>15864</v>
      </c>
      <c r="G2235" s="75"/>
      <c r="H2235" s="98" t="str">
        <f>HYPERLINK("http://mirror.ff7data.com.ar/ff7/data/field/flevel.lgp/trnad_51.png","View Picture")</f>
        <v>View Picture</v>
      </c>
      <c r="K2235" s="43"/>
    </row>
    <row r="2236">
      <c r="A2236" s="82"/>
      <c r="B2236" s="33" t="s">
        <v>22583</v>
      </c>
      <c r="C2236" s="42">
        <v>294310.0</v>
      </c>
      <c r="D2236" s="33" t="s">
        <v>22584</v>
      </c>
      <c r="E2236" s="74"/>
      <c r="F2236" s="46" t="s">
        <v>15864</v>
      </c>
      <c r="G2236" s="46" t="s">
        <v>17164</v>
      </c>
      <c r="H2236" s="98" t="str">
        <f>HYPERLINK("http://mirror.ff7data.com.ar/ff7/data/field/flevel.lgp/trnad_52.png","View Picture")</f>
        <v>View Picture</v>
      </c>
      <c r="K2236" s="43"/>
    </row>
    <row r="2237">
      <c r="A2237" s="82"/>
      <c r="B2237" s="33" t="s">
        <v>22596</v>
      </c>
      <c r="C2237" s="42">
        <v>412108.0</v>
      </c>
      <c r="D2237" s="33" t="s">
        <v>22571</v>
      </c>
      <c r="E2237" s="74"/>
      <c r="F2237" s="46" t="s">
        <v>15864</v>
      </c>
      <c r="G2237" s="46" t="s">
        <v>22598</v>
      </c>
      <c r="H2237" s="98" t="str">
        <f>HYPERLINK("http://mirror.ff7data.com.ar/ff7/data/field/flevel.lgp/trnad_53.png","View Picture")</f>
        <v>View Picture</v>
      </c>
      <c r="K2237" s="43"/>
    </row>
    <row r="2238">
      <c r="A2238" s="82"/>
      <c r="B2238" s="33" t="s">
        <v>22608</v>
      </c>
      <c r="C2238" s="42">
        <v>177543.0</v>
      </c>
      <c r="D2238" s="33" t="s">
        <v>22610</v>
      </c>
      <c r="E2238" s="74"/>
      <c r="F2238" s="46" t="s">
        <v>15864</v>
      </c>
      <c r="G2238" s="75"/>
      <c r="H2238" s="98" t="str">
        <f>HYPERLINK("http://mirror.ff7data.com.ar/ff7/data/field/flevel.lgp/tunnel_1.png","View Picture")</f>
        <v>View Picture</v>
      </c>
      <c r="K2238" s="43"/>
    </row>
    <row r="2239">
      <c r="A2239" s="82"/>
      <c r="B2239" s="33" t="s">
        <v>22629</v>
      </c>
      <c r="C2239" s="42">
        <v>249192.0</v>
      </c>
      <c r="D2239" s="33" t="s">
        <v>22631</v>
      </c>
      <c r="E2239" s="74"/>
      <c r="F2239" s="46" t="s">
        <v>15864</v>
      </c>
      <c r="G2239" s="75"/>
      <c r="H2239" s="98" t="str">
        <f>HYPERLINK("http://mirror.ff7data.com.ar/ff7/data/field/flevel.lgp/tunnel_2.png","View Picture")</f>
        <v>View Picture</v>
      </c>
      <c r="K2239" s="43"/>
    </row>
    <row r="2240">
      <c r="A2240" s="82"/>
      <c r="B2240" s="33" t="s">
        <v>22641</v>
      </c>
      <c r="C2240" s="42">
        <v>168567.0</v>
      </c>
      <c r="D2240" s="33" t="s">
        <v>22644</v>
      </c>
      <c r="E2240" s="74"/>
      <c r="F2240" s="46" t="s">
        <v>15864</v>
      </c>
      <c r="G2240" s="75"/>
      <c r="H2240" s="98" t="str">
        <f>HYPERLINK("http://mirror.ff7data.com.ar/ff7/data/field/flevel.lgp/tunnel_3.png","View Picture")</f>
        <v>View Picture</v>
      </c>
      <c r="K2240" s="43"/>
    </row>
    <row r="2241">
      <c r="A2241" s="82"/>
      <c r="B2241" s="33" t="s">
        <v>22652</v>
      </c>
      <c r="C2241" s="42">
        <v>347276.0</v>
      </c>
      <c r="D2241" s="33" t="s">
        <v>22653</v>
      </c>
      <c r="E2241" s="74"/>
      <c r="F2241" s="46" t="s">
        <v>15864</v>
      </c>
      <c r="G2241" s="75"/>
      <c r="H2241" s="98" t="str">
        <f>HYPERLINK("http://mirror.ff7data.com.ar/ff7/data/field/flevel.lgp/tunnel_4.png","View Picture")</f>
        <v>View Picture</v>
      </c>
      <c r="K2241" s="43"/>
    </row>
    <row r="2242">
      <c r="A2242" s="82"/>
      <c r="B2242" s="33" t="s">
        <v>22665</v>
      </c>
      <c r="C2242" s="42">
        <v>259658.0</v>
      </c>
      <c r="D2242" s="33" t="s">
        <v>22667</v>
      </c>
      <c r="E2242" s="74"/>
      <c r="F2242" s="46" t="s">
        <v>15864</v>
      </c>
      <c r="G2242" s="75"/>
      <c r="H2242" s="98" t="str">
        <f>HYPERLINK("http://mirror.ff7data.com.ar/ff7/data/field/flevel.lgp/tunnel_5.png","View Picture")</f>
        <v>View Picture</v>
      </c>
      <c r="K2242" s="43"/>
    </row>
    <row r="2243">
      <c r="A2243" s="82"/>
      <c r="B2243" s="33" t="s">
        <v>22676</v>
      </c>
      <c r="C2243" s="42">
        <v>355568.0</v>
      </c>
      <c r="D2243" s="33" t="s">
        <v>22677</v>
      </c>
      <c r="E2243" s="74"/>
      <c r="F2243" s="46" t="s">
        <v>15864</v>
      </c>
      <c r="G2243" s="75"/>
      <c r="H2243" s="98" t="str">
        <f>HYPERLINK("http://mirror.ff7data.com.ar/ff7/data/field/flevel.lgp/tunnel_6.png","View Picture")</f>
        <v>View Picture</v>
      </c>
      <c r="K2243" s="43"/>
    </row>
    <row r="2244">
      <c r="A2244" s="82"/>
      <c r="B2244" s="33" t="s">
        <v>22685</v>
      </c>
      <c r="C2244" s="42">
        <v>163428.0</v>
      </c>
      <c r="D2244" s="33" t="s">
        <v>22686</v>
      </c>
      <c r="E2244" s="74"/>
      <c r="F2244" s="46" t="s">
        <v>15864</v>
      </c>
      <c r="G2244" s="75"/>
      <c r="H2244" s="98" t="str">
        <f>HYPERLINK("http://mirror.ff7data.com.ar/ff7/data/field/flevel.lgp/ujun_w.png","View Picture")</f>
        <v>View Picture</v>
      </c>
      <c r="K2244" s="43"/>
    </row>
    <row r="2245">
      <c r="A2245" s="82"/>
      <c r="B2245" s="33" t="s">
        <v>22695</v>
      </c>
      <c r="C2245" s="42">
        <v>831497.0</v>
      </c>
      <c r="D2245" s="33" t="s">
        <v>22697</v>
      </c>
      <c r="E2245" s="74"/>
      <c r="F2245" s="46" t="s">
        <v>15864</v>
      </c>
      <c r="G2245" s="75"/>
      <c r="H2245" s="98" t="str">
        <f>HYPERLINK("http://mirror.ff7data.com.ar/ff7/data/field/flevel.lgp/ujunon1.png","View Picture")</f>
        <v>View Picture</v>
      </c>
      <c r="K2245" s="43"/>
    </row>
    <row r="2246">
      <c r="A2246" s="82"/>
      <c r="B2246" s="33" t="s">
        <v>22706</v>
      </c>
      <c r="C2246" s="42">
        <v>836604.0</v>
      </c>
      <c r="D2246" s="33" t="s">
        <v>22708</v>
      </c>
      <c r="E2246" s="74"/>
      <c r="F2246" s="46" t="s">
        <v>15864</v>
      </c>
      <c r="G2246" s="75"/>
      <c r="H2246" s="98" t="str">
        <f>HYPERLINK("http://mirror.ff7data.com.ar/ff7/data/field/flevel.lgp/ujunon2.png","View Picture")</f>
        <v>View Picture</v>
      </c>
      <c r="K2246" s="43"/>
    </row>
    <row r="2247">
      <c r="A2247" s="82"/>
      <c r="B2247" s="33" t="s">
        <v>22719</v>
      </c>
      <c r="C2247" s="42">
        <v>811244.0</v>
      </c>
      <c r="D2247" s="33" t="s">
        <v>22708</v>
      </c>
      <c r="E2247" s="74"/>
      <c r="F2247" s="46" t="s">
        <v>15864</v>
      </c>
      <c r="G2247" s="75"/>
      <c r="H2247" s="98" t="str">
        <f>HYPERLINK("http://mirror.ff7data.com.ar/ff7/data/field/flevel.lgp/ujunon3.png","View Picture")</f>
        <v>View Picture</v>
      </c>
      <c r="K2247" s="43"/>
    </row>
    <row r="2248">
      <c r="A2248" s="82"/>
      <c r="B2248" s="33" t="s">
        <v>22730</v>
      </c>
      <c r="C2248" s="42">
        <v>648357.0</v>
      </c>
      <c r="D2248" s="33" t="s">
        <v>22732</v>
      </c>
      <c r="E2248" s="74"/>
      <c r="F2248" s="46" t="s">
        <v>15864</v>
      </c>
      <c r="G2248" s="75"/>
      <c r="H2248" s="98" t="str">
        <f>HYPERLINK("http://mirror.ff7data.com.ar/ff7/data/field/flevel.lgp/ujunon4.png","View Picture")</f>
        <v>View Picture</v>
      </c>
      <c r="K2248" s="43"/>
    </row>
    <row r="2249">
      <c r="A2249" s="82"/>
      <c r="B2249" s="33" t="s">
        <v>22741</v>
      </c>
      <c r="C2249" s="42">
        <v>648001.0</v>
      </c>
      <c r="D2249" s="33" t="s">
        <v>22743</v>
      </c>
      <c r="E2249" s="74"/>
      <c r="F2249" s="46" t="s">
        <v>15864</v>
      </c>
      <c r="G2249" s="75"/>
      <c r="H2249" s="98" t="str">
        <f>HYPERLINK("http://mirror.ff7data.com.ar/ff7/data/field/flevel.lgp/ujunon5.png","View Picture")</f>
        <v>View Picture</v>
      </c>
      <c r="K2249" s="43"/>
    </row>
    <row r="2250">
      <c r="A2250" s="82"/>
      <c r="B2250" s="33" t="s">
        <v>22752</v>
      </c>
      <c r="C2250" s="42">
        <v>161873.0</v>
      </c>
      <c r="D2250" s="33" t="s">
        <v>22754</v>
      </c>
      <c r="E2250" s="74"/>
      <c r="F2250" s="46" t="s">
        <v>15864</v>
      </c>
      <c r="G2250" s="75"/>
      <c r="H2250" s="98" t="str">
        <f>HYPERLINK("http://mirror.ff7data.com.ar/ff7/data/field/flevel.lgp/uta_im.png","View Picture")</f>
        <v>View Picture</v>
      </c>
      <c r="K2250" s="43"/>
    </row>
    <row r="2251">
      <c r="A2251" s="82"/>
      <c r="B2251" s="33" t="s">
        <v>22761</v>
      </c>
      <c r="C2251" s="42">
        <v>154149.0</v>
      </c>
      <c r="D2251" s="33" t="s">
        <v>22763</v>
      </c>
      <c r="E2251" s="74"/>
      <c r="F2251" s="46" t="s">
        <v>15864</v>
      </c>
      <c r="G2251" s="75"/>
      <c r="H2251" s="98" t="str">
        <f>HYPERLINK("http://mirror.ff7data.com.ar/ff7/data/field/flevel.lgp/uta_wa.png","View Picture")</f>
        <v>View Picture</v>
      </c>
      <c r="K2251" s="43"/>
    </row>
    <row r="2252">
      <c r="A2252" s="82"/>
      <c r="B2252" s="33" t="s">
        <v>22770</v>
      </c>
      <c r="C2252" s="42">
        <v>245214.0</v>
      </c>
      <c r="D2252" s="33" t="s">
        <v>22772</v>
      </c>
      <c r="E2252" s="74"/>
      <c r="F2252" s="46" t="s">
        <v>15864</v>
      </c>
      <c r="G2252" s="75"/>
      <c r="H2252" s="98" t="str">
        <f>HYPERLINK("http://mirror.ff7data.com.ar/ff7/data/field/flevel.lgp/utapb.png","View Picture")</f>
        <v>View Picture</v>
      </c>
      <c r="K2252" s="43"/>
    </row>
    <row r="2253">
      <c r="A2253" s="82"/>
      <c r="B2253" s="33" t="s">
        <v>22780</v>
      </c>
      <c r="C2253" s="42">
        <v>229777.0</v>
      </c>
      <c r="D2253" s="33" t="s">
        <v>22782</v>
      </c>
      <c r="E2253" s="74"/>
      <c r="F2253" s="46" t="s">
        <v>15864</v>
      </c>
      <c r="G2253" s="75"/>
      <c r="H2253" s="98" t="str">
        <f>HYPERLINK("http://mirror.ff7data.com.ar/ff7/data/field/flevel.lgp/utmin1.png","View Picture")</f>
        <v>View Picture</v>
      </c>
      <c r="K2253" s="43"/>
    </row>
    <row r="2254">
      <c r="A2254" s="82"/>
      <c r="B2254" s="33" t="s">
        <v>22790</v>
      </c>
      <c r="C2254" s="42">
        <v>228471.0</v>
      </c>
      <c r="D2254" s="33" t="s">
        <v>22792</v>
      </c>
      <c r="E2254" s="74"/>
      <c r="F2254" s="46" t="s">
        <v>15864</v>
      </c>
      <c r="G2254" s="75"/>
      <c r="H2254" s="98" t="str">
        <f>HYPERLINK("http://mirror.ff7data.com.ar/ff7/data/field/flevel.lgp/utmin2.png","View Picture")</f>
        <v>View Picture</v>
      </c>
      <c r="K2254" s="43"/>
    </row>
    <row r="2255">
      <c r="A2255" s="82"/>
      <c r="B2255" s="33" t="s">
        <v>22799</v>
      </c>
      <c r="C2255" s="42">
        <v>328793.0</v>
      </c>
      <c r="D2255" s="33" t="s">
        <v>22801</v>
      </c>
      <c r="E2255" s="74"/>
      <c r="F2255" s="46" t="s">
        <v>15864</v>
      </c>
      <c r="G2255" s="75"/>
      <c r="H2255" s="98" t="str">
        <f>HYPERLINK("http://mirror.ff7data.com.ar/ff7/data/field/flevel.lgp/uttmpin1.png","View Picture")</f>
        <v>View Picture</v>
      </c>
      <c r="K2255" s="43"/>
    </row>
    <row r="2256">
      <c r="A2256" s="82"/>
      <c r="B2256" s="33" t="s">
        <v>22809</v>
      </c>
      <c r="C2256" s="42">
        <v>327965.0</v>
      </c>
      <c r="D2256" s="33" t="s">
        <v>22810</v>
      </c>
      <c r="E2256" s="74"/>
      <c r="F2256" s="46" t="s">
        <v>15864</v>
      </c>
      <c r="G2256" s="75"/>
      <c r="H2256" s="98" t="str">
        <f>HYPERLINK("http://mirror.ff7data.com.ar/ff7/data/field/flevel.lgp/uttmpin2.png","View Picture")</f>
        <v>View Picture</v>
      </c>
      <c r="K2256" s="43"/>
    </row>
    <row r="2257">
      <c r="A2257" s="82"/>
      <c r="B2257" s="33" t="s">
        <v>22817</v>
      </c>
      <c r="C2257" s="42">
        <v>260113.0</v>
      </c>
      <c r="D2257" s="33" t="s">
        <v>22818</v>
      </c>
      <c r="E2257" s="74"/>
      <c r="F2257" s="46" t="s">
        <v>15864</v>
      </c>
      <c r="G2257" s="75"/>
      <c r="H2257" s="98" t="str">
        <f>HYPERLINK("http://mirror.ff7data.com.ar/ff7/data/field/flevel.lgp/uttmpin3.png","View Picture")</f>
        <v>View Picture</v>
      </c>
      <c r="K2257" s="43"/>
    </row>
    <row r="2258">
      <c r="A2258" s="82"/>
      <c r="B2258" s="33" t="s">
        <v>22826</v>
      </c>
      <c r="C2258" s="42">
        <v>328353.0</v>
      </c>
      <c r="D2258" s="33" t="s">
        <v>22827</v>
      </c>
      <c r="E2258" s="74"/>
      <c r="F2258" s="46" t="s">
        <v>15864</v>
      </c>
      <c r="G2258" s="75"/>
      <c r="H2258" s="98" t="str">
        <f>HYPERLINK("http://mirror.ff7data.com.ar/ff7/data/field/flevel.lgp/uttmpin4.png","View Picture")</f>
        <v>View Picture</v>
      </c>
      <c r="K2258" s="43"/>
    </row>
    <row r="2259">
      <c r="A2259" s="82"/>
      <c r="B2259" s="33" t="s">
        <v>22836</v>
      </c>
      <c r="C2259" s="42">
        <v>821023.0</v>
      </c>
      <c r="D2259" s="33" t="s">
        <v>1204</v>
      </c>
      <c r="E2259" s="74"/>
      <c r="F2259" s="46" t="s">
        <v>15864</v>
      </c>
      <c r="G2259" s="75"/>
      <c r="H2259" s="98" t="str">
        <f>HYPERLINK("http://mirror.ff7data.com.ar/ff7/data/field/flevel.lgp/uutai1.png","View Picture")</f>
        <v>View Picture</v>
      </c>
      <c r="K2259" s="43"/>
    </row>
    <row r="2260">
      <c r="A2260" s="82"/>
      <c r="B2260" s="33" t="s">
        <v>22844</v>
      </c>
      <c r="C2260" s="42">
        <v>256819.0</v>
      </c>
      <c r="D2260" s="33" t="s">
        <v>22846</v>
      </c>
      <c r="E2260" s="74"/>
      <c r="F2260" s="46" t="s">
        <v>15864</v>
      </c>
      <c r="G2260" s="75"/>
      <c r="H2260" s="98" t="str">
        <f>HYPERLINK("http://mirror.ff7data.com.ar/ff7/data/field/flevel.lgp/uutai2.png","View Picture")</f>
        <v>View Picture</v>
      </c>
      <c r="K2260" s="43"/>
    </row>
    <row r="2261">
      <c r="A2261" s="82"/>
      <c r="B2261" s="33" t="s">
        <v>22853</v>
      </c>
      <c r="C2261" s="42">
        <v>1324.0</v>
      </c>
      <c r="D2261" s="33" t="s">
        <v>22855</v>
      </c>
      <c r="E2261" s="74"/>
      <c r="F2261" s="46" t="s">
        <v>1348</v>
      </c>
      <c r="G2261" s="75"/>
      <c r="H2261" s="98" t="str">
        <f>HYPERLINK("http://mirror.ff7data.com.ar/ff7/data/field/flevel.lgp/v_eye2.tex.png","View Picture")</f>
        <v>View Picture</v>
      </c>
      <c r="K2261" s="43"/>
    </row>
    <row r="2262">
      <c r="A2262" s="82"/>
      <c r="B2262" s="33" t="s">
        <v>22863</v>
      </c>
      <c r="C2262" s="42">
        <v>1324.0</v>
      </c>
      <c r="D2262" s="33" t="s">
        <v>22855</v>
      </c>
      <c r="E2262" s="74"/>
      <c r="F2262" s="46" t="s">
        <v>1348</v>
      </c>
      <c r="G2262" s="75"/>
      <c r="H2262" s="98" t="str">
        <f>HYPERLINK("http://mirror.ff7data.com.ar/ff7/data/field/flevel.lgp/v_eye2r.tex.png","View Picture")</f>
        <v>View Picture</v>
      </c>
      <c r="K2262" s="43"/>
    </row>
    <row r="2263">
      <c r="A2263" s="82"/>
      <c r="B2263" s="33" t="s">
        <v>22869</v>
      </c>
      <c r="C2263" s="42">
        <v>469588.0</v>
      </c>
      <c r="D2263" s="33" t="s">
        <v>22870</v>
      </c>
      <c r="E2263" s="74"/>
      <c r="F2263" s="46" t="s">
        <v>15864</v>
      </c>
      <c r="G2263" s="75"/>
      <c r="H2263" s="98" t="str">
        <f>HYPERLINK("http://mirror.ff7data.com.ar/ff7/data/field/flevel.lgp/wcrimb_1.png","View Picture")</f>
        <v>View Picture</v>
      </c>
      <c r="K2263" s="43"/>
    </row>
    <row r="2264">
      <c r="A2264" s="82"/>
      <c r="B2264" s="33" t="s">
        <v>22879</v>
      </c>
      <c r="C2264" s="42">
        <v>386867.0</v>
      </c>
      <c r="D2264" s="33" t="s">
        <v>22870</v>
      </c>
      <c r="E2264" s="74"/>
      <c r="F2264" s="46" t="s">
        <v>15864</v>
      </c>
      <c r="G2264" s="75"/>
      <c r="H2264" s="98" t="str">
        <f>HYPERLINK("http://mirror.ff7data.com.ar/ff7/data/field/flevel.lgp/wcrimb_2.png","View Picture")</f>
        <v>View Picture</v>
      </c>
      <c r="K2264" s="43"/>
    </row>
    <row r="2265">
      <c r="A2265" s="82"/>
      <c r="B2265" s="33" t="s">
        <v>22888</v>
      </c>
      <c r="C2265" s="42">
        <v>393395.0</v>
      </c>
      <c r="D2265" s="33" t="s">
        <v>22889</v>
      </c>
      <c r="E2265" s="74"/>
      <c r="F2265" s="46" t="s">
        <v>15864</v>
      </c>
      <c r="G2265" s="75"/>
      <c r="H2265" s="98" t="str">
        <f>HYPERLINK("http://mirror.ff7data.com.ar/ff7/data/field/flevel.lgp/white1.png","View Picture")</f>
        <v>View Picture</v>
      </c>
      <c r="K2265" s="43"/>
    </row>
    <row r="2266">
      <c r="A2266" s="82"/>
      <c r="B2266" s="33" t="s">
        <v>22896</v>
      </c>
      <c r="C2266" s="42">
        <v>100139.0</v>
      </c>
      <c r="D2266" s="33" t="s">
        <v>22889</v>
      </c>
      <c r="E2266" s="74"/>
      <c r="F2266" s="46" t="s">
        <v>15864</v>
      </c>
      <c r="G2266" s="46" t="s">
        <v>17164</v>
      </c>
      <c r="H2266" s="98" t="str">
        <f>HYPERLINK("http://mirror.ff7data.com.ar/ff7/data/field/flevel.lgp/white2.png","View Picture")</f>
        <v>View Picture</v>
      </c>
      <c r="K2266" s="43"/>
    </row>
    <row r="2267" ht="22.5" customHeight="1">
      <c r="A2267" s="82"/>
      <c r="B2267" s="33" t="s">
        <v>22904</v>
      </c>
      <c r="C2267" s="42">
        <v>339678.0</v>
      </c>
      <c r="D2267" s="33" t="s">
        <v>22905</v>
      </c>
      <c r="E2267" s="74"/>
      <c r="F2267" s="46" t="s">
        <v>15864</v>
      </c>
      <c r="G2267" s="46" t="s">
        <v>22908</v>
      </c>
      <c r="H2267" s="98" t="str">
        <f>HYPERLINK("http://mirror.ff7data.com.ar/ff7/data/field/flevel.lgp/whitebg3.png","View Picture")</f>
        <v>View Picture</v>
      </c>
      <c r="K2267" s="43"/>
    </row>
    <row r="2268">
      <c r="A2268" s="82"/>
      <c r="B2268" s="33" t="s">
        <v>22914</v>
      </c>
      <c r="C2268" s="42">
        <v>507836.0</v>
      </c>
      <c r="D2268" s="33" t="s">
        <v>22916</v>
      </c>
      <c r="E2268" s="74"/>
      <c r="F2268" s="46" t="s">
        <v>15864</v>
      </c>
      <c r="G2268" s="75"/>
      <c r="H2268" s="98" t="str">
        <f>HYPERLINK("http://mirror.ff7data.com.ar/ff7/data/field/flevel.lgp/whitein.png","View Picture")</f>
        <v>View Picture</v>
      </c>
      <c r="K2268" s="43"/>
    </row>
    <row r="2269">
      <c r="A2269" s="82"/>
      <c r="B2269" s="33" t="s">
        <v>22924</v>
      </c>
      <c r="C2269" s="42">
        <v>466579.0</v>
      </c>
      <c r="D2269" s="33" t="s">
        <v>22926</v>
      </c>
      <c r="E2269" s="74"/>
      <c r="F2269" s="46" t="s">
        <v>15864</v>
      </c>
      <c r="G2269" s="75"/>
      <c r="H2269" s="98" t="str">
        <f>HYPERLINK("http://mirror.ff7data.com.ar/ff7/data/field/flevel.lgp/woa_1.png","View Picture")</f>
        <v>View Picture</v>
      </c>
      <c r="K2269" s="43"/>
    </row>
    <row r="2270">
      <c r="A2270" s="82"/>
      <c r="B2270" s="33" t="s">
        <v>22933</v>
      </c>
      <c r="C2270" s="42">
        <v>604774.0</v>
      </c>
      <c r="D2270" s="33" t="s">
        <v>22926</v>
      </c>
      <c r="E2270" s="74"/>
      <c r="F2270" s="46" t="s">
        <v>15864</v>
      </c>
      <c r="G2270" s="75"/>
      <c r="H2270" s="98" t="str">
        <f>HYPERLINK("http://mirror.ff7data.com.ar/ff7/data/field/flevel.lgp/woa_2.png","View Picture")</f>
        <v>View Picture</v>
      </c>
      <c r="K2270" s="43"/>
    </row>
    <row r="2271">
      <c r="A2271" s="82"/>
      <c r="B2271" s="33" t="s">
        <v>22946</v>
      </c>
      <c r="C2271" s="42">
        <v>543522.0</v>
      </c>
      <c r="D2271" s="33" t="s">
        <v>22926</v>
      </c>
      <c r="E2271" s="74"/>
      <c r="F2271" s="46" t="s">
        <v>15864</v>
      </c>
      <c r="G2271" s="75"/>
      <c r="H2271" s="98" t="str">
        <f>HYPERLINK("http://mirror.ff7data.com.ar/ff7/data/field/flevel.lgp/woa_3.png","View Picture")</f>
        <v>View Picture</v>
      </c>
      <c r="K2271" s="43"/>
    </row>
    <row r="2272">
      <c r="A2272" s="82"/>
      <c r="B2272" s="33" t="s">
        <v>22955</v>
      </c>
      <c r="C2272" s="42">
        <v>1324.0</v>
      </c>
      <c r="D2272" s="33" t="s">
        <v>22957</v>
      </c>
      <c r="E2272" s="74"/>
      <c r="F2272" s="46" t="s">
        <v>1348</v>
      </c>
      <c r="G2272" s="75"/>
      <c r="H2272" s="98" t="str">
        <f>HYPERLINK("http://mirror.ff7data.com.ar/ff7/data/field/flevel.lgp/y_eye2.tex.png","View Picture")</f>
        <v>View Picture</v>
      </c>
      <c r="K2272" s="43"/>
    </row>
    <row r="2273">
      <c r="A2273" s="82"/>
      <c r="B2273" s="33" t="s">
        <v>22964</v>
      </c>
      <c r="C2273" s="42">
        <v>1324.0</v>
      </c>
      <c r="D2273" s="33" t="s">
        <v>22957</v>
      </c>
      <c r="E2273" s="74"/>
      <c r="F2273" s="46" t="s">
        <v>1348</v>
      </c>
      <c r="G2273" s="75"/>
      <c r="H2273" s="98" t="str">
        <f>HYPERLINK("http://mirror.ff7data.com.ar/ff7/data/field/flevel.lgp/y_eye2r.tex.png","View Picture")</f>
        <v>View Picture</v>
      </c>
      <c r="K2273" s="43"/>
    </row>
    <row r="2274">
      <c r="A2274" s="82"/>
      <c r="B2274" s="33" t="s">
        <v>22970</v>
      </c>
      <c r="C2274" s="42">
        <v>176300.0</v>
      </c>
      <c r="D2274" s="33" t="s">
        <v>22972</v>
      </c>
      <c r="E2274" s="74"/>
      <c r="F2274" s="46" t="s">
        <v>15864</v>
      </c>
      <c r="G2274" s="75"/>
      <c r="H2274" s="98" t="str">
        <f>HYPERLINK("http://mirror.ff7data.com.ar/ff7/data/field/flevel.lgp/yougan.png","View Picture")</f>
        <v>View Picture</v>
      </c>
      <c r="K2274" s="43"/>
    </row>
    <row r="2275">
      <c r="A2275" s="82"/>
      <c r="B2275" s="33" t="s">
        <v>22982</v>
      </c>
      <c r="C2275" s="42">
        <v>178153.0</v>
      </c>
      <c r="D2275" s="33" t="s">
        <v>22983</v>
      </c>
      <c r="E2275" s="74"/>
      <c r="F2275" s="46" t="s">
        <v>15864</v>
      </c>
      <c r="G2275" s="75"/>
      <c r="H2275" s="98" t="str">
        <f>HYPERLINK("http://mirror.ff7data.com.ar/ff7/data/field/flevel.lgp/yougan2.png","View Picture")</f>
        <v>View Picture</v>
      </c>
      <c r="K2275" s="43"/>
    </row>
    <row r="2276">
      <c r="A2276" s="82"/>
      <c r="B2276" s="33" t="s">
        <v>22991</v>
      </c>
      <c r="C2276" s="42">
        <v>182873.0</v>
      </c>
      <c r="D2276" s="33" t="s">
        <v>22972</v>
      </c>
      <c r="E2276" s="74"/>
      <c r="F2276" s="46" t="s">
        <v>15864</v>
      </c>
      <c r="G2276" s="75"/>
      <c r="H2276" s="98" t="str">
        <f>HYPERLINK("http://mirror.ff7data.com.ar/ff7/data/field/flevel.lgp/yougan3.png","View Picture")</f>
        <v>View Picture</v>
      </c>
      <c r="K2276" s="43"/>
    </row>
    <row r="2277">
      <c r="A2277" s="82"/>
      <c r="B2277" s="33" t="s">
        <v>22998</v>
      </c>
      <c r="C2277" s="42">
        <v>233028.0</v>
      </c>
      <c r="D2277" s="33" t="s">
        <v>22999</v>
      </c>
      <c r="E2277" s="74"/>
      <c r="F2277" s="46" t="s">
        <v>15864</v>
      </c>
      <c r="G2277" s="75"/>
      <c r="H2277" s="98" t="str">
        <f>HYPERLINK("http://mirror.ff7data.com.ar/ff7/data/field/flevel.lgp/yufy1.png","View Picture")</f>
        <v>View Picture</v>
      </c>
      <c r="K2277" s="43"/>
    </row>
    <row r="2278">
      <c r="A2278" s="82"/>
      <c r="B2278" s="33" t="s">
        <v>23003</v>
      </c>
      <c r="C2278" s="42">
        <v>174893.0</v>
      </c>
      <c r="D2278" s="33" t="s">
        <v>23005</v>
      </c>
      <c r="E2278" s="74"/>
      <c r="F2278" s="46" t="s">
        <v>15864</v>
      </c>
      <c r="G2278" s="75"/>
      <c r="H2278" s="98" t="str">
        <f>HYPERLINK("http://mirror.ff7data.com.ar/ff7/data/field/flevel.lgp/yufy2.png","View Picture")</f>
        <v>View Picture</v>
      </c>
      <c r="K2278" s="43"/>
    </row>
    <row r="2279">
      <c r="A2279" s="82"/>
      <c r="B2279" s="33" t="s">
        <v>23011</v>
      </c>
      <c r="C2279" s="42">
        <v>465346.0</v>
      </c>
      <c r="D2279" s="33" t="s">
        <v>23012</v>
      </c>
      <c r="E2279" s="74"/>
      <c r="F2279" s="46" t="s">
        <v>15864</v>
      </c>
      <c r="G2279" s="75"/>
      <c r="H2279" s="98" t="str">
        <f>HYPERLINK("http://mirror.ff7data.com.ar/ff7/data/field/flevel.lgp/zcoal_1.png","View Picture")</f>
        <v>View Picture</v>
      </c>
      <c r="K2279" s="43"/>
    </row>
    <row r="2280">
      <c r="A2280" s="82"/>
      <c r="B2280" s="33" t="s">
        <v>23017</v>
      </c>
      <c r="C2280" s="42">
        <v>382556.0</v>
      </c>
      <c r="D2280" s="33" t="s">
        <v>23018</v>
      </c>
      <c r="E2280" s="74"/>
      <c r="F2280" s="46" t="s">
        <v>15864</v>
      </c>
      <c r="G2280" s="75"/>
      <c r="H2280" s="98" t="str">
        <f>HYPERLINK("http://mirror.ff7data.com.ar/ff7/data/field/flevel.lgp/zcoal_2.png","View Picture")</f>
        <v>View Picture</v>
      </c>
      <c r="K2280" s="43"/>
    </row>
    <row r="2281">
      <c r="A2281" s="82"/>
      <c r="B2281" s="33" t="s">
        <v>23024</v>
      </c>
      <c r="C2281" s="42">
        <v>523955.0</v>
      </c>
      <c r="D2281" s="33" t="s">
        <v>23026</v>
      </c>
      <c r="E2281" s="74"/>
      <c r="F2281" s="46" t="s">
        <v>15864</v>
      </c>
      <c r="G2281" s="75"/>
      <c r="H2281" s="98" t="str">
        <f>HYPERLINK("http://mirror.ff7data.com.ar/ff7/data/field/flevel.lgp/zcoal_3.png","View Picture")</f>
        <v>View Picture</v>
      </c>
      <c r="K2281" s="43"/>
    </row>
    <row r="2282">
      <c r="A2282" s="82"/>
      <c r="B2282" s="33" t="s">
        <v>23030</v>
      </c>
      <c r="C2282" s="42">
        <v>505694.0</v>
      </c>
      <c r="D2282" s="33" t="s">
        <v>23033</v>
      </c>
      <c r="E2282" s="74"/>
      <c r="F2282" s="46" t="s">
        <v>15864</v>
      </c>
      <c r="G2282" s="46" t="s">
        <v>17164</v>
      </c>
      <c r="H2282" s="98" t="str">
        <f>HYPERLINK("http://mirror.ff7data.com.ar/ff7/data/field/flevel.lgp/zmind1.png","View Picture")</f>
        <v>View Picture</v>
      </c>
      <c r="K2282" s="43"/>
    </row>
    <row r="2283">
      <c r="A2283" s="82"/>
      <c r="B2283" s="33" t="s">
        <v>23039</v>
      </c>
      <c r="C2283" s="42">
        <v>315716.0</v>
      </c>
      <c r="D2283" s="33" t="s">
        <v>23041</v>
      </c>
      <c r="E2283" s="74"/>
      <c r="F2283" s="46" t="s">
        <v>15864</v>
      </c>
      <c r="G2283" s="46" t="s">
        <v>17164</v>
      </c>
      <c r="H2283" s="98" t="str">
        <f>HYPERLINK("http://mirror.ff7data.com.ar/ff7/data/field/flevel.lgp/zmind2.png","View Picture")</f>
        <v>View Picture</v>
      </c>
      <c r="K2283" s="43"/>
    </row>
    <row r="2284">
      <c r="A2284" s="82"/>
      <c r="B2284" s="33" t="s">
        <v>23047</v>
      </c>
      <c r="C2284" s="42">
        <v>396021.0</v>
      </c>
      <c r="D2284" s="33" t="s">
        <v>23049</v>
      </c>
      <c r="E2284" s="74"/>
      <c r="F2284" s="46" t="s">
        <v>15864</v>
      </c>
      <c r="G2284" s="46" t="s">
        <v>17164</v>
      </c>
      <c r="H2284" s="98" t="str">
        <f>HYPERLINK("http://mirror.ff7data.com.ar/ff7/data/field/flevel.lgp/zmind3.png","View Picture")</f>
        <v>View Picture</v>
      </c>
      <c r="K2284" s="43"/>
    </row>
    <row r="2285">
      <c r="A2285" s="82"/>
      <c r="B2285" s="33" t="s">
        <v>23057</v>
      </c>
      <c r="C2285" s="42">
        <v>295216.0</v>
      </c>
      <c r="D2285" s="33" t="s">
        <v>23058</v>
      </c>
      <c r="E2285" s="74"/>
      <c r="F2285" s="46" t="s">
        <v>15864</v>
      </c>
      <c r="G2285" s="75"/>
      <c r="H2285" s="98" t="str">
        <f>HYPERLINK("http://mirror.ff7data.com.ar/ff7/data/field/flevel.lgp/ztruck.png","View Picture")</f>
        <v>View Picture</v>
      </c>
      <c r="K2285" s="43"/>
    </row>
    <row r="2286">
      <c r="A2286" s="82"/>
      <c r="B2286" s="33" t="s">
        <v>23067</v>
      </c>
      <c r="C2286" s="42">
        <v>338175.0</v>
      </c>
      <c r="D2286" s="33" t="s">
        <v>23068</v>
      </c>
      <c r="E2286" s="74"/>
      <c r="F2286" s="46" t="s">
        <v>15864</v>
      </c>
      <c r="G2286" s="75"/>
      <c r="H2286" s="98" t="str">
        <f>HYPERLINK("http://mirror.ff7data.com.ar/ff7/data/field/flevel.lgp/zz1.png","View Picture")</f>
        <v>View Picture</v>
      </c>
      <c r="K2286" s="43"/>
    </row>
    <row r="2287">
      <c r="A2287" s="82"/>
      <c r="B2287" s="33" t="s">
        <v>23077</v>
      </c>
      <c r="C2287" s="42">
        <v>175961.0</v>
      </c>
      <c r="D2287" s="33" t="s">
        <v>23078</v>
      </c>
      <c r="E2287" s="74"/>
      <c r="F2287" s="46" t="s">
        <v>15864</v>
      </c>
      <c r="G2287" s="75"/>
      <c r="H2287" s="98" t="str">
        <f>HYPERLINK("http://mirror.ff7data.com.ar/ff7/data/field/flevel.lgp/zz2.png","View Picture")</f>
        <v>View Picture</v>
      </c>
      <c r="K2287" s="43"/>
    </row>
    <row r="2288">
      <c r="A2288" s="82"/>
      <c r="B2288" s="33" t="s">
        <v>23083</v>
      </c>
      <c r="C2288" s="42">
        <v>253219.0</v>
      </c>
      <c r="D2288" s="33" t="s">
        <v>23085</v>
      </c>
      <c r="E2288" s="74"/>
      <c r="F2288" s="46" t="s">
        <v>15864</v>
      </c>
      <c r="G2288" s="75"/>
      <c r="H2288" s="98" t="str">
        <f>HYPERLINK("http://mirror.ff7data.com.ar/ff7/data/field/flevel.lgp/zz3.png","View Picture")</f>
        <v>View Picture</v>
      </c>
      <c r="K2288" s="43"/>
    </row>
    <row r="2289">
      <c r="A2289" s="82"/>
      <c r="B2289" s="33" t="s">
        <v>23090</v>
      </c>
      <c r="C2289" s="42">
        <v>316841.0</v>
      </c>
      <c r="D2289" s="33" t="s">
        <v>23091</v>
      </c>
      <c r="E2289" s="74"/>
      <c r="F2289" s="46" t="s">
        <v>15864</v>
      </c>
      <c r="G2289" s="75"/>
      <c r="H2289" s="98" t="str">
        <f>HYPERLINK("http://mirror.ff7data.com.ar/ff7/data/field/flevel.lgp/zz4.png","View Picture")</f>
        <v>View Picture</v>
      </c>
      <c r="K2289" s="43"/>
    </row>
    <row r="2290">
      <c r="A2290" s="82"/>
      <c r="B2290" s="33" t="s">
        <v>23095</v>
      </c>
      <c r="C2290" s="42">
        <v>313308.0</v>
      </c>
      <c r="D2290" s="33" t="s">
        <v>23096</v>
      </c>
      <c r="E2290" s="74"/>
      <c r="F2290" s="46" t="s">
        <v>15864</v>
      </c>
      <c r="G2290" s="75"/>
      <c r="H2290" s="98" t="str">
        <f>HYPERLINK("http://mirror.ff7data.com.ar/ff7/data/field/flevel.lgp/zz5.png","View Picture")</f>
        <v>View Picture</v>
      </c>
      <c r="K2290" s="43"/>
    </row>
    <row r="2291">
      <c r="A2291" s="82"/>
      <c r="B2291" s="33" t="s">
        <v>23101</v>
      </c>
      <c r="C2291" s="42">
        <v>409993.0</v>
      </c>
      <c r="D2291" s="33" t="s">
        <v>23103</v>
      </c>
      <c r="E2291" s="74"/>
      <c r="F2291" s="46" t="s">
        <v>15864</v>
      </c>
      <c r="G2291" s="75"/>
      <c r="H2291" s="98" t="str">
        <f>HYPERLINK("http://mirror.ff7data.com.ar/ff7/data/field/flevel.lgp/zz6.png","View Picture")</f>
        <v>View Picture</v>
      </c>
      <c r="K2291" s="43"/>
    </row>
    <row r="2292">
      <c r="A2292" s="82"/>
      <c r="B2292" s="33" t="s">
        <v>23108</v>
      </c>
      <c r="C2292" s="42">
        <v>316842.0</v>
      </c>
      <c r="D2292" s="33" t="s">
        <v>23109</v>
      </c>
      <c r="E2292" s="74"/>
      <c r="F2292" s="46" t="s">
        <v>15864</v>
      </c>
      <c r="G2292" s="75"/>
      <c r="H2292" s="98" t="str">
        <f>HYPERLINK("http://mirror.ff7data.com.ar/ff7/data/field/flevel.lgp/zz7.png","View Picture")</f>
        <v>View Picture</v>
      </c>
      <c r="K2292" s="43"/>
    </row>
    <row r="2293">
      <c r="A2293" s="82"/>
      <c r="B2293" s="57" t="s">
        <v>23113</v>
      </c>
      <c r="C2293" s="58">
        <v>316151.0</v>
      </c>
      <c r="D2293" s="57" t="s">
        <v>23115</v>
      </c>
      <c r="E2293" s="19"/>
      <c r="F2293" s="61" t="s">
        <v>15864</v>
      </c>
      <c r="G2293" s="71"/>
      <c r="H2293" s="136" t="str">
        <f>HYPERLINK("http://mirror.ff7data.com.ar/ff7/data/field/flevel.lgp/zz8.png","View Picture")</f>
        <v>View Picture</v>
      </c>
      <c r="I2293" s="19"/>
      <c r="J2293" s="19"/>
      <c r="K2293" s="64"/>
    </row>
    <row r="2294">
      <c r="A2294" s="12"/>
      <c r="B2294" s="12"/>
      <c r="C2294" s="65"/>
      <c r="D2294" s="34"/>
      <c r="E2294" s="34"/>
      <c r="F2294" s="67"/>
      <c r="G2294" s="67"/>
      <c r="H2294" s="34"/>
      <c r="I2294" s="34"/>
      <c r="J2294" s="34"/>
      <c r="K2294" s="34"/>
    </row>
    <row r="2295">
      <c r="A2295" s="68"/>
      <c r="B2295" s="69" t="s">
        <v>164</v>
      </c>
      <c r="C2295" s="144"/>
      <c r="D2295" s="19"/>
      <c r="E2295" s="19"/>
      <c r="F2295" s="71"/>
      <c r="G2295" s="71"/>
      <c r="H2295" s="19"/>
      <c r="I2295" s="19"/>
      <c r="J2295" s="19"/>
      <c r="K2295" s="19"/>
    </row>
    <row r="2296">
      <c r="A2296" s="55"/>
      <c r="B2296" s="23" t="s">
        <v>23121</v>
      </c>
      <c r="C2296" s="24">
        <v>144.0</v>
      </c>
      <c r="D2296" s="117"/>
      <c r="E2296" s="34"/>
      <c r="F2296" s="67"/>
      <c r="G2296" s="67"/>
      <c r="H2296" s="34"/>
      <c r="I2296" s="34"/>
      <c r="J2296" s="34"/>
      <c r="K2296" s="38"/>
    </row>
    <row r="2297">
      <c r="A2297" s="55"/>
      <c r="B2297" s="33" t="s">
        <v>23125</v>
      </c>
      <c r="C2297" s="42">
        <v>676.0</v>
      </c>
      <c r="D2297" s="31"/>
      <c r="E2297" s="74"/>
      <c r="F2297" s="46" t="s">
        <v>2775</v>
      </c>
      <c r="G2297" s="75"/>
      <c r="H2297" s="98" t="str">
        <f>HYPERLINK("http://mirror.ff7data.com.ar/ff7/data/minigame/high-us.lgp/abaa.p.png","View Picture")</f>
        <v>View Picture</v>
      </c>
      <c r="K2297" s="43"/>
    </row>
    <row r="2298">
      <c r="A2298" s="55"/>
      <c r="B2298" s="33" t="s">
        <v>23131</v>
      </c>
      <c r="C2298" s="42">
        <v>10096.0</v>
      </c>
      <c r="D2298" s="31"/>
      <c r="E2298" s="74"/>
      <c r="F2298" s="46" t="s">
        <v>2775</v>
      </c>
      <c r="G2298" s="75"/>
      <c r="H2298" s="98" t="str">
        <f>HYPERLINK("http://mirror.ff7data.com.ar/ff7/data/minigame/high-us.lgp/acaa.p.png","View Picture")</f>
        <v>View Picture</v>
      </c>
      <c r="K2298" s="43"/>
    </row>
    <row r="2299">
      <c r="A2299" s="55"/>
      <c r="B2299" s="33" t="s">
        <v>23136</v>
      </c>
      <c r="C2299" s="42">
        <v>286.0</v>
      </c>
      <c r="D2299" s="31"/>
      <c r="E2299" s="74"/>
      <c r="F2299" s="46" t="s">
        <v>2793</v>
      </c>
      <c r="G2299" s="75"/>
      <c r="H2299" s="98" t="str">
        <f>HYPERLINK("http://mirror.ff7data.com.ar/ff7/data/minigame/high-us.lgp/adaa.rsd.png","View Picture")</f>
        <v>View Picture</v>
      </c>
      <c r="K2299" s="43"/>
    </row>
    <row r="2300">
      <c r="A2300" s="55"/>
      <c r="B2300" s="33" t="s">
        <v>23140</v>
      </c>
      <c r="C2300" s="42">
        <v>684.0</v>
      </c>
      <c r="D2300" s="31"/>
      <c r="E2300" s="74"/>
      <c r="F2300" s="46" t="s">
        <v>2775</v>
      </c>
      <c r="G2300" s="75"/>
      <c r="H2300" s="98" t="str">
        <f>HYPERLINK("http://mirror.ff7data.com.ar/ff7/data/minigame/high-us.lgp/aeaa.p.png","View Picture")</f>
        <v>View Picture</v>
      </c>
      <c r="K2300" s="43"/>
    </row>
    <row r="2301">
      <c r="A2301" s="55"/>
      <c r="B2301" s="33" t="s">
        <v>23145</v>
      </c>
      <c r="C2301" s="42">
        <v>202.0</v>
      </c>
      <c r="D2301" s="31"/>
      <c r="E2301" s="74"/>
      <c r="F2301" s="46" t="s">
        <v>2793</v>
      </c>
      <c r="G2301" s="75"/>
      <c r="H2301" s="98" t="str">
        <f>HYPERLINK("http://mirror.ff7data.com.ar/ff7/data/minigame/high-us.lgp/afaa.rsd.png","View Picture")</f>
        <v>View Picture</v>
      </c>
      <c r="K2301" s="43"/>
    </row>
    <row r="2302">
      <c r="A2302" s="55"/>
      <c r="B2302" s="33" t="s">
        <v>23151</v>
      </c>
      <c r="C2302" s="42">
        <v>1140.0</v>
      </c>
      <c r="D2302" s="31"/>
      <c r="E2302" s="74"/>
      <c r="F2302" s="46" t="s">
        <v>2775</v>
      </c>
      <c r="G2302" s="75"/>
      <c r="H2302" s="98" t="str">
        <f>HYPERLINK("http://mirror.ff7data.com.ar/ff7/data/minigame/high-us.lgp/agaa.p.png","View Picture")</f>
        <v>View Picture</v>
      </c>
      <c r="K2302" s="43"/>
    </row>
    <row r="2303">
      <c r="A2303" s="55"/>
      <c r="B2303" s="33" t="s">
        <v>23157</v>
      </c>
      <c r="C2303" s="42">
        <v>4596.0</v>
      </c>
      <c r="D2303" s="31"/>
      <c r="E2303" s="74"/>
      <c r="F2303" s="46" t="s">
        <v>3366</v>
      </c>
      <c r="G2303" s="75"/>
      <c r="H2303" s="122"/>
      <c r="K2303" s="43"/>
    </row>
    <row r="2304">
      <c r="A2304" s="55"/>
      <c r="B2304" s="33" t="s">
        <v>23161</v>
      </c>
      <c r="C2304" s="42">
        <v>289.0</v>
      </c>
      <c r="D2304" s="31"/>
      <c r="E2304" s="74"/>
      <c r="F2304" s="46" t="s">
        <v>2793</v>
      </c>
      <c r="G2304" s="75"/>
      <c r="H2304" s="98" t="str">
        <f>HYPERLINK("http://mirror.ff7data.com.ar/ff7/data/minigame/high-us.lgp/aiaa.rsd.png","View Picture")</f>
        <v>View Picture</v>
      </c>
      <c r="K2304" s="43"/>
    </row>
    <row r="2305">
      <c r="A2305" s="55"/>
      <c r="B2305" s="33" t="s">
        <v>23169</v>
      </c>
      <c r="C2305" s="42">
        <v>289.0</v>
      </c>
      <c r="D2305" s="31"/>
      <c r="E2305" s="74"/>
      <c r="F2305" s="46" t="s">
        <v>2793</v>
      </c>
      <c r="G2305" s="75"/>
      <c r="H2305" s="98" t="str">
        <f>HYPERLINK("http://mirror.ff7data.com.ar/ff7/data/minigame/high-us.lgp/ajaa.rsd.png","View Picture")</f>
        <v>View Picture</v>
      </c>
      <c r="K2305" s="43"/>
    </row>
    <row r="2306">
      <c r="A2306" s="55"/>
      <c r="B2306" s="33" t="s">
        <v>23174</v>
      </c>
      <c r="C2306" s="42">
        <v>283.0</v>
      </c>
      <c r="D2306" s="31"/>
      <c r="E2306" s="74"/>
      <c r="F2306" s="46" t="s">
        <v>2793</v>
      </c>
      <c r="G2306" s="75"/>
      <c r="H2306" s="98" t="str">
        <f>HYPERLINK("http://mirror.ff7data.com.ar/ff7/data/minigame/high-us.lgp/akaa.rsd.png","View Picture")</f>
        <v>View Picture</v>
      </c>
      <c r="K2306" s="43"/>
    </row>
    <row r="2307">
      <c r="A2307" s="55"/>
      <c r="B2307" s="33" t="s">
        <v>23178</v>
      </c>
      <c r="C2307" s="42">
        <v>283.0</v>
      </c>
      <c r="D2307" s="31"/>
      <c r="E2307" s="74"/>
      <c r="F2307" s="46" t="s">
        <v>2793</v>
      </c>
      <c r="G2307" s="75"/>
      <c r="H2307" s="98" t="str">
        <f>HYPERLINK("http://mirror.ff7data.com.ar/ff7/data/minigame/high-us.lgp/alaa.rsd.png","View Picture")</f>
        <v>View Picture</v>
      </c>
      <c r="K2307" s="43"/>
    </row>
    <row r="2308">
      <c r="A2308" s="55"/>
      <c r="B2308" s="33" t="s">
        <v>23184</v>
      </c>
      <c r="C2308" s="42">
        <v>286.0</v>
      </c>
      <c r="D2308" s="31"/>
      <c r="E2308" s="74"/>
      <c r="F2308" s="46" t="s">
        <v>2793</v>
      </c>
      <c r="G2308" s="75"/>
      <c r="H2308" s="98" t="str">
        <f>HYPERLINK("http://mirror.ff7data.com.ar/ff7/data/minigame/high-us.lgp/amaa.rsd.png","View Picture")</f>
        <v>View Picture</v>
      </c>
      <c r="K2308" s="43"/>
    </row>
    <row r="2309">
      <c r="A2309" s="55"/>
      <c r="B2309" s="33" t="s">
        <v>23189</v>
      </c>
      <c r="C2309" s="42">
        <v>2676.0</v>
      </c>
      <c r="D2309" s="31"/>
      <c r="E2309" s="74"/>
      <c r="F2309" s="46" t="s">
        <v>2775</v>
      </c>
      <c r="G2309" s="75"/>
      <c r="H2309" s="98" t="str">
        <f>HYPERLINK("http://mirror.ff7data.com.ar/ff7/data/minigame/high-us.lgp/anaa.p.png","View Picture")</f>
        <v>View Picture</v>
      </c>
      <c r="K2309" s="43"/>
    </row>
    <row r="2310">
      <c r="A2310" s="55"/>
      <c r="B2310" s="33" t="s">
        <v>23194</v>
      </c>
      <c r="C2310" s="42">
        <v>3216.0</v>
      </c>
      <c r="D2310" s="31"/>
      <c r="E2310" s="74"/>
      <c r="F2310" s="46" t="s">
        <v>2775</v>
      </c>
      <c r="G2310" s="75"/>
      <c r="H2310" s="98" t="str">
        <f>HYPERLINK("http://mirror.ff7data.com.ar/ff7/data/minigame/high-us.lgp/aoaa.p.png","View Picture")</f>
        <v>View Picture</v>
      </c>
      <c r="K2310" s="43"/>
    </row>
    <row r="2311">
      <c r="A2311" s="55"/>
      <c r="B2311" s="33" t="s">
        <v>23198</v>
      </c>
      <c r="C2311" s="42">
        <v>25320.0</v>
      </c>
      <c r="D2311" s="31"/>
      <c r="E2311" s="74"/>
      <c r="F2311" s="46" t="s">
        <v>2775</v>
      </c>
      <c r="G2311" s="75"/>
      <c r="H2311" s="98" t="str">
        <f>HYPERLINK("http://mirror.ff7data.com.ar/ff7/data/minigame/high-us.lgp/apaa.p.png","View Picture")</f>
        <v>View Picture</v>
      </c>
      <c r="K2311" s="43"/>
    </row>
    <row r="2312">
      <c r="A2312" s="55"/>
      <c r="B2312" s="33" t="s">
        <v>23203</v>
      </c>
      <c r="C2312" s="42">
        <v>283.0</v>
      </c>
      <c r="D2312" s="31"/>
      <c r="E2312" s="74"/>
      <c r="F2312" s="46" t="s">
        <v>2793</v>
      </c>
      <c r="G2312" s="75"/>
      <c r="H2312" s="98" t="str">
        <f>HYPERLINK("http://mirror.ff7data.com.ar/ff7/data/minigame/high-us.lgp/aqaa.rsd.png","View Picture")</f>
        <v>View Picture</v>
      </c>
      <c r="K2312" s="43"/>
    </row>
    <row r="2313">
      <c r="A2313" s="55"/>
      <c r="B2313" s="33" t="s">
        <v>23209</v>
      </c>
      <c r="C2313" s="42">
        <v>280.0</v>
      </c>
      <c r="D2313" s="31"/>
      <c r="E2313" s="74"/>
      <c r="F2313" s="46" t="s">
        <v>2793</v>
      </c>
      <c r="G2313" s="75"/>
      <c r="H2313" s="98" t="str">
        <f>HYPERLINK("http://mirror.ff7data.com.ar/ff7/data/minigame/high-us.lgp/araa.rsd.png","View Picture")</f>
        <v>View Picture</v>
      </c>
      <c r="K2313" s="43"/>
    </row>
    <row r="2314">
      <c r="A2314" s="55"/>
      <c r="B2314" s="33" t="s">
        <v>23213</v>
      </c>
      <c r="C2314" s="42">
        <v>3040.0</v>
      </c>
      <c r="D2314" s="31"/>
      <c r="E2314" s="74"/>
      <c r="F2314" s="46" t="s">
        <v>2775</v>
      </c>
      <c r="G2314" s="75"/>
      <c r="H2314" s="98" t="str">
        <f>HYPERLINK("http://mirror.ff7data.com.ar/ff7/data/minigame/high-us.lgp/asaa.p.png","View Picture")</f>
        <v>View Picture</v>
      </c>
      <c r="K2314" s="43"/>
    </row>
    <row r="2315">
      <c r="A2315" s="55"/>
      <c r="B2315" s="33" t="s">
        <v>23218</v>
      </c>
      <c r="C2315" s="42">
        <v>289.0</v>
      </c>
      <c r="D2315" s="31"/>
      <c r="E2315" s="74"/>
      <c r="F2315" s="46" t="s">
        <v>2793</v>
      </c>
      <c r="G2315" s="75"/>
      <c r="H2315" s="98" t="str">
        <f>HYPERLINK("http://mirror.ff7data.com.ar/ff7/data/minigame/high-us.lgp/ataa.rsd.png","View Picture")</f>
        <v>View Picture</v>
      </c>
      <c r="K2315" s="43"/>
    </row>
    <row r="2316">
      <c r="A2316" s="55"/>
      <c r="B2316" s="33" t="s">
        <v>23223</v>
      </c>
      <c r="C2316" s="42">
        <v>2348.0</v>
      </c>
      <c r="D2316" s="31"/>
      <c r="E2316" s="74"/>
      <c r="F2316" s="46" t="s">
        <v>1348</v>
      </c>
      <c r="G2316" s="75"/>
      <c r="H2316" s="98" t="str">
        <f>HYPERLINK("http://mirror.ff7data.com.ar/ff7/data/minigame/high-us.lgp/auaa.tex.png","View Picture")</f>
        <v>View Picture</v>
      </c>
      <c r="K2316" s="43"/>
    </row>
    <row r="2317">
      <c r="A2317" s="55"/>
      <c r="B2317" s="33" t="s">
        <v>23228</v>
      </c>
      <c r="C2317" s="42">
        <v>509044.0</v>
      </c>
      <c r="D2317" s="31"/>
      <c r="E2317" s="74"/>
      <c r="F2317" s="75"/>
      <c r="G2317" s="75"/>
      <c r="H2317" s="122"/>
      <c r="K2317" s="43"/>
    </row>
    <row r="2318">
      <c r="A2318" s="55"/>
      <c r="B2318" s="33" t="s">
        <v>23230</v>
      </c>
      <c r="C2318" s="42">
        <v>296.0</v>
      </c>
      <c r="D2318" s="31"/>
      <c r="E2318" s="74"/>
      <c r="F2318" s="46" t="s">
        <v>2793</v>
      </c>
      <c r="G2318" s="75"/>
      <c r="H2318" s="98" t="str">
        <f>HYPERLINK("http://mirror.ff7data.com.ar/ff7/data/minigame/high-us.lgp/bbaa.rsd.png","View Picture")</f>
        <v>View Picture</v>
      </c>
      <c r="K2318" s="43"/>
    </row>
    <row r="2319">
      <c r="A2319" s="55"/>
      <c r="B2319" s="33" t="s">
        <v>23234</v>
      </c>
      <c r="C2319" s="42">
        <v>216.0</v>
      </c>
      <c r="D2319" s="31"/>
      <c r="E2319" s="74"/>
      <c r="F2319" s="46" t="s">
        <v>2793</v>
      </c>
      <c r="G2319" s="75"/>
      <c r="H2319" s="98" t="str">
        <f>HYPERLINK("http://mirror.ff7data.com.ar/ff7/data/minigame/high-us.lgp/bcaa.rsd.png","View Picture")</f>
        <v>View Picture</v>
      </c>
      <c r="K2319" s="43"/>
    </row>
    <row r="2320">
      <c r="A2320" s="55"/>
      <c r="B2320" s="33" t="s">
        <v>23241</v>
      </c>
      <c r="C2320" s="42">
        <v>11532.0</v>
      </c>
      <c r="D2320" s="31"/>
      <c r="E2320" s="74"/>
      <c r="F2320" s="46" t="s">
        <v>2775</v>
      </c>
      <c r="G2320" s="75"/>
      <c r="H2320" s="98" t="str">
        <f>HYPERLINK("http://mirror.ff7data.com.ar/ff7/data/minigame/high-us.lgp/bdaa.p.png","View Picture")</f>
        <v>View Picture</v>
      </c>
      <c r="K2320" s="43"/>
    </row>
    <row r="2321">
      <c r="A2321" s="55"/>
      <c r="B2321" s="33" t="s">
        <v>23248</v>
      </c>
      <c r="C2321" s="42">
        <v>201.0</v>
      </c>
      <c r="D2321" s="31"/>
      <c r="E2321" s="74"/>
      <c r="F2321" s="46" t="s">
        <v>2793</v>
      </c>
      <c r="G2321" s="75"/>
      <c r="H2321" s="98" t="str">
        <f>HYPERLINK("http://mirror.ff7data.com.ar/ff7/data/minigame/high-us.lgp/beaa.rsd.png","View Picture")</f>
        <v>View Picture</v>
      </c>
      <c r="K2321" s="43"/>
    </row>
    <row r="2322">
      <c r="A2322" s="55"/>
      <c r="B2322" s="33" t="s">
        <v>23253</v>
      </c>
      <c r="C2322" s="42">
        <v>516.0</v>
      </c>
      <c r="D2322" s="31"/>
      <c r="E2322" s="74"/>
      <c r="F2322" s="46" t="s">
        <v>2775</v>
      </c>
      <c r="G2322" s="75"/>
      <c r="H2322" s="98" t="str">
        <f>HYPERLINK("http://mirror.ff7data.com.ar/ff7/data/minigame/high-us.lgp/bfaa.p.png","View Picture")</f>
        <v>View Picture</v>
      </c>
      <c r="K2322" s="43"/>
    </row>
    <row r="2323">
      <c r="A2323" s="55"/>
      <c r="B2323" s="33" t="s">
        <v>23261</v>
      </c>
      <c r="C2323" s="42">
        <v>285.0</v>
      </c>
      <c r="D2323" s="31"/>
      <c r="E2323" s="74"/>
      <c r="F2323" s="46" t="s">
        <v>2793</v>
      </c>
      <c r="G2323" s="75"/>
      <c r="H2323" s="98" t="str">
        <f>HYPERLINK("http://mirror.ff7data.com.ar/ff7/data/minigame/high-us.lgp/bgaa.rsd.png","View Picture")</f>
        <v>View Picture</v>
      </c>
      <c r="K2323" s="43"/>
    </row>
    <row r="2324">
      <c r="A2324" s="55"/>
      <c r="B2324" s="33" t="s">
        <v>23266</v>
      </c>
      <c r="C2324" s="42">
        <v>1332.0</v>
      </c>
      <c r="D2324" s="31"/>
      <c r="E2324" s="74"/>
      <c r="F2324" s="46" t="s">
        <v>3366</v>
      </c>
      <c r="G2324" s="75"/>
      <c r="H2324" s="122"/>
      <c r="K2324" s="43"/>
    </row>
    <row r="2325">
      <c r="A2325" s="55"/>
      <c r="B2325" s="33" t="s">
        <v>23268</v>
      </c>
      <c r="C2325" s="42">
        <v>9944.0</v>
      </c>
      <c r="D2325" s="31"/>
      <c r="E2325" s="74"/>
      <c r="F2325" s="46" t="s">
        <v>2775</v>
      </c>
      <c r="G2325" s="75"/>
      <c r="H2325" s="98" t="str">
        <f>HYPERLINK("http://mirror.ff7data.com.ar/ff7/data/minigame/high-us.lgp/biaa.p.png","View Picture")</f>
        <v>View Picture</v>
      </c>
      <c r="K2325" s="43"/>
    </row>
    <row r="2326">
      <c r="A2326" s="55"/>
      <c r="B2326" s="33" t="s">
        <v>23278</v>
      </c>
      <c r="C2326" s="42">
        <v>13160.0</v>
      </c>
      <c r="D2326" s="31"/>
      <c r="E2326" s="74"/>
      <c r="F2326" s="46" t="s">
        <v>2775</v>
      </c>
      <c r="G2326" s="75"/>
      <c r="H2326" s="98" t="str">
        <f>HYPERLINK("http://mirror.ff7data.com.ar/ff7/data/minigame/high-us.lgp/bjaa.p.png","View Picture")</f>
        <v>View Picture</v>
      </c>
      <c r="K2326" s="43"/>
    </row>
    <row r="2327">
      <c r="A2327" s="55"/>
      <c r="B2327" s="33" t="s">
        <v>23284</v>
      </c>
      <c r="C2327" s="42">
        <v>14304.0</v>
      </c>
      <c r="D2327" s="31"/>
      <c r="E2327" s="74"/>
      <c r="F2327" s="46" t="s">
        <v>2775</v>
      </c>
      <c r="G2327" s="75"/>
      <c r="H2327" s="98" t="str">
        <f>HYPERLINK("http://mirror.ff7data.com.ar/ff7/data/minigame/high-us.lgp/bkaa.p.png","View Picture")</f>
        <v>View Picture</v>
      </c>
      <c r="K2327" s="43"/>
    </row>
    <row r="2328">
      <c r="A2328" s="55"/>
      <c r="B2328" s="33" t="s">
        <v>23293</v>
      </c>
      <c r="C2328" s="42">
        <v>14180.0</v>
      </c>
      <c r="D2328" s="31"/>
      <c r="E2328" s="74"/>
      <c r="F2328" s="46" t="s">
        <v>2775</v>
      </c>
      <c r="G2328" s="75"/>
      <c r="H2328" s="98" t="str">
        <f>HYPERLINK("http://mirror.ff7data.com.ar/ff7/data/minigame/high-us.lgp/blaa.p.png","View Picture")</f>
        <v>View Picture</v>
      </c>
      <c r="K2328" s="43"/>
    </row>
    <row r="2329">
      <c r="A2329" s="55"/>
      <c r="B2329" s="33" t="s">
        <v>23302</v>
      </c>
      <c r="C2329" s="42">
        <v>22816.0</v>
      </c>
      <c r="D2329" s="31"/>
      <c r="E2329" s="74"/>
      <c r="F2329" s="46" t="s">
        <v>2775</v>
      </c>
      <c r="G2329" s="75"/>
      <c r="H2329" s="98" t="str">
        <f>HYPERLINK("http://mirror.ff7data.com.ar/ff7/data/minigame/high-us.lgp/bmaa.p.png","View Picture")</f>
        <v>View Picture</v>
      </c>
      <c r="K2329" s="43"/>
    </row>
    <row r="2330">
      <c r="A2330" s="55"/>
      <c r="B2330" s="33" t="s">
        <v>23310</v>
      </c>
      <c r="C2330" s="42">
        <v>283.0</v>
      </c>
      <c r="D2330" s="31"/>
      <c r="E2330" s="74"/>
      <c r="F2330" s="46" t="s">
        <v>2793</v>
      </c>
      <c r="G2330" s="75"/>
      <c r="H2330" s="98" t="str">
        <f>HYPERLINK("http://mirror.ff7data.com.ar/ff7/data/minigame/high-us.lgp/bnaa.rsd.png","View Picture")</f>
        <v>View Picture</v>
      </c>
      <c r="K2330" s="43"/>
    </row>
    <row r="2331">
      <c r="A2331" s="55"/>
      <c r="B2331" s="33" t="s">
        <v>23317</v>
      </c>
      <c r="C2331" s="42">
        <v>289.0</v>
      </c>
      <c r="D2331" s="31"/>
      <c r="E2331" s="74"/>
      <c r="F2331" s="46" t="s">
        <v>2793</v>
      </c>
      <c r="G2331" s="75"/>
      <c r="H2331" s="98" t="str">
        <f>HYPERLINK("http://mirror.ff7data.com.ar/ff7/data/minigame/high-us.lgp/boaa.rsd.png","View Picture")</f>
        <v>View Picture</v>
      </c>
      <c r="K2331" s="43"/>
    </row>
    <row r="2332">
      <c r="A2332" s="55"/>
      <c r="B2332" s="33" t="s">
        <v>23323</v>
      </c>
      <c r="C2332" s="42">
        <v>357.0</v>
      </c>
      <c r="D2332" s="31"/>
      <c r="E2332" s="74"/>
      <c r="F2332" s="46" t="s">
        <v>2793</v>
      </c>
      <c r="G2332" s="75"/>
      <c r="H2332" s="98" t="str">
        <f>HYPERLINK("http://mirror.ff7data.com.ar/ff7/data/minigame/high-us.lgp/bpaa.rsd.png","View Picture")</f>
        <v>View Picture</v>
      </c>
      <c r="K2332" s="43"/>
    </row>
    <row r="2333">
      <c r="A2333" s="55"/>
      <c r="B2333" s="33" t="s">
        <v>23329</v>
      </c>
      <c r="C2333" s="42">
        <v>4832.0</v>
      </c>
      <c r="D2333" s="31"/>
      <c r="E2333" s="74"/>
      <c r="F2333" s="46" t="s">
        <v>2775</v>
      </c>
      <c r="G2333" s="75"/>
      <c r="H2333" s="98" t="str">
        <f>HYPERLINK("http://mirror.ff7data.com.ar/ff7/data/minigame/high-us.lgp/bqaa.p.png","View Picture")</f>
        <v>View Picture</v>
      </c>
      <c r="K2333" s="43"/>
    </row>
    <row r="2334">
      <c r="A2334" s="55"/>
      <c r="B2334" s="33" t="s">
        <v>23335</v>
      </c>
      <c r="C2334" s="42">
        <v>1288.0</v>
      </c>
      <c r="D2334" s="31"/>
      <c r="E2334" s="74"/>
      <c r="F2334" s="46" t="s">
        <v>2775</v>
      </c>
      <c r="G2334" s="75"/>
      <c r="H2334" s="98" t="str">
        <f>HYPERLINK("http://mirror.ff7data.com.ar/ff7/data/minigame/high-us.lgp/braa.p.png","View Picture")</f>
        <v>View Picture</v>
      </c>
      <c r="K2334" s="43"/>
    </row>
    <row r="2335">
      <c r="A2335" s="55"/>
      <c r="B2335" s="33" t="s">
        <v>23341</v>
      </c>
      <c r="C2335" s="42">
        <v>300.0</v>
      </c>
      <c r="D2335" s="31"/>
      <c r="E2335" s="74"/>
      <c r="F2335" s="46" t="s">
        <v>2793</v>
      </c>
      <c r="G2335" s="75"/>
      <c r="H2335" s="98" t="str">
        <f>HYPERLINK("http://mirror.ff7data.com.ar/ff7/data/minigame/high-us.lgp/bsaa.rsd.png","View Picture")</f>
        <v>View Picture</v>
      </c>
      <c r="K2335" s="43"/>
    </row>
    <row r="2336">
      <c r="A2336" s="55"/>
      <c r="B2336" s="33" t="s">
        <v>23347</v>
      </c>
      <c r="C2336" s="42">
        <v>2080.0</v>
      </c>
      <c r="D2336" s="31"/>
      <c r="E2336" s="74"/>
      <c r="F2336" s="46" t="s">
        <v>2775</v>
      </c>
      <c r="G2336" s="75"/>
      <c r="H2336" s="98" t="str">
        <f>HYPERLINK("http://mirror.ff7data.com.ar/ff7/data/minigame/high-us.lgp/btaa.p.png","View Picture")</f>
        <v>View Picture</v>
      </c>
      <c r="K2336" s="43"/>
    </row>
    <row r="2337">
      <c r="A2337" s="55"/>
      <c r="B2337" s="33" t="s">
        <v>23356</v>
      </c>
      <c r="C2337" s="42">
        <v>2348.0</v>
      </c>
      <c r="D2337" s="31"/>
      <c r="E2337" s="74"/>
      <c r="F2337" s="46" t="s">
        <v>1348</v>
      </c>
      <c r="G2337" s="75"/>
      <c r="H2337" s="98" t="str">
        <f>HYPERLINK("http://mirror.ff7data.com.ar/ff7/data/minigame/high-us.lgp/buaa.tex.png","View Picture")</f>
        <v>View Picture</v>
      </c>
      <c r="K2337" s="43"/>
    </row>
    <row r="2338">
      <c r="A2338" s="82"/>
      <c r="B2338" s="33" t="s">
        <v>23365</v>
      </c>
      <c r="C2338" s="42">
        <v>1032.0</v>
      </c>
      <c r="D2338" s="33" t="s">
        <v>11852</v>
      </c>
      <c r="E2338" s="74"/>
      <c r="F2338" s="46" t="s">
        <v>2756</v>
      </c>
      <c r="G2338" s="75"/>
      <c r="H2338" s="98" t="str">
        <f>HYPERLINK("http://mirror.ff7data.com.ar/ff7/data/minigame/high-us.lgp/caaa.hrc.png","View Picture")</f>
        <v>View Picture</v>
      </c>
      <c r="K2338" s="43"/>
    </row>
    <row r="2339">
      <c r="A2339" s="55"/>
      <c r="B2339" s="33" t="s">
        <v>23372</v>
      </c>
      <c r="C2339" s="42">
        <v>748.0</v>
      </c>
      <c r="D2339" s="31"/>
      <c r="E2339" s="74"/>
      <c r="F2339" s="46" t="s">
        <v>2775</v>
      </c>
      <c r="G2339" s="75"/>
      <c r="H2339" s="98" t="str">
        <f>HYPERLINK("http://mirror.ff7data.com.ar/ff7/data/minigame/high-us.lgp/cbaa.p.png","View Picture")</f>
        <v>View Picture</v>
      </c>
      <c r="K2339" s="43"/>
    </row>
    <row r="2340">
      <c r="A2340" s="55"/>
      <c r="B2340" s="33" t="s">
        <v>23381</v>
      </c>
      <c r="C2340" s="42">
        <v>972.0</v>
      </c>
      <c r="D2340" s="31"/>
      <c r="E2340" s="74"/>
      <c r="F2340" s="46" t="s">
        <v>2775</v>
      </c>
      <c r="G2340" s="75"/>
      <c r="H2340" s="98" t="str">
        <f>HYPERLINK("http://mirror.ff7data.com.ar/ff7/data/minigame/high-us.lgp/ccaa.p.png","View Picture")</f>
        <v>View Picture</v>
      </c>
      <c r="K2340" s="43"/>
    </row>
    <row r="2341">
      <c r="A2341" s="55"/>
      <c r="B2341" s="33" t="s">
        <v>23390</v>
      </c>
      <c r="C2341" s="42">
        <v>203.0</v>
      </c>
      <c r="D2341" s="31"/>
      <c r="E2341" s="74"/>
      <c r="F2341" s="46" t="s">
        <v>2793</v>
      </c>
      <c r="G2341" s="75"/>
      <c r="H2341" s="98" t="str">
        <f>HYPERLINK("http://mirror.ff7data.com.ar/ff7/data/minigame/high-us.lgp/cdaa.rsd.png","View Picture")</f>
        <v>View Picture</v>
      </c>
      <c r="K2341" s="43"/>
    </row>
    <row r="2342">
      <c r="A2342" s="55"/>
      <c r="B2342" s="33" t="s">
        <v>23398</v>
      </c>
      <c r="C2342" s="42">
        <v>776.0</v>
      </c>
      <c r="D2342" s="31"/>
      <c r="E2342" s="74"/>
      <c r="F2342" s="46" t="s">
        <v>2775</v>
      </c>
      <c r="G2342" s="75"/>
      <c r="H2342" s="98" t="str">
        <f>HYPERLINK("http://mirror.ff7data.com.ar/ff7/data/minigame/high-us.lgp/ceaa.p.png","View Picture")</f>
        <v>View Picture</v>
      </c>
      <c r="K2342" s="43"/>
    </row>
    <row r="2343">
      <c r="A2343" s="55"/>
      <c r="B2343" s="33" t="s">
        <v>23406</v>
      </c>
      <c r="C2343" s="42">
        <v>202.0</v>
      </c>
      <c r="D2343" s="31"/>
      <c r="E2343" s="74"/>
      <c r="F2343" s="46" t="s">
        <v>2793</v>
      </c>
      <c r="G2343" s="75"/>
      <c r="H2343" s="98" t="str">
        <f>HYPERLINK("http://mirror.ff7data.com.ar/ff7/data/minigame/high-us.lgp/cfaa.rsd.png","View Picture")</f>
        <v>View Picture</v>
      </c>
      <c r="K2343" s="43"/>
    </row>
    <row r="2344">
      <c r="A2344" s="55"/>
      <c r="B2344" s="33" t="s">
        <v>23415</v>
      </c>
      <c r="C2344" s="42">
        <v>760.0</v>
      </c>
      <c r="D2344" s="31"/>
      <c r="E2344" s="74"/>
      <c r="F2344" s="46" t="s">
        <v>2775</v>
      </c>
      <c r="G2344" s="75"/>
      <c r="H2344" s="98" t="str">
        <f>HYPERLINK("http://mirror.ff7data.com.ar/ff7/data/minigame/high-us.lgp/cgaa.p.png","View Picture")</f>
        <v>View Picture</v>
      </c>
      <c r="K2344" s="43"/>
    </row>
    <row r="2345">
      <c r="A2345" s="55"/>
      <c r="B2345" s="33" t="s">
        <v>23425</v>
      </c>
      <c r="C2345" s="42">
        <v>2348.0</v>
      </c>
      <c r="D2345" s="31"/>
      <c r="E2345" s="74"/>
      <c r="F2345" s="46" t="s">
        <v>3366</v>
      </c>
      <c r="G2345" s="75"/>
      <c r="H2345" s="122"/>
      <c r="K2345" s="43"/>
    </row>
    <row r="2346">
      <c r="A2346" s="55"/>
      <c r="B2346" s="33" t="s">
        <v>23428</v>
      </c>
      <c r="C2346" s="42">
        <v>4356.0</v>
      </c>
      <c r="D2346" s="31"/>
      <c r="E2346" s="74"/>
      <c r="F2346" s="46" t="s">
        <v>2793</v>
      </c>
      <c r="G2346" s="75"/>
      <c r="H2346" s="98" t="str">
        <f>HYPERLINK("http://mirror.ff7data.com.ar/ff7/data/minigame/high-us.lgp/ciaa.rsd.png","View Picture")</f>
        <v>View Picture</v>
      </c>
      <c r="K2346" s="43"/>
    </row>
    <row r="2347">
      <c r="A2347" s="55"/>
      <c r="B2347" s="33" t="s">
        <v>23435</v>
      </c>
      <c r="C2347" s="42">
        <v>277.0</v>
      </c>
      <c r="D2347" s="31"/>
      <c r="E2347" s="74"/>
      <c r="F2347" s="46" t="s">
        <v>2793</v>
      </c>
      <c r="G2347" s="75"/>
      <c r="H2347" s="98" t="str">
        <f>HYPERLINK("http://mirror.ff7data.com.ar/ff7/data/minigame/high-us.lgp/cjaa.rsd.png","View Picture")</f>
        <v>View Picture</v>
      </c>
      <c r="K2347" s="43"/>
    </row>
    <row r="2348">
      <c r="A2348" s="55"/>
      <c r="B2348" s="33" t="s">
        <v>23441</v>
      </c>
      <c r="C2348" s="42">
        <v>289.0</v>
      </c>
      <c r="D2348" s="31"/>
      <c r="E2348" s="74"/>
      <c r="F2348" s="46" t="s">
        <v>2793</v>
      </c>
      <c r="G2348" s="75"/>
      <c r="H2348" s="98" t="str">
        <f>HYPERLINK("http://mirror.ff7data.com.ar/ff7/data/minigame/high-us.lgp/ckaa.rsd.png","View Picture")</f>
        <v>View Picture</v>
      </c>
      <c r="K2348" s="43"/>
    </row>
    <row r="2349">
      <c r="A2349" s="55"/>
      <c r="B2349" s="33" t="s">
        <v>23447</v>
      </c>
      <c r="C2349" s="42">
        <v>283.0</v>
      </c>
      <c r="D2349" s="31"/>
      <c r="E2349" s="74"/>
      <c r="F2349" s="46" t="s">
        <v>2793</v>
      </c>
      <c r="G2349" s="75"/>
      <c r="H2349" s="98" t="str">
        <f>HYPERLINK("http://mirror.ff7data.com.ar/ff7/data/minigame/high-us.lgp/claa.rsd.png","View Picture")</f>
        <v>View Picture</v>
      </c>
      <c r="K2349" s="43"/>
    </row>
    <row r="2350">
      <c r="A2350" s="55"/>
      <c r="B2350" s="33" t="s">
        <v>23454</v>
      </c>
      <c r="C2350" s="42">
        <v>286.0</v>
      </c>
      <c r="D2350" s="31"/>
      <c r="E2350" s="74"/>
      <c r="F2350" s="46" t="s">
        <v>2793</v>
      </c>
      <c r="G2350" s="75"/>
      <c r="H2350" s="98" t="str">
        <f>HYPERLINK("http://mirror.ff7data.com.ar/ff7/data/minigame/high-us.lgp/cmaa.rsd.png","View Picture")</f>
        <v>View Picture</v>
      </c>
      <c r="K2350" s="43"/>
    </row>
    <row r="2351">
      <c r="A2351" s="55"/>
      <c r="B2351" s="33" t="s">
        <v>23463</v>
      </c>
      <c r="C2351" s="42">
        <v>286.0</v>
      </c>
      <c r="D2351" s="31"/>
      <c r="E2351" s="74"/>
      <c r="F2351" s="46" t="s">
        <v>2775</v>
      </c>
      <c r="G2351" s="75"/>
      <c r="H2351" s="98" t="str">
        <f>HYPERLINK("http://mirror.ff7data.com.ar/ff7/data/minigame/high-us.lgp/cnaa.p.png","View Picture")</f>
        <v>View Picture</v>
      </c>
      <c r="K2351" s="43"/>
    </row>
    <row r="2352">
      <c r="A2352" s="55"/>
      <c r="B2352" s="33" t="s">
        <v>23468</v>
      </c>
      <c r="C2352" s="42">
        <v>6980.0</v>
      </c>
      <c r="D2352" s="31"/>
      <c r="E2352" s="74"/>
      <c r="F2352" s="46" t="s">
        <v>2775</v>
      </c>
      <c r="G2352" s="75"/>
      <c r="H2352" s="98" t="str">
        <f>HYPERLINK("http://mirror.ff7data.com.ar/ff7/data/minigame/high-us.lgp/coaa.p.png","View Picture")</f>
        <v>View Picture</v>
      </c>
      <c r="K2352" s="43"/>
    </row>
    <row r="2353">
      <c r="A2353" s="55"/>
      <c r="B2353" s="33" t="s">
        <v>23474</v>
      </c>
      <c r="C2353" s="42">
        <v>2256.0</v>
      </c>
      <c r="D2353" s="31"/>
      <c r="E2353" s="74"/>
      <c r="F2353" s="46" t="s">
        <v>2775</v>
      </c>
      <c r="G2353" s="75"/>
      <c r="H2353" s="98" t="str">
        <f>HYPERLINK("http://mirror.ff7data.com.ar/ff7/data/minigame/high-us.lgp/cpaa.p.png","View Picture")</f>
        <v>View Picture</v>
      </c>
      <c r="K2353" s="43"/>
    </row>
    <row r="2354">
      <c r="A2354" s="55"/>
      <c r="B2354" s="33" t="s">
        <v>23482</v>
      </c>
      <c r="C2354" s="42">
        <v>9672.0</v>
      </c>
      <c r="D2354" s="31"/>
      <c r="E2354" s="74"/>
      <c r="F2354" s="46" t="s">
        <v>2793</v>
      </c>
      <c r="G2354" s="75"/>
      <c r="H2354" s="98" t="str">
        <f>HYPERLINK("http://mirror.ff7data.com.ar/ff7/data/minigame/high-us.lgp/cqaa.rsd.png","View Picture")</f>
        <v>View Picture</v>
      </c>
      <c r="K2354" s="43"/>
    </row>
    <row r="2355">
      <c r="A2355" s="55"/>
      <c r="B2355" s="33" t="s">
        <v>23492</v>
      </c>
      <c r="C2355" s="42">
        <v>289.0</v>
      </c>
      <c r="D2355" s="31"/>
      <c r="E2355" s="74"/>
      <c r="F2355" s="46" t="s">
        <v>2793</v>
      </c>
      <c r="G2355" s="75"/>
      <c r="H2355" s="98" t="str">
        <f>HYPERLINK("http://mirror.ff7data.com.ar/ff7/data/minigame/high-us.lgp/craa.rsd.png","View Picture")</f>
        <v>View Picture</v>
      </c>
      <c r="K2355" s="43"/>
    </row>
    <row r="2356">
      <c r="A2356" s="55"/>
      <c r="B2356" s="33" t="s">
        <v>23499</v>
      </c>
      <c r="C2356" s="42">
        <v>233.0</v>
      </c>
      <c r="D2356" s="31"/>
      <c r="E2356" s="74"/>
      <c r="F2356" s="46" t="s">
        <v>2775</v>
      </c>
      <c r="G2356" s="75"/>
      <c r="H2356" s="98" t="str">
        <f>HYPERLINK("http://mirror.ff7data.com.ar/ff7/data/minigame/high-us.lgp/csaa.p.png","View Picture")</f>
        <v>View Picture</v>
      </c>
      <c r="K2356" s="43"/>
    </row>
    <row r="2357">
      <c r="A2357" s="55"/>
      <c r="B2357" s="33" t="s">
        <v>23506</v>
      </c>
      <c r="C2357" s="42">
        <v>4080.0</v>
      </c>
      <c r="D2357" s="31"/>
      <c r="E2357" s="74"/>
      <c r="F2357" s="46" t="s">
        <v>2793</v>
      </c>
      <c r="G2357" s="75"/>
      <c r="H2357" s="98" t="str">
        <f>HYPERLINK("http://mirror.ff7data.com.ar/ff7/data/minigame/high-us.lgp/ctaa.rsd.png","View Picture")</f>
        <v>View Picture</v>
      </c>
      <c r="K2357" s="43"/>
    </row>
    <row r="2358">
      <c r="A2358" s="55"/>
      <c r="B2358" s="33" t="s">
        <v>23513</v>
      </c>
      <c r="C2358" s="42">
        <v>289.0</v>
      </c>
      <c r="D2358" s="31"/>
      <c r="E2358" s="74"/>
      <c r="F2358" s="46" t="s">
        <v>1348</v>
      </c>
      <c r="G2358" s="75"/>
      <c r="H2358" s="98" t="str">
        <f>HYPERLINK("http://mirror.ff7data.com.ar/ff7/data/minigame/high-us.lgp/cuaa.tex.png","View Picture")</f>
        <v>View Picture</v>
      </c>
      <c r="K2358" s="43"/>
    </row>
    <row r="2359">
      <c r="A2359" s="82"/>
      <c r="B2359" s="33" t="s">
        <v>23519</v>
      </c>
      <c r="C2359" s="42">
        <v>201.0</v>
      </c>
      <c r="D2359" s="33" t="s">
        <v>7615</v>
      </c>
      <c r="E2359" s="74"/>
      <c r="F2359" s="46" t="s">
        <v>2793</v>
      </c>
      <c r="G2359" s="75"/>
      <c r="H2359" s="98" t="str">
        <f>HYPERLINK("http://mirror.ff7data.com.ar/ff7/data/minigame/high-us.lgp/daaa.rsd.png","View Picture")</f>
        <v>View Picture</v>
      </c>
      <c r="K2359" s="43"/>
    </row>
    <row r="2360">
      <c r="A2360" s="82"/>
      <c r="B2360" s="33" t="s">
        <v>23526</v>
      </c>
      <c r="C2360" s="42">
        <v>213.0</v>
      </c>
      <c r="D2360" s="33" t="s">
        <v>7653</v>
      </c>
      <c r="E2360" s="74"/>
      <c r="F2360" s="46" t="s">
        <v>2793</v>
      </c>
      <c r="G2360" s="75"/>
      <c r="H2360" s="98" t="str">
        <f>HYPERLINK("http://mirror.ff7data.com.ar/ff7/data/minigame/high-us.lgp/dbaa.rsd.png","View Picture")</f>
        <v>View Picture</v>
      </c>
      <c r="K2360" s="43"/>
    </row>
    <row r="2361">
      <c r="A2361" s="82"/>
      <c r="B2361" s="33" t="s">
        <v>23534</v>
      </c>
      <c r="C2361" s="42">
        <v>213.0</v>
      </c>
      <c r="D2361" s="33" t="s">
        <v>7397</v>
      </c>
      <c r="E2361" s="74"/>
      <c r="F2361" s="46" t="s">
        <v>2793</v>
      </c>
      <c r="G2361" s="75"/>
      <c r="H2361" s="98" t="str">
        <f>HYPERLINK("http://mirror.ff7data.com.ar/ff7/data/minigame/high-us.lgp/dcaa.rsd.png","View Picture")</f>
        <v>View Picture</v>
      </c>
      <c r="K2361" s="43"/>
    </row>
    <row r="2362">
      <c r="A2362" s="55"/>
      <c r="B2362" s="33" t="s">
        <v>23543</v>
      </c>
      <c r="C2362" s="42">
        <v>2016.0</v>
      </c>
      <c r="D2362" s="31"/>
      <c r="E2362" s="74"/>
      <c r="F2362" s="46" t="s">
        <v>2775</v>
      </c>
      <c r="G2362" s="75"/>
      <c r="H2362" s="98" t="str">
        <f>HYPERLINK("http://mirror.ff7data.com.ar/ff7/data/minigame/high-us.lgp/ddaa.p.png","View Picture")</f>
        <v>View Picture</v>
      </c>
      <c r="K2362" s="43"/>
    </row>
    <row r="2363">
      <c r="A2363" s="55"/>
      <c r="B2363" s="33" t="s">
        <v>23551</v>
      </c>
      <c r="C2363" s="42">
        <v>213.0</v>
      </c>
      <c r="D2363" s="31"/>
      <c r="E2363" s="74"/>
      <c r="F2363" s="46" t="s">
        <v>2793</v>
      </c>
      <c r="G2363" s="75"/>
      <c r="H2363" s="98" t="str">
        <f>HYPERLINK("http://mirror.ff7data.com.ar/ff7/data/minigame/high-us.lgp/deaa.rsd.png","View Picture")</f>
        <v>View Picture</v>
      </c>
      <c r="K2363" s="43"/>
    </row>
    <row r="2364">
      <c r="A2364" s="55"/>
      <c r="B2364" s="33" t="s">
        <v>23558</v>
      </c>
      <c r="C2364" s="42">
        <v>1176.0</v>
      </c>
      <c r="D2364" s="31"/>
      <c r="E2364" s="74"/>
      <c r="F2364" s="46" t="s">
        <v>2775</v>
      </c>
      <c r="G2364" s="75"/>
      <c r="H2364" s="98" t="str">
        <f>HYPERLINK("http://mirror.ff7data.com.ar/ff7/data/minigame/high-us.lgp/dfaa.p.png","View Picture")</f>
        <v>View Picture</v>
      </c>
      <c r="K2364" s="43"/>
    </row>
    <row r="2365">
      <c r="A2365" s="55"/>
      <c r="B2365" s="33" t="s">
        <v>23563</v>
      </c>
      <c r="C2365" s="42">
        <v>3384.0</v>
      </c>
      <c r="D2365" s="31"/>
      <c r="E2365" s="74"/>
      <c r="F2365" s="46" t="s">
        <v>3366</v>
      </c>
      <c r="G2365" s="75"/>
      <c r="H2365" s="122"/>
      <c r="K2365" s="43"/>
    </row>
    <row r="2366">
      <c r="A2366" s="55"/>
      <c r="B2366" s="33" t="s">
        <v>23566</v>
      </c>
      <c r="C2366" s="42">
        <v>8676.0</v>
      </c>
      <c r="D2366" s="31"/>
      <c r="E2366" s="74"/>
      <c r="F2366" s="46" t="s">
        <v>3366</v>
      </c>
      <c r="G2366" s="75"/>
      <c r="H2366" s="122"/>
      <c r="K2366" s="43"/>
    </row>
    <row r="2367">
      <c r="A2367" s="55"/>
      <c r="B2367" s="33" t="s">
        <v>23568</v>
      </c>
      <c r="C2367" s="42">
        <v>7368.0</v>
      </c>
      <c r="D2367" s="31"/>
      <c r="E2367" s="74"/>
      <c r="F2367" s="46" t="s">
        <v>2775</v>
      </c>
      <c r="G2367" s="75"/>
      <c r="H2367" s="98" t="str">
        <f>HYPERLINK("http://mirror.ff7data.com.ar/ff7/data/minigame/high-us.lgp/diaa.p.png","View Picture")</f>
        <v>View Picture</v>
      </c>
      <c r="K2367" s="43"/>
    </row>
    <row r="2368">
      <c r="A2368" s="55"/>
      <c r="B2368" s="33" t="s">
        <v>23574</v>
      </c>
      <c r="C2368" s="42">
        <v>14936.0</v>
      </c>
      <c r="D2368" s="31"/>
      <c r="E2368" s="74"/>
      <c r="F2368" s="46" t="s">
        <v>2775</v>
      </c>
      <c r="G2368" s="75"/>
      <c r="H2368" s="98" t="str">
        <f>HYPERLINK("http://mirror.ff7data.com.ar/ff7/data/minigame/high-us.lgp/djaa.p.png","View Picture")</f>
        <v>View Picture</v>
      </c>
      <c r="K2368" s="43"/>
    </row>
    <row r="2369">
      <c r="A2369" s="55"/>
      <c r="B2369" s="33" t="s">
        <v>23579</v>
      </c>
      <c r="C2369" s="42">
        <v>7872.0</v>
      </c>
      <c r="D2369" s="31"/>
      <c r="E2369" s="74"/>
      <c r="F2369" s="46" t="s">
        <v>2775</v>
      </c>
      <c r="G2369" s="75"/>
      <c r="H2369" s="98" t="str">
        <f>HYPERLINK("http://mirror.ff7data.com.ar/ff7/data/minigame/high-us.lgp/dkaa.p.png","View Picture")</f>
        <v>View Picture</v>
      </c>
      <c r="K2369" s="43"/>
    </row>
    <row r="2370">
      <c r="A2370" s="55"/>
      <c r="B2370" s="33" t="s">
        <v>23587</v>
      </c>
      <c r="C2370" s="42">
        <v>11568.0</v>
      </c>
      <c r="D2370" s="31"/>
      <c r="E2370" s="74"/>
      <c r="F2370" s="46" t="s">
        <v>2775</v>
      </c>
      <c r="G2370" s="75"/>
      <c r="H2370" s="98" t="str">
        <f>HYPERLINK("http://mirror.ff7data.com.ar/ff7/data/minigame/high-us.lgp/dlaa.p.png","View Picture")</f>
        <v>View Picture</v>
      </c>
      <c r="K2370" s="43"/>
    </row>
    <row r="2371">
      <c r="A2371" s="55"/>
      <c r="B2371" s="33" t="s">
        <v>23596</v>
      </c>
      <c r="C2371" s="42">
        <v>19556.0</v>
      </c>
      <c r="D2371" s="31"/>
      <c r="E2371" s="74"/>
      <c r="F2371" s="46" t="s">
        <v>2775</v>
      </c>
      <c r="G2371" s="75"/>
      <c r="H2371" s="98" t="str">
        <f>HYPERLINK("http://mirror.ff7data.com.ar/ff7/data/minigame/high-us.lgp/dmaa.p.png","View Picture")</f>
        <v>View Picture</v>
      </c>
      <c r="K2371" s="43"/>
    </row>
    <row r="2372">
      <c r="A2372" s="55"/>
      <c r="B2372" s="33" t="s">
        <v>23605</v>
      </c>
      <c r="C2372" s="42">
        <v>283.0</v>
      </c>
      <c r="D2372" s="31"/>
      <c r="E2372" s="74"/>
      <c r="F2372" s="46" t="s">
        <v>2793</v>
      </c>
      <c r="G2372" s="75"/>
      <c r="H2372" s="98" t="str">
        <f>HYPERLINK("http://mirror.ff7data.com.ar/ff7/data/minigame/high-us.lgp/dnaa.rsd.png","View Picture")</f>
        <v>View Picture</v>
      </c>
      <c r="K2372" s="43"/>
    </row>
    <row r="2373">
      <c r="A2373" s="55"/>
      <c r="B2373" s="33" t="s">
        <v>23615</v>
      </c>
      <c r="C2373" s="42">
        <v>289.0</v>
      </c>
      <c r="D2373" s="31"/>
      <c r="E2373" s="74"/>
      <c r="F2373" s="46" t="s">
        <v>2793</v>
      </c>
      <c r="G2373" s="75"/>
      <c r="H2373" s="98" t="str">
        <f>HYPERLINK("http://mirror.ff7data.com.ar/ff7/data/minigame/high-us.lgp/doaa.rsd.png","View Picture")</f>
        <v>View Picture</v>
      </c>
      <c r="K2373" s="43"/>
    </row>
    <row r="2374">
      <c r="A2374" s="55"/>
      <c r="B2374" s="33" t="s">
        <v>23626</v>
      </c>
      <c r="C2374" s="42">
        <v>2348.0</v>
      </c>
      <c r="D2374" s="31"/>
      <c r="E2374" s="74"/>
      <c r="F2374" s="46" t="s">
        <v>1348</v>
      </c>
      <c r="G2374" s="75"/>
      <c r="H2374" s="98" t="str">
        <f>HYPERLINK("http://mirror.ff7data.com.ar/ff7/data/minigame/high-us.lgp/dpaa.tex.png","View Picture")</f>
        <v>View Picture</v>
      </c>
      <c r="K2374" s="43"/>
    </row>
    <row r="2375">
      <c r="A2375" s="55"/>
      <c r="B2375" s="33" t="s">
        <v>23634</v>
      </c>
      <c r="C2375" s="42">
        <v>7276.0</v>
      </c>
      <c r="D2375" s="31"/>
      <c r="E2375" s="74"/>
      <c r="F2375" s="46" t="s">
        <v>2775</v>
      </c>
      <c r="G2375" s="75"/>
      <c r="H2375" s="98" t="str">
        <f>HYPERLINK("http://mirror.ff7data.com.ar/ff7/data/minigame/high-us.lgp/dqaa.p.png","View Picture")</f>
        <v>View Picture</v>
      </c>
      <c r="K2375" s="43"/>
    </row>
    <row r="2376">
      <c r="A2376" s="55"/>
      <c r="B2376" s="33" t="s">
        <v>23643</v>
      </c>
      <c r="C2376" s="42">
        <v>1788.0</v>
      </c>
      <c r="D2376" s="31"/>
      <c r="E2376" s="74"/>
      <c r="F2376" s="46" t="s">
        <v>2775</v>
      </c>
      <c r="G2376" s="75"/>
      <c r="H2376" s="98" t="str">
        <f>HYPERLINK("http://mirror.ff7data.com.ar/ff7/data/minigame/high-us.lgp/draa.p.png","View Picture")</f>
        <v>View Picture</v>
      </c>
      <c r="K2376" s="43"/>
    </row>
    <row r="2377">
      <c r="A2377" s="55"/>
      <c r="B2377" s="33" t="s">
        <v>23651</v>
      </c>
      <c r="C2377" s="42">
        <v>66796.0</v>
      </c>
      <c r="D2377" s="31"/>
      <c r="E2377" s="74"/>
      <c r="F2377" s="46" t="s">
        <v>1348</v>
      </c>
      <c r="G2377" s="75"/>
      <c r="H2377" s="98" t="str">
        <f>HYPERLINK("http://mirror.ff7data.com.ar/ff7/data/minigame/high-us.lgp/dsaa.tex.png","View Picture")</f>
        <v>View Picture</v>
      </c>
      <c r="K2377" s="43"/>
    </row>
    <row r="2378">
      <c r="A2378" s="55"/>
      <c r="B2378" s="33" t="s">
        <v>23664</v>
      </c>
      <c r="C2378" s="42">
        <v>2440.0</v>
      </c>
      <c r="D2378" s="31"/>
      <c r="E2378" s="74"/>
      <c r="F2378" s="46" t="s">
        <v>2775</v>
      </c>
      <c r="G2378" s="75"/>
      <c r="H2378" s="98" t="str">
        <f>HYPERLINK("http://mirror.ff7data.com.ar/ff7/data/minigame/high-us.lgp/dtaa.p.png","View Picture")</f>
        <v>View Picture</v>
      </c>
      <c r="K2378" s="43"/>
    </row>
    <row r="2379">
      <c r="A2379" s="55"/>
      <c r="B2379" s="33" t="s">
        <v>23676</v>
      </c>
      <c r="C2379" s="42">
        <v>2348.0</v>
      </c>
      <c r="D2379" s="31"/>
      <c r="E2379" s="74"/>
      <c r="F2379" s="46" t="s">
        <v>1348</v>
      </c>
      <c r="G2379" s="75"/>
      <c r="H2379" s="98" t="str">
        <f>HYPERLINK("http://mirror.ff7data.com.ar/ff7/data/minigame/high-us.lgp/duaa.tex.png","View Picture")</f>
        <v>View Picture</v>
      </c>
      <c r="K2379" s="43"/>
    </row>
    <row r="2380">
      <c r="A2380" s="82"/>
      <c r="B2380" s="33" t="s">
        <v>23688</v>
      </c>
      <c r="C2380" s="42">
        <v>876.0</v>
      </c>
      <c r="D2380" s="33" t="s">
        <v>7615</v>
      </c>
      <c r="E2380" s="74"/>
      <c r="F2380" s="46" t="s">
        <v>2775</v>
      </c>
      <c r="G2380" s="75"/>
      <c r="H2380" s="98" t="str">
        <f>HYPERLINK("http://mirror.ff7data.com.ar/ff7/data/minigame/high-us.lgp/eaaa.p.png","View Picture")</f>
        <v>View Picture</v>
      </c>
      <c r="K2380" s="43"/>
    </row>
    <row r="2381">
      <c r="A2381" s="82"/>
      <c r="B2381" s="33" t="s">
        <v>23696</v>
      </c>
      <c r="C2381" s="42">
        <v>976.0</v>
      </c>
      <c r="D2381" s="33" t="s">
        <v>7653</v>
      </c>
      <c r="E2381" s="74"/>
      <c r="F2381" s="46" t="s">
        <v>2775</v>
      </c>
      <c r="G2381" s="75"/>
      <c r="H2381" s="98" t="str">
        <f>HYPERLINK("http://mirror.ff7data.com.ar/ff7/data/minigame/high-us.lgp/ebaa.p.png","View Picture")</f>
        <v>View Picture</v>
      </c>
      <c r="K2381" s="43"/>
    </row>
    <row r="2382">
      <c r="A2382" s="82"/>
      <c r="B2382" s="33" t="s">
        <v>23705</v>
      </c>
      <c r="C2382" s="42">
        <v>2320.0</v>
      </c>
      <c r="D2382" s="33" t="s">
        <v>7397</v>
      </c>
      <c r="E2382" s="74"/>
      <c r="F2382" s="46" t="s">
        <v>2775</v>
      </c>
      <c r="G2382" s="75"/>
      <c r="H2382" s="98" t="str">
        <f>HYPERLINK("http://mirror.ff7data.com.ar/ff7/data/minigame/high-us.lgp/ecaa.p.png","View Picture")</f>
        <v>View Picture</v>
      </c>
      <c r="K2382" s="43"/>
    </row>
    <row r="2383">
      <c r="A2383" s="84"/>
      <c r="B2383" s="33" t="s">
        <v>23718</v>
      </c>
      <c r="C2383" s="42">
        <v>289.0</v>
      </c>
      <c r="D2383" s="33" t="s">
        <v>23720</v>
      </c>
      <c r="E2383" s="74"/>
      <c r="F2383" s="46" t="s">
        <v>2793</v>
      </c>
      <c r="G2383" s="75"/>
      <c r="H2383" s="98" t="str">
        <f>HYPERLINK("http://mirror.ff7data.com.ar/ff7/data/minigame/high-us.lgp/edaa.rsd.png","View Picture")</f>
        <v>View Picture</v>
      </c>
      <c r="K2383" s="43"/>
    </row>
    <row r="2384">
      <c r="A2384" s="55"/>
      <c r="B2384" s="33" t="s">
        <v>23734</v>
      </c>
      <c r="C2384" s="42">
        <v>616.0</v>
      </c>
      <c r="D2384" s="31"/>
      <c r="E2384" s="74"/>
      <c r="F2384" s="46" t="s">
        <v>2775</v>
      </c>
      <c r="G2384" s="75"/>
      <c r="H2384" s="98" t="str">
        <f>HYPERLINK("http://mirror.ff7data.com.ar/ff7/data/minigame/high-us.lgp/eeaa.p.png","View Picture")</f>
        <v>View Picture</v>
      </c>
      <c r="K2384" s="43"/>
    </row>
    <row r="2385">
      <c r="A2385" s="82"/>
      <c r="B2385" s="33" t="s">
        <v>23748</v>
      </c>
      <c r="C2385" s="42">
        <v>392.0</v>
      </c>
      <c r="D2385" s="33" t="s">
        <v>23750</v>
      </c>
      <c r="E2385" s="74"/>
      <c r="F2385" s="46" t="s">
        <v>2756</v>
      </c>
      <c r="G2385" s="46" t="s">
        <v>23752</v>
      </c>
      <c r="H2385" s="98" t="str">
        <f>HYPERLINK("http://mirror.ff7data.com.ar/ff7/data/minigame/high-us.lgp/efaa.hrc.png","View Picture")</f>
        <v>View Picture</v>
      </c>
      <c r="K2385" s="43"/>
    </row>
    <row r="2386">
      <c r="A2386" s="55"/>
      <c r="B2386" s="33" t="s">
        <v>23762</v>
      </c>
      <c r="C2386" s="42">
        <v>3384.0</v>
      </c>
      <c r="D2386" s="31"/>
      <c r="E2386" s="74"/>
      <c r="F2386" s="46" t="s">
        <v>3366</v>
      </c>
      <c r="G2386" s="75"/>
      <c r="H2386" s="122"/>
      <c r="K2386" s="43"/>
    </row>
    <row r="2387">
      <c r="A2387" s="55"/>
      <c r="B2387" s="33" t="s">
        <v>23766</v>
      </c>
      <c r="C2387" s="42">
        <v>8676.0</v>
      </c>
      <c r="D2387" s="31"/>
      <c r="E2387" s="74"/>
      <c r="F2387" s="46" t="s">
        <v>3366</v>
      </c>
      <c r="G2387" s="75"/>
      <c r="H2387" s="122"/>
      <c r="K2387" s="43"/>
    </row>
    <row r="2388">
      <c r="A2388" s="55"/>
      <c r="B2388" s="33" t="s">
        <v>23770</v>
      </c>
      <c r="C2388" s="42">
        <v>289.0</v>
      </c>
      <c r="D2388" s="31"/>
      <c r="E2388" s="74"/>
      <c r="F2388" s="46" t="s">
        <v>2793</v>
      </c>
      <c r="G2388" s="75"/>
      <c r="H2388" s="98" t="str">
        <f>HYPERLINK("http://mirror.ff7data.com.ar/ff7/data/minigame/high-us.lgp/eiaa.rsd.png","View Picture")</f>
        <v>View Picture</v>
      </c>
      <c r="K2388" s="43"/>
    </row>
    <row r="2389">
      <c r="A2389" s="55"/>
      <c r="B2389" s="33" t="s">
        <v>23785</v>
      </c>
      <c r="C2389" s="42">
        <v>283.0</v>
      </c>
      <c r="D2389" s="31"/>
      <c r="E2389" s="74"/>
      <c r="F2389" s="46" t="s">
        <v>2793</v>
      </c>
      <c r="G2389" s="75"/>
      <c r="H2389" s="98" t="str">
        <f>HYPERLINK("http://mirror.ff7data.com.ar/ff7/data/minigame/high-us.lgp/ejaa.rsd.png","View Picture")</f>
        <v>View Picture</v>
      </c>
      <c r="K2389" s="43"/>
    </row>
    <row r="2390">
      <c r="A2390" s="55"/>
      <c r="B2390" s="33" t="s">
        <v>23793</v>
      </c>
      <c r="C2390" s="42">
        <v>283.0</v>
      </c>
      <c r="D2390" s="31"/>
      <c r="E2390" s="74"/>
      <c r="F2390" s="46" t="s">
        <v>2793</v>
      </c>
      <c r="G2390" s="75"/>
      <c r="H2390" s="98" t="str">
        <f>HYPERLINK("http://mirror.ff7data.com.ar/ff7/data/minigame/high-us.lgp/ekaa.rsd.png","View Picture")</f>
        <v>View Picture</v>
      </c>
      <c r="K2390" s="43"/>
    </row>
    <row r="2391">
      <c r="A2391" s="55"/>
      <c r="B2391" s="33" t="s">
        <v>23808</v>
      </c>
      <c r="C2391" s="42">
        <v>286.0</v>
      </c>
      <c r="D2391" s="31"/>
      <c r="E2391" s="74"/>
      <c r="F2391" s="46" t="s">
        <v>2793</v>
      </c>
      <c r="G2391" s="75"/>
      <c r="H2391" s="98" t="str">
        <f>HYPERLINK("http://mirror.ff7data.com.ar/ff7/data/minigame/high-us.lgp/elaa.rsd.png","View Picture")</f>
        <v>View Picture</v>
      </c>
      <c r="K2391" s="43"/>
    </row>
    <row r="2392">
      <c r="A2392" s="55"/>
      <c r="B2392" s="33" t="s">
        <v>23820</v>
      </c>
      <c r="C2392" s="42">
        <v>286.0</v>
      </c>
      <c r="D2392" s="31"/>
      <c r="E2392" s="74"/>
      <c r="F2392" s="46" t="s">
        <v>2793</v>
      </c>
      <c r="G2392" s="75"/>
      <c r="H2392" s="98" t="str">
        <f>HYPERLINK("http://mirror.ff7data.com.ar/ff7/data/minigame/high-us.lgp/emaa.rsd.png","View Picture")</f>
        <v>View Picture</v>
      </c>
      <c r="K2392" s="43"/>
    </row>
    <row r="2393">
      <c r="A2393" s="55"/>
      <c r="B2393" s="33" t="s">
        <v>23835</v>
      </c>
      <c r="C2393" s="42">
        <v>6236.0</v>
      </c>
      <c r="D2393" s="31"/>
      <c r="E2393" s="74"/>
      <c r="F2393" s="46" t="s">
        <v>2775</v>
      </c>
      <c r="G2393" s="75"/>
      <c r="H2393" s="98" t="str">
        <f>HYPERLINK("http://mirror.ff7data.com.ar/ff7/data/minigame/high-us.lgp/enaa.p.png","View Picture")</f>
        <v>View Picture</v>
      </c>
      <c r="K2393" s="43"/>
    </row>
    <row r="2394">
      <c r="A2394" s="55"/>
      <c r="B2394" s="33" t="s">
        <v>23850</v>
      </c>
      <c r="C2394" s="42">
        <v>3712.0</v>
      </c>
      <c r="D2394" s="31"/>
      <c r="E2394" s="74"/>
      <c r="F2394" s="46" t="s">
        <v>2775</v>
      </c>
      <c r="G2394" s="75"/>
      <c r="H2394" s="98" t="str">
        <f>HYPERLINK("http://mirror.ff7data.com.ar/ff7/data/minigame/high-us.lgp/eoaa.p.png","View Picture")</f>
        <v>View Picture</v>
      </c>
      <c r="K2394" s="43"/>
    </row>
    <row r="2395">
      <c r="A2395" s="55"/>
      <c r="B2395" s="33" t="s">
        <v>23860</v>
      </c>
      <c r="C2395" s="42">
        <v>17644.0</v>
      </c>
      <c r="D2395" s="31"/>
      <c r="E2395" s="74"/>
      <c r="F2395" s="46" t="s">
        <v>1348</v>
      </c>
      <c r="G2395" s="75"/>
      <c r="H2395" s="98" t="str">
        <f>HYPERLINK("http://mirror.ff7data.com.ar/ff7/data/minigame/high-us.lgp/epaa.tex.png","View Picture")</f>
        <v>View Picture</v>
      </c>
      <c r="K2395" s="43"/>
    </row>
    <row r="2396">
      <c r="A2396" s="55"/>
      <c r="B2396" s="33" t="s">
        <v>23873</v>
      </c>
      <c r="C2396" s="42">
        <v>283.0</v>
      </c>
      <c r="D2396" s="31"/>
      <c r="E2396" s="74"/>
      <c r="F2396" s="46" t="s">
        <v>2793</v>
      </c>
      <c r="G2396" s="75"/>
      <c r="H2396" s="98" t="str">
        <f>HYPERLINK("http://mirror.ff7data.com.ar/ff7/data/minigame/high-us.lgp/eqaa.rsd.png","View Picture")</f>
        <v>View Picture</v>
      </c>
      <c r="K2396" s="43"/>
    </row>
    <row r="2397">
      <c r="A2397" s="55"/>
      <c r="B2397" s="33" t="s">
        <v>23885</v>
      </c>
      <c r="C2397" s="42">
        <v>233.0</v>
      </c>
      <c r="D2397" s="31"/>
      <c r="E2397" s="74"/>
      <c r="F2397" s="46" t="s">
        <v>2793</v>
      </c>
      <c r="G2397" s="75"/>
      <c r="H2397" s="98" t="str">
        <f>HYPERLINK("http://mirror.ff7data.com.ar/ff7/data/minigame/high-us.lgp/eraa.rsd.png","View Picture")</f>
        <v>View Picture</v>
      </c>
      <c r="K2397" s="43"/>
    </row>
    <row r="2398">
      <c r="A2398" s="55"/>
      <c r="B2398" s="33" t="s">
        <v>23895</v>
      </c>
      <c r="C2398" s="42">
        <v>200.0</v>
      </c>
      <c r="D2398" s="31"/>
      <c r="E2398" s="74"/>
      <c r="F2398" s="46" t="s">
        <v>2793</v>
      </c>
      <c r="G2398" s="75"/>
      <c r="H2398" s="98" t="str">
        <f>HYPERLINK("http://mirror.ff7data.com.ar/ff7/data/minigame/high-us.lgp/esaa.rsd.png","View Picture")</f>
        <v>View Picture</v>
      </c>
      <c r="K2398" s="43"/>
    </row>
    <row r="2399">
      <c r="A2399" s="55"/>
      <c r="B2399" s="33" t="s">
        <v>23908</v>
      </c>
      <c r="C2399" s="42">
        <v>289.0</v>
      </c>
      <c r="D2399" s="31"/>
      <c r="E2399" s="74"/>
      <c r="F2399" s="46" t="s">
        <v>2793</v>
      </c>
      <c r="G2399" s="75"/>
      <c r="H2399" s="98" t="str">
        <f>HYPERLINK("http://mirror.ff7data.com.ar/ff7/data/minigame/high-us.lgp/etaa.rsd.png","View Picture")</f>
        <v>View Picture</v>
      </c>
      <c r="K2399" s="43"/>
    </row>
    <row r="2400">
      <c r="A2400" s="55"/>
      <c r="B2400" s="33" t="s">
        <v>23924</v>
      </c>
      <c r="C2400" s="42">
        <v>2348.0</v>
      </c>
      <c r="D2400" s="31"/>
      <c r="E2400" s="74"/>
      <c r="F2400" s="46" t="s">
        <v>1348</v>
      </c>
      <c r="G2400" s="75"/>
      <c r="H2400" s="98" t="str">
        <f>HYPERLINK("http://mirror.ff7data.com.ar/ff7/data/minigame/high-us.lgp/euaa.tex.png","View Picture")</f>
        <v>View Picture</v>
      </c>
      <c r="K2400" s="43"/>
    </row>
    <row r="2401">
      <c r="A2401" s="82"/>
      <c r="B2401" s="33" t="s">
        <v>23934</v>
      </c>
      <c r="C2401" s="42">
        <v>207.0</v>
      </c>
      <c r="D2401" s="33" t="s">
        <v>7620</v>
      </c>
      <c r="E2401" s="74"/>
      <c r="F2401" s="46" t="s">
        <v>2793</v>
      </c>
      <c r="G2401" s="75"/>
      <c r="H2401" s="98" t="str">
        <f>HYPERLINK("http://mirror.ff7data.com.ar/ff7/data/minigame/high-us.lgp/faaa.rsd.png","View Picture")</f>
        <v>View Picture</v>
      </c>
      <c r="K2401" s="43"/>
    </row>
    <row r="2402">
      <c r="A2402" s="82"/>
      <c r="B2402" s="33" t="s">
        <v>23945</v>
      </c>
      <c r="C2402" s="42">
        <v>213.0</v>
      </c>
      <c r="D2402" s="33" t="s">
        <v>7656</v>
      </c>
      <c r="E2402" s="74"/>
      <c r="F2402" s="46" t="s">
        <v>2793</v>
      </c>
      <c r="G2402" s="75"/>
      <c r="H2402" s="98" t="str">
        <f>HYPERLINK("http://mirror.ff7data.com.ar/ff7/data/minigame/high-us.lgp/fbaa.rsd.png","View Picture")</f>
        <v>View Picture</v>
      </c>
      <c r="K2402" s="43"/>
    </row>
    <row r="2403">
      <c r="A2403" s="55"/>
      <c r="B2403" s="33" t="s">
        <v>23953</v>
      </c>
      <c r="C2403" s="42">
        <v>216.0</v>
      </c>
      <c r="D2403" s="31"/>
      <c r="E2403" s="74"/>
      <c r="F2403" s="46" t="s">
        <v>2793</v>
      </c>
      <c r="G2403" s="75"/>
      <c r="H2403" s="98" t="str">
        <f>HYPERLINK("http://mirror.ff7data.com.ar/ff7/data/minigame/high-us.lgp/fcaa.rsd.png","View Picture")</f>
        <v>View Picture</v>
      </c>
      <c r="K2403" s="43"/>
    </row>
    <row r="2404">
      <c r="A2404" s="84"/>
      <c r="B2404" s="33" t="s">
        <v>23962</v>
      </c>
      <c r="C2404" s="42">
        <v>1652.0</v>
      </c>
      <c r="D2404" s="33" t="s">
        <v>23720</v>
      </c>
      <c r="E2404" s="74"/>
      <c r="F2404" s="46" t="s">
        <v>2775</v>
      </c>
      <c r="G2404" s="75"/>
      <c r="H2404" s="98" t="str">
        <f>HYPERLINK("http://mirror.ff7data.com.ar/ff7/data/minigame/high-us.lgp/fdaa.p.png","View Picture")</f>
        <v>View Picture</v>
      </c>
      <c r="K2404" s="43"/>
    </row>
    <row r="2405">
      <c r="A2405" s="55"/>
      <c r="B2405" s="33" t="s">
        <v>23974</v>
      </c>
      <c r="C2405" s="42">
        <v>213.0</v>
      </c>
      <c r="D2405" s="31"/>
      <c r="E2405" s="74"/>
      <c r="F2405" s="46" t="s">
        <v>2793</v>
      </c>
      <c r="G2405" s="75"/>
      <c r="H2405" s="98" t="str">
        <f>HYPERLINK("http://mirror.ff7data.com.ar/ff7/data/minigame/high-us.lgp/feaa.rsd.png","View Picture")</f>
        <v>View Picture</v>
      </c>
      <c r="K2405" s="43"/>
    </row>
    <row r="2406">
      <c r="A2406" s="21"/>
      <c r="B2406" s="33" t="s">
        <v>23981</v>
      </c>
      <c r="C2406" s="42">
        <v>285.0</v>
      </c>
      <c r="D2406" s="33" t="s">
        <v>23983</v>
      </c>
      <c r="E2406" s="74"/>
      <c r="F2406" s="46" t="s">
        <v>2793</v>
      </c>
      <c r="G2406" s="46" t="s">
        <v>23752</v>
      </c>
      <c r="H2406" s="98" t="str">
        <f>HYPERLINK("http://mirror.ff7data.com.ar/ff7/data/minigame/high-us.lgp/ffaa.rsd.png","View Picture")</f>
        <v>View Picture</v>
      </c>
      <c r="K2406" s="43"/>
    </row>
    <row r="2407">
      <c r="A2407" s="55"/>
      <c r="B2407" s="33" t="s">
        <v>23998</v>
      </c>
      <c r="C2407" s="42">
        <v>11196.0</v>
      </c>
      <c r="D2407" s="31"/>
      <c r="E2407" s="74"/>
      <c r="F2407" s="46" t="s">
        <v>3366</v>
      </c>
      <c r="G2407" s="75"/>
      <c r="H2407" s="122"/>
      <c r="K2407" s="43"/>
    </row>
    <row r="2408">
      <c r="A2408" s="55"/>
      <c r="B2408" s="33" t="s">
        <v>24001</v>
      </c>
      <c r="C2408" s="42">
        <v>8676.0</v>
      </c>
      <c r="D2408" s="31"/>
      <c r="E2408" s="74"/>
      <c r="F2408" s="46" t="s">
        <v>3366</v>
      </c>
      <c r="G2408" s="75"/>
      <c r="H2408" s="122"/>
      <c r="K2408" s="43"/>
    </row>
    <row r="2409">
      <c r="A2409" s="55"/>
      <c r="B2409" s="33" t="s">
        <v>24005</v>
      </c>
      <c r="C2409" s="42">
        <v>3060.0</v>
      </c>
      <c r="D2409" s="31"/>
      <c r="E2409" s="74"/>
      <c r="F2409" s="46" t="s">
        <v>2775</v>
      </c>
      <c r="G2409" s="75"/>
      <c r="H2409" s="98" t="str">
        <f>HYPERLINK("http://mirror.ff7data.com.ar/ff7/data/minigame/high-us.lgp/fiaa.p.png","View Picture")</f>
        <v>View Picture</v>
      </c>
      <c r="K2409" s="43"/>
    </row>
    <row r="2410">
      <c r="A2410" s="55"/>
      <c r="B2410" s="33" t="s">
        <v>24016</v>
      </c>
      <c r="C2410" s="42">
        <v>6804.0</v>
      </c>
      <c r="D2410" s="31"/>
      <c r="E2410" s="74"/>
      <c r="F2410" s="46" t="s">
        <v>2775</v>
      </c>
      <c r="G2410" s="75"/>
      <c r="H2410" s="98" t="str">
        <f>HYPERLINK("http://mirror.ff7data.com.ar/ff7/data/minigame/high-us.lgp/fjaa.p.png","View Picture")</f>
        <v>View Picture</v>
      </c>
      <c r="K2410" s="43"/>
    </row>
    <row r="2411">
      <c r="A2411" s="55"/>
      <c r="B2411" s="33" t="s">
        <v>24026</v>
      </c>
      <c r="C2411" s="42">
        <v>3304.0</v>
      </c>
      <c r="D2411" s="31"/>
      <c r="E2411" s="74"/>
      <c r="F2411" s="46" t="s">
        <v>2775</v>
      </c>
      <c r="G2411" s="75"/>
      <c r="H2411" s="98" t="str">
        <f>HYPERLINK("http://mirror.ff7data.com.ar/ff7/data/minigame/high-us.lgp/fkaa.p.png","View Picture")</f>
        <v>View Picture</v>
      </c>
      <c r="K2411" s="43"/>
    </row>
    <row r="2412">
      <c r="A2412" s="55"/>
      <c r="B2412" s="33" t="s">
        <v>24036</v>
      </c>
      <c r="C2412" s="42">
        <v>12136.0</v>
      </c>
      <c r="D2412" s="31"/>
      <c r="E2412" s="74"/>
      <c r="F2412" s="46" t="s">
        <v>2775</v>
      </c>
      <c r="G2412" s="75"/>
      <c r="H2412" s="98" t="str">
        <f>HYPERLINK("http://mirror.ff7data.com.ar/ff7/data/minigame/high-us.lgp/flaa.p.png","View Picture")</f>
        <v>View Picture</v>
      </c>
      <c r="K2412" s="43"/>
    </row>
    <row r="2413">
      <c r="A2413" s="55"/>
      <c r="B2413" s="33" t="s">
        <v>24046</v>
      </c>
      <c r="C2413" s="42">
        <v>18108.0</v>
      </c>
      <c r="D2413" s="31"/>
      <c r="E2413" s="74"/>
      <c r="F2413" s="46" t="s">
        <v>2775</v>
      </c>
      <c r="G2413" s="75"/>
      <c r="H2413" s="98" t="str">
        <f>HYPERLINK("http://mirror.ff7data.com.ar/ff7/data/minigame/high-us.lgp/fmaa.p.png","View Picture")</f>
        <v>View Picture</v>
      </c>
      <c r="K2413" s="43"/>
    </row>
    <row r="2414">
      <c r="A2414" s="55"/>
      <c r="B2414" s="33" t="s">
        <v>24059</v>
      </c>
      <c r="C2414" s="42">
        <v>289.0</v>
      </c>
      <c r="D2414" s="31"/>
      <c r="E2414" s="74"/>
      <c r="F2414" s="46" t="s">
        <v>2793</v>
      </c>
      <c r="G2414" s="75"/>
      <c r="H2414" s="98" t="str">
        <f>HYPERLINK("http://mirror.ff7data.com.ar/ff7/data/minigame/high-us.lgp/fnaa.rsd.png","View Picture")</f>
        <v>View Picture</v>
      </c>
      <c r="K2414" s="43"/>
    </row>
    <row r="2415">
      <c r="A2415" s="55"/>
      <c r="B2415" s="33" t="s">
        <v>24069</v>
      </c>
      <c r="C2415" s="42">
        <v>283.0</v>
      </c>
      <c r="D2415" s="31"/>
      <c r="E2415" s="74"/>
      <c r="F2415" s="46" t="s">
        <v>2793</v>
      </c>
      <c r="G2415" s="75"/>
      <c r="H2415" s="98" t="str">
        <f>HYPERLINK("http://mirror.ff7data.com.ar/ff7/data/minigame/high-us.lgp/foaa.rsd.png","View Picture")</f>
        <v>View Picture</v>
      </c>
      <c r="K2415" s="43"/>
    </row>
    <row r="2416">
      <c r="A2416" s="55"/>
      <c r="B2416" s="33" t="s">
        <v>24081</v>
      </c>
      <c r="C2416" s="42">
        <v>16684.0</v>
      </c>
      <c r="D2416" s="31"/>
      <c r="E2416" s="74"/>
      <c r="F2416" s="75"/>
      <c r="G2416" s="75"/>
      <c r="H2416" s="98" t="str">
        <f>HYPERLINK("http://mirror.ff7data.com.ar/ff7/data/minigame/high-us.lgp/fpaa.tex.png","View Picture")</f>
        <v>View Picture</v>
      </c>
      <c r="K2416" s="43"/>
    </row>
    <row r="2417">
      <c r="A2417" s="55"/>
      <c r="B2417" s="33" t="s">
        <v>24090</v>
      </c>
      <c r="C2417" s="42">
        <v>4412.0</v>
      </c>
      <c r="D2417" s="31"/>
      <c r="E2417" s="74"/>
      <c r="F2417" s="46" t="s">
        <v>2775</v>
      </c>
      <c r="G2417" s="75"/>
      <c r="H2417" s="98" t="str">
        <f>HYPERLINK("http://mirror.ff7data.com.ar/ff7/data/minigame/high-us.lgp/fqaa.p.png","View Picture")</f>
        <v>View Picture</v>
      </c>
      <c r="K2417" s="43"/>
    </row>
    <row r="2418">
      <c r="A2418" s="55"/>
      <c r="B2418" s="33" t="s">
        <v>24101</v>
      </c>
      <c r="C2418" s="42">
        <v>3264.0</v>
      </c>
      <c r="D2418" s="31"/>
      <c r="E2418" s="74"/>
      <c r="F2418" s="46" t="s">
        <v>2775</v>
      </c>
      <c r="G2418" s="75"/>
      <c r="H2418" s="98" t="str">
        <f>HYPERLINK("http://mirror.ff7data.com.ar/ff7/data/minigame/high-us.lgp/fraa.p.png","View Picture")</f>
        <v>View Picture</v>
      </c>
      <c r="K2418" s="43"/>
    </row>
    <row r="2419">
      <c r="A2419" s="55"/>
      <c r="B2419" s="33" t="s">
        <v>24114</v>
      </c>
      <c r="C2419" s="42">
        <v>576.0</v>
      </c>
      <c r="D2419" s="31"/>
      <c r="E2419" s="74"/>
      <c r="F2419" s="46" t="s">
        <v>2775</v>
      </c>
      <c r="G2419" s="75"/>
      <c r="H2419" s="98" t="str">
        <f>HYPERLINK("http://mirror.ff7data.com.ar/ff7/data/minigame/high-us.lgp/fsaa.p.png","View Picture")</f>
        <v>View Picture</v>
      </c>
      <c r="K2419" s="43"/>
    </row>
    <row r="2420">
      <c r="A2420" s="55"/>
      <c r="B2420" s="33" t="s">
        <v>24122</v>
      </c>
      <c r="C2420" s="42">
        <v>1952.0</v>
      </c>
      <c r="D2420" s="31"/>
      <c r="E2420" s="74"/>
      <c r="F2420" s="46" t="s">
        <v>2775</v>
      </c>
      <c r="G2420" s="75"/>
      <c r="H2420" s="98" t="str">
        <f>HYPERLINK("http://mirror.ff7data.com.ar/ff7/data/minigame/high-us.lgp/ftaa.p.png","View Picture")</f>
        <v>View Picture</v>
      </c>
      <c r="K2420" s="43"/>
    </row>
    <row r="2421">
      <c r="A2421" s="55"/>
      <c r="B2421" s="33" t="s">
        <v>24130</v>
      </c>
      <c r="C2421" s="42">
        <v>2348.0</v>
      </c>
      <c r="D2421" s="31"/>
      <c r="E2421" s="74"/>
      <c r="F2421" s="75"/>
      <c r="G2421" s="75"/>
      <c r="H2421" s="98" t="str">
        <f>HYPERLINK("http://mirror.ff7data.com.ar/ff7/data/minigame/high-us.lgp/fuaa.tex.png","View Picture")</f>
        <v>View Picture</v>
      </c>
      <c r="K2421" s="43"/>
    </row>
    <row r="2422">
      <c r="A2422" s="82"/>
      <c r="B2422" s="33" t="s">
        <v>24140</v>
      </c>
      <c r="C2422" s="42">
        <v>1276.0</v>
      </c>
      <c r="D2422" s="33" t="s">
        <v>7620</v>
      </c>
      <c r="E2422" s="74"/>
      <c r="F2422" s="46" t="s">
        <v>2775</v>
      </c>
      <c r="G2422" s="75"/>
      <c r="H2422" s="98" t="str">
        <f>HYPERLINK("http://mirror.ff7data.com.ar/ff7/data/minigame/high-us.lgp/gaaa.p.png","View Picture")</f>
        <v>View Picture</v>
      </c>
      <c r="K2422" s="43"/>
    </row>
    <row r="2423">
      <c r="A2423" s="21"/>
      <c r="B2423" s="33" t="s">
        <v>24152</v>
      </c>
      <c r="C2423" s="42">
        <v>776.0</v>
      </c>
      <c r="D2423" s="33" t="s">
        <v>7656</v>
      </c>
      <c r="E2423" s="74"/>
      <c r="F2423" s="46" t="s">
        <v>2775</v>
      </c>
      <c r="G2423" s="75"/>
      <c r="H2423" s="98" t="str">
        <f>HYPERLINK("http://mirror.ff7data.com.ar/ff7/data/minigame/high-us.lgp/gbaa.p.png","View Picture")</f>
        <v>View Picture</v>
      </c>
      <c r="K2423" s="43"/>
    </row>
    <row r="2424">
      <c r="A2424" s="55"/>
      <c r="B2424" s="33" t="s">
        <v>24161</v>
      </c>
      <c r="C2424" s="42">
        <v>972.0</v>
      </c>
      <c r="D2424" s="31"/>
      <c r="E2424" s="74"/>
      <c r="F2424" s="46" t="s">
        <v>2775</v>
      </c>
      <c r="G2424" s="75"/>
      <c r="H2424" s="98" t="str">
        <f>HYPERLINK("http://mirror.ff7data.com.ar/ff7/data/minigame/high-us.lgp/gcaa.p.png","View Picture")</f>
        <v>View Picture</v>
      </c>
      <c r="K2424" s="43"/>
    </row>
    <row r="2425">
      <c r="A2425" s="55"/>
      <c r="B2425" s="33" t="s">
        <v>24171</v>
      </c>
      <c r="C2425" s="42">
        <v>203.0</v>
      </c>
      <c r="D2425" s="31"/>
      <c r="E2425" s="74"/>
      <c r="F2425" s="46" t="s">
        <v>2793</v>
      </c>
      <c r="G2425" s="75"/>
      <c r="H2425" s="98" t="str">
        <f>HYPERLINK("http://mirror.ff7data.com.ar/ff7/data/minigame/high-us.lgp/gdaa.rsd.png","View Picture")</f>
        <v>View Picture</v>
      </c>
      <c r="K2425" s="43"/>
    </row>
    <row r="2426">
      <c r="A2426" s="55"/>
      <c r="B2426" s="33" t="s">
        <v>24182</v>
      </c>
      <c r="C2426" s="42">
        <v>616.0</v>
      </c>
      <c r="D2426" s="31"/>
      <c r="E2426" s="74"/>
      <c r="F2426" s="46" t="s">
        <v>2775</v>
      </c>
      <c r="G2426" s="75"/>
      <c r="H2426" s="98" t="str">
        <f>HYPERLINK("http://mirror.ff7data.com.ar/ff7/data/minigame/high-us.lgp/geaa.p.png","View Picture")</f>
        <v>View Picture</v>
      </c>
      <c r="K2426" s="43"/>
    </row>
    <row r="2427">
      <c r="A2427" s="84"/>
      <c r="B2427" s="33" t="s">
        <v>24192</v>
      </c>
      <c r="C2427" s="42">
        <v>8888.0</v>
      </c>
      <c r="D2427" s="31"/>
      <c r="E2427" s="74"/>
      <c r="F2427" s="46" t="s">
        <v>2775</v>
      </c>
      <c r="G2427" s="46" t="s">
        <v>23752</v>
      </c>
      <c r="H2427" s="98" t="str">
        <f>HYPERLINK("http://mirror.ff7data.com.ar/ff7/data/minigame/high-us.lgp/gfaa.p.png","View Picture")</f>
        <v>View Picture</v>
      </c>
      <c r="K2427" s="43"/>
    </row>
    <row r="2428">
      <c r="A2428" s="55"/>
      <c r="B2428" s="33" t="s">
        <v>24203</v>
      </c>
      <c r="C2428" s="42">
        <v>11196.0</v>
      </c>
      <c r="D2428" s="31"/>
      <c r="E2428" s="74"/>
      <c r="F2428" s="46" t="s">
        <v>3366</v>
      </c>
      <c r="G2428" s="75"/>
      <c r="H2428" s="122"/>
      <c r="K2428" s="43"/>
    </row>
    <row r="2429">
      <c r="A2429" s="55"/>
      <c r="B2429" s="33" t="s">
        <v>24206</v>
      </c>
      <c r="C2429" s="42">
        <v>1332.0</v>
      </c>
      <c r="D2429" s="31"/>
      <c r="E2429" s="74"/>
      <c r="F2429" s="46" t="s">
        <v>3366</v>
      </c>
      <c r="G2429" s="75"/>
      <c r="H2429" s="122"/>
      <c r="K2429" s="43"/>
    </row>
    <row r="2430">
      <c r="A2430" s="55"/>
      <c r="B2430" s="33" t="s">
        <v>24210</v>
      </c>
      <c r="C2430" s="42">
        <v>289.0</v>
      </c>
      <c r="D2430" s="31"/>
      <c r="E2430" s="74"/>
      <c r="F2430" s="46" t="s">
        <v>2793</v>
      </c>
      <c r="G2430" s="75"/>
      <c r="H2430" s="98" t="str">
        <f>HYPERLINK("http://mirror.ff7data.com.ar/ff7/data/minigame/high-us.lgp/giaa.rsd.png","View Picture")</f>
        <v>View Picture</v>
      </c>
      <c r="K2430" s="43"/>
    </row>
    <row r="2431">
      <c r="A2431" s="55"/>
      <c r="B2431" s="33" t="s">
        <v>24219</v>
      </c>
      <c r="C2431" s="42">
        <v>289.0</v>
      </c>
      <c r="D2431" s="31"/>
      <c r="E2431" s="74"/>
      <c r="F2431" s="46" t="s">
        <v>2793</v>
      </c>
      <c r="G2431" s="75"/>
      <c r="H2431" s="98" t="str">
        <f>HYPERLINK("http://mirror.ff7data.com.ar/ff7/data/minigame/high-us.lgp/gjaa.rsd.png","View Picture")</f>
        <v>View Picture</v>
      </c>
      <c r="K2431" s="43"/>
    </row>
    <row r="2432">
      <c r="A2432" s="55"/>
      <c r="B2432" s="33" t="s">
        <v>24227</v>
      </c>
      <c r="C2432" s="42">
        <v>283.0</v>
      </c>
      <c r="D2432" s="31"/>
      <c r="E2432" s="74"/>
      <c r="F2432" s="46" t="s">
        <v>2793</v>
      </c>
      <c r="G2432" s="75"/>
      <c r="H2432" s="98" t="str">
        <f>HYPERLINK("http://mirror.ff7data.com.ar/ff7/data/minigame/high-us.lgp/gkaa.rsd.png","View Picture")</f>
        <v>View Picture</v>
      </c>
      <c r="K2432" s="43"/>
    </row>
    <row r="2433">
      <c r="A2433" s="55"/>
      <c r="B2433" s="33" t="s">
        <v>24234</v>
      </c>
      <c r="C2433" s="42">
        <v>286.0</v>
      </c>
      <c r="D2433" s="31"/>
      <c r="E2433" s="74"/>
      <c r="F2433" s="46" t="s">
        <v>2793</v>
      </c>
      <c r="G2433" s="75"/>
      <c r="H2433" s="98" t="str">
        <f>HYPERLINK("http://mirror.ff7data.com.ar/ff7/data/minigame/high-us.lgp/glaa.rsd.png","View Picture")</f>
        <v>View Picture</v>
      </c>
      <c r="K2433" s="43"/>
    </row>
    <row r="2434">
      <c r="A2434" s="55"/>
      <c r="B2434" s="33" t="s">
        <v>24242</v>
      </c>
      <c r="C2434" s="42">
        <v>286.0</v>
      </c>
      <c r="D2434" s="31"/>
      <c r="E2434" s="74"/>
      <c r="F2434" s="46" t="s">
        <v>2793</v>
      </c>
      <c r="G2434" s="75"/>
      <c r="H2434" s="98" t="str">
        <f>HYPERLINK("http://mirror.ff7data.com.ar/ff7/data/minigame/high-us.lgp/gmaa.rsd.png","View Picture")</f>
        <v>View Picture</v>
      </c>
      <c r="K2434" s="43"/>
    </row>
    <row r="2435">
      <c r="A2435" s="55"/>
      <c r="B2435" s="33" t="s">
        <v>24248</v>
      </c>
      <c r="C2435" s="42">
        <v>1396.0</v>
      </c>
      <c r="D2435" s="31"/>
      <c r="E2435" s="74"/>
      <c r="F2435" s="46" t="s">
        <v>2775</v>
      </c>
      <c r="G2435" s="75"/>
      <c r="H2435" s="98" t="str">
        <f>HYPERLINK("http://mirror.ff7data.com.ar/ff7/data/minigame/high-us.lgp/gnaa.p.png","View Picture")</f>
        <v>View Picture</v>
      </c>
      <c r="K2435" s="43"/>
    </row>
    <row r="2436">
      <c r="A2436" s="55"/>
      <c r="B2436" s="33" t="s">
        <v>24255</v>
      </c>
      <c r="C2436" s="42">
        <v>7404.0</v>
      </c>
      <c r="D2436" s="31"/>
      <c r="E2436" s="74"/>
      <c r="F2436" s="46" t="s">
        <v>2775</v>
      </c>
      <c r="G2436" s="75"/>
      <c r="H2436" s="98" t="str">
        <f>HYPERLINK("http://mirror.ff7data.com.ar/ff7/data/minigame/high-us.lgp/goaa.p.png","View Picture")</f>
        <v>View Picture</v>
      </c>
      <c r="K2436" s="43"/>
    </row>
    <row r="2437">
      <c r="A2437" s="55"/>
      <c r="B2437" s="33" t="s">
        <v>24264</v>
      </c>
      <c r="C2437" s="42">
        <v>283.0</v>
      </c>
      <c r="D2437" s="31"/>
      <c r="E2437" s="74"/>
      <c r="F2437" s="46" t="s">
        <v>2793</v>
      </c>
      <c r="G2437" s="75"/>
      <c r="H2437" s="98" t="str">
        <f>HYPERLINK("http://mirror.ff7data.com.ar/ff7/data/minigame/high-us.lgp/gpaa.rsd.png","View Picture")</f>
        <v>View Picture</v>
      </c>
      <c r="K2437" s="43"/>
    </row>
    <row r="2438">
      <c r="A2438" s="55"/>
      <c r="B2438" s="33" t="s">
        <v>24272</v>
      </c>
      <c r="C2438" s="42">
        <v>289.0</v>
      </c>
      <c r="D2438" s="31"/>
      <c r="E2438" s="74"/>
      <c r="F2438" s="46" t="s">
        <v>2793</v>
      </c>
      <c r="G2438" s="75"/>
      <c r="H2438" s="98" t="str">
        <f>HYPERLINK("http://mirror.ff7data.com.ar/ff7/data/minigame/high-us.lgp/gqaa.rsd.png","View Picture")</f>
        <v>View Picture</v>
      </c>
      <c r="K2438" s="43"/>
    </row>
    <row r="2439">
      <c r="A2439" s="55"/>
      <c r="B2439" s="33" t="s">
        <v>24282</v>
      </c>
      <c r="C2439" s="42">
        <v>233.0</v>
      </c>
      <c r="D2439" s="31"/>
      <c r="E2439" s="74"/>
      <c r="F2439" s="46" t="s">
        <v>2793</v>
      </c>
      <c r="G2439" s="75"/>
      <c r="H2439" s="98" t="str">
        <f>HYPERLINK("http://mirror.ff7data.com.ar/ff7/data/minigame/high-us.lgp/graa.rsd.png","View Picture")</f>
        <v>View Picture</v>
      </c>
      <c r="K2439" s="43"/>
    </row>
    <row r="2440">
      <c r="A2440" s="55"/>
      <c r="B2440" s="33" t="s">
        <v>24290</v>
      </c>
      <c r="C2440" s="42">
        <v>274.0</v>
      </c>
      <c r="D2440" s="31"/>
      <c r="E2440" s="74"/>
      <c r="F2440" s="46" t="s">
        <v>2793</v>
      </c>
      <c r="G2440" s="75"/>
      <c r="H2440" s="98" t="str">
        <f>HYPERLINK("http://mirror.ff7data.com.ar/ff7/data/minigame/high-us.lgp/gsaa.rsd.png","View Picture")</f>
        <v>View Picture</v>
      </c>
      <c r="K2440" s="43"/>
    </row>
    <row r="2441">
      <c r="A2441" s="55"/>
      <c r="B2441" s="33" t="s">
        <v>24299</v>
      </c>
      <c r="C2441" s="42">
        <v>303.0</v>
      </c>
      <c r="D2441" s="31"/>
      <c r="E2441" s="74"/>
      <c r="F2441" s="46" t="s">
        <v>2793</v>
      </c>
      <c r="G2441" s="75"/>
      <c r="H2441" s="98" t="str">
        <f>HYPERLINK("http://mirror.ff7data.com.ar/ff7/data/minigame/high-us.lgp/gtaa.rsd.png","View Picture")</f>
        <v>View Picture</v>
      </c>
      <c r="K2441" s="43"/>
    </row>
    <row r="2442" ht="25.5" customHeight="1">
      <c r="A2442" s="21"/>
      <c r="B2442" s="33" t="s">
        <v>24308</v>
      </c>
      <c r="C2442" s="42">
        <v>34028.0</v>
      </c>
      <c r="D2442" s="33" t="s">
        <v>24309</v>
      </c>
      <c r="E2442" s="74"/>
      <c r="F2442" s="46" t="s">
        <v>1348</v>
      </c>
      <c r="G2442" s="75"/>
      <c r="H2442" s="98" t="str">
        <f>HYPERLINK("http://mirror.ff7data.com.ar/ff7/data/minigame/high-us.lgp/guaa.tex.png","EN")</f>
        <v>EN</v>
      </c>
      <c r="I2442" s="98" t="str">
        <f>HYPERLINK("http://mirror.ff7data.com.ar/ff7/es/high-sp/guaa.tex.png","ES")</f>
        <v>ES</v>
      </c>
      <c r="J2442" s="98" t="str">
        <f>HYPERLINK("http://s2.noelshack.com/old/up/guaatex-bc8b501410.bmp","FR")</f>
        <v>FR</v>
      </c>
      <c r="K2442" s="43"/>
    </row>
    <row r="2443">
      <c r="A2443" s="55"/>
      <c r="B2443" s="33" t="s">
        <v>24333</v>
      </c>
      <c r="C2443" s="42">
        <v>204.0</v>
      </c>
      <c r="D2443" s="31"/>
      <c r="E2443" s="74"/>
      <c r="F2443" s="46" t="s">
        <v>2793</v>
      </c>
      <c r="G2443" s="75"/>
      <c r="H2443" s="98" t="str">
        <f>HYPERLINK("http://mirror.ff7data.com.ar/ff7/data/minigame/high-us.lgp/haaa.rsd.png","View Picture")</f>
        <v>View Picture</v>
      </c>
      <c r="K2443" s="43"/>
    </row>
    <row r="2444">
      <c r="A2444" s="55"/>
      <c r="B2444" s="33" t="s">
        <v>24349</v>
      </c>
      <c r="C2444" s="42">
        <v>210.0</v>
      </c>
      <c r="D2444" s="31"/>
      <c r="E2444" s="74"/>
      <c r="F2444" s="46" t="s">
        <v>2793</v>
      </c>
      <c r="G2444" s="75"/>
      <c r="H2444" s="98" t="str">
        <f>HYPERLINK("http://mirror.ff7data.com.ar/ff7/data/minigame/high-us.lgp/hbaa.rsd.png","View Picture")</f>
        <v>View Picture</v>
      </c>
      <c r="K2444" s="43"/>
    </row>
    <row r="2445">
      <c r="A2445" s="55"/>
      <c r="B2445" s="33" t="s">
        <v>24362</v>
      </c>
      <c r="C2445" s="42">
        <v>213.0</v>
      </c>
      <c r="D2445" s="31"/>
      <c r="E2445" s="74"/>
      <c r="F2445" s="46" t="s">
        <v>2793</v>
      </c>
      <c r="G2445" s="75"/>
      <c r="H2445" s="98" t="str">
        <f>HYPERLINK("http://mirror.ff7data.com.ar/ff7/data/minigame/high-us.lgp/hcaa.rsd.png","View Picture")</f>
        <v>View Picture</v>
      </c>
      <c r="K2445" s="43"/>
    </row>
    <row r="2446">
      <c r="A2446" s="55"/>
      <c r="B2446" s="33" t="s">
        <v>24373</v>
      </c>
      <c r="C2446" s="42">
        <v>2016.0</v>
      </c>
      <c r="D2446" s="31"/>
      <c r="E2446" s="74"/>
      <c r="F2446" s="46" t="s">
        <v>2775</v>
      </c>
      <c r="G2446" s="75"/>
      <c r="H2446" s="98" t="str">
        <f>HYPERLINK("http://mirror.ff7data.com.ar/ff7/data/minigame/high-us.lgp/hdaa.p.png","View Picture")</f>
        <v>View Picture</v>
      </c>
      <c r="K2446" s="43"/>
    </row>
    <row r="2447">
      <c r="A2447" s="55"/>
      <c r="B2447" s="33" t="s">
        <v>24384</v>
      </c>
      <c r="C2447" s="42">
        <v>201.0</v>
      </c>
      <c r="D2447" s="31"/>
      <c r="E2447" s="74"/>
      <c r="F2447" s="46" t="s">
        <v>2793</v>
      </c>
      <c r="G2447" s="75"/>
      <c r="H2447" s="98" t="str">
        <f>HYPERLINK("http://mirror.ff7data.com.ar/ff7/data/minigame/high-us.lgp/heaa.rsd.png","View Picture")</f>
        <v>View Picture</v>
      </c>
      <c r="K2447" s="43"/>
    </row>
    <row r="2448">
      <c r="A2448" s="55"/>
      <c r="B2448" s="33" t="s">
        <v>24398</v>
      </c>
      <c r="C2448" s="42">
        <v>285.0</v>
      </c>
      <c r="D2448" s="31"/>
      <c r="E2448" s="74"/>
      <c r="F2448" s="46" t="s">
        <v>2793</v>
      </c>
      <c r="G2448" s="75"/>
      <c r="H2448" s="98" t="str">
        <f>HYPERLINK("http://mirror.ff7data.com.ar/ff7/data/minigame/high-us.lgp/hfaa.rsd.png","View Picture")</f>
        <v>View Picture</v>
      </c>
      <c r="K2448" s="43"/>
    </row>
    <row r="2449">
      <c r="A2449" s="55"/>
      <c r="B2449" s="33" t="s">
        <v>24414</v>
      </c>
      <c r="C2449" s="42">
        <v>13800.0</v>
      </c>
      <c r="D2449" s="31"/>
      <c r="E2449" s="74"/>
      <c r="F2449" s="46" t="s">
        <v>3366</v>
      </c>
      <c r="G2449" s="75"/>
      <c r="H2449" s="122"/>
      <c r="K2449" s="43"/>
    </row>
    <row r="2450">
      <c r="A2450" s="55"/>
      <c r="B2450" s="33" t="s">
        <v>24420</v>
      </c>
      <c r="C2450" s="42">
        <v>4356.0</v>
      </c>
      <c r="D2450" s="31"/>
      <c r="E2450" s="74"/>
      <c r="F2450" s="46" t="s">
        <v>3366</v>
      </c>
      <c r="G2450" s="75"/>
      <c r="H2450" s="122"/>
      <c r="K2450" s="43"/>
    </row>
    <row r="2451">
      <c r="A2451" s="55"/>
      <c r="B2451" s="33" t="s">
        <v>24424</v>
      </c>
      <c r="C2451" s="42">
        <v>3724.0</v>
      </c>
      <c r="D2451" s="31"/>
      <c r="E2451" s="74"/>
      <c r="F2451" s="46" t="s">
        <v>2775</v>
      </c>
      <c r="G2451" s="75"/>
      <c r="H2451" s="98" t="str">
        <f>HYPERLINK("http://mirror.ff7data.com.ar/ff7/data/minigame/high-us.lgp/hiaa.p.png","View Picture")</f>
        <v>View Picture</v>
      </c>
      <c r="K2451" s="43"/>
    </row>
    <row r="2452">
      <c r="A2452" s="55"/>
      <c r="B2452" s="33" t="s">
        <v>24437</v>
      </c>
      <c r="C2452" s="42">
        <v>3180.0</v>
      </c>
      <c r="D2452" s="31"/>
      <c r="E2452" s="74"/>
      <c r="F2452" s="46" t="s">
        <v>2775</v>
      </c>
      <c r="G2452" s="75"/>
      <c r="H2452" s="98" t="str">
        <f>HYPERLINK("http://mirror.ff7data.com.ar/ff7/data/minigame/high-us.lgp/hjaa.p.png","View Picture")</f>
        <v>View Picture</v>
      </c>
      <c r="K2452" s="43"/>
    </row>
    <row r="2453">
      <c r="A2453" s="55"/>
      <c r="B2453" s="33" t="s">
        <v>24447</v>
      </c>
      <c r="C2453" s="42">
        <v>6376.0</v>
      </c>
      <c r="D2453" s="31"/>
      <c r="E2453" s="74"/>
      <c r="F2453" s="46" t="s">
        <v>2775</v>
      </c>
      <c r="G2453" s="75"/>
      <c r="H2453" s="98" t="str">
        <f>HYPERLINK("http://mirror.ff7data.com.ar/ff7/data/minigame/high-us.lgp/hkaa.p.png","View Picture")</f>
        <v>View Picture</v>
      </c>
      <c r="K2453" s="43"/>
    </row>
    <row r="2454">
      <c r="A2454" s="55"/>
      <c r="B2454" s="33" t="s">
        <v>24458</v>
      </c>
      <c r="C2454" s="42">
        <v>16148.0</v>
      </c>
      <c r="D2454" s="31"/>
      <c r="E2454" s="74"/>
      <c r="F2454" s="46" t="s">
        <v>2775</v>
      </c>
      <c r="G2454" s="75"/>
      <c r="H2454" s="98" t="str">
        <f>HYPERLINK("http://mirror.ff7data.com.ar/ff7/data/minigame/high-us.lgp/hlaa.p.png","View Picture")</f>
        <v>View Picture</v>
      </c>
      <c r="K2454" s="43"/>
    </row>
    <row r="2455">
      <c r="A2455" s="55"/>
      <c r="B2455" s="33" t="s">
        <v>24469</v>
      </c>
      <c r="C2455" s="42">
        <v>15596.0</v>
      </c>
      <c r="D2455" s="31"/>
      <c r="E2455" s="74"/>
      <c r="F2455" s="46" t="s">
        <v>2775</v>
      </c>
      <c r="G2455" s="75"/>
      <c r="H2455" s="98" t="str">
        <f>HYPERLINK("http://mirror.ff7data.com.ar/ff7/data/minigame/high-us.lgp/hmaa.p.png","View Picture")</f>
        <v>View Picture</v>
      </c>
      <c r="K2455" s="43"/>
    </row>
    <row r="2456">
      <c r="A2456" s="55"/>
      <c r="B2456" s="33" t="s">
        <v>24479</v>
      </c>
      <c r="C2456" s="42">
        <v>289.0</v>
      </c>
      <c r="D2456" s="31"/>
      <c r="E2456" s="74"/>
      <c r="F2456" s="46" t="s">
        <v>2793</v>
      </c>
      <c r="G2456" s="75"/>
      <c r="H2456" s="98" t="str">
        <f>HYPERLINK("http://mirror.ff7data.com.ar/ff7/data/minigame/high-us.lgp/hnaa.rsd.png","View Picture")</f>
        <v>View Picture</v>
      </c>
      <c r="K2456" s="43"/>
    </row>
    <row r="2457">
      <c r="A2457" s="55"/>
      <c r="B2457" s="33" t="s">
        <v>24488</v>
      </c>
      <c r="C2457" s="42">
        <v>286.0</v>
      </c>
      <c r="D2457" s="31"/>
      <c r="E2457" s="74"/>
      <c r="F2457" s="46" t="s">
        <v>2793</v>
      </c>
      <c r="G2457" s="75"/>
      <c r="H2457" s="98" t="str">
        <f>HYPERLINK("http://mirror.ff7data.com.ar/ff7/data/minigame/high-us.lgp/hoaa.rsd.png","View Picture")</f>
        <v>View Picture</v>
      </c>
      <c r="K2457" s="43"/>
    </row>
    <row r="2458">
      <c r="A2458" s="55"/>
      <c r="B2458" s="33" t="s">
        <v>24497</v>
      </c>
      <c r="C2458" s="42">
        <v>3972.0</v>
      </c>
      <c r="D2458" s="31"/>
      <c r="E2458" s="74"/>
      <c r="F2458" s="46" t="s">
        <v>2775</v>
      </c>
      <c r="G2458" s="75"/>
      <c r="H2458" s="98" t="str">
        <f>HYPERLINK("http://mirror.ff7data.com.ar/ff7/data/minigame/high-us.lgp/hpaa.p.png","View Picture")</f>
        <v>View Picture</v>
      </c>
      <c r="K2458" s="43"/>
    </row>
    <row r="2459">
      <c r="A2459" s="55"/>
      <c r="B2459" s="33" t="s">
        <v>24506</v>
      </c>
      <c r="C2459" s="42">
        <v>7732.0</v>
      </c>
      <c r="D2459" s="31"/>
      <c r="E2459" s="74"/>
      <c r="F2459" s="46" t="s">
        <v>2775</v>
      </c>
      <c r="G2459" s="75"/>
      <c r="H2459" s="98" t="str">
        <f>HYPERLINK("http://mirror.ff7data.com.ar/ff7/data/minigame/high-us.lgp/hqaa.p.png","View Picture")</f>
        <v>View Picture</v>
      </c>
      <c r="K2459" s="43"/>
    </row>
    <row r="2460">
      <c r="A2460" s="55"/>
      <c r="B2460" s="33" t="s">
        <v>24515</v>
      </c>
      <c r="C2460" s="42">
        <v>4740.0</v>
      </c>
      <c r="D2460" s="31"/>
      <c r="E2460" s="74"/>
      <c r="F2460" s="46" t="s">
        <v>2775</v>
      </c>
      <c r="G2460" s="75"/>
      <c r="H2460" s="98" t="str">
        <f>HYPERLINK("http://mirror.ff7data.com.ar/ff7/data/minigame/high-us.lgp/hraa.p.png","View Picture")</f>
        <v>View Picture</v>
      </c>
      <c r="K2460" s="43"/>
    </row>
    <row r="2461">
      <c r="A2461" s="55"/>
      <c r="B2461" s="33" t="s">
        <v>24525</v>
      </c>
      <c r="C2461" s="42">
        <v>2792.0</v>
      </c>
      <c r="D2461" s="31"/>
      <c r="E2461" s="74"/>
      <c r="F2461" s="46" t="s">
        <v>2775</v>
      </c>
      <c r="G2461" s="75"/>
      <c r="H2461" s="98" t="str">
        <f>HYPERLINK("http://mirror.ff7data.com.ar/ff7/data/minigame/high-us.lgp/hsaa.p.png","View Picture")</f>
        <v>View Picture</v>
      </c>
      <c r="K2461" s="43"/>
    </row>
    <row r="2462">
      <c r="A2462" s="55"/>
      <c r="B2462" s="33" t="s">
        <v>24536</v>
      </c>
      <c r="C2462" s="42">
        <v>488.0</v>
      </c>
      <c r="D2462" s="31"/>
      <c r="E2462" s="74"/>
      <c r="F2462" s="46" t="s">
        <v>2775</v>
      </c>
      <c r="G2462" s="75"/>
      <c r="H2462" s="98" t="str">
        <f>HYPERLINK("http://mirror.ff7data.com.ar/ff7/data/minigame/high-us.lgp/htaa.p.png","View Picture")</f>
        <v>View Picture</v>
      </c>
      <c r="K2462" s="43"/>
    </row>
    <row r="2463" ht="25.5" customHeight="1">
      <c r="A2463" s="21"/>
      <c r="B2463" s="33" t="s">
        <v>24550</v>
      </c>
      <c r="C2463" s="42">
        <v>66796.0</v>
      </c>
      <c r="D2463" s="33" t="s">
        <v>24552</v>
      </c>
      <c r="E2463" s="74"/>
      <c r="F2463" s="46" t="s">
        <v>1348</v>
      </c>
      <c r="G2463" s="75"/>
      <c r="H2463" s="98" t="str">
        <f>HYPERLINK("http://mirror.ff7data.com.ar/ff7/data/minigame/high-us.lgp/huaa.tex.png","EN")</f>
        <v>EN</v>
      </c>
      <c r="I2463" s="98" t="str">
        <f>HYPERLINK("http://mirror.ff7data.com.ar/ff7/es/high-sp/huaa.tex.png","ES")</f>
        <v>ES</v>
      </c>
      <c r="J2463" s="98" t="str">
        <f>HYPERLINK("http://s2.noelshack.com/old/up/huaatex-727e632e35.bmp","FR")</f>
        <v>FR</v>
      </c>
      <c r="K2463" s="43"/>
    </row>
    <row r="2464">
      <c r="A2464" s="55"/>
      <c r="B2464" s="33" t="s">
        <v>24581</v>
      </c>
      <c r="C2464" s="42">
        <v>3116.0</v>
      </c>
      <c r="D2464" s="31"/>
      <c r="E2464" s="74"/>
      <c r="F2464" s="46" t="s">
        <v>2775</v>
      </c>
      <c r="G2464" s="75"/>
      <c r="H2464" s="98" t="str">
        <f>HYPERLINK("http://mirror.ff7data.com.ar/ff7/data/minigame/high-us.lgp/iaaa.p.png","View Picture")</f>
        <v>View Picture</v>
      </c>
      <c r="K2464" s="43"/>
    </row>
    <row r="2465">
      <c r="A2465" s="55"/>
      <c r="B2465" s="33" t="s">
        <v>24592</v>
      </c>
      <c r="C2465" s="42">
        <v>576.0</v>
      </c>
      <c r="D2465" s="31"/>
      <c r="E2465" s="74"/>
      <c r="F2465" s="46" t="s">
        <v>2775</v>
      </c>
      <c r="G2465" s="75"/>
      <c r="H2465" s="98" t="str">
        <f>HYPERLINK("http://mirror.ff7data.com.ar/ff7/data/minigame/high-us.lgp/ibaa.p.png","View Picture")</f>
        <v>View Picture</v>
      </c>
      <c r="K2465" s="43"/>
    </row>
    <row r="2466">
      <c r="A2466" s="55"/>
      <c r="B2466" s="33" t="s">
        <v>24600</v>
      </c>
      <c r="C2466" s="42">
        <v>2280.0</v>
      </c>
      <c r="D2466" s="31"/>
      <c r="E2466" s="74"/>
      <c r="F2466" s="46" t="s">
        <v>2775</v>
      </c>
      <c r="G2466" s="75"/>
      <c r="H2466" s="98" t="str">
        <f>HYPERLINK("http://mirror.ff7data.com.ar/ff7/data/minigame/high-us.lgp/icaa.p.png","View Picture")</f>
        <v>View Picture</v>
      </c>
      <c r="K2466" s="43"/>
    </row>
    <row r="2467">
      <c r="A2467" s="84"/>
      <c r="B2467" s="33" t="s">
        <v>24610</v>
      </c>
      <c r="C2467" s="42">
        <v>289.0</v>
      </c>
      <c r="D2467" s="33" t="s">
        <v>23720</v>
      </c>
      <c r="E2467" s="74"/>
      <c r="F2467" s="46" t="s">
        <v>2793</v>
      </c>
      <c r="G2467" s="75"/>
      <c r="H2467" s="98" t="str">
        <f>HYPERLINK("http://mirror.ff7data.com.ar/ff7/data/minigame/high-us.lgp/idaa.rsd.png","View Picture")</f>
        <v>View Picture</v>
      </c>
      <c r="K2467" s="43"/>
    </row>
    <row r="2468">
      <c r="A2468" s="55"/>
      <c r="B2468" s="33" t="s">
        <v>24622</v>
      </c>
      <c r="C2468" s="42">
        <v>1868.0</v>
      </c>
      <c r="D2468" s="31"/>
      <c r="E2468" s="74"/>
      <c r="F2468" s="46" t="s">
        <v>2775</v>
      </c>
      <c r="G2468" s="75"/>
      <c r="H2468" s="98" t="str">
        <f>HYPERLINK("http://mirror.ff7data.com.ar/ff7/data/minigame/high-us.lgp/ieaa.p.png","View Picture")</f>
        <v>View Picture</v>
      </c>
      <c r="K2468" s="43"/>
    </row>
    <row r="2469">
      <c r="A2469" s="55"/>
      <c r="B2469" s="33" t="s">
        <v>24632</v>
      </c>
      <c r="C2469" s="42">
        <v>1312.0</v>
      </c>
      <c r="D2469" s="31"/>
      <c r="E2469" s="74"/>
      <c r="F2469" s="46" t="s">
        <v>2775</v>
      </c>
      <c r="G2469" s="75"/>
      <c r="H2469" s="98" t="str">
        <f>HYPERLINK("http://mirror.ff7data.com.ar/ff7/data/minigame/high-us.lgp/ifaa.p.png","View Picture")</f>
        <v>View Picture</v>
      </c>
      <c r="K2469" s="43"/>
    </row>
    <row r="2470">
      <c r="A2470" s="55"/>
      <c r="B2470" s="33" t="s">
        <v>24649</v>
      </c>
      <c r="C2470" s="42">
        <v>13800.0</v>
      </c>
      <c r="D2470" s="31"/>
      <c r="E2470" s="74"/>
      <c r="F2470" s="46" t="s">
        <v>3366</v>
      </c>
      <c r="G2470" s="75"/>
      <c r="H2470" s="122"/>
      <c r="K2470" s="43"/>
    </row>
    <row r="2471">
      <c r="A2471" s="55"/>
      <c r="B2471" s="33" t="s">
        <v>24652</v>
      </c>
      <c r="C2471" s="42">
        <v>8676.0</v>
      </c>
      <c r="D2471" s="31"/>
      <c r="E2471" s="74"/>
      <c r="F2471" s="46" t="s">
        <v>3366</v>
      </c>
      <c r="G2471" s="75"/>
      <c r="H2471" s="122"/>
      <c r="K2471" s="43"/>
    </row>
    <row r="2472">
      <c r="A2472" s="55"/>
      <c r="B2472" s="33" t="s">
        <v>24654</v>
      </c>
      <c r="C2472" s="42">
        <v>323.0</v>
      </c>
      <c r="D2472" s="31"/>
      <c r="E2472" s="74"/>
      <c r="F2472" s="46" t="s">
        <v>2793</v>
      </c>
      <c r="G2472" s="75"/>
      <c r="H2472" s="98" t="str">
        <f>HYPERLINK("http://mirror.ff7data.com.ar/ff7/data/minigame/high-us.lgp/iiaa.rsd.png","View Picture")</f>
        <v>View Picture</v>
      </c>
      <c r="K2472" s="43"/>
    </row>
    <row r="2473">
      <c r="A2473" s="55"/>
      <c r="B2473" s="33" t="s">
        <v>24663</v>
      </c>
      <c r="C2473" s="42">
        <v>280.0</v>
      </c>
      <c r="D2473" s="31"/>
      <c r="E2473" s="74"/>
      <c r="F2473" s="46" t="s">
        <v>2793</v>
      </c>
      <c r="G2473" s="75"/>
      <c r="H2473" s="98" t="str">
        <f>HYPERLINK("http://mirror.ff7data.com.ar/ff7/data/minigame/high-us.lgp/ijaa.rsd.png","View Picture")</f>
        <v>View Picture</v>
      </c>
      <c r="K2473" s="43"/>
    </row>
    <row r="2474">
      <c r="A2474" s="55"/>
      <c r="B2474" s="33" t="s">
        <v>24670</v>
      </c>
      <c r="C2474" s="42">
        <v>283.0</v>
      </c>
      <c r="D2474" s="31"/>
      <c r="E2474" s="74"/>
      <c r="F2474" s="46" t="s">
        <v>2793</v>
      </c>
      <c r="G2474" s="75"/>
      <c r="H2474" s="98" t="str">
        <f>HYPERLINK("http://mirror.ff7data.com.ar/ff7/data/minigame/high-us.lgp/ikaa.rsd.png","View Picture")</f>
        <v>View Picture</v>
      </c>
      <c r="K2474" s="43"/>
    </row>
    <row r="2475">
      <c r="A2475" s="55"/>
      <c r="B2475" s="33" t="s">
        <v>24678</v>
      </c>
      <c r="C2475" s="42">
        <v>283.0</v>
      </c>
      <c r="D2475" s="31"/>
      <c r="E2475" s="74"/>
      <c r="F2475" s="46" t="s">
        <v>2793</v>
      </c>
      <c r="G2475" s="75"/>
      <c r="H2475" s="98" t="str">
        <f>HYPERLINK("http://mirror.ff7data.com.ar/ff7/data/minigame/high-us.lgp/ilaa.rsd.png","View Picture")</f>
        <v>View Picture</v>
      </c>
      <c r="K2475" s="43"/>
    </row>
    <row r="2476">
      <c r="A2476" s="55"/>
      <c r="B2476" s="33" t="s">
        <v>24685</v>
      </c>
      <c r="C2476" s="42">
        <v>286.0</v>
      </c>
      <c r="D2476" s="31"/>
      <c r="E2476" s="74"/>
      <c r="F2476" s="46" t="s">
        <v>2793</v>
      </c>
      <c r="G2476" s="75"/>
      <c r="H2476" s="98" t="str">
        <f>HYPERLINK("http://mirror.ff7data.com.ar/ff7/data/minigame/high-us.lgp/imaa.rsd.png","View Picture")</f>
        <v>View Picture</v>
      </c>
      <c r="K2476" s="43"/>
    </row>
    <row r="2477">
      <c r="A2477" s="55"/>
      <c r="B2477" s="33" t="s">
        <v>24693</v>
      </c>
      <c r="C2477" s="42">
        <v>1396.0</v>
      </c>
      <c r="D2477" s="31"/>
      <c r="E2477" s="74"/>
      <c r="F2477" s="46" t="s">
        <v>2775</v>
      </c>
      <c r="G2477" s="75"/>
      <c r="H2477" s="98" t="str">
        <f>HYPERLINK("http://mirror.ff7data.com.ar/ff7/data/minigame/high-us.lgp/inaa.p.png","View Picture")</f>
        <v>View Picture</v>
      </c>
      <c r="K2477" s="43"/>
    </row>
    <row r="2478">
      <c r="A2478" s="55"/>
      <c r="B2478" s="33" t="s">
        <v>24701</v>
      </c>
      <c r="C2478" s="42">
        <v>7236.0</v>
      </c>
      <c r="D2478" s="31"/>
      <c r="E2478" s="74"/>
      <c r="F2478" s="46" t="s">
        <v>2775</v>
      </c>
      <c r="G2478" s="75"/>
      <c r="H2478" s="98" t="str">
        <f>HYPERLINK("http://mirror.ff7data.com.ar/ff7/data/minigame/high-us.lgp/ioaa.p.png","View Picture")</f>
        <v>View Picture</v>
      </c>
      <c r="K2478" s="43"/>
    </row>
    <row r="2479">
      <c r="A2479" s="55"/>
      <c r="B2479" s="33" t="s">
        <v>24712</v>
      </c>
      <c r="C2479" s="42">
        <v>289.0</v>
      </c>
      <c r="D2479" s="31"/>
      <c r="E2479" s="74"/>
      <c r="F2479" s="46" t="s">
        <v>2793</v>
      </c>
      <c r="G2479" s="75"/>
      <c r="H2479" s="98" t="str">
        <f>HYPERLINK("http://mirror.ff7data.com.ar/ff7/data/minigame/high-us.lgp/ipaa.rsd.png","View Picture")</f>
        <v>View Picture</v>
      </c>
      <c r="K2479" s="43"/>
    </row>
    <row r="2480">
      <c r="A2480" s="55"/>
      <c r="B2480" s="33" t="s">
        <v>24726</v>
      </c>
      <c r="C2480" s="42">
        <v>289.0</v>
      </c>
      <c r="D2480" s="31"/>
      <c r="E2480" s="74"/>
      <c r="F2480" s="46" t="s">
        <v>2793</v>
      </c>
      <c r="G2480" s="75"/>
      <c r="H2480" s="98" t="str">
        <f>HYPERLINK("http://mirror.ff7data.com.ar/ff7/data/minigame/high-us.lgp/iqaa.rsd.png","View Picture")</f>
        <v>View Picture</v>
      </c>
      <c r="K2480" s="43"/>
    </row>
    <row r="2481">
      <c r="A2481" s="55"/>
      <c r="B2481" s="33" t="s">
        <v>24736</v>
      </c>
      <c r="C2481" s="42">
        <v>283.0</v>
      </c>
      <c r="D2481" s="31"/>
      <c r="E2481" s="74"/>
      <c r="F2481" s="46" t="s">
        <v>2793</v>
      </c>
      <c r="G2481" s="75"/>
      <c r="H2481" s="98" t="str">
        <f>HYPERLINK("http://mirror.ff7data.com.ar/ff7/data/minigame/high-us.lgp/iraa.rsd.png","View Picture")</f>
        <v>View Picture</v>
      </c>
      <c r="K2481" s="43"/>
    </row>
    <row r="2482">
      <c r="A2482" s="55"/>
      <c r="B2482" s="33" t="s">
        <v>24745</v>
      </c>
      <c r="C2482" s="42">
        <v>289.0</v>
      </c>
      <c r="D2482" s="31"/>
      <c r="E2482" s="74"/>
      <c r="F2482" s="46" t="s">
        <v>2793</v>
      </c>
      <c r="G2482" s="75"/>
      <c r="H2482" s="98" t="str">
        <f>HYPERLINK("http://mirror.ff7data.com.ar/ff7/data/minigame/high-us.lgp/isaa.rsd.png","View Picture")</f>
        <v>View Picture</v>
      </c>
      <c r="K2482" s="43"/>
    </row>
    <row r="2483">
      <c r="A2483" s="55"/>
      <c r="B2483" s="33" t="s">
        <v>24753</v>
      </c>
      <c r="C2483" s="42">
        <v>4396.0</v>
      </c>
      <c r="D2483" s="31"/>
      <c r="E2483" s="74"/>
      <c r="F2483" s="46" t="s">
        <v>1348</v>
      </c>
      <c r="G2483" s="75"/>
      <c r="H2483" s="98" t="str">
        <f>HYPERLINK("http://mirror.ff7data.com.ar/ff7/data/minigame/high-us.lgp/itaa.tex.png","View Picture")</f>
        <v>View Picture</v>
      </c>
      <c r="K2483" s="43"/>
    </row>
    <row r="2484" ht="25.5" customHeight="1">
      <c r="A2484" s="21"/>
      <c r="B2484" s="33" t="s">
        <v>24762</v>
      </c>
      <c r="C2484" s="42">
        <v>34028.0</v>
      </c>
      <c r="D2484" s="33" t="s">
        <v>24764</v>
      </c>
      <c r="E2484" s="74"/>
      <c r="F2484" s="46" t="s">
        <v>1348</v>
      </c>
      <c r="G2484" s="75"/>
      <c r="H2484" s="98" t="str">
        <f>HYPERLINK("http://mirror.ff7data.com.ar/ff7/data/minigame/high-us.lgp/iuaa.tex.png","EN")</f>
        <v>EN</v>
      </c>
      <c r="I2484" s="98" t="str">
        <f>HYPERLINK("http://mirror.ff7data.com.ar/ff7/es/high-sp/iuaa.tex.png","ES")</f>
        <v>ES</v>
      </c>
      <c r="J2484" s="98" t="str">
        <f>HYPERLINK("http://s2.noelshack.com/old/up/iuaatex-dea9ccc740.bmp","FR")</f>
        <v>FR</v>
      </c>
      <c r="K2484" s="43"/>
    </row>
    <row r="2485">
      <c r="A2485" s="55"/>
      <c r="B2485" s="33" t="s">
        <v>24784</v>
      </c>
      <c r="C2485" s="42">
        <v>213.0</v>
      </c>
      <c r="D2485" s="31"/>
      <c r="E2485" s="74"/>
      <c r="F2485" s="46" t="s">
        <v>2793</v>
      </c>
      <c r="G2485" s="75"/>
      <c r="H2485" s="98" t="str">
        <f>HYPERLINK("http://mirror.ff7data.com.ar/ff7/data/minigame/high-us.lgp/jaaa.rsd.png","View Picture")</f>
        <v>View Picture</v>
      </c>
      <c r="K2485" s="43"/>
    </row>
    <row r="2486">
      <c r="A2486" s="21"/>
      <c r="B2486" s="33" t="s">
        <v>24793</v>
      </c>
      <c r="C2486" s="42">
        <v>213.0</v>
      </c>
      <c r="D2486" s="33" t="s">
        <v>7653</v>
      </c>
      <c r="E2486" s="74"/>
      <c r="F2486" s="46" t="s">
        <v>2793</v>
      </c>
      <c r="G2486" s="75"/>
      <c r="H2486" s="98" t="str">
        <f>HYPERLINK("http://mirror.ff7data.com.ar/ff7/data/minigame/high-us.lgp/jbaa.rsd.png","View Picture")</f>
        <v>View Picture</v>
      </c>
      <c r="K2486" s="43"/>
    </row>
    <row r="2487">
      <c r="A2487" s="55"/>
      <c r="B2487" s="33" t="s">
        <v>24805</v>
      </c>
      <c r="C2487" s="42">
        <v>201.0</v>
      </c>
      <c r="D2487" s="31"/>
      <c r="E2487" s="74"/>
      <c r="F2487" s="46" t="s">
        <v>2793</v>
      </c>
      <c r="G2487" s="75"/>
      <c r="H2487" s="98" t="str">
        <f>HYPERLINK("http://mirror.ff7data.com.ar/ff7/data/minigame/high-us.lgp/jcaa.rsd.png","View Picture")</f>
        <v>View Picture</v>
      </c>
      <c r="K2487" s="43"/>
    </row>
    <row r="2488">
      <c r="A2488" s="84"/>
      <c r="B2488" s="33" t="s">
        <v>24815</v>
      </c>
      <c r="C2488" s="42">
        <v>1580.0</v>
      </c>
      <c r="D2488" s="33" t="s">
        <v>23720</v>
      </c>
      <c r="E2488" s="74"/>
      <c r="F2488" s="46" t="s">
        <v>2775</v>
      </c>
      <c r="G2488" s="75"/>
      <c r="H2488" s="98" t="str">
        <f>HYPERLINK("http://mirror.ff7data.com.ar/ff7/data/minigame/high-us.lgp/jdaa.p.png","View Picture")</f>
        <v>View Picture</v>
      </c>
      <c r="K2488" s="43"/>
    </row>
    <row r="2489">
      <c r="A2489" s="55"/>
      <c r="B2489" s="33" t="s">
        <v>24824</v>
      </c>
      <c r="C2489" s="42">
        <v>213.0</v>
      </c>
      <c r="D2489" s="31"/>
      <c r="E2489" s="74"/>
      <c r="F2489" s="46" t="s">
        <v>2793</v>
      </c>
      <c r="G2489" s="75"/>
      <c r="H2489" s="98" t="str">
        <f>HYPERLINK("http://mirror.ff7data.com.ar/ff7/data/minigame/high-us.lgp/jeaa.rsd.png","View Picture")</f>
        <v>View Picture</v>
      </c>
      <c r="K2489" s="43"/>
    </row>
    <row r="2490">
      <c r="A2490" s="55"/>
      <c r="B2490" s="33" t="s">
        <v>24834</v>
      </c>
      <c r="C2490" s="42">
        <v>285.0</v>
      </c>
      <c r="D2490" s="31"/>
      <c r="E2490" s="74"/>
      <c r="F2490" s="46" t="s">
        <v>2793</v>
      </c>
      <c r="G2490" s="75"/>
      <c r="H2490" s="98" t="str">
        <f>HYPERLINK("http://mirror.ff7data.com.ar/ff7/data/minigame/high-us.lgp/jfaa.rsd.png","View Picture")</f>
        <v>View Picture</v>
      </c>
      <c r="K2490" s="43"/>
    </row>
    <row r="2491">
      <c r="A2491" s="55"/>
      <c r="B2491" s="33" t="s">
        <v>24845</v>
      </c>
      <c r="C2491" s="42">
        <v>27564.0</v>
      </c>
      <c r="D2491" s="31"/>
      <c r="E2491" s="74"/>
      <c r="F2491" s="46" t="s">
        <v>3366</v>
      </c>
      <c r="G2491" s="75"/>
      <c r="H2491" s="122"/>
      <c r="K2491" s="43"/>
    </row>
    <row r="2492">
      <c r="A2492" s="55"/>
      <c r="B2492" s="33" t="s">
        <v>24849</v>
      </c>
      <c r="C2492" s="42">
        <v>8676.0</v>
      </c>
      <c r="D2492" s="31"/>
      <c r="E2492" s="74"/>
      <c r="F2492" s="46" t="s">
        <v>3366</v>
      </c>
      <c r="G2492" s="75"/>
      <c r="H2492" s="122"/>
      <c r="K2492" s="43"/>
    </row>
    <row r="2493">
      <c r="A2493" s="55"/>
      <c r="B2493" s="33" t="s">
        <v>24852</v>
      </c>
      <c r="C2493" s="42">
        <v>892.0</v>
      </c>
      <c r="D2493" s="31"/>
      <c r="E2493" s="74"/>
      <c r="F2493" s="46" t="s">
        <v>2775</v>
      </c>
      <c r="G2493" s="75"/>
      <c r="H2493" s="98" t="str">
        <f>HYPERLINK("http://mirror.ff7data.com.ar/ff7/data/minigame/high-us.lgp/jiaa.p.png","View Picture")</f>
        <v>View Picture</v>
      </c>
      <c r="K2493" s="43"/>
    </row>
    <row r="2494">
      <c r="A2494" s="55"/>
      <c r="B2494" s="33" t="s">
        <v>24863</v>
      </c>
      <c r="C2494" s="42">
        <v>10284.0</v>
      </c>
      <c r="D2494" s="31"/>
      <c r="E2494" s="74"/>
      <c r="F2494" s="46" t="s">
        <v>2775</v>
      </c>
      <c r="G2494" s="75"/>
      <c r="H2494" s="98" t="str">
        <f>HYPERLINK("http://mirror.ff7data.com.ar/ff7/data/minigame/high-us.lgp/jjaa.p.png","View Picture")</f>
        <v>View Picture</v>
      </c>
      <c r="K2494" s="43"/>
    </row>
    <row r="2495">
      <c r="A2495" s="55"/>
      <c r="B2495" s="33" t="s">
        <v>24873</v>
      </c>
      <c r="C2495" s="42">
        <v>972.0</v>
      </c>
      <c r="D2495" s="31"/>
      <c r="E2495" s="74"/>
      <c r="F2495" s="46" t="s">
        <v>2775</v>
      </c>
      <c r="G2495" s="75"/>
      <c r="H2495" s="98" t="str">
        <f>HYPERLINK("http://mirror.ff7data.com.ar/ff7/data/minigame/high-us.lgp/jkaa.p.png","View Picture")</f>
        <v>View Picture</v>
      </c>
      <c r="K2495" s="43"/>
    </row>
    <row r="2496">
      <c r="A2496" s="55"/>
      <c r="B2496" s="33" t="s">
        <v>24883</v>
      </c>
      <c r="C2496" s="42">
        <v>6936.0</v>
      </c>
      <c r="D2496" s="31"/>
      <c r="E2496" s="74"/>
      <c r="F2496" s="46" t="s">
        <v>2775</v>
      </c>
      <c r="G2496" s="75"/>
      <c r="H2496" s="98" t="str">
        <f>HYPERLINK("http://mirror.ff7data.com.ar/ff7/data/minigame/high-us.lgp/jlaa.p.png","View Picture")</f>
        <v>View Picture</v>
      </c>
      <c r="K2496" s="43"/>
    </row>
    <row r="2497">
      <c r="A2497" s="55"/>
      <c r="B2497" s="33" t="s">
        <v>24908</v>
      </c>
      <c r="C2497" s="42">
        <v>3552.0</v>
      </c>
      <c r="D2497" s="31"/>
      <c r="E2497" s="74"/>
      <c r="F2497" s="46" t="s">
        <v>2775</v>
      </c>
      <c r="G2497" s="75"/>
      <c r="H2497" s="98" t="str">
        <f>HYPERLINK("http://mirror.ff7data.com.ar/ff7/data/minigame/high-us.lgp/jmaa.p.png","View Picture")</f>
        <v>View Picture</v>
      </c>
      <c r="K2497" s="43"/>
    </row>
    <row r="2498">
      <c r="A2498" s="55"/>
      <c r="B2498" s="33" t="s">
        <v>24917</v>
      </c>
      <c r="C2498" s="42">
        <v>280.0</v>
      </c>
      <c r="D2498" s="31"/>
      <c r="E2498" s="74"/>
      <c r="F2498" s="46" t="s">
        <v>2793</v>
      </c>
      <c r="G2498" s="75"/>
      <c r="H2498" s="98" t="str">
        <f>HYPERLINK("http://mirror.ff7data.com.ar/ff7/data/minigame/high-us.lgp/jnaa.rsd.png","View Picture")</f>
        <v>View Picture</v>
      </c>
      <c r="K2498" s="43"/>
    </row>
    <row r="2499">
      <c r="A2499" s="55"/>
      <c r="B2499" s="33" t="s">
        <v>24926</v>
      </c>
      <c r="C2499" s="42">
        <v>286.0</v>
      </c>
      <c r="D2499" s="31"/>
      <c r="E2499" s="74"/>
      <c r="F2499" s="46" t="s">
        <v>2793</v>
      </c>
      <c r="G2499" s="75"/>
      <c r="H2499" s="98" t="str">
        <f>HYPERLINK("http://mirror.ff7data.com.ar/ff7/data/minigame/high-us.lgp/joaa.rsd.png","View Picture")</f>
        <v>View Picture</v>
      </c>
      <c r="K2499" s="43"/>
    </row>
    <row r="2500">
      <c r="A2500" s="55"/>
      <c r="B2500" s="33" t="s">
        <v>24935</v>
      </c>
      <c r="C2500" s="42">
        <v>7344.0</v>
      </c>
      <c r="D2500" s="31"/>
      <c r="E2500" s="74"/>
      <c r="F2500" s="46" t="s">
        <v>2775</v>
      </c>
      <c r="G2500" s="75"/>
      <c r="H2500" s="98" t="str">
        <f>HYPERLINK("http://mirror.ff7data.com.ar/ff7/data/minigame/high-us.lgp/jpaa.p.png","View Picture")</f>
        <v>View Picture</v>
      </c>
      <c r="K2500" s="43"/>
    </row>
    <row r="2501">
      <c r="A2501" s="55"/>
      <c r="B2501" s="33" t="s">
        <v>24942</v>
      </c>
      <c r="C2501" s="42">
        <v>8892.0</v>
      </c>
      <c r="D2501" s="31"/>
      <c r="E2501" s="74"/>
      <c r="F2501" s="46" t="s">
        <v>2775</v>
      </c>
      <c r="G2501" s="75"/>
      <c r="H2501" s="98" t="str">
        <f>HYPERLINK("http://mirror.ff7data.com.ar/ff7/data/minigame/high-us.lgp/jqaa.p.png","View Picture")</f>
        <v>View Picture</v>
      </c>
      <c r="K2501" s="43"/>
    </row>
    <row r="2502">
      <c r="A2502" s="55"/>
      <c r="B2502" s="33" t="s">
        <v>24949</v>
      </c>
      <c r="C2502" s="42">
        <v>996.0</v>
      </c>
      <c r="D2502" s="31"/>
      <c r="E2502" s="74"/>
      <c r="F2502" s="46" t="s">
        <v>2775</v>
      </c>
      <c r="G2502" s="75"/>
      <c r="H2502" s="98" t="str">
        <f>HYPERLINK("http://mirror.ff7data.com.ar/ff7/data/minigame/high-us.lgp/jraa.p.png","View Picture")</f>
        <v>View Picture</v>
      </c>
      <c r="K2502" s="43"/>
    </row>
    <row r="2503">
      <c r="A2503" s="55"/>
      <c r="B2503" s="33" t="s">
        <v>24956</v>
      </c>
      <c r="C2503" s="42">
        <v>576.0</v>
      </c>
      <c r="D2503" s="31"/>
      <c r="E2503" s="74"/>
      <c r="F2503" s="46" t="s">
        <v>2775</v>
      </c>
      <c r="G2503" s="75"/>
      <c r="H2503" s="98" t="str">
        <f>HYPERLINK("http://mirror.ff7data.com.ar/ff7/data/minigame/high-us.lgp/jsaa.p.png","View Picture")</f>
        <v>View Picture</v>
      </c>
      <c r="K2503" s="43"/>
    </row>
    <row r="2504">
      <c r="A2504" s="55"/>
      <c r="B2504" s="33" t="s">
        <v>24964</v>
      </c>
      <c r="C2504" s="42">
        <v>320.0</v>
      </c>
      <c r="D2504" s="31"/>
      <c r="E2504" s="74"/>
      <c r="F2504" s="46" t="s">
        <v>2793</v>
      </c>
      <c r="G2504" s="75"/>
      <c r="H2504" s="98" t="str">
        <f>HYPERLINK("http://mirror.ff7data.com.ar/ff7/data/minigame/high-us.lgp/jtaa.rsd.png","View Picture")</f>
        <v>View Picture</v>
      </c>
      <c r="K2504" s="43"/>
    </row>
    <row r="2505" ht="25.5" customHeight="1">
      <c r="A2505" s="21"/>
      <c r="B2505" s="33" t="s">
        <v>24970</v>
      </c>
      <c r="C2505" s="42">
        <v>34028.0</v>
      </c>
      <c r="D2505" s="33" t="s">
        <v>24973</v>
      </c>
      <c r="E2505" s="74"/>
      <c r="F2505" s="46" t="s">
        <v>1348</v>
      </c>
      <c r="G2505" s="75"/>
      <c r="H2505" s="98" t="str">
        <f>HYPERLINK("http://mirror.ff7data.com.ar/ff7/data/minigame/high-us.lgp/juaa.tex.png","EN")</f>
        <v>EN</v>
      </c>
      <c r="I2505" s="98" t="str">
        <f>HYPERLINK("http://mirror.ff7data.com.ar/ff7/es/high-sp/juaa.tex.png","ES")</f>
        <v>ES</v>
      </c>
      <c r="J2505" s="98" t="str">
        <f>HYPERLINK("http://s2.noelshack.com/old/up/juaatex-4d70f4c428.bmp","FR")</f>
        <v>FR</v>
      </c>
      <c r="K2505" s="43"/>
    </row>
    <row r="2506">
      <c r="A2506" s="55"/>
      <c r="B2506" s="33" t="s">
        <v>24990</v>
      </c>
      <c r="C2506" s="42">
        <v>576.0</v>
      </c>
      <c r="D2506" s="31"/>
      <c r="E2506" s="74"/>
      <c r="F2506" s="46" t="s">
        <v>2775</v>
      </c>
      <c r="G2506" s="75"/>
      <c r="H2506" s="98" t="str">
        <f>HYPERLINK("http://mirror.ff7data.com.ar/ff7/data/minigame/high-us.lgp/kaaa.p.png","View Picture")</f>
        <v>View Picture</v>
      </c>
      <c r="K2506" s="43"/>
    </row>
    <row r="2507">
      <c r="A2507" s="21"/>
      <c r="B2507" s="33" t="s">
        <v>25000</v>
      </c>
      <c r="C2507" s="42">
        <v>976.0</v>
      </c>
      <c r="D2507" s="33" t="s">
        <v>7653</v>
      </c>
      <c r="E2507" s="74"/>
      <c r="F2507" s="46" t="s">
        <v>2775</v>
      </c>
      <c r="G2507" s="75"/>
      <c r="H2507" s="98" t="str">
        <f>HYPERLINK("http://mirror.ff7data.com.ar/ff7/data/minigame/high-us.lgp/kbaa.p.png","View Picture")</f>
        <v>View Picture</v>
      </c>
      <c r="K2507" s="43"/>
    </row>
    <row r="2508">
      <c r="A2508" s="55"/>
      <c r="B2508" s="33" t="s">
        <v>25010</v>
      </c>
      <c r="C2508" s="42">
        <v>1556.0</v>
      </c>
      <c r="D2508" s="31"/>
      <c r="E2508" s="74"/>
      <c r="F2508" s="46" t="s">
        <v>2775</v>
      </c>
      <c r="G2508" s="75"/>
      <c r="H2508" s="98" t="str">
        <f>HYPERLINK("http://mirror.ff7data.com.ar/ff7/data/minigame/high-us.lgp/kcaa.p.png","View Picture")</f>
        <v>View Picture</v>
      </c>
      <c r="K2508" s="43"/>
    </row>
    <row r="2509">
      <c r="A2509" s="55"/>
      <c r="B2509" s="33" t="s">
        <v>25019</v>
      </c>
      <c r="C2509" s="42">
        <v>286.0</v>
      </c>
      <c r="D2509" s="31"/>
      <c r="E2509" s="74"/>
      <c r="F2509" s="46" t="s">
        <v>2793</v>
      </c>
      <c r="G2509" s="75"/>
      <c r="H2509" s="98" t="str">
        <f>HYPERLINK("http://mirror.ff7data.com.ar/ff7/data/minigame/high-us.lgp/kdaa.rsd.png","View Picture")</f>
        <v>View Picture</v>
      </c>
      <c r="K2509" s="43"/>
    </row>
    <row r="2510">
      <c r="A2510" s="55"/>
      <c r="B2510" s="33" t="s">
        <v>25028</v>
      </c>
      <c r="C2510" s="42">
        <v>616.0</v>
      </c>
      <c r="D2510" s="31"/>
      <c r="E2510" s="74"/>
      <c r="F2510" s="46" t="s">
        <v>2775</v>
      </c>
      <c r="G2510" s="75"/>
      <c r="H2510" s="98" t="str">
        <f>HYPERLINK("http://mirror.ff7data.com.ar/ff7/data/minigame/high-us.lgp/keaa.p.png","View Picture")</f>
        <v>View Picture</v>
      </c>
      <c r="K2510" s="43"/>
    </row>
    <row r="2511">
      <c r="A2511" s="55"/>
      <c r="B2511" s="33" t="s">
        <v>25037</v>
      </c>
      <c r="C2511" s="42">
        <v>1328.0</v>
      </c>
      <c r="D2511" s="31"/>
      <c r="E2511" s="74"/>
      <c r="F2511" s="46" t="s">
        <v>2775</v>
      </c>
      <c r="G2511" s="75"/>
      <c r="H2511" s="98" t="str">
        <f>HYPERLINK("http://mirror.ff7data.com.ar/ff7/data/minigame/high-us.lgp/kfaa.p.png","View Picture")</f>
        <v>View Picture</v>
      </c>
      <c r="K2511" s="43"/>
    </row>
    <row r="2512">
      <c r="A2512" s="55"/>
      <c r="B2512" s="33" t="s">
        <v>25045</v>
      </c>
      <c r="C2512" s="42">
        <v>4836.0</v>
      </c>
      <c r="D2512" s="31"/>
      <c r="E2512" s="74"/>
      <c r="F2512" s="46" t="s">
        <v>3366</v>
      </c>
      <c r="G2512" s="75"/>
      <c r="H2512" s="122"/>
      <c r="K2512" s="43"/>
    </row>
    <row r="2513">
      <c r="A2513" s="55"/>
      <c r="B2513" s="33" t="s">
        <v>25050</v>
      </c>
      <c r="C2513" s="42">
        <v>8676.0</v>
      </c>
      <c r="D2513" s="31"/>
      <c r="E2513" s="74"/>
      <c r="F2513" s="46" t="s">
        <v>3366</v>
      </c>
      <c r="G2513" s="75"/>
      <c r="H2513" s="122"/>
      <c r="K2513" s="43"/>
    </row>
    <row r="2514">
      <c r="A2514" s="21"/>
      <c r="B2514" s="33" t="s">
        <v>25052</v>
      </c>
      <c r="C2514" s="42">
        <v>1324.0</v>
      </c>
      <c r="D2514" s="33" t="s">
        <v>25054</v>
      </c>
      <c r="E2514" s="74"/>
      <c r="F2514" s="46" t="s">
        <v>1348</v>
      </c>
      <c r="G2514" s="75"/>
      <c r="H2514" s="98" t="str">
        <f>HYPERLINK("http://mirror.ff7data.com.ar/ff7/data/minigame/high-us.lgp/kiaa.tex.png","View Picture")</f>
        <v>View Picture</v>
      </c>
      <c r="K2514" s="43"/>
    </row>
    <row r="2515">
      <c r="A2515" s="55"/>
      <c r="B2515" s="33" t="s">
        <v>25063</v>
      </c>
      <c r="C2515" s="42">
        <v>283.0</v>
      </c>
      <c r="D2515" s="31"/>
      <c r="E2515" s="74"/>
      <c r="F2515" s="46" t="s">
        <v>2793</v>
      </c>
      <c r="G2515" s="75"/>
      <c r="H2515" s="98" t="str">
        <f>HYPERLINK("http://mirror.ff7data.com.ar/ff7/data/minigame/high-us.lgp/kjaa.rsd.png","View Picture")</f>
        <v>View Picture</v>
      </c>
      <c r="K2515" s="43"/>
    </row>
    <row r="2516">
      <c r="A2516" s="55"/>
      <c r="B2516" s="33" t="s">
        <v>25074</v>
      </c>
      <c r="C2516" s="42">
        <v>283.0</v>
      </c>
      <c r="D2516" s="31"/>
      <c r="E2516" s="74"/>
      <c r="F2516" s="46" t="s">
        <v>2793</v>
      </c>
      <c r="G2516" s="75"/>
      <c r="H2516" s="98" t="str">
        <f>HYPERLINK("http://mirror.ff7data.com.ar/ff7/data/minigame/high-us.lgp/kkaa.rsd.png","View Picture")</f>
        <v>View Picture</v>
      </c>
      <c r="K2516" s="43"/>
    </row>
    <row r="2517">
      <c r="A2517" s="55"/>
      <c r="B2517" s="33" t="s">
        <v>25085</v>
      </c>
      <c r="C2517" s="42">
        <v>283.0</v>
      </c>
      <c r="D2517" s="31"/>
      <c r="E2517" s="74"/>
      <c r="F2517" s="46" t="s">
        <v>2793</v>
      </c>
      <c r="G2517" s="75"/>
      <c r="H2517" s="98" t="str">
        <f>HYPERLINK("http://mirror.ff7data.com.ar/ff7/data/minigame/high-us.lgp/klaa.rsd.png","View Picture")</f>
        <v>View Picture</v>
      </c>
      <c r="K2517" s="43"/>
    </row>
    <row r="2518">
      <c r="A2518" s="55"/>
      <c r="B2518" s="33" t="s">
        <v>25097</v>
      </c>
      <c r="C2518" s="42">
        <v>286.0</v>
      </c>
      <c r="D2518" s="31"/>
      <c r="E2518" s="74"/>
      <c r="F2518" s="46" t="s">
        <v>2793</v>
      </c>
      <c r="G2518" s="75"/>
      <c r="H2518" s="98" t="str">
        <f>HYPERLINK("http://mirror.ff7data.com.ar/ff7/data/minigame/high-us.lgp/kmaa.rsd.png","View Picture")</f>
        <v>View Picture</v>
      </c>
      <c r="K2518" s="43"/>
    </row>
    <row r="2519">
      <c r="A2519" s="55"/>
      <c r="B2519" s="33" t="s">
        <v>25105</v>
      </c>
      <c r="C2519" s="42">
        <v>3536.0</v>
      </c>
      <c r="D2519" s="31"/>
      <c r="E2519" s="74"/>
      <c r="F2519" s="46" t="s">
        <v>2775</v>
      </c>
      <c r="G2519" s="75"/>
      <c r="H2519" s="98" t="str">
        <f>HYPERLINK("http://mirror.ff7data.com.ar/ff7/data/minigame/high-us.lgp/knaa.p.png","View Picture")</f>
        <v>View Picture</v>
      </c>
      <c r="K2519" s="43"/>
    </row>
    <row r="2520">
      <c r="A2520" s="55"/>
      <c r="B2520" s="33" t="s">
        <v>25114</v>
      </c>
      <c r="C2520" s="42">
        <v>3576.0</v>
      </c>
      <c r="D2520" s="31"/>
      <c r="E2520" s="74"/>
      <c r="F2520" s="46" t="s">
        <v>2775</v>
      </c>
      <c r="G2520" s="75"/>
      <c r="H2520" s="98" t="str">
        <f>HYPERLINK("http://mirror.ff7data.com.ar/ff7/data/minigame/high-us.lgp/koaa.p.png","View Picture")</f>
        <v>View Picture</v>
      </c>
      <c r="K2520" s="43"/>
    </row>
    <row r="2521">
      <c r="A2521" s="55"/>
      <c r="B2521" s="33" t="s">
        <v>25124</v>
      </c>
      <c r="C2521" s="42">
        <v>289.0</v>
      </c>
      <c r="D2521" s="31"/>
      <c r="E2521" s="74"/>
      <c r="F2521" s="46" t="s">
        <v>2793</v>
      </c>
      <c r="G2521" s="75"/>
      <c r="H2521" s="98" t="str">
        <f>HYPERLINK("http://mirror.ff7data.com.ar/ff7/data/minigame/high-us.lgp/kpaa.rsd.png","View Picture")</f>
        <v>View Picture</v>
      </c>
      <c r="K2521" s="43"/>
    </row>
    <row r="2522">
      <c r="A2522" s="55"/>
      <c r="B2522" s="33" t="s">
        <v>25134</v>
      </c>
      <c r="C2522" s="42">
        <v>286.0</v>
      </c>
      <c r="D2522" s="31"/>
      <c r="E2522" s="74"/>
      <c r="F2522" s="46" t="s">
        <v>2793</v>
      </c>
      <c r="G2522" s="75"/>
      <c r="H2522" s="98" t="str">
        <f>HYPERLINK("http://mirror.ff7data.com.ar/ff7/data/minigame/high-us.lgp/kqaa.rsd.png","View Picture")</f>
        <v>View Picture</v>
      </c>
      <c r="K2522" s="43"/>
    </row>
    <row r="2523">
      <c r="A2523" s="55"/>
      <c r="B2523" s="33" t="s">
        <v>25143</v>
      </c>
      <c r="C2523" s="42">
        <v>286.0</v>
      </c>
      <c r="D2523" s="31"/>
      <c r="E2523" s="74"/>
      <c r="F2523" s="46" t="s">
        <v>2793</v>
      </c>
      <c r="G2523" s="75"/>
      <c r="H2523" s="98" t="str">
        <f>HYPERLINK("http://mirror.ff7data.com.ar/ff7/data/minigame/high-us.lgp/kraa.rsd.png","View Picture")</f>
        <v>View Picture</v>
      </c>
      <c r="K2523" s="43"/>
    </row>
    <row r="2524">
      <c r="A2524" s="55"/>
      <c r="B2524" s="33" t="s">
        <v>25154</v>
      </c>
      <c r="C2524" s="42">
        <v>289.0</v>
      </c>
      <c r="D2524" s="31"/>
      <c r="E2524" s="74"/>
      <c r="F2524" s="46" t="s">
        <v>2793</v>
      </c>
      <c r="G2524" s="75"/>
      <c r="H2524" s="98" t="str">
        <f>HYPERLINK("http://mirror.ff7data.com.ar/ff7/data/minigame/high-us.lgp/ksaa.rsd.png","View Picture")</f>
        <v>View Picture</v>
      </c>
      <c r="K2524" s="43"/>
    </row>
    <row r="2525">
      <c r="A2525" s="55"/>
      <c r="B2525" s="33" t="s">
        <v>25161</v>
      </c>
      <c r="C2525" s="42">
        <v>892.0</v>
      </c>
      <c r="D2525" s="31"/>
      <c r="E2525" s="74"/>
      <c r="F2525" s="46" t="s">
        <v>2775</v>
      </c>
      <c r="G2525" s="75"/>
      <c r="H2525" s="98" t="str">
        <f>HYPERLINK("http://mirror.ff7data.com.ar/ff7/data/minigame/high-us.lgp/ktaa.p.png","View Picture")</f>
        <v>View Picture</v>
      </c>
      <c r="K2525" s="43"/>
    </row>
    <row r="2526">
      <c r="A2526" s="55"/>
      <c r="B2526" s="33" t="s">
        <v>25172</v>
      </c>
      <c r="C2526" s="42">
        <v>17644.0</v>
      </c>
      <c r="D2526" s="31"/>
      <c r="E2526" s="74"/>
      <c r="F2526" s="46" t="s">
        <v>1348</v>
      </c>
      <c r="G2526" s="75"/>
      <c r="H2526" s="98" t="str">
        <f>HYPERLINK("http://mirror.ff7data.com.ar/ff7/data/minigame/high-us.lgp/kuaa.tex.png","View Picture")</f>
        <v>View Picture</v>
      </c>
      <c r="K2526" s="43"/>
    </row>
    <row r="2527">
      <c r="A2527" s="55"/>
      <c r="B2527" s="33" t="s">
        <v>25192</v>
      </c>
      <c r="C2527" s="42">
        <v>213.0</v>
      </c>
      <c r="D2527" s="31"/>
      <c r="E2527" s="74"/>
      <c r="F2527" s="46" t="s">
        <v>2793</v>
      </c>
      <c r="G2527" s="75"/>
      <c r="H2527" s="98" t="str">
        <f>HYPERLINK("http://mirror.ff7data.com.ar/ff7/data/minigame/high-us.lgp/laaa.rsd.png","View Picture")</f>
        <v>View Picture</v>
      </c>
      <c r="K2527" s="43"/>
    </row>
    <row r="2528">
      <c r="A2528" s="21"/>
      <c r="B2528" s="33" t="s">
        <v>25200</v>
      </c>
      <c r="C2528" s="42">
        <v>213.0</v>
      </c>
      <c r="D2528" s="33" t="s">
        <v>7656</v>
      </c>
      <c r="E2528" s="74"/>
      <c r="F2528" s="46" t="s">
        <v>2793</v>
      </c>
      <c r="G2528" s="75"/>
      <c r="H2528" s="98" t="str">
        <f>HYPERLINK("http://mirror.ff7data.com.ar/ff7/data/minigame/high-us.lgp/lbaa.rsd.png","View Picture")</f>
        <v>View Picture</v>
      </c>
      <c r="K2528" s="43"/>
    </row>
    <row r="2529">
      <c r="A2529" s="55"/>
      <c r="B2529" s="33" t="s">
        <v>25213</v>
      </c>
      <c r="C2529" s="42">
        <v>207.0</v>
      </c>
      <c r="D2529" s="31"/>
      <c r="E2529" s="74"/>
      <c r="F2529" s="46" t="s">
        <v>2793</v>
      </c>
      <c r="G2529" s="75"/>
      <c r="H2529" s="98" t="str">
        <f>HYPERLINK("http://mirror.ff7data.com.ar/ff7/data/minigame/high-us.lgp/lcaa.rsd.png","View Picture")</f>
        <v>View Picture</v>
      </c>
      <c r="K2529" s="43"/>
    </row>
    <row r="2530">
      <c r="A2530" s="55"/>
      <c r="B2530" s="33" t="s">
        <v>25224</v>
      </c>
      <c r="C2530" s="42">
        <v>1584.0</v>
      </c>
      <c r="D2530" s="31"/>
      <c r="E2530" s="74"/>
      <c r="F2530" s="46" t="s">
        <v>2775</v>
      </c>
      <c r="G2530" s="75"/>
      <c r="H2530" s="98" t="str">
        <f>HYPERLINK("http://mirror.ff7data.com.ar/ff7/data/minigame/high-us.lgp/ldaa.p.png","View Picture")</f>
        <v>View Picture</v>
      </c>
      <c r="K2530" s="43"/>
    </row>
    <row r="2531">
      <c r="A2531" s="55"/>
      <c r="B2531" s="33" t="s">
        <v>25238</v>
      </c>
      <c r="C2531" s="42">
        <v>213.0</v>
      </c>
      <c r="D2531" s="31"/>
      <c r="E2531" s="74"/>
      <c r="F2531" s="46" t="s">
        <v>2793</v>
      </c>
      <c r="G2531" s="75"/>
      <c r="H2531" s="98" t="str">
        <f>HYPERLINK("http://mirror.ff7data.com.ar/ff7/data/minigame/high-us.lgp/leaa.rsd.png","View Picture")</f>
        <v>View Picture</v>
      </c>
      <c r="K2531" s="43"/>
    </row>
    <row r="2532">
      <c r="A2532" s="55"/>
      <c r="B2532" s="33" t="s">
        <v>25246</v>
      </c>
      <c r="C2532" s="42">
        <v>285.0</v>
      </c>
      <c r="D2532" s="31"/>
      <c r="E2532" s="74"/>
      <c r="F2532" s="46" t="s">
        <v>2793</v>
      </c>
      <c r="G2532" s="75"/>
      <c r="H2532" s="98" t="str">
        <f>HYPERLINK("http://mirror.ff7data.com.ar/ff7/data/minigame/high-us.lgp/lfaa.rsd.png","View Picture")</f>
        <v>View Picture</v>
      </c>
      <c r="K2532" s="43"/>
    </row>
    <row r="2533">
      <c r="A2533" s="55"/>
      <c r="B2533" s="33" t="s">
        <v>25254</v>
      </c>
      <c r="C2533" s="42">
        <v>1656.0</v>
      </c>
      <c r="D2533" s="31"/>
      <c r="E2533" s="74"/>
      <c r="F2533" s="46" t="s">
        <v>3366</v>
      </c>
      <c r="G2533" s="75"/>
      <c r="H2533" s="122"/>
      <c r="K2533" s="43"/>
    </row>
    <row r="2534">
      <c r="A2534" s="55"/>
      <c r="B2534" s="33" t="s">
        <v>25257</v>
      </c>
      <c r="C2534" s="42">
        <v>1332.0</v>
      </c>
      <c r="D2534" s="31"/>
      <c r="E2534" s="74"/>
      <c r="F2534" s="46" t="s">
        <v>3366</v>
      </c>
      <c r="G2534" s="75"/>
      <c r="H2534" s="122"/>
      <c r="K2534" s="43"/>
    </row>
    <row r="2535">
      <c r="A2535" s="55"/>
      <c r="B2535" s="33" t="s">
        <v>25259</v>
      </c>
      <c r="C2535" s="42">
        <v>8492.0</v>
      </c>
      <c r="D2535" s="31"/>
      <c r="E2535" s="74"/>
      <c r="F2535" s="46" t="s">
        <v>1348</v>
      </c>
      <c r="G2535" s="75"/>
      <c r="H2535" s="98" t="str">
        <f>HYPERLINK("http://mirror.ff7data.com.ar/ff7/data/minigame/high-us.lgp/liaa.tex.png","View Picture")</f>
        <v>View Picture</v>
      </c>
      <c r="K2535" s="43"/>
    </row>
    <row r="2536">
      <c r="A2536" s="55"/>
      <c r="B2536" s="33" t="s">
        <v>25267</v>
      </c>
      <c r="C2536" s="42">
        <v>4424.0</v>
      </c>
      <c r="D2536" s="31"/>
      <c r="E2536" s="74"/>
      <c r="F2536" s="46" t="s">
        <v>2775</v>
      </c>
      <c r="G2536" s="75"/>
      <c r="H2536" s="98" t="str">
        <f>HYPERLINK("http://mirror.ff7data.com.ar/ff7/data/minigame/high-us.lgp/ljaa.p.png","View Picture")</f>
        <v>View Picture</v>
      </c>
      <c r="K2536" s="43"/>
    </row>
    <row r="2537">
      <c r="A2537" s="55"/>
      <c r="B2537" s="33" t="s">
        <v>25277</v>
      </c>
      <c r="C2537" s="42">
        <v>13720.0</v>
      </c>
      <c r="D2537" s="31"/>
      <c r="E2537" s="74"/>
      <c r="F2537" s="46" t="s">
        <v>2775</v>
      </c>
      <c r="G2537" s="75"/>
      <c r="H2537" s="98" t="str">
        <f>HYPERLINK("http://mirror.ff7data.com.ar/ff7/data/minigame/high-us.lgp/lkaa.p.png","View Picture")</f>
        <v>View Picture</v>
      </c>
      <c r="K2537" s="43"/>
    </row>
    <row r="2538">
      <c r="A2538" s="55"/>
      <c r="B2538" s="33" t="s">
        <v>25283</v>
      </c>
      <c r="C2538" s="42">
        <v>9452.0</v>
      </c>
      <c r="D2538" s="31"/>
      <c r="E2538" s="74"/>
      <c r="F2538" s="46" t="s">
        <v>2775</v>
      </c>
      <c r="G2538" s="75"/>
      <c r="H2538" s="98" t="str">
        <f>HYPERLINK("http://mirror.ff7data.com.ar/ff7/data/minigame/high-us.lgp/llaa.p.png","View Picture")</f>
        <v>View Picture</v>
      </c>
      <c r="K2538" s="43"/>
    </row>
    <row r="2539">
      <c r="A2539" s="55"/>
      <c r="B2539" s="33" t="s">
        <v>25292</v>
      </c>
      <c r="C2539" s="42">
        <v>12696.0</v>
      </c>
      <c r="D2539" s="31"/>
      <c r="E2539" s="74"/>
      <c r="F2539" s="46" t="s">
        <v>2775</v>
      </c>
      <c r="G2539" s="75"/>
      <c r="H2539" s="98" t="str">
        <f>HYPERLINK("http://mirror.ff7data.com.ar/ff7/data/minigame/high-us.lgp/lmaa.p.png","View Picture")</f>
        <v>View Picture</v>
      </c>
      <c r="K2539" s="43"/>
    </row>
    <row r="2540">
      <c r="A2540" s="55"/>
      <c r="B2540" s="33" t="s">
        <v>25300</v>
      </c>
      <c r="C2540" s="42">
        <v>7304.0</v>
      </c>
      <c r="D2540" s="31"/>
      <c r="E2540" s="74"/>
      <c r="F2540" s="46" t="s">
        <v>2793</v>
      </c>
      <c r="G2540" s="75"/>
      <c r="H2540" s="98" t="str">
        <f>HYPERLINK("http://mirror.ff7data.com.ar/ff7/data/minigame/high-us.lgp/lnaa.rsd.png","View Picture")</f>
        <v>View Picture</v>
      </c>
      <c r="K2540" s="43"/>
    </row>
    <row r="2541">
      <c r="A2541" s="55"/>
      <c r="B2541" s="33" t="s">
        <v>25308</v>
      </c>
      <c r="C2541" s="42">
        <v>289.0</v>
      </c>
      <c r="D2541" s="31"/>
      <c r="E2541" s="74"/>
      <c r="F2541" s="46" t="s">
        <v>2793</v>
      </c>
      <c r="G2541" s="75"/>
      <c r="H2541" s="98" t="str">
        <f>HYPERLINK("http://mirror.ff7data.com.ar/ff7/data/minigame/high-us.lgp/loaa.rsd.png","View Picture")</f>
        <v>View Picture</v>
      </c>
      <c r="K2541" s="43"/>
    </row>
    <row r="2542">
      <c r="A2542" s="55"/>
      <c r="B2542" s="33" t="s">
        <v>25319</v>
      </c>
      <c r="C2542" s="42">
        <v>286.0</v>
      </c>
      <c r="D2542" s="31"/>
      <c r="E2542" s="74"/>
      <c r="F2542" s="46" t="s">
        <v>2775</v>
      </c>
      <c r="G2542" s="75"/>
      <c r="H2542" s="98" t="str">
        <f>HYPERLINK("http://mirror.ff7data.com.ar/ff7/data/minigame/high-us.lgp/lpaa.p.png","View Picture")</f>
        <v>View Picture</v>
      </c>
      <c r="K2542" s="43"/>
    </row>
    <row r="2543">
      <c r="A2543" s="55"/>
      <c r="B2543" s="33" t="s">
        <v>25331</v>
      </c>
      <c r="C2543" s="42">
        <v>11264.0</v>
      </c>
      <c r="D2543" s="31"/>
      <c r="E2543" s="74"/>
      <c r="F2543" s="46" t="s">
        <v>2775</v>
      </c>
      <c r="G2543" s="75"/>
      <c r="H2543" s="98" t="str">
        <f>HYPERLINK("http://mirror.ff7data.com.ar/ff7/data/minigame/high-us.lgp/lqaa.p.png","View Picture")</f>
        <v>View Picture</v>
      </c>
      <c r="K2543" s="43"/>
    </row>
    <row r="2544">
      <c r="A2544" s="55"/>
      <c r="B2544" s="33" t="s">
        <v>25340</v>
      </c>
      <c r="C2544" s="42">
        <v>3656.0</v>
      </c>
      <c r="D2544" s="31"/>
      <c r="E2544" s="74"/>
      <c r="F2544" s="46" t="s">
        <v>2775</v>
      </c>
      <c r="G2544" s="75"/>
      <c r="H2544" s="98" t="str">
        <f>HYPERLINK("http://mirror.ff7data.com.ar/ff7/data/minigame/high-us.lgp/lraa.p.png","View Picture")</f>
        <v>View Picture</v>
      </c>
      <c r="K2544" s="43"/>
    </row>
    <row r="2545">
      <c r="A2545" s="55"/>
      <c r="B2545" s="33" t="s">
        <v>25349</v>
      </c>
      <c r="C2545" s="42">
        <v>2368.0</v>
      </c>
      <c r="D2545" s="31"/>
      <c r="E2545" s="74"/>
      <c r="F2545" s="46" t="s">
        <v>2775</v>
      </c>
      <c r="G2545" s="75"/>
      <c r="H2545" s="98" t="str">
        <f>HYPERLINK("http://mirror.ff7data.com.ar/ff7/data/minigame/high-us.lgp/lsaa.p.png","View Picture")</f>
        <v>View Picture</v>
      </c>
      <c r="K2545" s="43"/>
    </row>
    <row r="2546">
      <c r="A2546" s="55"/>
      <c r="B2546" s="33" t="s">
        <v>25357</v>
      </c>
      <c r="C2546" s="42">
        <v>576.0</v>
      </c>
      <c r="D2546" s="31"/>
      <c r="E2546" s="74"/>
      <c r="F2546" s="46" t="s">
        <v>1348</v>
      </c>
      <c r="G2546" s="75"/>
      <c r="H2546" s="98" t="str">
        <f>HYPERLINK("http://mirror.ff7data.com.ar/ff7/data/minigame/high-us.lgp/ltaa.tex.png","View Picture")</f>
        <v>View Picture</v>
      </c>
      <c r="K2546" s="43"/>
    </row>
    <row r="2547">
      <c r="A2547" s="21"/>
      <c r="B2547" s="33" t="s">
        <v>25366</v>
      </c>
      <c r="C2547" s="42">
        <v>4396.0</v>
      </c>
      <c r="D2547" s="33" t="s">
        <v>25367</v>
      </c>
      <c r="E2547" s="74"/>
      <c r="F2547" s="46" t="s">
        <v>1348</v>
      </c>
      <c r="G2547" s="75"/>
      <c r="H2547" s="98" t="str">
        <f>HYPERLINK("http://mirror.ff7data.com.ar/ff7/data/minigame/high-us.lgp/luaa.tex.png","View Picture")</f>
        <v>View Picture</v>
      </c>
      <c r="K2547" s="43"/>
    </row>
    <row r="2548">
      <c r="A2548" s="55"/>
      <c r="B2548" s="33" t="s">
        <v>25376</v>
      </c>
      <c r="C2548" s="42">
        <v>676.0</v>
      </c>
      <c r="D2548" s="31"/>
      <c r="E2548" s="74"/>
      <c r="F2548" s="46" t="s">
        <v>2775</v>
      </c>
      <c r="G2548" s="75"/>
      <c r="H2548" s="98" t="str">
        <f>HYPERLINK("http://mirror.ff7data.com.ar/ff7/data/minigame/high-us.lgp/maaa.p.png","View Picture")</f>
        <v>View Picture</v>
      </c>
      <c r="K2548" s="43"/>
    </row>
    <row r="2549">
      <c r="A2549" s="21"/>
      <c r="B2549" s="33" t="s">
        <v>25384</v>
      </c>
      <c r="C2549" s="42">
        <v>776.0</v>
      </c>
      <c r="D2549" s="33" t="s">
        <v>7656</v>
      </c>
      <c r="E2549" s="74"/>
      <c r="F2549" s="46" t="s">
        <v>2775</v>
      </c>
      <c r="G2549" s="75"/>
      <c r="H2549" s="98" t="str">
        <f>HYPERLINK("http://mirror.ff7data.com.ar/ff7/data/minigame/high-us.lgp/mbaa.p.png","View Picture")</f>
        <v>View Picture</v>
      </c>
      <c r="K2549" s="43"/>
    </row>
    <row r="2550">
      <c r="A2550" s="55"/>
      <c r="B2550" s="33" t="s">
        <v>25391</v>
      </c>
      <c r="C2550" s="42">
        <v>1488.0</v>
      </c>
      <c r="D2550" s="31"/>
      <c r="E2550" s="74"/>
      <c r="F2550" s="46" t="s">
        <v>2775</v>
      </c>
      <c r="G2550" s="75"/>
      <c r="H2550" s="98" t="str">
        <f>HYPERLINK("http://mirror.ff7data.com.ar/ff7/data/minigame/high-us.lgp/mcaa.p.png","View Picture")</f>
        <v>View Picture</v>
      </c>
      <c r="K2550" s="43"/>
    </row>
    <row r="2551">
      <c r="A2551" s="55"/>
      <c r="B2551" s="33" t="s">
        <v>25397</v>
      </c>
      <c r="C2551" s="42">
        <v>289.0</v>
      </c>
      <c r="D2551" s="31"/>
      <c r="E2551" s="74"/>
      <c r="F2551" s="46" t="s">
        <v>2793</v>
      </c>
      <c r="G2551" s="75"/>
      <c r="H2551" s="98" t="str">
        <f>HYPERLINK("http://mirror.ff7data.com.ar/ff7/data/minigame/high-us.lgp/mdaa.rsd.png","View Picture")</f>
        <v>View Picture</v>
      </c>
      <c r="K2551" s="43"/>
    </row>
    <row r="2552">
      <c r="A2552" s="55"/>
      <c r="B2552" s="33" t="s">
        <v>25404</v>
      </c>
      <c r="C2552" s="42">
        <v>616.0</v>
      </c>
      <c r="D2552" s="31"/>
      <c r="E2552" s="74"/>
      <c r="F2552" s="46" t="s">
        <v>2775</v>
      </c>
      <c r="G2552" s="75"/>
      <c r="H2552" s="98" t="str">
        <f>HYPERLINK("http://mirror.ff7data.com.ar/ff7/data/minigame/high-us.lgp/meaa.p.png","View Picture")</f>
        <v>View Picture</v>
      </c>
      <c r="K2552" s="43"/>
    </row>
    <row r="2553">
      <c r="A2553" s="55"/>
      <c r="B2553" s="33" t="s">
        <v>25411</v>
      </c>
      <c r="C2553" s="42">
        <v>3280.0</v>
      </c>
      <c r="D2553" s="31"/>
      <c r="E2553" s="74"/>
      <c r="F2553" s="46" t="s">
        <v>2775</v>
      </c>
      <c r="G2553" s="75"/>
      <c r="H2553" s="98" t="str">
        <f>HYPERLINK("http://mirror.ff7data.com.ar/ff7/data/minigame/high-us.lgp/mfaa.p.png","View Picture")</f>
        <v>View Picture</v>
      </c>
      <c r="K2553" s="43"/>
    </row>
    <row r="2554">
      <c r="A2554" s="55"/>
      <c r="B2554" s="33" t="s">
        <v>25417</v>
      </c>
      <c r="C2554" s="42">
        <v>6696.0</v>
      </c>
      <c r="D2554" s="31"/>
      <c r="E2554" s="74"/>
      <c r="F2554" s="46" t="s">
        <v>3366</v>
      </c>
      <c r="G2554" s="75"/>
      <c r="H2554" s="122"/>
      <c r="K2554" s="43"/>
    </row>
    <row r="2555">
      <c r="A2555" s="55"/>
      <c r="B2555" s="33" t="s">
        <v>25420</v>
      </c>
      <c r="C2555" s="42">
        <v>4356.0</v>
      </c>
      <c r="D2555" s="31"/>
      <c r="E2555" s="74"/>
      <c r="F2555" s="46" t="s">
        <v>3366</v>
      </c>
      <c r="G2555" s="75"/>
      <c r="H2555" s="122"/>
      <c r="K2555" s="43"/>
    </row>
    <row r="2556">
      <c r="A2556" s="55"/>
      <c r="B2556" s="33" t="s">
        <v>25423</v>
      </c>
      <c r="C2556" s="42">
        <v>323.0</v>
      </c>
      <c r="D2556" s="31"/>
      <c r="E2556" s="74"/>
      <c r="F2556" s="46" t="s">
        <v>2793</v>
      </c>
      <c r="G2556" s="75"/>
      <c r="H2556" s="98" t="str">
        <f>HYPERLINK("http://mirror.ff7data.com.ar/ff7/data/minigame/high-us.lgp/miaa.rsd.png","View Picture")</f>
        <v>View Picture</v>
      </c>
      <c r="K2556" s="43"/>
    </row>
    <row r="2557">
      <c r="A2557" s="55"/>
      <c r="B2557" s="33" t="s">
        <v>25432</v>
      </c>
      <c r="C2557" s="42">
        <v>283.0</v>
      </c>
      <c r="D2557" s="31"/>
      <c r="E2557" s="74"/>
      <c r="F2557" s="46" t="s">
        <v>2793</v>
      </c>
      <c r="G2557" s="75"/>
      <c r="H2557" s="98" t="str">
        <f>HYPERLINK("http://mirror.ff7data.com.ar/ff7/data/minigame/high-us.lgp/mjaa.rsd.png","View Picture")</f>
        <v>View Picture</v>
      </c>
      <c r="K2557" s="43"/>
    </row>
    <row r="2558">
      <c r="A2558" s="55"/>
      <c r="B2558" s="33" t="s">
        <v>25442</v>
      </c>
      <c r="C2558" s="42">
        <v>289.0</v>
      </c>
      <c r="D2558" s="31"/>
      <c r="E2558" s="74"/>
      <c r="F2558" s="46" t="s">
        <v>2793</v>
      </c>
      <c r="G2558" s="75"/>
      <c r="H2558" s="98" t="str">
        <f>HYPERLINK("http://mirror.ff7data.com.ar/ff7/data/minigame/high-us.lgp/mkaa.rsd.png","View Picture")</f>
        <v>View Picture</v>
      </c>
      <c r="K2558" s="43"/>
    </row>
    <row r="2559">
      <c r="A2559" s="55"/>
      <c r="B2559" s="33" t="s">
        <v>25450</v>
      </c>
      <c r="C2559" s="42">
        <v>286.0</v>
      </c>
      <c r="D2559" s="31"/>
      <c r="E2559" s="74"/>
      <c r="F2559" s="46" t="s">
        <v>2793</v>
      </c>
      <c r="G2559" s="75"/>
      <c r="H2559" s="98" t="str">
        <f>HYPERLINK("http://mirror.ff7data.com.ar/ff7/data/minigame/high-us.lgp/mlaa.rsd.png","View Picture")</f>
        <v>View Picture</v>
      </c>
      <c r="K2559" s="43"/>
    </row>
    <row r="2560">
      <c r="A2560" s="55"/>
      <c r="B2560" s="33" t="s">
        <v>25459</v>
      </c>
      <c r="C2560" s="42">
        <v>289.0</v>
      </c>
      <c r="D2560" s="31"/>
      <c r="E2560" s="74"/>
      <c r="F2560" s="46" t="s">
        <v>2793</v>
      </c>
      <c r="G2560" s="75"/>
      <c r="H2560" s="98" t="str">
        <f>HYPERLINK("http://mirror.ff7data.com.ar/ff7/data/minigame/high-us.lgp/mmaa.rsd.png","View Picture")</f>
        <v>View Picture</v>
      </c>
      <c r="K2560" s="43"/>
    </row>
    <row r="2561">
      <c r="A2561" s="55"/>
      <c r="B2561" s="33" t="s">
        <v>25469</v>
      </c>
      <c r="C2561" s="42">
        <v>2560.0</v>
      </c>
      <c r="D2561" s="31"/>
      <c r="E2561" s="74"/>
      <c r="F2561" s="46" t="s">
        <v>2775</v>
      </c>
      <c r="G2561" s="75"/>
      <c r="H2561" s="98" t="str">
        <f>HYPERLINK("http://mirror.ff7data.com.ar/ff7/data/minigame/high-us.lgp/mnaa.p.png","View Picture")</f>
        <v>View Picture</v>
      </c>
      <c r="K2561" s="43"/>
    </row>
    <row r="2562">
      <c r="A2562" s="55"/>
      <c r="B2562" s="33" t="s">
        <v>25478</v>
      </c>
      <c r="C2562" s="42">
        <v>4924.0</v>
      </c>
      <c r="D2562" s="31"/>
      <c r="E2562" s="74"/>
      <c r="F2562" s="46" t="s">
        <v>2775</v>
      </c>
      <c r="G2562" s="75"/>
      <c r="H2562" s="98" t="str">
        <f>HYPERLINK("http://mirror.ff7data.com.ar/ff7/data/minigame/high-us.lgp/moaa.p.png","View Picture")</f>
        <v>View Picture</v>
      </c>
      <c r="K2562" s="43"/>
    </row>
    <row r="2563">
      <c r="A2563" s="55"/>
      <c r="B2563" s="33" t="s">
        <v>25487</v>
      </c>
      <c r="C2563" s="42">
        <v>289.0</v>
      </c>
      <c r="D2563" s="31"/>
      <c r="E2563" s="74"/>
      <c r="F2563" s="46" t="s">
        <v>2793</v>
      </c>
      <c r="G2563" s="75"/>
      <c r="H2563" s="98" t="str">
        <f>HYPERLINK("http://mirror.ff7data.com.ar/ff7/data/minigame/high-us.lgp/mpaa.rsd.png","View Picture")</f>
        <v>View Picture</v>
      </c>
      <c r="K2563" s="43"/>
    </row>
    <row r="2564">
      <c r="A2564" s="55"/>
      <c r="B2564" s="33" t="s">
        <v>25495</v>
      </c>
      <c r="C2564" s="42">
        <v>286.0</v>
      </c>
      <c r="D2564" s="31"/>
      <c r="E2564" s="74"/>
      <c r="F2564" s="46" t="s">
        <v>2793</v>
      </c>
      <c r="G2564" s="75"/>
      <c r="H2564" s="98" t="str">
        <f>HYPERLINK("http://mirror.ff7data.com.ar/ff7/data/minigame/high-us.lgp/mqaa.rsd.png","View Picture")</f>
        <v>View Picture</v>
      </c>
      <c r="K2564" s="43"/>
    </row>
    <row r="2565">
      <c r="A2565" s="55"/>
      <c r="B2565" s="33" t="s">
        <v>25505</v>
      </c>
      <c r="C2565" s="42">
        <v>286.0</v>
      </c>
      <c r="D2565" s="31"/>
      <c r="E2565" s="74"/>
      <c r="F2565" s="46" t="s">
        <v>2793</v>
      </c>
      <c r="G2565" s="75"/>
      <c r="H2565" s="98" t="str">
        <f>HYPERLINK("http://mirror.ff7data.com.ar/ff7/data/minigame/high-us.lgp/mraa.rsd.png","View Picture")</f>
        <v>View Picture</v>
      </c>
      <c r="K2565" s="43"/>
    </row>
    <row r="2566">
      <c r="A2566" s="55"/>
      <c r="B2566" s="33" t="s">
        <v>25513</v>
      </c>
      <c r="C2566" s="42">
        <v>303.0</v>
      </c>
      <c r="D2566" s="31"/>
      <c r="E2566" s="74"/>
      <c r="F2566" s="46" t="s">
        <v>2793</v>
      </c>
      <c r="G2566" s="75"/>
      <c r="H2566" s="98" t="str">
        <f>HYPERLINK("http://mirror.ff7data.com.ar/ff7/data/minigame/high-us.lgp/msaa.rsd.png","View Picture")</f>
        <v>View Picture</v>
      </c>
      <c r="K2566" s="43"/>
    </row>
    <row r="2567">
      <c r="A2567" s="55"/>
      <c r="B2567" s="33" t="s">
        <v>25522</v>
      </c>
      <c r="C2567" s="42">
        <v>4396.0</v>
      </c>
      <c r="D2567" s="31"/>
      <c r="E2567" s="74"/>
      <c r="F2567" s="46" t="s">
        <v>1348</v>
      </c>
      <c r="G2567" s="75"/>
      <c r="H2567" s="98" t="str">
        <f>HYPERLINK("http://mirror.ff7data.com.ar/ff7/data/minigame/high-us.lgp/mtaa.tex.png","View Picture")</f>
        <v>View Picture</v>
      </c>
      <c r="K2567" s="43"/>
    </row>
    <row r="2568">
      <c r="A2568" s="55"/>
      <c r="B2568" s="33" t="s">
        <v>25530</v>
      </c>
      <c r="C2568" s="42">
        <v>66796.0</v>
      </c>
      <c r="D2568" s="31"/>
      <c r="E2568" s="74"/>
      <c r="F2568" s="46" t="s">
        <v>1348</v>
      </c>
      <c r="G2568" s="75"/>
      <c r="H2568" s="98" t="str">
        <f>HYPERLINK("http://mirror.ff7data.com.ar/ff7/data/minigame/high-us.lgp/muaa.tex.png","View Picture")</f>
        <v>View Picture</v>
      </c>
      <c r="K2568" s="43"/>
    </row>
    <row r="2569">
      <c r="A2569" s="55"/>
      <c r="B2569" s="33" t="s">
        <v>25537</v>
      </c>
      <c r="C2569" s="42">
        <v>213.0</v>
      </c>
      <c r="D2569" s="31"/>
      <c r="E2569" s="74"/>
      <c r="F2569" s="46" t="s">
        <v>2793</v>
      </c>
      <c r="G2569" s="75"/>
      <c r="H2569" s="98" t="str">
        <f>HYPERLINK("http://mirror.ff7data.com.ar/ff7/data/minigame/high-us.lgp/naaa.rsd.png","View Picture")</f>
        <v>View Picture</v>
      </c>
      <c r="K2569" s="43"/>
    </row>
    <row r="2570">
      <c r="A2570" s="55"/>
      <c r="B2570" s="33" t="s">
        <v>25543</v>
      </c>
      <c r="C2570" s="42">
        <v>210.0</v>
      </c>
      <c r="D2570" s="31"/>
      <c r="E2570" s="74"/>
      <c r="F2570" s="46" t="s">
        <v>2793</v>
      </c>
      <c r="G2570" s="75"/>
      <c r="H2570" s="98" t="str">
        <f>HYPERLINK("http://mirror.ff7data.com.ar/ff7/data/minigame/high-us.lgp/nbaa.rsd.png","View Picture")</f>
        <v>View Picture</v>
      </c>
      <c r="K2570" s="43"/>
    </row>
    <row r="2571">
      <c r="A2571" s="55"/>
      <c r="B2571" s="33" t="s">
        <v>25549</v>
      </c>
      <c r="C2571" s="42">
        <v>304.0</v>
      </c>
      <c r="D2571" s="31"/>
      <c r="E2571" s="74"/>
      <c r="F2571" s="46" t="s">
        <v>2793</v>
      </c>
      <c r="G2571" s="75"/>
      <c r="H2571" s="98" t="str">
        <f>HYPERLINK("http://mirror.ff7data.com.ar/ff7/data/minigame/high-us.lgp/ncaa.rsd.png","View Picture")</f>
        <v>View Picture</v>
      </c>
      <c r="K2571" s="43"/>
    </row>
    <row r="2572">
      <c r="A2572" s="55"/>
      <c r="B2572" s="33" t="s">
        <v>25556</v>
      </c>
      <c r="C2572" s="42">
        <v>4000.0</v>
      </c>
      <c r="D2572" s="31"/>
      <c r="E2572" s="74"/>
      <c r="F2572" s="46" t="s">
        <v>2775</v>
      </c>
      <c r="G2572" s="75"/>
      <c r="H2572" s="98" t="str">
        <f>HYPERLINK("http://mirror.ff7data.com.ar/ff7/data/minigame/high-us.lgp/ndaa.p.png","View Picture")</f>
        <v>View Picture</v>
      </c>
      <c r="K2572" s="43"/>
    </row>
    <row r="2573">
      <c r="A2573" s="55"/>
      <c r="B2573" s="33" t="s">
        <v>25561</v>
      </c>
      <c r="C2573" s="42">
        <v>213.0</v>
      </c>
      <c r="D2573" s="31"/>
      <c r="E2573" s="74"/>
      <c r="F2573" s="46" t="s">
        <v>2793</v>
      </c>
      <c r="G2573" s="75"/>
      <c r="H2573" s="98" t="str">
        <f>HYPERLINK("http://mirror.ff7data.com.ar/ff7/data/minigame/high-us.lgp/neaa.rsd.png","View Picture")</f>
        <v>View Picture</v>
      </c>
      <c r="K2573" s="43"/>
    </row>
    <row r="2574">
      <c r="A2574" s="82"/>
      <c r="B2574" s="33" t="s">
        <v>25568</v>
      </c>
      <c r="C2574" s="42">
        <v>392.0</v>
      </c>
      <c r="D2574" s="33" t="s">
        <v>23750</v>
      </c>
      <c r="E2574" s="74"/>
      <c r="F2574" s="46" t="s">
        <v>2756</v>
      </c>
      <c r="G2574" s="75"/>
      <c r="H2574" s="98" t="str">
        <f>HYPERLINK("http://mirror.ff7data.com.ar/ff7/data/minigame/high-us.lgp/nfaa.hrc.png","View Picture")</f>
        <v>View Picture</v>
      </c>
      <c r="K2574" s="43"/>
    </row>
    <row r="2575">
      <c r="A2575" s="55"/>
      <c r="B2575" s="33" t="s">
        <v>25575</v>
      </c>
      <c r="C2575" s="42">
        <v>13356.0</v>
      </c>
      <c r="D2575" s="31"/>
      <c r="E2575" s="74"/>
      <c r="F2575" s="46" t="s">
        <v>3366</v>
      </c>
      <c r="G2575" s="75"/>
      <c r="H2575" s="122"/>
      <c r="K2575" s="43"/>
    </row>
    <row r="2576">
      <c r="A2576" s="55"/>
      <c r="B2576" s="33" t="s">
        <v>25577</v>
      </c>
      <c r="C2576" s="42">
        <v>8676.0</v>
      </c>
      <c r="D2576" s="31"/>
      <c r="E2576" s="74"/>
      <c r="F2576" s="46" t="s">
        <v>3366</v>
      </c>
      <c r="G2576" s="75"/>
      <c r="H2576" s="122"/>
      <c r="K2576" s="43"/>
    </row>
    <row r="2577">
      <c r="A2577" s="55"/>
      <c r="B2577" s="33" t="s">
        <v>25580</v>
      </c>
      <c r="C2577" s="42">
        <v>940.0</v>
      </c>
      <c r="D2577" s="31"/>
      <c r="E2577" s="74"/>
      <c r="F2577" s="46" t="s">
        <v>2775</v>
      </c>
      <c r="G2577" s="75"/>
      <c r="H2577" s="98" t="str">
        <f>HYPERLINK("http://mirror.ff7data.com.ar/ff7/data/minigame/high-us.lgp/niaa.p.png","View Picture")</f>
        <v>View Picture</v>
      </c>
      <c r="K2577" s="43"/>
    </row>
    <row r="2578">
      <c r="A2578" s="55"/>
      <c r="B2578" s="33" t="s">
        <v>25589</v>
      </c>
      <c r="C2578" s="42">
        <v>3408.0</v>
      </c>
      <c r="D2578" s="31"/>
      <c r="E2578" s="74"/>
      <c r="F2578" s="46" t="s">
        <v>2775</v>
      </c>
      <c r="G2578" s="75"/>
      <c r="H2578" s="98" t="str">
        <f>HYPERLINK("http://mirror.ff7data.com.ar/ff7/data/minigame/high-us.lgp/njaa.p.png","View Picture")</f>
        <v>View Picture</v>
      </c>
      <c r="K2578" s="43"/>
    </row>
    <row r="2579">
      <c r="A2579" s="55"/>
      <c r="B2579" s="33" t="s">
        <v>25598</v>
      </c>
      <c r="C2579" s="42">
        <v>8336.0</v>
      </c>
      <c r="D2579" s="31"/>
      <c r="E2579" s="74"/>
      <c r="F2579" s="46" t="s">
        <v>2775</v>
      </c>
      <c r="G2579" s="75"/>
      <c r="H2579" s="98" t="str">
        <f>HYPERLINK("http://mirror.ff7data.com.ar/ff7/data/minigame/high-us.lgp/nkaa.p.png","View Picture")</f>
        <v>View Picture</v>
      </c>
      <c r="K2579" s="43"/>
    </row>
    <row r="2580">
      <c r="A2580" s="55"/>
      <c r="B2580" s="33" t="s">
        <v>25604</v>
      </c>
      <c r="C2580" s="42">
        <v>18620.0</v>
      </c>
      <c r="D2580" s="31"/>
      <c r="E2580" s="74"/>
      <c r="F2580" s="46" t="s">
        <v>2775</v>
      </c>
      <c r="G2580" s="75"/>
      <c r="H2580" s="98" t="str">
        <f>HYPERLINK("http://mirror.ff7data.com.ar/ff7/data/minigame/high-us.lgp/nlaa.p.png","View Picture")</f>
        <v>View Picture</v>
      </c>
      <c r="K2580" s="43"/>
    </row>
    <row r="2581">
      <c r="A2581" s="55"/>
      <c r="B2581" s="33" t="s">
        <v>25611</v>
      </c>
      <c r="C2581" s="42">
        <v>7768.0</v>
      </c>
      <c r="D2581" s="31"/>
      <c r="E2581" s="74"/>
      <c r="F2581" s="46" t="s">
        <v>2775</v>
      </c>
      <c r="G2581" s="75"/>
      <c r="H2581" s="98" t="str">
        <f>HYPERLINK("http://mirror.ff7data.com.ar/ff7/data/minigame/high-us.lgp/nmaa.p.png","View Picture")</f>
        <v>View Picture</v>
      </c>
      <c r="K2581" s="43"/>
    </row>
    <row r="2582">
      <c r="A2582" s="55"/>
      <c r="B2582" s="33" t="s">
        <v>25616</v>
      </c>
      <c r="C2582" s="42">
        <v>289.0</v>
      </c>
      <c r="D2582" s="31"/>
      <c r="E2582" s="74"/>
      <c r="F2582" s="46" t="s">
        <v>2793</v>
      </c>
      <c r="G2582" s="75"/>
      <c r="H2582" s="98" t="str">
        <f>HYPERLINK("http://mirror.ff7data.com.ar/ff7/data/minigame/high-us.lgp/nnaa.rsd.png","View Picture")</f>
        <v>View Picture</v>
      </c>
      <c r="K2582" s="43"/>
    </row>
    <row r="2583">
      <c r="A2583" s="55"/>
      <c r="B2583" s="33" t="s">
        <v>25623</v>
      </c>
      <c r="C2583" s="42">
        <v>289.0</v>
      </c>
      <c r="D2583" s="31"/>
      <c r="E2583" s="74"/>
      <c r="F2583" s="46" t="s">
        <v>2793</v>
      </c>
      <c r="G2583" s="75"/>
      <c r="H2583" s="98" t="str">
        <f>HYPERLINK("http://mirror.ff7data.com.ar/ff7/data/minigame/high-us.lgp/noaa.rsd.png","View Picture")</f>
        <v>View Picture</v>
      </c>
      <c r="K2583" s="43"/>
    </row>
    <row r="2584">
      <c r="A2584" s="55"/>
      <c r="B2584" s="33" t="s">
        <v>25629</v>
      </c>
      <c r="C2584" s="42">
        <v>2448.0</v>
      </c>
      <c r="D2584" s="31"/>
      <c r="E2584" s="74"/>
      <c r="F2584" s="46" t="s">
        <v>2775</v>
      </c>
      <c r="G2584" s="75"/>
      <c r="H2584" s="98" t="str">
        <f>HYPERLINK("http://mirror.ff7data.com.ar/ff7/data/minigame/high-us.lgp/npaa.p.png","View Picture")</f>
        <v>View Picture</v>
      </c>
      <c r="K2584" s="43"/>
    </row>
    <row r="2585">
      <c r="A2585" s="55"/>
      <c r="B2585" s="33" t="s">
        <v>25635</v>
      </c>
      <c r="C2585" s="42">
        <v>3656.0</v>
      </c>
      <c r="D2585" s="31"/>
      <c r="E2585" s="74"/>
      <c r="F2585" s="46" t="s">
        <v>2775</v>
      </c>
      <c r="G2585" s="75"/>
      <c r="H2585" s="98" t="str">
        <f>HYPERLINK("http://mirror.ff7data.com.ar/ff7/data/minigame/high-us.lgp/nqaa.p.png","View Picture")</f>
        <v>View Picture</v>
      </c>
      <c r="K2585" s="43"/>
    </row>
    <row r="2586">
      <c r="A2586" s="55"/>
      <c r="B2586" s="33" t="s">
        <v>25641</v>
      </c>
      <c r="C2586" s="42">
        <v>1128.0</v>
      </c>
      <c r="D2586" s="31"/>
      <c r="E2586" s="74"/>
      <c r="F2586" s="46" t="s">
        <v>2775</v>
      </c>
      <c r="G2586" s="75"/>
      <c r="H2586" s="98" t="str">
        <f>HYPERLINK("http://mirror.ff7data.com.ar/ff7/data/minigame/high-us.lgp/nraa.p.png","View Picture")</f>
        <v>View Picture</v>
      </c>
      <c r="K2586" s="43"/>
    </row>
    <row r="2587">
      <c r="A2587" s="55"/>
      <c r="B2587" s="33" t="s">
        <v>25648</v>
      </c>
      <c r="C2587" s="42">
        <v>524.0</v>
      </c>
      <c r="D2587" s="31"/>
      <c r="E2587" s="74"/>
      <c r="F2587" s="46" t="s">
        <v>2775</v>
      </c>
      <c r="G2587" s="75"/>
      <c r="H2587" s="98" t="str">
        <f>HYPERLINK("http://mirror.ff7data.com.ar/ff7/data/minigame/high-us.lgp/nsaa.p.png","View Picture")</f>
        <v>View Picture</v>
      </c>
      <c r="K2587" s="43"/>
    </row>
    <row r="2588">
      <c r="A2588" s="55"/>
      <c r="B2588" s="33" t="s">
        <v>25655</v>
      </c>
      <c r="C2588" s="42">
        <v>320.0</v>
      </c>
      <c r="D2588" s="31"/>
      <c r="E2588" s="74"/>
      <c r="F2588" s="46" t="s">
        <v>2793</v>
      </c>
      <c r="G2588" s="75"/>
      <c r="H2588" s="98" t="str">
        <f>HYPERLINK("http://mirror.ff7data.com.ar/ff7/data/minigame/high-us.lgp/ntaa.rsd.png","View Picture")</f>
        <v>View Picture</v>
      </c>
      <c r="K2588" s="43"/>
    </row>
    <row r="2589">
      <c r="A2589" s="79"/>
      <c r="B2589" s="33" t="s">
        <v>25662</v>
      </c>
      <c r="C2589" s="42">
        <v>66796.0</v>
      </c>
      <c r="D2589" s="33" t="s">
        <v>25663</v>
      </c>
      <c r="E2589" s="74"/>
      <c r="F2589" s="46" t="s">
        <v>1348</v>
      </c>
      <c r="G2589" s="75"/>
      <c r="H2589" s="98" t="str">
        <f>HYPERLINK("http://mirror.ff7data.com.ar/ff7/data/minigame/high-us.lgp/nuaa.tex.png","View Picture")</f>
        <v>View Picture</v>
      </c>
      <c r="K2589" s="43"/>
    </row>
    <row r="2590">
      <c r="A2590" s="55"/>
      <c r="B2590" s="33" t="s">
        <v>25670</v>
      </c>
      <c r="C2590" s="42">
        <v>776.0</v>
      </c>
      <c r="D2590" s="31"/>
      <c r="E2590" s="74"/>
      <c r="F2590" s="46" t="s">
        <v>2775</v>
      </c>
      <c r="G2590" s="75"/>
      <c r="H2590" s="98" t="str">
        <f>HYPERLINK("http://mirror.ff7data.com.ar/ff7/data/minigame/high-us.lgp/oaaa.p.png","View Picture")</f>
        <v>View Picture</v>
      </c>
      <c r="K2590" s="43"/>
    </row>
    <row r="2591">
      <c r="A2591" s="55"/>
      <c r="B2591" s="33" t="s">
        <v>25676</v>
      </c>
      <c r="C2591" s="42">
        <v>576.0</v>
      </c>
      <c r="D2591" s="31"/>
      <c r="E2591" s="74"/>
      <c r="F2591" s="46" t="s">
        <v>2775</v>
      </c>
      <c r="G2591" s="75"/>
      <c r="H2591" s="98" t="str">
        <f>HYPERLINK("http://mirror.ff7data.com.ar/ff7/data/minigame/high-us.lgp/obaa.p.png","View Picture")</f>
        <v>View Picture</v>
      </c>
      <c r="K2591" s="43"/>
    </row>
    <row r="2592">
      <c r="A2592" s="55"/>
      <c r="B2592" s="33" t="s">
        <v>25685</v>
      </c>
      <c r="C2592" s="42">
        <v>1516.0</v>
      </c>
      <c r="D2592" s="31"/>
      <c r="E2592" s="74"/>
      <c r="F2592" s="46" t="s">
        <v>2775</v>
      </c>
      <c r="G2592" s="75"/>
      <c r="H2592" s="98" t="str">
        <f>HYPERLINK("http://mirror.ff7data.com.ar/ff7/data/minigame/high-us.lgp/ocaa.p.png","View Picture")</f>
        <v>View Picture</v>
      </c>
      <c r="K2592" s="43"/>
    </row>
    <row r="2593">
      <c r="A2593" s="55"/>
      <c r="B2593" s="33" t="s">
        <v>25691</v>
      </c>
      <c r="C2593" s="42">
        <v>289.0</v>
      </c>
      <c r="D2593" s="31"/>
      <c r="E2593" s="74"/>
      <c r="F2593" s="46" t="s">
        <v>2793</v>
      </c>
      <c r="G2593" s="75"/>
      <c r="H2593" s="98" t="str">
        <f>HYPERLINK("http://mirror.ff7data.com.ar/ff7/data/minigame/high-us.lgp/odaa.rsd.png","View Picture")</f>
        <v>View Picture</v>
      </c>
      <c r="K2593" s="43"/>
    </row>
    <row r="2594">
      <c r="A2594" s="55"/>
      <c r="B2594" s="33" t="s">
        <v>25696</v>
      </c>
      <c r="C2594" s="42">
        <v>652.0</v>
      </c>
      <c r="D2594" s="31"/>
      <c r="E2594" s="74"/>
      <c r="F2594" s="46" t="s">
        <v>2775</v>
      </c>
      <c r="G2594" s="75"/>
      <c r="H2594" s="98" t="str">
        <f>HYPERLINK("http://mirror.ff7data.com.ar/ff7/data/minigame/high-us.lgp/oeaa.p.png","View Picture")</f>
        <v>View Picture</v>
      </c>
      <c r="K2594" s="43"/>
    </row>
    <row r="2595">
      <c r="A2595" s="82"/>
      <c r="B2595" s="33" t="s">
        <v>25702</v>
      </c>
      <c r="C2595" s="42">
        <v>285.0</v>
      </c>
      <c r="D2595" s="33" t="s">
        <v>25704</v>
      </c>
      <c r="E2595" s="74"/>
      <c r="F2595" s="46" t="s">
        <v>2793</v>
      </c>
      <c r="G2595" s="46" t="s">
        <v>25705</v>
      </c>
      <c r="H2595" s="98" t="str">
        <f>HYPERLINK("http://mirror.ff7data.com.ar/ff7/data/minigame/high-us.lgp/ofaa.rsd.png","View Picture")</f>
        <v>View Picture</v>
      </c>
      <c r="K2595" s="43"/>
    </row>
    <row r="2596">
      <c r="A2596" s="55"/>
      <c r="B2596" s="33" t="s">
        <v>25711</v>
      </c>
      <c r="C2596" s="42">
        <v>2736.0</v>
      </c>
      <c r="D2596" s="31"/>
      <c r="E2596" s="74"/>
      <c r="F2596" s="46" t="s">
        <v>3366</v>
      </c>
      <c r="G2596" s="75"/>
      <c r="H2596" s="122"/>
      <c r="K2596" s="43"/>
    </row>
    <row r="2597">
      <c r="A2597" s="55"/>
      <c r="B2597" s="33" t="s">
        <v>25714</v>
      </c>
      <c r="C2597" s="42">
        <v>8676.0</v>
      </c>
      <c r="D2597" s="31"/>
      <c r="E2597" s="74"/>
      <c r="F2597" s="46" t="s">
        <v>3366</v>
      </c>
      <c r="G2597" s="75"/>
      <c r="H2597" s="122"/>
      <c r="K2597" s="43"/>
    </row>
    <row r="2598">
      <c r="A2598" s="55"/>
      <c r="B2598" s="33" t="s">
        <v>25717</v>
      </c>
      <c r="C2598" s="42">
        <v>283.0</v>
      </c>
      <c r="D2598" s="31"/>
      <c r="E2598" s="74"/>
      <c r="F2598" s="46" t="s">
        <v>2793</v>
      </c>
      <c r="G2598" s="75"/>
      <c r="H2598" s="98" t="str">
        <f>HYPERLINK("http://mirror.ff7data.com.ar/ff7/data/minigame/high-us.lgp/oiaa.rsd.png","View Picture")</f>
        <v>View Picture</v>
      </c>
      <c r="K2598" s="43"/>
    </row>
    <row r="2599">
      <c r="A2599" s="55"/>
      <c r="B2599" s="33" t="s">
        <v>25722</v>
      </c>
      <c r="C2599" s="42">
        <v>283.0</v>
      </c>
      <c r="D2599" s="31"/>
      <c r="E2599" s="74"/>
      <c r="F2599" s="46" t="s">
        <v>2793</v>
      </c>
      <c r="G2599" s="75"/>
      <c r="H2599" s="98" t="str">
        <f>HYPERLINK("http://mirror.ff7data.com.ar/ff7/data/minigame/high-us.lgp/ojaa.rsd.png","View Picture")</f>
        <v>View Picture</v>
      </c>
      <c r="K2599" s="43"/>
    </row>
    <row r="2600">
      <c r="A2600" s="55"/>
      <c r="B2600" s="33" t="s">
        <v>25728</v>
      </c>
      <c r="C2600" s="42">
        <v>289.0</v>
      </c>
      <c r="D2600" s="31"/>
      <c r="E2600" s="74"/>
      <c r="F2600" s="46" t="s">
        <v>2793</v>
      </c>
      <c r="G2600" s="75"/>
      <c r="H2600" s="98" t="str">
        <f>HYPERLINK("http://mirror.ff7data.com.ar/ff7/data/minigame/high-us.lgp/okaa.rsd.png","View Picture")</f>
        <v>View Picture</v>
      </c>
      <c r="K2600" s="43"/>
    </row>
    <row r="2601">
      <c r="A2601" s="55"/>
      <c r="B2601" s="33" t="s">
        <v>25734</v>
      </c>
      <c r="C2601" s="42">
        <v>289.0</v>
      </c>
      <c r="D2601" s="31"/>
      <c r="E2601" s="74"/>
      <c r="F2601" s="46" t="s">
        <v>2793</v>
      </c>
      <c r="G2601" s="75"/>
      <c r="H2601" s="98" t="str">
        <f>HYPERLINK("http://mirror.ff7data.com.ar/ff7/data/minigame/high-us.lgp/olaa.rsd.png","View Picture")</f>
        <v>View Picture</v>
      </c>
      <c r="K2601" s="43"/>
    </row>
    <row r="2602">
      <c r="A2602" s="55"/>
      <c r="B2602" s="33" t="s">
        <v>25740</v>
      </c>
      <c r="C2602" s="42">
        <v>300.0</v>
      </c>
      <c r="D2602" s="31"/>
      <c r="E2602" s="74"/>
      <c r="F2602" s="46" t="s">
        <v>2793</v>
      </c>
      <c r="G2602" s="75"/>
      <c r="H2602" s="98" t="str">
        <f>HYPERLINK("http://mirror.ff7data.com.ar/ff7/data/minigame/high-us.lgp/omaa.rsd.png","View Picture")</f>
        <v>View Picture</v>
      </c>
      <c r="K2602" s="43"/>
    </row>
    <row r="2603">
      <c r="A2603" s="55"/>
      <c r="B2603" s="33" t="s">
        <v>25747</v>
      </c>
      <c r="C2603" s="42">
        <v>2336.0</v>
      </c>
      <c r="D2603" s="31"/>
      <c r="E2603" s="74"/>
      <c r="F2603" s="46" t="s">
        <v>2775</v>
      </c>
      <c r="G2603" s="75"/>
      <c r="H2603" s="98" t="str">
        <f>HYPERLINK("http://mirror.ff7data.com.ar/ff7/data/minigame/high-us.lgp/onaa.p.png","View Picture")</f>
        <v>View Picture</v>
      </c>
      <c r="K2603" s="43"/>
    </row>
    <row r="2604">
      <c r="A2604" s="55"/>
      <c r="B2604" s="33" t="s">
        <v>25753</v>
      </c>
      <c r="C2604" s="42">
        <v>5600.0</v>
      </c>
      <c r="D2604" s="31"/>
      <c r="E2604" s="74"/>
      <c r="F2604" s="46" t="s">
        <v>2775</v>
      </c>
      <c r="G2604" s="75"/>
      <c r="H2604" s="98" t="str">
        <f>HYPERLINK("http://mirror.ff7data.com.ar/ff7/data/minigame/high-us.lgp/ooaa.p.png","View Picture")</f>
        <v>View Picture</v>
      </c>
      <c r="K2604" s="43"/>
    </row>
    <row r="2605">
      <c r="A2605" s="55"/>
      <c r="B2605" s="33" t="s">
        <v>25759</v>
      </c>
      <c r="C2605" s="42">
        <v>283.0</v>
      </c>
      <c r="D2605" s="31"/>
      <c r="E2605" s="74"/>
      <c r="F2605" s="46" t="s">
        <v>2793</v>
      </c>
      <c r="G2605" s="75"/>
      <c r="H2605" s="98" t="str">
        <f>HYPERLINK("http://mirror.ff7data.com.ar/ff7/data/minigame/high-us.lgp/opaa.rsd.png","View Picture")</f>
        <v>View Picture</v>
      </c>
      <c r="K2605" s="43"/>
    </row>
    <row r="2606">
      <c r="A2606" s="55"/>
      <c r="B2606" s="33" t="s">
        <v>25765</v>
      </c>
      <c r="C2606" s="42">
        <v>286.0</v>
      </c>
      <c r="D2606" s="31"/>
      <c r="E2606" s="74"/>
      <c r="F2606" s="46" t="s">
        <v>2793</v>
      </c>
      <c r="G2606" s="75"/>
      <c r="H2606" s="98" t="str">
        <f>HYPERLINK("http://mirror.ff7data.com.ar/ff7/data/minigame/high-us.lgp/oqaa.rsd.png","View Picture")</f>
        <v>View Picture</v>
      </c>
      <c r="K2606" s="43"/>
    </row>
    <row r="2607">
      <c r="A2607" s="55"/>
      <c r="B2607" s="33" t="s">
        <v>25772</v>
      </c>
      <c r="C2607" s="42">
        <v>289.0</v>
      </c>
      <c r="D2607" s="31"/>
      <c r="E2607" s="74"/>
      <c r="F2607" s="46" t="s">
        <v>2793</v>
      </c>
      <c r="G2607" s="75"/>
      <c r="H2607" s="98" t="str">
        <f>HYPERLINK("http://mirror.ff7data.com.ar/ff7/data/minigame/high-us.lgp/oraa.rsd.png","View Picture")</f>
        <v>View Picture</v>
      </c>
      <c r="K2607" s="43"/>
    </row>
    <row r="2608">
      <c r="A2608" s="55"/>
      <c r="B2608" s="33" t="s">
        <v>25779</v>
      </c>
      <c r="C2608" s="42">
        <v>1324.0</v>
      </c>
      <c r="D2608" s="31"/>
      <c r="E2608" s="74"/>
      <c r="F2608" s="46" t="s">
        <v>1348</v>
      </c>
      <c r="G2608" s="75"/>
      <c r="H2608" s="98" t="str">
        <f>HYPERLINK("http://mirror.ff7data.com.ar/ff7/data/minigame/high-us.lgp/osaa.tex.png","View Picture")</f>
        <v>View Picture</v>
      </c>
      <c r="K2608" s="43"/>
    </row>
    <row r="2609">
      <c r="A2609" s="55"/>
      <c r="B2609" s="33" t="s">
        <v>25784</v>
      </c>
      <c r="C2609" s="42">
        <v>892.0</v>
      </c>
      <c r="D2609" s="31"/>
      <c r="E2609" s="74"/>
      <c r="F2609" s="46" t="s">
        <v>2775</v>
      </c>
      <c r="G2609" s="75"/>
      <c r="H2609" s="98" t="str">
        <f>HYPERLINK("http://mirror.ff7data.com.ar/ff7/data/minigame/high-us.lgp/otaa.p.png","View Picture")</f>
        <v>View Picture</v>
      </c>
      <c r="K2609" s="43"/>
    </row>
    <row r="2610">
      <c r="A2610" s="55"/>
      <c r="B2610" s="33" t="s">
        <v>25790</v>
      </c>
      <c r="C2610" s="42">
        <v>213.0</v>
      </c>
      <c r="D2610" s="31"/>
      <c r="E2610" s="74"/>
      <c r="F2610" s="46" t="s">
        <v>2793</v>
      </c>
      <c r="G2610" s="75"/>
      <c r="H2610" s="98" t="str">
        <f>HYPERLINK("http://mirror.ff7data.com.ar/ff7/data/minigame/high-us.lgp/paaa.rsd.png","View Picture")</f>
        <v>View Picture</v>
      </c>
      <c r="K2610" s="43"/>
    </row>
    <row r="2611">
      <c r="A2611" s="82"/>
      <c r="B2611" s="33" t="s">
        <v>25796</v>
      </c>
      <c r="C2611" s="42">
        <v>414.0</v>
      </c>
      <c r="D2611" s="33" t="s">
        <v>11838</v>
      </c>
      <c r="E2611" s="74"/>
      <c r="F2611" s="46" t="s">
        <v>2756</v>
      </c>
      <c r="G2611" s="46" t="s">
        <v>25799</v>
      </c>
      <c r="H2611" s="98" t="str">
        <f>HYPERLINK("http://mirror.ff7data.com.ar/ff7/data/minigame/high-us.lgp/pbaa.hrc.png","View Picture")</f>
        <v>View Picture</v>
      </c>
      <c r="K2611" s="43"/>
    </row>
    <row r="2612">
      <c r="A2612" s="21"/>
      <c r="B2612" s="33" t="s">
        <v>25805</v>
      </c>
      <c r="C2612" s="42">
        <v>16684.0</v>
      </c>
      <c r="D2612" s="33" t="s">
        <v>25806</v>
      </c>
      <c r="E2612" s="74"/>
      <c r="F2612" s="46" t="s">
        <v>1348</v>
      </c>
      <c r="G2612" s="75"/>
      <c r="H2612" s="98" t="str">
        <f>HYPERLINK("http://mirror.ff7data.com.ar/ff7/data/minigame/high-us.lgp/pcaa.tex.png","View Picture")</f>
        <v>View Picture</v>
      </c>
      <c r="K2612" s="43"/>
    </row>
    <row r="2613">
      <c r="A2613" s="55"/>
      <c r="B2613" s="33" t="s">
        <v>25812</v>
      </c>
      <c r="C2613" s="42">
        <v>4052.0</v>
      </c>
      <c r="D2613" s="31"/>
      <c r="E2613" s="74"/>
      <c r="F2613" s="46" t="s">
        <v>2775</v>
      </c>
      <c r="G2613" s="75"/>
      <c r="H2613" s="98" t="str">
        <f>HYPERLINK("http://mirror.ff7data.com.ar/ff7/data/minigame/high-us.lgp/pdaa.p.png","View Picture")</f>
        <v>View Picture</v>
      </c>
      <c r="K2613" s="43"/>
    </row>
    <row r="2614">
      <c r="A2614" s="55"/>
      <c r="B2614" s="33" t="s">
        <v>25818</v>
      </c>
      <c r="C2614" s="42">
        <v>213.0</v>
      </c>
      <c r="D2614" s="31"/>
      <c r="E2614" s="74"/>
      <c r="F2614" s="46" t="s">
        <v>2793</v>
      </c>
      <c r="G2614" s="75"/>
      <c r="H2614" s="98" t="str">
        <f>HYPERLINK("http://mirror.ff7data.com.ar/ff7/data/minigame/high-us.lgp/peaa.rsd.png","View Picture")</f>
        <v>View Picture</v>
      </c>
      <c r="K2614" s="43"/>
    </row>
    <row r="2615">
      <c r="A2615" s="21"/>
      <c r="B2615" s="33" t="s">
        <v>25824</v>
      </c>
      <c r="C2615" s="42">
        <v>8128.0</v>
      </c>
      <c r="D2615" s="31"/>
      <c r="E2615" s="74"/>
      <c r="F2615" s="46" t="s">
        <v>2775</v>
      </c>
      <c r="G2615" s="46" t="s">
        <v>25705</v>
      </c>
      <c r="H2615" s="98" t="str">
        <f>HYPERLINK("http://mirror.ff7data.com.ar/ff7/data/minigame/high-us.lgp/pfaa.p.png","View Picture")</f>
        <v>View Picture</v>
      </c>
      <c r="K2615" s="43"/>
    </row>
    <row r="2616">
      <c r="A2616" s="55"/>
      <c r="B2616" s="33" t="s">
        <v>25832</v>
      </c>
      <c r="C2616" s="42">
        <v>2736.0</v>
      </c>
      <c r="D2616" s="31"/>
      <c r="E2616" s="74"/>
      <c r="F2616" s="46" t="s">
        <v>3366</v>
      </c>
      <c r="G2616" s="75"/>
      <c r="H2616" s="122"/>
      <c r="K2616" s="43"/>
    </row>
    <row r="2617">
      <c r="A2617" s="55"/>
      <c r="B2617" s="33" t="s">
        <v>25834</v>
      </c>
      <c r="C2617" s="42">
        <v>8676.0</v>
      </c>
      <c r="D2617" s="31"/>
      <c r="E2617" s="74"/>
      <c r="F2617" s="46" t="s">
        <v>3366</v>
      </c>
      <c r="G2617" s="75"/>
      <c r="H2617" s="122"/>
      <c r="K2617" s="43"/>
    </row>
    <row r="2618">
      <c r="A2618" s="55"/>
      <c r="B2618" s="33" t="s">
        <v>25836</v>
      </c>
      <c r="C2618" s="42">
        <v>4604.0</v>
      </c>
      <c r="D2618" s="31"/>
      <c r="E2618" s="74"/>
      <c r="F2618" s="46" t="s">
        <v>2775</v>
      </c>
      <c r="G2618" s="75"/>
      <c r="H2618" s="98" t="str">
        <f>HYPERLINK("http://mirror.ff7data.com.ar/ff7/data/minigame/high-us.lgp/piaa.p.png","View Picture")</f>
        <v>View Picture</v>
      </c>
      <c r="K2618" s="43"/>
    </row>
    <row r="2619">
      <c r="A2619" s="55"/>
      <c r="B2619" s="33" t="s">
        <v>25843</v>
      </c>
      <c r="C2619" s="42">
        <v>3252.0</v>
      </c>
      <c r="D2619" s="31"/>
      <c r="E2619" s="74"/>
      <c r="F2619" s="46" t="s">
        <v>2775</v>
      </c>
      <c r="G2619" s="75"/>
      <c r="H2619" s="98" t="str">
        <f>HYPERLINK("http://mirror.ff7data.com.ar/ff7/data/minigame/high-us.lgp/pjaa.p.png","View Picture")</f>
        <v>View Picture</v>
      </c>
      <c r="K2619" s="43"/>
    </row>
    <row r="2620">
      <c r="A2620" s="55"/>
      <c r="B2620" s="33" t="s">
        <v>25850</v>
      </c>
      <c r="C2620" s="42">
        <v>8356.0</v>
      </c>
      <c r="D2620" s="31"/>
      <c r="E2620" s="74"/>
      <c r="F2620" s="46" t="s">
        <v>2775</v>
      </c>
      <c r="G2620" s="75"/>
      <c r="H2620" s="98" t="str">
        <f>HYPERLINK("http://mirror.ff7data.com.ar/ff7/data/minigame/high-us.lgp/pkaa.p.png","View Picture")</f>
        <v>View Picture</v>
      </c>
      <c r="K2620" s="43"/>
    </row>
    <row r="2621">
      <c r="A2621" s="55"/>
      <c r="B2621" s="33" t="s">
        <v>25857</v>
      </c>
      <c r="C2621" s="42">
        <v>2820.0</v>
      </c>
      <c r="D2621" s="31"/>
      <c r="E2621" s="74"/>
      <c r="F2621" s="46" t="s">
        <v>2775</v>
      </c>
      <c r="G2621" s="75"/>
      <c r="H2621" s="98" t="str">
        <f>HYPERLINK("http://mirror.ff7data.com.ar/ff7/data/minigame/high-us.lgp/plaa.p.png","View Picture")</f>
        <v>View Picture</v>
      </c>
      <c r="K2621" s="43"/>
    </row>
    <row r="2622">
      <c r="A2622" s="55"/>
      <c r="B2622" s="33" t="s">
        <v>25866</v>
      </c>
      <c r="C2622" s="42">
        <v>2556.0</v>
      </c>
      <c r="D2622" s="31"/>
      <c r="E2622" s="74"/>
      <c r="F2622" s="46" t="s">
        <v>2775</v>
      </c>
      <c r="G2622" s="75"/>
      <c r="H2622" s="98" t="str">
        <f>HYPERLINK("http://mirror.ff7data.com.ar/ff7/data/minigame/high-us.lgp/pmaa.p.png","View Picture")</f>
        <v>View Picture</v>
      </c>
      <c r="K2622" s="43"/>
    </row>
    <row r="2623">
      <c r="A2623" s="55"/>
      <c r="B2623" s="33" t="s">
        <v>25875</v>
      </c>
      <c r="C2623" s="42">
        <v>289.0</v>
      </c>
      <c r="D2623" s="31"/>
      <c r="E2623" s="74"/>
      <c r="F2623" s="46" t="s">
        <v>2793</v>
      </c>
      <c r="G2623" s="75"/>
      <c r="H2623" s="98" t="str">
        <f>HYPERLINK("http://mirror.ff7data.com.ar/ff7/data/minigame/high-us.lgp/pnaa.rsd.png","View Picture")</f>
        <v>View Picture</v>
      </c>
      <c r="K2623" s="43"/>
    </row>
    <row r="2624">
      <c r="A2624" s="55"/>
      <c r="B2624" s="33" t="s">
        <v>25881</v>
      </c>
      <c r="C2624" s="42">
        <v>283.0</v>
      </c>
      <c r="D2624" s="31"/>
      <c r="E2624" s="74"/>
      <c r="F2624" s="46" t="s">
        <v>2793</v>
      </c>
      <c r="G2624" s="75"/>
      <c r="H2624" s="98" t="str">
        <f>HYPERLINK("http://mirror.ff7data.com.ar/ff7/data/minigame/high-us.lgp/poaa.rsd.png","View Picture")</f>
        <v>View Picture</v>
      </c>
      <c r="K2624" s="43"/>
    </row>
    <row r="2625">
      <c r="A2625" s="55"/>
      <c r="B2625" s="33" t="s">
        <v>25888</v>
      </c>
      <c r="C2625" s="42">
        <v>2480.0</v>
      </c>
      <c r="D2625" s="31"/>
      <c r="E2625" s="74"/>
      <c r="F2625" s="46" t="s">
        <v>2775</v>
      </c>
      <c r="G2625" s="75"/>
      <c r="H2625" s="98" t="str">
        <f>HYPERLINK("http://mirror.ff7data.com.ar/ff7/data/minigame/high-us.lgp/ppaa.p.png","View Picture")</f>
        <v>View Picture</v>
      </c>
      <c r="K2625" s="43"/>
    </row>
    <row r="2626">
      <c r="A2626" s="55"/>
      <c r="B2626" s="33" t="s">
        <v>25894</v>
      </c>
      <c r="C2626" s="42">
        <v>4388.0</v>
      </c>
      <c r="D2626" s="31"/>
      <c r="E2626" s="74"/>
      <c r="F2626" s="46" t="s">
        <v>2775</v>
      </c>
      <c r="G2626" s="75"/>
      <c r="H2626" s="98" t="str">
        <f>HYPERLINK("http://mirror.ff7data.com.ar/ff7/data/minigame/high-us.lgp/pqaa.p.png","View Picture")</f>
        <v>View Picture</v>
      </c>
      <c r="K2626" s="43"/>
    </row>
    <row r="2627">
      <c r="A2627" s="55"/>
      <c r="B2627" s="33" t="s">
        <v>25901</v>
      </c>
      <c r="C2627" s="42">
        <v>1248.0</v>
      </c>
      <c r="D2627" s="31"/>
      <c r="E2627" s="74"/>
      <c r="F2627" s="46" t="s">
        <v>2775</v>
      </c>
      <c r="G2627" s="75"/>
      <c r="H2627" s="98" t="str">
        <f>HYPERLINK("http://mirror.ff7data.com.ar/ff7/data/minigame/high-us.lgp/praa.p.png","View Picture")</f>
        <v>View Picture</v>
      </c>
      <c r="K2627" s="43"/>
    </row>
    <row r="2628">
      <c r="A2628" s="55"/>
      <c r="B2628" s="33" t="s">
        <v>25907</v>
      </c>
      <c r="C2628" s="42">
        <v>303.0</v>
      </c>
      <c r="D2628" s="31"/>
      <c r="E2628" s="74"/>
      <c r="F2628" s="46" t="s">
        <v>2793</v>
      </c>
      <c r="G2628" s="75"/>
      <c r="H2628" s="98" t="str">
        <f>HYPERLINK("http://mirror.ff7data.com.ar/ff7/data/minigame/high-us.lgp/psaa.rsd.png","View Picture")</f>
        <v>View Picture</v>
      </c>
      <c r="K2628" s="43"/>
    </row>
    <row r="2629">
      <c r="A2629" s="55"/>
      <c r="B2629" s="33" t="s">
        <v>25912</v>
      </c>
      <c r="C2629" s="42">
        <v>16684.0</v>
      </c>
      <c r="D2629" s="31"/>
      <c r="E2629" s="74"/>
      <c r="F2629" s="46" t="s">
        <v>1348</v>
      </c>
      <c r="G2629" s="75"/>
      <c r="H2629" s="98" t="str">
        <f>HYPERLINK("http://mirror.ff7data.com.ar/ff7/data/minigame/high-us.lgp/ptaa.tex.png","View Picture")</f>
        <v>View Picture</v>
      </c>
      <c r="K2629" s="43"/>
    </row>
    <row r="2630">
      <c r="A2630" s="55"/>
      <c r="B2630" s="33" t="s">
        <v>25919</v>
      </c>
      <c r="C2630" s="42">
        <v>776.0</v>
      </c>
      <c r="D2630" s="31"/>
      <c r="E2630" s="74"/>
      <c r="F2630" s="46" t="s">
        <v>2775</v>
      </c>
      <c r="G2630" s="75"/>
      <c r="H2630" s="98" t="str">
        <f>HYPERLINK("http://mirror.ff7data.com.ar/ff7/data/minigame/high-us.lgp/qaaa.p.png","View Picture")</f>
        <v>View Picture</v>
      </c>
      <c r="K2630" s="43"/>
    </row>
    <row r="2631">
      <c r="A2631" s="21"/>
      <c r="B2631" s="33" t="s">
        <v>25928</v>
      </c>
      <c r="C2631" s="42">
        <v>288.0</v>
      </c>
      <c r="D2631" s="31"/>
      <c r="E2631" s="74"/>
      <c r="F2631" s="46" t="s">
        <v>2793</v>
      </c>
      <c r="G2631" s="46" t="s">
        <v>25799</v>
      </c>
      <c r="H2631" s="98" t="str">
        <f>HYPERLINK("http://mirror.ff7data.com.ar/ff7/data/minigame/high-us.lgp/qbaa.rsd.png","View Picture")</f>
        <v>View Picture</v>
      </c>
      <c r="K2631" s="43"/>
    </row>
    <row r="2632">
      <c r="A2632" s="55"/>
      <c r="B2632" s="33" t="s">
        <v>25937</v>
      </c>
      <c r="C2632" s="42">
        <v>213.0</v>
      </c>
      <c r="D2632" s="31"/>
      <c r="E2632" s="74"/>
      <c r="F2632" s="46" t="s">
        <v>2793</v>
      </c>
      <c r="G2632" s="75"/>
      <c r="H2632" s="98" t="str">
        <f>HYPERLINK("http://mirror.ff7data.com.ar/ff7/data/minigame/high-us.lgp/qcaa.rsd.png","View Picture")</f>
        <v>View Picture</v>
      </c>
      <c r="K2632" s="43"/>
    </row>
    <row r="2633">
      <c r="A2633" s="55"/>
      <c r="B2633" s="33" t="s">
        <v>25946</v>
      </c>
      <c r="C2633" s="42">
        <v>289.0</v>
      </c>
      <c r="D2633" s="31"/>
      <c r="E2633" s="74"/>
      <c r="F2633" s="46" t="s">
        <v>2793</v>
      </c>
      <c r="G2633" s="75"/>
      <c r="H2633" s="98" t="str">
        <f>HYPERLINK("http://mirror.ff7data.com.ar/ff7/data/minigame/high-us.lgp/qdaa.rsd.png","View Picture")</f>
        <v>View Picture</v>
      </c>
      <c r="K2633" s="43"/>
    </row>
    <row r="2634">
      <c r="A2634" s="55"/>
      <c r="B2634" s="33" t="s">
        <v>25956</v>
      </c>
      <c r="C2634" s="42">
        <v>784.0</v>
      </c>
      <c r="D2634" s="31"/>
      <c r="E2634" s="74"/>
      <c r="F2634" s="46" t="s">
        <v>2775</v>
      </c>
      <c r="G2634" s="75"/>
      <c r="H2634" s="98" t="str">
        <f>HYPERLINK("http://mirror.ff7data.com.ar/ff7/data/minigame/high-us.lgp/qeaa.p.png","View Picture")</f>
        <v>View Picture</v>
      </c>
      <c r="K2634" s="43"/>
    </row>
    <row r="2635">
      <c r="A2635" s="55"/>
      <c r="B2635" s="33" t="s">
        <v>25964</v>
      </c>
      <c r="C2635" s="42">
        <v>285.0</v>
      </c>
      <c r="D2635" s="31"/>
      <c r="E2635" s="74"/>
      <c r="F2635" s="46" t="s">
        <v>2793</v>
      </c>
      <c r="G2635" s="75"/>
      <c r="H2635" s="98" t="str">
        <f>HYPERLINK("http://mirror.ff7data.com.ar/ff7/data/minigame/high-us.lgp/qfaa.rsd.png","View Picture")</f>
        <v>View Picture</v>
      </c>
      <c r="K2635" s="43"/>
    </row>
    <row r="2636">
      <c r="A2636" s="55"/>
      <c r="B2636" s="33" t="s">
        <v>25973</v>
      </c>
      <c r="C2636" s="42">
        <v>4836.0</v>
      </c>
      <c r="D2636" s="31"/>
      <c r="E2636" s="74"/>
      <c r="F2636" s="46" t="s">
        <v>3366</v>
      </c>
      <c r="G2636" s="75"/>
      <c r="H2636" s="122"/>
      <c r="K2636" s="43"/>
    </row>
    <row r="2637">
      <c r="A2637" s="55"/>
      <c r="B2637" s="33" t="s">
        <v>25976</v>
      </c>
      <c r="C2637" s="42">
        <v>5076.0</v>
      </c>
      <c r="D2637" s="31"/>
      <c r="E2637" s="74"/>
      <c r="F2637" s="46" t="s">
        <v>3366</v>
      </c>
      <c r="G2637" s="75"/>
      <c r="H2637" s="122"/>
      <c r="K2637" s="43"/>
    </row>
    <row r="2638">
      <c r="A2638" s="55"/>
      <c r="B2638" s="33" t="s">
        <v>25978</v>
      </c>
      <c r="C2638" s="42">
        <v>283.0</v>
      </c>
      <c r="D2638" s="31"/>
      <c r="E2638" s="74"/>
      <c r="F2638" s="46" t="s">
        <v>2793</v>
      </c>
      <c r="G2638" s="75"/>
      <c r="H2638" s="98" t="str">
        <f>HYPERLINK("http://mirror.ff7data.com.ar/ff7/data/minigame/high-us.lgp/qiaa.rsd.png","View Picture")</f>
        <v>View Picture</v>
      </c>
      <c r="K2638" s="43"/>
    </row>
    <row r="2639">
      <c r="A2639" s="55"/>
      <c r="B2639" s="33" t="s">
        <v>25980</v>
      </c>
      <c r="C2639" s="42">
        <v>283.0</v>
      </c>
      <c r="D2639" s="31"/>
      <c r="E2639" s="74"/>
      <c r="F2639" s="46" t="s">
        <v>2793</v>
      </c>
      <c r="G2639" s="75"/>
      <c r="H2639" s="98" t="str">
        <f>HYPERLINK("http://mirror.ff7data.com.ar/ff7/data/minigame/high-us.lgp/qjaa.rsd.png","View Picture")</f>
        <v>View Picture</v>
      </c>
      <c r="K2639" s="43"/>
    </row>
    <row r="2640">
      <c r="A2640" s="55"/>
      <c r="B2640" s="33" t="s">
        <v>25981</v>
      </c>
      <c r="C2640" s="42">
        <v>283.0</v>
      </c>
      <c r="D2640" s="31"/>
      <c r="E2640" s="74"/>
      <c r="F2640" s="46" t="s">
        <v>2793</v>
      </c>
      <c r="G2640" s="75"/>
      <c r="H2640" s="98" t="str">
        <f>HYPERLINK("http://mirror.ff7data.com.ar/ff7/data/minigame/high-us.lgp/qkaa.rsd.png","View Picture")</f>
        <v>View Picture</v>
      </c>
      <c r="K2640" s="43"/>
    </row>
    <row r="2641">
      <c r="A2641" s="55"/>
      <c r="B2641" s="33" t="s">
        <v>25986</v>
      </c>
      <c r="C2641" s="42">
        <v>289.0</v>
      </c>
      <c r="D2641" s="31"/>
      <c r="E2641" s="74"/>
      <c r="F2641" s="46" t="s">
        <v>2793</v>
      </c>
      <c r="G2641" s="75"/>
      <c r="H2641" s="98" t="str">
        <f>HYPERLINK("http://mirror.ff7data.com.ar/ff7/data/minigame/high-us.lgp/qlaa.rsd.png","View Picture")</f>
        <v>View Picture</v>
      </c>
      <c r="K2641" s="43"/>
    </row>
    <row r="2642">
      <c r="A2642" s="55"/>
      <c r="B2642" s="33" t="s">
        <v>25996</v>
      </c>
      <c r="C2642" s="42">
        <v>2348.0</v>
      </c>
      <c r="D2642" s="31"/>
      <c r="E2642" s="74"/>
      <c r="F2642" s="46" t="s">
        <v>1348</v>
      </c>
      <c r="G2642" s="75"/>
      <c r="H2642" s="98" t="str">
        <f>HYPERLINK("http://mirror.ff7data.com.ar/ff7/data/minigame/high-us.lgp/qmaa.tex.png","View Picture")</f>
        <v>View Picture</v>
      </c>
      <c r="K2642" s="43"/>
    </row>
    <row r="2643">
      <c r="A2643" s="55"/>
      <c r="B2643" s="33" t="s">
        <v>26004</v>
      </c>
      <c r="C2643" s="42">
        <v>2116.0</v>
      </c>
      <c r="D2643" s="31"/>
      <c r="E2643" s="74"/>
      <c r="F2643" s="46" t="s">
        <v>2775</v>
      </c>
      <c r="G2643" s="75"/>
      <c r="H2643" s="98" t="str">
        <f>HYPERLINK("http://mirror.ff7data.com.ar/ff7/data/minigame/high-us.lgp/qnaa.p.png","View Picture")</f>
        <v>View Picture</v>
      </c>
      <c r="K2643" s="43"/>
    </row>
    <row r="2644">
      <c r="A2644" s="55"/>
      <c r="B2644" s="33" t="s">
        <v>26015</v>
      </c>
      <c r="C2644" s="42">
        <v>7284.0</v>
      </c>
      <c r="D2644" s="31"/>
      <c r="E2644" s="74"/>
      <c r="F2644" s="46" t="s">
        <v>2775</v>
      </c>
      <c r="G2644" s="75"/>
      <c r="H2644" s="98" t="str">
        <f>HYPERLINK("http://mirror.ff7data.com.ar/ff7/data/minigame/high-us.lgp/qoaa.p.png","View Picture")</f>
        <v>View Picture</v>
      </c>
      <c r="K2644" s="43"/>
    </row>
    <row r="2645">
      <c r="A2645" s="55"/>
      <c r="B2645" s="33" t="s">
        <v>26025</v>
      </c>
      <c r="C2645" s="42">
        <v>283.0</v>
      </c>
      <c r="D2645" s="31"/>
      <c r="E2645" s="74"/>
      <c r="F2645" s="46" t="s">
        <v>2793</v>
      </c>
      <c r="G2645" s="75"/>
      <c r="H2645" s="98" t="str">
        <f>HYPERLINK("http://mirror.ff7data.com.ar/ff7/data/minigame/high-us.lgp/qpaa.rsd.png","View Picture")</f>
        <v>View Picture</v>
      </c>
      <c r="K2645" s="43"/>
    </row>
    <row r="2646">
      <c r="A2646" s="55"/>
      <c r="B2646" s="33" t="s">
        <v>26029</v>
      </c>
      <c r="C2646" s="42">
        <v>277.0</v>
      </c>
      <c r="D2646" s="31"/>
      <c r="E2646" s="74"/>
      <c r="F2646" s="46" t="s">
        <v>2793</v>
      </c>
      <c r="G2646" s="75"/>
      <c r="H2646" s="98" t="str">
        <f>HYPERLINK("http://mirror.ff7data.com.ar/ff7/data/minigame/high-us.lgp/qqaa.rsd.png","View Picture")</f>
        <v>View Picture</v>
      </c>
      <c r="K2646" s="43"/>
    </row>
    <row r="2647">
      <c r="A2647" s="55"/>
      <c r="B2647" s="33" t="s">
        <v>26032</v>
      </c>
      <c r="C2647" s="42">
        <v>289.0</v>
      </c>
      <c r="D2647" s="31"/>
      <c r="E2647" s="74"/>
      <c r="F2647" s="46" t="s">
        <v>2793</v>
      </c>
      <c r="G2647" s="75"/>
      <c r="H2647" s="98" t="str">
        <f>HYPERLINK("http://mirror.ff7data.com.ar/ff7/data/minigame/high-us.lgp/qraa.rsd.png","View Picture")</f>
        <v>View Picture</v>
      </c>
      <c r="K2647" s="43"/>
    </row>
    <row r="2648">
      <c r="A2648" s="55"/>
      <c r="B2648" s="33" t="s">
        <v>26034</v>
      </c>
      <c r="C2648" s="42">
        <v>524.0</v>
      </c>
      <c r="D2648" s="31"/>
      <c r="E2648" s="74"/>
      <c r="F2648" s="46" t="s">
        <v>2775</v>
      </c>
      <c r="G2648" s="75"/>
      <c r="H2648" s="98" t="str">
        <f>HYPERLINK("http://mirror.ff7data.com.ar/ff7/data/minigame/high-us.lgp/qsaa.p.png","View Picture")</f>
        <v>View Picture</v>
      </c>
      <c r="K2648" s="43"/>
    </row>
    <row r="2649">
      <c r="A2649" s="55"/>
      <c r="B2649" s="33" t="s">
        <v>26036</v>
      </c>
      <c r="C2649" s="42">
        <v>16684.0</v>
      </c>
      <c r="D2649" s="31"/>
      <c r="E2649" s="74"/>
      <c r="F2649" s="46" t="s">
        <v>1348</v>
      </c>
      <c r="G2649" s="75"/>
      <c r="H2649" s="98" t="str">
        <f>HYPERLINK("http://mirror.ff7data.com.ar/ff7/data/minigame/high-us.lgp/qtaa.tex.png","View Picture")</f>
        <v>View Picture</v>
      </c>
      <c r="K2649" s="43"/>
    </row>
    <row r="2650">
      <c r="A2650" s="55"/>
      <c r="B2650" s="33" t="s">
        <v>26038</v>
      </c>
      <c r="C2650" s="42">
        <v>213.0</v>
      </c>
      <c r="D2650" s="31"/>
      <c r="E2650" s="74"/>
      <c r="F2650" s="46" t="s">
        <v>2793</v>
      </c>
      <c r="G2650" s="75"/>
      <c r="H2650" s="98" t="str">
        <f>HYPERLINK("http://mirror.ff7data.com.ar/ff7/data/minigame/high-us.lgp/raaa.rsd.png","View Picture")</f>
        <v>View Picture</v>
      </c>
      <c r="K2650" s="43"/>
    </row>
    <row r="2651">
      <c r="A2651" s="55"/>
      <c r="B2651" s="33" t="s">
        <v>26040</v>
      </c>
      <c r="C2651" s="42">
        <v>12288.0</v>
      </c>
      <c r="D2651" s="31"/>
      <c r="E2651" s="74"/>
      <c r="F2651" s="46" t="s">
        <v>2775</v>
      </c>
      <c r="G2651" s="46" t="s">
        <v>25799</v>
      </c>
      <c r="H2651" s="98" t="str">
        <f>HYPERLINK("http://mirror.ff7data.com.ar/ff7/data/minigame/high-us.lgp/rbaa.p.png","View Picture")</f>
        <v>View Picture</v>
      </c>
      <c r="K2651" s="43"/>
    </row>
    <row r="2652">
      <c r="A2652" s="55"/>
      <c r="B2652" s="33" t="s">
        <v>26043</v>
      </c>
      <c r="C2652" s="42">
        <v>576.0</v>
      </c>
      <c r="D2652" s="31"/>
      <c r="E2652" s="74"/>
      <c r="F2652" s="46" t="s">
        <v>2775</v>
      </c>
      <c r="G2652" s="75"/>
      <c r="H2652" s="98" t="str">
        <f>HYPERLINK("http://mirror.ff7data.com.ar/ff7/data/minigame/high-us.lgp/rcaa.p.png","View Picture")</f>
        <v>View Picture</v>
      </c>
      <c r="K2652" s="43"/>
    </row>
    <row r="2653">
      <c r="A2653" s="55"/>
      <c r="B2653" s="33" t="s">
        <v>26046</v>
      </c>
      <c r="C2653" s="42">
        <v>4000.0</v>
      </c>
      <c r="D2653" s="31"/>
      <c r="E2653" s="74"/>
      <c r="F2653" s="46" t="s">
        <v>2775</v>
      </c>
      <c r="G2653" s="75"/>
      <c r="H2653" s="98" t="str">
        <f>HYPERLINK("http://mirror.ff7data.com.ar/ff7/data/minigame/high-us.lgp/rdaa.p.png","View Picture")</f>
        <v>View Picture</v>
      </c>
      <c r="K2653" s="43"/>
    </row>
    <row r="2654">
      <c r="A2654" s="55"/>
      <c r="B2654" s="33" t="s">
        <v>26048</v>
      </c>
      <c r="C2654" s="42">
        <v>213.0</v>
      </c>
      <c r="D2654" s="31"/>
      <c r="E2654" s="74"/>
      <c r="F2654" s="46" t="s">
        <v>2793</v>
      </c>
      <c r="G2654" s="75"/>
      <c r="H2654" s="98" t="str">
        <f>HYPERLINK("http://mirror.ff7data.com.ar/ff7/data/minigame/high-us.lgp/reaa.rsd.png","View Picture")</f>
        <v>View Picture</v>
      </c>
      <c r="K2654" s="43"/>
    </row>
    <row r="2655">
      <c r="A2655" s="55"/>
      <c r="B2655" s="33" t="s">
        <v>26050</v>
      </c>
      <c r="C2655" s="42">
        <v>1312.0</v>
      </c>
      <c r="D2655" s="31"/>
      <c r="E2655" s="74"/>
      <c r="F2655" s="46" t="s">
        <v>2775</v>
      </c>
      <c r="G2655" s="75"/>
      <c r="H2655" s="98" t="str">
        <f>HYPERLINK("http://mirror.ff7data.com.ar/ff7/data/minigame/high-us.lgp/rfaa.p.png","View Picture")</f>
        <v>View Picture</v>
      </c>
      <c r="K2655" s="43"/>
    </row>
    <row r="2656">
      <c r="A2656" s="55"/>
      <c r="B2656" s="33" t="s">
        <v>26052</v>
      </c>
      <c r="C2656" s="42">
        <v>14436.0</v>
      </c>
      <c r="D2656" s="31"/>
      <c r="E2656" s="74"/>
      <c r="F2656" s="46" t="s">
        <v>3366</v>
      </c>
      <c r="G2656" s="75"/>
      <c r="H2656" s="122"/>
      <c r="K2656" s="43"/>
    </row>
    <row r="2657">
      <c r="A2657" s="55"/>
      <c r="B2657" s="33" t="s">
        <v>26053</v>
      </c>
      <c r="C2657" s="42">
        <v>4236.0</v>
      </c>
      <c r="D2657" s="31"/>
      <c r="E2657" s="74"/>
      <c r="F2657" s="46" t="s">
        <v>3366</v>
      </c>
      <c r="G2657" s="75"/>
      <c r="H2657" s="122"/>
      <c r="K2657" s="43"/>
    </row>
    <row r="2658">
      <c r="A2658" s="55"/>
      <c r="B2658" s="33" t="s">
        <v>26054</v>
      </c>
      <c r="C2658" s="42">
        <v>3884.0</v>
      </c>
      <c r="D2658" s="31"/>
      <c r="E2658" s="74"/>
      <c r="F2658" s="46" t="s">
        <v>2775</v>
      </c>
      <c r="G2658" s="75"/>
      <c r="H2658" s="98" t="str">
        <f>HYPERLINK("http://mirror.ff7data.com.ar/ff7/data/minigame/high-us.lgp/riaa.p.png","View Picture")</f>
        <v>View Picture</v>
      </c>
      <c r="K2658" s="43"/>
    </row>
    <row r="2659">
      <c r="A2659" s="55"/>
      <c r="B2659" s="33" t="s">
        <v>26056</v>
      </c>
      <c r="C2659" s="42">
        <v>8180.0</v>
      </c>
      <c r="D2659" s="31"/>
      <c r="E2659" s="74"/>
      <c r="F2659" s="46" t="s">
        <v>2775</v>
      </c>
      <c r="G2659" s="75"/>
      <c r="H2659" s="98" t="str">
        <f>HYPERLINK("http://mirror.ff7data.com.ar/ff7/data/minigame/high-us.lgp/rjaa.p.png","View Picture")</f>
        <v>View Picture</v>
      </c>
      <c r="K2659" s="43"/>
    </row>
    <row r="2660">
      <c r="A2660" s="55"/>
      <c r="B2660" s="33" t="s">
        <v>26058</v>
      </c>
      <c r="C2660" s="42">
        <v>9428.0</v>
      </c>
      <c r="D2660" s="31"/>
      <c r="E2660" s="74"/>
      <c r="F2660" s="46" t="s">
        <v>2775</v>
      </c>
      <c r="G2660" s="75"/>
      <c r="H2660" s="98" t="str">
        <f>HYPERLINK("http://mirror.ff7data.com.ar/ff7/data/minigame/high-us.lgp/rkaa.p.png","View Picture")</f>
        <v>View Picture</v>
      </c>
      <c r="K2660" s="43"/>
    </row>
    <row r="2661">
      <c r="A2661" s="55"/>
      <c r="B2661" s="33" t="s">
        <v>26060</v>
      </c>
      <c r="C2661" s="42">
        <v>1360.0</v>
      </c>
      <c r="D2661" s="31"/>
      <c r="E2661" s="74"/>
      <c r="F2661" s="46" t="s">
        <v>2775</v>
      </c>
      <c r="G2661" s="75"/>
      <c r="H2661" s="98" t="str">
        <f>HYPERLINK("http://mirror.ff7data.com.ar/ff7/data/minigame/high-us.lgp/rlaa.p.png","View Picture")</f>
        <v>View Picture</v>
      </c>
      <c r="K2661" s="43"/>
    </row>
    <row r="2662">
      <c r="A2662" s="55"/>
      <c r="B2662" s="33" t="s">
        <v>26062</v>
      </c>
      <c r="C2662" s="42">
        <v>283.0</v>
      </c>
      <c r="D2662" s="31"/>
      <c r="E2662" s="74"/>
      <c r="F2662" s="46" t="s">
        <v>2793</v>
      </c>
      <c r="G2662" s="75"/>
      <c r="H2662" s="98" t="str">
        <f>HYPERLINK("http://mirror.ff7data.com.ar/ff7/data/minigame/high-us.lgp/rmaa.rsd.png","View Picture")</f>
        <v>View Picture</v>
      </c>
      <c r="K2662" s="43"/>
    </row>
    <row r="2663">
      <c r="A2663" s="55"/>
      <c r="B2663" s="33" t="s">
        <v>26064</v>
      </c>
      <c r="C2663" s="42">
        <v>289.0</v>
      </c>
      <c r="D2663" s="31"/>
      <c r="E2663" s="74"/>
      <c r="F2663" s="46" t="s">
        <v>2793</v>
      </c>
      <c r="G2663" s="75"/>
      <c r="H2663" s="98" t="str">
        <f>HYPERLINK("http://mirror.ff7data.com.ar/ff7/data/minigame/high-us.lgp/rnaa.rsd.png","View Picture")</f>
        <v>View Picture</v>
      </c>
      <c r="K2663" s="43"/>
    </row>
    <row r="2664">
      <c r="A2664" s="55"/>
      <c r="B2664" s="33" t="s">
        <v>26066</v>
      </c>
      <c r="C2664" s="42">
        <v>286.0</v>
      </c>
      <c r="D2664" s="31"/>
      <c r="E2664" s="74"/>
      <c r="F2664" s="46" t="s">
        <v>2793</v>
      </c>
      <c r="G2664" s="75"/>
      <c r="H2664" s="98" t="str">
        <f>HYPERLINK("http://mirror.ff7data.com.ar/ff7/data/minigame/high-us.lgp/roaa.rsd.png","View Picture")</f>
        <v>View Picture</v>
      </c>
      <c r="K2664" s="43"/>
    </row>
    <row r="2665">
      <c r="A2665" s="55"/>
      <c r="B2665" s="33" t="s">
        <v>26068</v>
      </c>
      <c r="C2665" s="42">
        <v>7148.0</v>
      </c>
      <c r="D2665" s="31"/>
      <c r="E2665" s="74"/>
      <c r="F2665" s="46" t="s">
        <v>2775</v>
      </c>
      <c r="G2665" s="75"/>
      <c r="H2665" s="98" t="str">
        <f>HYPERLINK("http://mirror.ff7data.com.ar/ff7/data/minigame/high-us.lgp/rpaa.p.png","View Picture")</f>
        <v>View Picture</v>
      </c>
      <c r="K2665" s="43"/>
    </row>
    <row r="2666">
      <c r="A2666" s="55"/>
      <c r="B2666" s="33" t="s">
        <v>26070</v>
      </c>
      <c r="C2666" s="42">
        <v>2364.0</v>
      </c>
      <c r="D2666" s="31"/>
      <c r="E2666" s="74"/>
      <c r="F2666" s="46" t="s">
        <v>2775</v>
      </c>
      <c r="G2666" s="75"/>
      <c r="H2666" s="98" t="str">
        <f>HYPERLINK("http://mirror.ff7data.com.ar/ff7/data/minigame/high-us.lgp/rqaa.p.png","View Picture")</f>
        <v>View Picture</v>
      </c>
      <c r="K2666" s="43"/>
    </row>
    <row r="2667">
      <c r="A2667" s="55"/>
      <c r="B2667" s="33" t="s">
        <v>26073</v>
      </c>
      <c r="C2667" s="42">
        <v>876.0</v>
      </c>
      <c r="D2667" s="31"/>
      <c r="E2667" s="74"/>
      <c r="F2667" s="46" t="s">
        <v>2775</v>
      </c>
      <c r="G2667" s="75"/>
      <c r="H2667" s="98" t="str">
        <f>HYPERLINK("http://mirror.ff7data.com.ar/ff7/data/minigame/high-us.lgp/rraa.p.png","View Picture")</f>
        <v>View Picture</v>
      </c>
      <c r="K2667" s="43"/>
    </row>
    <row r="2668">
      <c r="A2668" s="55"/>
      <c r="B2668" s="33" t="s">
        <v>26075</v>
      </c>
      <c r="C2668" s="42">
        <v>1324.0</v>
      </c>
      <c r="D2668" s="31"/>
      <c r="E2668" s="74"/>
      <c r="F2668" s="46" t="s">
        <v>1348</v>
      </c>
      <c r="G2668" s="75"/>
      <c r="H2668" s="98" t="str">
        <f>HYPERLINK("http://mirror.ff7data.com.ar/ff7/data/minigame/high-us.lgp/rsaa.tex.png","View Picture")</f>
        <v>View Picture</v>
      </c>
      <c r="K2668" s="43"/>
    </row>
    <row r="2669">
      <c r="A2669" s="55"/>
      <c r="B2669" s="33" t="s">
        <v>26077</v>
      </c>
      <c r="C2669" s="42">
        <v>16684.0</v>
      </c>
      <c r="D2669" s="31"/>
      <c r="E2669" s="74"/>
      <c r="F2669" s="46" t="s">
        <v>1348</v>
      </c>
      <c r="G2669" s="75"/>
      <c r="H2669" s="98" t="str">
        <f>HYPERLINK("http://mirror.ff7data.com.ar/ff7/data/minigame/high-us.lgp/rtaa.tex.png","View Picture")</f>
        <v>View Picture</v>
      </c>
      <c r="K2669" s="43"/>
    </row>
    <row r="2670">
      <c r="A2670" s="55"/>
      <c r="B2670" s="33" t="s">
        <v>26080</v>
      </c>
      <c r="C2670" s="42">
        <v>676.0</v>
      </c>
      <c r="D2670" s="31"/>
      <c r="E2670" s="74"/>
      <c r="F2670" s="46" t="s">
        <v>2775</v>
      </c>
      <c r="G2670" s="75"/>
      <c r="H2670" s="98" t="str">
        <f>HYPERLINK("http://mirror.ff7data.com.ar/ff7/data/minigame/high-us.lgp/saaa.p.png","View Picture")</f>
        <v>View Picture</v>
      </c>
      <c r="K2670" s="43"/>
    </row>
    <row r="2671">
      <c r="A2671" s="55"/>
      <c r="B2671" s="33" t="s">
        <v>26083</v>
      </c>
      <c r="C2671" s="42">
        <v>294.0</v>
      </c>
      <c r="D2671" s="31"/>
      <c r="E2671" s="74"/>
      <c r="F2671" s="46" t="s">
        <v>2793</v>
      </c>
      <c r="G2671" s="75"/>
      <c r="H2671" s="98" t="str">
        <f>HYPERLINK("http://mirror.ff7data.com.ar/ff7/data/minigame/high-us.lgp/sbaa.rsd.png","View Picture")</f>
        <v>View Picture</v>
      </c>
      <c r="K2671" s="43"/>
    </row>
    <row r="2672">
      <c r="A2672" s="55"/>
      <c r="B2672" s="33" t="s">
        <v>26087</v>
      </c>
      <c r="C2672" s="42">
        <v>213.0</v>
      </c>
      <c r="D2672" s="31"/>
      <c r="E2672" s="74"/>
      <c r="F2672" s="46" t="s">
        <v>2793</v>
      </c>
      <c r="G2672" s="75"/>
      <c r="H2672" s="98" t="str">
        <f>HYPERLINK("http://mirror.ff7data.com.ar/ff7/data/minigame/high-us.lgp/scaa.rsd.png","View Picture")</f>
        <v>View Picture</v>
      </c>
      <c r="K2672" s="43"/>
    </row>
    <row r="2673">
      <c r="A2673" s="55"/>
      <c r="B2673" s="33" t="s">
        <v>26096</v>
      </c>
      <c r="C2673" s="42">
        <v>289.0</v>
      </c>
      <c r="D2673" s="31"/>
      <c r="E2673" s="74"/>
      <c r="F2673" s="46" t="s">
        <v>2793</v>
      </c>
      <c r="G2673" s="75"/>
      <c r="H2673" s="98" t="str">
        <f>HYPERLINK("http://mirror.ff7data.com.ar/ff7/data/minigame/high-us.lgp/sdaa.rsd.png","View Picture")</f>
        <v>View Picture</v>
      </c>
      <c r="K2673" s="43"/>
    </row>
    <row r="2674">
      <c r="A2674" s="55"/>
      <c r="B2674" s="33" t="s">
        <v>26110</v>
      </c>
      <c r="C2674" s="42">
        <v>652.0</v>
      </c>
      <c r="D2674" s="31"/>
      <c r="E2674" s="74"/>
      <c r="F2674" s="46" t="s">
        <v>2775</v>
      </c>
      <c r="G2674" s="75"/>
      <c r="H2674" s="98" t="str">
        <f>HYPERLINK("http://mirror.ff7data.com.ar/ff7/data/minigame/high-us.lgp/seaa.p.png","View Picture")</f>
        <v>View Picture</v>
      </c>
      <c r="K2674" s="43"/>
    </row>
    <row r="2675">
      <c r="A2675" s="55"/>
      <c r="B2675" s="33" t="s">
        <v>26121</v>
      </c>
      <c r="C2675" s="42">
        <v>285.0</v>
      </c>
      <c r="D2675" s="31"/>
      <c r="E2675" s="74"/>
      <c r="F2675" s="46" t="s">
        <v>2793</v>
      </c>
      <c r="G2675" s="75"/>
      <c r="H2675" s="98" t="str">
        <f>HYPERLINK("http://mirror.ff7data.com.ar/ff7/data/minigame/high-us.lgp/sfaa.rsd.png","View Picture")</f>
        <v>View Picture</v>
      </c>
      <c r="K2675" s="43"/>
    </row>
    <row r="2676">
      <c r="A2676" s="55"/>
      <c r="B2676" s="33" t="s">
        <v>26134</v>
      </c>
      <c r="C2676" s="42">
        <v>4596.0</v>
      </c>
      <c r="D2676" s="31"/>
      <c r="E2676" s="74"/>
      <c r="F2676" s="46" t="s">
        <v>3366</v>
      </c>
      <c r="G2676" s="75"/>
      <c r="H2676" s="122"/>
      <c r="K2676" s="43"/>
    </row>
    <row r="2677">
      <c r="A2677" s="55"/>
      <c r="B2677" s="33" t="s">
        <v>26135</v>
      </c>
      <c r="C2677" s="42">
        <v>194.0</v>
      </c>
      <c r="D2677" s="31"/>
      <c r="E2677" s="74"/>
      <c r="F2677" s="46" t="s">
        <v>2793</v>
      </c>
      <c r="G2677" s="75"/>
      <c r="H2677" s="98" t="str">
        <f>HYPERLINK("http://mirror.ff7data.com.ar/ff7/data/minigame/high-us.lgp/shaa.rsd.png","View Picture")</f>
        <v>View Picture</v>
      </c>
      <c r="K2677" s="43"/>
    </row>
    <row r="2678">
      <c r="A2678" s="55"/>
      <c r="B2678" s="33" t="s">
        <v>26146</v>
      </c>
      <c r="C2678" s="42">
        <v>289.0</v>
      </c>
      <c r="D2678" s="31"/>
      <c r="E2678" s="74"/>
      <c r="F2678" s="46" t="s">
        <v>2793</v>
      </c>
      <c r="G2678" s="75"/>
      <c r="H2678" s="98" t="str">
        <f>HYPERLINK("http://mirror.ff7data.com.ar/ff7/data/minigame/high-us.lgp/siaa.rsd.png","View Picture")</f>
        <v>View Picture</v>
      </c>
      <c r="K2678" s="43"/>
    </row>
    <row r="2679">
      <c r="A2679" s="55"/>
      <c r="B2679" s="33" t="s">
        <v>26163</v>
      </c>
      <c r="C2679" s="42">
        <v>289.0</v>
      </c>
      <c r="D2679" s="31"/>
      <c r="E2679" s="74"/>
      <c r="F2679" s="46" t="s">
        <v>2793</v>
      </c>
      <c r="G2679" s="75"/>
      <c r="H2679" s="98" t="str">
        <f>HYPERLINK("http://mirror.ff7data.com.ar/ff7/data/minigame/high-us.lgp/sjaa.rsd.png","View Picture")</f>
        <v>View Picture</v>
      </c>
      <c r="K2679" s="43"/>
    </row>
    <row r="2680">
      <c r="A2680" s="55"/>
      <c r="B2680" s="33" t="s">
        <v>26185</v>
      </c>
      <c r="C2680" s="42">
        <v>283.0</v>
      </c>
      <c r="D2680" s="31"/>
      <c r="E2680" s="74"/>
      <c r="F2680" s="46" t="s">
        <v>2793</v>
      </c>
      <c r="G2680" s="75"/>
      <c r="H2680" s="98" t="str">
        <f>HYPERLINK("http://mirror.ff7data.com.ar/ff7/data/minigame/high-us.lgp/skaa.rsd.png","View Picture")</f>
        <v>View Picture</v>
      </c>
      <c r="K2680" s="43"/>
    </row>
    <row r="2681">
      <c r="A2681" s="55"/>
      <c r="B2681" s="33" t="s">
        <v>26204</v>
      </c>
      <c r="C2681" s="42">
        <v>289.0</v>
      </c>
      <c r="D2681" s="31"/>
      <c r="E2681" s="74"/>
      <c r="F2681" s="46" t="s">
        <v>2793</v>
      </c>
      <c r="G2681" s="75"/>
      <c r="H2681" s="98" t="str">
        <f>HYPERLINK("http://mirror.ff7data.com.ar/ff7/data/minigame/high-us.lgp/slaa.rsd.png","View Picture")</f>
        <v>View Picture</v>
      </c>
      <c r="K2681" s="43"/>
    </row>
    <row r="2682">
      <c r="A2682" s="55"/>
      <c r="B2682" s="33" t="s">
        <v>26216</v>
      </c>
      <c r="C2682" s="42">
        <v>22140.0</v>
      </c>
      <c r="D2682" s="31"/>
      <c r="E2682" s="74"/>
      <c r="F2682" s="46" t="s">
        <v>2775</v>
      </c>
      <c r="G2682" s="75"/>
      <c r="H2682" s="98" t="str">
        <f>HYPERLINK("http://mirror.ff7data.com.ar/ff7/data/minigame/high-us.lgp/smaa.p.png","View Picture")</f>
        <v>View Picture</v>
      </c>
      <c r="K2682" s="43"/>
    </row>
    <row r="2683">
      <c r="A2683" s="55"/>
      <c r="B2683" s="33" t="s">
        <v>26230</v>
      </c>
      <c r="C2683" s="42">
        <v>3748.0</v>
      </c>
      <c r="D2683" s="31"/>
      <c r="E2683" s="74"/>
      <c r="F2683" s="46" t="s">
        <v>2775</v>
      </c>
      <c r="G2683" s="75"/>
      <c r="H2683" s="98" t="str">
        <f>HYPERLINK("http://mirror.ff7data.com.ar/ff7/data/minigame/high-us.lgp/snaa.p.png","View Picture")</f>
        <v>View Picture</v>
      </c>
      <c r="K2683" s="43"/>
    </row>
    <row r="2684">
      <c r="A2684" s="55"/>
      <c r="B2684" s="33" t="s">
        <v>26243</v>
      </c>
      <c r="C2684" s="42">
        <v>2900.0</v>
      </c>
      <c r="D2684" s="31"/>
      <c r="E2684" s="74"/>
      <c r="F2684" s="46" t="s">
        <v>2775</v>
      </c>
      <c r="G2684" s="75"/>
      <c r="H2684" s="98" t="str">
        <f>HYPERLINK("http://mirror.ff7data.com.ar/ff7/data/minigame/high-us.lgp/soaa.p.png","View Picture")</f>
        <v>View Picture</v>
      </c>
      <c r="K2684" s="43"/>
    </row>
    <row r="2685">
      <c r="A2685" s="55"/>
      <c r="B2685" s="33" t="s">
        <v>26257</v>
      </c>
      <c r="C2685" s="42">
        <v>289.0</v>
      </c>
      <c r="D2685" s="31"/>
      <c r="E2685" s="74"/>
      <c r="F2685" s="46" t="s">
        <v>2793</v>
      </c>
      <c r="G2685" s="75"/>
      <c r="H2685" s="98" t="str">
        <f>HYPERLINK("http://mirror.ff7data.com.ar/ff7/data/minigame/high-us.lgp/spaa.rsd.png","View Picture")</f>
        <v>View Picture</v>
      </c>
      <c r="K2685" s="43"/>
    </row>
    <row r="2686">
      <c r="A2686" s="55"/>
      <c r="B2686" s="33" t="s">
        <v>26269</v>
      </c>
      <c r="C2686" s="42">
        <v>277.0</v>
      </c>
      <c r="D2686" s="31"/>
      <c r="E2686" s="74"/>
      <c r="F2686" s="46" t="s">
        <v>2793</v>
      </c>
      <c r="G2686" s="75"/>
      <c r="H2686" s="98" t="str">
        <f>HYPERLINK("http://mirror.ff7data.com.ar/ff7/data/minigame/high-us.lgp/sqaa.rsd.png","View Picture")</f>
        <v>View Picture</v>
      </c>
      <c r="K2686" s="43"/>
    </row>
    <row r="2687">
      <c r="A2687" s="55"/>
      <c r="B2687" s="33" t="s">
        <v>26278</v>
      </c>
      <c r="C2687" s="42">
        <v>289.0</v>
      </c>
      <c r="D2687" s="31"/>
      <c r="E2687" s="74"/>
      <c r="F2687" s="46" t="s">
        <v>2793</v>
      </c>
      <c r="G2687" s="75"/>
      <c r="H2687" s="98" t="str">
        <f>HYPERLINK("http://mirror.ff7data.com.ar/ff7/data/minigame/high-us.lgp/sraa.rsd.png","View Picture")</f>
        <v>View Picture</v>
      </c>
      <c r="K2687" s="43"/>
    </row>
    <row r="2688">
      <c r="A2688" s="55"/>
      <c r="B2688" s="33" t="s">
        <v>26287</v>
      </c>
      <c r="C2688" s="42">
        <v>303.0</v>
      </c>
      <c r="D2688" s="31"/>
      <c r="E2688" s="74"/>
      <c r="F2688" s="46" t="s">
        <v>2793</v>
      </c>
      <c r="G2688" s="75"/>
      <c r="H2688" s="98" t="str">
        <f>HYPERLINK("http://mirror.ff7data.com.ar/ff7/data/minigame/high-us.lgp/ssaa.rsd.png","View Picture")</f>
        <v>View Picture</v>
      </c>
      <c r="K2688" s="43"/>
    </row>
    <row r="2689">
      <c r="A2689" s="55"/>
      <c r="B2689" s="33" t="s">
        <v>26295</v>
      </c>
      <c r="C2689" s="42">
        <v>16684.0</v>
      </c>
      <c r="D2689" s="31"/>
      <c r="E2689" s="74"/>
      <c r="F2689" s="46" t="s">
        <v>1348</v>
      </c>
      <c r="G2689" s="75"/>
      <c r="H2689" s="98" t="str">
        <f>HYPERLINK("http://mirror.ff7data.com.ar/ff7/data/minigame/high-us.lgp/staa.tex.png","View Picture")</f>
        <v>View Picture</v>
      </c>
      <c r="K2689" s="43"/>
    </row>
    <row r="2690">
      <c r="A2690" s="55"/>
      <c r="B2690" s="33" t="s">
        <v>26303</v>
      </c>
      <c r="C2690" s="42">
        <v>296.0</v>
      </c>
      <c r="D2690" s="31"/>
      <c r="E2690" s="74"/>
      <c r="F2690" s="46" t="s">
        <v>2793</v>
      </c>
      <c r="G2690" s="75"/>
      <c r="H2690" s="98" t="str">
        <f>HYPERLINK("http://mirror.ff7data.com.ar/ff7/data/minigame/high-us.lgp/taaa.rsd.png","View Picture")</f>
        <v>View Picture</v>
      </c>
      <c r="K2690" s="43"/>
    </row>
    <row r="2691">
      <c r="A2691" s="55"/>
      <c r="B2691" s="33" t="s">
        <v>26310</v>
      </c>
      <c r="C2691" s="42">
        <v>2988.0</v>
      </c>
      <c r="D2691" s="31"/>
      <c r="E2691" s="74"/>
      <c r="F2691" s="46" t="s">
        <v>2775</v>
      </c>
      <c r="G2691" s="75"/>
      <c r="H2691" s="98" t="str">
        <f>HYPERLINK("http://mirror.ff7data.com.ar/ff7/data/minigame/high-us.lgp/tbaa.p.png","View Picture")</f>
        <v>View Picture</v>
      </c>
      <c r="K2691" s="43"/>
    </row>
    <row r="2692">
      <c r="A2692" s="55"/>
      <c r="B2692" s="33" t="s">
        <v>26321</v>
      </c>
      <c r="C2692" s="42">
        <v>576.0</v>
      </c>
      <c r="D2692" s="31"/>
      <c r="E2692" s="74"/>
      <c r="F2692" s="46" t="s">
        <v>2775</v>
      </c>
      <c r="G2692" s="75"/>
      <c r="H2692" s="98" t="str">
        <f>HYPERLINK("http://mirror.ff7data.com.ar/ff7/data/minigame/high-us.lgp/tcaa.p.png","View Picture")</f>
        <v>View Picture</v>
      </c>
      <c r="K2692" s="43"/>
    </row>
    <row r="2693">
      <c r="A2693" s="55"/>
      <c r="B2693" s="33" t="s">
        <v>26325</v>
      </c>
      <c r="C2693" s="42">
        <v>4168.0</v>
      </c>
      <c r="D2693" s="31"/>
      <c r="E2693" s="74"/>
      <c r="F2693" s="46" t="s">
        <v>2775</v>
      </c>
      <c r="G2693" s="75"/>
      <c r="H2693" s="98" t="str">
        <f>HYPERLINK("http://mirror.ff7data.com.ar/ff7/data/minigame/high-us.lgp/tdaa.p.png","View Picture")</f>
        <v>View Picture</v>
      </c>
      <c r="K2693" s="43"/>
    </row>
    <row r="2694">
      <c r="A2694" s="55"/>
      <c r="B2694" s="33" t="s">
        <v>26329</v>
      </c>
      <c r="C2694" s="42">
        <v>213.0</v>
      </c>
      <c r="D2694" s="31"/>
      <c r="E2694" s="74"/>
      <c r="F2694" s="46" t="s">
        <v>2793</v>
      </c>
      <c r="G2694" s="75"/>
      <c r="H2694" s="98" t="str">
        <f>HYPERLINK("http://mirror.ff7data.com.ar/ff7/data/minigame/high-us.lgp/teaa.rsd.png","View Picture")</f>
        <v>View Picture</v>
      </c>
      <c r="K2694" s="43"/>
    </row>
    <row r="2695">
      <c r="A2695" s="55"/>
      <c r="B2695" s="33" t="s">
        <v>26333</v>
      </c>
      <c r="C2695" s="42">
        <v>1040.0</v>
      </c>
      <c r="D2695" s="31"/>
      <c r="E2695" s="74"/>
      <c r="F2695" s="46" t="s">
        <v>2775</v>
      </c>
      <c r="G2695" s="75"/>
      <c r="H2695" s="98" t="str">
        <f>HYPERLINK("http://mirror.ff7data.com.ar/ff7/data/minigame/high-us.lgp/tfaa.p.png","View Picture")</f>
        <v>View Picture</v>
      </c>
      <c r="K2695" s="43"/>
    </row>
    <row r="2696">
      <c r="A2696" s="55"/>
      <c r="B2696" s="33" t="s">
        <v>26338</v>
      </c>
      <c r="C2696" s="42">
        <v>12036.0</v>
      </c>
      <c r="D2696" s="31"/>
      <c r="E2696" s="74"/>
      <c r="F2696" s="46" t="s">
        <v>3366</v>
      </c>
      <c r="G2696" s="75"/>
      <c r="H2696" s="122"/>
      <c r="K2696" s="43"/>
    </row>
    <row r="2697">
      <c r="A2697" s="55"/>
      <c r="B2697" s="33" t="s">
        <v>26339</v>
      </c>
      <c r="C2697" s="42">
        <v>516.0</v>
      </c>
      <c r="D2697" s="31"/>
      <c r="E2697" s="74"/>
      <c r="F2697" s="46" t="s">
        <v>2775</v>
      </c>
      <c r="G2697" s="75"/>
      <c r="H2697" s="98" t="str">
        <f>HYPERLINK("http://mirror.ff7data.com.ar/ff7/data/minigame/high-us.lgp/thaa.p.png","View Picture")</f>
        <v>View Picture</v>
      </c>
      <c r="K2697" s="43"/>
    </row>
    <row r="2698">
      <c r="A2698" s="55"/>
      <c r="B2698" s="33" t="s">
        <v>26342</v>
      </c>
      <c r="C2698" s="42">
        <v>9672.0</v>
      </c>
      <c r="D2698" s="31"/>
      <c r="E2698" s="74"/>
      <c r="F2698" s="46" t="s">
        <v>2775</v>
      </c>
      <c r="G2698" s="75"/>
      <c r="H2698" s="98" t="str">
        <f>HYPERLINK("http://mirror.ff7data.com.ar/ff7/data/minigame/high-us.lgp/tiaa.p.png","View Picture")</f>
        <v>View Picture</v>
      </c>
      <c r="K2698" s="43"/>
    </row>
    <row r="2699">
      <c r="A2699" s="55"/>
      <c r="B2699" s="33" t="s">
        <v>26345</v>
      </c>
      <c r="C2699" s="42">
        <v>3620.0</v>
      </c>
      <c r="D2699" s="31"/>
      <c r="E2699" s="74"/>
      <c r="F2699" s="46" t="s">
        <v>2775</v>
      </c>
      <c r="G2699" s="75"/>
      <c r="H2699" s="98" t="str">
        <f>HYPERLINK("http://mirror.ff7data.com.ar/ff7/data/minigame/high-us.lgp/tjaa.p.png","View Picture")</f>
        <v>View Picture</v>
      </c>
      <c r="K2699" s="43"/>
    </row>
    <row r="2700">
      <c r="A2700" s="55"/>
      <c r="B2700" s="33" t="s">
        <v>26353</v>
      </c>
      <c r="C2700" s="42">
        <v>9904.0</v>
      </c>
      <c r="D2700" s="31"/>
      <c r="E2700" s="74"/>
      <c r="F2700" s="46" t="s">
        <v>2775</v>
      </c>
      <c r="G2700" s="75"/>
      <c r="H2700" s="98" t="str">
        <f>HYPERLINK("http://mirror.ff7data.com.ar/ff7/data/minigame/high-us.lgp/tkaa.p.png","View Picture")</f>
        <v>View Picture</v>
      </c>
      <c r="K2700" s="43"/>
    </row>
    <row r="2701">
      <c r="A2701" s="55"/>
      <c r="B2701" s="33" t="s">
        <v>26361</v>
      </c>
      <c r="C2701" s="42">
        <v>2848.0</v>
      </c>
      <c r="D2701" s="31"/>
      <c r="E2701" s="74"/>
      <c r="F2701" s="46" t="s">
        <v>2775</v>
      </c>
      <c r="G2701" s="75"/>
      <c r="H2701" s="98" t="str">
        <f>HYPERLINK("http://mirror.ff7data.com.ar/ff7/data/minigame/high-us.lgp/tlaa.p.png","View Picture")</f>
        <v>View Picture</v>
      </c>
      <c r="K2701" s="43"/>
    </row>
    <row r="2702">
      <c r="A2702" s="55"/>
      <c r="B2702" s="33" t="s">
        <v>26368</v>
      </c>
      <c r="C2702" s="42">
        <v>283.0</v>
      </c>
      <c r="D2702" s="31"/>
      <c r="E2702" s="74"/>
      <c r="F2702" s="46" t="s">
        <v>2793</v>
      </c>
      <c r="G2702" s="75"/>
      <c r="H2702" s="98" t="str">
        <f>HYPERLINK("http://mirror.ff7data.com.ar/ff7/data/minigame/high-us.lgp/tmaa.rsd.png","View Picture")</f>
        <v>View Picture</v>
      </c>
      <c r="K2702" s="43"/>
    </row>
    <row r="2703">
      <c r="A2703" s="55"/>
      <c r="B2703" s="33" t="s">
        <v>26376</v>
      </c>
      <c r="C2703" s="42">
        <v>289.0</v>
      </c>
      <c r="D2703" s="31"/>
      <c r="E2703" s="74"/>
      <c r="F2703" s="46" t="s">
        <v>2793</v>
      </c>
      <c r="G2703" s="75"/>
      <c r="H2703" s="98" t="str">
        <f>HYPERLINK("http://mirror.ff7data.com.ar/ff7/data/minigame/high-us.lgp/tnaa.rsd.png","View Picture")</f>
        <v>View Picture</v>
      </c>
      <c r="K2703" s="43"/>
    </row>
    <row r="2704">
      <c r="A2704" s="55"/>
      <c r="B2704" s="33" t="s">
        <v>26387</v>
      </c>
      <c r="C2704" s="42">
        <v>283.0</v>
      </c>
      <c r="D2704" s="31"/>
      <c r="E2704" s="74"/>
      <c r="F2704" s="46" t="s">
        <v>2793</v>
      </c>
      <c r="G2704" s="75"/>
      <c r="H2704" s="98" t="str">
        <f>HYPERLINK("http://mirror.ff7data.com.ar/ff7/data/minigame/high-us.lgp/toaa.rsd.png","View Picture")</f>
        <v>View Picture</v>
      </c>
      <c r="K2704" s="43"/>
    </row>
    <row r="2705">
      <c r="A2705" s="55"/>
      <c r="B2705" s="33" t="s">
        <v>26395</v>
      </c>
      <c r="C2705" s="42">
        <v>2580.0</v>
      </c>
      <c r="D2705" s="31"/>
      <c r="E2705" s="74"/>
      <c r="F2705" s="46" t="s">
        <v>2775</v>
      </c>
      <c r="G2705" s="75"/>
      <c r="H2705" s="98" t="str">
        <f>HYPERLINK("http://mirror.ff7data.com.ar/ff7/data/minigame/high-us.lgp/tpaa.p.png","View Picture")</f>
        <v>View Picture</v>
      </c>
      <c r="K2705" s="43"/>
    </row>
    <row r="2706">
      <c r="A2706" s="55"/>
      <c r="B2706" s="33" t="s">
        <v>26406</v>
      </c>
      <c r="C2706" s="42">
        <v>1760.0</v>
      </c>
      <c r="D2706" s="31"/>
      <c r="E2706" s="74"/>
      <c r="F2706" s="46" t="s">
        <v>2775</v>
      </c>
      <c r="G2706" s="75"/>
      <c r="H2706" s="98" t="str">
        <f>HYPERLINK("http://mirror.ff7data.com.ar/ff7/data/minigame/high-us.lgp/tqaa.p.png","View Picture")</f>
        <v>View Picture</v>
      </c>
      <c r="K2706" s="43"/>
    </row>
    <row r="2707">
      <c r="A2707" s="55"/>
      <c r="B2707" s="33" t="s">
        <v>26415</v>
      </c>
      <c r="C2707" s="42">
        <v>424.0</v>
      </c>
      <c r="D2707" s="31"/>
      <c r="E2707" s="74"/>
      <c r="F2707" s="46" t="s">
        <v>2775</v>
      </c>
      <c r="G2707" s="75"/>
      <c r="H2707" s="98" t="str">
        <f>HYPERLINK("http://mirror.ff7data.com.ar/ff7/data/minigame/high-us.lgp/traa.p.png","View Picture")</f>
        <v>View Picture</v>
      </c>
      <c r="K2707" s="43"/>
    </row>
    <row r="2708">
      <c r="A2708" s="55"/>
      <c r="B2708" s="33" t="s">
        <v>26424</v>
      </c>
      <c r="C2708" s="42">
        <v>524.0</v>
      </c>
      <c r="D2708" s="31"/>
      <c r="E2708" s="74"/>
      <c r="F2708" s="46" t="s">
        <v>2775</v>
      </c>
      <c r="G2708" s="75"/>
      <c r="H2708" s="98" t="str">
        <f>HYPERLINK("http://mirror.ff7data.com.ar/ff7/data/minigame/high-us.lgp/tsaa.p.png","View Picture")</f>
        <v>View Picture</v>
      </c>
      <c r="K2708" s="43"/>
    </row>
    <row r="2709">
      <c r="A2709" s="55"/>
      <c r="B2709" s="33" t="s">
        <v>26436</v>
      </c>
      <c r="C2709" s="42">
        <v>16684.0</v>
      </c>
      <c r="D2709" s="31"/>
      <c r="E2709" s="74"/>
      <c r="F2709" s="46" t="s">
        <v>1348</v>
      </c>
      <c r="G2709" s="75"/>
      <c r="H2709" s="98" t="str">
        <f>HYPERLINK("http://mirror.ff7data.com.ar/ff7/data/minigame/high-us.lgp/ttaa.tex.png","View Picture")</f>
        <v>View Picture</v>
      </c>
      <c r="K2709" s="43"/>
    </row>
    <row r="2710">
      <c r="A2710" s="55"/>
      <c r="B2710" s="33" t="s">
        <v>26447</v>
      </c>
      <c r="C2710" s="42">
        <v>748.0</v>
      </c>
      <c r="D2710" s="31"/>
      <c r="E2710" s="74"/>
      <c r="F2710" s="46" t="s">
        <v>2775</v>
      </c>
      <c r="G2710" s="75"/>
      <c r="H2710" s="98" t="str">
        <f>HYPERLINK("http://mirror.ff7data.com.ar/ff7/data/minigame/high-us.lgp/uaaa.p.png","View Picture")</f>
        <v>View Picture</v>
      </c>
      <c r="K2710" s="43"/>
    </row>
    <row r="2711">
      <c r="A2711" s="55"/>
      <c r="B2711" s="33" t="s">
        <v>26462</v>
      </c>
      <c r="C2711" s="42">
        <v>291.0</v>
      </c>
      <c r="D2711" s="31"/>
      <c r="E2711" s="74"/>
      <c r="F2711" s="46" t="s">
        <v>2793</v>
      </c>
      <c r="G2711" s="75"/>
      <c r="H2711" s="98" t="str">
        <f>HYPERLINK("http://mirror.ff7data.com.ar/ff7/data/minigame/high-us.lgp/ubaa.rsd.png","View Picture")</f>
        <v>View Picture</v>
      </c>
      <c r="K2711" s="43"/>
    </row>
    <row r="2712">
      <c r="A2712" s="55"/>
      <c r="B2712" s="33" t="s">
        <v>26472</v>
      </c>
      <c r="C2712" s="42">
        <v>213.0</v>
      </c>
      <c r="D2712" s="31"/>
      <c r="E2712" s="74"/>
      <c r="F2712" s="46" t="s">
        <v>2793</v>
      </c>
      <c r="G2712" s="75"/>
      <c r="H2712" s="98" t="str">
        <f>HYPERLINK("http://mirror.ff7data.com.ar/ff7/data/minigame/high-us.lgp/ucaa.rsd.png","View Picture")</f>
        <v>View Picture</v>
      </c>
      <c r="K2712" s="43"/>
    </row>
    <row r="2713">
      <c r="A2713" s="55"/>
      <c r="B2713" s="33" t="s">
        <v>26481</v>
      </c>
      <c r="C2713" s="42">
        <v>289.0</v>
      </c>
      <c r="D2713" s="31"/>
      <c r="E2713" s="74"/>
      <c r="F2713" s="46" t="s">
        <v>2793</v>
      </c>
      <c r="G2713" s="75"/>
      <c r="H2713" s="98" t="str">
        <f>HYPERLINK("http://mirror.ff7data.com.ar/ff7/data/minigame/high-us.lgp/udaa.rsd.png","View Picture")</f>
        <v>View Picture</v>
      </c>
      <c r="K2713" s="43"/>
    </row>
    <row r="2714">
      <c r="A2714" s="55"/>
      <c r="B2714" s="33" t="s">
        <v>26487</v>
      </c>
      <c r="C2714" s="42">
        <v>784.0</v>
      </c>
      <c r="D2714" s="31"/>
      <c r="E2714" s="74"/>
      <c r="F2714" s="46" t="s">
        <v>2775</v>
      </c>
      <c r="G2714" s="75"/>
      <c r="H2714" s="98" t="str">
        <f>HYPERLINK("http://mirror.ff7data.com.ar/ff7/data/minigame/high-us.lgp/ueaa.p.png","View Picture")</f>
        <v>View Picture</v>
      </c>
      <c r="K2714" s="43"/>
    </row>
    <row r="2715">
      <c r="A2715" s="55"/>
      <c r="B2715" s="33" t="s">
        <v>26494</v>
      </c>
      <c r="C2715" s="42">
        <v>285.0</v>
      </c>
      <c r="D2715" s="31"/>
      <c r="E2715" s="74"/>
      <c r="F2715" s="46" t="s">
        <v>2793</v>
      </c>
      <c r="G2715" s="75"/>
      <c r="H2715" s="98" t="str">
        <f>HYPERLINK("http://mirror.ff7data.com.ar/ff7/data/minigame/high-us.lgp/ufaa.rsd.png","View Picture")</f>
        <v>View Picture</v>
      </c>
      <c r="K2715" s="43"/>
    </row>
    <row r="2716">
      <c r="A2716" s="55"/>
      <c r="B2716" s="33" t="s">
        <v>26501</v>
      </c>
      <c r="C2716" s="42">
        <v>4356.0</v>
      </c>
      <c r="D2716" s="31"/>
      <c r="E2716" s="74"/>
      <c r="F2716" s="46" t="s">
        <v>3366</v>
      </c>
      <c r="G2716" s="75"/>
      <c r="H2716" s="122"/>
      <c r="K2716" s="43"/>
    </row>
    <row r="2717">
      <c r="A2717" s="55"/>
      <c r="B2717" s="33" t="s">
        <v>26503</v>
      </c>
      <c r="C2717" s="42">
        <v>283.0</v>
      </c>
      <c r="D2717" s="31"/>
      <c r="E2717" s="74"/>
      <c r="F2717" s="46" t="s">
        <v>2793</v>
      </c>
      <c r="G2717" s="75"/>
      <c r="H2717" s="98" t="str">
        <f>HYPERLINK("http://mirror.ff7data.com.ar/ff7/data/minigame/high-us.lgp/uhaa.rsd.png","View Picture")</f>
        <v>View Picture</v>
      </c>
      <c r="K2717" s="43"/>
    </row>
    <row r="2718">
      <c r="A2718" s="55"/>
      <c r="B2718" s="33" t="s">
        <v>26514</v>
      </c>
      <c r="C2718" s="42">
        <v>289.0</v>
      </c>
      <c r="D2718" s="31"/>
      <c r="E2718" s="74"/>
      <c r="F2718" s="46" t="s">
        <v>2793</v>
      </c>
      <c r="G2718" s="75"/>
      <c r="H2718" s="98" t="str">
        <f>HYPERLINK("http://mirror.ff7data.com.ar/ff7/data/minigame/high-us.lgp/uiaa.rsd.png","View Picture")</f>
        <v>View Picture</v>
      </c>
      <c r="K2718" s="43"/>
    </row>
    <row r="2719">
      <c r="A2719" s="55"/>
      <c r="B2719" s="33" t="s">
        <v>26524</v>
      </c>
      <c r="C2719" s="42">
        <v>323.0</v>
      </c>
      <c r="D2719" s="31"/>
      <c r="E2719" s="74"/>
      <c r="F2719" s="46" t="s">
        <v>2793</v>
      </c>
      <c r="G2719" s="75"/>
      <c r="H2719" s="98" t="str">
        <f>HYPERLINK("http://mirror.ff7data.com.ar/ff7/data/minigame/high-us.lgp/ujaa.rsd.png","View Picture")</f>
        <v>View Picture</v>
      </c>
      <c r="K2719" s="43"/>
    </row>
    <row r="2720">
      <c r="A2720" s="55"/>
      <c r="B2720" s="33" t="s">
        <v>26532</v>
      </c>
      <c r="C2720" s="42">
        <v>289.0</v>
      </c>
      <c r="D2720" s="31"/>
      <c r="E2720" s="74"/>
      <c r="F2720" s="46" t="s">
        <v>2793</v>
      </c>
      <c r="G2720" s="75"/>
      <c r="H2720" s="98" t="str">
        <f>HYPERLINK("http://mirror.ff7data.com.ar/ff7/data/minigame/high-us.lgp/ukaa.rsd.png","View Picture")</f>
        <v>View Picture</v>
      </c>
      <c r="K2720" s="43"/>
    </row>
    <row r="2721">
      <c r="A2721" s="55"/>
      <c r="B2721" s="33" t="s">
        <v>26539</v>
      </c>
      <c r="C2721" s="42">
        <v>289.0</v>
      </c>
      <c r="D2721" s="31"/>
      <c r="E2721" s="74"/>
      <c r="F2721" s="46" t="s">
        <v>2793</v>
      </c>
      <c r="G2721" s="75"/>
      <c r="H2721" s="98" t="str">
        <f>HYPERLINK("http://mirror.ff7data.com.ar/ff7/data/minigame/high-us.lgp/ulaa.rsd.png","View Picture")</f>
        <v>View Picture</v>
      </c>
      <c r="K2721" s="43"/>
    </row>
    <row r="2722">
      <c r="A2722" s="55"/>
      <c r="B2722" s="33" t="s">
        <v>26547</v>
      </c>
      <c r="C2722" s="42">
        <v>11092.0</v>
      </c>
      <c r="D2722" s="31"/>
      <c r="E2722" s="74"/>
      <c r="F2722" s="46" t="s">
        <v>2775</v>
      </c>
      <c r="G2722" s="75"/>
      <c r="H2722" s="98" t="str">
        <f>HYPERLINK("http://mirror.ff7data.com.ar/ff7/data/minigame/high-us.lgp/umaa.p.png","View Picture")</f>
        <v>View Picture</v>
      </c>
      <c r="K2722" s="43"/>
    </row>
    <row r="2723">
      <c r="A2723" s="55"/>
      <c r="B2723" s="33" t="s">
        <v>26556</v>
      </c>
      <c r="C2723" s="42">
        <v>10148.0</v>
      </c>
      <c r="D2723" s="31"/>
      <c r="E2723" s="74"/>
      <c r="F2723" s="46" t="s">
        <v>2775</v>
      </c>
      <c r="G2723" s="75"/>
      <c r="H2723" s="98" t="str">
        <f>HYPERLINK("http://mirror.ff7data.com.ar/ff7/data/minigame/high-us.lgp/unaa.p.png","View Picture")</f>
        <v>View Picture</v>
      </c>
      <c r="K2723" s="43"/>
    </row>
    <row r="2724">
      <c r="A2724" s="55"/>
      <c r="B2724" s="33" t="s">
        <v>26564</v>
      </c>
      <c r="C2724" s="42">
        <v>5472.0</v>
      </c>
      <c r="D2724" s="31"/>
      <c r="E2724" s="74"/>
      <c r="F2724" s="46" t="s">
        <v>2775</v>
      </c>
      <c r="G2724" s="75"/>
      <c r="H2724" s="98" t="str">
        <f>HYPERLINK("http://mirror.ff7data.com.ar/ff7/data/minigame/high-us.lgp/uoaa.p.png","View Picture")</f>
        <v>View Picture</v>
      </c>
      <c r="K2724" s="43"/>
    </row>
    <row r="2725">
      <c r="A2725" s="55"/>
      <c r="B2725" s="33" t="s">
        <v>26572</v>
      </c>
      <c r="C2725" s="42">
        <v>283.0</v>
      </c>
      <c r="D2725" s="31"/>
      <c r="E2725" s="74"/>
      <c r="F2725" s="46" t="s">
        <v>2793</v>
      </c>
      <c r="G2725" s="75"/>
      <c r="H2725" s="98" t="str">
        <f>HYPERLINK("http://mirror.ff7data.com.ar/ff7/data/minigame/high-us.lgp/upaa.rsd.png","View Picture")</f>
        <v>View Picture</v>
      </c>
      <c r="K2725" s="43"/>
    </row>
    <row r="2726">
      <c r="A2726" s="55"/>
      <c r="B2726" s="33" t="s">
        <v>26579</v>
      </c>
      <c r="C2726" s="42">
        <v>277.0</v>
      </c>
      <c r="D2726" s="31"/>
      <c r="E2726" s="74"/>
      <c r="F2726" s="46" t="s">
        <v>2793</v>
      </c>
      <c r="G2726" s="75"/>
      <c r="H2726" s="98" t="str">
        <f>HYPERLINK("http://mirror.ff7data.com.ar/ff7/data/minigame/high-us.lgp/uqaa.rsd.png","View Picture")</f>
        <v>View Picture</v>
      </c>
      <c r="K2726" s="43"/>
    </row>
    <row r="2727">
      <c r="A2727" s="55"/>
      <c r="B2727" s="33" t="s">
        <v>26587</v>
      </c>
      <c r="C2727" s="42">
        <v>277.0</v>
      </c>
      <c r="D2727" s="31"/>
      <c r="E2727" s="74"/>
      <c r="F2727" s="46" t="s">
        <v>2793</v>
      </c>
      <c r="G2727" s="75"/>
      <c r="H2727" s="98" t="str">
        <f>HYPERLINK("http://mirror.ff7data.com.ar/ff7/data/minigame/high-us.lgp/uraa.rsd.png","View Picture")</f>
        <v>View Picture</v>
      </c>
      <c r="K2727" s="43"/>
    </row>
    <row r="2728">
      <c r="A2728" s="55"/>
      <c r="B2728" s="33" t="s">
        <v>26595</v>
      </c>
      <c r="C2728" s="42">
        <v>1324.0</v>
      </c>
      <c r="D2728" s="31"/>
      <c r="E2728" s="74"/>
      <c r="F2728" s="46" t="s">
        <v>1348</v>
      </c>
      <c r="G2728" s="75"/>
      <c r="H2728" s="98" t="str">
        <f>HYPERLINK("http://mirror.ff7data.com.ar/ff7/data/minigame/high-us.lgp/usaa.tex.png","View Picture")</f>
        <v>View Picture</v>
      </c>
      <c r="K2728" s="43"/>
    </row>
    <row r="2729">
      <c r="A2729" s="55"/>
      <c r="B2729" s="33" t="s">
        <v>26602</v>
      </c>
      <c r="C2729" s="42">
        <v>16684.0</v>
      </c>
      <c r="D2729" s="31"/>
      <c r="E2729" s="74"/>
      <c r="F2729" s="46" t="s">
        <v>1348</v>
      </c>
      <c r="G2729" s="75"/>
      <c r="H2729" s="98" t="str">
        <f>HYPERLINK("http://mirror.ff7data.com.ar/ff7/data/minigame/high-us.lgp/utaa.tex.png","View Picture")</f>
        <v>View Picture</v>
      </c>
      <c r="K2729" s="43"/>
    </row>
    <row r="2730">
      <c r="A2730" s="21"/>
      <c r="B2730" s="33" t="s">
        <v>26610</v>
      </c>
      <c r="C2730" s="42">
        <v>296.0</v>
      </c>
      <c r="D2730" s="33" t="s">
        <v>7639</v>
      </c>
      <c r="E2730" s="74"/>
      <c r="F2730" s="46" t="s">
        <v>2793</v>
      </c>
      <c r="G2730" s="75"/>
      <c r="H2730" s="98" t="str">
        <f>HYPERLINK("http://mirror.ff7data.com.ar/ff7/data/minigame/high-us.lgp/vaaa.rsd.png","View Picture")</f>
        <v>View Picture</v>
      </c>
      <c r="K2730" s="43"/>
    </row>
    <row r="2731">
      <c r="A2731" s="55"/>
      <c r="B2731" s="33" t="s">
        <v>26619</v>
      </c>
      <c r="C2731" s="42">
        <v>1176.0</v>
      </c>
      <c r="D2731" s="31"/>
      <c r="E2731" s="74"/>
      <c r="F2731" s="46" t="s">
        <v>2775</v>
      </c>
      <c r="G2731" s="75"/>
      <c r="H2731" s="98" t="str">
        <f>HYPERLINK("http://mirror.ff7data.com.ar/ff7/data/minigame/high-us.lgp/vbaa.p.png","View Picture")</f>
        <v>View Picture</v>
      </c>
      <c r="K2731" s="43"/>
    </row>
    <row r="2732">
      <c r="A2732" s="55"/>
      <c r="B2732" s="33" t="s">
        <v>26628</v>
      </c>
      <c r="C2732" s="42">
        <v>576.0</v>
      </c>
      <c r="D2732" s="31"/>
      <c r="E2732" s="74"/>
      <c r="F2732" s="46" t="s">
        <v>2775</v>
      </c>
      <c r="G2732" s="75"/>
      <c r="H2732" s="98" t="str">
        <f>HYPERLINK("http://mirror.ff7data.com.ar/ff7/data/minigame/high-us.lgp/vcaa.p.png","View Picture")</f>
        <v>View Picture</v>
      </c>
      <c r="K2732" s="43"/>
    </row>
    <row r="2733">
      <c r="A2733" s="55"/>
      <c r="B2733" s="33" t="s">
        <v>26636</v>
      </c>
      <c r="C2733" s="42">
        <v>4000.0</v>
      </c>
      <c r="D2733" s="31"/>
      <c r="E2733" s="74"/>
      <c r="F2733" s="46" t="s">
        <v>2775</v>
      </c>
      <c r="G2733" s="75"/>
      <c r="H2733" s="98" t="str">
        <f>HYPERLINK("http://mirror.ff7data.com.ar/ff7/data/minigame/high-us.lgp/vdaa.p.png","View Picture")</f>
        <v>View Picture</v>
      </c>
      <c r="K2733" s="43"/>
    </row>
    <row r="2734">
      <c r="A2734" s="82"/>
      <c r="B2734" s="33" t="s">
        <v>26645</v>
      </c>
      <c r="C2734" s="42">
        <v>393.0</v>
      </c>
      <c r="D2734" s="33" t="s">
        <v>26647</v>
      </c>
      <c r="E2734" s="74"/>
      <c r="F2734" s="46" t="s">
        <v>2756</v>
      </c>
      <c r="G2734" s="46" t="s">
        <v>26649</v>
      </c>
      <c r="H2734" s="98" t="str">
        <f>HYPERLINK("http://mirror.ff7data.com.ar/ff7/data/minigame/high-us.lgp/veaa.hrc.png","View Picture")</f>
        <v>View Picture</v>
      </c>
      <c r="K2734" s="43"/>
    </row>
    <row r="2735">
      <c r="A2735" s="55"/>
      <c r="B2735" s="33" t="s">
        <v>26656</v>
      </c>
      <c r="C2735" s="42">
        <v>3248.0</v>
      </c>
      <c r="D2735" s="31"/>
      <c r="E2735" s="74"/>
      <c r="F2735" s="46" t="s">
        <v>2775</v>
      </c>
      <c r="G2735" s="75"/>
      <c r="H2735" s="98" t="str">
        <f>HYPERLINK("http://mirror.ff7data.com.ar/ff7/data/minigame/high-us.lgp/vfaa.p.png","View Picture")</f>
        <v>View Picture</v>
      </c>
      <c r="K2735" s="43"/>
    </row>
    <row r="2736">
      <c r="A2736" s="55"/>
      <c r="B2736" s="33" t="s">
        <v>26663</v>
      </c>
      <c r="C2736" s="42">
        <v>2196.0</v>
      </c>
      <c r="D2736" s="31"/>
      <c r="E2736" s="74"/>
      <c r="F2736" s="46" t="s">
        <v>3366</v>
      </c>
      <c r="G2736" s="75"/>
      <c r="H2736" s="122"/>
      <c r="K2736" s="43"/>
    </row>
    <row r="2737">
      <c r="A2737" s="55"/>
      <c r="B2737" s="33" t="s">
        <v>26666</v>
      </c>
      <c r="C2737" s="42">
        <v>5524.0</v>
      </c>
      <c r="D2737" s="31"/>
      <c r="E2737" s="74"/>
      <c r="F2737" s="46" t="s">
        <v>2775</v>
      </c>
      <c r="G2737" s="75"/>
      <c r="H2737" s="98" t="str">
        <f>HYPERLINK("http://mirror.ff7data.com.ar/ff7/data/minigame/high-us.lgp/vhaa.p.png","View Picture")</f>
        <v>View Picture</v>
      </c>
      <c r="K2737" s="43"/>
    </row>
    <row r="2738">
      <c r="A2738" s="55"/>
      <c r="B2738" s="33" t="s">
        <v>26672</v>
      </c>
      <c r="C2738" s="42">
        <v>8380.0</v>
      </c>
      <c r="D2738" s="31"/>
      <c r="E2738" s="74"/>
      <c r="F2738" s="46" t="s">
        <v>2775</v>
      </c>
      <c r="G2738" s="75"/>
      <c r="H2738" s="98" t="str">
        <f>HYPERLINK("http://mirror.ff7data.com.ar/ff7/data/minigame/high-us.lgp/viaa.p.png","View Picture")</f>
        <v>View Picture</v>
      </c>
      <c r="K2738" s="43"/>
    </row>
    <row r="2739">
      <c r="A2739" s="55"/>
      <c r="B2739" s="33" t="s">
        <v>26679</v>
      </c>
      <c r="C2739" s="42">
        <v>940.0</v>
      </c>
      <c r="D2739" s="31"/>
      <c r="E2739" s="74"/>
      <c r="F2739" s="46" t="s">
        <v>2775</v>
      </c>
      <c r="G2739" s="75"/>
      <c r="H2739" s="98" t="str">
        <f>HYPERLINK("http://mirror.ff7data.com.ar/ff7/data/minigame/high-us.lgp/vjaa.p.png","View Picture")</f>
        <v>View Picture</v>
      </c>
      <c r="K2739" s="43"/>
    </row>
    <row r="2740">
      <c r="A2740" s="55"/>
      <c r="B2740" s="33" t="s">
        <v>26685</v>
      </c>
      <c r="C2740" s="42">
        <v>4248.0</v>
      </c>
      <c r="D2740" s="31"/>
      <c r="E2740" s="74"/>
      <c r="F2740" s="46" t="s">
        <v>2775</v>
      </c>
      <c r="G2740" s="75"/>
      <c r="H2740" s="98" t="str">
        <f>HYPERLINK("http://mirror.ff7data.com.ar/ff7/data/minigame/high-us.lgp/vkaa.p.png","View Picture")</f>
        <v>View Picture</v>
      </c>
      <c r="K2740" s="43"/>
    </row>
    <row r="2741">
      <c r="A2741" s="55"/>
      <c r="B2741" s="33" t="s">
        <v>26692</v>
      </c>
      <c r="C2741" s="42">
        <v>1360.0</v>
      </c>
      <c r="D2741" s="31"/>
      <c r="E2741" s="74"/>
      <c r="F2741" s="46" t="s">
        <v>2775</v>
      </c>
      <c r="G2741" s="75"/>
      <c r="H2741" s="98" t="str">
        <f>HYPERLINK("http://mirror.ff7data.com.ar/ff7/data/minigame/high-us.lgp/vlaa.p.png","View Picture")</f>
        <v>View Picture</v>
      </c>
      <c r="K2741" s="43"/>
    </row>
    <row r="2742">
      <c r="A2742" s="55"/>
      <c r="B2742" s="33" t="s">
        <v>26701</v>
      </c>
      <c r="C2742" s="42">
        <v>283.0</v>
      </c>
      <c r="D2742" s="31"/>
      <c r="E2742" s="74"/>
      <c r="F2742" s="46" t="s">
        <v>2793</v>
      </c>
      <c r="G2742" s="75"/>
      <c r="H2742" s="98" t="str">
        <f>HYPERLINK("http://mirror.ff7data.com.ar/ff7/data/minigame/high-us.lgp/vmaa.rsd.png","View Picture")</f>
        <v>View Picture</v>
      </c>
      <c r="K2742" s="43"/>
    </row>
    <row r="2743">
      <c r="A2743" s="55"/>
      <c r="B2743" s="33" t="s">
        <v>26709</v>
      </c>
      <c r="C2743" s="42">
        <v>289.0</v>
      </c>
      <c r="D2743" s="31"/>
      <c r="E2743" s="74"/>
      <c r="F2743" s="46" t="s">
        <v>2793</v>
      </c>
      <c r="G2743" s="75"/>
      <c r="H2743" s="98" t="str">
        <f>HYPERLINK("http://mirror.ff7data.com.ar/ff7/data/minigame/high-us.lgp/vnaa.rsd.png","View Picture")</f>
        <v>View Picture</v>
      </c>
      <c r="K2743" s="43"/>
    </row>
    <row r="2744">
      <c r="A2744" s="55"/>
      <c r="B2744" s="33" t="s">
        <v>26717</v>
      </c>
      <c r="C2744" s="42">
        <v>283.0</v>
      </c>
      <c r="D2744" s="31"/>
      <c r="E2744" s="74"/>
      <c r="F2744" s="46" t="s">
        <v>2793</v>
      </c>
      <c r="G2744" s="75"/>
      <c r="H2744" s="98" t="str">
        <f>HYPERLINK("http://mirror.ff7data.com.ar/ff7/data/minigame/high-us.lgp/voaa.rsd.png","View Picture")</f>
        <v>View Picture</v>
      </c>
      <c r="K2744" s="43"/>
    </row>
    <row r="2745">
      <c r="A2745" s="55"/>
      <c r="B2745" s="33" t="s">
        <v>26724</v>
      </c>
      <c r="C2745" s="42">
        <v>6960.0</v>
      </c>
      <c r="D2745" s="31"/>
      <c r="E2745" s="74"/>
      <c r="F2745" s="46" t="s">
        <v>2775</v>
      </c>
      <c r="G2745" s="75"/>
      <c r="H2745" s="98" t="str">
        <f>HYPERLINK("http://mirror.ff7data.com.ar/ff7/data/minigame/high-us.lgp/vpaa.p.png","View Picture")</f>
        <v>View Picture</v>
      </c>
      <c r="K2745" s="43"/>
    </row>
    <row r="2746">
      <c r="A2746" s="55"/>
      <c r="B2746" s="33" t="s">
        <v>26730</v>
      </c>
      <c r="C2746" s="42">
        <v>2364.0</v>
      </c>
      <c r="D2746" s="31"/>
      <c r="E2746" s="74"/>
      <c r="F2746" s="46" t="s">
        <v>2775</v>
      </c>
      <c r="G2746" s="75"/>
      <c r="H2746" s="98" t="str">
        <f>HYPERLINK("http://mirror.ff7data.com.ar/ff7/data/minigame/high-us.lgp/vqaa.p.png","View Picture")</f>
        <v>View Picture</v>
      </c>
      <c r="K2746" s="43"/>
    </row>
    <row r="2747">
      <c r="A2747" s="55"/>
      <c r="B2747" s="33" t="s">
        <v>26736</v>
      </c>
      <c r="C2747" s="42">
        <v>3508.0</v>
      </c>
      <c r="D2747" s="31"/>
      <c r="E2747" s="74"/>
      <c r="F2747" s="46" t="s">
        <v>2775</v>
      </c>
      <c r="G2747" s="75"/>
      <c r="H2747" s="98" t="str">
        <f>HYPERLINK("http://mirror.ff7data.com.ar/ff7/data/minigame/high-us.lgp/vraa.p.png","View Picture")</f>
        <v>View Picture</v>
      </c>
      <c r="K2747" s="43"/>
    </row>
    <row r="2748">
      <c r="A2748" s="55"/>
      <c r="B2748" s="33" t="s">
        <v>26743</v>
      </c>
      <c r="C2748" s="42">
        <v>280.0</v>
      </c>
      <c r="D2748" s="31"/>
      <c r="E2748" s="74"/>
      <c r="F2748" s="46" t="s">
        <v>2793</v>
      </c>
      <c r="G2748" s="75"/>
      <c r="H2748" s="98" t="str">
        <f>HYPERLINK("http://mirror.ff7data.com.ar/ff7/data/minigame/high-us.lgp/vsaa.rsd.png","View Picture")</f>
        <v>View Picture</v>
      </c>
      <c r="K2748" s="43"/>
    </row>
    <row r="2749">
      <c r="A2749" s="55"/>
      <c r="B2749" s="33" t="s">
        <v>26749</v>
      </c>
      <c r="C2749" s="42">
        <v>16684.0</v>
      </c>
      <c r="D2749" s="31"/>
      <c r="E2749" s="74"/>
      <c r="F2749" s="46" t="s">
        <v>1348</v>
      </c>
      <c r="G2749" s="75"/>
      <c r="H2749" s="98" t="str">
        <f>HYPERLINK("http://mirror.ff7data.com.ar/ff7/data/minigame/high-us.lgp/vtaa.tex.png","View Picture")</f>
        <v>View Picture</v>
      </c>
      <c r="K2749" s="43"/>
    </row>
    <row r="2750">
      <c r="A2750" s="21"/>
      <c r="B2750" s="33" t="s">
        <v>26755</v>
      </c>
      <c r="C2750" s="42">
        <v>748.0</v>
      </c>
      <c r="D2750" s="33" t="s">
        <v>7639</v>
      </c>
      <c r="E2750" s="74"/>
      <c r="F2750" s="46" t="s">
        <v>2775</v>
      </c>
      <c r="G2750" s="75"/>
      <c r="H2750" s="98" t="str">
        <f>HYPERLINK("http://mirror.ff7data.com.ar/ff7/data/minigame/high-us.lgp/waaa.p.png","View Picture")</f>
        <v>View Picture</v>
      </c>
      <c r="K2750" s="43"/>
    </row>
    <row r="2751">
      <c r="A2751" s="55"/>
      <c r="B2751" s="33" t="s">
        <v>26764</v>
      </c>
      <c r="C2751" s="42">
        <v>288.0</v>
      </c>
      <c r="D2751" s="31"/>
      <c r="E2751" s="74"/>
      <c r="F2751" s="46" t="s">
        <v>2793</v>
      </c>
      <c r="G2751" s="75"/>
      <c r="H2751" s="98" t="str">
        <f>HYPERLINK("http://mirror.ff7data.com.ar/ff7/data/minigame/high-us.lgp/wbaa.rsd.png","View Picture")</f>
        <v>View Picture</v>
      </c>
      <c r="K2751" s="43"/>
    </row>
    <row r="2752">
      <c r="A2752" s="55"/>
      <c r="B2752" s="33" t="s">
        <v>26770</v>
      </c>
      <c r="C2752" s="42">
        <v>213.0</v>
      </c>
      <c r="D2752" s="31"/>
      <c r="E2752" s="74"/>
      <c r="F2752" s="46" t="s">
        <v>2793</v>
      </c>
      <c r="G2752" s="75"/>
      <c r="H2752" s="98" t="str">
        <f>HYPERLINK("http://mirror.ff7data.com.ar/ff7/data/minigame/high-us.lgp/wcaa.rsd.png","View Picture")</f>
        <v>View Picture</v>
      </c>
      <c r="K2752" s="43"/>
    </row>
    <row r="2753">
      <c r="A2753" s="55"/>
      <c r="B2753" s="33" t="s">
        <v>26776</v>
      </c>
      <c r="C2753" s="42">
        <v>289.0</v>
      </c>
      <c r="D2753" s="31"/>
      <c r="E2753" s="74"/>
      <c r="F2753" s="46" t="s">
        <v>2793</v>
      </c>
      <c r="G2753" s="75"/>
      <c r="H2753" s="98" t="str">
        <f>HYPERLINK("http://mirror.ff7data.com.ar/ff7/data/minigame/high-us.lgp/wdaa.rsd.png","View Picture")</f>
        <v>View Picture</v>
      </c>
      <c r="K2753" s="43"/>
    </row>
    <row r="2754">
      <c r="A2754" s="21"/>
      <c r="B2754" s="33" t="s">
        <v>26782</v>
      </c>
      <c r="C2754" s="42">
        <v>205.0</v>
      </c>
      <c r="D2754" s="33" t="s">
        <v>26649</v>
      </c>
      <c r="E2754" s="74"/>
      <c r="F2754" s="46" t="s">
        <v>2793</v>
      </c>
      <c r="G2754" s="75"/>
      <c r="H2754" s="98" t="str">
        <f>HYPERLINK("http://mirror.ff7data.com.ar/ff7/data/minigame/high-us.lgp/weaa.rsd.png","View Picture")</f>
        <v>View Picture</v>
      </c>
      <c r="K2754" s="43"/>
    </row>
    <row r="2755">
      <c r="A2755" s="82"/>
      <c r="B2755" s="33" t="s">
        <v>26787</v>
      </c>
      <c r="C2755" s="42">
        <v>202.0</v>
      </c>
      <c r="D2755" s="33" t="s">
        <v>26788</v>
      </c>
      <c r="E2755" s="74"/>
      <c r="F2755" s="46" t="s">
        <v>2756</v>
      </c>
      <c r="G2755" s="75"/>
      <c r="H2755" s="98" t="str">
        <f>HYPERLINK("http://mirror.ff7data.com.ar/ff7/data/minigame/high-us.lgp/wfaa.hrc.png","View Picture")</f>
        <v>View Picture</v>
      </c>
      <c r="K2755" s="43"/>
    </row>
    <row r="2756">
      <c r="A2756" s="55"/>
      <c r="B2756" s="33" t="s">
        <v>26795</v>
      </c>
      <c r="C2756" s="42">
        <v>7236.0</v>
      </c>
      <c r="D2756" s="31"/>
      <c r="E2756" s="74"/>
      <c r="F2756" s="46" t="s">
        <v>3366</v>
      </c>
      <c r="G2756" s="75"/>
      <c r="H2756" s="122"/>
      <c r="K2756" s="43"/>
    </row>
    <row r="2757">
      <c r="A2757" s="55"/>
      <c r="B2757" s="33" t="s">
        <v>26797</v>
      </c>
      <c r="C2757" s="42">
        <v>289.0</v>
      </c>
      <c r="D2757" s="31"/>
      <c r="E2757" s="74"/>
      <c r="F2757" s="46" t="s">
        <v>2793</v>
      </c>
      <c r="G2757" s="75"/>
      <c r="H2757" s="98" t="str">
        <f>HYPERLINK("http://mirror.ff7data.com.ar/ff7/data/minigame/high-us.lgp/whaa.rsd.png","View Picture")</f>
        <v>View Picture</v>
      </c>
      <c r="K2757" s="43"/>
    </row>
    <row r="2758">
      <c r="A2758" s="55"/>
      <c r="B2758" s="33" t="s">
        <v>26802</v>
      </c>
      <c r="C2758" s="42">
        <v>289.0</v>
      </c>
      <c r="D2758" s="31"/>
      <c r="E2758" s="74"/>
      <c r="F2758" s="46" t="s">
        <v>2793</v>
      </c>
      <c r="G2758" s="75"/>
      <c r="H2758" s="98" t="str">
        <f>HYPERLINK("http://mirror.ff7data.com.ar/ff7/data/minigame/high-us.lgp/wiaa.rsd.png","View Picture")</f>
        <v>View Picture</v>
      </c>
      <c r="K2758" s="43"/>
    </row>
    <row r="2759">
      <c r="A2759" s="55"/>
      <c r="B2759" s="33" t="s">
        <v>26807</v>
      </c>
      <c r="C2759" s="42">
        <v>4396.0</v>
      </c>
      <c r="D2759" s="31"/>
      <c r="E2759" s="74"/>
      <c r="F2759" s="46" t="s">
        <v>1348</v>
      </c>
      <c r="G2759" s="75"/>
      <c r="H2759" s="98" t="str">
        <f>HYPERLINK("http://mirror.ff7data.com.ar/ff7/data/minigame/high-us.lgp/wjaa.tex.png","View Picture")</f>
        <v>View Picture</v>
      </c>
      <c r="K2759" s="43"/>
    </row>
    <row r="2760">
      <c r="A2760" s="55"/>
      <c r="B2760" s="33" t="s">
        <v>26814</v>
      </c>
      <c r="C2760" s="42">
        <v>283.0</v>
      </c>
      <c r="D2760" s="31"/>
      <c r="E2760" s="74"/>
      <c r="F2760" s="46" t="s">
        <v>2793</v>
      </c>
      <c r="G2760" s="75"/>
      <c r="H2760" s="98" t="str">
        <f>HYPERLINK("http://mirror.ff7data.com.ar/ff7/data/minigame/high-us.lgp/wkaa.rsd.png","View Picture")</f>
        <v>View Picture</v>
      </c>
      <c r="K2760" s="43"/>
    </row>
    <row r="2761">
      <c r="A2761" s="55"/>
      <c r="B2761" s="33" t="s">
        <v>26818</v>
      </c>
      <c r="C2761" s="42">
        <v>286.0</v>
      </c>
      <c r="D2761" s="31"/>
      <c r="E2761" s="74"/>
      <c r="F2761" s="46" t="s">
        <v>2793</v>
      </c>
      <c r="G2761" s="75"/>
      <c r="H2761" s="98" t="str">
        <f>HYPERLINK("http://mirror.ff7data.com.ar/ff7/data/minigame/high-us.lgp/wlaa.rsd.png","View Picture")</f>
        <v>View Picture</v>
      </c>
      <c r="K2761" s="43"/>
    </row>
    <row r="2762">
      <c r="A2762" s="55"/>
      <c r="B2762" s="33" t="s">
        <v>26823</v>
      </c>
      <c r="C2762" s="42">
        <v>5808.0</v>
      </c>
      <c r="D2762" s="31"/>
      <c r="E2762" s="74"/>
      <c r="F2762" s="46" t="s">
        <v>2775</v>
      </c>
      <c r="G2762" s="75"/>
      <c r="H2762" s="98" t="str">
        <f>HYPERLINK("http://mirror.ff7data.com.ar/ff7/data/minigame/high-us.lgp/wmaa.p.png","View Picture")</f>
        <v>View Picture</v>
      </c>
      <c r="K2762" s="43"/>
    </row>
    <row r="2763">
      <c r="A2763" s="55"/>
      <c r="B2763" s="33" t="s">
        <v>26830</v>
      </c>
      <c r="C2763" s="42">
        <v>2904.0</v>
      </c>
      <c r="D2763" s="31"/>
      <c r="E2763" s="74"/>
      <c r="F2763" s="46" t="s">
        <v>2775</v>
      </c>
      <c r="G2763" s="75"/>
      <c r="H2763" s="98" t="str">
        <f>HYPERLINK("http://mirror.ff7data.com.ar/ff7/data/minigame/high-us.lgp/wnaa.p.png","View Picture")</f>
        <v>View Picture</v>
      </c>
      <c r="K2763" s="43"/>
    </row>
    <row r="2764">
      <c r="A2764" s="55"/>
      <c r="B2764" s="33" t="s">
        <v>26836</v>
      </c>
      <c r="C2764" s="42">
        <v>14104.0</v>
      </c>
      <c r="D2764" s="31"/>
      <c r="E2764" s="74"/>
      <c r="F2764" s="46" t="s">
        <v>2775</v>
      </c>
      <c r="G2764" s="75"/>
      <c r="H2764" s="98" t="str">
        <f>HYPERLINK("http://mirror.ff7data.com.ar/ff7/data/minigame/high-us.lgp/woaa.p.png","View Picture")</f>
        <v>View Picture</v>
      </c>
      <c r="K2764" s="43"/>
    </row>
    <row r="2765">
      <c r="A2765" s="55"/>
      <c r="B2765" s="33" t="s">
        <v>26841</v>
      </c>
      <c r="C2765" s="42">
        <v>283.0</v>
      </c>
      <c r="D2765" s="31"/>
      <c r="E2765" s="74"/>
      <c r="F2765" s="46" t="s">
        <v>2793</v>
      </c>
      <c r="G2765" s="75"/>
      <c r="H2765" s="98" t="str">
        <f>HYPERLINK("http://mirror.ff7data.com.ar/ff7/data/minigame/high-us.lgp/wpaa.rsd.png","View Picture")</f>
        <v>View Picture</v>
      </c>
      <c r="K2765" s="43"/>
    </row>
    <row r="2766">
      <c r="A2766" s="55"/>
      <c r="B2766" s="33" t="s">
        <v>26846</v>
      </c>
      <c r="C2766" s="42">
        <v>280.0</v>
      </c>
      <c r="D2766" s="31"/>
      <c r="E2766" s="74"/>
      <c r="F2766" s="46" t="s">
        <v>2793</v>
      </c>
      <c r="G2766" s="75"/>
      <c r="H2766" s="98" t="str">
        <f>HYPERLINK("http://mirror.ff7data.com.ar/ff7/data/minigame/high-us.lgp/wqaa.rsd.png","View Picture")</f>
        <v>View Picture</v>
      </c>
      <c r="K2766" s="43"/>
    </row>
    <row r="2767">
      <c r="A2767" s="55"/>
      <c r="B2767" s="33" t="s">
        <v>26853</v>
      </c>
      <c r="C2767" s="42">
        <v>300.0</v>
      </c>
      <c r="D2767" s="31"/>
      <c r="E2767" s="74"/>
      <c r="F2767" s="46" t="s">
        <v>2793</v>
      </c>
      <c r="G2767" s="75"/>
      <c r="H2767" s="98" t="str">
        <f>HYPERLINK("http://mirror.ff7data.com.ar/ff7/data/minigame/high-us.lgp/wraa.rsd.png","View Picture")</f>
        <v>View Picture</v>
      </c>
      <c r="K2767" s="43"/>
    </row>
    <row r="2768">
      <c r="A2768" s="55"/>
      <c r="B2768" s="33" t="s">
        <v>26861</v>
      </c>
      <c r="C2768" s="42">
        <v>476.0</v>
      </c>
      <c r="D2768" s="31"/>
      <c r="E2768" s="74"/>
      <c r="F2768" s="46" t="s">
        <v>2775</v>
      </c>
      <c r="G2768" s="75"/>
      <c r="H2768" s="98" t="str">
        <f>HYPERLINK("http://mirror.ff7data.com.ar/ff7/data/minigame/high-us.lgp/wsaa.p.png","View Picture")</f>
        <v>View Picture</v>
      </c>
      <c r="K2768" s="43"/>
    </row>
    <row r="2769">
      <c r="A2769" s="55"/>
      <c r="B2769" s="33" t="s">
        <v>26871</v>
      </c>
      <c r="C2769" s="42">
        <v>16684.0</v>
      </c>
      <c r="D2769" s="31"/>
      <c r="E2769" s="74"/>
      <c r="F2769" s="46" t="s">
        <v>1348</v>
      </c>
      <c r="G2769" s="75"/>
      <c r="H2769" s="98" t="str">
        <f>HYPERLINK("http://mirror.ff7data.com.ar/ff7/data/minigame/high-us.lgp/wtaa.tex.png","View Picture")</f>
        <v>View Picture</v>
      </c>
      <c r="K2769" s="43"/>
    </row>
    <row r="2770">
      <c r="A2770" s="79"/>
      <c r="B2770" s="33" t="s">
        <v>26878</v>
      </c>
      <c r="C2770" s="42">
        <v>290.0</v>
      </c>
      <c r="D2770" s="33" t="s">
        <v>26880</v>
      </c>
      <c r="E2770" s="74"/>
      <c r="F2770" s="46" t="s">
        <v>2793</v>
      </c>
      <c r="G2770" s="75"/>
      <c r="H2770" s="98" t="str">
        <f>HYPERLINK("http://mirror.ff7data.com.ar/ff7/data/minigame/high-us.lgp/xaaa.rsd.png","View Picture")</f>
        <v>View Picture</v>
      </c>
      <c r="K2770" s="43"/>
    </row>
    <row r="2771">
      <c r="A2771" s="55"/>
      <c r="B2771" s="33" t="s">
        <v>26888</v>
      </c>
      <c r="C2771" s="42">
        <v>2516.0</v>
      </c>
      <c r="D2771" s="31"/>
      <c r="E2771" s="74"/>
      <c r="F2771" s="46" t="s">
        <v>2775</v>
      </c>
      <c r="G2771" s="75"/>
      <c r="H2771" s="98" t="str">
        <f>HYPERLINK("http://mirror.ff7data.com.ar/ff7/data/minigame/high-us.lgp/xbaa.p.png","View Picture")</f>
        <v>View Picture</v>
      </c>
      <c r="K2771" s="43"/>
    </row>
    <row r="2772">
      <c r="A2772" s="55"/>
      <c r="B2772" s="33" t="s">
        <v>26895</v>
      </c>
      <c r="C2772" s="42">
        <v>776.0</v>
      </c>
      <c r="D2772" s="31"/>
      <c r="E2772" s="74"/>
      <c r="F2772" s="46" t="s">
        <v>2775</v>
      </c>
      <c r="G2772" s="75"/>
      <c r="H2772" s="98" t="str">
        <f>HYPERLINK("http://mirror.ff7data.com.ar/ff7/data/minigame/high-us.lgp/xcaa.p.png","View Picture")</f>
        <v>View Picture</v>
      </c>
      <c r="K2772" s="43"/>
    </row>
    <row r="2773">
      <c r="A2773" s="55"/>
      <c r="B2773" s="33" t="s">
        <v>26901</v>
      </c>
      <c r="C2773" s="42">
        <v>4000.0</v>
      </c>
      <c r="D2773" s="31"/>
      <c r="E2773" s="74"/>
      <c r="F2773" s="46" t="s">
        <v>2775</v>
      </c>
      <c r="G2773" s="75"/>
      <c r="H2773" s="98" t="str">
        <f>HYPERLINK("http://mirror.ff7data.com.ar/ff7/data/minigame/high-us.lgp/xdaa.p.png","View Picture")</f>
        <v>View Picture</v>
      </c>
      <c r="K2773" s="43"/>
    </row>
    <row r="2774">
      <c r="A2774" s="21"/>
      <c r="B2774" s="33" t="s">
        <v>26907</v>
      </c>
      <c r="C2774" s="42">
        <v>10776.0</v>
      </c>
      <c r="D2774" s="33" t="s">
        <v>26649</v>
      </c>
      <c r="E2774" s="74"/>
      <c r="F2774" s="46" t="s">
        <v>2775</v>
      </c>
      <c r="G2774" s="75"/>
      <c r="H2774" s="98" t="str">
        <f>HYPERLINK("http://mirror.ff7data.com.ar/ff7/data/minigame/high-us.lgp/xeaa.p.png","View Picture")</f>
        <v>View Picture</v>
      </c>
      <c r="K2774" s="43"/>
    </row>
    <row r="2775">
      <c r="A2775" s="55"/>
      <c r="B2775" s="33" t="s">
        <v>26914</v>
      </c>
      <c r="C2775" s="42">
        <v>202.0</v>
      </c>
      <c r="D2775" s="31"/>
      <c r="E2775" s="74"/>
      <c r="F2775" s="46" t="s">
        <v>2793</v>
      </c>
      <c r="G2775" s="75"/>
      <c r="H2775" s="98" t="str">
        <f>HYPERLINK("http://mirror.ff7data.com.ar/ff7/data/minigame/high-us.lgp/xfaa.rsd.png","View Picture")</f>
        <v>View Picture</v>
      </c>
      <c r="K2775" s="43"/>
    </row>
    <row r="2776">
      <c r="A2776" s="55"/>
      <c r="B2776" s="33" t="s">
        <v>26920</v>
      </c>
      <c r="C2776" s="42">
        <v>14436.0</v>
      </c>
      <c r="D2776" s="31"/>
      <c r="E2776" s="74"/>
      <c r="F2776" s="46" t="s">
        <v>3366</v>
      </c>
      <c r="G2776" s="75"/>
      <c r="H2776" s="122"/>
      <c r="K2776" s="43"/>
    </row>
    <row r="2777">
      <c r="A2777" s="55"/>
      <c r="B2777" s="33" t="s">
        <v>26922</v>
      </c>
      <c r="C2777" s="42">
        <v>14612.0</v>
      </c>
      <c r="D2777" s="31"/>
      <c r="E2777" s="74"/>
      <c r="F2777" s="46" t="s">
        <v>2775</v>
      </c>
      <c r="G2777" s="75"/>
      <c r="H2777" s="98" t="str">
        <f>HYPERLINK("http://mirror.ff7data.com.ar/ff7/data/minigame/high-us.lgp/xhaa.p.png","View Picture")</f>
        <v>View Picture</v>
      </c>
      <c r="K2777" s="43"/>
    </row>
    <row r="2778">
      <c r="A2778" s="55"/>
      <c r="B2778" s="33" t="s">
        <v>26929</v>
      </c>
      <c r="C2778" s="42">
        <v>7812.0</v>
      </c>
      <c r="D2778" s="31"/>
      <c r="E2778" s="74"/>
      <c r="F2778" s="46" t="s">
        <v>2775</v>
      </c>
      <c r="G2778" s="75"/>
      <c r="H2778" s="98" t="str">
        <f>HYPERLINK("http://mirror.ff7data.com.ar/ff7/data/minigame/high-us.lgp/xiaa.p.png","View Picture")</f>
        <v>View Picture</v>
      </c>
      <c r="K2778" s="43"/>
    </row>
    <row r="2779">
      <c r="A2779" s="55"/>
      <c r="B2779" s="33" t="s">
        <v>26936</v>
      </c>
      <c r="C2779" s="42">
        <v>1324.0</v>
      </c>
      <c r="D2779" s="31"/>
      <c r="E2779" s="74"/>
      <c r="F2779" s="46" t="s">
        <v>1348</v>
      </c>
      <c r="G2779" s="75"/>
      <c r="H2779" s="98" t="str">
        <f>HYPERLINK("http://mirror.ff7data.com.ar/ff7/data/minigame/high-us.lgp/xjaa.tex.png","View Picture")</f>
        <v>View Picture</v>
      </c>
      <c r="K2779" s="43"/>
    </row>
    <row r="2780">
      <c r="A2780" s="55"/>
      <c r="B2780" s="33" t="s">
        <v>26942</v>
      </c>
      <c r="C2780" s="42">
        <v>2132.0</v>
      </c>
      <c r="D2780" s="31"/>
      <c r="E2780" s="74"/>
      <c r="F2780" s="46" t="s">
        <v>2775</v>
      </c>
      <c r="G2780" s="75"/>
      <c r="H2780" s="98" t="str">
        <f>HYPERLINK("http://mirror.ff7data.com.ar/ff7/data/minigame/high-us.lgp/xkaa.p.png","View Picture")</f>
        <v>View Picture</v>
      </c>
      <c r="K2780" s="43"/>
    </row>
    <row r="2781">
      <c r="A2781" s="55"/>
      <c r="B2781" s="33" t="s">
        <v>26950</v>
      </c>
      <c r="C2781" s="42">
        <v>25060.0</v>
      </c>
      <c r="D2781" s="31"/>
      <c r="E2781" s="74"/>
      <c r="F2781" s="46" t="s">
        <v>2775</v>
      </c>
      <c r="G2781" s="75"/>
      <c r="H2781" s="98" t="str">
        <f>HYPERLINK("http://mirror.ff7data.com.ar/ff7/data/minigame/high-us.lgp/xlaa.p.png","View Picture")</f>
        <v>View Picture</v>
      </c>
      <c r="K2781" s="43"/>
    </row>
    <row r="2782">
      <c r="A2782" s="55"/>
      <c r="B2782" s="33" t="s">
        <v>26955</v>
      </c>
      <c r="C2782" s="42">
        <v>283.0</v>
      </c>
      <c r="D2782" s="31"/>
      <c r="E2782" s="74"/>
      <c r="F2782" s="46" t="s">
        <v>2793</v>
      </c>
      <c r="G2782" s="75"/>
      <c r="H2782" s="98" t="str">
        <f>HYPERLINK("http://mirror.ff7data.com.ar/ff7/data/minigame/high-us.lgp/xmaa.rsd.png","View Picture")</f>
        <v>View Picture</v>
      </c>
      <c r="K2782" s="43"/>
    </row>
    <row r="2783">
      <c r="A2783" s="55"/>
      <c r="B2783" s="33" t="s">
        <v>26960</v>
      </c>
      <c r="C2783" s="42">
        <v>289.0</v>
      </c>
      <c r="D2783" s="31"/>
      <c r="E2783" s="74"/>
      <c r="F2783" s="46" t="s">
        <v>2793</v>
      </c>
      <c r="G2783" s="75"/>
      <c r="H2783" s="98" t="str">
        <f>HYPERLINK("http://mirror.ff7data.com.ar/ff7/data/minigame/high-us.lgp/xnaa.rsd.png","View Picture")</f>
        <v>View Picture</v>
      </c>
      <c r="K2783" s="43"/>
    </row>
    <row r="2784">
      <c r="A2784" s="55"/>
      <c r="B2784" s="33" t="s">
        <v>26965</v>
      </c>
      <c r="C2784" s="42">
        <v>283.0</v>
      </c>
      <c r="D2784" s="31"/>
      <c r="E2784" s="74"/>
      <c r="F2784" s="46" t="s">
        <v>2793</v>
      </c>
      <c r="G2784" s="75"/>
      <c r="H2784" s="98" t="str">
        <f>HYPERLINK("http://mirror.ff7data.com.ar/ff7/data/minigame/high-us.lgp/xoaa.rsd.png","View Picture")</f>
        <v>View Picture</v>
      </c>
      <c r="K2784" s="43"/>
    </row>
    <row r="2785">
      <c r="A2785" s="55"/>
      <c r="B2785" s="33" t="s">
        <v>26969</v>
      </c>
      <c r="C2785" s="42">
        <v>2124.0</v>
      </c>
      <c r="D2785" s="31"/>
      <c r="E2785" s="74"/>
      <c r="F2785" s="46" t="s">
        <v>2775</v>
      </c>
      <c r="G2785" s="75"/>
      <c r="H2785" s="98" t="str">
        <f>HYPERLINK("http://mirror.ff7data.com.ar/ff7/data/minigame/high-us.lgp/xpaa.p.png","View Picture")</f>
        <v>View Picture</v>
      </c>
      <c r="K2785" s="43"/>
    </row>
    <row r="2786">
      <c r="A2786" s="55"/>
      <c r="B2786" s="33" t="s">
        <v>26976</v>
      </c>
      <c r="C2786" s="42">
        <v>1792.0</v>
      </c>
      <c r="D2786" s="31"/>
      <c r="E2786" s="74"/>
      <c r="F2786" s="46" t="s">
        <v>2775</v>
      </c>
      <c r="G2786" s="75"/>
      <c r="H2786" s="98" t="str">
        <f>HYPERLINK("http://mirror.ff7data.com.ar/ff7/data/minigame/high-us.lgp/xqaa.p.png","View Picture")</f>
        <v>View Picture</v>
      </c>
      <c r="K2786" s="43"/>
    </row>
    <row r="2787">
      <c r="A2787" s="55"/>
      <c r="B2787" s="33" t="s">
        <v>26985</v>
      </c>
      <c r="C2787" s="42">
        <v>4620.0</v>
      </c>
      <c r="D2787" s="31"/>
      <c r="E2787" s="74"/>
      <c r="F2787" s="46" t="s">
        <v>2775</v>
      </c>
      <c r="G2787" s="75"/>
      <c r="H2787" s="98" t="str">
        <f>HYPERLINK("http://mirror.ff7data.com.ar/ff7/data/minigame/high-us.lgp/xraa.p.png","View Picture")</f>
        <v>View Picture</v>
      </c>
      <c r="K2787" s="43"/>
    </row>
    <row r="2788">
      <c r="A2788" s="55"/>
      <c r="B2788" s="33" t="s">
        <v>26998</v>
      </c>
      <c r="C2788" s="42">
        <v>297.0</v>
      </c>
      <c r="D2788" s="31"/>
      <c r="E2788" s="74"/>
      <c r="F2788" s="46" t="s">
        <v>2793</v>
      </c>
      <c r="G2788" s="75"/>
      <c r="H2788" s="98" t="str">
        <f>HYPERLINK("http://mirror.ff7data.com.ar/ff7/data/minigame/high-us.lgp/xsaa.rsd.png","View Picture")</f>
        <v>View Picture</v>
      </c>
      <c r="K2788" s="43"/>
    </row>
    <row r="2789">
      <c r="A2789" s="55"/>
      <c r="B2789" s="33" t="s">
        <v>27008</v>
      </c>
      <c r="C2789" s="42">
        <v>16684.0</v>
      </c>
      <c r="D2789" s="31"/>
      <c r="E2789" s="74"/>
      <c r="F2789" s="46" t="s">
        <v>1348</v>
      </c>
      <c r="G2789" s="75"/>
      <c r="H2789" s="98" t="str">
        <f>HYPERLINK("http://mirror.ff7data.com.ar/ff7/data/minigame/high-us.lgp/xtaa.tex.png","View Picture")</f>
        <v>View Picture</v>
      </c>
      <c r="K2789" s="43"/>
    </row>
    <row r="2790">
      <c r="A2790" s="79"/>
      <c r="B2790" s="33" t="s">
        <v>27013</v>
      </c>
      <c r="C2790" s="42">
        <v>1980.0</v>
      </c>
      <c r="D2790" s="33" t="s">
        <v>26880</v>
      </c>
      <c r="E2790" s="74"/>
      <c r="F2790" s="46" t="s">
        <v>2775</v>
      </c>
      <c r="G2790" s="75"/>
      <c r="H2790" s="98" t="str">
        <f>HYPERLINK("http://mirror.ff7data.com.ar/ff7/data/minigame/high-us.lgp/yaaa.p.png","View Picture")</f>
        <v>View Picture</v>
      </c>
      <c r="K2790" s="43"/>
    </row>
    <row r="2791">
      <c r="A2791" s="82"/>
      <c r="B2791" s="33" t="s">
        <v>27017</v>
      </c>
      <c r="C2791" s="42">
        <v>654.0</v>
      </c>
      <c r="D2791" s="33" t="s">
        <v>27019</v>
      </c>
      <c r="E2791" s="74"/>
      <c r="F2791" s="46" t="s">
        <v>2756</v>
      </c>
      <c r="G2791" s="46" t="s">
        <v>27020</v>
      </c>
      <c r="H2791" s="98" t="str">
        <f>HYPERLINK("http://mirror.ff7data.com.ar/ff7/data/minigame/high-us.lgp/ybaa.hrc.png","View Picture")</f>
        <v>View Picture</v>
      </c>
      <c r="K2791" s="43"/>
    </row>
    <row r="2792">
      <c r="A2792" s="82"/>
      <c r="B2792" s="33" t="s">
        <v>27029</v>
      </c>
      <c r="C2792" s="42">
        <v>612.0</v>
      </c>
      <c r="D2792" s="33" t="s">
        <v>27019</v>
      </c>
      <c r="E2792" s="74"/>
      <c r="F2792" s="46" t="s">
        <v>2756</v>
      </c>
      <c r="G2792" s="75"/>
      <c r="H2792" s="98" t="str">
        <f>HYPERLINK("http://mirror.ff7data.com.ar/ff7/data/minigame/high-us.lgp/ycaa.hrc.png","View Picture")</f>
        <v>View Picture</v>
      </c>
      <c r="K2792" s="43"/>
    </row>
    <row r="2793">
      <c r="A2793" s="82"/>
      <c r="B2793" s="33" t="s">
        <v>27045</v>
      </c>
      <c r="C2793" s="42">
        <v>701.0</v>
      </c>
      <c r="D2793" s="33" t="s">
        <v>27047</v>
      </c>
      <c r="E2793" s="74"/>
      <c r="F2793" s="46" t="s">
        <v>2756</v>
      </c>
      <c r="G2793" s="75"/>
      <c r="H2793" s="98" t="str">
        <f>HYPERLINK("http://mirror.ff7data.com.ar/ff7/data/minigame/high-us.lgp/ydaa.hrc.png","View Picture")</f>
        <v>View Picture</v>
      </c>
      <c r="K2793" s="43"/>
    </row>
    <row r="2794">
      <c r="A2794" s="55"/>
      <c r="B2794" s="33" t="s">
        <v>27061</v>
      </c>
      <c r="C2794" s="42">
        <v>285.0</v>
      </c>
      <c r="D2794" s="31"/>
      <c r="E2794" s="74"/>
      <c r="F2794" s="46" t="s">
        <v>2793</v>
      </c>
      <c r="G2794" s="75"/>
      <c r="H2794" s="98" t="str">
        <f>HYPERLINK("http://mirror.ff7data.com.ar/ff7/data/minigame/high-us.lgp/yeaa.rsd.png","View Picture")</f>
        <v>View Picture</v>
      </c>
      <c r="K2794" s="43"/>
    </row>
    <row r="2795">
      <c r="A2795" s="55"/>
      <c r="B2795" s="33" t="s">
        <v>27075</v>
      </c>
      <c r="C2795" s="42">
        <v>1120.0</v>
      </c>
      <c r="D2795" s="31"/>
      <c r="E2795" s="74"/>
      <c r="F2795" s="46" t="s">
        <v>2775</v>
      </c>
      <c r="G2795" s="75"/>
      <c r="H2795" s="98" t="str">
        <f>HYPERLINK("http://mirror.ff7data.com.ar/ff7/data/minigame/high-us.lgp/yfaa.p.png","View Picture")</f>
        <v>View Picture</v>
      </c>
      <c r="K2795" s="43"/>
    </row>
    <row r="2796">
      <c r="A2796" s="55"/>
      <c r="B2796" s="33" t="s">
        <v>27093</v>
      </c>
      <c r="C2796" s="42">
        <v>14436.0</v>
      </c>
      <c r="D2796" s="31"/>
      <c r="E2796" s="74"/>
      <c r="F2796" s="46" t="s">
        <v>3366</v>
      </c>
      <c r="G2796" s="75"/>
      <c r="H2796" s="122"/>
      <c r="K2796" s="43"/>
    </row>
    <row r="2797">
      <c r="A2797" s="55"/>
      <c r="B2797" s="33" t="s">
        <v>27096</v>
      </c>
      <c r="C2797" s="42">
        <v>283.0</v>
      </c>
      <c r="D2797" s="31"/>
      <c r="E2797" s="74"/>
      <c r="F2797" s="46" t="s">
        <v>2793</v>
      </c>
      <c r="G2797" s="75"/>
      <c r="H2797" s="98" t="str">
        <f>HYPERLINK("http://mirror.ff7data.com.ar/ff7/data/minigame/high-us.lgp/yhaa.rsd.png","View Picture")</f>
        <v>View Picture</v>
      </c>
      <c r="K2797" s="43"/>
    </row>
    <row r="2798">
      <c r="A2798" s="55"/>
      <c r="B2798" s="33" t="s">
        <v>27109</v>
      </c>
      <c r="C2798" s="42">
        <v>283.0</v>
      </c>
      <c r="D2798" s="31"/>
      <c r="E2798" s="74"/>
      <c r="F2798" s="46" t="s">
        <v>2793</v>
      </c>
      <c r="G2798" s="75"/>
      <c r="H2798" s="98" t="str">
        <f>HYPERLINK("http://mirror.ff7data.com.ar/ff7/data/minigame/high-us.lgp/yiaa.rsd.png","View Picture")</f>
        <v>View Picture</v>
      </c>
      <c r="K2798" s="43"/>
    </row>
    <row r="2799">
      <c r="A2799" s="55"/>
      <c r="B2799" s="33" t="s">
        <v>27118</v>
      </c>
      <c r="C2799" s="42">
        <v>323.0</v>
      </c>
      <c r="D2799" s="31"/>
      <c r="E2799" s="74"/>
      <c r="F2799" s="46" t="s">
        <v>2793</v>
      </c>
      <c r="G2799" s="75"/>
      <c r="H2799" s="98" t="str">
        <f>HYPERLINK("http://mirror.ff7data.com.ar/ff7/data/minigame/high-us.lgp/yjaa.rsd.png","View Picture")</f>
        <v>View Picture</v>
      </c>
      <c r="K2799" s="43"/>
    </row>
    <row r="2800">
      <c r="A2800" s="55"/>
      <c r="B2800" s="33" t="s">
        <v>27126</v>
      </c>
      <c r="C2800" s="42">
        <v>283.0</v>
      </c>
      <c r="D2800" s="31"/>
      <c r="E2800" s="74"/>
      <c r="F2800" s="46" t="s">
        <v>2793</v>
      </c>
      <c r="G2800" s="75"/>
      <c r="H2800" s="98" t="str">
        <f>HYPERLINK("http://mirror.ff7data.com.ar/ff7/data/minigame/high-us.lgp/ykaa.rsd.png","View Picture")</f>
        <v>View Picture</v>
      </c>
      <c r="K2800" s="43"/>
    </row>
    <row r="2801">
      <c r="A2801" s="55"/>
      <c r="B2801" s="33" t="s">
        <v>27135</v>
      </c>
      <c r="C2801" s="42">
        <v>286.0</v>
      </c>
      <c r="D2801" s="31"/>
      <c r="E2801" s="74"/>
      <c r="F2801" s="46" t="s">
        <v>2793</v>
      </c>
      <c r="G2801" s="75"/>
      <c r="H2801" s="98" t="str">
        <f>HYPERLINK("http://mirror.ff7data.com.ar/ff7/data/minigame/high-us.lgp/ylaa.rsd.png","View Picture")</f>
        <v>View Picture</v>
      </c>
      <c r="K2801" s="43"/>
    </row>
    <row r="2802">
      <c r="A2802" s="55"/>
      <c r="B2802" s="33" t="s">
        <v>27147</v>
      </c>
      <c r="C2802" s="42">
        <v>7764.0</v>
      </c>
      <c r="D2802" s="31"/>
      <c r="E2802" s="74"/>
      <c r="F2802" s="46" t="s">
        <v>2775</v>
      </c>
      <c r="G2802" s="75"/>
      <c r="H2802" s="98" t="str">
        <f>HYPERLINK("http://mirror.ff7data.com.ar/ff7/data/minigame/high-us.lgp/ymaa.p.png","View Picture")</f>
        <v>View Picture</v>
      </c>
      <c r="K2802" s="43"/>
    </row>
    <row r="2803">
      <c r="A2803" s="55"/>
      <c r="B2803" s="33" t="s">
        <v>27156</v>
      </c>
      <c r="C2803" s="42">
        <v>4760.0</v>
      </c>
      <c r="D2803" s="31"/>
      <c r="E2803" s="74"/>
      <c r="F2803" s="46" t="s">
        <v>2775</v>
      </c>
      <c r="G2803" s="75"/>
      <c r="H2803" s="98" t="str">
        <f>HYPERLINK("http://mirror.ff7data.com.ar/ff7/data/minigame/high-us.lgp/ynaa.p.png","View Picture")</f>
        <v>View Picture</v>
      </c>
      <c r="K2803" s="43"/>
    </row>
    <row r="2804">
      <c r="A2804" s="55"/>
      <c r="B2804" s="33" t="s">
        <v>27166</v>
      </c>
      <c r="C2804" s="42">
        <v>8804.0</v>
      </c>
      <c r="D2804" s="31"/>
      <c r="E2804" s="74"/>
      <c r="F2804" s="46" t="s">
        <v>2775</v>
      </c>
      <c r="G2804" s="75"/>
      <c r="H2804" s="98" t="str">
        <f>HYPERLINK("http://mirror.ff7data.com.ar/ff7/data/minigame/high-us.lgp/yoaa.p.png","View Picture")</f>
        <v>View Picture</v>
      </c>
      <c r="K2804" s="43"/>
    </row>
    <row r="2805">
      <c r="A2805" s="55"/>
      <c r="B2805" s="33" t="s">
        <v>27174</v>
      </c>
      <c r="C2805" s="42">
        <v>283.0</v>
      </c>
      <c r="D2805" s="31"/>
      <c r="E2805" s="74"/>
      <c r="F2805" s="46" t="s">
        <v>2793</v>
      </c>
      <c r="G2805" s="75"/>
      <c r="H2805" s="98" t="str">
        <f>HYPERLINK("http://mirror.ff7data.com.ar/ff7/data/minigame/high-us.lgp/ypaa.rsd.png","View Picture")</f>
        <v>View Picture</v>
      </c>
      <c r="K2805" s="43"/>
    </row>
    <row r="2806">
      <c r="A2806" s="55"/>
      <c r="B2806" s="33" t="s">
        <v>27181</v>
      </c>
      <c r="C2806" s="42">
        <v>280.0</v>
      </c>
      <c r="D2806" s="31"/>
      <c r="E2806" s="74"/>
      <c r="F2806" s="46" t="s">
        <v>2793</v>
      </c>
      <c r="G2806" s="75"/>
      <c r="H2806" s="98" t="str">
        <f>HYPERLINK("http://mirror.ff7data.com.ar/ff7/data/minigame/high-us.lgp/yqaa.rsd.png","View Picture")</f>
        <v>View Picture</v>
      </c>
      <c r="K2806" s="43"/>
    </row>
    <row r="2807">
      <c r="A2807" s="55"/>
      <c r="B2807" s="33" t="s">
        <v>27189</v>
      </c>
      <c r="C2807" s="42">
        <v>66796.0</v>
      </c>
      <c r="D2807" s="31"/>
      <c r="E2807" s="74"/>
      <c r="F2807" s="46" t="s">
        <v>1348</v>
      </c>
      <c r="G2807" s="75"/>
      <c r="H2807" s="98" t="str">
        <f>HYPERLINK("http://mirror.ff7data.com.ar/ff7/data/minigame/high-us.lgp/yraa.tex.png","View Picture")</f>
        <v>View Picture</v>
      </c>
      <c r="K2807" s="43"/>
    </row>
    <row r="2808">
      <c r="A2808" s="55"/>
      <c r="B2808" s="33" t="s">
        <v>27198</v>
      </c>
      <c r="C2808" s="42">
        <v>4680.0</v>
      </c>
      <c r="D2808" s="31"/>
      <c r="E2808" s="74"/>
      <c r="F2808" s="46" t="s">
        <v>2775</v>
      </c>
      <c r="G2808" s="75"/>
      <c r="H2808" s="98" t="str">
        <f>HYPERLINK("http://mirror.ff7data.com.ar/ff7/data/minigame/high-us.lgp/ysaa.p.png","View Picture")</f>
        <v>View Picture</v>
      </c>
      <c r="K2808" s="43"/>
    </row>
    <row r="2809">
      <c r="A2809" s="55"/>
      <c r="B2809" s="33" t="s">
        <v>27205</v>
      </c>
      <c r="C2809" s="42">
        <v>2348.0</v>
      </c>
      <c r="D2809" s="31"/>
      <c r="E2809" s="74"/>
      <c r="F2809" s="46" t="s">
        <v>1348</v>
      </c>
      <c r="G2809" s="75"/>
      <c r="H2809" s="98" t="str">
        <f>HYPERLINK("http://mirror.ff7data.com.ar/ff7/data/minigame/high-us.lgp/ytaa.tex.png","View Picture")</f>
        <v>View Picture</v>
      </c>
      <c r="K2809" s="43"/>
    </row>
    <row r="2810">
      <c r="A2810" s="55"/>
      <c r="B2810" s="33" t="s">
        <v>27213</v>
      </c>
      <c r="C2810" s="42">
        <v>213.0</v>
      </c>
      <c r="D2810" s="31"/>
      <c r="E2810" s="74"/>
      <c r="F2810" s="46" t="s">
        <v>2793</v>
      </c>
      <c r="G2810" s="75"/>
      <c r="H2810" s="98" t="str">
        <f>HYPERLINK("http://mirror.ff7data.com.ar/ff7/data/minigame/high-us.lgp/zaaa.rsd.png","View Picture")</f>
        <v>View Picture</v>
      </c>
      <c r="K2810" s="43"/>
    </row>
    <row r="2811">
      <c r="A2811" s="21"/>
      <c r="B2811" s="33" t="s">
        <v>27221</v>
      </c>
      <c r="C2811" s="42">
        <v>207.0</v>
      </c>
      <c r="D2811" s="33" t="s">
        <v>27222</v>
      </c>
      <c r="E2811" s="74"/>
      <c r="F2811" s="46" t="s">
        <v>2793</v>
      </c>
      <c r="G2811" s="75"/>
      <c r="H2811" s="98" t="str">
        <f>HYPERLINK("http://mirror.ff7data.com.ar/ff7/data/minigame/high-us.lgp/zbaa.rsd.png","View Picture")</f>
        <v>View Picture</v>
      </c>
      <c r="K2811" s="43"/>
    </row>
    <row r="2812">
      <c r="A2812" s="82"/>
      <c r="B2812" s="33" t="s">
        <v>27231</v>
      </c>
      <c r="C2812" s="42">
        <v>1021.0</v>
      </c>
      <c r="D2812" s="33" t="s">
        <v>27232</v>
      </c>
      <c r="E2812" s="74"/>
      <c r="F2812" s="46" t="s">
        <v>2756</v>
      </c>
      <c r="G2812" s="46" t="s">
        <v>27234</v>
      </c>
      <c r="H2812" s="98" t="str">
        <f>HYPERLINK("http://mirror.ff7data.com.ar/ff7/data/minigame/high-us.lgp/zcaa.hrc.png","View Picture")</f>
        <v>View Picture</v>
      </c>
      <c r="K2812" s="43"/>
    </row>
    <row r="2813">
      <c r="A2813" s="55"/>
      <c r="B2813" s="33" t="s">
        <v>27241</v>
      </c>
      <c r="C2813" s="42">
        <v>201.0</v>
      </c>
      <c r="D2813" s="31"/>
      <c r="E2813" s="74"/>
      <c r="F2813" s="46" t="s">
        <v>2793</v>
      </c>
      <c r="G2813" s="75"/>
      <c r="H2813" s="98" t="str">
        <f>HYPERLINK("http://mirror.ff7data.com.ar/ff7/data/minigame/high-us.lgp/zdaa.rsd.png","View Picture")</f>
        <v>View Picture</v>
      </c>
      <c r="K2813" s="43"/>
    </row>
    <row r="2814">
      <c r="A2814" s="55"/>
      <c r="B2814" s="33" t="s">
        <v>27251</v>
      </c>
      <c r="C2814" s="42">
        <v>1380.0</v>
      </c>
      <c r="D2814" s="31"/>
      <c r="E2814" s="74"/>
      <c r="F2814" s="46" t="s">
        <v>2775</v>
      </c>
      <c r="G2814" s="75"/>
      <c r="H2814" s="98" t="str">
        <f>HYPERLINK("http://mirror.ff7data.com.ar/ff7/data/minigame/high-us.lgp/zeaa.p.png","View Picture")</f>
        <v>View Picture</v>
      </c>
      <c r="K2814" s="43"/>
    </row>
    <row r="2815">
      <c r="A2815" s="55"/>
      <c r="B2815" s="33" t="s">
        <v>27260</v>
      </c>
      <c r="C2815" s="42">
        <v>202.0</v>
      </c>
      <c r="D2815" s="31"/>
      <c r="E2815" s="74"/>
      <c r="F2815" s="46" t="s">
        <v>2793</v>
      </c>
      <c r="G2815" s="75"/>
      <c r="H2815" s="98" t="str">
        <f>HYPERLINK("http://mirror.ff7data.com.ar/ff7/data/minigame/high-us.lgp/zfaa.rsd.png","View Picture")</f>
        <v>View Picture</v>
      </c>
      <c r="K2815" s="43"/>
    </row>
    <row r="2816">
      <c r="A2816" s="55"/>
      <c r="B2816" s="33" t="s">
        <v>27268</v>
      </c>
      <c r="C2816" s="42">
        <v>14436.0</v>
      </c>
      <c r="D2816" s="31"/>
      <c r="E2816" s="74"/>
      <c r="F2816" s="46" t="s">
        <v>3366</v>
      </c>
      <c r="G2816" s="75"/>
      <c r="H2816" s="122"/>
      <c r="K2816" s="43"/>
    </row>
    <row r="2817">
      <c r="A2817" s="55"/>
      <c r="B2817" s="33" t="s">
        <v>27271</v>
      </c>
      <c r="C2817" s="42">
        <v>972.0</v>
      </c>
      <c r="D2817" s="31"/>
      <c r="E2817" s="74"/>
      <c r="F2817" s="46" t="s">
        <v>2775</v>
      </c>
      <c r="G2817" s="75"/>
      <c r="H2817" s="98" t="str">
        <f>HYPERLINK("http://mirror.ff7data.com.ar/ff7/data/minigame/high-us.lgp/zhaa.p.png","View Picture")</f>
        <v>View Picture</v>
      </c>
      <c r="K2817" s="43"/>
    </row>
    <row r="2818">
      <c r="A2818" s="55"/>
      <c r="B2818" s="33" t="s">
        <v>27279</v>
      </c>
      <c r="C2818" s="42">
        <v>4140.0</v>
      </c>
      <c r="D2818" s="31"/>
      <c r="E2818" s="74"/>
      <c r="F2818" s="46" t="s">
        <v>2775</v>
      </c>
      <c r="G2818" s="75"/>
      <c r="H2818" s="98" t="str">
        <f>HYPERLINK("http://mirror.ff7data.com.ar/ff7/data/minigame/high-us.lgp/ziaa.p.png","View Picture")</f>
        <v>View Picture</v>
      </c>
      <c r="K2818" s="43"/>
    </row>
    <row r="2819">
      <c r="A2819" s="55"/>
      <c r="B2819" s="33" t="s">
        <v>27287</v>
      </c>
      <c r="C2819" s="42">
        <v>892.0</v>
      </c>
      <c r="D2819" s="31"/>
      <c r="E2819" s="74"/>
      <c r="F2819" s="46" t="s">
        <v>2775</v>
      </c>
      <c r="G2819" s="75"/>
      <c r="H2819" s="98" t="str">
        <f>HYPERLINK("http://mirror.ff7data.com.ar/ff7/data/minigame/high-us.lgp/zjaa.p.png","View Picture")</f>
        <v>View Picture</v>
      </c>
      <c r="K2819" s="43"/>
    </row>
    <row r="2820">
      <c r="A2820" s="55"/>
      <c r="B2820" s="33" t="s">
        <v>27297</v>
      </c>
      <c r="C2820" s="42">
        <v>13132.0</v>
      </c>
      <c r="D2820" s="31"/>
      <c r="E2820" s="74"/>
      <c r="F2820" s="46" t="s">
        <v>2775</v>
      </c>
      <c r="G2820" s="75"/>
      <c r="H2820" s="98" t="str">
        <f>HYPERLINK("http://mirror.ff7data.com.ar/ff7/data/minigame/high-us.lgp/zkaa.p.png","View Picture")</f>
        <v>View Picture</v>
      </c>
      <c r="K2820" s="43"/>
    </row>
    <row r="2821">
      <c r="A2821" s="55"/>
      <c r="B2821" s="33" t="s">
        <v>27306</v>
      </c>
      <c r="C2821" s="42">
        <v>22496.0</v>
      </c>
      <c r="D2821" s="31"/>
      <c r="E2821" s="74"/>
      <c r="F2821" s="46" t="s">
        <v>2775</v>
      </c>
      <c r="G2821" s="75"/>
      <c r="H2821" s="98" t="str">
        <f>HYPERLINK("http://mirror.ff7data.com.ar/ff7/data/minigame/high-us.lgp/zlaa.p.png","View Picture")</f>
        <v>View Picture</v>
      </c>
      <c r="K2821" s="43"/>
    </row>
    <row r="2822">
      <c r="A2822" s="55"/>
      <c r="B2822" s="33" t="s">
        <v>27312</v>
      </c>
      <c r="C2822" s="42">
        <v>289.0</v>
      </c>
      <c r="D2822" s="31"/>
      <c r="E2822" s="74"/>
      <c r="F2822" s="46" t="s">
        <v>2793</v>
      </c>
      <c r="G2822" s="75"/>
      <c r="H2822" s="98" t="str">
        <f>HYPERLINK("http://mirror.ff7data.com.ar/ff7/data/minigame/high-us.lgp/zmaa.rsd.png","View Picture")</f>
        <v>View Picture</v>
      </c>
      <c r="K2822" s="43"/>
    </row>
    <row r="2823">
      <c r="A2823" s="55"/>
      <c r="B2823" s="33" t="s">
        <v>27322</v>
      </c>
      <c r="C2823" s="42">
        <v>283.0</v>
      </c>
      <c r="D2823" s="31"/>
      <c r="E2823" s="74"/>
      <c r="F2823" s="46" t="s">
        <v>2793</v>
      </c>
      <c r="G2823" s="75"/>
      <c r="H2823" s="98" t="str">
        <f>HYPERLINK("http://mirror.ff7data.com.ar/ff7/data/minigame/high-us.lgp/znaa.rsd.png","View Picture")</f>
        <v>View Picture</v>
      </c>
      <c r="K2823" s="43"/>
    </row>
    <row r="2824">
      <c r="A2824" s="55"/>
      <c r="B2824" s="33" t="s">
        <v>27330</v>
      </c>
      <c r="C2824" s="42">
        <v>289.0</v>
      </c>
      <c r="D2824" s="31"/>
      <c r="E2824" s="74"/>
      <c r="F2824" s="46" t="s">
        <v>2793</v>
      </c>
      <c r="G2824" s="75"/>
      <c r="H2824" s="98" t="str">
        <f>HYPERLINK("http://mirror.ff7data.com.ar/ff7/data/minigame/high-us.lgp/zoaa.rsd.png","View Picture")</f>
        <v>View Picture</v>
      </c>
      <c r="K2824" s="43"/>
    </row>
    <row r="2825">
      <c r="A2825" s="55"/>
      <c r="B2825" s="33" t="s">
        <v>27339</v>
      </c>
      <c r="C2825" s="42">
        <v>3828.0</v>
      </c>
      <c r="D2825" s="31"/>
      <c r="E2825" s="74"/>
      <c r="F2825" s="46" t="s">
        <v>2775</v>
      </c>
      <c r="G2825" s="75"/>
      <c r="H2825" s="98" t="str">
        <f>HYPERLINK("http://mirror.ff7data.com.ar/ff7/data/minigame/high-us.lgp/zpaa.p.png","View Picture")</f>
        <v>View Picture</v>
      </c>
      <c r="K2825" s="43"/>
    </row>
    <row r="2826">
      <c r="A2826" s="55"/>
      <c r="B2826" s="33" t="s">
        <v>27346</v>
      </c>
      <c r="C2826" s="42">
        <v>1792.0</v>
      </c>
      <c r="D2826" s="31"/>
      <c r="E2826" s="74"/>
      <c r="F2826" s="46" t="s">
        <v>2775</v>
      </c>
      <c r="G2826" s="75"/>
      <c r="H2826" s="98" t="str">
        <f>HYPERLINK("http://mirror.ff7data.com.ar/ff7/data/minigame/high-us.lgp/zqaa.p.png","View Picture")</f>
        <v>View Picture</v>
      </c>
      <c r="K2826" s="43"/>
    </row>
    <row r="2827">
      <c r="A2827" s="55"/>
      <c r="B2827" s="33" t="s">
        <v>27352</v>
      </c>
      <c r="C2827" s="42">
        <v>286.0</v>
      </c>
      <c r="D2827" s="31"/>
      <c r="E2827" s="74"/>
      <c r="F2827" s="46" t="s">
        <v>2793</v>
      </c>
      <c r="G2827" s="75"/>
      <c r="H2827" s="98" t="str">
        <f>HYPERLINK("http://mirror.ff7data.com.ar/ff7/data/minigame/high-us.lgp/zraa.rsd.png","View Picture")</f>
        <v>View Picture</v>
      </c>
      <c r="K2827" s="43"/>
    </row>
    <row r="2828">
      <c r="A2828" s="55"/>
      <c r="B2828" s="33" t="s">
        <v>27358</v>
      </c>
      <c r="C2828" s="42">
        <v>66796.0</v>
      </c>
      <c r="D2828" s="31"/>
      <c r="E2828" s="74"/>
      <c r="F2828" s="46" t="s">
        <v>1348</v>
      </c>
      <c r="G2828" s="75"/>
      <c r="H2828" s="98" t="str">
        <f>HYPERLINK("http://mirror.ff7data.com.ar/ff7/data/minigame/high-us.lgp/zsaa.tex.png","View Picture")</f>
        <v>View Picture</v>
      </c>
      <c r="K2828" s="43"/>
    </row>
    <row r="2829">
      <c r="A2829" s="55"/>
      <c r="B2829" s="57" t="s">
        <v>27367</v>
      </c>
      <c r="C2829" s="58">
        <v>2348.0</v>
      </c>
      <c r="D2829" s="70"/>
      <c r="E2829" s="19"/>
      <c r="F2829" s="61" t="s">
        <v>1348</v>
      </c>
      <c r="G2829" s="71"/>
      <c r="H2829" s="136" t="str">
        <f>HYPERLINK("http://mirror.ff7data.com.ar/ff7/data/minigame/high-us.lgp/ztaa.tex.png","View Picture")</f>
        <v>View Picture</v>
      </c>
      <c r="I2829" s="19"/>
      <c r="J2829" s="19"/>
      <c r="K2829" s="64"/>
    </row>
    <row r="2830">
      <c r="A2830" s="12"/>
      <c r="B2830" s="12"/>
      <c r="C2830" s="65"/>
      <c r="D2830" s="34"/>
      <c r="E2830" s="34"/>
      <c r="F2830" s="67"/>
      <c r="G2830" s="67"/>
      <c r="H2830" s="34"/>
      <c r="I2830" s="34"/>
      <c r="J2830" s="34"/>
      <c r="K2830" s="34"/>
    </row>
    <row r="2831">
      <c r="A2831" s="155"/>
      <c r="B2831" s="69" t="s">
        <v>170</v>
      </c>
      <c r="C2831" s="144"/>
      <c r="D2831" s="19"/>
      <c r="E2831" s="19"/>
      <c r="F2831" s="71"/>
      <c r="G2831" s="61" t="s">
        <v>27414</v>
      </c>
      <c r="H2831" s="19"/>
      <c r="I2831" s="19"/>
      <c r="J2831" s="19"/>
      <c r="K2831" s="19"/>
    </row>
    <row r="2832">
      <c r="A2832" s="40"/>
      <c r="B2832" s="23" t="s">
        <v>27417</v>
      </c>
      <c r="C2832" s="24">
        <v>17644.0</v>
      </c>
      <c r="D2832" s="23" t="s">
        <v>27420</v>
      </c>
      <c r="E2832" s="27" t="s">
        <v>6863</v>
      </c>
      <c r="F2832" s="36" t="s">
        <v>1348</v>
      </c>
      <c r="G2832" s="67"/>
      <c r="H2832" s="137" t="str">
        <f>HYPERLINK("http://mirror.ff7data.com.ar/ff7/data/menu/menu_us.lgp/barre.tex.png","View Picture")</f>
        <v>View Picture</v>
      </c>
      <c r="I2832" s="34"/>
      <c r="J2832" s="34"/>
      <c r="K2832" s="38"/>
    </row>
    <row r="2833">
      <c r="A2833" s="40"/>
      <c r="B2833" s="33" t="s">
        <v>27437</v>
      </c>
      <c r="C2833" s="42">
        <v>5356.0</v>
      </c>
      <c r="D2833" s="33" t="s">
        <v>27438</v>
      </c>
      <c r="E2833" s="74"/>
      <c r="F2833" s="46" t="s">
        <v>1348</v>
      </c>
      <c r="G2833" s="75"/>
      <c r="H2833" s="98" t="str">
        <f>HYPERLINK("http://mirror.ff7data.com.ar/ff7/data/menu/menu_us.lgp/barre_l.tex.png","View Picture")</f>
        <v>View Picture</v>
      </c>
      <c r="K2833" s="43"/>
    </row>
    <row r="2834">
      <c r="A2834" s="40"/>
      <c r="B2834" s="33" t="s">
        <v>27449</v>
      </c>
      <c r="C2834" s="42">
        <v>17644.0</v>
      </c>
      <c r="D2834" s="33" t="s">
        <v>27450</v>
      </c>
      <c r="E2834" s="51" t="s">
        <v>6869</v>
      </c>
      <c r="F2834" s="46" t="s">
        <v>1348</v>
      </c>
      <c r="G2834" s="75"/>
      <c r="H2834" s="98" t="str">
        <f>HYPERLINK("http://mirror.ff7data.com.ar/ff7/data/menu/menu_us.lgp/bins.tex.png","View Picture")</f>
        <v>View Picture</v>
      </c>
      <c r="K2834" s="43"/>
    </row>
    <row r="2835">
      <c r="A2835" s="40"/>
      <c r="B2835" s="33" t="s">
        <v>27459</v>
      </c>
      <c r="C2835" s="42">
        <v>5356.0</v>
      </c>
      <c r="D2835" s="33" t="s">
        <v>27461</v>
      </c>
      <c r="E2835" s="74"/>
      <c r="F2835" s="46" t="s">
        <v>1348</v>
      </c>
      <c r="G2835" s="75"/>
      <c r="H2835" s="98" t="str">
        <f>HYPERLINK("http://mirror.ff7data.com.ar/ff7/data/menu/menu_us.lgp/bins_l.tex.png","View Picture")</f>
        <v>View Picture</v>
      </c>
      <c r="K2835" s="43"/>
    </row>
    <row r="2836">
      <c r="A2836" s="84"/>
      <c r="B2836" s="33" t="s">
        <v>27467</v>
      </c>
      <c r="C2836" s="42">
        <v>66796.0</v>
      </c>
      <c r="D2836" s="33" t="s">
        <v>27469</v>
      </c>
      <c r="E2836" s="74"/>
      <c r="F2836" s="46" t="s">
        <v>1348</v>
      </c>
      <c r="G2836" s="46" t="s">
        <v>27471</v>
      </c>
      <c r="H2836" s="98" t="str">
        <f>HYPERLINK("http://mirror.ff7data.com.ar/ff7/data/menu/menu_us.lgp/btl_win_a_h.tex.png","EN")</f>
        <v>EN</v>
      </c>
      <c r="I2836" s="98" t="str">
        <f>HYPERLINK("http://mirror.ff7data.com.ar/ff7/es/menu_sp/btl_win_a_h.tex.png","ES")</f>
        <v>ES</v>
      </c>
      <c r="K2836" s="43"/>
    </row>
    <row r="2837">
      <c r="A2837" s="84"/>
      <c r="B2837" s="33" t="s">
        <v>27483</v>
      </c>
      <c r="C2837" s="42">
        <v>66796.0</v>
      </c>
      <c r="D2837" s="33" t="s">
        <v>27469</v>
      </c>
      <c r="E2837" s="74"/>
      <c r="F2837" s="46" t="s">
        <v>1348</v>
      </c>
      <c r="G2837" s="46" t="s">
        <v>27486</v>
      </c>
      <c r="H2837" s="98" t="str">
        <f>HYPERLINK("http://mirror.ff7data.com.ar/ff7/data/menu/menu_us.lgp/btl_win_a_l.tex.png","EN")</f>
        <v>EN</v>
      </c>
      <c r="I2837" s="98" t="str">
        <f>HYPERLINK("http://mirror.ff7data.com.ar/ff7/es/menu_sp/btl_win_a_l.tex.png","ES")</f>
        <v>ES</v>
      </c>
      <c r="K2837" s="43"/>
    </row>
    <row r="2838" ht="22.5" customHeight="1">
      <c r="A2838" s="84"/>
      <c r="B2838" s="33" t="s">
        <v>27501</v>
      </c>
      <c r="C2838" s="42">
        <v>66796.0</v>
      </c>
      <c r="D2838" s="33" t="s">
        <v>27502</v>
      </c>
      <c r="E2838" s="74"/>
      <c r="F2838" s="46" t="s">
        <v>1348</v>
      </c>
      <c r="G2838" s="46" t="s">
        <v>27504</v>
      </c>
      <c r="H2838" s="98" t="str">
        <f>HYPERLINK("http://mirror.ff7data.com.ar/ff7/data/menu/menu_us.lgp/btl_win_b_h.tex.png","EN")</f>
        <v>EN</v>
      </c>
      <c r="I2838" s="98" t="str">
        <f>HYPERLINK("http://mirror.ff7data.com.ar/ff7/es/menu_sp/btl_win_b_h.tex.png","ES")</f>
        <v>ES</v>
      </c>
      <c r="K2838" s="43"/>
    </row>
    <row r="2839" ht="22.5" customHeight="1">
      <c r="A2839" s="84"/>
      <c r="B2839" s="33" t="s">
        <v>27514</v>
      </c>
      <c r="C2839" s="42">
        <v>66796.0</v>
      </c>
      <c r="D2839" s="33" t="s">
        <v>27502</v>
      </c>
      <c r="E2839" s="74"/>
      <c r="F2839" s="46" t="s">
        <v>1348</v>
      </c>
      <c r="G2839" s="46" t="s">
        <v>27516</v>
      </c>
      <c r="H2839" s="98" t="str">
        <f>HYPERLINK("http://mirror.ff7data.com.ar/ff7/data/menu/menu_us.lgp/btl_win_b_l.tex.png","EN")</f>
        <v>EN</v>
      </c>
      <c r="I2839" s="98" t="str">
        <f>HYPERLINK("http://mirror.ff7data.com.ar/ff7/es/menu_sp/btl_win_b_l.tex.png","ES")</f>
        <v>ES</v>
      </c>
      <c r="K2839" s="43"/>
    </row>
    <row r="2840">
      <c r="A2840" s="84"/>
      <c r="B2840" s="33" t="s">
        <v>27531</v>
      </c>
      <c r="C2840" s="42">
        <v>66796.0</v>
      </c>
      <c r="D2840" s="33" t="s">
        <v>27534</v>
      </c>
      <c r="E2840" s="74"/>
      <c r="F2840" s="46" t="s">
        <v>1348</v>
      </c>
      <c r="G2840" s="46" t="s">
        <v>27537</v>
      </c>
      <c r="H2840" s="98" t="str">
        <f>HYPERLINK("http://mirror.ff7data.com.ar/ff7/data/menu/menu_us.lgp/btl_win_c_h.tex.png","EN")</f>
        <v>EN</v>
      </c>
      <c r="I2840" s="98" t="str">
        <f>HYPERLINK("http://mirror.ff7data.com.ar/ff7/es/menu_sp/btl_win_c_h.tex.png","ES")</f>
        <v>ES</v>
      </c>
      <c r="K2840" s="43"/>
    </row>
    <row r="2841">
      <c r="A2841" s="84"/>
      <c r="B2841" s="33" t="s">
        <v>27555</v>
      </c>
      <c r="C2841" s="42">
        <v>66796.0</v>
      </c>
      <c r="D2841" s="33" t="s">
        <v>27557</v>
      </c>
      <c r="E2841" s="74"/>
      <c r="F2841" s="46" t="s">
        <v>1348</v>
      </c>
      <c r="G2841" s="46" t="s">
        <v>27560</v>
      </c>
      <c r="H2841" s="98" t="str">
        <f>HYPERLINK("http://mirror.ff7data.com.ar/ff7/data/menu/menu_us.lgp/btl_win_c_l.tex.png","EN")</f>
        <v>EN</v>
      </c>
      <c r="I2841" s="98" t="str">
        <f>HYPERLINK("http://mirror.ff7data.com.ar/ff7/es/menu_sp/btl_win_c_l.tex.png","ES")</f>
        <v>ES</v>
      </c>
      <c r="K2841" s="43"/>
    </row>
    <row r="2842">
      <c r="A2842" s="84"/>
      <c r="B2842" s="33" t="s">
        <v>27574</v>
      </c>
      <c r="C2842" s="42">
        <v>66796.0</v>
      </c>
      <c r="D2842" s="33" t="s">
        <v>27575</v>
      </c>
      <c r="E2842" s="74"/>
      <c r="F2842" s="46" t="s">
        <v>1348</v>
      </c>
      <c r="G2842" s="46" t="s">
        <v>27578</v>
      </c>
      <c r="H2842" s="98" t="str">
        <f>HYPERLINK("http://mirror.ff7data.com.ar/ff7/data/menu/menu_us.lgp/btl_win_d_h.tex.png","EN")</f>
        <v>EN</v>
      </c>
      <c r="I2842" s="98" t="str">
        <f>HYPERLINK("http://mirror.ff7data.com.ar/ff7/es/menu_sp/btl_win_d_h.tex.png","ES")</f>
        <v>ES</v>
      </c>
      <c r="K2842" s="43"/>
    </row>
    <row r="2843" ht="22.5" customHeight="1">
      <c r="A2843" s="84"/>
      <c r="B2843" s="33" t="s">
        <v>27589</v>
      </c>
      <c r="C2843" s="42">
        <v>66796.0</v>
      </c>
      <c r="D2843" s="33" t="s">
        <v>27575</v>
      </c>
      <c r="E2843" s="74"/>
      <c r="F2843" s="46" t="s">
        <v>1348</v>
      </c>
      <c r="G2843" s="46" t="s">
        <v>27591</v>
      </c>
      <c r="H2843" s="98" t="str">
        <f>HYPERLINK("http://mirror.ff7data.com.ar/ff7/data/menu/menu_us.lgp/btl_win_d_l.tex.png","EN")</f>
        <v>EN</v>
      </c>
      <c r="I2843" s="98" t="str">
        <f>HYPERLINK("http://mirror.ff7data.com.ar/ff7/es/menu_sp/btl_win_d_l.tex.png","ES")</f>
        <v>ES</v>
      </c>
      <c r="K2843" s="43"/>
    </row>
    <row r="2844">
      <c r="A2844" s="84"/>
      <c r="B2844" s="33" t="s">
        <v>27604</v>
      </c>
      <c r="C2844" s="42">
        <v>66796.0</v>
      </c>
      <c r="D2844" s="33" t="s">
        <v>27606</v>
      </c>
      <c r="E2844" s="74"/>
      <c r="F2844" s="46" t="s">
        <v>1348</v>
      </c>
      <c r="G2844" s="46" t="s">
        <v>27608</v>
      </c>
      <c r="H2844" s="98" t="str">
        <f>HYPERLINK("http://mirror.ff7data.com.ar/ff7/data/menu/menu_us.lgp/btl_win_h.tex.png","EN")</f>
        <v>EN</v>
      </c>
      <c r="I2844" s="98" t="str">
        <f>HYPERLINK("http://mirror.ff7data.com.ar/ff7/es/menu_sp/btl_win_h.tex.png","ES")</f>
        <v>ES</v>
      </c>
      <c r="K2844" s="43"/>
    </row>
    <row r="2845">
      <c r="A2845" s="84"/>
      <c r="B2845" s="33" t="s">
        <v>27621</v>
      </c>
      <c r="C2845" s="42">
        <v>66796.0</v>
      </c>
      <c r="D2845" s="33" t="s">
        <v>27622</v>
      </c>
      <c r="E2845" s="74"/>
      <c r="F2845" s="46" t="s">
        <v>1348</v>
      </c>
      <c r="G2845" s="46" t="s">
        <v>27624</v>
      </c>
      <c r="H2845" s="98" t="str">
        <f>HYPERLINK("http://mirror.ff7data.com.ar/ff7/data/menu/menu_us.lgp/btl_win_l.tex.png","EN")</f>
        <v>EN</v>
      </c>
      <c r="I2845" s="98" t="str">
        <f>HYPERLINK("http://mirror.ff7data.com.ar/ff7/es/menu_sp/btl_win_l.tex.png","ES")</f>
        <v>ES</v>
      </c>
      <c r="K2845" s="43"/>
    </row>
    <row r="2846">
      <c r="A2846" s="40"/>
      <c r="B2846" s="33" t="s">
        <v>27638</v>
      </c>
      <c r="C2846" s="42">
        <v>66796.0</v>
      </c>
      <c r="D2846" s="33" t="s">
        <v>27640</v>
      </c>
      <c r="E2846" s="74"/>
      <c r="F2846" s="46" t="s">
        <v>1348</v>
      </c>
      <c r="G2846" s="75"/>
      <c r="H2846" s="98" t="str">
        <f>HYPERLINK("http://mirror.ff7data.com.ar/ff7/data/menu/menu_us.lgp/buster.tex.png","View Picture")</f>
        <v>View Picture</v>
      </c>
      <c r="K2846" s="43"/>
    </row>
    <row r="2847">
      <c r="A2847" s="40"/>
      <c r="B2847" s="33" t="s">
        <v>27647</v>
      </c>
      <c r="C2847" s="42">
        <v>17644.0</v>
      </c>
      <c r="D2847" s="33" t="s">
        <v>27649</v>
      </c>
      <c r="E2847" s="51" t="s">
        <v>6872</v>
      </c>
      <c r="F2847" s="46" t="s">
        <v>1348</v>
      </c>
      <c r="G2847" s="75"/>
      <c r="H2847" s="98" t="str">
        <f>HYPERLINK("http://mirror.ff7data.com.ar/ff7/data/menu/menu_us.lgp/choco.tex.png","View Picture")</f>
        <v>View Picture</v>
      </c>
      <c r="K2847" s="43"/>
    </row>
    <row r="2848">
      <c r="A2848" s="40"/>
      <c r="B2848" s="33" t="s">
        <v>27654</v>
      </c>
      <c r="C2848" s="42">
        <v>5356.0</v>
      </c>
      <c r="D2848" s="33" t="s">
        <v>27656</v>
      </c>
      <c r="E2848" s="74"/>
      <c r="F2848" s="46" t="s">
        <v>1348</v>
      </c>
      <c r="G2848" s="75"/>
      <c r="H2848" s="98" t="str">
        <f>HYPERLINK("http://mirror.ff7data.com.ar/ff7/data/menu/menu_us.lgp/choco_l.tex.png","View Picture")</f>
        <v>View Picture</v>
      </c>
      <c r="K2848" s="43"/>
    </row>
    <row r="2849">
      <c r="A2849" s="40"/>
      <c r="B2849" s="33" t="s">
        <v>27662</v>
      </c>
      <c r="C2849" s="42">
        <v>17644.0</v>
      </c>
      <c r="D2849" s="33" t="s">
        <v>27664</v>
      </c>
      <c r="E2849" s="51" t="s">
        <v>6878</v>
      </c>
      <c r="F2849" s="46" t="s">
        <v>1348</v>
      </c>
      <c r="G2849" s="75"/>
      <c r="H2849" s="98" t="str">
        <f>HYPERLINK("http://mirror.ff7data.com.ar/ff7/data/menu/menu_us.lgp/cido.tex.png","View Picture")</f>
        <v>View Picture</v>
      </c>
      <c r="K2849" s="43"/>
    </row>
    <row r="2850">
      <c r="A2850" s="40"/>
      <c r="B2850" s="33" t="s">
        <v>27670</v>
      </c>
      <c r="C2850" s="42">
        <v>5356.0</v>
      </c>
      <c r="D2850" s="33" t="s">
        <v>27672</v>
      </c>
      <c r="E2850" s="74"/>
      <c r="F2850" s="46" t="s">
        <v>1348</v>
      </c>
      <c r="G2850" s="75"/>
      <c r="H2850" s="98" t="str">
        <f>HYPERLINK("http://mirror.ff7data.com.ar/ff7/data/menu/menu_us.lgp/cido_l.tex.png","View Picture")</f>
        <v>View Picture</v>
      </c>
      <c r="K2850" s="43"/>
    </row>
    <row r="2851">
      <c r="A2851" s="40"/>
      <c r="B2851" s="33" t="s">
        <v>27678</v>
      </c>
      <c r="C2851" s="42">
        <v>17644.0</v>
      </c>
      <c r="D2851" s="33" t="s">
        <v>27679</v>
      </c>
      <c r="E2851" s="51" t="s">
        <v>6880</v>
      </c>
      <c r="F2851" s="46" t="s">
        <v>1348</v>
      </c>
      <c r="G2851" s="75"/>
      <c r="H2851" s="98" t="str">
        <f>HYPERLINK("http://mirror.ff7data.com.ar/ff7/data/menu/menu_us.lgp/cloud.tex.png","View Picture")</f>
        <v>View Picture</v>
      </c>
      <c r="K2851" s="43"/>
    </row>
    <row r="2852">
      <c r="A2852" s="40"/>
      <c r="B2852" s="33" t="s">
        <v>27686</v>
      </c>
      <c r="C2852" s="42">
        <v>5356.0</v>
      </c>
      <c r="D2852" s="33" t="s">
        <v>27687</v>
      </c>
      <c r="E2852" s="74"/>
      <c r="F2852" s="46" t="s">
        <v>1348</v>
      </c>
      <c r="G2852" s="75"/>
      <c r="H2852" s="98" t="str">
        <f>HYPERLINK("http://mirror.ff7data.com.ar/ff7/data/menu/menu_us.lgp/cloud_l.tex.png","View Picture")</f>
        <v>View Picture</v>
      </c>
      <c r="K2852" s="43"/>
    </row>
    <row r="2853">
      <c r="A2853" s="40"/>
      <c r="B2853" s="33" t="s">
        <v>27693</v>
      </c>
      <c r="C2853" s="42">
        <v>66796.0</v>
      </c>
      <c r="D2853" s="33" t="s">
        <v>27696</v>
      </c>
      <c r="E2853" s="74"/>
      <c r="F2853" s="46" t="s">
        <v>1348</v>
      </c>
      <c r="G2853" s="75"/>
      <c r="H2853" s="98" t="str">
        <f>HYPERLINK("http://mirror.ff7data.com.ar/ff7/data/menu/menu_us.lgp/colo.tex.png","EN")</f>
        <v>EN</v>
      </c>
      <c r="I2853" s="98" t="str">
        <f>HYPERLINK("http://mirror.ff7data.com.ar/ff7/es/menu_sp/colo.tex.png","ES")</f>
        <v>ES</v>
      </c>
      <c r="K2853" s="43"/>
    </row>
    <row r="2854">
      <c r="A2854" s="40"/>
      <c r="B2854" s="33" t="s">
        <v>27702</v>
      </c>
      <c r="C2854" s="42">
        <v>66796.0</v>
      </c>
      <c r="D2854" s="33" t="s">
        <v>27704</v>
      </c>
      <c r="E2854" s="74"/>
      <c r="F2854" s="46" t="s">
        <v>1348</v>
      </c>
      <c r="G2854" s="75"/>
      <c r="H2854" s="98" t="str">
        <f>HYPERLINK("http://mirror.ff7data.com.ar/ff7/data/menu/menu_us.lgp/coloa.tex.png","EN")</f>
        <v>EN</v>
      </c>
      <c r="I2854" s="98" t="str">
        <f>HYPERLINK("http://mirror.ff7data.com.ar/ff7/es/menu_sp/coloa.tex.png","ES")</f>
        <v>ES</v>
      </c>
      <c r="K2854" s="43"/>
    </row>
    <row r="2855">
      <c r="A2855" s="40"/>
      <c r="B2855" s="33" t="s">
        <v>27719</v>
      </c>
      <c r="C2855" s="42">
        <v>17644.0</v>
      </c>
      <c r="D2855" s="33" t="s">
        <v>27721</v>
      </c>
      <c r="E2855" s="74"/>
      <c r="F2855" s="46" t="s">
        <v>1348</v>
      </c>
      <c r="G2855" s="75"/>
      <c r="H2855" s="98" t="str">
        <f>HYPERLINK("http://mirror.ff7data.com.ar/ff7/data/menu/menu_us.lgp/colob.tex.png","EN")</f>
        <v>EN</v>
      </c>
      <c r="I2855" s="98" t="str">
        <f>HYPERLINK("http://mirror.ff7data.com.ar/ff7/es/menu_sp/colob.tex.png","ES")</f>
        <v>ES</v>
      </c>
      <c r="K2855" s="43"/>
    </row>
    <row r="2856">
      <c r="A2856" s="40"/>
      <c r="B2856" s="33" t="s">
        <v>27738</v>
      </c>
      <c r="C2856" s="42">
        <v>17644.0</v>
      </c>
      <c r="D2856" s="33" t="s">
        <v>27739</v>
      </c>
      <c r="E2856" s="74"/>
      <c r="F2856" s="46" t="s">
        <v>1348</v>
      </c>
      <c r="G2856" s="75"/>
      <c r="H2856" s="98" t="str">
        <f>HYPERLINK("http://mirror.ff7data.com.ar/ff7/data/menu/menu_us.lgp/coloc.tex.png","EN")</f>
        <v>EN</v>
      </c>
      <c r="I2856" s="98" t="str">
        <f>HYPERLINK("http://mirror.ff7data.com.ar/ff7/es/menu_sp/coloc.tex.png","ES")</f>
        <v>ES</v>
      </c>
      <c r="K2856" s="43"/>
    </row>
    <row r="2857">
      <c r="A2857" s="40"/>
      <c r="B2857" s="33" t="s">
        <v>27761</v>
      </c>
      <c r="C2857" s="42">
        <v>17644.0</v>
      </c>
      <c r="D2857" s="33" t="s">
        <v>27763</v>
      </c>
      <c r="E2857" s="51" t="s">
        <v>6883</v>
      </c>
      <c r="F2857" s="46" t="s">
        <v>1348</v>
      </c>
      <c r="G2857" s="75"/>
      <c r="H2857" s="98" t="str">
        <f>HYPERLINK("http://mirror.ff7data.com.ar/ff7/data/menu/menu_us.lgp/earith.tex.png","View Picture")</f>
        <v>View Picture</v>
      </c>
      <c r="K2857" s="43"/>
    </row>
    <row r="2858">
      <c r="A2858" s="40"/>
      <c r="B2858" s="33" t="s">
        <v>27774</v>
      </c>
      <c r="C2858" s="42">
        <v>5356.0</v>
      </c>
      <c r="D2858" s="33" t="s">
        <v>27776</v>
      </c>
      <c r="E2858" s="74"/>
      <c r="F2858" s="46" t="s">
        <v>1348</v>
      </c>
      <c r="G2858" s="75"/>
      <c r="H2858" s="98" t="str">
        <f>HYPERLINK("http://mirror.ff7data.com.ar/ff7/data/menu/menu_us.lgp/earith_l.tex.png","View Picture")</f>
        <v>View Picture</v>
      </c>
      <c r="K2858" s="43"/>
    </row>
    <row r="2859">
      <c r="A2859" s="40"/>
      <c r="B2859" s="33" t="s">
        <v>27785</v>
      </c>
      <c r="C2859" s="42">
        <v>17644.0</v>
      </c>
      <c r="D2859" s="33" t="s">
        <v>27786</v>
      </c>
      <c r="E2859" s="51" t="s">
        <v>6891</v>
      </c>
      <c r="F2859" s="46" t="s">
        <v>1348</v>
      </c>
      <c r="G2859" s="75"/>
      <c r="H2859" s="98" t="str">
        <f>HYPERLINK("http://mirror.ff7data.com.ar/ff7/data/menu/menu_us.lgp/ketc.tex.png","View Picture")</f>
        <v>View Picture</v>
      </c>
      <c r="K2859" s="43"/>
    </row>
    <row r="2860">
      <c r="A2860" s="40"/>
      <c r="B2860" s="33" t="s">
        <v>27798</v>
      </c>
      <c r="C2860" s="42">
        <v>5356.0</v>
      </c>
      <c r="D2860" s="33" t="s">
        <v>27800</v>
      </c>
      <c r="E2860" s="74"/>
      <c r="F2860" s="46" t="s">
        <v>1348</v>
      </c>
      <c r="G2860" s="75"/>
      <c r="H2860" s="98" t="str">
        <f>HYPERLINK("http://mirror.ff7data.com.ar/ff7/data/menu/menu_us.lgp/ketc_l.tex.png","View Picture")</f>
        <v>View Picture</v>
      </c>
      <c r="K2860" s="43"/>
    </row>
    <row r="2861">
      <c r="A2861" s="84"/>
      <c r="B2861" s="33" t="s">
        <v>27812</v>
      </c>
      <c r="C2861" s="42">
        <v>33196.0</v>
      </c>
      <c r="D2861" s="33" t="s">
        <v>27814</v>
      </c>
      <c r="E2861" s="74"/>
      <c r="F2861" s="46" t="s">
        <v>1348</v>
      </c>
      <c r="G2861" s="75"/>
      <c r="H2861" s="98" t="str">
        <f>HYPERLINK("http://mirror.ff7data.com.ar/ff7/data/menu/menu_us.lgp/ketcy2.tex.png","View Picture")</f>
        <v>View Picture</v>
      </c>
      <c r="K2861" s="43"/>
    </row>
    <row r="2862">
      <c r="A2862" s="84"/>
      <c r="B2862" s="33" t="s">
        <v>27827</v>
      </c>
      <c r="C2862" s="42">
        <v>65964.0</v>
      </c>
      <c r="D2862" s="33" t="s">
        <v>27830</v>
      </c>
      <c r="E2862" s="74"/>
      <c r="F2862" s="46" t="s">
        <v>1348</v>
      </c>
      <c r="G2862" s="75"/>
      <c r="H2862" s="98" t="str">
        <f>HYPERLINK("http://mirror.ff7data.com.ar/ff7/data/menu/menu_us.lgp/ketcy2a.tex.png","View Picture")</f>
        <v>View Picture</v>
      </c>
      <c r="K2862" s="43"/>
    </row>
    <row r="2863">
      <c r="A2863" s="84"/>
      <c r="B2863" s="33" t="s">
        <v>27840</v>
      </c>
      <c r="C2863" s="42">
        <v>8620.0</v>
      </c>
      <c r="D2863" s="33" t="s">
        <v>27843</v>
      </c>
      <c r="E2863" s="74"/>
      <c r="F2863" s="46" t="s">
        <v>1348</v>
      </c>
      <c r="G2863" s="75"/>
      <c r="H2863" s="98" t="str">
        <f>HYPERLINK("http://mirror.ff7data.com.ar/ff7/data/menu/menu_us.lgp/ketcy2b.tex.png","View Picture")</f>
        <v>View Picture</v>
      </c>
      <c r="K2863" s="43"/>
    </row>
    <row r="2864">
      <c r="A2864" s="40"/>
      <c r="B2864" s="33" t="s">
        <v>27859</v>
      </c>
      <c r="C2864" s="42">
        <v>17644.0</v>
      </c>
      <c r="D2864" s="33" t="s">
        <v>27861</v>
      </c>
      <c r="E2864" s="51" t="s">
        <v>6899</v>
      </c>
      <c r="F2864" s="46" t="s">
        <v>1348</v>
      </c>
      <c r="G2864" s="75"/>
      <c r="H2864" s="98" t="str">
        <f>HYPERLINK("http://mirror.ff7data.com.ar/ff7/data/menu/menu_us.lgp/pcefi.tex.png","View Picture")</f>
        <v>View Picture</v>
      </c>
      <c r="K2864" s="43"/>
    </row>
    <row r="2865">
      <c r="A2865" s="40"/>
      <c r="B2865" s="33" t="s">
        <v>27874</v>
      </c>
      <c r="C2865" s="42">
        <v>5356.0</v>
      </c>
      <c r="D2865" s="33" t="s">
        <v>27875</v>
      </c>
      <c r="E2865" s="74"/>
      <c r="F2865" s="46" t="s">
        <v>1348</v>
      </c>
      <c r="G2865" s="75"/>
      <c r="H2865" s="98" t="str">
        <f>HYPERLINK("http://mirror.ff7data.com.ar/ff7/data/menu/menu_us.lgp/pcefi_l.tex.png","View Picture")</f>
        <v>View Picture</v>
      </c>
      <c r="K2865" s="43"/>
    </row>
    <row r="2866">
      <c r="A2866" s="40"/>
      <c r="B2866" s="33" t="s">
        <v>27884</v>
      </c>
      <c r="C2866" s="42">
        <v>17644.0</v>
      </c>
      <c r="D2866" s="33" t="s">
        <v>27886</v>
      </c>
      <c r="E2866" s="51" t="s">
        <v>6901</v>
      </c>
      <c r="F2866" s="46" t="s">
        <v>1348</v>
      </c>
      <c r="G2866" s="75"/>
      <c r="H2866" s="98" t="str">
        <f>HYPERLINK("http://mirror.ff7data.com.ar/ff7/data/menu/menu_us.lgp/pcloud.tex.png","View Picture")</f>
        <v>View Picture</v>
      </c>
      <c r="K2866" s="43"/>
    </row>
    <row r="2867">
      <c r="A2867" s="40"/>
      <c r="B2867" s="33" t="s">
        <v>27895</v>
      </c>
      <c r="C2867" s="42">
        <v>5356.0</v>
      </c>
      <c r="D2867" s="33" t="s">
        <v>27897</v>
      </c>
      <c r="E2867" s="74"/>
      <c r="F2867" s="46" t="s">
        <v>1348</v>
      </c>
      <c r="G2867" s="75"/>
      <c r="H2867" s="98" t="str">
        <f>HYPERLINK("http://mirror.ff7data.com.ar/ff7/data/menu/menu_us.lgp/pcloud_l.tex.png","View Picture")</f>
        <v>View Picture</v>
      </c>
      <c r="K2867" s="43"/>
    </row>
    <row r="2868">
      <c r="A2868" s="40"/>
      <c r="B2868" s="33" t="s">
        <v>27906</v>
      </c>
      <c r="C2868" s="42">
        <v>17644.0</v>
      </c>
      <c r="D2868" s="33" t="s">
        <v>27907</v>
      </c>
      <c r="E2868" s="51" t="s">
        <v>6905</v>
      </c>
      <c r="F2868" s="46" t="s">
        <v>1348</v>
      </c>
      <c r="G2868" s="75"/>
      <c r="H2868" s="98" t="str">
        <f>HYPERLINK("http://mirror.ff7data.com.ar/ff7/data/menu/menu_us.lgp/red.tex.png","View Picture")</f>
        <v>View Picture</v>
      </c>
      <c r="K2868" s="43"/>
    </row>
    <row r="2869">
      <c r="A2869" s="40"/>
      <c r="B2869" s="33" t="s">
        <v>27915</v>
      </c>
      <c r="C2869" s="42">
        <v>5356.0</v>
      </c>
      <c r="D2869" s="33" t="s">
        <v>27917</v>
      </c>
      <c r="E2869" s="74"/>
      <c r="F2869" s="46" t="s">
        <v>1348</v>
      </c>
      <c r="G2869" s="75"/>
      <c r="H2869" s="98" t="str">
        <f>HYPERLINK("http://mirror.ff7data.com.ar/ff7/data/menu/menu_us.lgp/red_l.tex.png","View Picture")</f>
        <v>View Picture</v>
      </c>
      <c r="K2869" s="43"/>
    </row>
    <row r="2870">
      <c r="A2870" s="40"/>
      <c r="B2870" s="33" t="s">
        <v>27928</v>
      </c>
      <c r="C2870" s="42">
        <v>17644.0</v>
      </c>
      <c r="D2870" s="33" t="s">
        <v>27930</v>
      </c>
      <c r="E2870" s="51" t="s">
        <v>6911</v>
      </c>
      <c r="F2870" s="46" t="s">
        <v>1348</v>
      </c>
      <c r="G2870" s="75"/>
      <c r="H2870" s="98" t="str">
        <f>HYPERLINK("http://mirror.ff7data.com.ar/ff7/data/menu/menu_us.lgp/tifa.tex.png","View Picture")</f>
        <v>View Picture</v>
      </c>
      <c r="K2870" s="43"/>
    </row>
    <row r="2871">
      <c r="A2871" s="40"/>
      <c r="B2871" s="33" t="s">
        <v>27937</v>
      </c>
      <c r="C2871" s="42">
        <v>5356.0</v>
      </c>
      <c r="D2871" s="33" t="s">
        <v>27939</v>
      </c>
      <c r="E2871" s="74"/>
      <c r="F2871" s="46" t="s">
        <v>1348</v>
      </c>
      <c r="G2871" s="75"/>
      <c r="H2871" s="98" t="str">
        <f>HYPERLINK("http://mirror.ff7data.com.ar/ff7/data/menu/menu_us.lgp/tifa_l.tex.png","View Picture")</f>
        <v>View Picture</v>
      </c>
      <c r="K2871" s="43"/>
    </row>
    <row r="2872">
      <c r="A2872" s="84"/>
      <c r="B2872" s="33" t="s">
        <v>27947</v>
      </c>
      <c r="C2872" s="42">
        <v>66796.0</v>
      </c>
      <c r="D2872" s="33" t="s">
        <v>27948</v>
      </c>
      <c r="E2872" s="74"/>
      <c r="F2872" s="46" t="s">
        <v>1348</v>
      </c>
      <c r="G2872" s="75"/>
      <c r="H2872" s="98" t="str">
        <f>HYPERLINK("http://mirror.ff7data.com.ar/ff7/data/menu/menu_us.lgp/usfont_a_h.tex.png","EN")</f>
        <v>EN</v>
      </c>
      <c r="I2872" s="98" t="str">
        <f>HYPERLINK("http://mirror.ff7data.com.ar/ff7/es/menu_sp/usfont_a_h.tex.png","ES")</f>
        <v>ES</v>
      </c>
      <c r="K2872" s="43"/>
    </row>
    <row r="2873">
      <c r="A2873" s="84"/>
      <c r="B2873" s="33" t="s">
        <v>27962</v>
      </c>
      <c r="C2873" s="42">
        <v>66796.0</v>
      </c>
      <c r="D2873" s="33" t="s">
        <v>27964</v>
      </c>
      <c r="E2873" s="74"/>
      <c r="F2873" s="46" t="s">
        <v>1348</v>
      </c>
      <c r="G2873" s="75"/>
      <c r="H2873" s="98" t="str">
        <f>HYPERLINK("http://mirror.ff7data.com.ar/ff7/data/menu/menu_us.lgp/usfont_a_l.tex.png","EN")</f>
        <v>EN</v>
      </c>
      <c r="I2873" s="98" t="str">
        <f>HYPERLINK("http://mirror.ff7data.com.ar/ff7/es/menu_sp/usfont_a_l.tex.png","ES")</f>
        <v>ES</v>
      </c>
      <c r="K2873" s="43"/>
    </row>
    <row r="2874">
      <c r="A2874" s="84"/>
      <c r="B2874" s="33" t="s">
        <v>27978</v>
      </c>
      <c r="C2874" s="42">
        <v>66796.0</v>
      </c>
      <c r="D2874" s="33" t="s">
        <v>27980</v>
      </c>
      <c r="E2874" s="74"/>
      <c r="F2874" s="46" t="s">
        <v>1348</v>
      </c>
      <c r="G2874" s="75"/>
      <c r="H2874" s="98" t="str">
        <f>HYPERLINK("http://mirror.ff7data.com.ar/ff7/data/menu/menu_us.lgp/usfont_b_h.tex.png","EN")</f>
        <v>EN</v>
      </c>
      <c r="I2874" s="98" t="str">
        <f>HYPERLINK("http://mirror.ff7data.com.ar/ff7/es/menu_sp/usfont_b_h.tex.png","ES")</f>
        <v>ES</v>
      </c>
      <c r="K2874" s="43"/>
    </row>
    <row r="2875">
      <c r="A2875" s="84"/>
      <c r="B2875" s="33" t="s">
        <v>27993</v>
      </c>
      <c r="C2875" s="42">
        <v>66796.0</v>
      </c>
      <c r="D2875" s="33" t="s">
        <v>27994</v>
      </c>
      <c r="E2875" s="74"/>
      <c r="F2875" s="46" t="s">
        <v>1348</v>
      </c>
      <c r="G2875" s="75"/>
      <c r="H2875" s="98" t="str">
        <f>HYPERLINK("http://mirror.ff7data.com.ar/ff7/data/menu/menu_us.lgp/usfont_b_l.tex.png","EN")</f>
        <v>EN</v>
      </c>
      <c r="I2875" s="98" t="str">
        <f>HYPERLINK("http://mirror.ff7data.com.ar/ff7/es/menu_sp/usfont_b_l.tex.png","ES")</f>
        <v>ES</v>
      </c>
      <c r="K2875" s="43"/>
    </row>
    <row r="2876">
      <c r="A2876" s="84"/>
      <c r="B2876" s="33" t="s">
        <v>28010</v>
      </c>
      <c r="C2876" s="42">
        <v>66796.0</v>
      </c>
      <c r="D2876" s="33" t="s">
        <v>28012</v>
      </c>
      <c r="E2876" s="74"/>
      <c r="F2876" s="46" t="s">
        <v>1348</v>
      </c>
      <c r="G2876" s="75"/>
      <c r="H2876" s="98" t="str">
        <f>HYPERLINK("http://mirror.ff7data.com.ar/ff7/data/menu/menu_us.lgp/usfont_h.tex.png","EN")</f>
        <v>EN</v>
      </c>
      <c r="I2876" s="98" t="str">
        <f>HYPERLINK("http://mirror.ff7data.com.ar/ff7/es/menu_sp/usfont_h.tex.png","ES")</f>
        <v>ES</v>
      </c>
      <c r="K2876" s="43"/>
    </row>
    <row r="2877">
      <c r="A2877" s="84"/>
      <c r="B2877" s="33" t="s">
        <v>28028</v>
      </c>
      <c r="C2877" s="42">
        <v>66796.0</v>
      </c>
      <c r="D2877" s="33" t="s">
        <v>28030</v>
      </c>
      <c r="E2877" s="74"/>
      <c r="F2877" s="46" t="s">
        <v>1348</v>
      </c>
      <c r="G2877" s="75"/>
      <c r="H2877" s="98" t="str">
        <f>HYPERLINK("http://mirror.ff7data.com.ar/ff7/data/menu/menu_us.lgp/usfont_l.tex.png","EN")</f>
        <v>EN</v>
      </c>
      <c r="I2877" s="98" t="str">
        <f>HYPERLINK("http://mirror.ff7data.com.ar/ff7/es/menu_sp/usfont_l.tex.png","ES")</f>
        <v>ES</v>
      </c>
      <c r="K2877" s="43"/>
    </row>
    <row r="2878">
      <c r="A2878" s="40"/>
      <c r="B2878" s="33" t="s">
        <v>28045</v>
      </c>
      <c r="C2878" s="42">
        <v>17644.0</v>
      </c>
      <c r="D2878" s="33" t="s">
        <v>28047</v>
      </c>
      <c r="E2878" s="51" t="s">
        <v>6913</v>
      </c>
      <c r="F2878" s="46" t="s">
        <v>1348</v>
      </c>
      <c r="G2878" s="75"/>
      <c r="H2878" s="98" t="str">
        <f>HYPERLINK("http://mirror.ff7data.com.ar/ff7/data/menu/menu_us.lgp/yufi.tex.png","View Picture")</f>
        <v>View Picture</v>
      </c>
      <c r="K2878" s="43"/>
    </row>
    <row r="2879">
      <c r="A2879" s="40"/>
      <c r="B2879" s="33" t="s">
        <v>28057</v>
      </c>
      <c r="C2879" s="42">
        <v>5356.0</v>
      </c>
      <c r="D2879" s="33" t="s">
        <v>28058</v>
      </c>
      <c r="E2879" s="74"/>
      <c r="F2879" s="46" t="s">
        <v>1348</v>
      </c>
      <c r="G2879" s="75"/>
      <c r="H2879" s="98" t="str">
        <f>HYPERLINK("http://mirror.ff7data.com.ar/ff7/data/menu/menu_us.lgp/yufi_l.tex.png","View Picture")</f>
        <v>View Picture</v>
      </c>
      <c r="K2879" s="43"/>
    </row>
    <row r="2880">
      <c r="A2880" s="55"/>
      <c r="B2880" s="33" t="s">
        <v>28068</v>
      </c>
      <c r="C2880" s="42">
        <v>2348.0</v>
      </c>
      <c r="D2880" s="31"/>
      <c r="E2880" s="74"/>
      <c r="F2880" s="46" t="s">
        <v>1348</v>
      </c>
      <c r="G2880" s="75"/>
      <c r="H2880" s="98" t="str">
        <f>HYPERLINK("http://mirror.ff7data.com.ar/ff7/data/menu/menu_us.lgp/zeni.tex.png","View Picture")</f>
        <v>View Picture</v>
      </c>
      <c r="K2880" s="43"/>
    </row>
    <row r="2881">
      <c r="A2881" s="55"/>
      <c r="B2881" s="57" t="s">
        <v>28081</v>
      </c>
      <c r="C2881" s="58">
        <v>8492.0</v>
      </c>
      <c r="D2881" s="70"/>
      <c r="E2881" s="19"/>
      <c r="F2881" s="61" t="s">
        <v>1348</v>
      </c>
      <c r="G2881" s="71"/>
      <c r="H2881" s="136" t="str">
        <f>HYPERLINK("http://mirror.ff7data.com.ar/ff7/data/menu/menu_us.lgp/zeni_h.tex.png","View Picture")</f>
        <v>View Picture</v>
      </c>
      <c r="I2881" s="19"/>
      <c r="J2881" s="19"/>
      <c r="K2881" s="64"/>
    </row>
    <row r="2882">
      <c r="A2882" s="12"/>
      <c r="B2882" s="12"/>
      <c r="C2882" s="65"/>
      <c r="D2882" s="34"/>
      <c r="E2882" s="34"/>
      <c r="F2882" s="67"/>
      <c r="G2882" s="67"/>
      <c r="H2882" s="34"/>
      <c r="I2882" s="34"/>
      <c r="J2882" s="34"/>
      <c r="K2882" s="34"/>
    </row>
    <row r="2883">
      <c r="A2883" s="68"/>
      <c r="B2883" s="69" t="s">
        <v>197</v>
      </c>
      <c r="C2883" s="144"/>
      <c r="D2883" s="19"/>
      <c r="E2883" s="19"/>
      <c r="F2883" s="71"/>
      <c r="G2883" s="71"/>
      <c r="H2883" s="19"/>
      <c r="I2883" s="19"/>
      <c r="J2883" s="19"/>
      <c r="K2883" s="19"/>
    </row>
    <row r="2884">
      <c r="A2884" s="40"/>
      <c r="B2884" s="23" t="s">
        <v>461</v>
      </c>
      <c r="C2884" s="24">
        <v>33847.0</v>
      </c>
      <c r="D2884" s="23" t="s">
        <v>464</v>
      </c>
      <c r="E2884" s="34"/>
      <c r="F2884" s="36" t="s">
        <v>465</v>
      </c>
      <c r="G2884" s="67"/>
      <c r="H2884" s="34"/>
      <c r="I2884" s="34"/>
      <c r="J2884" s="34"/>
      <c r="K2884" s="38"/>
    </row>
    <row r="2885">
      <c r="A2885" s="40"/>
      <c r="B2885" s="33" t="s">
        <v>471</v>
      </c>
      <c r="C2885" s="42">
        <v>18770.0</v>
      </c>
      <c r="D2885" s="33" t="s">
        <v>472</v>
      </c>
      <c r="E2885" s="74"/>
      <c r="F2885" s="46" t="s">
        <v>465</v>
      </c>
      <c r="G2885" s="75"/>
      <c r="H2885" s="74"/>
      <c r="K2885" s="43"/>
    </row>
    <row r="2886">
      <c r="A2886" s="40"/>
      <c r="B2886" s="33" t="s">
        <v>493</v>
      </c>
      <c r="C2886" s="42">
        <v>9199.0</v>
      </c>
      <c r="D2886" s="33" t="s">
        <v>496</v>
      </c>
      <c r="E2886" s="74"/>
      <c r="F2886" s="46" t="s">
        <v>465</v>
      </c>
      <c r="G2886" s="75"/>
      <c r="H2886" s="74"/>
      <c r="K2886" s="43"/>
    </row>
    <row r="2887">
      <c r="A2887" s="40"/>
      <c r="B2887" s="33" t="s">
        <v>499</v>
      </c>
      <c r="C2887" s="42">
        <v>9165.0</v>
      </c>
      <c r="D2887" s="33" t="s">
        <v>503</v>
      </c>
      <c r="E2887" s="74"/>
      <c r="F2887" s="46" t="s">
        <v>465</v>
      </c>
      <c r="G2887" s="75"/>
      <c r="H2887" s="74"/>
      <c r="K2887" s="43"/>
    </row>
    <row r="2888">
      <c r="A2888" s="40"/>
      <c r="B2888" s="33" t="s">
        <v>508</v>
      </c>
      <c r="C2888" s="42">
        <v>23919.0</v>
      </c>
      <c r="D2888" s="33" t="s">
        <v>511</v>
      </c>
      <c r="E2888" s="74"/>
      <c r="F2888" s="46" t="s">
        <v>465</v>
      </c>
      <c r="G2888" s="75"/>
      <c r="H2888" s="74"/>
      <c r="K2888" s="43"/>
    </row>
    <row r="2889">
      <c r="A2889" s="40"/>
      <c r="B2889" s="33" t="s">
        <v>513</v>
      </c>
      <c r="C2889" s="42">
        <v>10467.0</v>
      </c>
      <c r="D2889" s="33" t="s">
        <v>516</v>
      </c>
      <c r="E2889" s="74"/>
      <c r="F2889" s="46" t="s">
        <v>465</v>
      </c>
      <c r="G2889" s="75"/>
      <c r="H2889" s="74"/>
      <c r="K2889" s="43"/>
    </row>
    <row r="2890">
      <c r="A2890" s="40"/>
      <c r="B2890" s="33" t="s">
        <v>521</v>
      </c>
      <c r="C2890" s="42">
        <v>9824.0</v>
      </c>
      <c r="D2890" s="33" t="s">
        <v>523</v>
      </c>
      <c r="E2890" s="74"/>
      <c r="F2890" s="46" t="s">
        <v>465</v>
      </c>
      <c r="G2890" s="75"/>
      <c r="H2890" s="74"/>
      <c r="K2890" s="43"/>
    </row>
    <row r="2891">
      <c r="A2891" s="40"/>
      <c r="B2891" s="33" t="s">
        <v>529</v>
      </c>
      <c r="C2891" s="42">
        <v>6020.0</v>
      </c>
      <c r="D2891" s="33" t="s">
        <v>532</v>
      </c>
      <c r="E2891" s="74"/>
      <c r="F2891" s="46" t="s">
        <v>465</v>
      </c>
      <c r="G2891" s="75"/>
      <c r="H2891" s="74"/>
      <c r="K2891" s="43"/>
    </row>
    <row r="2892">
      <c r="A2892" s="79"/>
      <c r="B2892" s="33" t="s">
        <v>579</v>
      </c>
      <c r="C2892" s="42">
        <v>5603.0</v>
      </c>
      <c r="D2892" s="33" t="s">
        <v>581</v>
      </c>
      <c r="E2892" s="74"/>
      <c r="F2892" s="46" t="s">
        <v>465</v>
      </c>
      <c r="G2892" s="46" t="s">
        <v>585</v>
      </c>
      <c r="H2892" s="74"/>
      <c r="K2892" s="43"/>
    </row>
    <row r="2893">
      <c r="A2893" s="40"/>
      <c r="B2893" s="33" t="s">
        <v>589</v>
      </c>
      <c r="C2893" s="42">
        <v>12246.0</v>
      </c>
      <c r="D2893" s="33" t="s">
        <v>591</v>
      </c>
      <c r="E2893" s="74"/>
      <c r="F2893" s="46" t="s">
        <v>465</v>
      </c>
      <c r="G2893" s="46" t="s">
        <v>594</v>
      </c>
      <c r="H2893" s="74"/>
      <c r="K2893" s="43"/>
    </row>
    <row r="2894">
      <c r="A2894" s="82"/>
      <c r="B2894" s="33" t="s">
        <v>635</v>
      </c>
      <c r="C2894" s="42">
        <v>11756.0</v>
      </c>
      <c r="D2894" s="33" t="s">
        <v>638</v>
      </c>
      <c r="E2894" s="74"/>
      <c r="F2894" s="46" t="s">
        <v>465</v>
      </c>
      <c r="G2894" s="75"/>
      <c r="H2894" s="74"/>
      <c r="K2894" s="43"/>
    </row>
    <row r="2895">
      <c r="A2895" s="40"/>
      <c r="B2895" s="33" t="s">
        <v>645</v>
      </c>
      <c r="C2895" s="42">
        <v>35531.0</v>
      </c>
      <c r="D2895" s="33" t="s">
        <v>649</v>
      </c>
      <c r="E2895" s="74"/>
      <c r="F2895" s="46" t="s">
        <v>465</v>
      </c>
      <c r="G2895" s="75"/>
      <c r="H2895" s="74"/>
      <c r="K2895" s="43"/>
    </row>
    <row r="2896">
      <c r="A2896" s="40"/>
      <c r="B2896" s="33" t="s">
        <v>656</v>
      </c>
      <c r="C2896" s="42">
        <v>31814.0</v>
      </c>
      <c r="D2896" s="33" t="s">
        <v>659</v>
      </c>
      <c r="E2896" s="74"/>
      <c r="F2896" s="46" t="s">
        <v>465</v>
      </c>
      <c r="G2896" s="75"/>
      <c r="H2896" s="74"/>
      <c r="K2896" s="43"/>
    </row>
    <row r="2897">
      <c r="A2897" s="40"/>
      <c r="B2897" s="33" t="s">
        <v>666</v>
      </c>
      <c r="C2897" s="42">
        <v>24535.0</v>
      </c>
      <c r="D2897" s="33" t="s">
        <v>669</v>
      </c>
      <c r="E2897" s="74"/>
      <c r="F2897" s="46" t="s">
        <v>465</v>
      </c>
      <c r="G2897" s="75"/>
      <c r="H2897" s="74"/>
      <c r="K2897" s="43"/>
    </row>
    <row r="2898">
      <c r="A2898" s="40"/>
      <c r="B2898" s="33" t="s">
        <v>675</v>
      </c>
      <c r="C2898" s="42">
        <v>19063.0</v>
      </c>
      <c r="D2898" s="33" t="s">
        <v>677</v>
      </c>
      <c r="E2898" s="74"/>
      <c r="F2898" s="46" t="s">
        <v>465</v>
      </c>
      <c r="G2898" s="75"/>
      <c r="H2898" s="74"/>
      <c r="K2898" s="43"/>
    </row>
    <row r="2899">
      <c r="A2899" s="82"/>
      <c r="B2899" s="33" t="s">
        <v>682</v>
      </c>
      <c r="C2899" s="42">
        <v>366.0</v>
      </c>
      <c r="D2899" s="33" t="s">
        <v>684</v>
      </c>
      <c r="E2899" s="74"/>
      <c r="F2899" s="46" t="s">
        <v>465</v>
      </c>
      <c r="G2899" s="75"/>
      <c r="H2899" s="74"/>
      <c r="K2899" s="43"/>
    </row>
    <row r="2900">
      <c r="A2900" s="84"/>
      <c r="B2900" s="33" t="s">
        <v>704</v>
      </c>
      <c r="C2900" s="42">
        <v>4878.0</v>
      </c>
      <c r="D2900" s="31"/>
      <c r="E2900" s="74"/>
      <c r="F2900" s="46" t="s">
        <v>465</v>
      </c>
      <c r="G2900" s="46" t="s">
        <v>705</v>
      </c>
      <c r="H2900" s="74"/>
      <c r="K2900" s="43"/>
    </row>
    <row r="2901">
      <c r="A2901" s="40"/>
      <c r="B2901" s="33" t="s">
        <v>706</v>
      </c>
      <c r="C2901" s="42">
        <v>16976.0</v>
      </c>
      <c r="D2901" s="33" t="s">
        <v>707</v>
      </c>
      <c r="E2901" s="74"/>
      <c r="F2901" s="46" t="s">
        <v>465</v>
      </c>
      <c r="G2901" s="75"/>
      <c r="H2901" s="74"/>
      <c r="K2901" s="43"/>
    </row>
    <row r="2902">
      <c r="A2902" s="40"/>
      <c r="B2902" s="33" t="s">
        <v>708</v>
      </c>
      <c r="C2902" s="42">
        <v>5440.0</v>
      </c>
      <c r="D2902" s="33" t="s">
        <v>709</v>
      </c>
      <c r="E2902" s="74"/>
      <c r="F2902" s="46" t="s">
        <v>465</v>
      </c>
      <c r="G2902" s="75"/>
      <c r="H2902" s="74"/>
      <c r="K2902" s="43"/>
    </row>
    <row r="2903">
      <c r="A2903" s="40"/>
      <c r="B2903" s="33" t="s">
        <v>710</v>
      </c>
      <c r="C2903" s="42">
        <v>5078.0</v>
      </c>
      <c r="D2903" s="33" t="s">
        <v>711</v>
      </c>
      <c r="E2903" s="74"/>
      <c r="F2903" s="46" t="s">
        <v>465</v>
      </c>
      <c r="G2903" s="75"/>
      <c r="H2903" s="74"/>
      <c r="K2903" s="43"/>
    </row>
    <row r="2904">
      <c r="A2904" s="40"/>
      <c r="B2904" s="33" t="s">
        <v>712</v>
      </c>
      <c r="C2904" s="42">
        <v>11588.0</v>
      </c>
      <c r="D2904" s="33" t="s">
        <v>714</v>
      </c>
      <c r="E2904" s="74"/>
      <c r="F2904" s="46" t="s">
        <v>465</v>
      </c>
      <c r="G2904" s="75"/>
      <c r="H2904" s="74"/>
      <c r="K2904" s="43"/>
    </row>
    <row r="2905">
      <c r="A2905" s="40"/>
      <c r="B2905" s="33" t="s">
        <v>719</v>
      </c>
      <c r="C2905" s="42">
        <v>3764.0</v>
      </c>
      <c r="D2905" s="33" t="s">
        <v>724</v>
      </c>
      <c r="E2905" s="74"/>
      <c r="F2905" s="46" t="s">
        <v>465</v>
      </c>
      <c r="G2905" s="75"/>
      <c r="H2905" s="74"/>
      <c r="K2905" s="43"/>
    </row>
    <row r="2906">
      <c r="A2906" s="40"/>
      <c r="B2906" s="33" t="s">
        <v>730</v>
      </c>
      <c r="C2906" s="42">
        <v>1379.0</v>
      </c>
      <c r="D2906" s="33" t="s">
        <v>734</v>
      </c>
      <c r="E2906" s="74"/>
      <c r="F2906" s="46" t="s">
        <v>465</v>
      </c>
      <c r="G2906" s="75"/>
      <c r="H2906" s="74"/>
      <c r="K2906" s="43"/>
    </row>
    <row r="2907">
      <c r="A2907" s="40"/>
      <c r="B2907" s="33" t="s">
        <v>740</v>
      </c>
      <c r="C2907" s="42">
        <v>8514.0</v>
      </c>
      <c r="D2907" s="33" t="s">
        <v>741</v>
      </c>
      <c r="E2907" s="74"/>
      <c r="F2907" s="46" t="s">
        <v>465</v>
      </c>
      <c r="G2907" s="75"/>
      <c r="H2907" s="74"/>
      <c r="K2907" s="43"/>
    </row>
    <row r="2908">
      <c r="A2908" s="40"/>
      <c r="B2908" s="33" t="s">
        <v>746</v>
      </c>
      <c r="C2908" s="42">
        <v>9340.0</v>
      </c>
      <c r="D2908" s="33" t="s">
        <v>748</v>
      </c>
      <c r="E2908" s="74"/>
      <c r="F2908" s="46" t="s">
        <v>465</v>
      </c>
      <c r="G2908" s="75"/>
      <c r="H2908" s="74"/>
      <c r="K2908" s="43"/>
    </row>
    <row r="2909">
      <c r="A2909" s="40"/>
      <c r="B2909" s="33" t="s">
        <v>754</v>
      </c>
      <c r="C2909" s="42">
        <v>27162.0</v>
      </c>
      <c r="D2909" s="33" t="s">
        <v>756</v>
      </c>
      <c r="E2909" s="74"/>
      <c r="F2909" s="46" t="s">
        <v>465</v>
      </c>
      <c r="G2909" s="75"/>
      <c r="H2909" s="74"/>
      <c r="K2909" s="43"/>
    </row>
    <row r="2910">
      <c r="A2910" s="40"/>
      <c r="B2910" s="33" t="s">
        <v>760</v>
      </c>
      <c r="C2910" s="42">
        <v>8808.0</v>
      </c>
      <c r="D2910" s="33" t="s">
        <v>763</v>
      </c>
      <c r="E2910" s="74"/>
      <c r="F2910" s="46" t="s">
        <v>465</v>
      </c>
      <c r="G2910" s="75"/>
      <c r="H2910" s="74"/>
      <c r="K2910" s="43"/>
    </row>
    <row r="2911">
      <c r="A2911" s="40"/>
      <c r="B2911" s="33" t="s">
        <v>769</v>
      </c>
      <c r="C2911" s="42">
        <v>11653.0</v>
      </c>
      <c r="D2911" s="33" t="s">
        <v>772</v>
      </c>
      <c r="E2911" s="74"/>
      <c r="F2911" s="46" t="s">
        <v>465</v>
      </c>
      <c r="G2911" s="75"/>
      <c r="H2911" s="74"/>
      <c r="K2911" s="43"/>
    </row>
    <row r="2912">
      <c r="A2912" s="40"/>
      <c r="B2912" s="33" t="s">
        <v>776</v>
      </c>
      <c r="C2912" s="42">
        <v>23858.0</v>
      </c>
      <c r="D2912" s="33" t="s">
        <v>779</v>
      </c>
      <c r="E2912" s="74"/>
      <c r="F2912" s="46" t="s">
        <v>465</v>
      </c>
      <c r="G2912" s="75"/>
      <c r="H2912" s="74"/>
      <c r="K2912" s="43"/>
    </row>
    <row r="2913">
      <c r="A2913" s="40"/>
      <c r="B2913" s="33" t="s">
        <v>781</v>
      </c>
      <c r="C2913" s="42">
        <v>9977.0</v>
      </c>
      <c r="D2913" s="33" t="s">
        <v>783</v>
      </c>
      <c r="E2913" s="74"/>
      <c r="F2913" s="46" t="s">
        <v>465</v>
      </c>
      <c r="G2913" s="75"/>
      <c r="H2913" s="74"/>
      <c r="K2913" s="43"/>
    </row>
    <row r="2914">
      <c r="A2914" s="79"/>
      <c r="B2914" s="33" t="s">
        <v>786</v>
      </c>
      <c r="C2914" s="42">
        <v>892.0</v>
      </c>
      <c r="D2914" s="33" t="s">
        <v>788</v>
      </c>
      <c r="E2914" s="74"/>
      <c r="F2914" s="46" t="s">
        <v>465</v>
      </c>
      <c r="G2914" s="46" t="s">
        <v>791</v>
      </c>
      <c r="H2914" s="74"/>
      <c r="K2914" s="43"/>
    </row>
    <row r="2915">
      <c r="A2915" s="40"/>
      <c r="B2915" s="33" t="s">
        <v>793</v>
      </c>
      <c r="C2915" s="42">
        <v>16690.0</v>
      </c>
      <c r="D2915" s="33" t="s">
        <v>796</v>
      </c>
      <c r="E2915" s="74"/>
      <c r="F2915" s="46" t="s">
        <v>465</v>
      </c>
      <c r="G2915" s="75"/>
      <c r="H2915" s="74"/>
      <c r="K2915" s="43"/>
    </row>
    <row r="2916">
      <c r="A2916" s="40"/>
      <c r="B2916" s="33" t="s">
        <v>803</v>
      </c>
      <c r="C2916" s="42">
        <v>67225.0</v>
      </c>
      <c r="D2916" s="33" t="s">
        <v>805</v>
      </c>
      <c r="E2916" s="74"/>
      <c r="F2916" s="46" t="s">
        <v>465</v>
      </c>
      <c r="G2916" s="75"/>
      <c r="H2916" s="74"/>
      <c r="K2916" s="43"/>
    </row>
    <row r="2917">
      <c r="A2917" s="40"/>
      <c r="B2917" s="33" t="s">
        <v>806</v>
      </c>
      <c r="C2917" s="42">
        <v>4394.0</v>
      </c>
      <c r="D2917" s="33" t="s">
        <v>809</v>
      </c>
      <c r="E2917" s="74"/>
      <c r="F2917" s="46" t="s">
        <v>465</v>
      </c>
      <c r="G2917" s="75"/>
      <c r="H2917" s="74"/>
      <c r="K2917" s="43"/>
    </row>
    <row r="2918">
      <c r="A2918" s="40"/>
      <c r="B2918" s="33" t="s">
        <v>811</v>
      </c>
      <c r="C2918" s="42">
        <v>19931.0</v>
      </c>
      <c r="D2918" s="33" t="s">
        <v>813</v>
      </c>
      <c r="E2918" s="74"/>
      <c r="F2918" s="46" t="s">
        <v>465</v>
      </c>
      <c r="G2918" s="75"/>
      <c r="H2918" s="74"/>
      <c r="K2918" s="43"/>
    </row>
    <row r="2919">
      <c r="A2919" s="40"/>
      <c r="B2919" s="33" t="s">
        <v>819</v>
      </c>
      <c r="C2919" s="42">
        <v>2093.0</v>
      </c>
      <c r="D2919" s="33" t="s">
        <v>821</v>
      </c>
      <c r="E2919" s="74"/>
      <c r="F2919" s="46" t="s">
        <v>465</v>
      </c>
      <c r="G2919" s="75"/>
      <c r="H2919" s="74"/>
      <c r="K2919" s="43"/>
    </row>
    <row r="2920">
      <c r="A2920" s="40"/>
      <c r="B2920" s="33" t="s">
        <v>824</v>
      </c>
      <c r="C2920" s="42">
        <v>13389.0</v>
      </c>
      <c r="D2920" s="33" t="s">
        <v>826</v>
      </c>
      <c r="E2920" s="74"/>
      <c r="F2920" s="46" t="s">
        <v>465</v>
      </c>
      <c r="G2920" s="75"/>
      <c r="H2920" s="74"/>
      <c r="K2920" s="43"/>
    </row>
    <row r="2921">
      <c r="A2921" s="40"/>
      <c r="B2921" s="33" t="s">
        <v>831</v>
      </c>
      <c r="C2921" s="42">
        <v>4359.0</v>
      </c>
      <c r="D2921" s="33" t="s">
        <v>833</v>
      </c>
      <c r="E2921" s="74"/>
      <c r="F2921" s="46" t="s">
        <v>465</v>
      </c>
      <c r="G2921" s="75"/>
      <c r="H2921" s="74"/>
      <c r="K2921" s="43"/>
    </row>
    <row r="2922">
      <c r="A2922" s="79"/>
      <c r="B2922" s="33" t="s">
        <v>837</v>
      </c>
      <c r="C2922" s="42">
        <v>17546.0</v>
      </c>
      <c r="D2922" s="33" t="s">
        <v>838</v>
      </c>
      <c r="E2922" s="74"/>
      <c r="F2922" s="46" t="s">
        <v>465</v>
      </c>
      <c r="G2922" s="75"/>
      <c r="H2922" s="74"/>
      <c r="K2922" s="43"/>
    </row>
    <row r="2923">
      <c r="A2923" s="40"/>
      <c r="B2923" s="33" t="s">
        <v>843</v>
      </c>
      <c r="C2923" s="42">
        <v>11835.0</v>
      </c>
      <c r="D2923" s="33" t="s">
        <v>844</v>
      </c>
      <c r="E2923" s="74"/>
      <c r="F2923" s="46" t="s">
        <v>465</v>
      </c>
      <c r="G2923" s="75"/>
      <c r="H2923" s="74"/>
      <c r="K2923" s="43"/>
    </row>
    <row r="2924">
      <c r="A2924" s="40"/>
      <c r="B2924" s="33" t="s">
        <v>849</v>
      </c>
      <c r="C2924" s="42">
        <v>20729.0</v>
      </c>
      <c r="D2924" s="33" t="s">
        <v>852</v>
      </c>
      <c r="E2924" s="74"/>
      <c r="F2924" s="46" t="s">
        <v>465</v>
      </c>
      <c r="G2924" s="75"/>
      <c r="H2924" s="74"/>
      <c r="K2924" s="43"/>
    </row>
    <row r="2925">
      <c r="A2925" s="40"/>
      <c r="B2925" s="33" t="s">
        <v>856</v>
      </c>
      <c r="C2925" s="42">
        <v>5009.0</v>
      </c>
      <c r="D2925" s="33" t="s">
        <v>857</v>
      </c>
      <c r="E2925" s="74"/>
      <c r="F2925" s="46" t="s">
        <v>465</v>
      </c>
      <c r="G2925" s="75"/>
      <c r="H2925" s="74"/>
      <c r="K2925" s="43"/>
    </row>
    <row r="2926">
      <c r="A2926" s="40"/>
      <c r="B2926" s="33" t="s">
        <v>862</v>
      </c>
      <c r="C2926" s="42">
        <v>9970.0</v>
      </c>
      <c r="D2926" s="33" t="s">
        <v>865</v>
      </c>
      <c r="E2926" s="74"/>
      <c r="F2926" s="46" t="s">
        <v>465</v>
      </c>
      <c r="G2926" s="75"/>
      <c r="H2926" s="74"/>
      <c r="K2926" s="43"/>
    </row>
    <row r="2927">
      <c r="A2927" s="40"/>
      <c r="B2927" s="33" t="s">
        <v>870</v>
      </c>
      <c r="C2927" s="42">
        <v>15577.0</v>
      </c>
      <c r="D2927" s="33" t="s">
        <v>873</v>
      </c>
      <c r="E2927" s="74"/>
      <c r="F2927" s="46" t="s">
        <v>465</v>
      </c>
      <c r="G2927" s="75"/>
      <c r="H2927" s="74"/>
      <c r="K2927" s="43"/>
    </row>
    <row r="2928">
      <c r="A2928" s="40"/>
      <c r="B2928" s="33" t="s">
        <v>879</v>
      </c>
      <c r="C2928" s="42">
        <v>11629.0</v>
      </c>
      <c r="D2928" s="33" t="s">
        <v>880</v>
      </c>
      <c r="E2928" s="74"/>
      <c r="F2928" s="46" t="s">
        <v>465</v>
      </c>
      <c r="G2928" s="75"/>
      <c r="H2928" s="74"/>
      <c r="K2928" s="43"/>
    </row>
    <row r="2929">
      <c r="A2929" s="40"/>
      <c r="B2929" s="33" t="s">
        <v>884</v>
      </c>
      <c r="C2929" s="42">
        <v>23692.0</v>
      </c>
      <c r="D2929" s="33" t="s">
        <v>886</v>
      </c>
      <c r="E2929" s="74"/>
      <c r="F2929" s="46" t="s">
        <v>465</v>
      </c>
      <c r="G2929" s="75"/>
      <c r="H2929" s="74"/>
      <c r="K2929" s="43"/>
    </row>
    <row r="2930">
      <c r="A2930" s="40"/>
      <c r="B2930" s="33" t="s">
        <v>888</v>
      </c>
      <c r="C2930" s="42">
        <v>12240.0</v>
      </c>
      <c r="D2930" s="33" t="s">
        <v>897</v>
      </c>
      <c r="E2930" s="74"/>
      <c r="F2930" s="46" t="s">
        <v>465</v>
      </c>
      <c r="G2930" s="75"/>
      <c r="H2930" s="74"/>
      <c r="K2930" s="43"/>
    </row>
    <row r="2931">
      <c r="A2931" s="40"/>
      <c r="B2931" s="33" t="s">
        <v>902</v>
      </c>
      <c r="C2931" s="42">
        <v>37892.0</v>
      </c>
      <c r="D2931" s="33" t="s">
        <v>906</v>
      </c>
      <c r="E2931" s="74"/>
      <c r="F2931" s="46" t="s">
        <v>465</v>
      </c>
      <c r="G2931" s="46" t="s">
        <v>909</v>
      </c>
      <c r="H2931" s="74"/>
      <c r="K2931" s="43"/>
    </row>
    <row r="2932">
      <c r="A2932" s="40"/>
      <c r="B2932" s="33" t="s">
        <v>913</v>
      </c>
      <c r="C2932" s="42">
        <v>52161.0</v>
      </c>
      <c r="D2932" s="33" t="s">
        <v>916</v>
      </c>
      <c r="E2932" s="74"/>
      <c r="F2932" s="46" t="s">
        <v>465</v>
      </c>
      <c r="G2932" s="46" t="s">
        <v>919</v>
      </c>
      <c r="H2932" s="74"/>
      <c r="K2932" s="43"/>
    </row>
    <row r="2933">
      <c r="A2933" s="40"/>
      <c r="B2933" s="33" t="s">
        <v>930</v>
      </c>
      <c r="C2933" s="42">
        <v>18918.0</v>
      </c>
      <c r="D2933" s="33" t="s">
        <v>932</v>
      </c>
      <c r="E2933" s="74"/>
      <c r="F2933" s="46" t="s">
        <v>465</v>
      </c>
      <c r="G2933" s="75"/>
      <c r="H2933" s="74"/>
      <c r="K2933" s="43"/>
    </row>
    <row r="2934">
      <c r="A2934" s="40"/>
      <c r="B2934" s="33" t="s">
        <v>938</v>
      </c>
      <c r="C2934" s="42">
        <v>31614.0</v>
      </c>
      <c r="D2934" s="33" t="s">
        <v>941</v>
      </c>
      <c r="E2934" s="74"/>
      <c r="F2934" s="46" t="s">
        <v>465</v>
      </c>
      <c r="G2934" s="75"/>
      <c r="H2934" s="74"/>
      <c r="K2934" s="43"/>
    </row>
    <row r="2935">
      <c r="A2935" s="40"/>
      <c r="B2935" s="33" t="s">
        <v>944</v>
      </c>
      <c r="C2935" s="42">
        <v>7237.0</v>
      </c>
      <c r="D2935" s="33" t="s">
        <v>945</v>
      </c>
      <c r="E2935" s="74"/>
      <c r="F2935" s="46" t="s">
        <v>465</v>
      </c>
      <c r="G2935" s="75"/>
      <c r="H2935" s="74"/>
      <c r="K2935" s="43"/>
    </row>
    <row r="2936">
      <c r="A2936" s="40"/>
      <c r="B2936" s="33" t="s">
        <v>947</v>
      </c>
      <c r="C2936" s="42">
        <v>14435.0</v>
      </c>
      <c r="D2936" s="33" t="s">
        <v>948</v>
      </c>
      <c r="E2936" s="74"/>
      <c r="F2936" s="46" t="s">
        <v>465</v>
      </c>
      <c r="G2936" s="75"/>
      <c r="H2936" s="74"/>
      <c r="K2936" s="43"/>
    </row>
    <row r="2937">
      <c r="A2937" s="79"/>
      <c r="B2937" s="33" t="s">
        <v>950</v>
      </c>
      <c r="C2937" s="42">
        <v>2845.0</v>
      </c>
      <c r="D2937" s="33" t="s">
        <v>952</v>
      </c>
      <c r="E2937" s="74"/>
      <c r="F2937" s="46" t="s">
        <v>465</v>
      </c>
      <c r="G2937" s="46" t="s">
        <v>955</v>
      </c>
      <c r="H2937" s="74"/>
      <c r="K2937" s="43"/>
    </row>
    <row r="2938">
      <c r="A2938" s="40"/>
      <c r="B2938" s="33" t="s">
        <v>959</v>
      </c>
      <c r="C2938" s="42">
        <v>6032.0</v>
      </c>
      <c r="D2938" s="33" t="s">
        <v>961</v>
      </c>
      <c r="E2938" s="74"/>
      <c r="F2938" s="46" t="s">
        <v>465</v>
      </c>
      <c r="G2938" s="75"/>
      <c r="H2938" s="74"/>
      <c r="K2938" s="43"/>
    </row>
    <row r="2939">
      <c r="A2939" s="79"/>
      <c r="B2939" s="33" t="s">
        <v>966</v>
      </c>
      <c r="C2939" s="42">
        <v>11560.0</v>
      </c>
      <c r="D2939" s="33" t="s">
        <v>638</v>
      </c>
      <c r="E2939" s="74"/>
      <c r="F2939" s="46" t="s">
        <v>465</v>
      </c>
      <c r="G2939" s="46" t="s">
        <v>970</v>
      </c>
      <c r="H2939" s="74"/>
      <c r="K2939" s="43"/>
    </row>
    <row r="2940">
      <c r="A2940" s="79"/>
      <c r="B2940" s="33" t="s">
        <v>973</v>
      </c>
      <c r="C2940" s="42">
        <v>45011.0</v>
      </c>
      <c r="D2940" s="33" t="s">
        <v>976</v>
      </c>
      <c r="E2940" s="74"/>
      <c r="F2940" s="46" t="s">
        <v>465</v>
      </c>
      <c r="G2940" s="75"/>
      <c r="H2940" s="74"/>
      <c r="K2940" s="43"/>
    </row>
    <row r="2941">
      <c r="A2941" s="79"/>
      <c r="B2941" s="33" t="s">
        <v>982</v>
      </c>
      <c r="C2941" s="42">
        <v>39409.0</v>
      </c>
      <c r="D2941" s="33" t="s">
        <v>984</v>
      </c>
      <c r="E2941" s="74"/>
      <c r="F2941" s="46" t="s">
        <v>465</v>
      </c>
      <c r="G2941" s="46" t="s">
        <v>988</v>
      </c>
      <c r="H2941" s="74"/>
      <c r="K2941" s="43"/>
    </row>
    <row r="2942">
      <c r="A2942" s="40"/>
      <c r="B2942" s="33" t="s">
        <v>992</v>
      </c>
      <c r="C2942" s="42">
        <v>8398.0</v>
      </c>
      <c r="D2942" s="33" t="s">
        <v>993</v>
      </c>
      <c r="E2942" s="74"/>
      <c r="F2942" s="46" t="s">
        <v>465</v>
      </c>
      <c r="G2942" s="75"/>
      <c r="H2942" s="74"/>
      <c r="K2942" s="43"/>
    </row>
    <row r="2943">
      <c r="A2943" s="40"/>
      <c r="B2943" s="33" t="s">
        <v>998</v>
      </c>
      <c r="C2943" s="42">
        <v>3701.0</v>
      </c>
      <c r="D2943" s="33" t="s">
        <v>1000</v>
      </c>
      <c r="E2943" s="74"/>
      <c r="F2943" s="46" t="s">
        <v>465</v>
      </c>
      <c r="G2943" s="46" t="s">
        <v>1003</v>
      </c>
      <c r="H2943" s="74"/>
      <c r="K2943" s="43"/>
    </row>
    <row r="2944">
      <c r="A2944" s="40"/>
      <c r="B2944" s="33" t="s">
        <v>1006</v>
      </c>
      <c r="C2944" s="42">
        <v>9929.0</v>
      </c>
      <c r="D2944" s="33" t="s">
        <v>1008</v>
      </c>
      <c r="E2944" s="74"/>
      <c r="F2944" s="46" t="s">
        <v>465</v>
      </c>
      <c r="G2944" s="75"/>
      <c r="H2944" s="74"/>
      <c r="K2944" s="43"/>
    </row>
    <row r="2945">
      <c r="A2945" s="40"/>
      <c r="B2945" s="33" t="s">
        <v>1014</v>
      </c>
      <c r="C2945" s="42">
        <v>28190.0</v>
      </c>
      <c r="D2945" s="33" t="s">
        <v>1016</v>
      </c>
      <c r="E2945" s="74"/>
      <c r="F2945" s="46" t="s">
        <v>465</v>
      </c>
      <c r="G2945" s="75"/>
      <c r="H2945" s="74"/>
      <c r="K2945" s="43"/>
    </row>
    <row r="2946">
      <c r="A2946" s="40"/>
      <c r="B2946" s="33" t="s">
        <v>1018</v>
      </c>
      <c r="C2946" s="42">
        <v>21863.0</v>
      </c>
      <c r="D2946" s="33" t="s">
        <v>1020</v>
      </c>
      <c r="E2946" s="74"/>
      <c r="F2946" s="46" t="s">
        <v>465</v>
      </c>
      <c r="G2946" s="75"/>
      <c r="H2946" s="74"/>
      <c r="K2946" s="43"/>
    </row>
    <row r="2947">
      <c r="A2947" s="40"/>
      <c r="B2947" s="33" t="s">
        <v>1022</v>
      </c>
      <c r="C2947" s="42">
        <v>7043.0</v>
      </c>
      <c r="D2947" s="33" t="s">
        <v>1024</v>
      </c>
      <c r="E2947" s="74"/>
      <c r="F2947" s="46" t="s">
        <v>465</v>
      </c>
      <c r="G2947" s="75"/>
      <c r="H2947" s="74"/>
      <c r="K2947" s="43"/>
    </row>
    <row r="2948">
      <c r="A2948" s="40"/>
      <c r="B2948" s="33" t="s">
        <v>1026</v>
      </c>
      <c r="C2948" s="42">
        <v>10796.0</v>
      </c>
      <c r="D2948" s="33" t="s">
        <v>1027</v>
      </c>
      <c r="E2948" s="74"/>
      <c r="F2948" s="46" t="s">
        <v>465</v>
      </c>
      <c r="G2948" s="75"/>
      <c r="H2948" s="74"/>
      <c r="K2948" s="43"/>
    </row>
    <row r="2949">
      <c r="A2949" s="79"/>
      <c r="B2949" s="33" t="s">
        <v>1029</v>
      </c>
      <c r="C2949" s="42">
        <v>4002.0</v>
      </c>
      <c r="D2949" s="33" t="s">
        <v>1031</v>
      </c>
      <c r="E2949" s="74"/>
      <c r="F2949" s="46" t="s">
        <v>465</v>
      </c>
      <c r="G2949" s="46" t="s">
        <v>1033</v>
      </c>
      <c r="H2949" s="74"/>
      <c r="K2949" s="43"/>
    </row>
    <row r="2950">
      <c r="A2950" s="40"/>
      <c r="B2950" s="33" t="s">
        <v>1036</v>
      </c>
      <c r="C2950" s="42">
        <v>13147.0</v>
      </c>
      <c r="D2950" s="33" t="s">
        <v>1038</v>
      </c>
      <c r="E2950" s="74"/>
      <c r="F2950" s="46" t="s">
        <v>465</v>
      </c>
      <c r="G2950" s="75"/>
      <c r="H2950" s="74"/>
      <c r="K2950" s="43"/>
    </row>
    <row r="2951">
      <c r="A2951" s="40"/>
      <c r="B2951" s="33" t="s">
        <v>1040</v>
      </c>
      <c r="C2951" s="42">
        <v>9388.0</v>
      </c>
      <c r="D2951" s="33" t="s">
        <v>1042</v>
      </c>
      <c r="E2951" s="74"/>
      <c r="F2951" s="46" t="s">
        <v>465</v>
      </c>
      <c r="G2951" s="75"/>
      <c r="H2951" s="74"/>
      <c r="K2951" s="43"/>
    </row>
    <row r="2952">
      <c r="A2952" s="40"/>
      <c r="B2952" s="33" t="s">
        <v>1046</v>
      </c>
      <c r="C2952" s="42">
        <v>50865.0</v>
      </c>
      <c r="D2952" s="33" t="s">
        <v>1048</v>
      </c>
      <c r="E2952" s="74"/>
      <c r="F2952" s="46" t="s">
        <v>465</v>
      </c>
      <c r="G2952" s="75"/>
      <c r="H2952" s="74"/>
      <c r="K2952" s="43"/>
    </row>
    <row r="2953">
      <c r="A2953" s="40"/>
      <c r="B2953" s="33" t="s">
        <v>1053</v>
      </c>
      <c r="C2953" s="42">
        <v>10774.0</v>
      </c>
      <c r="D2953" s="33" t="s">
        <v>1054</v>
      </c>
      <c r="E2953" s="74"/>
      <c r="F2953" s="46" t="s">
        <v>465</v>
      </c>
      <c r="G2953" s="75"/>
      <c r="H2953" s="74"/>
      <c r="K2953" s="43"/>
    </row>
    <row r="2954">
      <c r="A2954" s="40"/>
      <c r="B2954" s="33" t="s">
        <v>1060</v>
      </c>
      <c r="C2954" s="42">
        <v>4118.0</v>
      </c>
      <c r="D2954" s="33" t="s">
        <v>1062</v>
      </c>
      <c r="E2954" s="74"/>
      <c r="F2954" s="46" t="s">
        <v>465</v>
      </c>
      <c r="G2954" s="75"/>
      <c r="H2954" s="74"/>
      <c r="K2954" s="43"/>
    </row>
    <row r="2955">
      <c r="A2955" s="40"/>
      <c r="B2955" s="33" t="s">
        <v>1067</v>
      </c>
      <c r="C2955" s="42">
        <v>3244.0</v>
      </c>
      <c r="D2955" s="33" t="s">
        <v>1068</v>
      </c>
      <c r="E2955" s="74"/>
      <c r="F2955" s="46" t="s">
        <v>465</v>
      </c>
      <c r="G2955" s="75"/>
      <c r="H2955" s="74"/>
      <c r="K2955" s="43"/>
    </row>
    <row r="2956">
      <c r="A2956" s="40"/>
      <c r="B2956" s="33" t="s">
        <v>1073</v>
      </c>
      <c r="C2956" s="42">
        <v>25776.0</v>
      </c>
      <c r="D2956" s="33" t="s">
        <v>1075</v>
      </c>
      <c r="E2956" s="74"/>
      <c r="F2956" s="46" t="s">
        <v>465</v>
      </c>
      <c r="G2956" s="75"/>
      <c r="H2956" s="74"/>
      <c r="K2956" s="43"/>
    </row>
    <row r="2957">
      <c r="A2957" s="79"/>
      <c r="B2957" s="33" t="s">
        <v>1079</v>
      </c>
      <c r="C2957" s="42">
        <v>6549.0</v>
      </c>
      <c r="D2957" s="33" t="s">
        <v>1084</v>
      </c>
      <c r="E2957" s="74"/>
      <c r="F2957" s="46" t="s">
        <v>465</v>
      </c>
      <c r="G2957" s="75"/>
      <c r="H2957" s="74"/>
      <c r="K2957" s="43"/>
    </row>
    <row r="2958">
      <c r="A2958" s="79"/>
      <c r="B2958" s="33" t="s">
        <v>1089</v>
      </c>
      <c r="C2958" s="42">
        <v>3707.0</v>
      </c>
      <c r="D2958" s="33" t="s">
        <v>1093</v>
      </c>
      <c r="E2958" s="74"/>
      <c r="F2958" s="46" t="s">
        <v>465</v>
      </c>
      <c r="G2958" s="46" t="s">
        <v>1096</v>
      </c>
      <c r="H2958" s="74"/>
      <c r="K2958" s="43"/>
    </row>
    <row r="2959">
      <c r="A2959" s="40"/>
      <c r="B2959" s="33" t="s">
        <v>1099</v>
      </c>
      <c r="C2959" s="42">
        <v>8027.0</v>
      </c>
      <c r="D2959" s="33" t="s">
        <v>1101</v>
      </c>
      <c r="E2959" s="74"/>
      <c r="F2959" s="46" t="s">
        <v>465</v>
      </c>
      <c r="G2959" s="75"/>
      <c r="H2959" s="74"/>
      <c r="K2959" s="43"/>
    </row>
    <row r="2960">
      <c r="A2960" s="40"/>
      <c r="B2960" s="33" t="s">
        <v>1106</v>
      </c>
      <c r="C2960" s="42">
        <v>9259.0</v>
      </c>
      <c r="D2960" s="33" t="s">
        <v>1109</v>
      </c>
      <c r="E2960" s="74"/>
      <c r="F2960" s="46" t="s">
        <v>465</v>
      </c>
      <c r="G2960" s="75"/>
      <c r="H2960" s="74"/>
      <c r="K2960" s="43"/>
    </row>
    <row r="2961">
      <c r="A2961" s="40"/>
      <c r="B2961" s="33" t="s">
        <v>1121</v>
      </c>
      <c r="C2961" s="42">
        <v>10633.0</v>
      </c>
      <c r="D2961" s="33" t="s">
        <v>1124</v>
      </c>
      <c r="E2961" s="74"/>
      <c r="F2961" s="46" t="s">
        <v>465</v>
      </c>
      <c r="G2961" s="75"/>
      <c r="H2961" s="74"/>
      <c r="K2961" s="43"/>
    </row>
    <row r="2962">
      <c r="A2962" s="40"/>
      <c r="B2962" s="33" t="s">
        <v>1129</v>
      </c>
      <c r="C2962" s="42">
        <v>7308.0</v>
      </c>
      <c r="D2962" s="33" t="s">
        <v>1132</v>
      </c>
      <c r="E2962" s="74"/>
      <c r="F2962" s="46" t="s">
        <v>465</v>
      </c>
      <c r="G2962" s="75"/>
      <c r="H2962" s="74"/>
      <c r="K2962" s="43"/>
    </row>
    <row r="2963">
      <c r="A2963" s="40"/>
      <c r="B2963" s="33" t="s">
        <v>1135</v>
      </c>
      <c r="C2963" s="42">
        <v>20842.0</v>
      </c>
      <c r="D2963" s="33" t="s">
        <v>1137</v>
      </c>
      <c r="E2963" s="74"/>
      <c r="F2963" s="46" t="s">
        <v>465</v>
      </c>
      <c r="G2963" s="75"/>
      <c r="H2963" s="74"/>
      <c r="K2963" s="43"/>
    </row>
    <row r="2964">
      <c r="A2964" s="40"/>
      <c r="B2964" s="33" t="s">
        <v>1143</v>
      </c>
      <c r="C2964" s="42">
        <v>10717.0</v>
      </c>
      <c r="D2964" s="33" t="s">
        <v>1145</v>
      </c>
      <c r="E2964" s="74"/>
      <c r="F2964" s="46" t="s">
        <v>465</v>
      </c>
      <c r="G2964" s="75"/>
      <c r="H2964" s="74"/>
      <c r="K2964" s="43"/>
    </row>
    <row r="2965">
      <c r="A2965" s="79"/>
      <c r="B2965" s="33" t="s">
        <v>1149</v>
      </c>
      <c r="C2965" s="42">
        <v>30617.0</v>
      </c>
      <c r="D2965" s="33" t="s">
        <v>1151</v>
      </c>
      <c r="E2965" s="74"/>
      <c r="F2965" s="46" t="s">
        <v>465</v>
      </c>
      <c r="G2965" s="75"/>
      <c r="H2965" s="74"/>
      <c r="K2965" s="43"/>
    </row>
    <row r="2966">
      <c r="A2966" s="79"/>
      <c r="B2966" s="33" t="s">
        <v>1158</v>
      </c>
      <c r="C2966" s="42">
        <v>13330.0</v>
      </c>
      <c r="D2966" s="33" t="s">
        <v>1162</v>
      </c>
      <c r="E2966" s="74"/>
      <c r="F2966" s="46" t="s">
        <v>465</v>
      </c>
      <c r="G2966" s="75"/>
      <c r="H2966" s="74"/>
      <c r="K2966" s="43"/>
    </row>
    <row r="2967">
      <c r="A2967" s="40"/>
      <c r="B2967" s="33" t="s">
        <v>1171</v>
      </c>
      <c r="C2967" s="42">
        <v>7416.0</v>
      </c>
      <c r="D2967" s="33" t="s">
        <v>1174</v>
      </c>
      <c r="E2967" s="74"/>
      <c r="F2967" s="46" t="s">
        <v>465</v>
      </c>
      <c r="G2967" s="75"/>
      <c r="H2967" s="74"/>
      <c r="K2967" s="43"/>
    </row>
    <row r="2968">
      <c r="A2968" s="40"/>
      <c r="B2968" s="33" t="s">
        <v>1180</v>
      </c>
      <c r="C2968" s="42">
        <v>13771.0</v>
      </c>
      <c r="D2968" s="33" t="s">
        <v>1183</v>
      </c>
      <c r="E2968" s="74"/>
      <c r="F2968" s="46" t="s">
        <v>465</v>
      </c>
      <c r="G2968" s="75"/>
      <c r="H2968" s="74"/>
      <c r="K2968" s="43"/>
    </row>
    <row r="2969">
      <c r="A2969" s="40"/>
      <c r="B2969" s="33" t="s">
        <v>1190</v>
      </c>
      <c r="C2969" s="42">
        <v>18747.0</v>
      </c>
      <c r="D2969" s="33" t="s">
        <v>1193</v>
      </c>
      <c r="E2969" s="74"/>
      <c r="F2969" s="46" t="s">
        <v>465</v>
      </c>
      <c r="G2969" s="75"/>
      <c r="H2969" s="74"/>
      <c r="K2969" s="43"/>
    </row>
    <row r="2970">
      <c r="A2970" s="40"/>
      <c r="B2970" s="33" t="s">
        <v>1202</v>
      </c>
      <c r="C2970" s="42">
        <v>23726.0</v>
      </c>
      <c r="D2970" s="33" t="s">
        <v>1204</v>
      </c>
      <c r="E2970" s="74"/>
      <c r="F2970" s="46" t="s">
        <v>465</v>
      </c>
      <c r="G2970" s="75"/>
      <c r="H2970" s="74"/>
      <c r="K2970" s="43"/>
    </row>
    <row r="2971">
      <c r="A2971" s="40"/>
      <c r="B2971" s="33" t="s">
        <v>1210</v>
      </c>
      <c r="C2971" s="42">
        <v>5393.0</v>
      </c>
      <c r="D2971" s="33" t="s">
        <v>1212</v>
      </c>
      <c r="E2971" s="74"/>
      <c r="F2971" s="46" t="s">
        <v>465</v>
      </c>
      <c r="G2971" s="46" t="s">
        <v>1216</v>
      </c>
      <c r="H2971" s="74"/>
      <c r="K2971" s="43"/>
    </row>
    <row r="2972">
      <c r="A2972" s="40"/>
      <c r="B2972" s="33" t="s">
        <v>1221</v>
      </c>
      <c r="C2972" s="42">
        <v>3692.0</v>
      </c>
      <c r="D2972" s="33" t="s">
        <v>1225</v>
      </c>
      <c r="E2972" s="74"/>
      <c r="F2972" s="46" t="s">
        <v>465</v>
      </c>
      <c r="G2972" s="75"/>
      <c r="H2972" s="74"/>
      <c r="K2972" s="43"/>
    </row>
    <row r="2973">
      <c r="A2973" s="40"/>
      <c r="B2973" s="33" t="s">
        <v>1233</v>
      </c>
      <c r="C2973" s="42">
        <v>14808.0</v>
      </c>
      <c r="D2973" s="33" t="s">
        <v>1236</v>
      </c>
      <c r="E2973" s="74"/>
      <c r="F2973" s="46" t="s">
        <v>465</v>
      </c>
      <c r="G2973" s="75"/>
      <c r="H2973" s="74"/>
      <c r="K2973" s="43"/>
    </row>
    <row r="2974">
      <c r="A2974" s="40"/>
      <c r="B2974" s="33" t="s">
        <v>1243</v>
      </c>
      <c r="C2974" s="42">
        <v>2430.0</v>
      </c>
      <c r="D2974" s="33" t="s">
        <v>1247</v>
      </c>
      <c r="E2974" s="74"/>
      <c r="F2974" s="46" t="s">
        <v>465</v>
      </c>
      <c r="G2974" s="75"/>
      <c r="H2974" s="74"/>
      <c r="K2974" s="43"/>
    </row>
    <row r="2975">
      <c r="A2975" s="40"/>
      <c r="B2975" s="33" t="s">
        <v>1256</v>
      </c>
      <c r="C2975" s="42">
        <v>10130.0</v>
      </c>
      <c r="D2975" s="33" t="s">
        <v>1260</v>
      </c>
      <c r="E2975" s="74"/>
      <c r="F2975" s="46" t="s">
        <v>465</v>
      </c>
      <c r="G2975" s="75"/>
      <c r="H2975" s="74"/>
      <c r="K2975" s="43"/>
    </row>
    <row r="2976">
      <c r="A2976" s="40"/>
      <c r="B2976" s="33" t="s">
        <v>1267</v>
      </c>
      <c r="C2976" s="42">
        <v>2545.0</v>
      </c>
      <c r="D2976" s="33" t="s">
        <v>1269</v>
      </c>
      <c r="E2976" s="74"/>
      <c r="F2976" s="46" t="s">
        <v>465</v>
      </c>
      <c r="G2976" s="75"/>
      <c r="H2976" s="74"/>
      <c r="K2976" s="43"/>
    </row>
    <row r="2977">
      <c r="A2977" s="40"/>
      <c r="B2977" s="57" t="s">
        <v>1279</v>
      </c>
      <c r="C2977" s="58">
        <v>5831.0</v>
      </c>
      <c r="D2977" s="57" t="s">
        <v>1283</v>
      </c>
      <c r="E2977" s="19"/>
      <c r="F2977" s="61" t="s">
        <v>465</v>
      </c>
      <c r="G2977" s="71"/>
      <c r="H2977" s="19"/>
      <c r="I2977" s="19"/>
      <c r="J2977" s="19"/>
      <c r="K2977" s="64"/>
    </row>
    <row r="2978">
      <c r="A2978" s="12"/>
      <c r="B2978" s="12"/>
      <c r="C2978" s="65"/>
      <c r="D2978" s="34"/>
      <c r="E2978" s="34"/>
      <c r="F2978" s="67"/>
      <c r="G2978" s="67"/>
      <c r="H2978" s="34"/>
      <c r="I2978" s="34"/>
      <c r="J2978" s="34"/>
      <c r="K2978" s="34"/>
    </row>
    <row r="2979">
      <c r="A2979" s="68"/>
      <c r="B2979" s="69" t="s">
        <v>218</v>
      </c>
      <c r="C2979" s="144"/>
      <c r="D2979" s="19"/>
      <c r="E2979" s="19"/>
      <c r="F2979" s="71"/>
      <c r="G2979" s="71"/>
      <c r="H2979" s="19"/>
      <c r="I2979" s="19"/>
      <c r="J2979" s="19"/>
      <c r="K2979" s="19"/>
    </row>
    <row r="2980">
      <c r="A2980" s="55"/>
      <c r="B2980" s="23" t="s">
        <v>28348</v>
      </c>
      <c r="C2980" s="24">
        <v>18080.0</v>
      </c>
      <c r="D2980" s="117"/>
      <c r="E2980" s="34"/>
      <c r="F2980" s="36" t="s">
        <v>28349</v>
      </c>
      <c r="G2980" s="67"/>
      <c r="H2980" s="34"/>
      <c r="I2980" s="34"/>
      <c r="J2980" s="34"/>
      <c r="K2980" s="38"/>
    </row>
    <row r="2981">
      <c r="A2981" s="55"/>
      <c r="B2981" s="33" t="s">
        <v>28351</v>
      </c>
      <c r="C2981" s="42">
        <v>7760.0</v>
      </c>
      <c r="D2981" s="31"/>
      <c r="E2981" s="74"/>
      <c r="F2981" s="46" t="s">
        <v>28349</v>
      </c>
      <c r="G2981" s="75"/>
      <c r="H2981" s="74"/>
      <c r="K2981" s="43"/>
    </row>
    <row r="2982">
      <c r="A2982" s="55"/>
      <c r="B2982" s="33" t="s">
        <v>28354</v>
      </c>
      <c r="C2982" s="42">
        <v>30040.0</v>
      </c>
      <c r="D2982" s="31"/>
      <c r="E2982" s="74"/>
      <c r="F2982" s="46" t="s">
        <v>28349</v>
      </c>
      <c r="G2982" s="75"/>
      <c r="H2982" s="74"/>
      <c r="K2982" s="43"/>
    </row>
    <row r="2983">
      <c r="A2983" s="55"/>
      <c r="B2983" s="33" t="s">
        <v>28356</v>
      </c>
      <c r="C2983" s="42">
        <v>5600.0</v>
      </c>
      <c r="D2983" s="31"/>
      <c r="E2983" s="74"/>
      <c r="F2983" s="46" t="s">
        <v>28349</v>
      </c>
      <c r="G2983" s="75"/>
      <c r="H2983" s="74"/>
      <c r="K2983" s="43"/>
    </row>
    <row r="2984">
      <c r="A2984" s="55"/>
      <c r="B2984" s="33" t="s">
        <v>28359</v>
      </c>
      <c r="C2984" s="42">
        <v>19680.0</v>
      </c>
      <c r="D2984" s="31"/>
      <c r="E2984" s="74"/>
      <c r="F2984" s="46" t="s">
        <v>28349</v>
      </c>
      <c r="G2984" s="75"/>
      <c r="H2984" s="74"/>
      <c r="K2984" s="43"/>
    </row>
    <row r="2985">
      <c r="A2985" s="55"/>
      <c r="B2985" s="33" t="s">
        <v>28362</v>
      </c>
      <c r="C2985" s="42">
        <v>2480.0</v>
      </c>
      <c r="D2985" s="31"/>
      <c r="E2985" s="74"/>
      <c r="F2985" s="46" t="s">
        <v>28349</v>
      </c>
      <c r="G2985" s="75"/>
      <c r="H2985" s="74"/>
      <c r="K2985" s="43"/>
    </row>
    <row r="2986">
      <c r="A2986" s="55"/>
      <c r="B2986" s="33" t="s">
        <v>28364</v>
      </c>
      <c r="C2986" s="42">
        <v>50120.0</v>
      </c>
      <c r="D2986" s="31"/>
      <c r="E2986" s="74"/>
      <c r="F2986" s="46" t="s">
        <v>28349</v>
      </c>
      <c r="G2986" s="75"/>
      <c r="H2986" s="74"/>
      <c r="K2986" s="43"/>
    </row>
    <row r="2987">
      <c r="A2987" s="55"/>
      <c r="B2987" s="33" t="s">
        <v>28366</v>
      </c>
      <c r="C2987" s="42">
        <v>2480.0</v>
      </c>
      <c r="D2987" s="31"/>
      <c r="E2987" s="74"/>
      <c r="F2987" s="46" t="s">
        <v>28349</v>
      </c>
      <c r="G2987" s="75"/>
      <c r="H2987" s="74"/>
      <c r="K2987" s="43"/>
    </row>
    <row r="2988">
      <c r="A2988" s="55"/>
      <c r="B2988" s="33" t="s">
        <v>28370</v>
      </c>
      <c r="C2988" s="42">
        <v>8040.0</v>
      </c>
      <c r="D2988" s="31"/>
      <c r="E2988" s="74"/>
      <c r="F2988" s="46" t="s">
        <v>28349</v>
      </c>
      <c r="G2988" s="75"/>
      <c r="H2988" s="74"/>
      <c r="K2988" s="43"/>
    </row>
    <row r="2989">
      <c r="A2989" s="55"/>
      <c r="B2989" s="33" t="s">
        <v>28372</v>
      </c>
      <c r="C2989" s="42">
        <v>46280.0</v>
      </c>
      <c r="D2989" s="31"/>
      <c r="E2989" s="74"/>
      <c r="F2989" s="46" t="s">
        <v>28349</v>
      </c>
      <c r="G2989" s="75"/>
      <c r="H2989" s="74"/>
      <c r="K2989" s="43"/>
    </row>
    <row r="2990">
      <c r="A2990" s="55"/>
      <c r="B2990" s="33" t="s">
        <v>28374</v>
      </c>
      <c r="C2990" s="42">
        <v>4200.0</v>
      </c>
      <c r="D2990" s="31"/>
      <c r="E2990" s="74"/>
      <c r="F2990" s="46" t="s">
        <v>28349</v>
      </c>
      <c r="G2990" s="75"/>
      <c r="H2990" s="74"/>
      <c r="K2990" s="43"/>
    </row>
    <row r="2991">
      <c r="A2991" s="55"/>
      <c r="B2991" s="33" t="s">
        <v>28382</v>
      </c>
      <c r="C2991" s="42">
        <v>11120.0</v>
      </c>
      <c r="D2991" s="31"/>
      <c r="E2991" s="74"/>
      <c r="F2991" s="46" t="s">
        <v>28349</v>
      </c>
      <c r="G2991" s="75"/>
      <c r="H2991" s="74"/>
      <c r="K2991" s="43"/>
    </row>
    <row r="2992">
      <c r="A2992" s="55"/>
      <c r="B2992" s="33" t="s">
        <v>28384</v>
      </c>
      <c r="C2992" s="42">
        <v>8480.0</v>
      </c>
      <c r="D2992" s="31"/>
      <c r="E2992" s="74"/>
      <c r="F2992" s="46" t="s">
        <v>28349</v>
      </c>
      <c r="G2992" s="75"/>
      <c r="H2992" s="74"/>
      <c r="K2992" s="43"/>
    </row>
    <row r="2993">
      <c r="A2993" s="55"/>
      <c r="B2993" s="33" t="s">
        <v>28388</v>
      </c>
      <c r="C2993" s="42">
        <v>15440.0</v>
      </c>
      <c r="D2993" s="31"/>
      <c r="E2993" s="74"/>
      <c r="F2993" s="46" t="s">
        <v>28349</v>
      </c>
      <c r="G2993" s="75"/>
      <c r="H2993" s="74"/>
      <c r="K2993" s="43"/>
    </row>
    <row r="2994">
      <c r="A2994" s="55"/>
      <c r="B2994" s="33" t="s">
        <v>28390</v>
      </c>
      <c r="C2994" s="42">
        <v>8280.0</v>
      </c>
      <c r="D2994" s="31"/>
      <c r="E2994" s="74"/>
      <c r="F2994" s="46" t="s">
        <v>28349</v>
      </c>
      <c r="G2994" s="75"/>
      <c r="H2994" s="74"/>
      <c r="K2994" s="43"/>
    </row>
    <row r="2995">
      <c r="A2995" s="55"/>
      <c r="B2995" s="33" t="s">
        <v>28392</v>
      </c>
      <c r="C2995" s="42">
        <v>11120.0</v>
      </c>
      <c r="D2995" s="31"/>
      <c r="E2995" s="74"/>
      <c r="F2995" s="46" t="s">
        <v>28349</v>
      </c>
      <c r="G2995" s="75"/>
      <c r="H2995" s="74"/>
      <c r="K2995" s="43"/>
    </row>
    <row r="2996">
      <c r="A2996" s="55"/>
      <c r="B2996" s="33" t="s">
        <v>28395</v>
      </c>
      <c r="C2996" s="42">
        <v>26840.0</v>
      </c>
      <c r="D2996" s="31"/>
      <c r="E2996" s="74"/>
      <c r="F2996" s="46" t="s">
        <v>28349</v>
      </c>
      <c r="G2996" s="75"/>
      <c r="H2996" s="74"/>
      <c r="K2996" s="43"/>
    </row>
    <row r="2997">
      <c r="A2997" s="55"/>
      <c r="B2997" s="33" t="s">
        <v>28399</v>
      </c>
      <c r="C2997" s="42">
        <v>42920.0</v>
      </c>
      <c r="D2997" s="31"/>
      <c r="E2997" s="74"/>
      <c r="F2997" s="46" t="s">
        <v>28349</v>
      </c>
      <c r="G2997" s="75"/>
      <c r="H2997" s="74"/>
      <c r="K2997" s="43"/>
    </row>
    <row r="2998">
      <c r="A2998" s="55"/>
      <c r="B2998" s="33" t="s">
        <v>28402</v>
      </c>
      <c r="C2998" s="42">
        <v>42920.0</v>
      </c>
      <c r="D2998" s="31"/>
      <c r="E2998" s="74"/>
      <c r="F2998" s="46" t="s">
        <v>28349</v>
      </c>
      <c r="G2998" s="75"/>
      <c r="H2998" s="74"/>
      <c r="K2998" s="43"/>
    </row>
    <row r="2999">
      <c r="A2999" s="55"/>
      <c r="B2999" s="33" t="s">
        <v>28404</v>
      </c>
      <c r="C2999" s="42">
        <v>4080.0</v>
      </c>
      <c r="D2999" s="31"/>
      <c r="E2999" s="74"/>
      <c r="F2999" s="46" t="s">
        <v>28349</v>
      </c>
      <c r="G2999" s="75"/>
      <c r="H2999" s="74"/>
      <c r="K2999" s="43"/>
    </row>
    <row r="3000">
      <c r="A3000" s="55"/>
      <c r="B3000" s="33" t="s">
        <v>28407</v>
      </c>
      <c r="C3000" s="42">
        <v>4320.0</v>
      </c>
      <c r="D3000" s="31"/>
      <c r="E3000" s="74"/>
      <c r="F3000" s="46" t="s">
        <v>28349</v>
      </c>
      <c r="G3000" s="75"/>
      <c r="H3000" s="74"/>
      <c r="K3000" s="43"/>
    </row>
    <row r="3001">
      <c r="A3001" s="55"/>
      <c r="B3001" s="33" t="s">
        <v>28410</v>
      </c>
      <c r="C3001" s="42">
        <v>3520.0</v>
      </c>
      <c r="D3001" s="31"/>
      <c r="E3001" s="74"/>
      <c r="F3001" s="46" t="s">
        <v>28349</v>
      </c>
      <c r="G3001" s="75"/>
      <c r="H3001" s="74"/>
      <c r="K3001" s="43"/>
    </row>
    <row r="3002">
      <c r="A3002" s="55"/>
      <c r="B3002" s="33" t="s">
        <v>28412</v>
      </c>
      <c r="C3002" s="42">
        <v>8400.0</v>
      </c>
      <c r="D3002" s="31"/>
      <c r="E3002" s="74"/>
      <c r="F3002" s="46" t="s">
        <v>28349</v>
      </c>
      <c r="G3002" s="75"/>
      <c r="H3002" s="74"/>
      <c r="K3002" s="43"/>
    </row>
    <row r="3003">
      <c r="A3003" s="55"/>
      <c r="B3003" s="33" t="s">
        <v>28415</v>
      </c>
      <c r="C3003" s="42">
        <v>7120.0</v>
      </c>
      <c r="D3003" s="31"/>
      <c r="E3003" s="74"/>
      <c r="F3003" s="46" t="s">
        <v>28349</v>
      </c>
      <c r="G3003" s="75"/>
      <c r="H3003" s="74"/>
      <c r="K3003" s="43"/>
    </row>
    <row r="3004">
      <c r="A3004" s="55"/>
      <c r="B3004" s="33" t="s">
        <v>28417</v>
      </c>
      <c r="C3004" s="42">
        <v>8040.0</v>
      </c>
      <c r="D3004" s="31"/>
      <c r="E3004" s="74"/>
      <c r="F3004" s="46" t="s">
        <v>28349</v>
      </c>
      <c r="G3004" s="75"/>
      <c r="H3004" s="74"/>
      <c r="K3004" s="43"/>
    </row>
    <row r="3005">
      <c r="A3005" s="55"/>
      <c r="B3005" s="33" t="s">
        <v>28421</v>
      </c>
      <c r="C3005" s="42">
        <v>5480.0</v>
      </c>
      <c r="D3005" s="31"/>
      <c r="E3005" s="74"/>
      <c r="F3005" s="46" t="s">
        <v>28349</v>
      </c>
      <c r="G3005" s="75"/>
      <c r="H3005" s="74"/>
      <c r="K3005" s="43"/>
    </row>
    <row r="3006">
      <c r="A3006" s="55"/>
      <c r="B3006" s="33" t="s">
        <v>28423</v>
      </c>
      <c r="C3006" s="42">
        <v>6480.0</v>
      </c>
      <c r="D3006" s="31"/>
      <c r="E3006" s="74"/>
      <c r="F3006" s="46" t="s">
        <v>28349</v>
      </c>
      <c r="G3006" s="75"/>
      <c r="H3006" s="74"/>
      <c r="K3006" s="43"/>
    </row>
    <row r="3007">
      <c r="A3007" s="55"/>
      <c r="B3007" s="33" t="s">
        <v>28425</v>
      </c>
      <c r="C3007" s="42">
        <v>13880.0</v>
      </c>
      <c r="D3007" s="31"/>
      <c r="E3007" s="74"/>
      <c r="F3007" s="46" t="s">
        <v>28349</v>
      </c>
      <c r="G3007" s="75"/>
      <c r="H3007" s="74"/>
      <c r="K3007" s="43"/>
    </row>
    <row r="3008">
      <c r="A3008" s="55"/>
      <c r="B3008" s="33" t="s">
        <v>28426</v>
      </c>
      <c r="C3008" s="42">
        <v>41680.0</v>
      </c>
      <c r="D3008" s="31"/>
      <c r="E3008" s="74"/>
      <c r="F3008" s="46" t="s">
        <v>28349</v>
      </c>
      <c r="G3008" s="75"/>
      <c r="H3008" s="74"/>
      <c r="K3008" s="43"/>
    </row>
    <row r="3009">
      <c r="A3009" s="55"/>
      <c r="B3009" s="33" t="s">
        <v>28429</v>
      </c>
      <c r="C3009" s="42">
        <v>34080.0</v>
      </c>
      <c r="D3009" s="31"/>
      <c r="E3009" s="74"/>
      <c r="F3009" s="46" t="s">
        <v>28349</v>
      </c>
      <c r="G3009" s="75"/>
      <c r="H3009" s="74"/>
      <c r="K3009" s="43"/>
    </row>
    <row r="3010">
      <c r="A3010" s="55"/>
      <c r="B3010" s="33" t="s">
        <v>28432</v>
      </c>
      <c r="C3010" s="42">
        <v>319200.0</v>
      </c>
      <c r="D3010" s="31"/>
      <c r="E3010" s="74"/>
      <c r="F3010" s="46" t="s">
        <v>28349</v>
      </c>
      <c r="G3010" s="75"/>
      <c r="H3010" s="74"/>
      <c r="K3010" s="43"/>
    </row>
    <row r="3011">
      <c r="A3011" s="55"/>
      <c r="B3011" s="33" t="s">
        <v>28435</v>
      </c>
      <c r="C3011" s="42">
        <v>52760.0</v>
      </c>
      <c r="D3011" s="31"/>
      <c r="E3011" s="74"/>
      <c r="F3011" s="46" t="s">
        <v>28349</v>
      </c>
      <c r="G3011" s="75"/>
      <c r="H3011" s="74"/>
      <c r="K3011" s="43"/>
    </row>
    <row r="3012">
      <c r="A3012" s="55"/>
      <c r="B3012" s="33" t="s">
        <v>28438</v>
      </c>
      <c r="C3012" s="42">
        <v>32000.0</v>
      </c>
      <c r="D3012" s="31"/>
      <c r="E3012" s="74"/>
      <c r="F3012" s="46" t="s">
        <v>28349</v>
      </c>
      <c r="G3012" s="75"/>
      <c r="H3012" s="74"/>
      <c r="K3012" s="43"/>
    </row>
    <row r="3013">
      <c r="A3013" s="55"/>
      <c r="B3013" s="33" t="s">
        <v>28441</v>
      </c>
      <c r="C3013" s="42">
        <v>43000.0</v>
      </c>
      <c r="D3013" s="31"/>
      <c r="E3013" s="74"/>
      <c r="F3013" s="46" t="s">
        <v>28349</v>
      </c>
      <c r="G3013" s="75"/>
      <c r="H3013" s="74"/>
      <c r="K3013" s="43"/>
    </row>
    <row r="3014">
      <c r="A3014" s="55"/>
      <c r="B3014" s="33" t="s">
        <v>28444</v>
      </c>
      <c r="C3014" s="42">
        <v>12040.0</v>
      </c>
      <c r="D3014" s="31"/>
      <c r="E3014" s="74"/>
      <c r="F3014" s="46" t="s">
        <v>28349</v>
      </c>
      <c r="G3014" s="75"/>
      <c r="H3014" s="74"/>
      <c r="K3014" s="43"/>
    </row>
    <row r="3015">
      <c r="A3015" s="55"/>
      <c r="B3015" s="33" t="s">
        <v>28445</v>
      </c>
      <c r="C3015" s="42">
        <v>6640.0</v>
      </c>
      <c r="D3015" s="31"/>
      <c r="E3015" s="74"/>
      <c r="F3015" s="46" t="s">
        <v>28349</v>
      </c>
      <c r="G3015" s="75"/>
      <c r="H3015" s="74"/>
      <c r="K3015" s="43"/>
    </row>
    <row r="3016">
      <c r="A3016" s="55"/>
      <c r="B3016" s="33" t="s">
        <v>28446</v>
      </c>
      <c r="C3016" s="42">
        <v>6000.0</v>
      </c>
      <c r="D3016" s="31"/>
      <c r="E3016" s="74"/>
      <c r="F3016" s="46" t="s">
        <v>28349</v>
      </c>
      <c r="G3016" s="75"/>
      <c r="H3016" s="74"/>
      <c r="K3016" s="43"/>
    </row>
    <row r="3017">
      <c r="A3017" s="55"/>
      <c r="B3017" s="33" t="s">
        <v>28449</v>
      </c>
      <c r="C3017" s="42">
        <v>21680.0</v>
      </c>
      <c r="D3017" s="31"/>
      <c r="E3017" s="74"/>
      <c r="F3017" s="46" t="s">
        <v>28349</v>
      </c>
      <c r="G3017" s="75"/>
      <c r="H3017" s="74"/>
      <c r="K3017" s="43"/>
    </row>
    <row r="3018">
      <c r="A3018" s="55"/>
      <c r="B3018" s="33" t="s">
        <v>28452</v>
      </c>
      <c r="C3018" s="42">
        <v>12120.0</v>
      </c>
      <c r="D3018" s="31"/>
      <c r="E3018" s="74"/>
      <c r="F3018" s="46" t="s">
        <v>28349</v>
      </c>
      <c r="G3018" s="75"/>
      <c r="H3018" s="74"/>
      <c r="K3018" s="43"/>
    </row>
    <row r="3019">
      <c r="A3019" s="55"/>
      <c r="B3019" s="33" t="s">
        <v>28454</v>
      </c>
      <c r="C3019" s="42">
        <v>27120.0</v>
      </c>
      <c r="D3019" s="31"/>
      <c r="E3019" s="74"/>
      <c r="F3019" s="46" t="s">
        <v>28349</v>
      </c>
      <c r="G3019" s="75"/>
      <c r="H3019" s="74"/>
      <c r="K3019" s="43"/>
    </row>
    <row r="3020">
      <c r="A3020" s="55"/>
      <c r="B3020" s="33" t="s">
        <v>28456</v>
      </c>
      <c r="C3020" s="42">
        <v>7880.0</v>
      </c>
      <c r="D3020" s="31"/>
      <c r="E3020" s="74"/>
      <c r="F3020" s="46" t="s">
        <v>28349</v>
      </c>
      <c r="G3020" s="75"/>
      <c r="H3020" s="74"/>
      <c r="K3020" s="43"/>
    </row>
    <row r="3021">
      <c r="A3021" s="55"/>
      <c r="B3021" s="33" t="s">
        <v>28461</v>
      </c>
      <c r="C3021" s="42">
        <v>6720.0</v>
      </c>
      <c r="D3021" s="31"/>
      <c r="E3021" s="74"/>
      <c r="F3021" s="46" t="s">
        <v>28349</v>
      </c>
      <c r="G3021" s="75"/>
      <c r="H3021" s="74"/>
      <c r="K3021" s="43"/>
    </row>
    <row r="3022">
      <c r="A3022" s="55"/>
      <c r="B3022" s="33" t="s">
        <v>28464</v>
      </c>
      <c r="C3022" s="42">
        <v>19280.0</v>
      </c>
      <c r="D3022" s="31"/>
      <c r="E3022" s="74"/>
      <c r="F3022" s="46" t="s">
        <v>28349</v>
      </c>
      <c r="G3022" s="75"/>
      <c r="H3022" s="74"/>
      <c r="K3022" s="43"/>
    </row>
    <row r="3023">
      <c r="A3023" s="55"/>
      <c r="B3023" s="33" t="s">
        <v>28467</v>
      </c>
      <c r="C3023" s="42">
        <v>5960.0</v>
      </c>
      <c r="D3023" s="31"/>
      <c r="E3023" s="74"/>
      <c r="F3023" s="46" t="s">
        <v>28349</v>
      </c>
      <c r="G3023" s="75"/>
      <c r="H3023" s="74"/>
      <c r="K3023" s="43"/>
    </row>
    <row r="3024">
      <c r="A3024" s="55"/>
      <c r="B3024" s="33" t="s">
        <v>28470</v>
      </c>
      <c r="C3024" s="42">
        <v>6080.0</v>
      </c>
      <c r="D3024" s="31"/>
      <c r="E3024" s="74"/>
      <c r="F3024" s="46" t="s">
        <v>28349</v>
      </c>
      <c r="G3024" s="75"/>
      <c r="H3024" s="74"/>
      <c r="K3024" s="43"/>
    </row>
    <row r="3025">
      <c r="A3025" s="55"/>
      <c r="B3025" s="33" t="s">
        <v>28474</v>
      </c>
      <c r="C3025" s="42">
        <v>11600.0</v>
      </c>
      <c r="D3025" s="31"/>
      <c r="E3025" s="74"/>
      <c r="F3025" s="46" t="s">
        <v>28349</v>
      </c>
      <c r="G3025" s="75"/>
      <c r="H3025" s="74"/>
      <c r="K3025" s="43"/>
    </row>
    <row r="3026">
      <c r="A3026" s="55"/>
      <c r="B3026" s="33" t="s">
        <v>28477</v>
      </c>
      <c r="C3026" s="42">
        <v>13880.0</v>
      </c>
      <c r="D3026" s="31"/>
      <c r="E3026" s="74"/>
      <c r="F3026" s="46" t="s">
        <v>28349</v>
      </c>
      <c r="G3026" s="75"/>
      <c r="H3026" s="74"/>
      <c r="K3026" s="43"/>
    </row>
    <row r="3027">
      <c r="A3027" s="55"/>
      <c r="B3027" s="33" t="s">
        <v>28481</v>
      </c>
      <c r="C3027" s="42">
        <v>20080.0</v>
      </c>
      <c r="D3027" s="31"/>
      <c r="E3027" s="74"/>
      <c r="F3027" s="46" t="s">
        <v>28349</v>
      </c>
      <c r="G3027" s="75"/>
      <c r="H3027" s="74"/>
      <c r="K3027" s="43"/>
    </row>
    <row r="3028">
      <c r="A3028" s="55"/>
      <c r="B3028" s="33" t="s">
        <v>28484</v>
      </c>
      <c r="C3028" s="42">
        <v>11480.0</v>
      </c>
      <c r="D3028" s="31"/>
      <c r="E3028" s="74"/>
      <c r="F3028" s="46" t="s">
        <v>28349</v>
      </c>
      <c r="G3028" s="75"/>
      <c r="H3028" s="74"/>
      <c r="K3028" s="43"/>
    </row>
    <row r="3029">
      <c r="A3029" s="55"/>
      <c r="B3029" s="33" t="s">
        <v>28488</v>
      </c>
      <c r="C3029" s="42">
        <v>30200.0</v>
      </c>
      <c r="D3029" s="31"/>
      <c r="E3029" s="74"/>
      <c r="F3029" s="46" t="s">
        <v>28349</v>
      </c>
      <c r="G3029" s="75"/>
      <c r="H3029" s="74"/>
      <c r="K3029" s="43"/>
    </row>
    <row r="3030">
      <c r="A3030" s="55"/>
      <c r="B3030" s="33" t="s">
        <v>28491</v>
      </c>
      <c r="C3030" s="42">
        <v>11360.0</v>
      </c>
      <c r="D3030" s="31"/>
      <c r="E3030" s="74"/>
      <c r="F3030" s="46" t="s">
        <v>28349</v>
      </c>
      <c r="G3030" s="75"/>
      <c r="H3030" s="74"/>
      <c r="K3030" s="43"/>
    </row>
    <row r="3031">
      <c r="A3031" s="55"/>
      <c r="B3031" s="33" t="s">
        <v>28494</v>
      </c>
      <c r="C3031" s="42">
        <v>9080.0</v>
      </c>
      <c r="D3031" s="31"/>
      <c r="E3031" s="74"/>
      <c r="F3031" s="46" t="s">
        <v>28349</v>
      </c>
      <c r="G3031" s="75"/>
      <c r="H3031" s="74"/>
      <c r="K3031" s="43"/>
    </row>
    <row r="3032">
      <c r="A3032" s="55"/>
      <c r="B3032" s="33" t="s">
        <v>28499</v>
      </c>
      <c r="C3032" s="42">
        <v>24720.0</v>
      </c>
      <c r="D3032" s="31"/>
      <c r="E3032" s="74"/>
      <c r="F3032" s="46" t="s">
        <v>28349</v>
      </c>
      <c r="G3032" s="75"/>
      <c r="H3032" s="74"/>
      <c r="K3032" s="43"/>
    </row>
    <row r="3033">
      <c r="A3033" s="55"/>
      <c r="B3033" s="33" t="s">
        <v>28501</v>
      </c>
      <c r="C3033" s="42">
        <v>3400.0</v>
      </c>
      <c r="D3033" s="31"/>
      <c r="E3033" s="74"/>
      <c r="F3033" s="46" t="s">
        <v>28349</v>
      </c>
      <c r="G3033" s="75"/>
      <c r="H3033" s="74"/>
      <c r="K3033" s="43"/>
    </row>
    <row r="3034">
      <c r="A3034" s="55"/>
      <c r="B3034" s="33" t="s">
        <v>28504</v>
      </c>
      <c r="C3034" s="42">
        <v>2560.0</v>
      </c>
      <c r="D3034" s="31"/>
      <c r="E3034" s="74"/>
      <c r="F3034" s="46" t="s">
        <v>28349</v>
      </c>
      <c r="G3034" s="75"/>
      <c r="H3034" s="74"/>
      <c r="K3034" s="43"/>
    </row>
    <row r="3035">
      <c r="A3035" s="55"/>
      <c r="B3035" s="33" t="s">
        <v>28507</v>
      </c>
      <c r="C3035" s="42">
        <v>2560.0</v>
      </c>
      <c r="D3035" s="31"/>
      <c r="E3035" s="74"/>
      <c r="F3035" s="46" t="s">
        <v>28349</v>
      </c>
      <c r="G3035" s="75"/>
      <c r="H3035" s="74"/>
      <c r="K3035" s="43"/>
    </row>
    <row r="3036">
      <c r="A3036" s="55"/>
      <c r="B3036" s="33" t="s">
        <v>28511</v>
      </c>
      <c r="C3036" s="42">
        <v>3840.0</v>
      </c>
      <c r="D3036" s="31"/>
      <c r="E3036" s="74"/>
      <c r="F3036" s="46" t="s">
        <v>28349</v>
      </c>
      <c r="G3036" s="75"/>
      <c r="H3036" s="74"/>
      <c r="K3036" s="43"/>
    </row>
    <row r="3037">
      <c r="A3037" s="55"/>
      <c r="B3037" s="33" t="s">
        <v>28514</v>
      </c>
      <c r="C3037" s="42">
        <v>3840.0</v>
      </c>
      <c r="D3037" s="31"/>
      <c r="E3037" s="74"/>
      <c r="F3037" s="46" t="s">
        <v>28349</v>
      </c>
      <c r="G3037" s="75"/>
      <c r="H3037" s="74"/>
      <c r="K3037" s="43"/>
    </row>
    <row r="3038">
      <c r="A3038" s="55"/>
      <c r="B3038" s="33" t="s">
        <v>28517</v>
      </c>
      <c r="C3038" s="42">
        <v>4440.0</v>
      </c>
      <c r="D3038" s="31"/>
      <c r="E3038" s="74"/>
      <c r="F3038" s="46" t="s">
        <v>28349</v>
      </c>
      <c r="G3038" s="75"/>
      <c r="H3038" s="74"/>
      <c r="K3038" s="43"/>
    </row>
    <row r="3039">
      <c r="A3039" s="55"/>
      <c r="B3039" s="33" t="s">
        <v>28520</v>
      </c>
      <c r="C3039" s="42">
        <v>4440.0</v>
      </c>
      <c r="D3039" s="31"/>
      <c r="E3039" s="74"/>
      <c r="F3039" s="46" t="s">
        <v>28349</v>
      </c>
      <c r="G3039" s="75"/>
      <c r="H3039" s="74"/>
      <c r="K3039" s="43"/>
    </row>
    <row r="3040">
      <c r="A3040" s="55"/>
      <c r="B3040" s="33" t="s">
        <v>28524</v>
      </c>
      <c r="C3040" s="42">
        <v>19280.0</v>
      </c>
      <c r="D3040" s="31"/>
      <c r="E3040" s="74"/>
      <c r="F3040" s="46" t="s">
        <v>28349</v>
      </c>
      <c r="G3040" s="75"/>
      <c r="H3040" s="74"/>
      <c r="K3040" s="43"/>
    </row>
    <row r="3041">
      <c r="A3041" s="55"/>
      <c r="B3041" s="33" t="s">
        <v>28527</v>
      </c>
      <c r="C3041" s="42">
        <v>2480.0</v>
      </c>
      <c r="D3041" s="31"/>
      <c r="E3041" s="74"/>
      <c r="F3041" s="46" t="s">
        <v>28349</v>
      </c>
      <c r="G3041" s="75"/>
      <c r="H3041" s="74"/>
      <c r="K3041" s="43"/>
    </row>
    <row r="3042">
      <c r="A3042" s="55"/>
      <c r="B3042" s="33" t="s">
        <v>28530</v>
      </c>
      <c r="C3042" s="42">
        <v>2480.0</v>
      </c>
      <c r="D3042" s="31"/>
      <c r="E3042" s="74"/>
      <c r="F3042" s="46" t="s">
        <v>28349</v>
      </c>
      <c r="G3042" s="75"/>
      <c r="H3042" s="74"/>
      <c r="K3042" s="43"/>
    </row>
    <row r="3043">
      <c r="A3043" s="55"/>
      <c r="B3043" s="33" t="s">
        <v>28533</v>
      </c>
      <c r="C3043" s="42">
        <v>18000.0</v>
      </c>
      <c r="D3043" s="31"/>
      <c r="E3043" s="74"/>
      <c r="F3043" s="46" t="s">
        <v>28349</v>
      </c>
      <c r="G3043" s="75"/>
      <c r="H3043" s="74"/>
      <c r="K3043" s="43"/>
    </row>
    <row r="3044">
      <c r="A3044" s="55"/>
      <c r="B3044" s="33" t="s">
        <v>28537</v>
      </c>
      <c r="C3044" s="42">
        <v>4800.0</v>
      </c>
      <c r="D3044" s="31"/>
      <c r="E3044" s="74"/>
      <c r="F3044" s="46" t="s">
        <v>28349</v>
      </c>
      <c r="G3044" s="75"/>
      <c r="H3044" s="74"/>
      <c r="K3044" s="43"/>
    </row>
    <row r="3045">
      <c r="A3045" s="55"/>
      <c r="B3045" s="33" t="s">
        <v>28540</v>
      </c>
      <c r="C3045" s="42">
        <v>7051.0</v>
      </c>
      <c r="D3045" s="31"/>
      <c r="E3045" s="74"/>
      <c r="F3045" s="46" t="s">
        <v>28349</v>
      </c>
      <c r="G3045" s="75"/>
      <c r="H3045" s="74"/>
      <c r="K3045" s="43"/>
    </row>
    <row r="3046">
      <c r="A3046" s="55"/>
      <c r="B3046" s="33" t="s">
        <v>28542</v>
      </c>
      <c r="C3046" s="42">
        <v>9480.0</v>
      </c>
      <c r="D3046" s="31"/>
      <c r="E3046" s="74"/>
      <c r="F3046" s="46" t="s">
        <v>28349</v>
      </c>
      <c r="G3046" s="75"/>
      <c r="H3046" s="74"/>
      <c r="K3046" s="43"/>
    </row>
    <row r="3047">
      <c r="A3047" s="55"/>
      <c r="B3047" s="33" t="s">
        <v>28546</v>
      </c>
      <c r="C3047" s="42">
        <v>4520.0</v>
      </c>
      <c r="D3047" s="31"/>
      <c r="E3047" s="74"/>
      <c r="F3047" s="46" t="s">
        <v>28349</v>
      </c>
      <c r="G3047" s="75"/>
      <c r="H3047" s="74"/>
      <c r="K3047" s="43"/>
    </row>
    <row r="3048">
      <c r="A3048" s="55"/>
      <c r="B3048" s="33" t="s">
        <v>28549</v>
      </c>
      <c r="C3048" s="42">
        <v>9480.0</v>
      </c>
      <c r="D3048" s="31"/>
      <c r="E3048" s="74"/>
      <c r="F3048" s="46" t="s">
        <v>28349</v>
      </c>
      <c r="G3048" s="75"/>
      <c r="H3048" s="74"/>
      <c r="K3048" s="43"/>
    </row>
    <row r="3049">
      <c r="A3049" s="55"/>
      <c r="B3049" s="33" t="s">
        <v>28552</v>
      </c>
      <c r="C3049" s="42">
        <v>4440.0</v>
      </c>
      <c r="D3049" s="31"/>
      <c r="E3049" s="74"/>
      <c r="F3049" s="46" t="s">
        <v>28349</v>
      </c>
      <c r="G3049" s="75"/>
      <c r="H3049" s="74"/>
      <c r="K3049" s="43"/>
    </row>
    <row r="3050">
      <c r="A3050" s="55"/>
      <c r="B3050" s="33" t="s">
        <v>28555</v>
      </c>
      <c r="C3050" s="42">
        <v>7880.0</v>
      </c>
      <c r="D3050" s="31"/>
      <c r="E3050" s="74"/>
      <c r="F3050" s="46" t="s">
        <v>28349</v>
      </c>
      <c r="G3050" s="75"/>
      <c r="H3050" s="74"/>
      <c r="K3050" s="43"/>
    </row>
    <row r="3051">
      <c r="A3051" s="55"/>
      <c r="B3051" s="33" t="s">
        <v>28562</v>
      </c>
      <c r="C3051" s="42">
        <v>14880.0</v>
      </c>
      <c r="D3051" s="31"/>
      <c r="E3051" s="74"/>
      <c r="F3051" s="46" t="s">
        <v>28349</v>
      </c>
      <c r="G3051" s="75"/>
      <c r="H3051" s="74"/>
      <c r="K3051" s="43"/>
    </row>
    <row r="3052">
      <c r="A3052" s="55"/>
      <c r="B3052" s="33" t="s">
        <v>28565</v>
      </c>
      <c r="C3052" s="42">
        <v>10440.0</v>
      </c>
      <c r="D3052" s="31"/>
      <c r="E3052" s="74"/>
      <c r="F3052" s="46" t="s">
        <v>28349</v>
      </c>
      <c r="G3052" s="75"/>
      <c r="H3052" s="74"/>
      <c r="K3052" s="43"/>
    </row>
    <row r="3053">
      <c r="A3053" s="55"/>
      <c r="B3053" s="33" t="s">
        <v>28569</v>
      </c>
      <c r="C3053" s="42">
        <v>2080.0</v>
      </c>
      <c r="D3053" s="31"/>
      <c r="E3053" s="74"/>
      <c r="F3053" s="46" t="s">
        <v>28349</v>
      </c>
      <c r="G3053" s="75"/>
      <c r="H3053" s="74"/>
      <c r="K3053" s="43"/>
    </row>
    <row r="3054">
      <c r="A3054" s="55"/>
      <c r="B3054" s="33" t="s">
        <v>28572</v>
      </c>
      <c r="C3054" s="42">
        <v>5400.0</v>
      </c>
      <c r="D3054" s="31"/>
      <c r="E3054" s="74"/>
      <c r="F3054" s="46" t="s">
        <v>28349</v>
      </c>
      <c r="G3054" s="75"/>
      <c r="H3054" s="74"/>
      <c r="K3054" s="43"/>
    </row>
    <row r="3055">
      <c r="A3055" s="55"/>
      <c r="B3055" s="33" t="s">
        <v>28576</v>
      </c>
      <c r="C3055" s="42">
        <v>4520.0</v>
      </c>
      <c r="D3055" s="31"/>
      <c r="E3055" s="74"/>
      <c r="F3055" s="46" t="s">
        <v>28349</v>
      </c>
      <c r="G3055" s="75"/>
      <c r="H3055" s="74"/>
      <c r="K3055" s="43"/>
    </row>
    <row r="3056">
      <c r="A3056" s="55"/>
      <c r="B3056" s="33" t="s">
        <v>28579</v>
      </c>
      <c r="C3056" s="42">
        <v>2480.0</v>
      </c>
      <c r="D3056" s="31"/>
      <c r="E3056" s="74"/>
      <c r="F3056" s="46" t="s">
        <v>28349</v>
      </c>
      <c r="G3056" s="75"/>
      <c r="H3056" s="74"/>
      <c r="K3056" s="43"/>
    </row>
    <row r="3057">
      <c r="A3057" s="55"/>
      <c r="B3057" s="33" t="s">
        <v>28582</v>
      </c>
      <c r="C3057" s="42">
        <v>12080.0</v>
      </c>
      <c r="D3057" s="31"/>
      <c r="E3057" s="74"/>
      <c r="F3057" s="46" t="s">
        <v>28349</v>
      </c>
      <c r="G3057" s="75"/>
      <c r="H3057" s="74"/>
      <c r="K3057" s="43"/>
    </row>
    <row r="3058">
      <c r="A3058" s="55"/>
      <c r="B3058" s="33" t="s">
        <v>28586</v>
      </c>
      <c r="C3058" s="42">
        <v>12080.0</v>
      </c>
      <c r="D3058" s="31"/>
      <c r="E3058" s="74"/>
      <c r="F3058" s="46" t="s">
        <v>28349</v>
      </c>
      <c r="G3058" s="75"/>
      <c r="H3058" s="74"/>
      <c r="K3058" s="43"/>
    </row>
    <row r="3059">
      <c r="A3059" s="55"/>
      <c r="B3059" s="33" t="s">
        <v>28589</v>
      </c>
      <c r="C3059" s="42">
        <v>4800.0</v>
      </c>
      <c r="D3059" s="31"/>
      <c r="E3059" s="74"/>
      <c r="F3059" s="46" t="s">
        <v>28349</v>
      </c>
      <c r="G3059" s="75"/>
      <c r="H3059" s="74"/>
      <c r="K3059" s="43"/>
    </row>
    <row r="3060">
      <c r="A3060" s="55"/>
      <c r="B3060" s="33" t="s">
        <v>28592</v>
      </c>
      <c r="C3060" s="42">
        <v>25680.0</v>
      </c>
      <c r="D3060" s="31"/>
      <c r="E3060" s="74"/>
      <c r="F3060" s="46" t="s">
        <v>28349</v>
      </c>
      <c r="G3060" s="75"/>
      <c r="H3060" s="74"/>
      <c r="K3060" s="43"/>
    </row>
    <row r="3061">
      <c r="A3061" s="55"/>
      <c r="B3061" s="33" t="s">
        <v>28596</v>
      </c>
      <c r="C3061" s="42">
        <v>12080.0</v>
      </c>
      <c r="D3061" s="31"/>
      <c r="E3061" s="74"/>
      <c r="F3061" s="46" t="s">
        <v>28349</v>
      </c>
      <c r="G3061" s="75"/>
      <c r="H3061" s="74"/>
      <c r="K3061" s="43"/>
    </row>
    <row r="3062">
      <c r="A3062" s="55"/>
      <c r="B3062" s="33" t="s">
        <v>28601</v>
      </c>
      <c r="C3062" s="42">
        <v>8040.0</v>
      </c>
      <c r="D3062" s="31"/>
      <c r="E3062" s="74"/>
      <c r="F3062" s="46" t="s">
        <v>28349</v>
      </c>
      <c r="G3062" s="75"/>
      <c r="H3062" s="74"/>
      <c r="K3062" s="43"/>
    </row>
    <row r="3063">
      <c r="A3063" s="55"/>
      <c r="B3063" s="33" t="s">
        <v>28604</v>
      </c>
      <c r="C3063" s="42">
        <v>11320.0</v>
      </c>
      <c r="D3063" s="31"/>
      <c r="E3063" s="74"/>
      <c r="F3063" s="46" t="s">
        <v>28349</v>
      </c>
      <c r="G3063" s="75"/>
      <c r="H3063" s="74"/>
      <c r="K3063" s="43"/>
    </row>
    <row r="3064">
      <c r="A3064" s="55"/>
      <c r="B3064" s="33" t="s">
        <v>28607</v>
      </c>
      <c r="C3064" s="42">
        <v>5280.0</v>
      </c>
      <c r="D3064" s="31"/>
      <c r="E3064" s="74"/>
      <c r="F3064" s="46" t="s">
        <v>28349</v>
      </c>
      <c r="G3064" s="75"/>
      <c r="H3064" s="74"/>
      <c r="K3064" s="43"/>
    </row>
    <row r="3065">
      <c r="A3065" s="55"/>
      <c r="B3065" s="33" t="s">
        <v>28611</v>
      </c>
      <c r="C3065" s="42">
        <v>12680.0</v>
      </c>
      <c r="D3065" s="31"/>
      <c r="E3065" s="74"/>
      <c r="F3065" s="46" t="s">
        <v>28349</v>
      </c>
      <c r="G3065" s="75"/>
      <c r="H3065" s="74"/>
      <c r="K3065" s="43"/>
    </row>
    <row r="3066">
      <c r="A3066" s="55"/>
      <c r="B3066" s="33" t="s">
        <v>28615</v>
      </c>
      <c r="C3066" s="42">
        <v>7680.0</v>
      </c>
      <c r="D3066" s="31"/>
      <c r="E3066" s="74"/>
      <c r="F3066" s="46" t="s">
        <v>28349</v>
      </c>
      <c r="G3066" s="75"/>
      <c r="H3066" s="74"/>
      <c r="K3066" s="43"/>
    </row>
    <row r="3067">
      <c r="A3067" s="55"/>
      <c r="B3067" s="33" t="s">
        <v>28618</v>
      </c>
      <c r="C3067" s="42">
        <v>71680.0</v>
      </c>
      <c r="D3067" s="31"/>
      <c r="E3067" s="74"/>
      <c r="F3067" s="46" t="s">
        <v>28349</v>
      </c>
      <c r="G3067" s="75"/>
      <c r="H3067" s="74"/>
      <c r="K3067" s="43"/>
    </row>
    <row r="3068">
      <c r="A3068" s="55"/>
      <c r="B3068" s="33" t="s">
        <v>28620</v>
      </c>
      <c r="C3068" s="42">
        <v>20320.0</v>
      </c>
      <c r="D3068" s="31"/>
      <c r="E3068" s="74"/>
      <c r="F3068" s="46" t="s">
        <v>28349</v>
      </c>
      <c r="G3068" s="75"/>
      <c r="H3068" s="74"/>
      <c r="K3068" s="43"/>
    </row>
    <row r="3069">
      <c r="A3069" s="55"/>
      <c r="B3069" s="33" t="s">
        <v>28624</v>
      </c>
      <c r="C3069" s="42">
        <v>15680.0</v>
      </c>
      <c r="D3069" s="31"/>
      <c r="E3069" s="74"/>
      <c r="F3069" s="46" t="s">
        <v>28349</v>
      </c>
      <c r="G3069" s="75"/>
      <c r="H3069" s="74"/>
      <c r="K3069" s="43"/>
    </row>
    <row r="3070">
      <c r="A3070" s="55"/>
      <c r="B3070" s="33" t="s">
        <v>28627</v>
      </c>
      <c r="C3070" s="42">
        <v>9200.0</v>
      </c>
      <c r="D3070" s="31"/>
      <c r="E3070" s="74"/>
      <c r="F3070" s="46" t="s">
        <v>28349</v>
      </c>
      <c r="G3070" s="75"/>
      <c r="H3070" s="74"/>
      <c r="K3070" s="43"/>
    </row>
    <row r="3071">
      <c r="A3071" s="55"/>
      <c r="B3071" s="33" t="s">
        <v>28630</v>
      </c>
      <c r="C3071" s="42">
        <v>5840.0</v>
      </c>
      <c r="D3071" s="31"/>
      <c r="E3071" s="74"/>
      <c r="F3071" s="46" t="s">
        <v>28349</v>
      </c>
      <c r="G3071" s="75"/>
      <c r="H3071" s="74"/>
      <c r="K3071" s="43"/>
    </row>
    <row r="3072">
      <c r="A3072" s="55"/>
      <c r="B3072" s="33" t="s">
        <v>28634</v>
      </c>
      <c r="C3072" s="42">
        <v>20480.0</v>
      </c>
      <c r="D3072" s="31"/>
      <c r="E3072" s="74"/>
      <c r="F3072" s="46" t="s">
        <v>28349</v>
      </c>
      <c r="G3072" s="75"/>
      <c r="H3072" s="74"/>
      <c r="K3072" s="43"/>
    </row>
    <row r="3073">
      <c r="A3073" s="55"/>
      <c r="B3073" s="33" t="s">
        <v>28636</v>
      </c>
      <c r="C3073" s="42">
        <v>8520.0</v>
      </c>
      <c r="D3073" s="31"/>
      <c r="E3073" s="74"/>
      <c r="F3073" s="46" t="s">
        <v>28349</v>
      </c>
      <c r="G3073" s="75"/>
      <c r="H3073" s="74"/>
      <c r="K3073" s="43"/>
    </row>
    <row r="3074">
      <c r="A3074" s="55"/>
      <c r="B3074" s="33" t="s">
        <v>28639</v>
      </c>
      <c r="C3074" s="42">
        <v>15600.0</v>
      </c>
      <c r="D3074" s="31"/>
      <c r="E3074" s="74"/>
      <c r="F3074" s="46" t="s">
        <v>28349</v>
      </c>
      <c r="G3074" s="75"/>
      <c r="H3074" s="74"/>
      <c r="K3074" s="43"/>
    </row>
    <row r="3075">
      <c r="A3075" s="55"/>
      <c r="B3075" s="33" t="s">
        <v>28644</v>
      </c>
      <c r="C3075" s="42">
        <v>32880.0</v>
      </c>
      <c r="D3075" s="31"/>
      <c r="E3075" s="74"/>
      <c r="F3075" s="46" t="s">
        <v>28349</v>
      </c>
      <c r="G3075" s="75"/>
      <c r="H3075" s="74"/>
      <c r="K3075" s="43"/>
    </row>
    <row r="3076">
      <c r="A3076" s="55"/>
      <c r="B3076" s="33" t="s">
        <v>28647</v>
      </c>
      <c r="C3076" s="42">
        <v>5760.0</v>
      </c>
      <c r="D3076" s="31"/>
      <c r="E3076" s="74"/>
      <c r="F3076" s="46" t="s">
        <v>28349</v>
      </c>
      <c r="G3076" s="75"/>
      <c r="H3076" s="74"/>
      <c r="K3076" s="43"/>
    </row>
    <row r="3077">
      <c r="A3077" s="55"/>
      <c r="B3077" s="33" t="s">
        <v>28650</v>
      </c>
      <c r="C3077" s="42">
        <v>5400.0</v>
      </c>
      <c r="D3077" s="31"/>
      <c r="E3077" s="74"/>
      <c r="F3077" s="46" t="s">
        <v>28349</v>
      </c>
      <c r="G3077" s="75"/>
      <c r="H3077" s="74"/>
      <c r="K3077" s="43"/>
    </row>
    <row r="3078">
      <c r="A3078" s="55"/>
      <c r="B3078" s="33" t="s">
        <v>28653</v>
      </c>
      <c r="C3078" s="42">
        <v>1440.0</v>
      </c>
      <c r="D3078" s="31"/>
      <c r="E3078" s="74"/>
      <c r="F3078" s="46" t="s">
        <v>28349</v>
      </c>
      <c r="G3078" s="75"/>
      <c r="H3078" s="74"/>
      <c r="K3078" s="43"/>
    </row>
    <row r="3079">
      <c r="A3079" s="55"/>
      <c r="B3079" s="33" t="s">
        <v>28656</v>
      </c>
      <c r="C3079" s="42">
        <v>9680.0</v>
      </c>
      <c r="D3079" s="31"/>
      <c r="E3079" s="74"/>
      <c r="F3079" s="46" t="s">
        <v>28349</v>
      </c>
      <c r="G3079" s="75"/>
      <c r="H3079" s="74"/>
      <c r="K3079" s="43"/>
    </row>
    <row r="3080">
      <c r="A3080" s="55"/>
      <c r="B3080" s="33" t="s">
        <v>28659</v>
      </c>
      <c r="C3080" s="42">
        <v>25320.0</v>
      </c>
      <c r="D3080" s="31"/>
      <c r="E3080" s="74"/>
      <c r="F3080" s="46" t="s">
        <v>28349</v>
      </c>
      <c r="G3080" s="75"/>
      <c r="H3080" s="74"/>
      <c r="K3080" s="43"/>
    </row>
    <row r="3081">
      <c r="A3081" s="55"/>
      <c r="B3081" s="33" t="s">
        <v>28662</v>
      </c>
      <c r="C3081" s="42">
        <v>36600.0</v>
      </c>
      <c r="D3081" s="31"/>
      <c r="E3081" s="74"/>
      <c r="F3081" s="46" t="s">
        <v>28349</v>
      </c>
      <c r="G3081" s="75"/>
      <c r="H3081" s="74"/>
      <c r="K3081" s="43"/>
    </row>
    <row r="3082">
      <c r="A3082" s="55"/>
      <c r="B3082" s="33" t="s">
        <v>28665</v>
      </c>
      <c r="C3082" s="42">
        <v>36600.0</v>
      </c>
      <c r="D3082" s="31"/>
      <c r="E3082" s="74"/>
      <c r="F3082" s="46" t="s">
        <v>28349</v>
      </c>
      <c r="G3082" s="75"/>
      <c r="H3082" s="74"/>
      <c r="K3082" s="43"/>
    </row>
    <row r="3083">
      <c r="A3083" s="55"/>
      <c r="B3083" s="33" t="s">
        <v>28670</v>
      </c>
      <c r="C3083" s="42">
        <v>46960.0</v>
      </c>
      <c r="D3083" s="31"/>
      <c r="E3083" s="74"/>
      <c r="F3083" s="46" t="s">
        <v>28349</v>
      </c>
      <c r="G3083" s="75"/>
      <c r="H3083" s="74"/>
      <c r="K3083" s="43"/>
    </row>
    <row r="3084">
      <c r="A3084" s="55"/>
      <c r="B3084" s="33" t="s">
        <v>28673</v>
      </c>
      <c r="C3084" s="42">
        <v>23360.0</v>
      </c>
      <c r="D3084" s="31"/>
      <c r="E3084" s="74"/>
      <c r="F3084" s="46" t="s">
        <v>28349</v>
      </c>
      <c r="G3084" s="75"/>
      <c r="H3084" s="74"/>
      <c r="K3084" s="43"/>
    </row>
    <row r="3085">
      <c r="A3085" s="55"/>
      <c r="B3085" s="33" t="s">
        <v>28676</v>
      </c>
      <c r="C3085" s="42">
        <v>24000.0</v>
      </c>
      <c r="D3085" s="31"/>
      <c r="E3085" s="74"/>
      <c r="F3085" s="46" t="s">
        <v>28349</v>
      </c>
      <c r="G3085" s="75"/>
      <c r="H3085" s="74"/>
      <c r="K3085" s="43"/>
    </row>
    <row r="3086">
      <c r="A3086" s="55"/>
      <c r="B3086" s="33" t="s">
        <v>28679</v>
      </c>
      <c r="C3086" s="42">
        <v>68560.0</v>
      </c>
      <c r="D3086" s="31"/>
      <c r="E3086" s="74"/>
      <c r="F3086" s="46" t="s">
        <v>28349</v>
      </c>
      <c r="G3086" s="75"/>
      <c r="H3086" s="74"/>
      <c r="K3086" s="43"/>
    </row>
    <row r="3087">
      <c r="A3087" s="55"/>
      <c r="B3087" s="33" t="s">
        <v>28682</v>
      </c>
      <c r="C3087" s="42">
        <v>31920.0</v>
      </c>
      <c r="D3087" s="31"/>
      <c r="E3087" s="74"/>
      <c r="F3087" s="46" t="s">
        <v>28349</v>
      </c>
      <c r="G3087" s="75"/>
      <c r="H3087" s="74"/>
      <c r="K3087" s="43"/>
    </row>
    <row r="3088">
      <c r="A3088" s="55"/>
      <c r="B3088" s="33" t="s">
        <v>28685</v>
      </c>
      <c r="C3088" s="42">
        <v>72520.0</v>
      </c>
      <c r="D3088" s="31"/>
      <c r="E3088" s="74"/>
      <c r="F3088" s="46" t="s">
        <v>28349</v>
      </c>
      <c r="G3088" s="75"/>
      <c r="H3088" s="74"/>
      <c r="K3088" s="43"/>
    </row>
    <row r="3089">
      <c r="A3089" s="55"/>
      <c r="B3089" s="33" t="s">
        <v>28687</v>
      </c>
      <c r="C3089" s="42">
        <v>5760.0</v>
      </c>
      <c r="D3089" s="31"/>
      <c r="E3089" s="74"/>
      <c r="F3089" s="46" t="s">
        <v>28349</v>
      </c>
      <c r="G3089" s="75"/>
      <c r="H3089" s="74"/>
      <c r="K3089" s="43"/>
    </row>
    <row r="3090">
      <c r="A3090" s="55"/>
      <c r="B3090" s="33" t="s">
        <v>28690</v>
      </c>
      <c r="C3090" s="42">
        <v>32960.0</v>
      </c>
      <c r="D3090" s="31"/>
      <c r="E3090" s="74"/>
      <c r="F3090" s="46" t="s">
        <v>28349</v>
      </c>
      <c r="G3090" s="75"/>
      <c r="H3090" s="74"/>
      <c r="K3090" s="43"/>
    </row>
    <row r="3091">
      <c r="A3091" s="55"/>
      <c r="B3091" s="33" t="s">
        <v>28694</v>
      </c>
      <c r="C3091" s="42">
        <v>5480.0</v>
      </c>
      <c r="D3091" s="31"/>
      <c r="E3091" s="74"/>
      <c r="F3091" s="46" t="s">
        <v>28349</v>
      </c>
      <c r="G3091" s="75"/>
      <c r="H3091" s="74"/>
      <c r="K3091" s="43"/>
    </row>
    <row r="3092">
      <c r="A3092" s="55"/>
      <c r="B3092" s="33" t="s">
        <v>28697</v>
      </c>
      <c r="C3092" s="42">
        <v>5920.0</v>
      </c>
      <c r="D3092" s="31"/>
      <c r="E3092" s="74"/>
      <c r="F3092" s="46" t="s">
        <v>28349</v>
      </c>
      <c r="G3092" s="75"/>
      <c r="H3092" s="74"/>
      <c r="K3092" s="43"/>
    </row>
    <row r="3093">
      <c r="A3093" s="55"/>
      <c r="B3093" s="33" t="s">
        <v>28700</v>
      </c>
      <c r="C3093" s="42">
        <v>17480.0</v>
      </c>
      <c r="D3093" s="31"/>
      <c r="E3093" s="74"/>
      <c r="F3093" s="46" t="s">
        <v>28349</v>
      </c>
      <c r="G3093" s="75"/>
      <c r="H3093" s="74"/>
      <c r="K3093" s="43"/>
    </row>
    <row r="3094">
      <c r="A3094" s="55"/>
      <c r="B3094" s="33" t="s">
        <v>28703</v>
      </c>
      <c r="C3094" s="42">
        <v>12080.0</v>
      </c>
      <c r="D3094" s="31"/>
      <c r="E3094" s="74"/>
      <c r="F3094" s="46" t="s">
        <v>28349</v>
      </c>
      <c r="G3094" s="75"/>
      <c r="H3094" s="74"/>
      <c r="K3094" s="43"/>
    </row>
    <row r="3095">
      <c r="A3095" s="55"/>
      <c r="B3095" s="33" t="s">
        <v>28707</v>
      </c>
      <c r="C3095" s="42">
        <v>15080.0</v>
      </c>
      <c r="D3095" s="31"/>
      <c r="E3095" s="74"/>
      <c r="F3095" s="46" t="s">
        <v>28349</v>
      </c>
      <c r="G3095" s="75"/>
      <c r="H3095" s="74"/>
      <c r="K3095" s="43"/>
    </row>
    <row r="3096">
      <c r="A3096" s="55"/>
      <c r="B3096" s="33" t="s">
        <v>28710</v>
      </c>
      <c r="C3096" s="42">
        <v>18080.0</v>
      </c>
      <c r="D3096" s="31"/>
      <c r="E3096" s="74"/>
      <c r="F3096" s="46" t="s">
        <v>28349</v>
      </c>
      <c r="G3096" s="75"/>
      <c r="H3096" s="74"/>
      <c r="K3096" s="43"/>
    </row>
    <row r="3097">
      <c r="A3097" s="55"/>
      <c r="B3097" s="33" t="s">
        <v>28713</v>
      </c>
      <c r="C3097" s="42">
        <v>7280.0</v>
      </c>
      <c r="D3097" s="31"/>
      <c r="E3097" s="74"/>
      <c r="F3097" s="46" t="s">
        <v>28349</v>
      </c>
      <c r="G3097" s="75"/>
      <c r="H3097" s="74"/>
      <c r="K3097" s="43"/>
    </row>
    <row r="3098">
      <c r="A3098" s="55"/>
      <c r="B3098" s="33" t="s">
        <v>28714</v>
      </c>
      <c r="C3098" s="42">
        <v>26480.0</v>
      </c>
      <c r="D3098" s="31"/>
      <c r="E3098" s="74"/>
      <c r="F3098" s="46" t="s">
        <v>28349</v>
      </c>
      <c r="G3098" s="75"/>
      <c r="H3098" s="74"/>
      <c r="K3098" s="43"/>
    </row>
    <row r="3099">
      <c r="A3099" s="55"/>
      <c r="B3099" s="33" t="s">
        <v>28717</v>
      </c>
      <c r="C3099" s="42">
        <v>25920.0</v>
      </c>
      <c r="D3099" s="31"/>
      <c r="E3099" s="74"/>
      <c r="F3099" s="46" t="s">
        <v>28349</v>
      </c>
      <c r="G3099" s="75"/>
      <c r="H3099" s="74"/>
      <c r="K3099" s="43"/>
    </row>
    <row r="3100">
      <c r="A3100" s="55"/>
      <c r="B3100" s="33" t="s">
        <v>28720</v>
      </c>
      <c r="C3100" s="42">
        <v>5400.0</v>
      </c>
      <c r="D3100" s="31"/>
      <c r="E3100" s="74"/>
      <c r="F3100" s="46" t="s">
        <v>28349</v>
      </c>
      <c r="G3100" s="75"/>
      <c r="H3100" s="74"/>
      <c r="K3100" s="43"/>
    </row>
    <row r="3101">
      <c r="A3101" s="55"/>
      <c r="B3101" s="33" t="s">
        <v>28723</v>
      </c>
      <c r="C3101" s="42">
        <v>5400.0</v>
      </c>
      <c r="D3101" s="31"/>
      <c r="E3101" s="74"/>
      <c r="F3101" s="46" t="s">
        <v>28349</v>
      </c>
      <c r="G3101" s="75"/>
      <c r="H3101" s="74"/>
      <c r="K3101" s="43"/>
    </row>
    <row r="3102">
      <c r="A3102" s="55"/>
      <c r="B3102" s="33" t="s">
        <v>28726</v>
      </c>
      <c r="C3102" s="42">
        <v>9000.0</v>
      </c>
      <c r="D3102" s="31"/>
      <c r="E3102" s="74"/>
      <c r="F3102" s="46" t="s">
        <v>28349</v>
      </c>
      <c r="G3102" s="75"/>
      <c r="H3102" s="74"/>
      <c r="K3102" s="43"/>
    </row>
    <row r="3103">
      <c r="A3103" s="55"/>
      <c r="B3103" s="57" t="s">
        <v>28731</v>
      </c>
      <c r="C3103" s="58">
        <v>7800.0</v>
      </c>
      <c r="D3103" s="70"/>
      <c r="E3103" s="19"/>
      <c r="F3103" s="61" t="s">
        <v>28349</v>
      </c>
      <c r="G3103" s="71"/>
      <c r="H3103" s="19"/>
      <c r="I3103" s="19"/>
      <c r="J3103" s="19"/>
      <c r="K3103" s="64"/>
    </row>
    <row r="3104">
      <c r="A3104" s="12"/>
      <c r="B3104" s="12"/>
      <c r="C3104" s="65"/>
      <c r="D3104" s="34"/>
      <c r="E3104" s="34"/>
      <c r="F3104" s="67"/>
      <c r="G3104" s="67"/>
      <c r="H3104" s="34"/>
      <c r="I3104" s="34"/>
      <c r="J3104" s="34"/>
      <c r="K3104" s="34"/>
    </row>
    <row r="3105">
      <c r="A3105" s="68"/>
      <c r="B3105" s="156" t="s">
        <v>228</v>
      </c>
      <c r="C3105" s="157"/>
      <c r="D3105" s="19"/>
      <c r="E3105" s="19"/>
      <c r="F3105" s="71"/>
      <c r="G3105" s="71"/>
      <c r="H3105" s="19"/>
      <c r="I3105" s="19"/>
      <c r="J3105" s="19"/>
      <c r="K3105" s="19"/>
    </row>
    <row r="3106">
      <c r="A3106" s="82"/>
      <c r="B3106" s="23" t="s">
        <v>28765</v>
      </c>
      <c r="C3106" s="24">
        <v>16684.0</v>
      </c>
      <c r="D3106" s="23" t="s">
        <v>28767</v>
      </c>
      <c r="E3106" s="34"/>
      <c r="F3106" s="36" t="s">
        <v>1348</v>
      </c>
      <c r="G3106" s="67"/>
      <c r="H3106" s="137" t="str">
        <f>HYPERLINK("http://mirror.ff7data.com.ar/ff7/data/minigame/snowboard-us.lgp/bg0a.tex.png","View Picture")</f>
        <v>View Picture</v>
      </c>
      <c r="I3106" s="34"/>
      <c r="J3106" s="34"/>
      <c r="K3106" s="38"/>
    </row>
    <row r="3107">
      <c r="A3107" s="82"/>
      <c r="B3107" s="33" t="s">
        <v>28784</v>
      </c>
      <c r="C3107" s="42">
        <v>16684.0</v>
      </c>
      <c r="D3107" s="33" t="s">
        <v>28786</v>
      </c>
      <c r="E3107" s="74"/>
      <c r="F3107" s="46" t="s">
        <v>1348</v>
      </c>
      <c r="G3107" s="75"/>
      <c r="H3107" s="98" t="str">
        <f>HYPERLINK("http://mirror.ff7data.com.ar/ff7/data/minigame/snowboard-us.lgp/bg0b.tex.png","View Picture")</f>
        <v>View Picture</v>
      </c>
      <c r="K3107" s="43"/>
    </row>
    <row r="3108">
      <c r="A3108" s="82"/>
      <c r="B3108" s="33" t="s">
        <v>28802</v>
      </c>
      <c r="C3108" s="42">
        <v>16684.0</v>
      </c>
      <c r="D3108" s="33" t="s">
        <v>28804</v>
      </c>
      <c r="E3108" s="74"/>
      <c r="F3108" s="46" t="s">
        <v>1348</v>
      </c>
      <c r="G3108" s="75"/>
      <c r="H3108" s="98" t="str">
        <f>HYPERLINK("http://mirror.ff7data.com.ar/ff7/data/minigame/snowboard-us.lgp/bg0c.tex.png","View Picture")</f>
        <v>View Picture</v>
      </c>
      <c r="K3108" s="43"/>
    </row>
    <row r="3109">
      <c r="A3109" s="82"/>
      <c r="B3109" s="33" t="s">
        <v>28817</v>
      </c>
      <c r="C3109" s="42">
        <v>16684.0</v>
      </c>
      <c r="D3109" s="33" t="s">
        <v>28819</v>
      </c>
      <c r="E3109" s="74"/>
      <c r="F3109" s="46" t="s">
        <v>1348</v>
      </c>
      <c r="G3109" s="75"/>
      <c r="H3109" s="98" t="str">
        <f>HYPERLINK("http://mirror.ff7data.com.ar/ff7/data/minigame/snowboard-us.lgp/bg0d.tex.png","View Picture")</f>
        <v>View Picture</v>
      </c>
      <c r="K3109" s="43"/>
    </row>
    <row r="3110">
      <c r="A3110" s="82"/>
      <c r="B3110" s="33" t="s">
        <v>28829</v>
      </c>
      <c r="C3110" s="42">
        <v>16684.0</v>
      </c>
      <c r="D3110" s="33" t="s">
        <v>28831</v>
      </c>
      <c r="E3110" s="74"/>
      <c r="F3110" s="46" t="s">
        <v>1348</v>
      </c>
      <c r="G3110" s="75"/>
      <c r="H3110" s="98" t="str">
        <f>HYPERLINK("http://mirror.ff7data.com.ar/ff7/data/minigame/snowboard-us.lgp/bg0e.tex.png","View Picture")</f>
        <v>View Picture</v>
      </c>
      <c r="K3110" s="43"/>
    </row>
    <row r="3111">
      <c r="A3111" s="82"/>
      <c r="B3111" s="33" t="s">
        <v>28838</v>
      </c>
      <c r="C3111" s="42">
        <v>16684.0</v>
      </c>
      <c r="D3111" s="33" t="s">
        <v>28839</v>
      </c>
      <c r="E3111" s="74"/>
      <c r="F3111" s="46" t="s">
        <v>1348</v>
      </c>
      <c r="G3111" s="75"/>
      <c r="H3111" s="98" t="str">
        <f>HYPERLINK("http://mirror.ff7data.com.ar/ff7/data/minigame/snowboard-us.lgp/bg0f.tex.png","View Picture")</f>
        <v>View Picture</v>
      </c>
      <c r="K3111" s="43"/>
    </row>
    <row r="3112">
      <c r="A3112" s="82"/>
      <c r="B3112" s="33" t="s">
        <v>28844</v>
      </c>
      <c r="C3112" s="42">
        <v>16684.0</v>
      </c>
      <c r="D3112" s="33" t="s">
        <v>28845</v>
      </c>
      <c r="E3112" s="74"/>
      <c r="F3112" s="46" t="s">
        <v>1348</v>
      </c>
      <c r="G3112" s="75"/>
      <c r="H3112" s="98" t="str">
        <f>HYPERLINK("http://mirror.ff7data.com.ar/ff7/data/minigame/snowboard-us.lgp/bg0g.tex.png","View Picture")</f>
        <v>View Picture</v>
      </c>
      <c r="K3112" s="43"/>
    </row>
    <row r="3113">
      <c r="A3113" s="82"/>
      <c r="B3113" s="33" t="s">
        <v>28854</v>
      </c>
      <c r="C3113" s="42">
        <v>16684.0</v>
      </c>
      <c r="D3113" s="33" t="s">
        <v>28856</v>
      </c>
      <c r="E3113" s="74"/>
      <c r="F3113" s="46" t="s">
        <v>1348</v>
      </c>
      <c r="G3113" s="75"/>
      <c r="H3113" s="98" t="str">
        <f>HYPERLINK("http://mirror.ff7data.com.ar/ff7/data/minigame/snowboard-us.lgp/bg0h.tex.png","View Picture")</f>
        <v>View Picture</v>
      </c>
      <c r="K3113" s="43"/>
    </row>
    <row r="3114">
      <c r="A3114" s="82"/>
      <c r="B3114" s="33" t="s">
        <v>28867</v>
      </c>
      <c r="C3114" s="42">
        <v>65836.0</v>
      </c>
      <c r="D3114" s="33" t="s">
        <v>28869</v>
      </c>
      <c r="E3114" s="74"/>
      <c r="F3114" s="46" t="s">
        <v>1348</v>
      </c>
      <c r="G3114" s="75"/>
      <c r="H3114" s="98" t="str">
        <f>HYPERLINK("http://mirror.ff7data.com.ar/ff7/data/minigame/snowboard-us.lgp/cfont.tex.png","EN")</f>
        <v>EN</v>
      </c>
      <c r="I3114" s="98" t="str">
        <f>HYPERLINK("http://mirror.ff7data.com.ar/ff7/es/snowboard/cfont.tex.png","ES")</f>
        <v>ES</v>
      </c>
      <c r="K3114" s="43"/>
    </row>
    <row r="3115">
      <c r="A3115" s="82"/>
      <c r="B3115" s="33" t="s">
        <v>28887</v>
      </c>
      <c r="C3115" s="42">
        <v>8492.0</v>
      </c>
      <c r="D3115" s="33" t="s">
        <v>28890</v>
      </c>
      <c r="E3115" s="74"/>
      <c r="F3115" s="46" t="s">
        <v>1348</v>
      </c>
      <c r="G3115" s="46" t="s">
        <v>28892</v>
      </c>
      <c r="H3115" s="98" t="str">
        <f>HYPERLINK("http://mirror.ff7data.com.ar/ff7/data/minigame/snowboard-us.lgp/ea_k.tex.png","EN")</f>
        <v>EN</v>
      </c>
      <c r="I3115" s="98" t="str">
        <f>HYPERLINK("http://mirror.ff7data.com.ar/ff7/es/snowboard/sa_k.tex.png","ES")</f>
        <v>ES</v>
      </c>
      <c r="K3115" s="43"/>
    </row>
    <row r="3116">
      <c r="A3116" s="82"/>
      <c r="B3116" s="33" t="s">
        <v>28906</v>
      </c>
      <c r="C3116" s="42">
        <v>8492.0</v>
      </c>
      <c r="D3116" s="33" t="s">
        <v>28908</v>
      </c>
      <c r="E3116" s="74"/>
      <c r="F3116" s="46" t="s">
        <v>1348</v>
      </c>
      <c r="G3116" s="46" t="s">
        <v>28892</v>
      </c>
      <c r="H3116" s="98" t="str">
        <f>HYPERLINK("http://mirror.ff7data.com.ar/ff7/data/minigame/snowboard-us.lgp/eb_k.tex.png","EN")</f>
        <v>EN</v>
      </c>
      <c r="I3116" s="98" t="str">
        <f>HYPERLINK("http://mirror.ff7data.com.ar/ff7/es/snowboard/sb_k.tex.png","ES")</f>
        <v>ES</v>
      </c>
      <c r="K3116" s="43"/>
    </row>
    <row r="3117">
      <c r="A3117" s="82"/>
      <c r="B3117" s="33" t="s">
        <v>28920</v>
      </c>
      <c r="C3117" s="42">
        <v>8492.0</v>
      </c>
      <c r="D3117" s="33" t="s">
        <v>28922</v>
      </c>
      <c r="E3117" s="74"/>
      <c r="F3117" s="46" t="s">
        <v>1348</v>
      </c>
      <c r="G3117" s="46" t="s">
        <v>28892</v>
      </c>
      <c r="H3117" s="98" t="str">
        <f>HYPERLINK("http://mirror.ff7data.com.ar/ff7/data/minigame/snowboard-us.lgp/ec_k.tex.png","EN")</f>
        <v>EN</v>
      </c>
      <c r="I3117" s="98" t="str">
        <f>HYPERLINK("http://mirror.ff7data.com.ar/ff7/es/snowboard/sc_k.tex.png","ES")</f>
        <v>ES</v>
      </c>
      <c r="K3117" s="43"/>
    </row>
    <row r="3118">
      <c r="A3118" s="82"/>
      <c r="B3118" s="33" t="s">
        <v>28937</v>
      </c>
      <c r="C3118" s="42">
        <v>8492.0</v>
      </c>
      <c r="D3118" s="33" t="s">
        <v>28939</v>
      </c>
      <c r="E3118" s="74"/>
      <c r="F3118" s="46" t="s">
        <v>1348</v>
      </c>
      <c r="G3118" s="46" t="s">
        <v>28892</v>
      </c>
      <c r="H3118" s="98" t="str">
        <f>HYPERLINK("http://mirror.ff7data.com.ar/ff7/data/minigame/snowboard-us.lgp/eg_k.tex.png","EN")</f>
        <v>EN</v>
      </c>
      <c r="I3118" s="98" t="str">
        <f>HYPERLINK("http://mirror.ff7data.com.ar/ff7/es/snowboard/sg_k.tex.png","ES")</f>
        <v>ES</v>
      </c>
      <c r="K3118" s="43"/>
    </row>
    <row r="3119">
      <c r="A3119" s="82"/>
      <c r="B3119" s="33" t="s">
        <v>28955</v>
      </c>
      <c r="C3119" s="42">
        <v>8492.0</v>
      </c>
      <c r="D3119" s="33" t="s">
        <v>28958</v>
      </c>
      <c r="E3119" s="74"/>
      <c r="F3119" s="46" t="s">
        <v>1348</v>
      </c>
      <c r="G3119" s="46" t="s">
        <v>28892</v>
      </c>
      <c r="H3119" s="98" t="str">
        <f>HYPERLINK("http://mirror.ff7data.com.ar/ff7/data/minigame/snowboard-us.lgp/eita_k.tex.png","EN")</f>
        <v>EN</v>
      </c>
      <c r="I3119" s="98" t="str">
        <f>HYPERLINK("http://mirror.ff7data.com.ar/ff7/es/snowboard/seita_k.tex.png","ES")</f>
        <v>ES</v>
      </c>
      <c r="K3119" s="43"/>
    </row>
    <row r="3120">
      <c r="A3120" s="82"/>
      <c r="B3120" s="33" t="s">
        <v>28971</v>
      </c>
      <c r="C3120" s="42">
        <v>65836.0</v>
      </c>
      <c r="D3120" s="33" t="s">
        <v>28973</v>
      </c>
      <c r="E3120" s="74"/>
      <c r="F3120" s="46" t="s">
        <v>1348</v>
      </c>
      <c r="G3120" s="46" t="s">
        <v>28892</v>
      </c>
      <c r="H3120" s="98" t="str">
        <f>HYPERLINK("http://mirror.ff7data.com.ar/ff7/data/minigame/snowboard-us.lgp/estamp0.tex.png","EN")</f>
        <v>EN</v>
      </c>
      <c r="I3120" s="98" t="str">
        <f>HYPERLINK("http://mirror.ff7data.com.ar/ff7/es/snowboard/sstamp0.tex.png","ES")</f>
        <v>ES</v>
      </c>
      <c r="K3120" s="43"/>
    </row>
    <row r="3121">
      <c r="A3121" s="82"/>
      <c r="B3121" s="33" t="s">
        <v>28984</v>
      </c>
      <c r="C3121" s="42">
        <v>65836.0</v>
      </c>
      <c r="D3121" s="33" t="s">
        <v>28986</v>
      </c>
      <c r="E3121" s="74"/>
      <c r="F3121" s="46" t="s">
        <v>1348</v>
      </c>
      <c r="G3121" s="46" t="s">
        <v>28892</v>
      </c>
      <c r="H3121" s="98" t="str">
        <f>HYPERLINK("http://mirror.ff7data.com.ar/ff7/data/minigame/snowboard-us.lgp/estamp1.tex.png","EN")</f>
        <v>EN</v>
      </c>
      <c r="I3121" s="98" t="str">
        <f>HYPERLINK("http://mirror.ff7data.com.ar/ff7/es/snowboard/sstamp1.tex.png","ES")</f>
        <v>ES</v>
      </c>
      <c r="K3121" s="43"/>
    </row>
    <row r="3122">
      <c r="A3122" s="82"/>
      <c r="B3122" s="33" t="s">
        <v>28998</v>
      </c>
      <c r="C3122" s="42">
        <v>4396.0</v>
      </c>
      <c r="D3122" s="33" t="s">
        <v>28999</v>
      </c>
      <c r="E3122" s="74"/>
      <c r="F3122" s="46" t="s">
        <v>1348</v>
      </c>
      <c r="G3122" s="75"/>
      <c r="H3122" s="98" t="str">
        <f>HYPERLINK("http://mirror.ff7data.com.ar/ff7/data/minigame/snowboard-us.lgp/eyes.tex.png","View Picture")</f>
        <v>View Picture</v>
      </c>
      <c r="K3122" s="43"/>
    </row>
    <row r="3123">
      <c r="A3123" s="55"/>
      <c r="B3123" s="33" t="s">
        <v>29006</v>
      </c>
      <c r="C3123" s="42">
        <v>488308.0</v>
      </c>
      <c r="D3123" s="31"/>
      <c r="E3123" s="74"/>
      <c r="F3123" s="75"/>
      <c r="G3123" s="75"/>
      <c r="H3123" s="74"/>
      <c r="K3123" s="43"/>
    </row>
    <row r="3124">
      <c r="A3124" s="55"/>
      <c r="B3124" s="33" t="s">
        <v>29009</v>
      </c>
      <c r="C3124" s="42">
        <v>521860.0</v>
      </c>
      <c r="D3124" s="31"/>
      <c r="E3124" s="74"/>
      <c r="F3124" s="75"/>
      <c r="G3124" s="75"/>
      <c r="H3124" s="74"/>
      <c r="K3124" s="43"/>
    </row>
    <row r="3125">
      <c r="A3125" s="82"/>
      <c r="B3125" s="33" t="s">
        <v>29011</v>
      </c>
      <c r="C3125" s="42">
        <v>33068.0</v>
      </c>
      <c r="D3125" s="33" t="s">
        <v>29013</v>
      </c>
      <c r="E3125" s="74"/>
      <c r="F3125" s="46" t="s">
        <v>1348</v>
      </c>
      <c r="G3125" s="75"/>
      <c r="H3125" s="98" t="str">
        <f>HYPERLINK("http://mirror.ff7data.com.ar/ff7/data/minigame/snowboard-us.lgp/fuusen1a.tex.png","View Picture")</f>
        <v>View Picture</v>
      </c>
      <c r="K3125" s="43"/>
    </row>
    <row r="3126">
      <c r="A3126" s="82"/>
      <c r="B3126" s="33" t="s">
        <v>29020</v>
      </c>
      <c r="C3126" s="42">
        <v>33068.0</v>
      </c>
      <c r="D3126" s="33" t="s">
        <v>29022</v>
      </c>
      <c r="E3126" s="74"/>
      <c r="F3126" s="46" t="s">
        <v>1348</v>
      </c>
      <c r="G3126" s="75"/>
      <c r="H3126" s="98" t="str">
        <f>HYPERLINK("http://mirror.ff7data.com.ar/ff7/data/minigame/snowboard-us.lgp/fuusen1b.tex.png","View Picture")</f>
        <v>View Picture</v>
      </c>
      <c r="K3126" s="43"/>
    </row>
    <row r="3127">
      <c r="A3127" s="82"/>
      <c r="B3127" s="33" t="s">
        <v>29031</v>
      </c>
      <c r="C3127" s="42">
        <v>33068.0</v>
      </c>
      <c r="D3127" s="33" t="s">
        <v>29033</v>
      </c>
      <c r="E3127" s="74"/>
      <c r="F3127" s="46" t="s">
        <v>1348</v>
      </c>
      <c r="G3127" s="75"/>
      <c r="H3127" s="98" t="str">
        <f>HYPERLINK("http://mirror.ff7data.com.ar/ff7/data/minigame/snowboard-us.lgp/fuusen1c.tex.png","View Picture")</f>
        <v>View Picture</v>
      </c>
      <c r="K3127" s="43"/>
    </row>
    <row r="3128">
      <c r="A3128" s="82"/>
      <c r="B3128" s="33" t="s">
        <v>29044</v>
      </c>
      <c r="C3128" s="42">
        <v>33068.0</v>
      </c>
      <c r="D3128" s="33" t="s">
        <v>29046</v>
      </c>
      <c r="E3128" s="74"/>
      <c r="F3128" s="46" t="s">
        <v>1348</v>
      </c>
      <c r="G3128" s="75"/>
      <c r="H3128" s="98" t="str">
        <f>HYPERLINK("http://mirror.ff7data.com.ar/ff7/data/minigame/snowboard-us.lgp/fuusen1d.tex.png","View Picture")</f>
        <v>View Picture</v>
      </c>
      <c r="K3128" s="43"/>
    </row>
    <row r="3129">
      <c r="A3129" s="82"/>
      <c r="B3129" s="33" t="s">
        <v>29056</v>
      </c>
      <c r="C3129" s="42">
        <v>1324.0</v>
      </c>
      <c r="D3129" s="33" t="s">
        <v>29057</v>
      </c>
      <c r="E3129" s="74"/>
      <c r="F3129" s="46" t="s">
        <v>1348</v>
      </c>
      <c r="G3129" s="75"/>
      <c r="H3129" s="98" t="str">
        <f>HYPERLINK("http://mirror.ff7data.com.ar/ff7/data/minigame/snowboard-us.lgp/ita_h1.tex.png","View Picture")</f>
        <v>View Picture</v>
      </c>
      <c r="K3129" s="43"/>
    </row>
    <row r="3130">
      <c r="A3130" s="82"/>
      <c r="B3130" s="33" t="s">
        <v>29067</v>
      </c>
      <c r="C3130" s="42">
        <v>428.0</v>
      </c>
      <c r="D3130" s="33" t="s">
        <v>29070</v>
      </c>
      <c r="E3130" s="74"/>
      <c r="F3130" s="46" t="s">
        <v>1348</v>
      </c>
      <c r="G3130" s="75"/>
      <c r="H3130" s="98" t="str">
        <f>HYPERLINK("http://mirror.ff7data.com.ar/ff7/data/minigame/snowboard-us.lgp/ita_h2.tex.png","View Picture")</f>
        <v>View Picture</v>
      </c>
      <c r="K3130" s="43"/>
    </row>
    <row r="3131">
      <c r="A3131" s="82"/>
      <c r="B3131" s="33" t="s">
        <v>29078</v>
      </c>
      <c r="C3131" s="42">
        <v>1324.0</v>
      </c>
      <c r="D3131" s="33" t="s">
        <v>29080</v>
      </c>
      <c r="E3131" s="74"/>
      <c r="F3131" s="46" t="s">
        <v>1348</v>
      </c>
      <c r="G3131" s="75"/>
      <c r="H3131" s="98" t="str">
        <f>HYPERLINK("http://mirror.ff7data.com.ar/ff7/data/minigame/snowboard-us.lgp/jump.tex.png","View Picture")</f>
        <v>View Picture</v>
      </c>
      <c r="K3131" s="43"/>
    </row>
    <row r="3132">
      <c r="A3132" s="82"/>
      <c r="B3132" s="33" t="s">
        <v>29090</v>
      </c>
      <c r="C3132" s="42">
        <v>8492.0</v>
      </c>
      <c r="D3132" s="33" t="s">
        <v>29092</v>
      </c>
      <c r="E3132" s="74"/>
      <c r="F3132" s="46" t="s">
        <v>1348</v>
      </c>
      <c r="G3132" s="75"/>
      <c r="H3132" s="98" t="str">
        <f>HYPERLINK("http://mirror.ff7data.com.ar/ff7/data/minigame/snowboard-us.lgp/ki0.tex.png","View Picture")</f>
        <v>View Picture</v>
      </c>
      <c r="K3132" s="43"/>
    </row>
    <row r="3133">
      <c r="A3133" s="82"/>
      <c r="B3133" s="33" t="s">
        <v>29098</v>
      </c>
      <c r="C3133" s="42">
        <v>8492.0</v>
      </c>
      <c r="D3133" s="33" t="s">
        <v>29099</v>
      </c>
      <c r="E3133" s="74"/>
      <c r="F3133" s="46" t="s">
        <v>1348</v>
      </c>
      <c r="G3133" s="75"/>
      <c r="H3133" s="98" t="str">
        <f>HYPERLINK("http://mirror.ff7data.com.ar/ff7/data/minigame/snowboard-us.lgp/smoke.tex.png","View Picture")</f>
        <v>View Picture</v>
      </c>
      <c r="K3133" s="43"/>
    </row>
    <row r="3134">
      <c r="A3134" s="82"/>
      <c r="B3134" s="33" t="s">
        <v>29105</v>
      </c>
      <c r="C3134" s="42">
        <v>8492.0</v>
      </c>
      <c r="D3134" s="33" t="s">
        <v>29107</v>
      </c>
      <c r="E3134" s="74"/>
      <c r="F3134" s="46" t="s">
        <v>1348</v>
      </c>
      <c r="G3134" s="75"/>
      <c r="H3134" s="98" t="str">
        <f>HYPERLINK("http://mirror.ff7data.com.ar/ff7/data/minigame/snowboard-us.lgp/tifaeye.tex.png","View Picture")</f>
        <v>View Picture</v>
      </c>
      <c r="K3134" s="43"/>
    </row>
    <row r="3135" ht="22.5" customHeight="1">
      <c r="A3135" s="82"/>
      <c r="B3135" s="33" t="s">
        <v>29115</v>
      </c>
      <c r="C3135" s="42">
        <v>34028.0</v>
      </c>
      <c r="D3135" s="33" t="s">
        <v>29116</v>
      </c>
      <c r="E3135" s="74"/>
      <c r="F3135" s="46" t="s">
        <v>1348</v>
      </c>
      <c r="G3135" s="46" t="s">
        <v>889</v>
      </c>
      <c r="H3135" s="98" t="str">
        <f>HYPERLINK("http://mirror.ff7data.com.ar/ff7/data/minigame/snowboard-us.lgp/time1.tex.png","EN")</f>
        <v>EN</v>
      </c>
      <c r="I3135" s="98" t="str">
        <f>HYPERLINK("http://mirror.ff7data.com.ar/ff7/es/snowboard/stime1.tex.png","ES")</f>
        <v>ES</v>
      </c>
      <c r="K3135" s="43"/>
    </row>
    <row r="3136" ht="22.5" customHeight="1">
      <c r="A3136" s="82"/>
      <c r="B3136" s="33" t="s">
        <v>29133</v>
      </c>
      <c r="C3136" s="42">
        <v>16684.0</v>
      </c>
      <c r="D3136" s="33" t="s">
        <v>29135</v>
      </c>
      <c r="E3136" s="74"/>
      <c r="F3136" s="46" t="s">
        <v>1348</v>
      </c>
      <c r="G3136" s="46" t="s">
        <v>889</v>
      </c>
      <c r="H3136" s="98" t="str">
        <f>HYPERLINK("http://mirror.ff7data.com.ar/ff7/data/minigame/snowboard-us.lgp/time2.tex.png","EN")</f>
        <v>EN</v>
      </c>
      <c r="I3136" s="98" t="str">
        <f>HYPERLINK("http://mirror.ff7data.com.ar/ff7/es/snowboard/stime2.tex.png","ES")</f>
        <v>ES</v>
      </c>
      <c r="K3136" s="43"/>
    </row>
    <row r="3137">
      <c r="A3137" s="82"/>
      <c r="B3137" s="57" t="s">
        <v>29150</v>
      </c>
      <c r="C3137" s="58">
        <v>65836.0</v>
      </c>
      <c r="D3137" s="57" t="s">
        <v>29152</v>
      </c>
      <c r="E3137" s="19"/>
      <c r="F3137" s="61" t="s">
        <v>1348</v>
      </c>
      <c r="G3137" s="71"/>
      <c r="H3137" s="136" t="str">
        <f>HYPERLINK("http://mirror.ff7data.com.ar/ff7/data/minigame/snowboard-us.lgp/waku.tex.png","View Picture")</f>
        <v>View Picture</v>
      </c>
      <c r="I3137" s="19"/>
      <c r="J3137" s="19"/>
      <c r="K3137" s="64"/>
    </row>
    <row r="3138">
      <c r="A3138" s="12"/>
      <c r="B3138" s="12"/>
      <c r="C3138" s="65"/>
      <c r="D3138" s="34"/>
      <c r="E3138" s="34"/>
      <c r="F3138" s="67"/>
      <c r="G3138" s="67"/>
      <c r="H3138" s="34"/>
      <c r="I3138" s="34"/>
      <c r="J3138" s="34"/>
      <c r="K3138" s="34"/>
    </row>
    <row r="3139">
      <c r="A3139" s="68"/>
      <c r="B3139" s="69" t="s">
        <v>239</v>
      </c>
      <c r="C3139" s="144"/>
      <c r="D3139" s="19"/>
      <c r="E3139" s="158" t="s">
        <v>6964</v>
      </c>
      <c r="F3139" s="71"/>
      <c r="G3139" s="71"/>
      <c r="H3139" s="19"/>
      <c r="I3139" s="19"/>
      <c r="J3139" s="19"/>
      <c r="K3139" s="19"/>
    </row>
    <row r="3140" ht="22.5" customHeight="1">
      <c r="A3140" s="40"/>
      <c r="B3140" s="23" t="s">
        <v>29174</v>
      </c>
      <c r="C3140" s="24">
        <v>66284.0</v>
      </c>
      <c r="D3140" s="23" t="s">
        <v>6954</v>
      </c>
      <c r="E3140" s="27" t="s">
        <v>6953</v>
      </c>
      <c r="F3140" s="36" t="s">
        <v>1348</v>
      </c>
      <c r="G3140" s="36" t="s">
        <v>29178</v>
      </c>
      <c r="H3140" s="137" t="str">
        <f>HYPERLINK("http://mirror.ff7data.com.ar/ff7/data/minigame/sub.lgp/hud.tex.png","EN")</f>
        <v>EN</v>
      </c>
      <c r="I3140" s="137" t="str">
        <f>HYPERLINK("http://mirror.ff7data.com.ar/ff7/es/sub/shud.tex.png","ES")</f>
        <v>ES</v>
      </c>
      <c r="J3140" s="34"/>
      <c r="K3140" s="38"/>
    </row>
    <row r="3141" ht="22.5" customHeight="1">
      <c r="A3141" s="40"/>
      <c r="B3141" s="33" t="s">
        <v>29190</v>
      </c>
      <c r="C3141" s="42">
        <v>66284.0</v>
      </c>
      <c r="D3141" s="33" t="s">
        <v>29192</v>
      </c>
      <c r="E3141" s="74"/>
      <c r="F3141" s="46" t="s">
        <v>1348</v>
      </c>
      <c r="G3141" s="46" t="s">
        <v>29178</v>
      </c>
      <c r="H3141" s="98" t="str">
        <f>HYPERLINK("http://mirror.ff7data.com.ar/ff7/data/minigame/sub.lgp/huda.tex.png","EN")</f>
        <v>EN</v>
      </c>
      <c r="I3141" s="98" t="str">
        <f>HYPERLINK("http://mirror.ff7data.com.ar/ff7/es/sub/shuda.tex.png","ES")</f>
        <v>ES</v>
      </c>
      <c r="K3141" s="43"/>
    </row>
    <row r="3142" ht="22.5" customHeight="1">
      <c r="A3142" s="40"/>
      <c r="B3142" s="33" t="s">
        <v>29201</v>
      </c>
      <c r="C3142" s="42">
        <v>66284.0</v>
      </c>
      <c r="D3142" s="33" t="s">
        <v>29203</v>
      </c>
      <c r="E3142" s="74"/>
      <c r="F3142" s="46" t="s">
        <v>1348</v>
      </c>
      <c r="G3142" s="46" t="s">
        <v>29178</v>
      </c>
      <c r="H3142" s="98" t="str">
        <f>HYPERLINK("http://mirror.ff7data.com.ar/ff7/data/minigame/sub.lgp/hudb.tex.png","EN")</f>
        <v>EN</v>
      </c>
      <c r="I3142" s="98" t="str">
        <f>HYPERLINK("http://mirror.ff7data.com.ar/ff7/es/sub/shudb.tex.png","ES")</f>
        <v>ES</v>
      </c>
      <c r="K3142" s="43"/>
    </row>
    <row r="3143" ht="22.5" customHeight="1">
      <c r="A3143" s="40"/>
      <c r="B3143" s="33" t="s">
        <v>29216</v>
      </c>
      <c r="C3143" s="42">
        <v>66284.0</v>
      </c>
      <c r="D3143" s="33" t="s">
        <v>29218</v>
      </c>
      <c r="E3143" s="74"/>
      <c r="F3143" s="46" t="s">
        <v>1348</v>
      </c>
      <c r="G3143" s="46" t="s">
        <v>29178</v>
      </c>
      <c r="H3143" s="98" t="str">
        <f>HYPERLINK("http://mirror.ff7data.com.ar/ff7/data/minigame/sub.lgp/hudc.tex.png","EN")</f>
        <v>EN</v>
      </c>
      <c r="I3143" s="98" t="str">
        <f>HYPERLINK("http://mirror.ff7data.com.ar/ff7/es/sub/shudc.tex.png","ES")</f>
        <v>ES</v>
      </c>
      <c r="K3143" s="43"/>
    </row>
    <row r="3144" ht="22.5" customHeight="1">
      <c r="A3144" s="40"/>
      <c r="B3144" s="33" t="s">
        <v>29230</v>
      </c>
      <c r="C3144" s="42">
        <v>66284.0</v>
      </c>
      <c r="D3144" s="33" t="s">
        <v>29232</v>
      </c>
      <c r="E3144" s="74"/>
      <c r="F3144" s="46" t="s">
        <v>1348</v>
      </c>
      <c r="G3144" s="46" t="s">
        <v>29178</v>
      </c>
      <c r="H3144" s="98" t="str">
        <f>HYPERLINK("http://mirror.ff7data.com.ar/ff7/data/minigame/sub.lgp/hudd.tex.png","EN")</f>
        <v>EN</v>
      </c>
      <c r="I3144" s="98" t="str">
        <f>HYPERLINK("http://mirror.ff7data.com.ar/ff7/es/sub/shudd.tex.png","ES")</f>
        <v>ES</v>
      </c>
      <c r="K3144" s="43"/>
    </row>
    <row r="3145" ht="22.5" customHeight="1">
      <c r="A3145" s="40"/>
      <c r="B3145" s="33" t="s">
        <v>29244</v>
      </c>
      <c r="C3145" s="42">
        <v>66284.0</v>
      </c>
      <c r="D3145" s="33" t="s">
        <v>6957</v>
      </c>
      <c r="E3145" s="51" t="s">
        <v>6956</v>
      </c>
      <c r="F3145" s="46" t="s">
        <v>1348</v>
      </c>
      <c r="G3145" s="46" t="s">
        <v>29178</v>
      </c>
      <c r="H3145" s="98" t="str">
        <f>HYPERLINK("http://mirror.ff7data.com.ar/ff7/data/minigame/sub.lgp/text.tex.png","EN")</f>
        <v>EN</v>
      </c>
      <c r="I3145" s="98" t="str">
        <f>HYPERLINK("http://mirror.ff7data.com.ar/ff7/es/sub/stext.tex.png","ES")</f>
        <v>ES</v>
      </c>
      <c r="K3145" s="43"/>
    </row>
    <row r="3146" ht="22.5" customHeight="1">
      <c r="A3146" s="40"/>
      <c r="B3146" s="33" t="s">
        <v>29251</v>
      </c>
      <c r="C3146" s="42">
        <v>66284.0</v>
      </c>
      <c r="D3146" s="33" t="s">
        <v>29252</v>
      </c>
      <c r="E3146" s="74"/>
      <c r="F3146" s="46" t="s">
        <v>1348</v>
      </c>
      <c r="G3146" s="46" t="s">
        <v>29178</v>
      </c>
      <c r="H3146" s="98" t="str">
        <f>HYPERLINK("http://www.gamearea.com.ar/ff7/data/minigame/sub.lgp/textatex..png","EN")</f>
        <v>EN</v>
      </c>
      <c r="I3146" s="98" t="str">
        <f>HYPERLINK("http://mirror.ff7data.com.ar/ff7/es/sub/stexta.tex.png","ES")</f>
        <v>ES</v>
      </c>
      <c r="K3146" s="43"/>
    </row>
    <row r="3147" ht="22.5" customHeight="1">
      <c r="A3147" s="40"/>
      <c r="B3147" s="33" t="s">
        <v>29257</v>
      </c>
      <c r="C3147" s="42">
        <v>66284.0</v>
      </c>
      <c r="D3147" s="33" t="s">
        <v>29258</v>
      </c>
      <c r="E3147" s="74"/>
      <c r="F3147" s="46" t="s">
        <v>1348</v>
      </c>
      <c r="G3147" s="46" t="s">
        <v>29178</v>
      </c>
      <c r="H3147" s="98" t="str">
        <f>HYPERLINK("http://mirror.ff7data.com.ar/ff7/data/minigame/sub.lgp/textb.tex.png","EN")</f>
        <v>EN</v>
      </c>
      <c r="I3147" s="98" t="str">
        <f>HYPERLINK("http://mirror.ff7data.com.ar/ff7/es/sub/stextb.tex.png","ES")</f>
        <v>ES</v>
      </c>
      <c r="K3147" s="43"/>
    </row>
    <row r="3148" ht="22.5" customHeight="1">
      <c r="A3148" s="40"/>
      <c r="B3148" s="33" t="s">
        <v>29266</v>
      </c>
      <c r="C3148" s="42">
        <v>66284.0</v>
      </c>
      <c r="D3148" s="33" t="s">
        <v>29268</v>
      </c>
      <c r="E3148" s="74"/>
      <c r="F3148" s="46" t="s">
        <v>1348</v>
      </c>
      <c r="G3148" s="46" t="s">
        <v>29178</v>
      </c>
      <c r="H3148" s="98" t="str">
        <f>HYPERLINK("http://mirror.ff7data.com.ar/ff7/data/minigame/sub.lgp/textc.tex.png","EN")</f>
        <v>EN</v>
      </c>
      <c r="I3148" s="98" t="str">
        <f>HYPERLINK("http://mirror.ff7data.com.ar/ff7/es/sub/stextc.tex.png","ES")</f>
        <v>ES</v>
      </c>
      <c r="K3148" s="43"/>
    </row>
    <row r="3149" ht="22.5" customHeight="1">
      <c r="A3149" s="40"/>
      <c r="B3149" s="57" t="s">
        <v>29281</v>
      </c>
      <c r="C3149" s="58">
        <v>66284.0</v>
      </c>
      <c r="D3149" s="57" t="s">
        <v>6957</v>
      </c>
      <c r="E3149" s="19"/>
      <c r="F3149" s="61" t="s">
        <v>1348</v>
      </c>
      <c r="G3149" s="61" t="s">
        <v>29178</v>
      </c>
      <c r="H3149" s="136" t="str">
        <f>HYPERLINK("http://mirror.ff7data.com.ar/ff7/data/minigame/sub.lgp/textd.tex.png","EN")</f>
        <v>EN</v>
      </c>
      <c r="I3149" s="136" t="str">
        <f>HYPERLINK("http://mirror.ff7data.com.ar/ff7/es/sub/stextd.tex.png","ES")</f>
        <v>ES</v>
      </c>
      <c r="J3149" s="19"/>
      <c r="K3149" s="64"/>
    </row>
    <row r="3150">
      <c r="A3150" s="12"/>
      <c r="B3150" s="12"/>
      <c r="C3150" s="65"/>
      <c r="D3150" s="34"/>
      <c r="E3150" s="34"/>
      <c r="F3150" s="67"/>
      <c r="G3150" s="67"/>
      <c r="H3150" s="34"/>
      <c r="I3150" s="34"/>
      <c r="J3150" s="34"/>
      <c r="K3150" s="34"/>
    </row>
    <row r="3151">
      <c r="A3151" s="68"/>
      <c r="B3151" s="69" t="s">
        <v>29303</v>
      </c>
      <c r="C3151" s="144"/>
      <c r="D3151" s="19"/>
      <c r="E3151" s="19"/>
      <c r="F3151" s="71"/>
      <c r="G3151" s="71"/>
      <c r="H3151" s="19"/>
      <c r="I3151" s="19"/>
      <c r="J3151" s="19"/>
      <c r="K3151" s="19"/>
    </row>
    <row r="3152">
      <c r="A3152" s="21"/>
      <c r="B3152" s="23" t="s">
        <v>29308</v>
      </c>
      <c r="C3152" s="24">
        <v>80.0</v>
      </c>
      <c r="D3152" s="23" t="s">
        <v>29311</v>
      </c>
      <c r="E3152" s="34"/>
      <c r="F3152" s="36" t="s">
        <v>29313</v>
      </c>
      <c r="G3152" s="67"/>
      <c r="H3152" s="94" t="str">
        <f>HYPERLINK("http://mirror.ff7data.com.ar/ff7/data/wm/world_us.lgp/aaa.hrc.png","View Picture")</f>
        <v>View Picture</v>
      </c>
      <c r="I3152" s="34"/>
      <c r="J3152" s="34"/>
      <c r="K3152" s="38"/>
    </row>
    <row r="3153">
      <c r="A3153" s="21"/>
      <c r="B3153" s="33" t="s">
        <v>29325</v>
      </c>
      <c r="C3153" s="42">
        <v>75.0</v>
      </c>
      <c r="D3153" s="33" t="s">
        <v>29327</v>
      </c>
      <c r="E3153" s="74"/>
      <c r="F3153" s="46" t="s">
        <v>2793</v>
      </c>
      <c r="G3153" s="75"/>
      <c r="H3153" s="96" t="str">
        <f>HYPERLINK("http://mirror.ff7data.com.ar/ff7/data/wm/world_us.lgp/aab.rsd.png","View Picture")</f>
        <v>View Picture</v>
      </c>
      <c r="K3153" s="43"/>
    </row>
    <row r="3154">
      <c r="A3154" s="21"/>
      <c r="B3154" s="33" t="s">
        <v>29357</v>
      </c>
      <c r="C3154" s="42">
        <v>4596.0</v>
      </c>
      <c r="D3154" s="33" t="s">
        <v>29327</v>
      </c>
      <c r="E3154" s="74"/>
      <c r="F3154" s="46" t="s">
        <v>2775</v>
      </c>
      <c r="G3154" s="75"/>
      <c r="H3154" s="96" t="str">
        <f>HYPERLINK("http://mirror.ff7data.com.ar/ff7/data/wm/world_us.lgp/aac.p.png","View Picture")</f>
        <v>View Picture</v>
      </c>
      <c r="K3154" s="43"/>
    </row>
    <row r="3155">
      <c r="A3155" s="154"/>
      <c r="B3155" s="33" t="s">
        <v>29367</v>
      </c>
      <c r="C3155" s="42">
        <v>812.0</v>
      </c>
      <c r="D3155" s="33" t="s">
        <v>29368</v>
      </c>
      <c r="E3155" s="74"/>
      <c r="F3155" s="46" t="s">
        <v>1348</v>
      </c>
      <c r="G3155" s="75"/>
      <c r="H3155" s="98" t="str">
        <f>HYPERLINK("http://mirror.ff7data.com.ar/ff7/data/wm/world_us.lgp/aad.tex.png","View Picture")</f>
        <v>View Picture</v>
      </c>
      <c r="K3155" s="43"/>
    </row>
    <row r="3156">
      <c r="A3156" s="21"/>
      <c r="B3156" s="33" t="s">
        <v>29378</v>
      </c>
      <c r="C3156" s="42">
        <v>756.0</v>
      </c>
      <c r="D3156" s="33" t="s">
        <v>29379</v>
      </c>
      <c r="E3156" s="74"/>
      <c r="F3156" s="46" t="s">
        <v>3366</v>
      </c>
      <c r="G3156" s="75"/>
      <c r="H3156" s="74"/>
      <c r="K3156" s="43"/>
    </row>
    <row r="3157">
      <c r="A3157" s="21"/>
      <c r="B3157" s="33" t="s">
        <v>29383</v>
      </c>
      <c r="C3157" s="42">
        <v>762.0</v>
      </c>
      <c r="D3157" s="33" t="s">
        <v>29385</v>
      </c>
      <c r="E3157" s="74"/>
      <c r="F3157" s="46" t="s">
        <v>7609</v>
      </c>
      <c r="G3157" s="75"/>
      <c r="H3157" s="96" t="str">
        <f>HYPERLINK("http://mirror.ff7data.com.ar/ff7/data/wm/world_us.lgp/aba.hrc.png","View Picture")</f>
        <v>View Picture</v>
      </c>
      <c r="K3157" s="43"/>
    </row>
    <row r="3158">
      <c r="A3158" s="21"/>
      <c r="B3158" s="33" t="s">
        <v>29392</v>
      </c>
      <c r="C3158" s="42">
        <v>59.0</v>
      </c>
      <c r="D3158" s="33" t="s">
        <v>29394</v>
      </c>
      <c r="E3158" s="74"/>
      <c r="F3158" s="46" t="s">
        <v>2793</v>
      </c>
      <c r="G3158" s="75"/>
      <c r="H3158" s="96" t="str">
        <f>HYPERLINK("http://mirror.ff7data.com.ar/ff7/data/wm/world_us.lgp/abb.rsd.png","View Picture")</f>
        <v>View Picture</v>
      </c>
      <c r="K3158" s="43"/>
    </row>
    <row r="3159">
      <c r="A3159" s="21"/>
      <c r="B3159" s="33" t="s">
        <v>29402</v>
      </c>
      <c r="C3159" s="42">
        <v>2520.0</v>
      </c>
      <c r="D3159" s="33" t="s">
        <v>29394</v>
      </c>
      <c r="E3159" s="74"/>
      <c r="F3159" s="46" t="s">
        <v>2775</v>
      </c>
      <c r="G3159" s="75"/>
      <c r="H3159" s="96" t="str">
        <f>HYPERLINK("http://mirror.ff7data.com.ar/ff7/data/wm/world_us.lgp/abc.p.png","View Picture")</f>
        <v>View Picture</v>
      </c>
      <c r="K3159" s="43"/>
    </row>
    <row r="3160">
      <c r="A3160" s="21"/>
      <c r="B3160" s="33" t="s">
        <v>29409</v>
      </c>
      <c r="C3160" s="42">
        <v>59.0</v>
      </c>
      <c r="D3160" s="33" t="s">
        <v>29411</v>
      </c>
      <c r="E3160" s="74"/>
      <c r="F3160" s="46" t="s">
        <v>2793</v>
      </c>
      <c r="G3160" s="75"/>
      <c r="H3160" s="96" t="str">
        <f>HYPERLINK("http://mirror.ff7data.com.ar/ff7/data/wm/world_us.lgp/abd.rsd.png","View Picture")</f>
        <v>View Picture</v>
      </c>
      <c r="K3160" s="43"/>
    </row>
    <row r="3161">
      <c r="A3161" s="21"/>
      <c r="B3161" s="33" t="s">
        <v>29418</v>
      </c>
      <c r="C3161" s="42">
        <v>10548.0</v>
      </c>
      <c r="D3161" s="33" t="s">
        <v>29411</v>
      </c>
      <c r="E3161" s="74"/>
      <c r="F3161" s="46" t="s">
        <v>2775</v>
      </c>
      <c r="G3161" s="75"/>
      <c r="H3161" s="96" t="str">
        <f>HYPERLINK("http://mirror.ff7data.com.ar/ff7/data/wm/world_us.lgp/abe.p.png","View Picture")</f>
        <v>View Picture</v>
      </c>
      <c r="K3161" s="43"/>
    </row>
    <row r="3162">
      <c r="A3162" s="21"/>
      <c r="B3162" s="33" t="s">
        <v>29424</v>
      </c>
      <c r="C3162" s="42">
        <v>59.0</v>
      </c>
      <c r="D3162" s="33" t="s">
        <v>29426</v>
      </c>
      <c r="E3162" s="74"/>
      <c r="F3162" s="46" t="s">
        <v>2793</v>
      </c>
      <c r="G3162" s="75"/>
      <c r="H3162" s="96" t="str">
        <f>HYPERLINK("http://mirror.ff7data.com.ar/ff7/data/wm/world_us.lgp/aca.rsd.png","View Picture")</f>
        <v>View Picture</v>
      </c>
      <c r="K3162" s="43"/>
    </row>
    <row r="3163">
      <c r="A3163" s="21"/>
      <c r="B3163" s="33" t="s">
        <v>29433</v>
      </c>
      <c r="C3163" s="42">
        <v>740.0</v>
      </c>
      <c r="D3163" s="33" t="s">
        <v>29426</v>
      </c>
      <c r="E3163" s="74"/>
      <c r="F3163" s="46" t="s">
        <v>2775</v>
      </c>
      <c r="G3163" s="75"/>
      <c r="H3163" s="96" t="str">
        <f>HYPERLINK("http://mirror.ff7data.com.ar/ff7/data/wm/world_us.lgp/acb.p.png","View Picture")</f>
        <v>View Picture</v>
      </c>
      <c r="K3163" s="43"/>
    </row>
    <row r="3164">
      <c r="A3164" s="21"/>
      <c r="B3164" s="33" t="s">
        <v>29442</v>
      </c>
      <c r="C3164" s="42">
        <v>59.0</v>
      </c>
      <c r="D3164" s="33" t="s">
        <v>29443</v>
      </c>
      <c r="E3164" s="74"/>
      <c r="F3164" s="46" t="s">
        <v>2793</v>
      </c>
      <c r="G3164" s="75"/>
      <c r="H3164" s="96" t="str">
        <f>HYPERLINK("http://mirror.ff7data.com.ar/ff7/data/wm/world_us.lgp/acc.rsd.png","View Picture")</f>
        <v>View Picture</v>
      </c>
      <c r="K3164" s="43"/>
    </row>
    <row r="3165">
      <c r="A3165" s="21"/>
      <c r="B3165" s="33" t="s">
        <v>29451</v>
      </c>
      <c r="C3165" s="42">
        <v>792.0</v>
      </c>
      <c r="D3165" s="33" t="s">
        <v>29443</v>
      </c>
      <c r="E3165" s="74"/>
      <c r="F3165" s="46" t="s">
        <v>2775</v>
      </c>
      <c r="G3165" s="75"/>
      <c r="H3165" s="96" t="str">
        <f>HYPERLINK("http://mirror.ff7data.com.ar/ff7/data/wm/world_us.lgp/acd.p.png","View Picture")</f>
        <v>View Picture</v>
      </c>
      <c r="K3165" s="43"/>
    </row>
    <row r="3166">
      <c r="A3166" s="21"/>
      <c r="B3166" s="33" t="s">
        <v>29457</v>
      </c>
      <c r="C3166" s="42">
        <v>59.0</v>
      </c>
      <c r="D3166" s="33" t="s">
        <v>29460</v>
      </c>
      <c r="E3166" s="74"/>
      <c r="F3166" s="46" t="s">
        <v>2793</v>
      </c>
      <c r="G3166" s="75"/>
      <c r="H3166" s="96" t="str">
        <f>HYPERLINK("http://mirror.ff7data.com.ar/ff7/data/wm/world_us.lgp/ace.rsd.png","View Picture")</f>
        <v>View Picture</v>
      </c>
      <c r="K3166" s="43"/>
    </row>
    <row r="3167">
      <c r="A3167" s="21"/>
      <c r="B3167" s="33" t="s">
        <v>29466</v>
      </c>
      <c r="C3167" s="42">
        <v>792.0</v>
      </c>
      <c r="D3167" s="33" t="s">
        <v>29460</v>
      </c>
      <c r="E3167" s="74"/>
      <c r="F3167" s="46" t="s">
        <v>2775</v>
      </c>
      <c r="G3167" s="75"/>
      <c r="H3167" s="96" t="str">
        <f>HYPERLINK("http://mirror.ff7data.com.ar/ff7/data/wm/world_us.lgp/ada.p.png","View Picture")</f>
        <v>View Picture</v>
      </c>
      <c r="K3167" s="43"/>
    </row>
    <row r="3168">
      <c r="A3168" s="21"/>
      <c r="B3168" s="33" t="s">
        <v>29474</v>
      </c>
      <c r="C3168" s="42">
        <v>59.0</v>
      </c>
      <c r="D3168" s="33" t="s">
        <v>29475</v>
      </c>
      <c r="E3168" s="74"/>
      <c r="F3168" s="46" t="s">
        <v>2793</v>
      </c>
      <c r="G3168" s="75"/>
      <c r="H3168" s="96" t="str">
        <f>HYPERLINK("http://mirror.ff7data.com.ar/ff7/data/wm/world_us.lgp/adb.rsd.png","View Picture")</f>
        <v>View Picture</v>
      </c>
      <c r="K3168" s="43"/>
    </row>
    <row r="3169">
      <c r="A3169" s="21"/>
      <c r="B3169" s="33" t="s">
        <v>29485</v>
      </c>
      <c r="C3169" s="42">
        <v>792.0</v>
      </c>
      <c r="D3169" s="33" t="s">
        <v>29475</v>
      </c>
      <c r="E3169" s="74"/>
      <c r="F3169" s="46" t="s">
        <v>2775</v>
      </c>
      <c r="G3169" s="75"/>
      <c r="H3169" s="96" t="str">
        <f>HYPERLINK("http://mirror.ff7data.com.ar/ff7/data/wm/world_us.lgp/adc.p.png","View Picture")</f>
        <v>View Picture</v>
      </c>
      <c r="K3169" s="43"/>
    </row>
    <row r="3170">
      <c r="A3170" s="21"/>
      <c r="B3170" s="33" t="s">
        <v>29493</v>
      </c>
      <c r="C3170" s="42">
        <v>59.0</v>
      </c>
      <c r="D3170" s="33" t="s">
        <v>29495</v>
      </c>
      <c r="E3170" s="74"/>
      <c r="F3170" s="46" t="s">
        <v>2793</v>
      </c>
      <c r="G3170" s="75"/>
      <c r="H3170" s="96" t="str">
        <f>HYPERLINK("http://mirror.ff7data.com.ar/ff7/data/wm/world_us.lgp/add.rsd.png","View Picture")</f>
        <v>View Picture</v>
      </c>
      <c r="K3170" s="43"/>
    </row>
    <row r="3171">
      <c r="A3171" s="21"/>
      <c r="B3171" s="33" t="s">
        <v>29504</v>
      </c>
      <c r="C3171" s="42">
        <v>792.0</v>
      </c>
      <c r="D3171" s="33" t="s">
        <v>29495</v>
      </c>
      <c r="E3171" s="74"/>
      <c r="F3171" s="46" t="s">
        <v>2775</v>
      </c>
      <c r="G3171" s="75"/>
      <c r="H3171" s="96" t="str">
        <f>HYPERLINK("http://mirror.ff7data.com.ar/ff7/data/wm/world_us.lgp/ade.p.png","View Picture")</f>
        <v>View Picture</v>
      </c>
      <c r="K3171" s="43"/>
    </row>
    <row r="3172">
      <c r="A3172" s="21"/>
      <c r="B3172" s="33" t="s">
        <v>29511</v>
      </c>
      <c r="C3172" s="42">
        <v>59.0</v>
      </c>
      <c r="D3172" s="33" t="s">
        <v>29512</v>
      </c>
      <c r="E3172" s="74"/>
      <c r="F3172" s="46" t="s">
        <v>2793</v>
      </c>
      <c r="G3172" s="75"/>
      <c r="H3172" s="96" t="str">
        <f>HYPERLINK("http://mirror.ff7data.com.ar/ff7/data/wm/world_us.lgp/aea.rsd.png","View Picture")</f>
        <v>View Picture</v>
      </c>
      <c r="K3172" s="43"/>
    </row>
    <row r="3173">
      <c r="A3173" s="21"/>
      <c r="B3173" s="33" t="s">
        <v>29518</v>
      </c>
      <c r="C3173" s="42">
        <v>2852.0</v>
      </c>
      <c r="D3173" s="33" t="s">
        <v>29512</v>
      </c>
      <c r="E3173" s="74"/>
      <c r="F3173" s="46" t="s">
        <v>2775</v>
      </c>
      <c r="G3173" s="75"/>
      <c r="H3173" s="96" t="str">
        <f>HYPERLINK("http://mirror.ff7data.com.ar/ff7/data/wm/world_us.lgp/aeb.p.png","View Picture")</f>
        <v>View Picture</v>
      </c>
      <c r="K3173" s="43"/>
    </row>
    <row r="3174">
      <c r="A3174" s="21"/>
      <c r="B3174" s="33" t="s">
        <v>29526</v>
      </c>
      <c r="C3174" s="42">
        <v>59.0</v>
      </c>
      <c r="D3174" s="33" t="s">
        <v>29527</v>
      </c>
      <c r="E3174" s="74"/>
      <c r="F3174" s="46" t="s">
        <v>2793</v>
      </c>
      <c r="G3174" s="75"/>
      <c r="H3174" s="96" t="str">
        <f>HYPERLINK("http://mirror.ff7data.com.ar/ff7/data/wm/world_us.lgp/aec.rsd.png","View Picture")</f>
        <v>View Picture</v>
      </c>
      <c r="K3174" s="43"/>
    </row>
    <row r="3175">
      <c r="A3175" s="21"/>
      <c r="B3175" s="33" t="s">
        <v>29533</v>
      </c>
      <c r="C3175" s="42">
        <v>740.0</v>
      </c>
      <c r="D3175" s="33" t="s">
        <v>29527</v>
      </c>
      <c r="E3175" s="74"/>
      <c r="F3175" s="46" t="s">
        <v>2775</v>
      </c>
      <c r="G3175" s="75"/>
      <c r="H3175" s="96" t="str">
        <f>HYPERLINK("http://mirror.ff7data.com.ar/ff7/data/wm/world_us.lgp/aed.p.png","View Picture")</f>
        <v>View Picture</v>
      </c>
      <c r="K3175" s="43"/>
    </row>
    <row r="3176">
      <c r="A3176" s="21"/>
      <c r="B3176" s="33" t="s">
        <v>29541</v>
      </c>
      <c r="C3176" s="42">
        <v>59.0</v>
      </c>
      <c r="D3176" s="33" t="s">
        <v>29527</v>
      </c>
      <c r="E3176" s="74"/>
      <c r="F3176" s="46" t="s">
        <v>2793</v>
      </c>
      <c r="G3176" s="75"/>
      <c r="H3176" s="96" t="str">
        <f>HYPERLINK("http://mirror.ff7data.com.ar/ff7/data/wm/world_us.lgp/aee.rsd.png","View Picture")</f>
        <v>View Picture</v>
      </c>
      <c r="K3176" s="43"/>
    </row>
    <row r="3177">
      <c r="A3177" s="21"/>
      <c r="B3177" s="33" t="s">
        <v>29550</v>
      </c>
      <c r="C3177" s="42">
        <v>740.0</v>
      </c>
      <c r="D3177" s="33" t="s">
        <v>29527</v>
      </c>
      <c r="E3177" s="74"/>
      <c r="F3177" s="46" t="s">
        <v>2775</v>
      </c>
      <c r="G3177" s="75"/>
      <c r="H3177" s="96" t="str">
        <f>HYPERLINK("http://mirror.ff7data.com.ar/ff7/data/wm/world_us.lgp/afa.p.png","View Picture")</f>
        <v>View Picture</v>
      </c>
      <c r="K3177" s="43"/>
    </row>
    <row r="3178">
      <c r="A3178" s="21"/>
      <c r="B3178" s="33" t="s">
        <v>29556</v>
      </c>
      <c r="C3178" s="42">
        <v>59.0</v>
      </c>
      <c r="D3178" s="33" t="s">
        <v>29557</v>
      </c>
      <c r="E3178" s="74"/>
      <c r="F3178" s="46" t="s">
        <v>2793</v>
      </c>
      <c r="G3178" s="75"/>
      <c r="H3178" s="96" t="str">
        <f>HYPERLINK("http://mirror.ff7data.com.ar/ff7/data/wm/world_us.lgp/afb.rsd.png","View Picture")</f>
        <v>View Picture</v>
      </c>
      <c r="K3178" s="43"/>
    </row>
    <row r="3179">
      <c r="A3179" s="21"/>
      <c r="B3179" s="33" t="s">
        <v>29566</v>
      </c>
      <c r="C3179" s="42">
        <v>792.0</v>
      </c>
      <c r="D3179" s="33" t="s">
        <v>29557</v>
      </c>
      <c r="E3179" s="74"/>
      <c r="F3179" s="46" t="s">
        <v>2775</v>
      </c>
      <c r="G3179" s="75"/>
      <c r="H3179" s="96" t="str">
        <f>HYPERLINK("http://mirror.ff7data.com.ar/ff7/data/wm/world_us.lgp/afc.p.png","View Picture")</f>
        <v>View Picture</v>
      </c>
      <c r="K3179" s="43"/>
    </row>
    <row r="3180">
      <c r="A3180" s="21"/>
      <c r="B3180" s="33" t="s">
        <v>29574</v>
      </c>
      <c r="C3180" s="42">
        <v>59.0</v>
      </c>
      <c r="D3180" s="33" t="s">
        <v>29575</v>
      </c>
      <c r="E3180" s="74"/>
      <c r="F3180" s="46" t="s">
        <v>2793</v>
      </c>
      <c r="G3180" s="75"/>
      <c r="H3180" s="96" t="str">
        <f>HYPERLINK("http://mirror.ff7data.com.ar/ff7/data/wm/world_us.lgp/afd.rsd.png","View Picture")</f>
        <v>View Picture</v>
      </c>
      <c r="K3180" s="43"/>
    </row>
    <row r="3181">
      <c r="A3181" s="21"/>
      <c r="B3181" s="33" t="s">
        <v>29582</v>
      </c>
      <c r="C3181" s="42">
        <v>792.0</v>
      </c>
      <c r="D3181" s="33" t="s">
        <v>29575</v>
      </c>
      <c r="E3181" s="74"/>
      <c r="F3181" s="46" t="s">
        <v>2775</v>
      </c>
      <c r="G3181" s="75"/>
      <c r="H3181" s="96" t="str">
        <f>HYPERLINK("http://mirror.ff7data.com.ar/ff7/data/wm/world_us.lgp/afe.p.png","View Picture")</f>
        <v>View Picture</v>
      </c>
      <c r="K3181" s="43"/>
    </row>
    <row r="3182">
      <c r="A3182" s="21"/>
      <c r="B3182" s="33" t="s">
        <v>29589</v>
      </c>
      <c r="C3182" s="42">
        <v>59.0</v>
      </c>
      <c r="D3182" s="33" t="s">
        <v>29590</v>
      </c>
      <c r="E3182" s="74"/>
      <c r="F3182" s="46" t="s">
        <v>2793</v>
      </c>
      <c r="G3182" s="75"/>
      <c r="H3182" s="96" t="str">
        <f>HYPERLINK("http://mirror.ff7data.com.ar/ff7/data/wm/world_us.lgp/aga.rsd.png","View Picture")</f>
        <v>View Picture</v>
      </c>
      <c r="K3182" s="43"/>
    </row>
    <row r="3183">
      <c r="A3183" s="21"/>
      <c r="B3183" s="33" t="s">
        <v>29597</v>
      </c>
      <c r="C3183" s="42">
        <v>792.0</v>
      </c>
      <c r="D3183" s="33" t="s">
        <v>29590</v>
      </c>
      <c r="E3183" s="74"/>
      <c r="F3183" s="46" t="s">
        <v>2775</v>
      </c>
      <c r="G3183" s="75"/>
      <c r="H3183" s="96" t="str">
        <f>HYPERLINK("http://mirror.ff7data.com.ar/ff7/data/wm/world_us.lgp/agb.p.png","View Picture")</f>
        <v>View Picture</v>
      </c>
      <c r="K3183" s="43"/>
    </row>
    <row r="3184">
      <c r="A3184" s="21"/>
      <c r="B3184" s="33" t="s">
        <v>29603</v>
      </c>
      <c r="C3184" s="42">
        <v>59.0</v>
      </c>
      <c r="D3184" s="33" t="s">
        <v>29605</v>
      </c>
      <c r="E3184" s="74"/>
      <c r="F3184" s="46" t="s">
        <v>2793</v>
      </c>
      <c r="G3184" s="75"/>
      <c r="H3184" s="96" t="str">
        <f>HYPERLINK("http://mirror.ff7data.com.ar/ff7/data/wm/world_us.lgp/agc.rsd.png","View Picture")</f>
        <v>View Picture</v>
      </c>
      <c r="K3184" s="43"/>
    </row>
    <row r="3185">
      <c r="A3185" s="21"/>
      <c r="B3185" s="33" t="s">
        <v>29610</v>
      </c>
      <c r="C3185" s="42">
        <v>792.0</v>
      </c>
      <c r="D3185" s="33" t="s">
        <v>29605</v>
      </c>
      <c r="E3185" s="74"/>
      <c r="F3185" s="46" t="s">
        <v>2775</v>
      </c>
      <c r="G3185" s="75"/>
      <c r="H3185" s="96" t="str">
        <f>HYPERLINK("http://mirror.ff7data.com.ar/ff7/data/wm/world_us.lgp/agd.p.png","View Picture")</f>
        <v>View Picture</v>
      </c>
      <c r="K3185" s="43"/>
    </row>
    <row r="3186">
      <c r="A3186" s="21"/>
      <c r="B3186" s="33" t="s">
        <v>29616</v>
      </c>
      <c r="C3186" s="42">
        <v>1008.0</v>
      </c>
      <c r="D3186" s="33" t="s">
        <v>29618</v>
      </c>
      <c r="E3186" s="74"/>
      <c r="F3186" s="46" t="s">
        <v>3366</v>
      </c>
      <c r="G3186" s="75"/>
      <c r="H3186" s="74"/>
      <c r="K3186" s="43"/>
    </row>
    <row r="3187">
      <c r="A3187" s="21"/>
      <c r="B3187" s="33" t="s">
        <v>29620</v>
      </c>
      <c r="C3187" s="42">
        <v>9756.0</v>
      </c>
      <c r="D3187" s="33" t="s">
        <v>29621</v>
      </c>
      <c r="E3187" s="74"/>
      <c r="F3187" s="46" t="s">
        <v>3366</v>
      </c>
      <c r="G3187" s="75"/>
      <c r="H3187" s="74"/>
      <c r="K3187" s="43"/>
    </row>
    <row r="3188">
      <c r="A3188" s="21"/>
      <c r="B3188" s="33" t="s">
        <v>29623</v>
      </c>
      <c r="C3188" s="42">
        <v>1980.0</v>
      </c>
      <c r="D3188" s="33" t="s">
        <v>29624</v>
      </c>
      <c r="E3188" s="74"/>
      <c r="F3188" s="46" t="s">
        <v>3366</v>
      </c>
      <c r="G3188" s="75"/>
      <c r="H3188" s="74"/>
      <c r="K3188" s="43"/>
    </row>
    <row r="3189">
      <c r="A3189" s="21"/>
      <c r="B3189" s="33" t="s">
        <v>29626</v>
      </c>
      <c r="C3189" s="42">
        <v>1008.0</v>
      </c>
      <c r="D3189" s="33" t="s">
        <v>29627</v>
      </c>
      <c r="E3189" s="74"/>
      <c r="F3189" s="46" t="s">
        <v>3366</v>
      </c>
      <c r="G3189" s="75"/>
      <c r="H3189" s="74"/>
      <c r="K3189" s="43"/>
    </row>
    <row r="3190">
      <c r="A3190" s="21"/>
      <c r="B3190" s="33" t="s">
        <v>29630</v>
      </c>
      <c r="C3190" s="42">
        <v>1980.0</v>
      </c>
      <c r="D3190" s="33" t="s">
        <v>29631</v>
      </c>
      <c r="E3190" s="74"/>
      <c r="F3190" s="46" t="s">
        <v>3366</v>
      </c>
      <c r="G3190" s="75"/>
      <c r="H3190" s="74"/>
      <c r="K3190" s="43"/>
    </row>
    <row r="3191">
      <c r="A3191" s="21"/>
      <c r="B3191" s="33" t="s">
        <v>29633</v>
      </c>
      <c r="C3191" s="42">
        <v>6516.0</v>
      </c>
      <c r="D3191" s="33" t="s">
        <v>29634</v>
      </c>
      <c r="E3191" s="74"/>
      <c r="F3191" s="46" t="s">
        <v>3366</v>
      </c>
      <c r="G3191" s="75"/>
      <c r="H3191" s="74"/>
      <c r="K3191" s="43"/>
    </row>
    <row r="3192">
      <c r="A3192" s="21"/>
      <c r="B3192" s="33" t="s">
        <v>29636</v>
      </c>
      <c r="C3192" s="42">
        <v>79.0</v>
      </c>
      <c r="D3192" s="33" t="s">
        <v>29637</v>
      </c>
      <c r="E3192" s="74"/>
      <c r="F3192" s="46" t="s">
        <v>7609</v>
      </c>
      <c r="G3192" s="75"/>
      <c r="H3192" s="96" t="str">
        <f>HYPERLINK("http://mirror.ff7data.com.ar/ff7/data/wm/world_us.lgp/aia.hrc.png","View Picture")</f>
        <v>View Picture</v>
      </c>
      <c r="K3192" s="43"/>
    </row>
    <row r="3193">
      <c r="A3193" s="21"/>
      <c r="B3193" s="33" t="s">
        <v>29645</v>
      </c>
      <c r="C3193" s="42">
        <v>75.0</v>
      </c>
      <c r="D3193" s="33" t="s">
        <v>29646</v>
      </c>
      <c r="E3193" s="74"/>
      <c r="F3193" s="46" t="s">
        <v>2793</v>
      </c>
      <c r="G3193" s="75"/>
      <c r="H3193" s="96" t="str">
        <f>HYPERLINK("http://mirror.ff7data.com.ar/ff7/data/wm/world_us.lgp/aib.rsd.png","View Picture")</f>
        <v>View Picture</v>
      </c>
      <c r="K3193" s="43"/>
    </row>
    <row r="3194">
      <c r="A3194" s="154"/>
      <c r="B3194" s="33" t="s">
        <v>29654</v>
      </c>
      <c r="C3194" s="42">
        <v>5368.0</v>
      </c>
      <c r="D3194" s="33" t="s">
        <v>29646</v>
      </c>
      <c r="E3194" s="74"/>
      <c r="F3194" s="46" t="s">
        <v>2775</v>
      </c>
      <c r="G3194" s="75"/>
      <c r="H3194" s="96" t="str">
        <f>HYPERLINK("http://mirror.ff7data.com.ar/ff7/data/wm/world_us.lgp/aic.p.png","View Picture")</f>
        <v>View Picture</v>
      </c>
      <c r="K3194" s="43"/>
    </row>
    <row r="3195">
      <c r="A3195" s="21"/>
      <c r="B3195" s="33" t="s">
        <v>29663</v>
      </c>
      <c r="C3195" s="42">
        <v>1324.0</v>
      </c>
      <c r="D3195" s="33" t="s">
        <v>29665</v>
      </c>
      <c r="E3195" s="74"/>
      <c r="F3195" s="46" t="s">
        <v>1348</v>
      </c>
      <c r="G3195" s="75"/>
      <c r="H3195" s="98" t="str">
        <f>HYPERLINK("http://mirror.ff7data.com.ar/ff7/data/wm/world_us.lgp/aid.tex.png","View Picture")</f>
        <v>View Picture</v>
      </c>
      <c r="K3195" s="43"/>
    </row>
    <row r="3196">
      <c r="A3196" s="21"/>
      <c r="B3196" s="33" t="s">
        <v>29673</v>
      </c>
      <c r="C3196" s="42">
        <v>756.0</v>
      </c>
      <c r="D3196" s="33" t="s">
        <v>29674</v>
      </c>
      <c r="E3196" s="74"/>
      <c r="F3196" s="46" t="s">
        <v>3366</v>
      </c>
      <c r="G3196" s="75"/>
      <c r="H3196" s="74"/>
      <c r="K3196" s="43"/>
    </row>
    <row r="3197">
      <c r="A3197" s="21"/>
      <c r="B3197" s="33" t="s">
        <v>29677</v>
      </c>
      <c r="C3197" s="42">
        <v>1009.0</v>
      </c>
      <c r="D3197" s="33" t="s">
        <v>29679</v>
      </c>
      <c r="E3197" s="74"/>
      <c r="F3197" s="46" t="s">
        <v>7609</v>
      </c>
      <c r="G3197" s="75"/>
      <c r="H3197" s="96" t="str">
        <f>HYPERLINK("http://mirror.ff7data.com.ar/ff7/data/wm/world_us.lgp/aja.hrc.png","View Picture")</f>
        <v>View Picture</v>
      </c>
      <c r="K3197" s="43"/>
    </row>
    <row r="3198">
      <c r="A3198" s="21"/>
      <c r="B3198" s="33" t="s">
        <v>29686</v>
      </c>
      <c r="C3198" s="42">
        <v>124.0</v>
      </c>
      <c r="D3198" s="33" t="s">
        <v>2773</v>
      </c>
      <c r="E3198" s="74"/>
      <c r="F3198" s="46" t="s">
        <v>2793</v>
      </c>
      <c r="G3198" s="75"/>
      <c r="H3198" s="96" t="str">
        <f>HYPERLINK("http://mirror.ff7data.com.ar/ff7/data/wm/world_us.lgp/ajb.rsd.png","View Picture")</f>
        <v>View Picture</v>
      </c>
      <c r="K3198" s="43"/>
    </row>
    <row r="3199">
      <c r="A3199" s="21"/>
      <c r="B3199" s="33" t="s">
        <v>29693</v>
      </c>
      <c r="C3199" s="42">
        <v>1580.0</v>
      </c>
      <c r="D3199" s="33" t="s">
        <v>2773</v>
      </c>
      <c r="E3199" s="74"/>
      <c r="F3199" s="46" t="s">
        <v>2775</v>
      </c>
      <c r="G3199" s="75"/>
      <c r="H3199" s="96" t="str">
        <f>HYPERLINK("http://mirror.ff7data.com.ar/ff7/data/wm/world_us.lgp/ajc.p.png","View Picture")</f>
        <v>View Picture</v>
      </c>
      <c r="K3199" s="43"/>
    </row>
    <row r="3200">
      <c r="A3200" s="21"/>
      <c r="B3200" s="33" t="s">
        <v>29701</v>
      </c>
      <c r="C3200" s="42">
        <v>124.0</v>
      </c>
      <c r="D3200" s="33" t="s">
        <v>29703</v>
      </c>
      <c r="E3200" s="74"/>
      <c r="F3200" s="46" t="s">
        <v>2793</v>
      </c>
      <c r="G3200" s="75"/>
      <c r="H3200" s="96" t="str">
        <f>HYPERLINK("http://mirror.ff7data.com.ar/ff7/data/wm/world_us.lgp/ajd.rsd.png","View Picture")</f>
        <v>View Picture</v>
      </c>
      <c r="K3200" s="43"/>
    </row>
    <row r="3201">
      <c r="A3201" s="21"/>
      <c r="B3201" s="33" t="s">
        <v>29710</v>
      </c>
      <c r="C3201" s="42">
        <v>1404.0</v>
      </c>
      <c r="D3201" s="33" t="s">
        <v>29703</v>
      </c>
      <c r="E3201" s="74"/>
      <c r="F3201" s="46" t="s">
        <v>2775</v>
      </c>
      <c r="G3201" s="75"/>
      <c r="H3201" s="96" t="str">
        <f>HYPERLINK("http://mirror.ff7data.com.ar/ff7/data/wm/world_us.lgp/aje.p.png","View Picture")</f>
        <v>View Picture</v>
      </c>
      <c r="K3201" s="43"/>
    </row>
    <row r="3202">
      <c r="A3202" s="21"/>
      <c r="B3202" s="33" t="s">
        <v>29717</v>
      </c>
      <c r="C3202" s="42">
        <v>124.0</v>
      </c>
      <c r="D3202" s="33" t="s">
        <v>2855</v>
      </c>
      <c r="E3202" s="74"/>
      <c r="F3202" s="46" t="s">
        <v>2793</v>
      </c>
      <c r="G3202" s="75"/>
      <c r="H3202" s="96" t="str">
        <f>HYPERLINK("http://mirror.ff7data.com.ar/ff7/data/wm/world_us.lgp/aka.rsd.png","View Picture")</f>
        <v>View Picture</v>
      </c>
      <c r="K3202" s="43"/>
    </row>
    <row r="3203">
      <c r="A3203" s="21"/>
      <c r="B3203" s="33" t="s">
        <v>29727</v>
      </c>
      <c r="C3203" s="42">
        <v>1228.0</v>
      </c>
      <c r="D3203" s="33" t="s">
        <v>2855</v>
      </c>
      <c r="E3203" s="74"/>
      <c r="F3203" s="46" t="s">
        <v>2775</v>
      </c>
      <c r="G3203" s="75"/>
      <c r="H3203" s="96" t="str">
        <f>HYPERLINK("http://mirror.ff7data.com.ar/ff7/data/wm/world_us.lgp/akb.p.png","View Picture")</f>
        <v>View Picture</v>
      </c>
      <c r="K3203" s="43"/>
    </row>
    <row r="3204">
      <c r="A3204" s="21"/>
      <c r="B3204" s="33" t="s">
        <v>29738</v>
      </c>
      <c r="C3204" s="42">
        <v>124.0</v>
      </c>
      <c r="D3204" s="33" t="s">
        <v>29741</v>
      </c>
      <c r="E3204" s="74"/>
      <c r="F3204" s="46" t="s">
        <v>2793</v>
      </c>
      <c r="G3204" s="75"/>
      <c r="H3204" s="96" t="str">
        <f>HYPERLINK("http://mirror.ff7data.com.ar/ff7/data/wm/world_us.lgp/akc.rsd.png","View Picture")</f>
        <v>View Picture</v>
      </c>
      <c r="K3204" s="43"/>
    </row>
    <row r="3205">
      <c r="A3205" s="21"/>
      <c r="B3205" s="33" t="s">
        <v>29748</v>
      </c>
      <c r="C3205" s="42">
        <v>4020.0</v>
      </c>
      <c r="D3205" s="33" t="s">
        <v>29741</v>
      </c>
      <c r="E3205" s="74"/>
      <c r="F3205" s="46" t="s">
        <v>2775</v>
      </c>
      <c r="G3205" s="75"/>
      <c r="H3205" s="96" t="str">
        <f>HYPERLINK("http://mirror.ff7data.com.ar/ff7/data/wm/world_us.lgp/akd.p.png","View Picture")</f>
        <v>View Picture</v>
      </c>
      <c r="K3205" s="43"/>
    </row>
    <row r="3206">
      <c r="A3206" s="21"/>
      <c r="B3206" s="33" t="s">
        <v>29755</v>
      </c>
      <c r="C3206" s="42">
        <v>124.0</v>
      </c>
      <c r="D3206" s="33" t="s">
        <v>2937</v>
      </c>
      <c r="E3206" s="74"/>
      <c r="F3206" s="46" t="s">
        <v>2793</v>
      </c>
      <c r="G3206" s="75"/>
      <c r="H3206" s="96" t="str">
        <f>HYPERLINK("http://mirror.ff7data.com.ar/ff7/data/wm/world_us.lgp/ake.rsd.png","View Picture")</f>
        <v>View Picture</v>
      </c>
      <c r="K3206" s="43"/>
    </row>
    <row r="3207">
      <c r="A3207" s="21"/>
      <c r="B3207" s="33" t="s">
        <v>29762</v>
      </c>
      <c r="C3207" s="42">
        <v>832.0</v>
      </c>
      <c r="D3207" s="33" t="s">
        <v>2937</v>
      </c>
      <c r="E3207" s="74"/>
      <c r="F3207" s="46" t="s">
        <v>2775</v>
      </c>
      <c r="G3207" s="75"/>
      <c r="H3207" s="96" t="str">
        <f>HYPERLINK("http://mirror.ff7data.com.ar/ff7/data/wm/world_us.lgp/ala.p.png","View Picture")</f>
        <v>View Picture</v>
      </c>
      <c r="K3207" s="43"/>
    </row>
    <row r="3208">
      <c r="A3208" s="21"/>
      <c r="B3208" s="33" t="s">
        <v>29770</v>
      </c>
      <c r="C3208" s="42">
        <v>124.0</v>
      </c>
      <c r="D3208" s="33" t="s">
        <v>2958</v>
      </c>
      <c r="E3208" s="74"/>
      <c r="F3208" s="46" t="s">
        <v>2793</v>
      </c>
      <c r="G3208" s="75"/>
      <c r="H3208" s="96" t="str">
        <f>HYPERLINK("http://mirror.ff7data.com.ar/ff7/data/wm/world_us.lgp/alb.rsd.png","View Picture")</f>
        <v>View Picture</v>
      </c>
      <c r="K3208" s="43"/>
    </row>
    <row r="3209">
      <c r="A3209" s="21"/>
      <c r="B3209" s="33" t="s">
        <v>29780</v>
      </c>
      <c r="C3209" s="42">
        <v>1404.0</v>
      </c>
      <c r="D3209" s="33" t="s">
        <v>2958</v>
      </c>
      <c r="E3209" s="74"/>
      <c r="F3209" s="46" t="s">
        <v>2775</v>
      </c>
      <c r="G3209" s="75"/>
      <c r="H3209" s="96" t="str">
        <f>HYPERLINK("http://mirror.ff7data.com.ar/ff7/data/wm/world_us.lgp/alc.p.png","View Picture")</f>
        <v>View Picture</v>
      </c>
      <c r="K3209" s="43"/>
    </row>
    <row r="3210">
      <c r="A3210" s="21"/>
      <c r="B3210" s="33" t="s">
        <v>29790</v>
      </c>
      <c r="C3210" s="42">
        <v>124.0</v>
      </c>
      <c r="D3210" s="33" t="s">
        <v>2998</v>
      </c>
      <c r="E3210" s="74"/>
      <c r="F3210" s="46" t="s">
        <v>2793</v>
      </c>
      <c r="G3210" s="75"/>
      <c r="H3210" s="96" t="str">
        <f>HYPERLINK("http://mirror.ff7data.com.ar/ff7/data/wm/world_us.lgp/ald.rsd.png","View Picture")</f>
        <v>View Picture</v>
      </c>
      <c r="K3210" s="43"/>
    </row>
    <row r="3211">
      <c r="A3211" s="21"/>
      <c r="B3211" s="33" t="s">
        <v>29798</v>
      </c>
      <c r="C3211" s="42">
        <v>1448.0</v>
      </c>
      <c r="D3211" s="33" t="s">
        <v>2998</v>
      </c>
      <c r="E3211" s="74"/>
      <c r="F3211" s="46" t="s">
        <v>2775</v>
      </c>
      <c r="G3211" s="75"/>
      <c r="H3211" s="96" t="str">
        <f>HYPERLINK("http://mirror.ff7data.com.ar/ff7/data/wm/world_us.lgp/ale.p.png","View Picture")</f>
        <v>View Picture</v>
      </c>
      <c r="K3211" s="43"/>
    </row>
    <row r="3212">
      <c r="A3212" s="21"/>
      <c r="B3212" s="33" t="s">
        <v>29807</v>
      </c>
      <c r="C3212" s="42">
        <v>124.0</v>
      </c>
      <c r="D3212" s="33" t="s">
        <v>29811</v>
      </c>
      <c r="E3212" s="74"/>
      <c r="F3212" s="46" t="s">
        <v>2793</v>
      </c>
      <c r="G3212" s="75"/>
      <c r="H3212" s="96" t="str">
        <f>HYPERLINK("http://mirror.ff7data.com.ar/ff7/data/wm/world_us.lgp/ama.rsd.png","View Picture")</f>
        <v>View Picture</v>
      </c>
      <c r="K3212" s="43"/>
    </row>
    <row r="3213">
      <c r="A3213" s="21"/>
      <c r="B3213" s="33" t="s">
        <v>29818</v>
      </c>
      <c r="C3213" s="42">
        <v>876.0</v>
      </c>
      <c r="D3213" s="33" t="s">
        <v>29811</v>
      </c>
      <c r="E3213" s="74"/>
      <c r="F3213" s="46" t="s">
        <v>2775</v>
      </c>
      <c r="G3213" s="75"/>
      <c r="H3213" s="96" t="str">
        <f>HYPERLINK("http://mirror.ff7data.com.ar/ff7/data/wm/world_us.lgp/amb.p.png","View Picture")</f>
        <v>View Picture</v>
      </c>
      <c r="K3213" s="43"/>
    </row>
    <row r="3214">
      <c r="A3214" s="21"/>
      <c r="B3214" s="33" t="s">
        <v>29826</v>
      </c>
      <c r="C3214" s="42">
        <v>124.0</v>
      </c>
      <c r="D3214" s="33" t="s">
        <v>29828</v>
      </c>
      <c r="E3214" s="74"/>
      <c r="F3214" s="46" t="s">
        <v>2793</v>
      </c>
      <c r="G3214" s="75"/>
      <c r="H3214" s="96" t="str">
        <f>HYPERLINK("http://mirror.ff7data.com.ar/ff7/data/wm/world_us.lgp/amc.rsd.png","View Picture")</f>
        <v>View Picture</v>
      </c>
      <c r="K3214" s="43"/>
    </row>
    <row r="3215">
      <c r="A3215" s="21"/>
      <c r="B3215" s="33" t="s">
        <v>29835</v>
      </c>
      <c r="C3215" s="42">
        <v>672.0</v>
      </c>
      <c r="D3215" s="33" t="s">
        <v>29828</v>
      </c>
      <c r="E3215" s="74"/>
      <c r="F3215" s="46" t="s">
        <v>2775</v>
      </c>
      <c r="G3215" s="75"/>
      <c r="H3215" s="96" t="str">
        <f>HYPERLINK("http://mirror.ff7data.com.ar/ff7/data/wm/world_us.lgp/amd.p.png","View Picture")</f>
        <v>View Picture</v>
      </c>
      <c r="K3215" s="43"/>
    </row>
    <row r="3216">
      <c r="A3216" s="21"/>
      <c r="B3216" s="33" t="s">
        <v>29844</v>
      </c>
      <c r="C3216" s="42">
        <v>124.0</v>
      </c>
      <c r="D3216" s="33" t="s">
        <v>29846</v>
      </c>
      <c r="E3216" s="74"/>
      <c r="F3216" s="46" t="s">
        <v>2793</v>
      </c>
      <c r="G3216" s="75"/>
      <c r="H3216" s="96" t="str">
        <f>HYPERLINK("http://mirror.ff7data.com.ar/ff7/data/wm/world_us.lgp/ame.rsd.png","View Picture")</f>
        <v>View Picture</v>
      </c>
      <c r="K3216" s="43"/>
    </row>
    <row r="3217">
      <c r="A3217" s="21"/>
      <c r="B3217" s="33" t="s">
        <v>29854</v>
      </c>
      <c r="C3217" s="42">
        <v>700.0</v>
      </c>
      <c r="D3217" s="33" t="s">
        <v>29846</v>
      </c>
      <c r="E3217" s="74"/>
      <c r="F3217" s="46" t="s">
        <v>2775</v>
      </c>
      <c r="G3217" s="75"/>
      <c r="H3217" s="96" t="str">
        <f>HYPERLINK("http://mirror.ff7data.com.ar/ff7/data/wm/world_us.lgp/ana.p.png","View Picture")</f>
        <v>View Picture</v>
      </c>
      <c r="K3217" s="43"/>
    </row>
    <row r="3218">
      <c r="A3218" s="21"/>
      <c r="B3218" s="33" t="s">
        <v>29862</v>
      </c>
      <c r="C3218" s="42">
        <v>124.0</v>
      </c>
      <c r="D3218" s="33" t="s">
        <v>29864</v>
      </c>
      <c r="E3218" s="74"/>
      <c r="F3218" s="46" t="s">
        <v>2793</v>
      </c>
      <c r="G3218" s="75"/>
      <c r="H3218" s="96" t="str">
        <f>HYPERLINK("http://mirror.ff7data.com.ar/ff7/data/wm/world_us.lgp/anb.rsd.png","View Picture")</f>
        <v>View Picture</v>
      </c>
      <c r="K3218" s="43"/>
    </row>
    <row r="3219">
      <c r="A3219" s="21"/>
      <c r="B3219" s="33" t="s">
        <v>29872</v>
      </c>
      <c r="C3219" s="42">
        <v>820.0</v>
      </c>
      <c r="D3219" s="33" t="s">
        <v>29864</v>
      </c>
      <c r="E3219" s="74"/>
      <c r="F3219" s="46" t="s">
        <v>2775</v>
      </c>
      <c r="G3219" s="75"/>
      <c r="H3219" s="96" t="str">
        <f>HYPERLINK("http://mirror.ff7data.com.ar/ff7/data/wm/world_us.lgp/anc.p.png","View Picture")</f>
        <v>View Picture</v>
      </c>
      <c r="K3219" s="43"/>
    </row>
    <row r="3220">
      <c r="A3220" s="21"/>
      <c r="B3220" s="33" t="s">
        <v>29880</v>
      </c>
      <c r="C3220" s="42">
        <v>124.0</v>
      </c>
      <c r="D3220" s="33" t="s">
        <v>29882</v>
      </c>
      <c r="E3220" s="74"/>
      <c r="F3220" s="46" t="s">
        <v>2793</v>
      </c>
      <c r="G3220" s="75"/>
      <c r="H3220" s="96" t="str">
        <f>HYPERLINK("http://mirror.ff7data.com.ar/ff7/data/wm/world_us.lgp/and.rsd.png","View Picture")</f>
        <v>View Picture</v>
      </c>
      <c r="K3220" s="43"/>
    </row>
    <row r="3221">
      <c r="A3221" s="21"/>
      <c r="B3221" s="33" t="s">
        <v>29891</v>
      </c>
      <c r="C3221" s="42">
        <v>644.0</v>
      </c>
      <c r="D3221" s="33" t="s">
        <v>29882</v>
      </c>
      <c r="E3221" s="74"/>
      <c r="F3221" s="46" t="s">
        <v>2775</v>
      </c>
      <c r="G3221" s="75"/>
      <c r="H3221" s="96" t="str">
        <f>HYPERLINK("http://mirror.ff7data.com.ar/ff7/data/wm/world_us.lgp/ane.p.png","View Picture")</f>
        <v>View Picture</v>
      </c>
      <c r="K3221" s="43"/>
    </row>
    <row r="3222">
      <c r="A3222" s="21"/>
      <c r="B3222" s="33" t="s">
        <v>29901</v>
      </c>
      <c r="C3222" s="42">
        <v>124.0</v>
      </c>
      <c r="D3222" s="33" t="s">
        <v>29903</v>
      </c>
      <c r="E3222" s="74"/>
      <c r="F3222" s="46" t="s">
        <v>2793</v>
      </c>
      <c r="G3222" s="75"/>
      <c r="H3222" s="96" t="str">
        <f>HYPERLINK("http://mirror.ff7data.com.ar/ff7/data/wm/world_us.lgp/aoa.rsd.png","View Picture")</f>
        <v>View Picture</v>
      </c>
      <c r="K3222" s="43"/>
    </row>
    <row r="3223">
      <c r="A3223" s="21"/>
      <c r="B3223" s="33" t="s">
        <v>29908</v>
      </c>
      <c r="C3223" s="42">
        <v>760.0</v>
      </c>
      <c r="D3223" s="33" t="s">
        <v>29903</v>
      </c>
      <c r="E3223" s="74"/>
      <c r="F3223" s="46" t="s">
        <v>2775</v>
      </c>
      <c r="G3223" s="75"/>
      <c r="H3223" s="96" t="str">
        <f>HYPERLINK("http://mirror.ff7data.com.ar/ff7/data/wm/world_us.lgp/aob.p.png","View Picture")</f>
        <v>View Picture</v>
      </c>
      <c r="K3223" s="43"/>
    </row>
    <row r="3224">
      <c r="A3224" s="21"/>
      <c r="B3224" s="33" t="s">
        <v>29916</v>
      </c>
      <c r="C3224" s="42">
        <v>124.0</v>
      </c>
      <c r="D3224" s="33" t="s">
        <v>29918</v>
      </c>
      <c r="E3224" s="74"/>
      <c r="F3224" s="46" t="s">
        <v>2793</v>
      </c>
      <c r="G3224" s="75"/>
      <c r="H3224" s="96" t="str">
        <f>HYPERLINK("http://mirror.ff7data.com.ar/ff7/data/wm/world_us.lgp/aoc.rsd.png","View Picture")</f>
        <v>View Picture</v>
      </c>
      <c r="K3224" s="43"/>
    </row>
    <row r="3225">
      <c r="A3225" s="21"/>
      <c r="B3225" s="33" t="s">
        <v>29924</v>
      </c>
      <c r="C3225" s="42">
        <v>644.0</v>
      </c>
      <c r="D3225" s="33" t="s">
        <v>29918</v>
      </c>
      <c r="E3225" s="74"/>
      <c r="F3225" s="46" t="s">
        <v>2775</v>
      </c>
      <c r="G3225" s="75"/>
      <c r="H3225" s="96" t="str">
        <f>HYPERLINK("http://mirror.ff7data.com.ar/ff7/data/wm/world_us.lgp/aod.p.png","View Picture")</f>
        <v>View Picture</v>
      </c>
      <c r="K3225" s="43"/>
    </row>
    <row r="3226">
      <c r="A3226" s="21"/>
      <c r="B3226" s="33" t="s">
        <v>29932</v>
      </c>
      <c r="C3226" s="42">
        <v>124.0</v>
      </c>
      <c r="D3226" s="33" t="s">
        <v>29933</v>
      </c>
      <c r="E3226" s="74"/>
      <c r="F3226" s="46" t="s">
        <v>2793</v>
      </c>
      <c r="G3226" s="75"/>
      <c r="H3226" s="96" t="str">
        <f>HYPERLINK("http://mirror.ff7data.com.ar/ff7/data/wm/world_us.lgp/aoe.rsd.png","View Picture")</f>
        <v>View Picture</v>
      </c>
      <c r="K3226" s="43"/>
    </row>
    <row r="3227">
      <c r="A3227" s="21"/>
      <c r="B3227" s="33" t="s">
        <v>29940</v>
      </c>
      <c r="C3227" s="42">
        <v>760.0</v>
      </c>
      <c r="D3227" s="33" t="s">
        <v>29933</v>
      </c>
      <c r="E3227" s="74"/>
      <c r="F3227" s="46" t="s">
        <v>2775</v>
      </c>
      <c r="G3227" s="75"/>
      <c r="H3227" s="96" t="str">
        <f>HYPERLINK("http://mirror.ff7data.com.ar/ff7/data/wm/world_us.lgp/apa.p.png","View Picture")</f>
        <v>View Picture</v>
      </c>
      <c r="K3227" s="43"/>
    </row>
    <row r="3228">
      <c r="A3228" s="21"/>
      <c r="B3228" s="33" t="s">
        <v>29946</v>
      </c>
      <c r="C3228" s="42">
        <v>124.0</v>
      </c>
      <c r="D3228" s="33" t="s">
        <v>29948</v>
      </c>
      <c r="E3228" s="74"/>
      <c r="F3228" s="46" t="s">
        <v>2793</v>
      </c>
      <c r="G3228" s="75"/>
      <c r="H3228" s="96" t="str">
        <f>HYPERLINK("http://mirror.ff7data.com.ar/ff7/data/wm/world_us.lgp/apb.rsd.png","View Picture")</f>
        <v>View Picture</v>
      </c>
      <c r="K3228" s="43"/>
    </row>
    <row r="3229">
      <c r="A3229" s="21"/>
      <c r="B3229" s="33" t="s">
        <v>29956</v>
      </c>
      <c r="C3229" s="42">
        <v>876.0</v>
      </c>
      <c r="D3229" s="33" t="s">
        <v>29948</v>
      </c>
      <c r="E3229" s="74"/>
      <c r="F3229" s="46" t="s">
        <v>2793</v>
      </c>
      <c r="G3229" s="75"/>
      <c r="H3229" s="96" t="str">
        <f>HYPERLINK("http://mirror.ff7data.com.ar/ff7/data/wm/world_us.lgp/apc.p.png","View Picture")</f>
        <v>View Picture</v>
      </c>
      <c r="K3229" s="43"/>
    </row>
    <row r="3230">
      <c r="A3230" s="21"/>
      <c r="B3230" s="33" t="s">
        <v>29965</v>
      </c>
      <c r="C3230" s="42">
        <v>124.0</v>
      </c>
      <c r="D3230" s="33" t="s">
        <v>29967</v>
      </c>
      <c r="E3230" s="74"/>
      <c r="F3230" s="46" t="s">
        <v>2775</v>
      </c>
      <c r="G3230" s="75"/>
      <c r="H3230" s="96" t="str">
        <f>HYPERLINK("http://mirror.ff7data.com.ar/ff7/data/wm/world_us.lgp/apd.rsd.png","View Picture")</f>
        <v>View Picture</v>
      </c>
      <c r="K3230" s="43"/>
    </row>
    <row r="3231">
      <c r="A3231" s="21"/>
      <c r="B3231" s="33" t="s">
        <v>29972</v>
      </c>
      <c r="C3231" s="42">
        <v>672.0</v>
      </c>
      <c r="D3231" s="33" t="s">
        <v>29967</v>
      </c>
      <c r="E3231" s="74"/>
      <c r="F3231" s="46" t="s">
        <v>2793</v>
      </c>
      <c r="G3231" s="75"/>
      <c r="H3231" s="96" t="str">
        <f>HYPERLINK("http://mirror.ff7data.com.ar/ff7/data/wm/world_us.lgp/ape.p.png","View Picture")</f>
        <v>View Picture</v>
      </c>
      <c r="K3231" s="43"/>
    </row>
    <row r="3232">
      <c r="A3232" s="21"/>
      <c r="B3232" s="33" t="s">
        <v>29975</v>
      </c>
      <c r="C3232" s="42">
        <v>124.0</v>
      </c>
      <c r="D3232" s="33" t="s">
        <v>29977</v>
      </c>
      <c r="E3232" s="74"/>
      <c r="F3232" s="46" t="s">
        <v>2775</v>
      </c>
      <c r="G3232" s="75"/>
      <c r="H3232" s="96" t="str">
        <f>HYPERLINK("http://mirror.ff7data.com.ar/ff7/data/wm/world_us.lgp/aqa.rsd.png","View Picture")</f>
        <v>View Picture</v>
      </c>
      <c r="K3232" s="43"/>
    </row>
    <row r="3233">
      <c r="A3233" s="21"/>
      <c r="B3233" s="33" t="s">
        <v>29986</v>
      </c>
      <c r="C3233" s="42">
        <v>700.0</v>
      </c>
      <c r="D3233" s="33" t="s">
        <v>29977</v>
      </c>
      <c r="E3233" s="74"/>
      <c r="F3233" s="46" t="s">
        <v>2793</v>
      </c>
      <c r="G3233" s="75"/>
      <c r="H3233" s="96" t="str">
        <f>HYPERLINK("http://mirror.ff7data.com.ar/ff7/data/wm/world_us.lgp/aqb.p.png","View Picture")</f>
        <v>View Picture</v>
      </c>
      <c r="K3233" s="43"/>
    </row>
    <row r="3234">
      <c r="A3234" s="21"/>
      <c r="B3234" s="33" t="s">
        <v>29995</v>
      </c>
      <c r="C3234" s="42">
        <v>124.0</v>
      </c>
      <c r="D3234" s="33" t="s">
        <v>29996</v>
      </c>
      <c r="E3234" s="74"/>
      <c r="F3234" s="46" t="s">
        <v>2775</v>
      </c>
      <c r="G3234" s="75"/>
      <c r="H3234" s="96" t="str">
        <f>HYPERLINK("http://mirror.ff7data.com.ar/ff7/data/wm/world_us.lgp/aqc.rsd.png","View Picture")</f>
        <v>View Picture</v>
      </c>
      <c r="K3234" s="43"/>
    </row>
    <row r="3235">
      <c r="A3235" s="21"/>
      <c r="B3235" s="33" t="s">
        <v>30004</v>
      </c>
      <c r="C3235" s="42">
        <v>820.0</v>
      </c>
      <c r="D3235" s="33" t="s">
        <v>29996</v>
      </c>
      <c r="E3235" s="74"/>
      <c r="F3235" s="46" t="s">
        <v>2793</v>
      </c>
      <c r="G3235" s="75"/>
      <c r="H3235" s="96" t="str">
        <f>HYPERLINK("http://mirror.ff7data.com.ar/ff7/data/wm/world_us.lgp/aqd.p.png","View Picture")</f>
        <v>View Picture</v>
      </c>
      <c r="K3235" s="43"/>
    </row>
    <row r="3236">
      <c r="A3236" s="21"/>
      <c r="B3236" s="33" t="s">
        <v>30011</v>
      </c>
      <c r="C3236" s="42">
        <v>124.0</v>
      </c>
      <c r="D3236" s="33" t="s">
        <v>30013</v>
      </c>
      <c r="E3236" s="74"/>
      <c r="F3236" s="46" t="s">
        <v>2775</v>
      </c>
      <c r="G3236" s="75"/>
      <c r="H3236" s="96" t="str">
        <f>HYPERLINK("http://mirror.ff7data.com.ar/ff7/data/wm/world_us.lgp/aqe.rsd.png","View Picture")</f>
        <v>View Picture</v>
      </c>
      <c r="K3236" s="43"/>
    </row>
    <row r="3237">
      <c r="A3237" s="21"/>
      <c r="B3237" s="33" t="s">
        <v>30020</v>
      </c>
      <c r="C3237" s="42">
        <v>644.0</v>
      </c>
      <c r="D3237" s="33" t="s">
        <v>30013</v>
      </c>
      <c r="E3237" s="74"/>
      <c r="F3237" s="46" t="s">
        <v>2793</v>
      </c>
      <c r="G3237" s="75"/>
      <c r="H3237" s="96" t="str">
        <f>HYPERLINK("http://mirror.ff7data.com.ar/ff7/data/wm/world_us.lgp/ara.p.png","View Picture")</f>
        <v>View Picture</v>
      </c>
      <c r="K3237" s="43"/>
    </row>
    <row r="3238">
      <c r="A3238" s="21"/>
      <c r="B3238" s="33" t="s">
        <v>30030</v>
      </c>
      <c r="C3238" s="42">
        <v>124.0</v>
      </c>
      <c r="D3238" s="33" t="s">
        <v>30032</v>
      </c>
      <c r="E3238" s="74"/>
      <c r="F3238" s="46" t="s">
        <v>2775</v>
      </c>
      <c r="G3238" s="75"/>
      <c r="H3238" s="96" t="str">
        <f>HYPERLINK("http://mirror.ff7data.com.ar/ff7/data/wm/world_us.lgp/arb.rsd.png","View Picture")</f>
        <v>View Picture</v>
      </c>
      <c r="K3238" s="43"/>
    </row>
    <row r="3239">
      <c r="A3239" s="21"/>
      <c r="B3239" s="33" t="s">
        <v>30039</v>
      </c>
      <c r="C3239" s="42">
        <v>760.0</v>
      </c>
      <c r="D3239" s="33" t="s">
        <v>30032</v>
      </c>
      <c r="E3239" s="74"/>
      <c r="F3239" s="46" t="s">
        <v>2793</v>
      </c>
      <c r="G3239" s="75"/>
      <c r="H3239" s="96" t="str">
        <f>HYPERLINK("http://mirror.ff7data.com.ar/ff7/data/wm/world_us.lgp/arc.p.png","View Picture")</f>
        <v>View Picture</v>
      </c>
      <c r="K3239" s="43"/>
    </row>
    <row r="3240">
      <c r="A3240" s="21"/>
      <c r="B3240" s="33" t="s">
        <v>30047</v>
      </c>
      <c r="C3240" s="42">
        <v>124.0</v>
      </c>
      <c r="D3240" s="33" t="s">
        <v>30048</v>
      </c>
      <c r="E3240" s="74"/>
      <c r="F3240" s="46" t="s">
        <v>2775</v>
      </c>
      <c r="G3240" s="75"/>
      <c r="H3240" s="96" t="str">
        <f>HYPERLINK("http://mirror.ff7data.com.ar/ff7/data/wm/world_us.lgp/ard.rsd.png","View Picture")</f>
        <v>View Picture</v>
      </c>
      <c r="K3240" s="43"/>
    </row>
    <row r="3241">
      <c r="A3241" s="21"/>
      <c r="B3241" s="33" t="s">
        <v>30056</v>
      </c>
      <c r="C3241" s="42">
        <v>644.0</v>
      </c>
      <c r="D3241" s="33" t="s">
        <v>30048</v>
      </c>
      <c r="E3241" s="74"/>
      <c r="F3241" s="46" t="s">
        <v>2793</v>
      </c>
      <c r="G3241" s="75"/>
      <c r="H3241" s="96" t="str">
        <f>HYPERLINK("http://mirror.ff7data.com.ar/ff7/data/wm/world_us.lgp/are.p.png","View Picture")</f>
        <v>View Picture</v>
      </c>
      <c r="K3241" s="43"/>
    </row>
    <row r="3242">
      <c r="A3242" s="21"/>
      <c r="B3242" s="33" t="s">
        <v>30064</v>
      </c>
      <c r="C3242" s="42">
        <v>124.0</v>
      </c>
      <c r="D3242" s="33" t="s">
        <v>30066</v>
      </c>
      <c r="E3242" s="74"/>
      <c r="F3242" s="46" t="s">
        <v>2775</v>
      </c>
      <c r="G3242" s="75"/>
      <c r="H3242" s="96" t="str">
        <f>HYPERLINK("http://mirror.ff7data.com.ar/ff7/data/wm/world_us.lgp/asa.rsd.png","View Picture")</f>
        <v>View Picture</v>
      </c>
      <c r="K3242" s="43"/>
    </row>
    <row r="3243">
      <c r="A3243" s="21"/>
      <c r="B3243" s="33" t="s">
        <v>30076</v>
      </c>
      <c r="C3243" s="42">
        <v>760.0</v>
      </c>
      <c r="D3243" s="33" t="s">
        <v>30066</v>
      </c>
      <c r="E3243" s="74"/>
      <c r="F3243" s="46" t="s">
        <v>2793</v>
      </c>
      <c r="G3243" s="75"/>
      <c r="H3243" s="96" t="str">
        <f>HYPERLINK("http://mirror.ff7data.com.ar/ff7/data/wm/world_us.lgp/asb.p.png","View Picture")</f>
        <v>View Picture</v>
      </c>
      <c r="K3243" s="43"/>
    </row>
    <row r="3244">
      <c r="A3244" s="21"/>
      <c r="B3244" s="33" t="s">
        <v>30085</v>
      </c>
      <c r="C3244" s="42">
        <v>7236.0</v>
      </c>
      <c r="D3244" s="33" t="s">
        <v>3381</v>
      </c>
      <c r="E3244" s="74"/>
      <c r="F3244" s="46" t="s">
        <v>3366</v>
      </c>
      <c r="G3244" s="75"/>
      <c r="H3244" s="74"/>
      <c r="K3244" s="43"/>
    </row>
    <row r="3245">
      <c r="A3245" s="21"/>
      <c r="B3245" s="33" t="s">
        <v>30089</v>
      </c>
      <c r="C3245" s="42">
        <v>8676.0</v>
      </c>
      <c r="D3245" s="33" t="s">
        <v>30090</v>
      </c>
      <c r="E3245" s="74"/>
      <c r="F3245" s="46" t="s">
        <v>3366</v>
      </c>
      <c r="G3245" s="75"/>
      <c r="H3245" s="74"/>
      <c r="K3245" s="43"/>
    </row>
    <row r="3246">
      <c r="A3246" s="21"/>
      <c r="B3246" s="33" t="s">
        <v>30091</v>
      </c>
      <c r="C3246" s="42">
        <v>5436.0</v>
      </c>
      <c r="D3246" s="33" t="s">
        <v>30092</v>
      </c>
      <c r="E3246" s="74"/>
      <c r="F3246" s="46" t="s">
        <v>3366</v>
      </c>
      <c r="G3246" s="75"/>
      <c r="H3246" s="74"/>
      <c r="K3246" s="43"/>
    </row>
    <row r="3247">
      <c r="A3247" s="21"/>
      <c r="B3247" s="33" t="s">
        <v>30095</v>
      </c>
      <c r="C3247" s="42">
        <v>764.0</v>
      </c>
      <c r="D3247" s="33" t="s">
        <v>1410</v>
      </c>
      <c r="E3247" s="74"/>
      <c r="F3247" s="46" t="s">
        <v>7609</v>
      </c>
      <c r="G3247" s="75"/>
      <c r="H3247" s="96" t="str">
        <f>HYPERLINK("http://mirror.ff7data.com.ar/ff7/data/wm/world_us.lgp/ata.hrc.png","View Picture")</f>
        <v>View Picture</v>
      </c>
      <c r="K3247" s="43"/>
    </row>
    <row r="3248">
      <c r="A3248" s="21"/>
      <c r="B3248" s="33" t="s">
        <v>30113</v>
      </c>
      <c r="C3248" s="42">
        <v>59.0</v>
      </c>
      <c r="D3248" s="33" t="s">
        <v>7747</v>
      </c>
      <c r="E3248" s="74"/>
      <c r="F3248" s="46" t="s">
        <v>7616</v>
      </c>
      <c r="G3248" s="75"/>
      <c r="H3248" s="96" t="str">
        <f>HYPERLINK("http://mirror.ff7data.com.ar/ff7/data/wm/world_us.lgp/atb.rsd.png","View Picture")</f>
        <v>View Picture</v>
      </c>
      <c r="K3248" s="43"/>
    </row>
    <row r="3249">
      <c r="A3249" s="21"/>
      <c r="B3249" s="33" t="s">
        <v>30123</v>
      </c>
      <c r="C3249" s="42">
        <v>1740.0</v>
      </c>
      <c r="D3249" s="33" t="s">
        <v>7747</v>
      </c>
      <c r="E3249" s="74"/>
      <c r="F3249" s="46" t="s">
        <v>7618</v>
      </c>
      <c r="G3249" s="75"/>
      <c r="H3249" s="96" t="str">
        <f>HYPERLINK("http://mirror.ff7data.com.ar/ff7/data/wm/world_us.lgp/atc.p.png","View Picture")</f>
        <v>View Picture</v>
      </c>
      <c r="K3249" s="43"/>
    </row>
    <row r="3250">
      <c r="A3250" s="21"/>
      <c r="B3250" s="33" t="s">
        <v>30133</v>
      </c>
      <c r="C3250" s="42">
        <v>59.0</v>
      </c>
      <c r="D3250" s="33" t="s">
        <v>7750</v>
      </c>
      <c r="E3250" s="74"/>
      <c r="F3250" s="46" t="s">
        <v>7616</v>
      </c>
      <c r="G3250" s="75"/>
      <c r="H3250" s="96" t="str">
        <f>HYPERLINK("http://mirror.ff7data.com.ar/ff7/data/wm/world_us.lgp/atd.rsd.png","View Picture")</f>
        <v>View Picture</v>
      </c>
      <c r="K3250" s="43"/>
    </row>
    <row r="3251">
      <c r="A3251" s="21"/>
      <c r="B3251" s="33" t="s">
        <v>30141</v>
      </c>
      <c r="C3251" s="42">
        <v>6936.0</v>
      </c>
      <c r="D3251" s="33" t="s">
        <v>7750</v>
      </c>
      <c r="E3251" s="74"/>
      <c r="F3251" s="46" t="s">
        <v>7618</v>
      </c>
      <c r="G3251" s="75"/>
      <c r="H3251" s="96" t="str">
        <f>HYPERLINK("http://mirror.ff7data.com.ar/ff7/data/wm/world_us.lgp/ate.p.png","View Picture")</f>
        <v>View Picture</v>
      </c>
      <c r="K3251" s="43"/>
    </row>
    <row r="3252">
      <c r="A3252" s="55"/>
      <c r="B3252" s="33" t="s">
        <v>30149</v>
      </c>
      <c r="C3252" s="42">
        <v>1024.0</v>
      </c>
      <c r="D3252" s="31"/>
      <c r="E3252" s="74"/>
      <c r="F3252" s="74"/>
      <c r="G3252" s="75"/>
      <c r="H3252" s="74"/>
      <c r="K3252" s="43"/>
    </row>
    <row r="3253">
      <c r="A3253" s="21"/>
      <c r="B3253" s="33" t="s">
        <v>30152</v>
      </c>
      <c r="C3253" s="42">
        <v>107.0</v>
      </c>
      <c r="D3253" s="33" t="s">
        <v>7172</v>
      </c>
      <c r="E3253" s="74"/>
      <c r="F3253" s="46" t="s">
        <v>7616</v>
      </c>
      <c r="G3253" s="75"/>
      <c r="H3253" s="96" t="str">
        <f>HYPERLINK("http://mirror.ff7data.com.ar/ff7/data/wm/world_us.lgp/aua.rsd.png","View Picture")</f>
        <v>View Picture</v>
      </c>
      <c r="K3253" s="43"/>
    </row>
    <row r="3254">
      <c r="A3254" s="21"/>
      <c r="B3254" s="33" t="s">
        <v>30166</v>
      </c>
      <c r="C3254" s="42">
        <v>14612.0</v>
      </c>
      <c r="D3254" s="33" t="s">
        <v>7172</v>
      </c>
      <c r="E3254" s="74"/>
      <c r="F3254" s="46" t="s">
        <v>7618</v>
      </c>
      <c r="G3254" s="75"/>
      <c r="H3254" s="96" t="str">
        <f>HYPERLINK("http://mirror.ff7data.com.ar/ff7/data/wm/world_us.lgp/aub.p.png","View Picture")</f>
        <v>View Picture</v>
      </c>
      <c r="K3254" s="43"/>
    </row>
    <row r="3255">
      <c r="A3255" s="82"/>
      <c r="B3255" s="33" t="s">
        <v>30177</v>
      </c>
      <c r="C3255" s="42">
        <v>1324.0</v>
      </c>
      <c r="D3255" s="33" t="s">
        <v>7759</v>
      </c>
      <c r="E3255" s="74"/>
      <c r="F3255" s="46" t="s">
        <v>1348</v>
      </c>
      <c r="G3255" s="75"/>
      <c r="H3255" s="98" t="str">
        <f>HYPERLINK("http://mirror.ff7data.com.ar/ff7/data/wm/world_us.lgp/auc.tex.png","View Picture")</f>
        <v>View Picture</v>
      </c>
      <c r="K3255" s="43"/>
    </row>
    <row r="3256">
      <c r="A3256" s="82"/>
      <c r="B3256" s="33" t="s">
        <v>30184</v>
      </c>
      <c r="C3256" s="42">
        <v>1324.0</v>
      </c>
      <c r="D3256" s="33" t="s">
        <v>7759</v>
      </c>
      <c r="E3256" s="74"/>
      <c r="F3256" s="46" t="s">
        <v>1348</v>
      </c>
      <c r="G3256" s="75"/>
      <c r="H3256" s="98" t="str">
        <f>HYPERLINK("http://mirror.ff7data.com.ar/ff7/data/wm/world_us.lgp/aud.tex.png","View Picture")</f>
        <v>View Picture</v>
      </c>
      <c r="K3256" s="43"/>
    </row>
    <row r="3257">
      <c r="A3257" s="82"/>
      <c r="B3257" s="33" t="s">
        <v>30191</v>
      </c>
      <c r="C3257" s="42">
        <v>1324.0</v>
      </c>
      <c r="D3257" s="33" t="s">
        <v>7764</v>
      </c>
      <c r="E3257" s="74"/>
      <c r="F3257" s="46" t="s">
        <v>1348</v>
      </c>
      <c r="G3257" s="75"/>
      <c r="H3257" s="98" t="str">
        <f>HYPERLINK("http://mirror.ff7data.com.ar/ff7/data/wm/world_us.lgp/aue.tex.png","View Picture")</f>
        <v>View Picture</v>
      </c>
      <c r="K3257" s="43"/>
    </row>
    <row r="3258">
      <c r="A3258" s="154"/>
      <c r="B3258" s="33" t="s">
        <v>30199</v>
      </c>
      <c r="C3258" s="42">
        <v>59.0</v>
      </c>
      <c r="D3258" s="33" t="s">
        <v>7766</v>
      </c>
      <c r="E3258" s="74"/>
      <c r="F3258" s="46" t="s">
        <v>7616</v>
      </c>
      <c r="G3258" s="75"/>
      <c r="H3258" s="96" t="str">
        <f>HYPERLINK("http://mirror.ff7data.com.ar/ff7/data/wm/world_us.lgp/ava.rsd.png","View Picture")</f>
        <v>View Picture</v>
      </c>
      <c r="K3258" s="43"/>
    </row>
    <row r="3259">
      <c r="A3259" s="154"/>
      <c r="B3259" s="33" t="s">
        <v>30205</v>
      </c>
      <c r="C3259" s="42">
        <v>2112.0</v>
      </c>
      <c r="D3259" s="33" t="s">
        <v>7766</v>
      </c>
      <c r="E3259" s="74"/>
      <c r="F3259" s="46" t="s">
        <v>7618</v>
      </c>
      <c r="G3259" s="75"/>
      <c r="H3259" s="96" t="str">
        <f>HYPERLINK("http://mirror.ff7data.com.ar/ff7/data/wm/world_us.lgp/avb.p.png","View Picture")</f>
        <v>View Picture</v>
      </c>
      <c r="K3259" s="43"/>
    </row>
    <row r="3260">
      <c r="A3260" s="154"/>
      <c r="B3260" s="33" t="s">
        <v>30213</v>
      </c>
      <c r="C3260" s="42">
        <v>59.0</v>
      </c>
      <c r="D3260" s="33" t="s">
        <v>7770</v>
      </c>
      <c r="E3260" s="74"/>
      <c r="F3260" s="46" t="s">
        <v>7616</v>
      </c>
      <c r="G3260" s="75"/>
      <c r="H3260" s="96" t="str">
        <f>HYPERLINK("http://mirror.ff7data.com.ar/ff7/data/wm/world_us.lgp/avc.rsd.png","View Picture")</f>
        <v>View Picture</v>
      </c>
      <c r="K3260" s="43"/>
    </row>
    <row r="3261">
      <c r="A3261" s="154"/>
      <c r="B3261" s="33" t="s">
        <v>30222</v>
      </c>
      <c r="C3261" s="42">
        <v>2148.0</v>
      </c>
      <c r="D3261" s="33" t="s">
        <v>7770</v>
      </c>
      <c r="E3261" s="74"/>
      <c r="F3261" s="46" t="s">
        <v>7618</v>
      </c>
      <c r="G3261" s="75"/>
      <c r="H3261" s="96" t="str">
        <f>HYPERLINK("http://mirror.ff7data.com.ar/ff7/data/wm/world_us.lgp/avd.p.png","View Picture")</f>
        <v>View Picture</v>
      </c>
      <c r="K3261" s="43"/>
    </row>
    <row r="3262">
      <c r="A3262" s="154"/>
      <c r="B3262" s="33" t="s">
        <v>30229</v>
      </c>
      <c r="C3262" s="42">
        <v>59.0</v>
      </c>
      <c r="D3262" s="33" t="s">
        <v>7773</v>
      </c>
      <c r="E3262" s="74"/>
      <c r="F3262" s="46" t="s">
        <v>7616</v>
      </c>
      <c r="G3262" s="75"/>
      <c r="H3262" s="96" t="str">
        <f>HYPERLINK("http://mirror.ff7data.com.ar/ff7/data/wm/world_us.lgp/ave.rsd.png","View Picture")</f>
        <v>View Picture</v>
      </c>
      <c r="K3262" s="43"/>
    </row>
    <row r="3263">
      <c r="A3263" s="154"/>
      <c r="B3263" s="33" t="s">
        <v>30238</v>
      </c>
      <c r="C3263" s="42">
        <v>1216.0</v>
      </c>
      <c r="D3263" s="33" t="s">
        <v>7773</v>
      </c>
      <c r="E3263" s="74"/>
      <c r="F3263" s="46" t="s">
        <v>7618</v>
      </c>
      <c r="G3263" s="75"/>
      <c r="H3263" s="96" t="str">
        <f>HYPERLINK("http://mirror.ff7data.com.ar/ff7/data/wm/world_us.lgp/awa.p.png","View Picture")</f>
        <v>View Picture</v>
      </c>
      <c r="K3263" s="43"/>
    </row>
    <row r="3264">
      <c r="A3264" s="154"/>
      <c r="B3264" s="33" t="s">
        <v>30246</v>
      </c>
      <c r="C3264" s="42">
        <v>59.0</v>
      </c>
      <c r="D3264" s="33" t="s">
        <v>7766</v>
      </c>
      <c r="E3264" s="74"/>
      <c r="F3264" s="46" t="s">
        <v>7616</v>
      </c>
      <c r="G3264" s="75"/>
      <c r="H3264" s="96" t="str">
        <f>HYPERLINK("http://mirror.ff7data.com.ar/ff7/data/wm/world_us.lgp/awb.rsd.png","View Picture")</f>
        <v>View Picture</v>
      </c>
      <c r="K3264" s="43"/>
    </row>
    <row r="3265">
      <c r="A3265" s="154"/>
      <c r="B3265" s="33" t="s">
        <v>30254</v>
      </c>
      <c r="C3265" s="42">
        <v>2112.0</v>
      </c>
      <c r="D3265" s="33" t="s">
        <v>7766</v>
      </c>
      <c r="E3265" s="74"/>
      <c r="F3265" s="46" t="s">
        <v>7618</v>
      </c>
      <c r="G3265" s="75"/>
      <c r="H3265" s="96" t="str">
        <f>HYPERLINK("http://mirror.ff7data.com.ar/ff7/data/wm/world_us.lgp/awc.p.png","View Picture")</f>
        <v>View Picture</v>
      </c>
      <c r="K3265" s="43"/>
    </row>
    <row r="3266">
      <c r="A3266" s="154"/>
      <c r="B3266" s="33" t="s">
        <v>30263</v>
      </c>
      <c r="C3266" s="42">
        <v>59.0</v>
      </c>
      <c r="D3266" s="33" t="s">
        <v>7770</v>
      </c>
      <c r="E3266" s="74"/>
      <c r="F3266" s="46" t="s">
        <v>7616</v>
      </c>
      <c r="G3266" s="75"/>
      <c r="H3266" s="96" t="str">
        <f>HYPERLINK("http://mirror.ff7data.com.ar/ff7/data/wm/world_us.lgp/awd.rsd.png","View Picture")</f>
        <v>View Picture</v>
      </c>
      <c r="K3266" s="43"/>
    </row>
    <row r="3267">
      <c r="A3267" s="154"/>
      <c r="B3267" s="33" t="s">
        <v>30270</v>
      </c>
      <c r="C3267" s="42">
        <v>2148.0</v>
      </c>
      <c r="D3267" s="33" t="s">
        <v>7770</v>
      </c>
      <c r="E3267" s="74"/>
      <c r="F3267" s="46" t="s">
        <v>7618</v>
      </c>
      <c r="G3267" s="75"/>
      <c r="H3267" s="96" t="str">
        <f>HYPERLINK("http://mirror.ff7data.com.ar/ff7/data/wm/world_us.lgp/awe.p.png","View Picture")</f>
        <v>View Picture</v>
      </c>
      <c r="K3267" s="43"/>
    </row>
    <row r="3268">
      <c r="A3268" s="154"/>
      <c r="B3268" s="33" t="s">
        <v>30277</v>
      </c>
      <c r="C3268" s="42">
        <v>59.0</v>
      </c>
      <c r="D3268" s="33" t="s">
        <v>7773</v>
      </c>
      <c r="E3268" s="74"/>
      <c r="F3268" s="46" t="s">
        <v>7616</v>
      </c>
      <c r="G3268" s="75"/>
      <c r="H3268" s="96" t="str">
        <f>HYPERLINK("http://mirror.ff7data.com.ar/ff7/data/wm/world_us.lgp/axa.rsd.png","View Picture")</f>
        <v>View Picture</v>
      </c>
      <c r="K3268" s="43"/>
    </row>
    <row r="3269">
      <c r="A3269" s="154"/>
      <c r="B3269" s="33" t="s">
        <v>30286</v>
      </c>
      <c r="C3269" s="42">
        <v>1216.0</v>
      </c>
      <c r="D3269" s="33" t="s">
        <v>7773</v>
      </c>
      <c r="E3269" s="74"/>
      <c r="F3269" s="46" t="s">
        <v>7618</v>
      </c>
      <c r="G3269" s="75"/>
      <c r="H3269" s="96" t="str">
        <f>HYPERLINK("http://mirror.ff7data.com.ar/ff7/data/wm/world_us.lgp/axb.p.png","View Picture")</f>
        <v>View Picture</v>
      </c>
      <c r="K3269" s="43"/>
    </row>
    <row r="3270">
      <c r="A3270" s="154"/>
      <c r="B3270" s="33" t="s">
        <v>30294</v>
      </c>
      <c r="C3270" s="42">
        <v>59.0</v>
      </c>
      <c r="D3270" s="33" t="s">
        <v>7786</v>
      </c>
      <c r="E3270" s="74"/>
      <c r="F3270" s="46" t="s">
        <v>7616</v>
      </c>
      <c r="G3270" s="75"/>
      <c r="H3270" s="96" t="str">
        <f>HYPERLINK("http://mirror.ff7data.com.ar/ff7/data/wm/world_us.lgp/axc.rsd.png","View Picture")</f>
        <v>View Picture</v>
      </c>
      <c r="K3270" s="43"/>
    </row>
    <row r="3271">
      <c r="A3271" s="154"/>
      <c r="B3271" s="33" t="s">
        <v>30303</v>
      </c>
      <c r="C3271" s="42">
        <v>1176.0</v>
      </c>
      <c r="D3271" s="33" t="s">
        <v>7786</v>
      </c>
      <c r="E3271" s="74"/>
      <c r="F3271" s="46" t="s">
        <v>7618</v>
      </c>
      <c r="G3271" s="75"/>
      <c r="H3271" s="96" t="str">
        <f>HYPERLINK("http://mirror.ff7data.com.ar/ff7/data/wm/world_us.lgp/axd.p.png","View Picture")</f>
        <v>View Picture</v>
      </c>
      <c r="K3271" s="43"/>
    </row>
    <row r="3272">
      <c r="A3272" s="154"/>
      <c r="B3272" s="33" t="s">
        <v>30312</v>
      </c>
      <c r="C3272" s="42">
        <v>59.0</v>
      </c>
      <c r="D3272" s="33" t="s">
        <v>7789</v>
      </c>
      <c r="E3272" s="74"/>
      <c r="F3272" s="46" t="s">
        <v>7616</v>
      </c>
      <c r="G3272" s="75"/>
      <c r="H3272" s="96" t="str">
        <f>HYPERLINK("http://mirror.ff7data.com.ar/ff7/data/wm/world_us.lgp/axe.rsd.png","View Picture")</f>
        <v>View Picture</v>
      </c>
      <c r="K3272" s="43"/>
    </row>
    <row r="3273">
      <c r="A3273" s="154"/>
      <c r="B3273" s="33" t="s">
        <v>30320</v>
      </c>
      <c r="C3273" s="42">
        <v>2212.0</v>
      </c>
      <c r="D3273" s="33" t="s">
        <v>7789</v>
      </c>
      <c r="E3273" s="74"/>
      <c r="F3273" s="46" t="s">
        <v>7618</v>
      </c>
      <c r="G3273" s="75"/>
      <c r="H3273" s="96" t="str">
        <f>HYPERLINK("http://mirror.ff7data.com.ar/ff7/data/wm/world_us.lgp/aya.p.png","View Picture")</f>
        <v>View Picture</v>
      </c>
      <c r="K3273" s="43"/>
    </row>
    <row r="3274">
      <c r="A3274" s="154"/>
      <c r="B3274" s="33" t="s">
        <v>30329</v>
      </c>
      <c r="C3274" s="42">
        <v>59.0</v>
      </c>
      <c r="D3274" s="33" t="s">
        <v>7300</v>
      </c>
      <c r="E3274" s="74"/>
      <c r="F3274" s="46" t="s">
        <v>7616</v>
      </c>
      <c r="G3274" s="75"/>
      <c r="H3274" s="96" t="str">
        <f>HYPERLINK("http://mirror.ff7data.com.ar/ff7/data/wm/world_us.lgp/ayb.rsd.png","View Picture")</f>
        <v>View Picture</v>
      </c>
      <c r="K3274" s="43"/>
    </row>
    <row r="3275">
      <c r="A3275" s="154"/>
      <c r="B3275" s="33" t="s">
        <v>30338</v>
      </c>
      <c r="C3275" s="42">
        <v>1672.0</v>
      </c>
      <c r="D3275" s="33" t="s">
        <v>7300</v>
      </c>
      <c r="E3275" s="74"/>
      <c r="F3275" s="46" t="s">
        <v>7618</v>
      </c>
      <c r="G3275" s="75"/>
      <c r="H3275" s="96" t="str">
        <f>HYPERLINK("http://mirror.ff7data.com.ar/ff7/data/wm/world_us.lgp/ayc.p.png","View Picture")</f>
        <v>View Picture</v>
      </c>
      <c r="K3275" s="43"/>
    </row>
    <row r="3276">
      <c r="A3276" s="154"/>
      <c r="B3276" s="33" t="s">
        <v>30347</v>
      </c>
      <c r="C3276" s="42">
        <v>59.0</v>
      </c>
      <c r="D3276" s="33" t="s">
        <v>7786</v>
      </c>
      <c r="E3276" s="74"/>
      <c r="F3276" s="46" t="s">
        <v>7616</v>
      </c>
      <c r="G3276" s="75"/>
      <c r="H3276" s="96" t="str">
        <f>HYPERLINK("http://mirror.ff7data.com.ar/ff7/data/wm/world_us.lgp/ayd.rsd.png","View Picture")</f>
        <v>View Picture</v>
      </c>
      <c r="K3276" s="43"/>
    </row>
    <row r="3277">
      <c r="A3277" s="154"/>
      <c r="B3277" s="33" t="s">
        <v>30357</v>
      </c>
      <c r="C3277" s="42">
        <v>1176.0</v>
      </c>
      <c r="D3277" s="33" t="s">
        <v>7786</v>
      </c>
      <c r="E3277" s="74"/>
      <c r="F3277" s="46" t="s">
        <v>7618</v>
      </c>
      <c r="G3277" s="75"/>
      <c r="H3277" s="96" t="str">
        <f>HYPERLINK("http://mirror.ff7data.com.ar/ff7/data/wm/world_us.lgp/aye.p.png","View Picture")</f>
        <v>View Picture</v>
      </c>
      <c r="K3277" s="43"/>
    </row>
    <row r="3278">
      <c r="A3278" s="154"/>
      <c r="B3278" s="33" t="s">
        <v>30370</v>
      </c>
      <c r="C3278" s="42">
        <v>59.0</v>
      </c>
      <c r="D3278" s="33" t="s">
        <v>7789</v>
      </c>
      <c r="E3278" s="74"/>
      <c r="F3278" s="46" t="s">
        <v>7616</v>
      </c>
      <c r="G3278" s="75"/>
      <c r="H3278" s="96" t="str">
        <f>HYPERLINK("http://mirror.ff7data.com.ar/ff7/data/wm/world_us.lgp/aza.rsd.png","View Picture")</f>
        <v>View Picture</v>
      </c>
      <c r="K3278" s="43"/>
    </row>
    <row r="3279">
      <c r="A3279" s="154"/>
      <c r="B3279" s="33" t="s">
        <v>30379</v>
      </c>
      <c r="C3279" s="42">
        <v>2212.0</v>
      </c>
      <c r="D3279" s="33" t="s">
        <v>7789</v>
      </c>
      <c r="E3279" s="74"/>
      <c r="F3279" s="46" t="s">
        <v>7618</v>
      </c>
      <c r="G3279" s="75"/>
      <c r="H3279" s="96" t="str">
        <f>HYPERLINK("http://mirror.ff7data.com.ar/ff7/data/wm/world_us.lgp/azb.p.png","View Picture")</f>
        <v>View Picture</v>
      </c>
      <c r="K3279" s="43"/>
    </row>
    <row r="3280">
      <c r="A3280" s="154"/>
      <c r="B3280" s="33" t="s">
        <v>30385</v>
      </c>
      <c r="C3280" s="42">
        <v>59.0</v>
      </c>
      <c r="D3280" s="33" t="s">
        <v>7300</v>
      </c>
      <c r="E3280" s="74"/>
      <c r="F3280" s="46" t="s">
        <v>7616</v>
      </c>
      <c r="G3280" s="75"/>
      <c r="H3280" s="96" t="str">
        <f>HYPERLINK("http://mirror.ff7data.com.ar/ff7/data/wm/world_us.lgp/azc.rsd.png","View Picture")</f>
        <v>View Picture</v>
      </c>
      <c r="K3280" s="43"/>
    </row>
    <row r="3281">
      <c r="A3281" s="154"/>
      <c r="B3281" s="33" t="s">
        <v>30395</v>
      </c>
      <c r="C3281" s="42">
        <v>1672.0</v>
      </c>
      <c r="D3281" s="33" t="s">
        <v>7300</v>
      </c>
      <c r="E3281" s="74"/>
      <c r="F3281" s="46" t="s">
        <v>7618</v>
      </c>
      <c r="G3281" s="75"/>
      <c r="H3281" s="96" t="str">
        <f>HYPERLINK("http://mirror.ff7data.com.ar/ff7/data/wm/world_us.lgp/azd.p.png","View Picture")</f>
        <v>View Picture</v>
      </c>
      <c r="K3281" s="43"/>
    </row>
    <row r="3282">
      <c r="A3282" s="154"/>
      <c r="B3282" s="33" t="s">
        <v>30404</v>
      </c>
      <c r="C3282" s="42">
        <v>312.0</v>
      </c>
      <c r="D3282" s="33" t="s">
        <v>30406</v>
      </c>
      <c r="E3282" s="74"/>
      <c r="F3282" s="46" t="s">
        <v>3366</v>
      </c>
      <c r="G3282" s="75"/>
      <c r="H3282" s="74"/>
      <c r="K3282" s="43"/>
    </row>
    <row r="3283">
      <c r="A3283" s="154"/>
      <c r="B3283" s="33" t="s">
        <v>30412</v>
      </c>
      <c r="C3283" s="42">
        <v>4176.0</v>
      </c>
      <c r="D3283" s="33" t="s">
        <v>30413</v>
      </c>
      <c r="E3283" s="74"/>
      <c r="F3283" s="46" t="s">
        <v>3366</v>
      </c>
      <c r="G3283" s="75"/>
      <c r="H3283" s="74"/>
      <c r="K3283" s="43"/>
    </row>
    <row r="3284">
      <c r="A3284" s="154"/>
      <c r="B3284" s="33" t="s">
        <v>30416</v>
      </c>
      <c r="C3284" s="42">
        <v>5556.0</v>
      </c>
      <c r="D3284" s="33" t="s">
        <v>30417</v>
      </c>
      <c r="E3284" s="74"/>
      <c r="F3284" s="46" t="s">
        <v>3366</v>
      </c>
      <c r="G3284" s="75"/>
      <c r="H3284" s="74"/>
      <c r="K3284" s="43"/>
    </row>
    <row r="3285">
      <c r="A3285" s="154"/>
      <c r="B3285" s="33" t="s">
        <v>30422</v>
      </c>
      <c r="C3285" s="42">
        <v>6660.0</v>
      </c>
      <c r="D3285" s="33" t="s">
        <v>30424</v>
      </c>
      <c r="E3285" s="74"/>
      <c r="F3285" s="46" t="s">
        <v>3366</v>
      </c>
      <c r="G3285" s="75"/>
      <c r="H3285" s="74"/>
      <c r="K3285" s="43"/>
    </row>
    <row r="3286">
      <c r="A3286" s="154"/>
      <c r="B3286" s="33" t="s">
        <v>30427</v>
      </c>
      <c r="C3286" s="42">
        <v>5280.0</v>
      </c>
      <c r="D3286" s="33" t="s">
        <v>30428</v>
      </c>
      <c r="E3286" s="74"/>
      <c r="F3286" s="46" t="s">
        <v>3366</v>
      </c>
      <c r="G3286" s="75"/>
      <c r="H3286" s="74"/>
      <c r="K3286" s="43"/>
    </row>
    <row r="3287">
      <c r="A3287" s="154"/>
      <c r="B3287" s="33" t="s">
        <v>30431</v>
      </c>
      <c r="C3287" s="42">
        <v>5280.0</v>
      </c>
      <c r="D3287" s="33" t="s">
        <v>30433</v>
      </c>
      <c r="E3287" s="74"/>
      <c r="F3287" s="46" t="s">
        <v>3366</v>
      </c>
      <c r="G3287" s="75"/>
      <c r="H3287" s="74"/>
      <c r="K3287" s="43"/>
    </row>
    <row r="3288">
      <c r="A3288" s="154"/>
      <c r="B3288" s="33" t="s">
        <v>30435</v>
      </c>
      <c r="C3288" s="42">
        <v>8316.0</v>
      </c>
      <c r="D3288" s="33" t="s">
        <v>30437</v>
      </c>
      <c r="E3288" s="74"/>
      <c r="F3288" s="46" t="s">
        <v>3366</v>
      </c>
      <c r="G3288" s="75"/>
      <c r="H3288" s="74"/>
      <c r="K3288" s="43"/>
    </row>
    <row r="3289">
      <c r="A3289" s="154"/>
      <c r="B3289" s="33" t="s">
        <v>30441</v>
      </c>
      <c r="C3289" s="42">
        <v>16596.0</v>
      </c>
      <c r="D3289" s="33" t="s">
        <v>30442</v>
      </c>
      <c r="E3289" s="74"/>
      <c r="F3289" s="46" t="s">
        <v>3366</v>
      </c>
      <c r="G3289" s="75"/>
      <c r="H3289" s="74"/>
      <c r="K3289" s="43"/>
    </row>
    <row r="3290">
      <c r="A3290" s="154"/>
      <c r="B3290" s="33" t="s">
        <v>30444</v>
      </c>
      <c r="C3290" s="42">
        <v>5556.0</v>
      </c>
      <c r="D3290" s="33" t="s">
        <v>30446</v>
      </c>
      <c r="E3290" s="74"/>
      <c r="F3290" s="46" t="s">
        <v>3366</v>
      </c>
      <c r="G3290" s="75"/>
      <c r="H3290" s="74"/>
      <c r="K3290" s="43"/>
    </row>
    <row r="3291">
      <c r="A3291" s="154"/>
      <c r="B3291" s="33" t="s">
        <v>30448</v>
      </c>
      <c r="C3291" s="42">
        <v>2244.0</v>
      </c>
      <c r="D3291" s="33" t="s">
        <v>30449</v>
      </c>
      <c r="E3291" s="74"/>
      <c r="F3291" s="46" t="s">
        <v>3366</v>
      </c>
      <c r="G3291" s="75"/>
      <c r="H3291" s="74"/>
      <c r="K3291" s="43"/>
    </row>
    <row r="3292">
      <c r="A3292" s="154"/>
      <c r="B3292" s="33" t="s">
        <v>30451</v>
      </c>
      <c r="C3292" s="42">
        <v>771.0</v>
      </c>
      <c r="D3292" s="33" t="s">
        <v>1414</v>
      </c>
      <c r="E3292" s="74"/>
      <c r="F3292" s="46" t="s">
        <v>7609</v>
      </c>
      <c r="G3292" s="75"/>
      <c r="H3292" s="96" t="str">
        <f>HYPERLINK("http://mirror.ff7data.com.ar/ff7/data/wm/world_us.lgp/bbe.hrc.png","View Picture")</f>
        <v>View Picture</v>
      </c>
      <c r="K3292" s="43"/>
    </row>
    <row r="3293">
      <c r="A3293" s="154"/>
      <c r="B3293" s="33" t="s">
        <v>30458</v>
      </c>
      <c r="C3293" s="42">
        <v>59.0</v>
      </c>
      <c r="D3293" s="33" t="s">
        <v>7615</v>
      </c>
      <c r="E3293" s="74"/>
      <c r="F3293" s="46" t="s">
        <v>7616</v>
      </c>
      <c r="G3293" s="75"/>
      <c r="H3293" s="96" t="str">
        <f>HYPERLINK("http://mirror.ff7data.com.ar/ff7/data/wm/world_us.lgp/bca.rsd.png","View Picture")</f>
        <v>View Picture</v>
      </c>
      <c r="K3293" s="43"/>
    </row>
    <row r="3294">
      <c r="A3294" s="154"/>
      <c r="B3294" s="33" t="s">
        <v>30464</v>
      </c>
      <c r="C3294" s="42">
        <v>1404.0</v>
      </c>
      <c r="D3294" s="33" t="s">
        <v>7615</v>
      </c>
      <c r="E3294" s="74"/>
      <c r="F3294" s="46" t="s">
        <v>7618</v>
      </c>
      <c r="G3294" s="75"/>
      <c r="H3294" s="96" t="str">
        <f>HYPERLINK("http://mirror.ff7data.com.ar/ff7/data/wm/world_us.lgp/bcb.p.png","View Picture")</f>
        <v>View Picture</v>
      </c>
      <c r="K3294" s="43"/>
    </row>
    <row r="3295">
      <c r="A3295" s="154"/>
      <c r="B3295" s="33" t="s">
        <v>30471</v>
      </c>
      <c r="C3295" s="42">
        <v>59.0</v>
      </c>
      <c r="D3295" s="33" t="s">
        <v>7620</v>
      </c>
      <c r="E3295" s="74"/>
      <c r="F3295" s="46" t="s">
        <v>7616</v>
      </c>
      <c r="G3295" s="75"/>
      <c r="H3295" s="96" t="str">
        <f>HYPERLINK("http://mirror.ff7data.com.ar/ff7/data/wm/world_us.lgp/bcc.rsd.png","View Picture")</f>
        <v>View Picture</v>
      </c>
      <c r="K3295" s="43"/>
    </row>
    <row r="3296">
      <c r="A3296" s="154"/>
      <c r="B3296" s="33" t="s">
        <v>30477</v>
      </c>
      <c r="C3296" s="42">
        <v>3568.0</v>
      </c>
      <c r="D3296" s="33" t="s">
        <v>7620</v>
      </c>
      <c r="E3296" s="74"/>
      <c r="F3296" s="46" t="s">
        <v>7618</v>
      </c>
      <c r="G3296" s="75"/>
      <c r="H3296" s="96" t="str">
        <f>HYPERLINK("http://mirror.ff7data.com.ar/ff7/data/wm/world_us.lgp/bcd.p.png","View Picture")</f>
        <v>View Picture</v>
      </c>
      <c r="K3296" s="43"/>
    </row>
    <row r="3297">
      <c r="A3297" s="154"/>
      <c r="B3297" s="33" t="s">
        <v>30484</v>
      </c>
      <c r="C3297" s="42">
        <v>172.0</v>
      </c>
      <c r="D3297" s="33" t="s">
        <v>3771</v>
      </c>
      <c r="E3297" s="74"/>
      <c r="F3297" s="46" t="s">
        <v>7616</v>
      </c>
      <c r="G3297" s="75"/>
      <c r="H3297" s="96" t="str">
        <f>HYPERLINK("http://mirror.ff7data.com.ar/ff7/data/wm/world_us.lgp/bce.rsd.png","View Picture")</f>
        <v>View Picture</v>
      </c>
      <c r="K3297" s="43"/>
    </row>
    <row r="3298">
      <c r="A3298" s="154"/>
      <c r="B3298" s="33" t="s">
        <v>30492</v>
      </c>
      <c r="C3298" s="42">
        <v>9588.0</v>
      </c>
      <c r="D3298" s="33" t="s">
        <v>3771</v>
      </c>
      <c r="E3298" s="74"/>
      <c r="F3298" s="46" t="s">
        <v>7618</v>
      </c>
      <c r="G3298" s="75"/>
      <c r="H3298" s="96" t="str">
        <f>HYPERLINK("http://mirror.ff7data.com.ar/ff7/data/wm/world_us.lgp/bda.p.png","View Picture")</f>
        <v>View Picture</v>
      </c>
      <c r="K3298" s="43"/>
    </row>
    <row r="3299">
      <c r="A3299" s="82"/>
      <c r="B3299" s="33" t="s">
        <v>30500</v>
      </c>
      <c r="C3299" s="42">
        <v>1324.0</v>
      </c>
      <c r="D3299" s="33" t="s">
        <v>7628</v>
      </c>
      <c r="E3299" s="74"/>
      <c r="F3299" s="46" t="s">
        <v>1348</v>
      </c>
      <c r="G3299" s="75"/>
      <c r="H3299" s="98" t="str">
        <f>HYPERLINK("http://mirror.ff7data.com.ar/ff7/data/wm/world_us.lgp/bdb.tex.png","View Picture")</f>
        <v>View Picture</v>
      </c>
      <c r="K3299" s="43"/>
    </row>
    <row r="3300">
      <c r="A3300" s="82"/>
      <c r="B3300" s="33" t="s">
        <v>30503</v>
      </c>
      <c r="C3300" s="42">
        <v>1324.0</v>
      </c>
      <c r="D3300" s="33" t="s">
        <v>7628</v>
      </c>
      <c r="E3300" s="74"/>
      <c r="F3300" s="46" t="s">
        <v>1348</v>
      </c>
      <c r="G3300" s="75"/>
      <c r="H3300" s="98" t="str">
        <f>HYPERLINK("http://mirror.ff7data.com.ar/ff7/data/wm/world_us.lgp/bdc.tex.png","View Picture")</f>
        <v>View Picture</v>
      </c>
      <c r="K3300" s="43"/>
    </row>
    <row r="3301">
      <c r="A3301" s="82"/>
      <c r="B3301" s="33" t="s">
        <v>30512</v>
      </c>
      <c r="C3301" s="42">
        <v>1324.0</v>
      </c>
      <c r="D3301" s="33" t="s">
        <v>7631</v>
      </c>
      <c r="E3301" s="74"/>
      <c r="F3301" s="46" t="s">
        <v>1348</v>
      </c>
      <c r="G3301" s="75"/>
      <c r="H3301" s="98" t="str">
        <f>HYPERLINK("http://mirror.ff7data.com.ar/ff7/data/wm/world_us.lgp/bdd.tex.png","View Picture")</f>
        <v>View Picture</v>
      </c>
      <c r="K3301" s="43"/>
    </row>
    <row r="3302">
      <c r="A3302" s="154"/>
      <c r="B3302" s="33" t="s">
        <v>30524</v>
      </c>
      <c r="C3302" s="42">
        <v>59.0</v>
      </c>
      <c r="D3302" s="33" t="s">
        <v>7635</v>
      </c>
      <c r="E3302" s="74"/>
      <c r="F3302" s="46" t="s">
        <v>7616</v>
      </c>
      <c r="G3302" s="75"/>
      <c r="H3302" s="96" t="str">
        <f>HYPERLINK("http://mirror.ff7data.com.ar/ff7/data/wm/world_us.lgp/bde.rsd.png","View Picture")</f>
        <v>View Picture</v>
      </c>
      <c r="K3302" s="43"/>
    </row>
    <row r="3303">
      <c r="A3303" s="154"/>
      <c r="B3303" s="33" t="s">
        <v>30535</v>
      </c>
      <c r="C3303" s="42">
        <v>1700.0</v>
      </c>
      <c r="D3303" s="33" t="s">
        <v>7635</v>
      </c>
      <c r="E3303" s="74"/>
      <c r="F3303" s="46" t="s">
        <v>7618</v>
      </c>
      <c r="G3303" s="75"/>
      <c r="H3303" s="96" t="str">
        <f>HYPERLINK("http://mirror.ff7data.com.ar/ff7/data/wm/world_us.lgp/bea.p.png","View Picture")</f>
        <v>View Picture</v>
      </c>
      <c r="K3303" s="43"/>
    </row>
    <row r="3304">
      <c r="A3304" s="154"/>
      <c r="B3304" s="33" t="s">
        <v>30545</v>
      </c>
      <c r="C3304" s="42">
        <v>59.0</v>
      </c>
      <c r="D3304" s="33" t="s">
        <v>7639</v>
      </c>
      <c r="E3304" s="74"/>
      <c r="F3304" s="46" t="s">
        <v>7616</v>
      </c>
      <c r="G3304" s="75"/>
      <c r="H3304" s="96" t="str">
        <f>HYPERLINK("http://mirror.ff7data.com.ar/ff7/data/wm/world_us.lgp/beb.rsd.png","View Picture")</f>
        <v>View Picture</v>
      </c>
      <c r="K3304" s="43"/>
    </row>
    <row r="3305">
      <c r="A3305" s="154"/>
      <c r="B3305" s="33" t="s">
        <v>30552</v>
      </c>
      <c r="C3305" s="42">
        <v>1660.0</v>
      </c>
      <c r="D3305" s="33" t="s">
        <v>7639</v>
      </c>
      <c r="E3305" s="74"/>
      <c r="F3305" s="46" t="s">
        <v>7618</v>
      </c>
      <c r="G3305" s="75"/>
      <c r="H3305" s="96" t="str">
        <f>HYPERLINK("http://mirror.ff7data.com.ar/ff7/data/wm/world_us.lgp/bec.p.png","View Picture")</f>
        <v>View Picture</v>
      </c>
      <c r="K3305" s="43"/>
    </row>
    <row r="3306">
      <c r="A3306" s="154"/>
      <c r="B3306" s="33" t="s">
        <v>30557</v>
      </c>
      <c r="C3306" s="42">
        <v>59.0</v>
      </c>
      <c r="D3306" s="33" t="s">
        <v>7642</v>
      </c>
      <c r="E3306" s="74"/>
      <c r="F3306" s="46" t="s">
        <v>7616</v>
      </c>
      <c r="G3306" s="75"/>
      <c r="H3306" s="96" t="str">
        <f>HYPERLINK("http://mirror.ff7data.com.ar/ff7/data/wm/world_us.lgp/bed.rsd.png","View Picture")</f>
        <v>View Picture</v>
      </c>
      <c r="K3306" s="43"/>
    </row>
    <row r="3307">
      <c r="A3307" s="154"/>
      <c r="B3307" s="33" t="s">
        <v>30565</v>
      </c>
      <c r="C3307" s="42">
        <v>876.0</v>
      </c>
      <c r="D3307" s="33" t="s">
        <v>7642</v>
      </c>
      <c r="E3307" s="74"/>
      <c r="F3307" s="46" t="s">
        <v>7618</v>
      </c>
      <c r="G3307" s="75"/>
      <c r="H3307" s="96" t="str">
        <f>HYPERLINK("http://mirror.ff7data.com.ar/ff7/data/wm/world_us.lgp/bee.p.png","View Picture")</f>
        <v>View Picture</v>
      </c>
      <c r="K3307" s="43"/>
    </row>
    <row r="3308">
      <c r="A3308" s="154"/>
      <c r="B3308" s="33" t="s">
        <v>30572</v>
      </c>
      <c r="C3308" s="42">
        <v>59.0</v>
      </c>
      <c r="D3308" s="33" t="s">
        <v>7635</v>
      </c>
      <c r="E3308" s="74"/>
      <c r="F3308" s="46" t="s">
        <v>7616</v>
      </c>
      <c r="G3308" s="75"/>
      <c r="H3308" s="96" t="str">
        <f>HYPERLINK("http://mirror.ff7data.com.ar/ff7/data/wm/world_us.lgp/bfa.rsd.png","View Picture")</f>
        <v>View Picture</v>
      </c>
      <c r="K3308" s="43"/>
    </row>
    <row r="3309">
      <c r="A3309" s="154"/>
      <c r="B3309" s="33" t="s">
        <v>30580</v>
      </c>
      <c r="C3309" s="42">
        <v>1580.0</v>
      </c>
      <c r="D3309" s="33" t="s">
        <v>7635</v>
      </c>
      <c r="E3309" s="74"/>
      <c r="F3309" s="46" t="s">
        <v>7618</v>
      </c>
      <c r="G3309" s="75"/>
      <c r="H3309" s="96" t="str">
        <f>HYPERLINK("http://mirror.ff7data.com.ar/ff7/data/wm/world_us.lgp/bfb.p.png","View Picture")</f>
        <v>View Picture</v>
      </c>
      <c r="K3309" s="43"/>
    </row>
    <row r="3310">
      <c r="A3310" s="154"/>
      <c r="B3310" s="33" t="s">
        <v>30589</v>
      </c>
      <c r="C3310" s="42">
        <v>59.0</v>
      </c>
      <c r="D3310" s="33" t="s">
        <v>7639</v>
      </c>
      <c r="E3310" s="74"/>
      <c r="F3310" s="46" t="s">
        <v>7616</v>
      </c>
      <c r="G3310" s="75"/>
      <c r="H3310" s="96" t="str">
        <f>HYPERLINK("http://mirror.ff7data.com.ar/ff7/data/wm/world_us.lgp/bfc.rsd.png","View Picture")</f>
        <v>View Picture</v>
      </c>
      <c r="K3310" s="43"/>
    </row>
    <row r="3311">
      <c r="A3311" s="154"/>
      <c r="B3311" s="33" t="s">
        <v>30596</v>
      </c>
      <c r="C3311" s="42">
        <v>1580.0</v>
      </c>
      <c r="D3311" s="33" t="s">
        <v>7639</v>
      </c>
      <c r="E3311" s="74"/>
      <c r="F3311" s="46" t="s">
        <v>7618</v>
      </c>
      <c r="G3311" s="75"/>
      <c r="H3311" s="96" t="str">
        <f>HYPERLINK("http://mirror.ff7data.com.ar/ff7/data/wm/world_us.lgp/bfd.p.png","View Picture")</f>
        <v>View Picture</v>
      </c>
      <c r="K3311" s="43"/>
    </row>
    <row r="3312">
      <c r="A3312" s="154"/>
      <c r="B3312" s="33" t="s">
        <v>30606</v>
      </c>
      <c r="C3312" s="42">
        <v>59.0</v>
      </c>
      <c r="D3312" s="33" t="s">
        <v>7642</v>
      </c>
      <c r="E3312" s="74"/>
      <c r="F3312" s="46" t="s">
        <v>7616</v>
      </c>
      <c r="G3312" s="75"/>
      <c r="H3312" s="96" t="str">
        <f>HYPERLINK("http://mirror.ff7data.com.ar/ff7/data/wm/world_us.lgp/bfe.rsd.png","View Picture")</f>
        <v>View Picture</v>
      </c>
      <c r="K3312" s="43"/>
    </row>
    <row r="3313">
      <c r="A3313" s="154"/>
      <c r="B3313" s="33" t="s">
        <v>30616</v>
      </c>
      <c r="C3313" s="42">
        <v>876.0</v>
      </c>
      <c r="D3313" s="33" t="s">
        <v>7642</v>
      </c>
      <c r="E3313" s="74"/>
      <c r="F3313" s="46" t="s">
        <v>7618</v>
      </c>
      <c r="G3313" s="75"/>
      <c r="H3313" s="96" t="str">
        <f>HYPERLINK("http://mirror.ff7data.com.ar/ff7/data/wm/world_us.lgp/bga.p.png","View Picture")</f>
        <v>View Picture</v>
      </c>
      <c r="K3313" s="43"/>
    </row>
    <row r="3314">
      <c r="A3314" s="154"/>
      <c r="B3314" s="33" t="s">
        <v>30627</v>
      </c>
      <c r="C3314" s="42">
        <v>59.0</v>
      </c>
      <c r="D3314" s="33" t="s">
        <v>7653</v>
      </c>
      <c r="E3314" s="74"/>
      <c r="F3314" s="46" t="s">
        <v>7616</v>
      </c>
      <c r="G3314" s="75"/>
      <c r="H3314" s="96" t="str">
        <f>HYPERLINK("http://mirror.ff7data.com.ar/ff7/data/wm/world_us.lgp/bgb.rsd.png","View Picture")</f>
        <v>View Picture</v>
      </c>
      <c r="K3314" s="43"/>
    </row>
    <row r="3315">
      <c r="A3315" s="154"/>
      <c r="B3315" s="33" t="s">
        <v>30638</v>
      </c>
      <c r="C3315" s="42">
        <v>1052.0</v>
      </c>
      <c r="D3315" s="33" t="s">
        <v>7653</v>
      </c>
      <c r="E3315" s="74"/>
      <c r="F3315" s="46" t="s">
        <v>7618</v>
      </c>
      <c r="G3315" s="75"/>
      <c r="H3315" s="96" t="str">
        <f>HYPERLINK("http://mirror.ff7data.com.ar/ff7/data/wm/world_us.lgp/bgc.p.png","View Picture")</f>
        <v>View Picture</v>
      </c>
      <c r="K3315" s="43"/>
    </row>
    <row r="3316">
      <c r="A3316" s="154"/>
      <c r="B3316" s="33" t="s">
        <v>30648</v>
      </c>
      <c r="C3316" s="42">
        <v>59.0</v>
      </c>
      <c r="D3316" s="33" t="s">
        <v>7656</v>
      </c>
      <c r="E3316" s="74"/>
      <c r="F3316" s="46" t="s">
        <v>7616</v>
      </c>
      <c r="G3316" s="75"/>
      <c r="H3316" s="96" t="str">
        <f>HYPERLINK("http://mirror.ff7data.com.ar/ff7/data/wm/world_us.lgp/bgd.rsd.png","View Picture")</f>
        <v>View Picture</v>
      </c>
      <c r="K3316" s="43"/>
    </row>
    <row r="3317">
      <c r="A3317" s="154"/>
      <c r="B3317" s="33" t="s">
        <v>30658</v>
      </c>
      <c r="C3317" s="42">
        <v>1852.0</v>
      </c>
      <c r="D3317" s="33" t="s">
        <v>7656</v>
      </c>
      <c r="E3317" s="74"/>
      <c r="F3317" s="46" t="s">
        <v>7618</v>
      </c>
      <c r="G3317" s="75"/>
      <c r="H3317" s="96" t="str">
        <f>HYPERLINK("http://mirror.ff7data.com.ar/ff7/data/wm/world_us.lgp/bge.p.png","View Picture")</f>
        <v>View Picture</v>
      </c>
      <c r="K3317" s="43"/>
    </row>
    <row r="3318">
      <c r="A3318" s="154"/>
      <c r="B3318" s="33" t="s">
        <v>30669</v>
      </c>
      <c r="C3318" s="42">
        <v>59.0</v>
      </c>
      <c r="D3318" s="33" t="s">
        <v>3924</v>
      </c>
      <c r="E3318" s="74"/>
      <c r="F3318" s="46" t="s">
        <v>7616</v>
      </c>
      <c r="G3318" s="75"/>
      <c r="H3318" s="96" t="str">
        <f>HYPERLINK("http://mirror.ff7data.com.ar/ff7/data/wm/world_us.lgp/bha.rsd.png","View Picture")</f>
        <v>View Picture</v>
      </c>
      <c r="K3318" s="43"/>
    </row>
    <row r="3319">
      <c r="A3319" s="154"/>
      <c r="B3319" s="33" t="s">
        <v>30677</v>
      </c>
      <c r="C3319" s="42">
        <v>1052.0</v>
      </c>
      <c r="D3319" s="33" t="s">
        <v>3924</v>
      </c>
      <c r="E3319" s="74"/>
      <c r="F3319" s="46" t="s">
        <v>7618</v>
      </c>
      <c r="G3319" s="75"/>
      <c r="H3319" s="96" t="str">
        <f>HYPERLINK("http://mirror.ff7data.com.ar/ff7/data/wm/world_us.lgp/bhb.p.png","View Picture")</f>
        <v>View Picture</v>
      </c>
      <c r="K3319" s="43"/>
    </row>
    <row r="3320">
      <c r="A3320" s="154"/>
      <c r="B3320" s="33" t="s">
        <v>30685</v>
      </c>
      <c r="C3320" s="42">
        <v>59.0</v>
      </c>
      <c r="D3320" s="33" t="s">
        <v>7653</v>
      </c>
      <c r="E3320" s="74"/>
      <c r="F3320" s="46" t="s">
        <v>7616</v>
      </c>
      <c r="G3320" s="75"/>
      <c r="H3320" s="96" t="str">
        <f>HYPERLINK("http://mirror.ff7data.com.ar/ff7/data/wm/world_us.lgp/bhc.rsd.png","View Picture")</f>
        <v>View Picture</v>
      </c>
      <c r="K3320" s="43"/>
    </row>
    <row r="3321">
      <c r="A3321" s="154"/>
      <c r="B3321" s="33" t="s">
        <v>30694</v>
      </c>
      <c r="C3321" s="42">
        <v>1052.0</v>
      </c>
      <c r="D3321" s="33" t="s">
        <v>7653</v>
      </c>
      <c r="E3321" s="74"/>
      <c r="F3321" s="46" t="s">
        <v>7618</v>
      </c>
      <c r="G3321" s="75"/>
      <c r="H3321" s="96" t="str">
        <f>HYPERLINK("http://mirror.ff7data.com.ar/ff7/data/wm/world_us.lgp/bhd.p.png","View Picture")</f>
        <v>View Picture</v>
      </c>
      <c r="K3321" s="43"/>
    </row>
    <row r="3322">
      <c r="A3322" s="154"/>
      <c r="B3322" s="33" t="s">
        <v>30702</v>
      </c>
      <c r="C3322" s="42">
        <v>59.0</v>
      </c>
      <c r="D3322" s="33" t="s">
        <v>7656</v>
      </c>
      <c r="E3322" s="74"/>
      <c r="F3322" s="46" t="s">
        <v>7616</v>
      </c>
      <c r="G3322" s="75"/>
      <c r="H3322" s="96" t="str">
        <f>HYPERLINK("http://mirror.ff7data.com.ar/ff7/data/wm/world_us.lgp/bhe.rsd.png","View Picture")</f>
        <v>View Picture</v>
      </c>
      <c r="K3322" s="43"/>
    </row>
    <row r="3323">
      <c r="A3323" s="154"/>
      <c r="B3323" s="33" t="s">
        <v>30714</v>
      </c>
      <c r="C3323" s="42">
        <v>1852.0</v>
      </c>
      <c r="D3323" s="33" t="s">
        <v>7656</v>
      </c>
      <c r="E3323" s="74"/>
      <c r="F3323" s="46" t="s">
        <v>7618</v>
      </c>
      <c r="G3323" s="75"/>
      <c r="H3323" s="96" t="str">
        <f>HYPERLINK("http://mirror.ff7data.com.ar/ff7/data/wm/world_us.lgp/bia.p.png","View Picture")</f>
        <v>View Picture</v>
      </c>
      <c r="K3323" s="43"/>
    </row>
    <row r="3324">
      <c r="A3324" s="154"/>
      <c r="B3324" s="33" t="s">
        <v>30723</v>
      </c>
      <c r="C3324" s="42">
        <v>59.0</v>
      </c>
      <c r="D3324" s="33" t="s">
        <v>3924</v>
      </c>
      <c r="E3324" s="74"/>
      <c r="F3324" s="46" t="s">
        <v>7616</v>
      </c>
      <c r="G3324" s="75"/>
      <c r="H3324" s="96" t="str">
        <f>HYPERLINK("http://mirror.ff7data.com.ar/ff7/data/wm/world_us.lgp/bib.rsd.png","View Picture")</f>
        <v>View Picture</v>
      </c>
      <c r="K3324" s="43"/>
    </row>
    <row r="3325">
      <c r="A3325" s="154"/>
      <c r="B3325" s="33" t="s">
        <v>30729</v>
      </c>
      <c r="C3325" s="42">
        <v>1052.0</v>
      </c>
      <c r="D3325" s="33" t="s">
        <v>3924</v>
      </c>
      <c r="E3325" s="74"/>
      <c r="F3325" s="46" t="s">
        <v>7618</v>
      </c>
      <c r="G3325" s="75"/>
      <c r="H3325" s="96" t="str">
        <f>HYPERLINK("http://mirror.ff7data.com.ar/ff7/data/wm/world_us.lgp/bic.p.png","View Picture")</f>
        <v>View Picture</v>
      </c>
      <c r="K3325" s="43"/>
    </row>
    <row r="3326">
      <c r="A3326" s="154"/>
      <c r="B3326" s="33" t="s">
        <v>30737</v>
      </c>
      <c r="C3326" s="42">
        <v>312.0</v>
      </c>
      <c r="D3326" s="33" t="s">
        <v>30739</v>
      </c>
      <c r="E3326" s="74"/>
      <c r="F3326" s="46" t="s">
        <v>30740</v>
      </c>
      <c r="G3326" s="75"/>
      <c r="H3326" s="74"/>
      <c r="K3326" s="43"/>
    </row>
    <row r="3327">
      <c r="A3327" s="154"/>
      <c r="B3327" s="33" t="s">
        <v>30743</v>
      </c>
      <c r="C3327" s="42">
        <v>4176.0</v>
      </c>
      <c r="D3327" s="33" t="s">
        <v>30745</v>
      </c>
      <c r="E3327" s="74"/>
      <c r="F3327" s="46" t="s">
        <v>30740</v>
      </c>
      <c r="G3327" s="75"/>
      <c r="H3327" s="74"/>
      <c r="K3327" s="43"/>
    </row>
    <row r="3328">
      <c r="A3328" s="154"/>
      <c r="B3328" s="33" t="s">
        <v>30747</v>
      </c>
      <c r="C3328" s="42">
        <v>5556.0</v>
      </c>
      <c r="D3328" s="33" t="s">
        <v>30749</v>
      </c>
      <c r="E3328" s="74"/>
      <c r="F3328" s="46" t="s">
        <v>30740</v>
      </c>
      <c r="G3328" s="75"/>
      <c r="H3328" s="74"/>
      <c r="K3328" s="43"/>
    </row>
    <row r="3329">
      <c r="A3329" s="154"/>
      <c r="B3329" s="33" t="s">
        <v>30752</v>
      </c>
      <c r="C3329" s="42">
        <v>6660.0</v>
      </c>
      <c r="D3329" s="33" t="s">
        <v>30753</v>
      </c>
      <c r="E3329" s="74"/>
      <c r="F3329" s="46" t="s">
        <v>30740</v>
      </c>
      <c r="G3329" s="75"/>
      <c r="H3329" s="74"/>
      <c r="K3329" s="43"/>
    </row>
    <row r="3330">
      <c r="A3330" s="154"/>
      <c r="B3330" s="33" t="s">
        <v>30756</v>
      </c>
      <c r="C3330" s="42">
        <v>4176.0</v>
      </c>
      <c r="D3330" s="33" t="s">
        <v>30758</v>
      </c>
      <c r="E3330" s="74"/>
      <c r="F3330" s="46" t="s">
        <v>30740</v>
      </c>
      <c r="G3330" s="75"/>
      <c r="H3330" s="74"/>
      <c r="K3330" s="43"/>
    </row>
    <row r="3331">
      <c r="A3331" s="154"/>
      <c r="B3331" s="33" t="s">
        <v>30761</v>
      </c>
      <c r="C3331" s="42">
        <v>4176.0</v>
      </c>
      <c r="D3331" s="33" t="s">
        <v>30762</v>
      </c>
      <c r="E3331" s="74"/>
      <c r="F3331" s="46" t="s">
        <v>30740</v>
      </c>
      <c r="G3331" s="75"/>
      <c r="H3331" s="74"/>
      <c r="K3331" s="43"/>
    </row>
    <row r="3332">
      <c r="A3332" s="154"/>
      <c r="B3332" s="33" t="s">
        <v>30765</v>
      </c>
      <c r="C3332" s="42">
        <v>8316.0</v>
      </c>
      <c r="D3332" s="33" t="s">
        <v>30766</v>
      </c>
      <c r="E3332" s="74"/>
      <c r="F3332" s="46" t="s">
        <v>30740</v>
      </c>
      <c r="G3332" s="75"/>
      <c r="H3332" s="74"/>
      <c r="K3332" s="43"/>
    </row>
    <row r="3333">
      <c r="A3333" s="154"/>
      <c r="B3333" s="33" t="s">
        <v>30769</v>
      </c>
      <c r="C3333" s="42">
        <v>8316.0</v>
      </c>
      <c r="D3333" s="33" t="s">
        <v>30770</v>
      </c>
      <c r="E3333" s="74"/>
      <c r="F3333" s="46" t="s">
        <v>30740</v>
      </c>
      <c r="G3333" s="75"/>
      <c r="H3333" s="74"/>
      <c r="K3333" s="43"/>
    </row>
    <row r="3334">
      <c r="A3334" s="154"/>
      <c r="B3334" s="33" t="s">
        <v>30772</v>
      </c>
      <c r="C3334" s="42">
        <v>4176.0</v>
      </c>
      <c r="D3334" s="33" t="s">
        <v>30774</v>
      </c>
      <c r="E3334" s="74"/>
      <c r="F3334" s="46" t="s">
        <v>30740</v>
      </c>
      <c r="G3334" s="75"/>
      <c r="H3334" s="74"/>
      <c r="K3334" s="43"/>
    </row>
    <row r="3335">
      <c r="A3335" s="154"/>
      <c r="B3335" s="33" t="s">
        <v>30778</v>
      </c>
      <c r="C3335" s="42">
        <v>1692.0</v>
      </c>
      <c r="D3335" s="33" t="s">
        <v>30780</v>
      </c>
      <c r="E3335" s="74"/>
      <c r="F3335" s="46" t="s">
        <v>30740</v>
      </c>
      <c r="G3335" s="75"/>
      <c r="H3335" s="74"/>
      <c r="K3335" s="43"/>
    </row>
    <row r="3336">
      <c r="A3336" s="154"/>
      <c r="B3336" s="33" t="s">
        <v>30782</v>
      </c>
      <c r="C3336" s="42">
        <v>80.0</v>
      </c>
      <c r="D3336" s="33" t="s">
        <v>30784</v>
      </c>
      <c r="E3336" s="74"/>
      <c r="F3336" s="46" t="s">
        <v>7609</v>
      </c>
      <c r="G3336" s="75"/>
      <c r="H3336" s="96" t="str">
        <f>HYPERLINK("http://mirror.ff7data.com.ar/ff7/data/wm/world_us.lgp/bkd.hrc.png","View Picture")</f>
        <v>View Picture</v>
      </c>
      <c r="K3336" s="43"/>
    </row>
    <row r="3337">
      <c r="A3337" s="154"/>
      <c r="B3337" s="33" t="s">
        <v>30795</v>
      </c>
      <c r="C3337" s="42">
        <v>91.0</v>
      </c>
      <c r="D3337" s="33" t="s">
        <v>30798</v>
      </c>
      <c r="E3337" s="74"/>
      <c r="F3337" s="46" t="s">
        <v>2793</v>
      </c>
      <c r="G3337" s="75"/>
      <c r="H3337" s="96" t="str">
        <f>HYPERLINK("http://mirror.ff7data.com.ar/ff7/data/wm/world_us.lgp/bke.rsd.png","View Picture")</f>
        <v>View Picture</v>
      </c>
      <c r="K3337" s="43"/>
    </row>
    <row r="3338">
      <c r="A3338" s="154"/>
      <c r="B3338" s="33" t="s">
        <v>30807</v>
      </c>
      <c r="C3338" s="42">
        <v>6008.0</v>
      </c>
      <c r="D3338" s="33" t="s">
        <v>30798</v>
      </c>
      <c r="E3338" s="74"/>
      <c r="F3338" s="46" t="s">
        <v>2775</v>
      </c>
      <c r="G3338" s="75"/>
      <c r="H3338" s="96" t="str">
        <f>HYPERLINK("http://mirror.ff7data.com.ar/ff7/data/wm/world_us.lgp/bla.p.png","View Picture")</f>
        <v>View Picture</v>
      </c>
      <c r="K3338" s="43"/>
    </row>
    <row r="3339">
      <c r="A3339" s="82"/>
      <c r="B3339" s="33" t="s">
        <v>30815</v>
      </c>
      <c r="C3339" s="42">
        <v>4396.0</v>
      </c>
      <c r="D3339" s="33" t="s">
        <v>30817</v>
      </c>
      <c r="E3339" s="74"/>
      <c r="F3339" s="46" t="s">
        <v>1348</v>
      </c>
      <c r="G3339" s="75"/>
      <c r="H3339" s="98" t="str">
        <f>HYPERLINK("http://mirror.ff7data.com.ar/ff7/data/wm/world_us.lgp/blb.tex.png","View Picture")</f>
        <v>View Picture</v>
      </c>
      <c r="K3339" s="43"/>
    </row>
    <row r="3340">
      <c r="A3340" s="82"/>
      <c r="B3340" s="33" t="s">
        <v>30825</v>
      </c>
      <c r="C3340" s="42">
        <v>1324.0</v>
      </c>
      <c r="D3340" s="33" t="s">
        <v>30826</v>
      </c>
      <c r="E3340" s="74"/>
      <c r="F3340" s="46" t="s">
        <v>1348</v>
      </c>
      <c r="G3340" s="75"/>
      <c r="H3340" s="98" t="str">
        <f>HYPERLINK("http://mirror.ff7data.com.ar/ff7/data/wm/world_us.lgp/blc.tex.png","View Picture")</f>
        <v>View Picture</v>
      </c>
      <c r="K3340" s="43"/>
    </row>
    <row r="3341">
      <c r="A3341" s="154"/>
      <c r="B3341" s="33" t="s">
        <v>30833</v>
      </c>
      <c r="C3341" s="42">
        <v>756.0</v>
      </c>
      <c r="D3341" s="33" t="s">
        <v>30835</v>
      </c>
      <c r="E3341" s="74"/>
      <c r="F3341" s="46" t="s">
        <v>3366</v>
      </c>
      <c r="G3341" s="75"/>
      <c r="H3341" s="74"/>
      <c r="K3341" s="43"/>
    </row>
    <row r="3342">
      <c r="A3342" s="154"/>
      <c r="B3342" s="33" t="s">
        <v>30836</v>
      </c>
      <c r="C3342" s="42">
        <v>80.0</v>
      </c>
      <c r="D3342" s="33" t="s">
        <v>30837</v>
      </c>
      <c r="E3342" s="74"/>
      <c r="F3342" s="46" t="s">
        <v>7609</v>
      </c>
      <c r="G3342" s="75"/>
      <c r="H3342" s="96" t="str">
        <f>HYPERLINK("http://mirror.ff7data.com.ar/ff7/data/wm/world_us.lgp/ble.hrc.png","View Picture")</f>
        <v>View Picture</v>
      </c>
      <c r="K3342" s="43"/>
    </row>
    <row r="3343">
      <c r="A3343" s="154"/>
      <c r="B3343" s="33" t="s">
        <v>30840</v>
      </c>
      <c r="C3343" s="42">
        <v>59.0</v>
      </c>
      <c r="D3343" s="33" t="s">
        <v>30841</v>
      </c>
      <c r="E3343" s="74"/>
      <c r="F3343" s="46" t="s">
        <v>2793</v>
      </c>
      <c r="G3343" s="75"/>
      <c r="H3343" s="96" t="str">
        <f>HYPERLINK("http://mirror.ff7data.com.ar/ff7/data/wm/world_us.lgp/bma.rsd.png","View Picture")</f>
        <v>View Picture</v>
      </c>
      <c r="K3343" s="43"/>
    </row>
    <row r="3344">
      <c r="A3344" s="154"/>
      <c r="B3344" s="33" t="s">
        <v>30843</v>
      </c>
      <c r="C3344" s="42">
        <v>12572.0</v>
      </c>
      <c r="D3344" s="33" t="s">
        <v>30841</v>
      </c>
      <c r="E3344" s="74"/>
      <c r="F3344" s="46" t="s">
        <v>2775</v>
      </c>
      <c r="G3344" s="75"/>
      <c r="H3344" s="96" t="str">
        <f>HYPERLINK("http://mirror.ff7data.com.ar/ff7/data/wm/world_us.lgp/bmb.p.png","View Picture")</f>
        <v>View Picture</v>
      </c>
      <c r="K3344" s="43"/>
    </row>
    <row r="3345">
      <c r="A3345" s="154"/>
      <c r="B3345" s="33" t="s">
        <v>30846</v>
      </c>
      <c r="C3345" s="42">
        <v>59.0</v>
      </c>
      <c r="D3345" s="33" t="s">
        <v>30848</v>
      </c>
      <c r="E3345" s="74"/>
      <c r="F3345" s="46" t="s">
        <v>2793</v>
      </c>
      <c r="G3345" s="75"/>
      <c r="H3345" s="96" t="str">
        <f>HYPERLINK("http://mirror.ff7data.com.ar/ff7/data/wm/world_us.lgp/bmc.rsd.png","View Picture")</f>
        <v>View Picture</v>
      </c>
      <c r="K3345" s="43"/>
    </row>
    <row r="3346">
      <c r="A3346" s="154"/>
      <c r="B3346" s="33" t="s">
        <v>30859</v>
      </c>
      <c r="C3346" s="42">
        <v>1660.0</v>
      </c>
      <c r="D3346" s="33" t="s">
        <v>30848</v>
      </c>
      <c r="E3346" s="74"/>
      <c r="F3346" s="46" t="s">
        <v>2775</v>
      </c>
      <c r="G3346" s="75"/>
      <c r="H3346" s="96" t="str">
        <f>HYPERLINK("http://mirror.ff7data.com.ar/ff7/data/wm/world_us.lgp/bmd.p.png","View Picture")</f>
        <v>View Picture</v>
      </c>
      <c r="K3346" s="43"/>
    </row>
    <row r="3347">
      <c r="A3347" s="154"/>
      <c r="B3347" s="33" t="s">
        <v>30868</v>
      </c>
      <c r="C3347" s="42">
        <v>60.0</v>
      </c>
      <c r="D3347" s="33" t="s">
        <v>30869</v>
      </c>
      <c r="E3347" s="74"/>
      <c r="F3347" s="46" t="s">
        <v>3366</v>
      </c>
      <c r="G3347" s="75"/>
      <c r="H3347" s="74"/>
      <c r="K3347" s="43"/>
    </row>
    <row r="3348">
      <c r="A3348" s="154"/>
      <c r="B3348" s="33" t="s">
        <v>30874</v>
      </c>
      <c r="C3348" s="42">
        <v>865.0</v>
      </c>
      <c r="D3348" s="33" t="s">
        <v>30875</v>
      </c>
      <c r="E3348" s="74"/>
      <c r="F3348" s="46" t="s">
        <v>7609</v>
      </c>
      <c r="G3348" s="75"/>
      <c r="H3348" s="96" t="str">
        <f>HYPERLINK("http://mirror.ff7data.com.ar/ff7/data/wm/world_us.lgp/bna.hrc.png","View Picture")</f>
        <v>View Picture</v>
      </c>
      <c r="K3348" s="43"/>
    </row>
    <row r="3349">
      <c r="A3349" s="154"/>
      <c r="B3349" s="33" t="s">
        <v>30884</v>
      </c>
      <c r="C3349" s="42">
        <v>142.0</v>
      </c>
      <c r="D3349" s="33" t="s">
        <v>30886</v>
      </c>
      <c r="E3349" s="74"/>
      <c r="F3349" s="46" t="s">
        <v>2793</v>
      </c>
      <c r="G3349" s="75"/>
      <c r="H3349" s="96" t="str">
        <f>HYPERLINK("http://mirror.ff7data.com.ar/ff7/data/wm/world_us.lgp/bnb.rsd.png","View Picture")</f>
        <v>View Picture</v>
      </c>
      <c r="K3349" s="43"/>
    </row>
    <row r="3350">
      <c r="A3350" s="154"/>
      <c r="B3350" s="33" t="s">
        <v>30894</v>
      </c>
      <c r="C3350" s="42">
        <v>1268.0</v>
      </c>
      <c r="D3350" s="33" t="s">
        <v>30886</v>
      </c>
      <c r="E3350" s="74"/>
      <c r="F3350" s="46" t="s">
        <v>2775</v>
      </c>
      <c r="G3350" s="75"/>
      <c r="H3350" s="96" t="str">
        <f>HYPERLINK("http://mirror.ff7data.com.ar/ff7/data/wm/world_us.lgp/bnc.p.png","View Picture")</f>
        <v>View Picture</v>
      </c>
      <c r="K3350" s="43"/>
    </row>
    <row r="3351">
      <c r="A3351" s="154"/>
      <c r="B3351" s="33" t="s">
        <v>30903</v>
      </c>
      <c r="C3351" s="42">
        <v>142.0</v>
      </c>
      <c r="D3351" s="33" t="s">
        <v>30905</v>
      </c>
      <c r="E3351" s="74"/>
      <c r="F3351" s="46" t="s">
        <v>2793</v>
      </c>
      <c r="G3351" s="75"/>
      <c r="H3351" s="96" t="str">
        <f>HYPERLINK("http://mirror.ff7data.com.ar/ff7/data/wm/world_us.lgp/bnd.rsd.png","View Picture")</f>
        <v>View Picture</v>
      </c>
      <c r="K3351" s="43"/>
    </row>
    <row r="3352">
      <c r="A3352" s="154"/>
      <c r="B3352" s="33" t="s">
        <v>30915</v>
      </c>
      <c r="C3352" s="42">
        <v>1588.0</v>
      </c>
      <c r="D3352" s="33" t="s">
        <v>30905</v>
      </c>
      <c r="E3352" s="74"/>
      <c r="F3352" s="46" t="s">
        <v>2775</v>
      </c>
      <c r="G3352" s="75"/>
      <c r="H3352" s="96" t="str">
        <f>HYPERLINK("http://mirror.ff7data.com.ar/ff7/data/wm/world_us.lgp/bne.p.png","View Picture")</f>
        <v>View Picture</v>
      </c>
      <c r="K3352" s="43"/>
    </row>
    <row r="3353">
      <c r="A3353" s="154"/>
      <c r="B3353" s="33" t="s">
        <v>30921</v>
      </c>
      <c r="C3353" s="42">
        <v>142.0</v>
      </c>
      <c r="D3353" s="33" t="s">
        <v>30923</v>
      </c>
      <c r="E3353" s="74"/>
      <c r="F3353" s="46" t="s">
        <v>2793</v>
      </c>
      <c r="G3353" s="75"/>
      <c r="H3353" s="96" t="str">
        <f>HYPERLINK("http://mirror.ff7data.com.ar/ff7/data/wm/world_us.lgp/boa.rsd.png","View Picture")</f>
        <v>View Picture</v>
      </c>
      <c r="K3353" s="43"/>
    </row>
    <row r="3354">
      <c r="A3354" s="154"/>
      <c r="B3354" s="33" t="s">
        <v>30930</v>
      </c>
      <c r="C3354" s="42">
        <v>5956.0</v>
      </c>
      <c r="D3354" s="33" t="s">
        <v>30923</v>
      </c>
      <c r="E3354" s="74"/>
      <c r="F3354" s="46" t="s">
        <v>2775</v>
      </c>
      <c r="G3354" s="75"/>
      <c r="H3354" s="96" t="str">
        <f>HYPERLINK("http://mirror.ff7data.com.ar/ff7/data/wm/world_us.lgp/bob.p.png","View Picture")</f>
        <v>View Picture</v>
      </c>
      <c r="K3354" s="43"/>
    </row>
    <row r="3355">
      <c r="A3355" s="154"/>
      <c r="B3355" s="33" t="s">
        <v>30938</v>
      </c>
      <c r="C3355" s="42">
        <v>142.0</v>
      </c>
      <c r="D3355" s="33" t="s">
        <v>30940</v>
      </c>
      <c r="E3355" s="74"/>
      <c r="F3355" s="46" t="s">
        <v>2793</v>
      </c>
      <c r="G3355" s="75"/>
      <c r="H3355" s="96" t="str">
        <f>HYPERLINK("http://mirror.ff7data.com.ar/ff7/data/wm/world_us.lgp/boc.rsd.png","View Picture")</f>
        <v>View Picture</v>
      </c>
      <c r="K3355" s="43"/>
    </row>
    <row r="3356">
      <c r="A3356" s="154"/>
      <c r="B3356" s="33" t="s">
        <v>30948</v>
      </c>
      <c r="C3356" s="42">
        <v>1120.0</v>
      </c>
      <c r="D3356" s="33" t="s">
        <v>30940</v>
      </c>
      <c r="E3356" s="74"/>
      <c r="F3356" s="46" t="s">
        <v>2775</v>
      </c>
      <c r="G3356" s="75"/>
      <c r="H3356" s="96" t="str">
        <f>HYPERLINK("http://mirror.ff7data.com.ar/ff7/data/wm/world_us.lgp/bod.p.png","View Picture")</f>
        <v>View Picture</v>
      </c>
      <c r="K3356" s="43"/>
    </row>
    <row r="3357">
      <c r="A3357" s="154"/>
      <c r="B3357" s="33" t="s">
        <v>30955</v>
      </c>
      <c r="C3357" s="42">
        <v>142.0</v>
      </c>
      <c r="D3357" s="33" t="s">
        <v>30956</v>
      </c>
      <c r="E3357" s="74"/>
      <c r="F3357" s="46" t="s">
        <v>2793</v>
      </c>
      <c r="G3357" s="75"/>
      <c r="H3357" s="96" t="str">
        <f>HYPERLINK("http://mirror.ff7data.com.ar/ff7/data/wm/world_us.lgp/boe.rsd.png","View Picture")</f>
        <v>View Picture</v>
      </c>
      <c r="K3357" s="43"/>
    </row>
    <row r="3358">
      <c r="A3358" s="82"/>
      <c r="B3358" s="33" t="s">
        <v>30958</v>
      </c>
      <c r="C3358" s="42">
        <v>1324.0</v>
      </c>
      <c r="D3358" s="33" t="s">
        <v>30959</v>
      </c>
      <c r="E3358" s="74"/>
      <c r="F3358" s="46" t="s">
        <v>1348</v>
      </c>
      <c r="G3358" s="75"/>
      <c r="H3358" s="98" t="str">
        <f>HYPERLINK("http://mirror.ff7data.com.ar/ff7/data/wm/world_us.lgp/bone.tex.png","View Picture")</f>
        <v>View Picture</v>
      </c>
      <c r="K3358" s="43"/>
    </row>
    <row r="3359">
      <c r="A3359" s="82"/>
      <c r="B3359" s="33" t="s">
        <v>30962</v>
      </c>
      <c r="C3359" s="42">
        <v>1324.0</v>
      </c>
      <c r="D3359" s="33" t="s">
        <v>30963</v>
      </c>
      <c r="E3359" s="74"/>
      <c r="F3359" s="46" t="s">
        <v>1348</v>
      </c>
      <c r="G3359" s="75"/>
      <c r="H3359" s="98" t="str">
        <f>HYPERLINK("http://mirror.ff7data.com.ar/ff7/data/wm/world_us.lgp/bone2.tex.png","View Picture")</f>
        <v>View Picture</v>
      </c>
      <c r="K3359" s="43"/>
    </row>
    <row r="3360">
      <c r="A3360" s="82"/>
      <c r="B3360" s="33" t="s">
        <v>30966</v>
      </c>
      <c r="C3360" s="42">
        <v>4396.0</v>
      </c>
      <c r="D3360" s="33" t="s">
        <v>30968</v>
      </c>
      <c r="E3360" s="74"/>
      <c r="F3360" s="46" t="s">
        <v>1348</v>
      </c>
      <c r="G3360" s="75"/>
      <c r="H3360" s="98" t="str">
        <f>HYPERLINK("http://mirror.ff7data.com.ar/ff7/data/wm/world_us.lgp/bornwd.tex.png","View Picture")</f>
        <v>View Picture</v>
      </c>
      <c r="K3360" s="43"/>
    </row>
    <row r="3361">
      <c r="A3361" s="154"/>
      <c r="B3361" s="33" t="s">
        <v>30976</v>
      </c>
      <c r="C3361" s="42">
        <v>1424.0</v>
      </c>
      <c r="D3361" s="33" t="s">
        <v>30956</v>
      </c>
      <c r="E3361" s="74"/>
      <c r="F3361" s="46" t="s">
        <v>2775</v>
      </c>
      <c r="G3361" s="75"/>
      <c r="H3361" s="96" t="str">
        <f>HYPERLINK("http://mirror.ff7data.com.ar/ff7/data/wm/world_us.lgp/bpa.p.png","View Picture")</f>
        <v>View Picture</v>
      </c>
      <c r="K3361" s="43"/>
    </row>
    <row r="3362">
      <c r="A3362" s="154"/>
      <c r="B3362" s="33" t="s">
        <v>30986</v>
      </c>
      <c r="C3362" s="42">
        <v>59.0</v>
      </c>
      <c r="D3362" s="33" t="s">
        <v>30987</v>
      </c>
      <c r="E3362" s="74"/>
      <c r="F3362" s="46" t="s">
        <v>2793</v>
      </c>
      <c r="G3362" s="75"/>
      <c r="H3362" s="96" t="str">
        <f>HYPERLINK("http://mirror.ff7data.com.ar/ff7/data/wm/world_us.lgp/bpb.rsd.png","View Picture")</f>
        <v>View Picture</v>
      </c>
      <c r="K3362" s="43"/>
    </row>
    <row r="3363">
      <c r="A3363" s="154"/>
      <c r="B3363" s="33" t="s">
        <v>30996</v>
      </c>
      <c r="C3363" s="42">
        <v>2404.0</v>
      </c>
      <c r="D3363" s="33" t="s">
        <v>30987</v>
      </c>
      <c r="E3363" s="74"/>
      <c r="F3363" s="46" t="s">
        <v>2775</v>
      </c>
      <c r="G3363" s="75"/>
      <c r="H3363" s="96" t="str">
        <f>HYPERLINK("http://mirror.ff7data.com.ar/ff7/data/wm/world_us.lgp/bpc.p.png","View Picture")</f>
        <v>View Picture</v>
      </c>
      <c r="K3363" s="43"/>
    </row>
    <row r="3364">
      <c r="A3364" s="154"/>
      <c r="B3364" s="33" t="s">
        <v>31005</v>
      </c>
      <c r="C3364" s="42">
        <v>142.0</v>
      </c>
      <c r="D3364" s="33" t="s">
        <v>30940</v>
      </c>
      <c r="E3364" s="74"/>
      <c r="F3364" s="46" t="s">
        <v>2793</v>
      </c>
      <c r="G3364" s="75"/>
      <c r="H3364" s="96" t="str">
        <f>HYPERLINK("http://mirror.ff7data.com.ar/ff7/data/wm/world_us.lgp/bpd.rsd.png","View Picture")</f>
        <v>View Picture</v>
      </c>
      <c r="K3364" s="43"/>
    </row>
    <row r="3365">
      <c r="A3365" s="154"/>
      <c r="B3365" s="33" t="s">
        <v>31012</v>
      </c>
      <c r="C3365" s="42">
        <v>1120.0</v>
      </c>
      <c r="D3365" s="33" t="s">
        <v>30940</v>
      </c>
      <c r="E3365" s="74"/>
      <c r="F3365" s="46" t="s">
        <v>2775</v>
      </c>
      <c r="G3365" s="75"/>
      <c r="H3365" s="96" t="str">
        <f>HYPERLINK("http://mirror.ff7data.com.ar/ff7/data/wm/world_us.lgp/bpe.p.png","View Picture")</f>
        <v>View Picture</v>
      </c>
      <c r="K3365" s="43"/>
    </row>
    <row r="3366">
      <c r="A3366" s="154"/>
      <c r="B3366" s="33" t="s">
        <v>31022</v>
      </c>
      <c r="C3366" s="42">
        <v>142.0</v>
      </c>
      <c r="D3366" s="33" t="s">
        <v>30956</v>
      </c>
      <c r="E3366" s="74"/>
      <c r="F3366" s="46" t="s">
        <v>2793</v>
      </c>
      <c r="G3366" s="75"/>
      <c r="H3366" s="96" t="str">
        <f>HYPERLINK("http://mirror.ff7data.com.ar/ff7/data/wm/world_us.lgp/bqa.rsd.png","View Picture")</f>
        <v>View Picture</v>
      </c>
      <c r="K3366" s="43"/>
    </row>
    <row r="3367">
      <c r="A3367" s="154"/>
      <c r="B3367" s="33" t="s">
        <v>31030</v>
      </c>
      <c r="C3367" s="42">
        <v>1424.0</v>
      </c>
      <c r="D3367" s="33" t="s">
        <v>30956</v>
      </c>
      <c r="E3367" s="74"/>
      <c r="F3367" s="46" t="s">
        <v>2775</v>
      </c>
      <c r="G3367" s="75"/>
      <c r="H3367" s="96" t="str">
        <f>HYPERLINK("http://mirror.ff7data.com.ar/ff7/data/wm/world_us.lgp/bqb.p.png","View Picture")</f>
        <v>View Picture</v>
      </c>
      <c r="K3367" s="43"/>
    </row>
    <row r="3368">
      <c r="A3368" s="154"/>
      <c r="B3368" s="33" t="s">
        <v>31038</v>
      </c>
      <c r="C3368" s="42">
        <v>59.0</v>
      </c>
      <c r="D3368" s="33" t="s">
        <v>30987</v>
      </c>
      <c r="E3368" s="74"/>
      <c r="F3368" s="46" t="s">
        <v>2793</v>
      </c>
      <c r="G3368" s="75"/>
      <c r="H3368" s="96" t="str">
        <f>HYPERLINK("http://mirror.ff7data.com.ar/ff7/data/wm/world_us.lgp/bqc.rsd.png","View Picture")</f>
        <v>View Picture</v>
      </c>
      <c r="K3368" s="43"/>
    </row>
    <row r="3369">
      <c r="A3369" s="154"/>
      <c r="B3369" s="33" t="s">
        <v>31048</v>
      </c>
      <c r="C3369" s="42">
        <v>2404.0</v>
      </c>
      <c r="D3369" s="33" t="s">
        <v>30987</v>
      </c>
      <c r="E3369" s="74"/>
      <c r="F3369" s="46" t="s">
        <v>2775</v>
      </c>
      <c r="G3369" s="75"/>
      <c r="H3369" s="96" t="str">
        <f>HYPERLINK("http://mirror.ff7data.com.ar/ff7/data/wm/world_us.lgp/bqd.p.png","View Picture")</f>
        <v>View Picture</v>
      </c>
      <c r="K3369" s="43"/>
    </row>
    <row r="3370">
      <c r="A3370" s="154"/>
      <c r="B3370" s="33" t="s">
        <v>31056</v>
      </c>
      <c r="C3370" s="42">
        <v>59.0</v>
      </c>
      <c r="D3370" s="33" t="s">
        <v>31058</v>
      </c>
      <c r="E3370" s="74"/>
      <c r="F3370" s="46" t="s">
        <v>2793</v>
      </c>
      <c r="G3370" s="75"/>
      <c r="H3370" s="96" t="str">
        <f>HYPERLINK("http://mirror.ff7data.com.ar/ff7/data/wm/world_us.lgp/bqe.rsd.png","View Picture")</f>
        <v>View Picture</v>
      </c>
      <c r="K3370" s="43"/>
    </row>
    <row r="3371">
      <c r="A3371" s="154"/>
      <c r="B3371" s="33" t="s">
        <v>31066</v>
      </c>
      <c r="C3371" s="42">
        <v>508.0</v>
      </c>
      <c r="D3371" s="33" t="s">
        <v>31058</v>
      </c>
      <c r="E3371" s="74"/>
      <c r="F3371" s="46" t="s">
        <v>2775</v>
      </c>
      <c r="G3371" s="75"/>
      <c r="H3371" s="96" t="str">
        <f>HYPERLINK("http://mirror.ff7data.com.ar/ff7/data/wm/world_us.lgp/bra.p.png","View Picture")</f>
        <v>View Picture</v>
      </c>
      <c r="K3371" s="43"/>
    </row>
    <row r="3372">
      <c r="A3372" s="154"/>
      <c r="B3372" s="33" t="s">
        <v>31074</v>
      </c>
      <c r="C3372" s="42">
        <v>59.0</v>
      </c>
      <c r="D3372" s="33" t="s">
        <v>31076</v>
      </c>
      <c r="E3372" s="74"/>
      <c r="F3372" s="46" t="s">
        <v>2793</v>
      </c>
      <c r="G3372" s="75"/>
      <c r="H3372" s="96" t="str">
        <f>HYPERLINK("http://mirror.ff7data.com.ar/ff7/data/wm/world_us.lgp/brb.rsd.png","View Picture")</f>
        <v>View Picture</v>
      </c>
      <c r="K3372" s="43"/>
    </row>
    <row r="3373">
      <c r="A3373" s="154"/>
      <c r="B3373" s="33" t="s">
        <v>31083</v>
      </c>
      <c r="C3373" s="42">
        <v>1376.0</v>
      </c>
      <c r="D3373" s="33" t="s">
        <v>31076</v>
      </c>
      <c r="E3373" s="74"/>
      <c r="F3373" s="46" t="s">
        <v>2775</v>
      </c>
      <c r="G3373" s="75"/>
      <c r="H3373" s="96" t="str">
        <f>HYPERLINK("http://mirror.ff7data.com.ar/ff7/data/wm/world_us.lgp/brc.p.png","View Picture")</f>
        <v>View Picture</v>
      </c>
      <c r="K3373" s="43"/>
    </row>
    <row r="3374">
      <c r="A3374" s="154"/>
      <c r="B3374" s="33" t="s">
        <v>31092</v>
      </c>
      <c r="C3374" s="42">
        <v>59.0</v>
      </c>
      <c r="D3374" s="33" t="s">
        <v>31094</v>
      </c>
      <c r="E3374" s="74"/>
      <c r="F3374" s="46" t="s">
        <v>2793</v>
      </c>
      <c r="G3374" s="75"/>
      <c r="H3374" s="96" t="str">
        <f>HYPERLINK("http://mirror.ff7data.com.ar/ff7/data/wm/world_us.lgp/brd.rsd.png","View Picture")</f>
        <v>View Picture</v>
      </c>
      <c r="K3374" s="43"/>
    </row>
    <row r="3375">
      <c r="A3375" s="154"/>
      <c r="B3375" s="33" t="s">
        <v>31102</v>
      </c>
      <c r="C3375" s="42">
        <v>2644.0</v>
      </c>
      <c r="D3375" s="33" t="s">
        <v>31094</v>
      </c>
      <c r="E3375" s="74"/>
      <c r="F3375" s="46" t="s">
        <v>2775</v>
      </c>
      <c r="G3375" s="75"/>
      <c r="H3375" s="96" t="str">
        <f>HYPERLINK("http://mirror.ff7data.com.ar/ff7/data/wm/world_us.lgp/bre.p.png","View Picture")</f>
        <v>View Picture</v>
      </c>
      <c r="K3375" s="43"/>
    </row>
    <row r="3376">
      <c r="A3376" s="82"/>
      <c r="B3376" s="33" t="s">
        <v>31110</v>
      </c>
      <c r="C3376" s="42">
        <v>2348.0</v>
      </c>
      <c r="D3376" s="33" t="s">
        <v>31112</v>
      </c>
      <c r="E3376" s="74"/>
      <c r="F3376" s="46" t="s">
        <v>1348</v>
      </c>
      <c r="G3376" s="75"/>
      <c r="H3376" s="98" t="str">
        <f>HYPERLINK("http://mirror.ff7data.com.ar/ff7/data/wm/world_us.lgp/bridge.tex.png","View Picture")</f>
        <v>View Picture</v>
      </c>
      <c r="K3376" s="43"/>
    </row>
    <row r="3377">
      <c r="A3377" s="82"/>
      <c r="B3377" s="33" t="s">
        <v>31119</v>
      </c>
      <c r="C3377" s="42">
        <v>1324.0</v>
      </c>
      <c r="D3377" s="33" t="s">
        <v>31121</v>
      </c>
      <c r="E3377" s="74"/>
      <c r="F3377" s="46" t="s">
        <v>1348</v>
      </c>
      <c r="G3377" s="75"/>
      <c r="H3377" s="98" t="str">
        <f>HYPERLINK("http://mirror.ff7data.com.ar/ff7/data/wm/world_us.lgp/bridge2.tex.png","View Picture")</f>
        <v>View Picture</v>
      </c>
      <c r="K3377" s="43"/>
    </row>
    <row r="3378">
      <c r="A3378" s="154"/>
      <c r="B3378" s="33" t="s">
        <v>31128</v>
      </c>
      <c r="C3378" s="42">
        <v>142.0</v>
      </c>
      <c r="D3378" s="33" t="s">
        <v>31130</v>
      </c>
      <c r="E3378" s="74"/>
      <c r="F3378" s="46" t="s">
        <v>2793</v>
      </c>
      <c r="G3378" s="75"/>
      <c r="H3378" s="96" t="str">
        <f>HYPERLINK("http://mirror.ff7data.com.ar/ff7/data/wm/world_us.lgp/bsa.rsd.png","View Picture")</f>
        <v>View Picture</v>
      </c>
      <c r="K3378" s="43"/>
    </row>
    <row r="3379">
      <c r="A3379" s="154"/>
      <c r="B3379" s="33" t="s">
        <v>31137</v>
      </c>
      <c r="C3379" s="42">
        <v>1044.0</v>
      </c>
      <c r="D3379" s="33" t="s">
        <v>31130</v>
      </c>
      <c r="E3379" s="74"/>
      <c r="F3379" s="46" t="s">
        <v>2775</v>
      </c>
      <c r="G3379" s="75"/>
      <c r="H3379" s="96" t="str">
        <f>HYPERLINK("http://mirror.ff7data.com.ar/ff7/data/wm/world_us.lgp/bsb.p.png","View Picture")</f>
        <v>View Picture</v>
      </c>
      <c r="K3379" s="43"/>
    </row>
    <row r="3380">
      <c r="A3380" s="154"/>
      <c r="B3380" s="33" t="s">
        <v>31146</v>
      </c>
      <c r="C3380" s="42">
        <v>59.0</v>
      </c>
      <c r="D3380" s="33" t="s">
        <v>31076</v>
      </c>
      <c r="E3380" s="74"/>
      <c r="F3380" s="46" t="s">
        <v>2793</v>
      </c>
      <c r="G3380" s="75"/>
      <c r="H3380" s="96" t="str">
        <f>HYPERLINK("http://mirror.ff7data.com.ar/ff7/data/wm/world_us.lgp/bsc.rsd.png","View Picture")</f>
        <v>View Picture</v>
      </c>
      <c r="K3380" s="43"/>
    </row>
    <row r="3381">
      <c r="A3381" s="154"/>
      <c r="B3381" s="33" t="s">
        <v>31154</v>
      </c>
      <c r="C3381" s="42">
        <v>1376.0</v>
      </c>
      <c r="D3381" s="33" t="s">
        <v>31076</v>
      </c>
      <c r="E3381" s="74"/>
      <c r="F3381" s="46" t="s">
        <v>2775</v>
      </c>
      <c r="G3381" s="75"/>
      <c r="H3381" s="96" t="str">
        <f>HYPERLINK("http://mirror.ff7data.com.ar/ff7/data/wm/world_us.lgp/bsd.p.png","View Picture")</f>
        <v>View Picture</v>
      </c>
      <c r="K3381" s="43"/>
    </row>
    <row r="3382">
      <c r="A3382" s="154"/>
      <c r="B3382" s="33" t="s">
        <v>31164</v>
      </c>
      <c r="C3382" s="42">
        <v>59.0</v>
      </c>
      <c r="D3382" s="33" t="s">
        <v>31094</v>
      </c>
      <c r="E3382" s="74"/>
      <c r="F3382" s="46" t="s">
        <v>2793</v>
      </c>
      <c r="G3382" s="75"/>
      <c r="H3382" s="96" t="str">
        <f>HYPERLINK("http://mirror.ff7data.com.ar/ff7/data/wm/world_us.lgp/bse.rsd.png","View Picture")</f>
        <v>View Picture</v>
      </c>
      <c r="K3382" s="43"/>
    </row>
    <row r="3383">
      <c r="A3383" s="154"/>
      <c r="B3383" s="33" t="s">
        <v>31172</v>
      </c>
      <c r="C3383" s="42">
        <v>2644.0</v>
      </c>
      <c r="D3383" s="33" t="s">
        <v>31094</v>
      </c>
      <c r="E3383" s="74"/>
      <c r="F3383" s="46" t="s">
        <v>2775</v>
      </c>
      <c r="G3383" s="75"/>
      <c r="H3383" s="96" t="str">
        <f>HYPERLINK("http://mirror.ff7data.com.ar/ff7/data/wm/world_us.lgp/bta.p.png","View Picture")</f>
        <v>View Picture</v>
      </c>
      <c r="K3383" s="43"/>
    </row>
    <row r="3384">
      <c r="A3384" s="154"/>
      <c r="B3384" s="33" t="s">
        <v>31180</v>
      </c>
      <c r="C3384" s="42">
        <v>142.0</v>
      </c>
      <c r="D3384" s="33" t="s">
        <v>31130</v>
      </c>
      <c r="E3384" s="74"/>
      <c r="F3384" s="46" t="s">
        <v>2793</v>
      </c>
      <c r="G3384" s="75"/>
      <c r="H3384" s="96" t="str">
        <f>HYPERLINK("http://mirror.ff7data.com.ar/ff7/data/wm/world_us.lgp/btb.rsd.png","View Picture")</f>
        <v>View Picture</v>
      </c>
      <c r="K3384" s="43"/>
    </row>
    <row r="3385">
      <c r="A3385" s="154"/>
      <c r="B3385" s="33" t="s">
        <v>31188</v>
      </c>
      <c r="C3385" s="42">
        <v>1044.0</v>
      </c>
      <c r="D3385" s="33" t="s">
        <v>31130</v>
      </c>
      <c r="E3385" s="74"/>
      <c r="F3385" s="46" t="s">
        <v>2775</v>
      </c>
      <c r="G3385" s="75"/>
      <c r="H3385" s="96" t="str">
        <f>HYPERLINK("http://mirror.ff7data.com.ar/ff7/data/wm/world_us.lgp/btc.p.png","View Picture")</f>
        <v>View Picture</v>
      </c>
      <c r="K3385" s="43"/>
    </row>
    <row r="3386">
      <c r="A3386" s="154"/>
      <c r="B3386" s="33" t="s">
        <v>31197</v>
      </c>
      <c r="C3386" s="42">
        <v>4716.0</v>
      </c>
      <c r="D3386" s="33" t="s">
        <v>31198</v>
      </c>
      <c r="E3386" s="74"/>
      <c r="F3386" s="46" t="s">
        <v>3366</v>
      </c>
      <c r="G3386" s="75"/>
      <c r="H3386" s="74"/>
      <c r="K3386" s="43"/>
    </row>
    <row r="3387">
      <c r="A3387" s="154"/>
      <c r="B3387" s="33" t="s">
        <v>31201</v>
      </c>
      <c r="C3387" s="42">
        <v>18756.0</v>
      </c>
      <c r="D3387" s="33" t="s">
        <v>31202</v>
      </c>
      <c r="E3387" s="74"/>
      <c r="F3387" s="46" t="s">
        <v>3366</v>
      </c>
      <c r="G3387" s="75"/>
      <c r="H3387" s="74"/>
      <c r="K3387" s="43"/>
    </row>
    <row r="3388">
      <c r="A3388" s="154"/>
      <c r="B3388" s="33" t="s">
        <v>31205</v>
      </c>
      <c r="C3388" s="42">
        <v>4716.0</v>
      </c>
      <c r="D3388" s="33" t="s">
        <v>31207</v>
      </c>
      <c r="E3388" s="74"/>
      <c r="F3388" s="46" t="s">
        <v>3366</v>
      </c>
      <c r="G3388" s="75"/>
      <c r="H3388" s="74"/>
      <c r="K3388" s="43"/>
    </row>
    <row r="3389">
      <c r="A3389" s="154"/>
      <c r="B3389" s="33" t="s">
        <v>31209</v>
      </c>
      <c r="C3389" s="42">
        <v>4716.0</v>
      </c>
      <c r="D3389" s="33" t="s">
        <v>31211</v>
      </c>
      <c r="E3389" s="74"/>
      <c r="F3389" s="46" t="s">
        <v>3366</v>
      </c>
      <c r="G3389" s="75"/>
      <c r="H3389" s="74"/>
      <c r="K3389" s="43"/>
    </row>
    <row r="3390">
      <c r="A3390" s="154"/>
      <c r="B3390" s="33" t="s">
        <v>31213</v>
      </c>
      <c r="C3390" s="42">
        <v>9396.0</v>
      </c>
      <c r="D3390" s="33" t="s">
        <v>31215</v>
      </c>
      <c r="E3390" s="74"/>
      <c r="F3390" s="46" t="s">
        <v>3366</v>
      </c>
      <c r="G3390" s="75"/>
      <c r="H3390" s="74"/>
      <c r="K3390" s="43"/>
    </row>
    <row r="3391">
      <c r="A3391" s="21"/>
      <c r="B3391" s="33" t="s">
        <v>31217</v>
      </c>
      <c r="C3391" s="42">
        <v>970.0</v>
      </c>
      <c r="D3391" s="33" t="s">
        <v>31219</v>
      </c>
      <c r="E3391" s="74"/>
      <c r="F3391" s="46" t="s">
        <v>7609</v>
      </c>
      <c r="G3391" s="75"/>
      <c r="H3391" s="96" t="str">
        <f>HYPERLINK("http://mirror.ff7data.com.ar/ff7/data/wm/world_us.lgp/bud.hrc.png","View Picture")</f>
        <v>View Picture</v>
      </c>
      <c r="K3391" s="43"/>
    </row>
    <row r="3392">
      <c r="A3392" s="21"/>
      <c r="B3392" s="33" t="s">
        <v>31226</v>
      </c>
      <c r="C3392" s="42">
        <v>59.0</v>
      </c>
      <c r="D3392" s="33" t="s">
        <v>31219</v>
      </c>
      <c r="E3392" s="74"/>
      <c r="F3392" s="46" t="s">
        <v>2793</v>
      </c>
      <c r="G3392" s="75"/>
      <c r="H3392" s="96" t="str">
        <f>HYPERLINK("http://mirror.ff7data.com.ar/ff7/data/wm/world_us.lgp/bue.rsd.png","View Picture")</f>
        <v>View Picture</v>
      </c>
      <c r="K3392" s="43"/>
    </row>
    <row r="3393">
      <c r="A3393" s="21"/>
      <c r="B3393" s="33" t="s">
        <v>31236</v>
      </c>
      <c r="C3393" s="42">
        <v>760.0</v>
      </c>
      <c r="D3393" s="33" t="s">
        <v>31219</v>
      </c>
      <c r="E3393" s="74"/>
      <c r="F3393" s="46" t="s">
        <v>2775</v>
      </c>
      <c r="G3393" s="75"/>
      <c r="H3393" s="96" t="str">
        <f>HYPERLINK("http://mirror.ff7data.com.ar/ff7/data/wm/world_us.lgp/bva.p.png","View Picture")</f>
        <v>View Picture</v>
      </c>
      <c r="K3393" s="43"/>
    </row>
    <row r="3394">
      <c r="A3394" s="21"/>
      <c r="B3394" s="33" t="s">
        <v>31245</v>
      </c>
      <c r="C3394" s="42">
        <v>59.0</v>
      </c>
      <c r="D3394" s="33" t="s">
        <v>31219</v>
      </c>
      <c r="E3394" s="74"/>
      <c r="F3394" s="46" t="s">
        <v>2793</v>
      </c>
      <c r="G3394" s="75"/>
      <c r="H3394" s="96" t="str">
        <f>HYPERLINK("http://mirror.ff7data.com.ar/ff7/data/wm/world_us.lgp/bvb.rsd.png","View Picture")</f>
        <v>View Picture</v>
      </c>
      <c r="K3394" s="43"/>
    </row>
    <row r="3395">
      <c r="A3395" s="21"/>
      <c r="B3395" s="33" t="s">
        <v>31253</v>
      </c>
      <c r="C3395" s="42">
        <v>1356.0</v>
      </c>
      <c r="D3395" s="33" t="s">
        <v>31219</v>
      </c>
      <c r="E3395" s="74"/>
      <c r="F3395" s="46" t="s">
        <v>2775</v>
      </c>
      <c r="G3395" s="75"/>
      <c r="H3395" s="96" t="str">
        <f>HYPERLINK("http://mirror.ff7data.com.ar/ff7/data/wm/world_us.lgp/bvc.p.png","View Picture")</f>
        <v>View Picture</v>
      </c>
      <c r="K3395" s="43"/>
    </row>
    <row r="3396">
      <c r="A3396" s="21"/>
      <c r="B3396" s="33" t="s">
        <v>31261</v>
      </c>
      <c r="C3396" s="42">
        <v>59.0</v>
      </c>
      <c r="D3396" s="33" t="s">
        <v>31219</v>
      </c>
      <c r="E3396" s="74"/>
      <c r="F3396" s="46" t="s">
        <v>2793</v>
      </c>
      <c r="G3396" s="75"/>
      <c r="H3396" s="96" t="str">
        <f>HYPERLINK("http://mirror.ff7data.com.ar/ff7/data/wm/world_us.lgp/bvd.rsd.png","View Picture")</f>
        <v>View Picture</v>
      </c>
      <c r="K3396" s="43"/>
    </row>
    <row r="3397">
      <c r="A3397" s="21"/>
      <c r="B3397" s="33" t="s">
        <v>31271</v>
      </c>
      <c r="C3397" s="42">
        <v>1868.0</v>
      </c>
      <c r="D3397" s="33" t="s">
        <v>31219</v>
      </c>
      <c r="E3397" s="74"/>
      <c r="F3397" s="46" t="s">
        <v>2775</v>
      </c>
      <c r="G3397" s="75"/>
      <c r="H3397" s="96" t="str">
        <f>HYPERLINK("http://mirror.ff7data.com.ar/ff7/data/wm/world_us.lgp/bve.p.png","View Picture")</f>
        <v>View Picture</v>
      </c>
      <c r="K3397" s="43"/>
    </row>
    <row r="3398">
      <c r="A3398" s="21"/>
      <c r="B3398" s="33" t="s">
        <v>31281</v>
      </c>
      <c r="C3398" s="42">
        <v>59.0</v>
      </c>
      <c r="D3398" s="33" t="s">
        <v>31219</v>
      </c>
      <c r="E3398" s="74"/>
      <c r="F3398" s="46" t="s">
        <v>2793</v>
      </c>
      <c r="G3398" s="75"/>
      <c r="H3398" s="96" t="str">
        <f>HYPERLINK("http://mirror.ff7data.com.ar/ff7/data/wm/world_us.lgp/bwa.rsd.png","View Picture")</f>
        <v>View Picture</v>
      </c>
      <c r="K3398" s="43"/>
    </row>
    <row r="3399">
      <c r="A3399" s="21"/>
      <c r="B3399" s="33" t="s">
        <v>31288</v>
      </c>
      <c r="C3399" s="42">
        <v>2052.0</v>
      </c>
      <c r="D3399" s="33" t="s">
        <v>31219</v>
      </c>
      <c r="E3399" s="74"/>
      <c r="F3399" s="46" t="s">
        <v>2775</v>
      </c>
      <c r="G3399" s="75"/>
      <c r="H3399" s="96" t="str">
        <f>HYPERLINK("http://mirror.ff7data.com.ar/ff7/data/wm/world_us.lgp/bwb.p.png","View Picture")</f>
        <v>View Picture</v>
      </c>
      <c r="K3399" s="43"/>
    </row>
    <row r="3400">
      <c r="A3400" s="21"/>
      <c r="B3400" s="33" t="s">
        <v>31297</v>
      </c>
      <c r="C3400" s="42">
        <v>59.0</v>
      </c>
      <c r="D3400" s="33" t="s">
        <v>31219</v>
      </c>
      <c r="E3400" s="74"/>
      <c r="F3400" s="46" t="s">
        <v>2793</v>
      </c>
      <c r="G3400" s="75"/>
      <c r="H3400" s="96" t="str">
        <f>HYPERLINK("http://mirror.ff7data.com.ar/ff7/data/wm/world_us.lgp/bwc.rsd.png","View Picture")</f>
        <v>View Picture</v>
      </c>
      <c r="K3400" s="43"/>
    </row>
    <row r="3401">
      <c r="A3401" s="21"/>
      <c r="B3401" s="33" t="s">
        <v>31305</v>
      </c>
      <c r="C3401" s="42">
        <v>1228.0</v>
      </c>
      <c r="D3401" s="33" t="s">
        <v>31219</v>
      </c>
      <c r="E3401" s="74"/>
      <c r="F3401" s="46" t="s">
        <v>2775</v>
      </c>
      <c r="G3401" s="75"/>
      <c r="H3401" s="96" t="str">
        <f>HYPERLINK("http://mirror.ff7data.com.ar/ff7/data/wm/world_us.lgp/bwd.p.png","View Picture")</f>
        <v>View Picture</v>
      </c>
      <c r="K3401" s="43"/>
    </row>
    <row r="3402">
      <c r="A3402" s="21"/>
      <c r="B3402" s="33" t="s">
        <v>31313</v>
      </c>
      <c r="C3402" s="42">
        <v>59.0</v>
      </c>
      <c r="D3402" s="33" t="s">
        <v>31219</v>
      </c>
      <c r="E3402" s="74"/>
      <c r="F3402" s="46" t="s">
        <v>2793</v>
      </c>
      <c r="G3402" s="75"/>
      <c r="H3402" s="96" t="str">
        <f>HYPERLINK("http://mirror.ff7data.com.ar/ff7/data/wm/world_us.lgp/bwe.rsd.png","View Picture")</f>
        <v>View Picture</v>
      </c>
      <c r="K3402" s="43"/>
    </row>
    <row r="3403">
      <c r="A3403" s="21"/>
      <c r="B3403" s="33" t="s">
        <v>31322</v>
      </c>
      <c r="C3403" s="42">
        <v>1116.0</v>
      </c>
      <c r="D3403" s="33" t="s">
        <v>31219</v>
      </c>
      <c r="E3403" s="74"/>
      <c r="F3403" s="46" t="s">
        <v>2775</v>
      </c>
      <c r="G3403" s="75"/>
      <c r="H3403" s="96" t="str">
        <f>HYPERLINK("http://mirror.ff7data.com.ar/ff7/data/wm/world_us.lgp/bxa.p.png","View Picture")</f>
        <v>View Picture</v>
      </c>
      <c r="K3403" s="43"/>
    </row>
    <row r="3404">
      <c r="A3404" s="21"/>
      <c r="B3404" s="33" t="s">
        <v>31329</v>
      </c>
      <c r="C3404" s="42">
        <v>59.0</v>
      </c>
      <c r="D3404" s="33" t="s">
        <v>31219</v>
      </c>
      <c r="E3404" s="74"/>
      <c r="F3404" s="46" t="s">
        <v>2793</v>
      </c>
      <c r="G3404" s="75"/>
      <c r="H3404" s="96" t="str">
        <f>HYPERLINK("http://mirror.ff7data.com.ar/ff7/data/wm/world_us.lgp/bxb.rsd.png","View Picture")</f>
        <v>View Picture</v>
      </c>
      <c r="K3404" s="43"/>
    </row>
    <row r="3405">
      <c r="A3405" s="21"/>
      <c r="B3405" s="33" t="s">
        <v>31333</v>
      </c>
      <c r="C3405" s="42">
        <v>764.0</v>
      </c>
      <c r="D3405" s="33" t="s">
        <v>31219</v>
      </c>
      <c r="E3405" s="74"/>
      <c r="F3405" s="46" t="s">
        <v>2775</v>
      </c>
      <c r="G3405" s="75"/>
      <c r="H3405" s="96" t="str">
        <f>HYPERLINK("http://mirror.ff7data.com.ar/ff7/data/wm/world_us.lgp/bxc.p.png","View Picture")</f>
        <v>View Picture</v>
      </c>
      <c r="K3405" s="43"/>
    </row>
    <row r="3406">
      <c r="A3406" s="21"/>
      <c r="B3406" s="33" t="s">
        <v>31338</v>
      </c>
      <c r="C3406" s="42">
        <v>59.0</v>
      </c>
      <c r="D3406" s="33" t="s">
        <v>31219</v>
      </c>
      <c r="E3406" s="74"/>
      <c r="F3406" s="46" t="s">
        <v>2793</v>
      </c>
      <c r="G3406" s="75"/>
      <c r="H3406" s="96" t="str">
        <f>HYPERLINK("http://mirror.ff7data.com.ar/ff7/data/wm/world_us.lgp/bxd.rsd.png","View Picture")</f>
        <v>View Picture</v>
      </c>
      <c r="K3406" s="43"/>
    </row>
    <row r="3407">
      <c r="A3407" s="21"/>
      <c r="B3407" s="33" t="s">
        <v>31346</v>
      </c>
      <c r="C3407" s="42">
        <v>1944.0</v>
      </c>
      <c r="D3407" s="33" t="s">
        <v>31219</v>
      </c>
      <c r="E3407" s="74"/>
      <c r="F3407" s="46" t="s">
        <v>2775</v>
      </c>
      <c r="G3407" s="75"/>
      <c r="H3407" s="96" t="str">
        <f>HYPERLINK("http://mirror.ff7data.com.ar/ff7/data/wm/world_us.lgp/bxe.p.png","View Picture")</f>
        <v>View Picture</v>
      </c>
      <c r="K3407" s="43"/>
    </row>
    <row r="3408">
      <c r="A3408" s="21"/>
      <c r="B3408" s="33" t="s">
        <v>31354</v>
      </c>
      <c r="C3408" s="42">
        <v>59.0</v>
      </c>
      <c r="D3408" s="33" t="s">
        <v>31219</v>
      </c>
      <c r="E3408" s="74"/>
      <c r="F3408" s="46" t="s">
        <v>2793</v>
      </c>
      <c r="G3408" s="75"/>
      <c r="H3408" s="96" t="str">
        <f>HYPERLINK("http://mirror.ff7data.com.ar/ff7/data/wm/world_us.lgp/bya.rsd.png","View Picture")</f>
        <v>View Picture</v>
      </c>
      <c r="K3408" s="43"/>
    </row>
    <row r="3409">
      <c r="A3409" s="21"/>
      <c r="B3409" s="33" t="s">
        <v>31364</v>
      </c>
      <c r="C3409" s="42">
        <v>672.0</v>
      </c>
      <c r="D3409" s="33" t="s">
        <v>31219</v>
      </c>
      <c r="E3409" s="74"/>
      <c r="F3409" s="46" t="s">
        <v>2775</v>
      </c>
      <c r="G3409" s="75"/>
      <c r="H3409" s="96" t="str">
        <f>HYPERLINK("http://mirror.ff7data.com.ar/ff7/data/wm/world_us.lgp/byb.p.png","View Picture")</f>
        <v>View Picture</v>
      </c>
      <c r="K3409" s="43"/>
    </row>
    <row r="3410">
      <c r="A3410" s="21"/>
      <c r="B3410" s="33" t="s">
        <v>31372</v>
      </c>
      <c r="C3410" s="42">
        <v>59.0</v>
      </c>
      <c r="D3410" s="33" t="s">
        <v>31219</v>
      </c>
      <c r="E3410" s="74"/>
      <c r="F3410" s="46" t="s">
        <v>2793</v>
      </c>
      <c r="G3410" s="75"/>
      <c r="H3410" s="96" t="str">
        <f>HYPERLINK("http://mirror.ff7data.com.ar/ff7/data/wm/world_us.lgp/byc.rsd.png","View Picture")</f>
        <v>View Picture</v>
      </c>
      <c r="K3410" s="43"/>
    </row>
    <row r="3411">
      <c r="A3411" s="21"/>
      <c r="B3411" s="33" t="s">
        <v>31381</v>
      </c>
      <c r="C3411" s="42">
        <v>672.0</v>
      </c>
      <c r="D3411" s="33" t="s">
        <v>31219</v>
      </c>
      <c r="E3411" s="74"/>
      <c r="F3411" s="46" t="s">
        <v>2775</v>
      </c>
      <c r="G3411" s="75"/>
      <c r="H3411" s="96" t="str">
        <f>HYPERLINK("http://mirror.ff7data.com.ar/ff7/data/wm/world_us.lgp/byd.p.png","View Picture")</f>
        <v>View Picture</v>
      </c>
      <c r="K3411" s="43"/>
    </row>
    <row r="3412">
      <c r="A3412" s="21"/>
      <c r="B3412" s="33" t="s">
        <v>31385</v>
      </c>
      <c r="C3412" s="42">
        <v>59.0</v>
      </c>
      <c r="D3412" s="33" t="s">
        <v>31219</v>
      </c>
      <c r="E3412" s="74"/>
      <c r="F3412" s="46" t="s">
        <v>2793</v>
      </c>
      <c r="G3412" s="75"/>
      <c r="H3412" s="96" t="str">
        <f>HYPERLINK("http://mirror.ff7data.com.ar/ff7/data/wm/world_us.lgp/bye.rsd.png","View Picture")</f>
        <v>View Picture</v>
      </c>
      <c r="K3412" s="43"/>
    </row>
    <row r="3413">
      <c r="A3413" s="21"/>
      <c r="B3413" s="33" t="s">
        <v>31393</v>
      </c>
      <c r="C3413" s="42">
        <v>672.0</v>
      </c>
      <c r="D3413" s="33" t="s">
        <v>31219</v>
      </c>
      <c r="E3413" s="74"/>
      <c r="F3413" s="46" t="s">
        <v>2775</v>
      </c>
      <c r="G3413" s="75"/>
      <c r="H3413" s="96" t="str">
        <f>HYPERLINK("http://mirror.ff7data.com.ar/ff7/data/wm/world_us.lgp/bza.p.png","View Picture")</f>
        <v>View Picture</v>
      </c>
      <c r="K3413" s="43"/>
    </row>
    <row r="3414">
      <c r="A3414" s="21"/>
      <c r="B3414" s="33" t="s">
        <v>31401</v>
      </c>
      <c r="C3414" s="42">
        <v>59.0</v>
      </c>
      <c r="D3414" s="33" t="s">
        <v>31219</v>
      </c>
      <c r="E3414" s="74"/>
      <c r="F3414" s="46" t="s">
        <v>2793</v>
      </c>
      <c r="G3414" s="75"/>
      <c r="H3414" s="96" t="str">
        <f>HYPERLINK("http://mirror.ff7data.com.ar/ff7/data/wm/world_us.lgp/bzb.rsd.png","View Picture")</f>
        <v>View Picture</v>
      </c>
      <c r="K3414" s="43"/>
    </row>
    <row r="3415">
      <c r="A3415" s="21"/>
      <c r="B3415" s="33" t="s">
        <v>31438</v>
      </c>
      <c r="C3415" s="42">
        <v>672.0</v>
      </c>
      <c r="D3415" s="33" t="s">
        <v>31219</v>
      </c>
      <c r="E3415" s="74"/>
      <c r="F3415" s="46" t="s">
        <v>2775</v>
      </c>
      <c r="G3415" s="75"/>
      <c r="H3415" s="96" t="str">
        <f>HYPERLINK("http://mirror.ff7data.com.ar/ff7/data/wm/world_us.lgp/bzc.p.png","View Picture")</f>
        <v>View Picture</v>
      </c>
      <c r="K3415" s="43"/>
    </row>
    <row r="3416">
      <c r="A3416" s="21"/>
      <c r="B3416" s="33" t="s">
        <v>31447</v>
      </c>
      <c r="C3416" s="42">
        <v>59.0</v>
      </c>
      <c r="D3416" s="33" t="s">
        <v>31219</v>
      </c>
      <c r="E3416" s="74"/>
      <c r="F3416" s="46" t="s">
        <v>2793</v>
      </c>
      <c r="G3416" s="75"/>
      <c r="H3416" s="96" t="str">
        <f>HYPERLINK("http://mirror.ff7data.com.ar/ff7/data/wm/world_us.lgp/bzd.rsd.png","View Picture")</f>
        <v>View Picture</v>
      </c>
      <c r="K3416" s="43"/>
    </row>
    <row r="3417">
      <c r="A3417" s="154"/>
      <c r="B3417" s="33" t="s">
        <v>31455</v>
      </c>
      <c r="C3417" s="42">
        <v>4396.0</v>
      </c>
      <c r="D3417" s="33" t="s">
        <v>31456</v>
      </c>
      <c r="E3417" s="74"/>
      <c r="F3417" s="46" t="s">
        <v>1348</v>
      </c>
      <c r="G3417" s="75"/>
      <c r="H3417" s="98" t="str">
        <f>HYPERLINK("http://mirror.ff7data.com.ar/ff7/data/wm/world_us.lgp/bzdun.tex.png","View Picture")</f>
        <v>View Picture</v>
      </c>
      <c r="K3417" s="43"/>
    </row>
    <row r="3418">
      <c r="A3418" s="21"/>
      <c r="B3418" s="33" t="s">
        <v>31464</v>
      </c>
      <c r="C3418" s="42">
        <v>1532.0</v>
      </c>
      <c r="D3418" s="33" t="s">
        <v>31219</v>
      </c>
      <c r="E3418" s="74"/>
      <c r="F3418" s="46" t="s">
        <v>2793</v>
      </c>
      <c r="G3418" s="75"/>
      <c r="H3418" s="96" t="str">
        <f>HYPERLINK("http://mirror.ff7data.com.ar/ff7/data/wm/world_us.lgp/bze.p.png","View Picture")</f>
        <v>View Picture</v>
      </c>
      <c r="K3418" s="43"/>
    </row>
    <row r="3419">
      <c r="A3419" s="21"/>
      <c r="B3419" s="33" t="s">
        <v>31472</v>
      </c>
      <c r="C3419" s="42">
        <v>59.0</v>
      </c>
      <c r="D3419" s="33" t="s">
        <v>31219</v>
      </c>
      <c r="E3419" s="74"/>
      <c r="F3419" s="46" t="s">
        <v>2775</v>
      </c>
      <c r="G3419" s="75"/>
      <c r="H3419" s="96" t="str">
        <f>HYPERLINK("http://mirror.ff7data.com.ar/ff7/data/wm/world_us.lgp/caa.rsd.png","View Picture")</f>
        <v>View Picture</v>
      </c>
      <c r="K3419" s="43"/>
    </row>
    <row r="3420">
      <c r="A3420" s="21"/>
      <c r="B3420" s="33" t="s">
        <v>31480</v>
      </c>
      <c r="C3420" s="42">
        <v>1620.0</v>
      </c>
      <c r="D3420" s="33" t="s">
        <v>31219</v>
      </c>
      <c r="E3420" s="74"/>
      <c r="F3420" s="46" t="s">
        <v>2793</v>
      </c>
      <c r="G3420" s="75"/>
      <c r="H3420" s="96" t="str">
        <f>HYPERLINK("http://mirror.ff7data.com.ar/ff7/data/wm/world_us.lgp/cab.p.png","View Picture")</f>
        <v>View Picture</v>
      </c>
      <c r="K3420" s="43"/>
    </row>
    <row r="3421">
      <c r="A3421" s="21"/>
      <c r="B3421" s="33" t="s">
        <v>31488</v>
      </c>
      <c r="C3421" s="42">
        <v>59.0</v>
      </c>
      <c r="D3421" s="33" t="s">
        <v>31219</v>
      </c>
      <c r="E3421" s="74"/>
      <c r="F3421" s="46" t="s">
        <v>2775</v>
      </c>
      <c r="G3421" s="75"/>
      <c r="H3421" s="96" t="str">
        <f>HYPERLINK("http://mirror.ff7data.com.ar/ff7/data/wm/world_us.lgp/cac.rsd.png","View Picture")</f>
        <v>View Picture</v>
      </c>
      <c r="K3421" s="43"/>
    </row>
    <row r="3422">
      <c r="A3422" s="21"/>
      <c r="B3422" s="33" t="s">
        <v>31496</v>
      </c>
      <c r="C3422" s="42">
        <v>1944.0</v>
      </c>
      <c r="D3422" s="33" t="s">
        <v>31219</v>
      </c>
      <c r="E3422" s="74"/>
      <c r="F3422" s="46" t="s">
        <v>2793</v>
      </c>
      <c r="G3422" s="75"/>
      <c r="H3422" s="96" t="str">
        <f>HYPERLINK("http://mirror.ff7data.com.ar/ff7/data/wm/world_us.lgp/cad.p.png","View Picture")</f>
        <v>View Picture</v>
      </c>
      <c r="K3422" s="43"/>
    </row>
    <row r="3423">
      <c r="A3423" s="21"/>
      <c r="B3423" s="33" t="s">
        <v>31505</v>
      </c>
      <c r="C3423" s="42">
        <v>59.0</v>
      </c>
      <c r="D3423" s="33" t="s">
        <v>31219</v>
      </c>
      <c r="E3423" s="74"/>
      <c r="F3423" s="46" t="s">
        <v>2775</v>
      </c>
      <c r="G3423" s="75"/>
      <c r="H3423" s="96" t="str">
        <f>HYPERLINK("http://mirror.ff7data.com.ar/ff7/data/wm/world_us.lgp/cae.rsd.png","View Picture")</f>
        <v>View Picture</v>
      </c>
      <c r="K3423" s="43"/>
    </row>
    <row r="3424">
      <c r="A3424" s="154"/>
      <c r="B3424" s="33" t="s">
        <v>31513</v>
      </c>
      <c r="C3424" s="42">
        <v>1324.0</v>
      </c>
      <c r="D3424" s="33" t="s">
        <v>31514</v>
      </c>
      <c r="E3424" s="74"/>
      <c r="F3424" s="46" t="s">
        <v>1348</v>
      </c>
      <c r="G3424" s="75"/>
      <c r="H3424" s="98" t="str">
        <f>HYPERLINK("http://mirror.ff7data.com.ar/ff7/data/wm/world_us.lgp/cave.tex.png","View Picture")</f>
        <v>View Picture</v>
      </c>
      <c r="K3424" s="43"/>
    </row>
    <row r="3425">
      <c r="A3425" s="154"/>
      <c r="B3425" s="33" t="s">
        <v>31522</v>
      </c>
      <c r="C3425" s="42">
        <v>1324.0</v>
      </c>
      <c r="D3425" s="33" t="s">
        <v>31524</v>
      </c>
      <c r="E3425" s="74"/>
      <c r="F3425" s="46" t="s">
        <v>1348</v>
      </c>
      <c r="G3425" s="75"/>
      <c r="H3425" s="98" t="str">
        <f>HYPERLINK("http://mirror.ff7data.com.ar/ff7/data/wm/world_us.lgp/cave_s.tex.png","View Picture")</f>
        <v>View Picture</v>
      </c>
      <c r="K3425" s="43"/>
    </row>
    <row r="3426">
      <c r="A3426" s="154"/>
      <c r="B3426" s="33" t="s">
        <v>31531</v>
      </c>
      <c r="C3426" s="42">
        <v>1324.0</v>
      </c>
      <c r="D3426" s="33" t="s">
        <v>31533</v>
      </c>
      <c r="E3426" s="74"/>
      <c r="F3426" s="46" t="s">
        <v>1348</v>
      </c>
      <c r="G3426" s="75"/>
      <c r="H3426" s="98" t="str">
        <f>HYPERLINK("http://mirror.ff7data.com.ar/ff7/data/wm/world_us.lgp/cave2.tex.png","View Picture")</f>
        <v>View Picture</v>
      </c>
      <c r="K3426" s="43"/>
    </row>
    <row r="3427">
      <c r="A3427" s="21"/>
      <c r="B3427" s="33" t="s">
        <v>31540</v>
      </c>
      <c r="C3427" s="42">
        <v>672.0</v>
      </c>
      <c r="D3427" s="33" t="s">
        <v>31219</v>
      </c>
      <c r="E3427" s="74"/>
      <c r="F3427" s="46" t="s">
        <v>2775</v>
      </c>
      <c r="G3427" s="75"/>
      <c r="H3427" s="96" t="str">
        <f>HYPERLINK("http://mirror.ff7data.com.ar/ff7/data/wm/world_us.lgp/cba.p.png","View Picture")</f>
        <v>View Picture</v>
      </c>
      <c r="K3427" s="43"/>
    </row>
    <row r="3428">
      <c r="A3428" s="21"/>
      <c r="B3428" s="33" t="s">
        <v>31547</v>
      </c>
      <c r="C3428" s="42">
        <v>59.0</v>
      </c>
      <c r="D3428" s="33" t="s">
        <v>31219</v>
      </c>
      <c r="E3428" s="74"/>
      <c r="F3428" s="46" t="s">
        <v>2793</v>
      </c>
      <c r="G3428" s="75"/>
      <c r="H3428" s="96" t="str">
        <f>HYPERLINK("http://mirror.ff7data.com.ar/ff7/data/wm/world_us.lgp/cbb.rsd.png","View Picture")</f>
        <v>View Picture</v>
      </c>
      <c r="K3428" s="43"/>
    </row>
    <row r="3429">
      <c r="A3429" s="21"/>
      <c r="B3429" s="33" t="s">
        <v>31555</v>
      </c>
      <c r="C3429" s="42">
        <v>672.0</v>
      </c>
      <c r="D3429" s="33" t="s">
        <v>31219</v>
      </c>
      <c r="E3429" s="74"/>
      <c r="F3429" s="46" t="s">
        <v>2775</v>
      </c>
      <c r="G3429" s="75"/>
      <c r="H3429" s="96" t="str">
        <f>HYPERLINK("http://mirror.ff7data.com.ar/ff7/data/wm/world_us.lgp/cbc.p.png","View Picture")</f>
        <v>View Picture</v>
      </c>
      <c r="K3429" s="43"/>
    </row>
    <row r="3430">
      <c r="A3430" s="21"/>
      <c r="B3430" s="33" t="s">
        <v>31564</v>
      </c>
      <c r="C3430" s="42">
        <v>59.0</v>
      </c>
      <c r="D3430" s="33" t="s">
        <v>31219</v>
      </c>
      <c r="E3430" s="74"/>
      <c r="F3430" s="46" t="s">
        <v>2793</v>
      </c>
      <c r="G3430" s="75"/>
      <c r="H3430" s="96" t="str">
        <f>HYPERLINK("http://mirror.ff7data.com.ar/ff7/data/wm/world_us.lgp/cbd.rsd.png","View Picture")</f>
        <v>View Picture</v>
      </c>
      <c r="K3430" s="43"/>
    </row>
    <row r="3431">
      <c r="A3431" s="21"/>
      <c r="B3431" s="33" t="s">
        <v>31581</v>
      </c>
      <c r="C3431" s="42">
        <v>672.0</v>
      </c>
      <c r="D3431" s="33" t="s">
        <v>31219</v>
      </c>
      <c r="E3431" s="74"/>
      <c r="F3431" s="46" t="s">
        <v>2775</v>
      </c>
      <c r="G3431" s="75"/>
      <c r="H3431" s="96" t="str">
        <f>HYPERLINK("http://mirror.ff7data.com.ar/ff7/data/wm/world_us.lgp/cbe.p.png","View Picture")</f>
        <v>View Picture</v>
      </c>
      <c r="K3431" s="43"/>
    </row>
    <row r="3432">
      <c r="A3432" s="21"/>
      <c r="B3432" s="33" t="s">
        <v>31589</v>
      </c>
      <c r="C3432" s="42">
        <v>59.0</v>
      </c>
      <c r="D3432" s="33" t="s">
        <v>31219</v>
      </c>
      <c r="E3432" s="74"/>
      <c r="F3432" s="46" t="s">
        <v>2793</v>
      </c>
      <c r="G3432" s="75"/>
      <c r="H3432" s="96" t="str">
        <f>HYPERLINK("http://mirror.ff7data.com.ar/ff7/data/wm/world_us.lgp/cca.rsd.png","View Picture")</f>
        <v>View Picture</v>
      </c>
      <c r="K3432" s="43"/>
    </row>
    <row r="3433">
      <c r="A3433" s="21"/>
      <c r="B3433" s="33" t="s">
        <v>31597</v>
      </c>
      <c r="C3433" s="42">
        <v>672.0</v>
      </c>
      <c r="D3433" s="33" t="s">
        <v>31219</v>
      </c>
      <c r="E3433" s="74"/>
      <c r="F3433" s="46" t="s">
        <v>2775</v>
      </c>
      <c r="G3433" s="75"/>
      <c r="H3433" s="96" t="str">
        <f>HYPERLINK("http://mirror.ff7data.com.ar/ff7/data/wm/world_us.lgp/ccb.p.png","View Picture")</f>
        <v>View Picture</v>
      </c>
      <c r="K3433" s="43"/>
    </row>
    <row r="3434">
      <c r="A3434" s="21"/>
      <c r="B3434" s="33" t="s">
        <v>31605</v>
      </c>
      <c r="C3434" s="42">
        <v>59.0</v>
      </c>
      <c r="D3434" s="33" t="s">
        <v>31219</v>
      </c>
      <c r="E3434" s="74"/>
      <c r="F3434" s="46" t="s">
        <v>2793</v>
      </c>
      <c r="G3434" s="75"/>
      <c r="H3434" s="96" t="str">
        <f>HYPERLINK("http://mirror.ff7data.com.ar/ff7/data/wm/world_us.lgp/ccc.rsd.png","View Picture")</f>
        <v>View Picture</v>
      </c>
      <c r="K3434" s="43"/>
    </row>
    <row r="3435">
      <c r="A3435" s="21"/>
      <c r="B3435" s="33" t="s">
        <v>31613</v>
      </c>
      <c r="C3435" s="42">
        <v>1404.0</v>
      </c>
      <c r="D3435" s="33" t="s">
        <v>31219</v>
      </c>
      <c r="E3435" s="74"/>
      <c r="F3435" s="46" t="s">
        <v>2775</v>
      </c>
      <c r="G3435" s="75"/>
      <c r="H3435" s="96" t="str">
        <f>HYPERLINK("http://mirror.ff7data.com.ar/ff7/data/wm/world_us.lgp/ccd.p.png","View Picture")</f>
        <v>View Picture</v>
      </c>
      <c r="K3435" s="43"/>
    </row>
    <row r="3436">
      <c r="A3436" s="21"/>
      <c r="B3436" s="33" t="s">
        <v>31621</v>
      </c>
      <c r="C3436" s="42">
        <v>59.0</v>
      </c>
      <c r="D3436" s="33" t="s">
        <v>31219</v>
      </c>
      <c r="E3436" s="74"/>
      <c r="F3436" s="46" t="s">
        <v>2793</v>
      </c>
      <c r="G3436" s="75"/>
      <c r="H3436" s="96" t="str">
        <f>HYPERLINK("http://mirror.ff7data.com.ar/ff7/data/wm/world_us.lgp/cce.rsd.png","View Picture")</f>
        <v>View Picture</v>
      </c>
      <c r="K3436" s="43"/>
    </row>
    <row r="3437">
      <c r="A3437" s="21"/>
      <c r="B3437" s="33" t="s">
        <v>31630</v>
      </c>
      <c r="C3437" s="42">
        <v>1944.0</v>
      </c>
      <c r="D3437" s="33" t="s">
        <v>31219</v>
      </c>
      <c r="E3437" s="74"/>
      <c r="F3437" s="46" t="s">
        <v>2775</v>
      </c>
      <c r="G3437" s="75"/>
      <c r="H3437" s="96" t="str">
        <f>HYPERLINK("http://mirror.ff7data.com.ar/ff7/data/wm/world_us.lgp/cda.p.png","View Picture")</f>
        <v>View Picture</v>
      </c>
      <c r="K3437" s="43"/>
    </row>
    <row r="3438">
      <c r="A3438" s="21"/>
      <c r="B3438" s="33" t="s">
        <v>31637</v>
      </c>
      <c r="C3438" s="42">
        <v>59.0</v>
      </c>
      <c r="D3438" s="33" t="s">
        <v>31219</v>
      </c>
      <c r="E3438" s="74"/>
      <c r="F3438" s="46" t="s">
        <v>2793</v>
      </c>
      <c r="G3438" s="75"/>
      <c r="H3438" s="96" t="str">
        <f>HYPERLINK("http://mirror.ff7data.com.ar/ff7/data/wm/world_us.lgp/cdb.rsd.png","View Picture")</f>
        <v>View Picture</v>
      </c>
      <c r="K3438" s="43"/>
    </row>
    <row r="3439">
      <c r="A3439" s="21"/>
      <c r="B3439" s="33" t="s">
        <v>31645</v>
      </c>
      <c r="C3439" s="42">
        <v>1404.0</v>
      </c>
      <c r="D3439" s="33" t="s">
        <v>31219</v>
      </c>
      <c r="E3439" s="74"/>
      <c r="F3439" s="46" t="s">
        <v>2775</v>
      </c>
      <c r="G3439" s="75"/>
      <c r="H3439" s="96" t="str">
        <f>HYPERLINK("http://mirror.ff7data.com.ar/ff7/data/wm/world_us.lgp/cdc.p.png","View Picture")</f>
        <v>View Picture</v>
      </c>
      <c r="K3439" s="43"/>
    </row>
    <row r="3440">
      <c r="A3440" s="21"/>
      <c r="B3440" s="33" t="s">
        <v>31653</v>
      </c>
      <c r="C3440" s="42">
        <v>59.0</v>
      </c>
      <c r="D3440" s="33" t="s">
        <v>31219</v>
      </c>
      <c r="E3440" s="74"/>
      <c r="F3440" s="46" t="s">
        <v>2793</v>
      </c>
      <c r="G3440" s="75"/>
      <c r="H3440" s="96" t="str">
        <f>HYPERLINK("http://mirror.ff7data.com.ar/ff7/data/wm/world_us.lgp/cdd.rsd.png","View Picture")</f>
        <v>View Picture</v>
      </c>
      <c r="K3440" s="43"/>
    </row>
    <row r="3441">
      <c r="A3441" s="21"/>
      <c r="B3441" s="33" t="s">
        <v>31661</v>
      </c>
      <c r="C3441" s="42">
        <v>1944.0</v>
      </c>
      <c r="D3441" s="33" t="s">
        <v>31219</v>
      </c>
      <c r="E3441" s="74"/>
      <c r="F3441" s="46" t="s">
        <v>2775</v>
      </c>
      <c r="G3441" s="75"/>
      <c r="H3441" s="96" t="str">
        <f>HYPERLINK("http://mirror.ff7data.com.ar/ff7/data/wm/world_us.lgp/cde.p.png","View Picture")</f>
        <v>View Picture</v>
      </c>
      <c r="K3441" s="43"/>
    </row>
    <row r="3442">
      <c r="A3442" s="82"/>
      <c r="B3442" s="33" t="s">
        <v>31671</v>
      </c>
      <c r="C3442" s="42">
        <v>2348.0</v>
      </c>
      <c r="D3442" s="33" t="s">
        <v>31672</v>
      </c>
      <c r="E3442" s="74"/>
      <c r="F3442" s="46" t="s">
        <v>2793</v>
      </c>
      <c r="G3442" s="75"/>
      <c r="H3442" s="96" t="str">
        <f>HYPERLINK("http://mirror.ff7data.com.ar/ff7/data/wm/world_us.lgp/cdl_cl2.tex.png","View Picture")</f>
        <v>View Picture</v>
      </c>
      <c r="K3442" s="43"/>
    </row>
    <row r="3443">
      <c r="A3443" s="82"/>
      <c r="B3443" s="33" t="s">
        <v>31683</v>
      </c>
      <c r="C3443" s="42">
        <v>22356.0</v>
      </c>
      <c r="D3443" s="33" t="s">
        <v>31684</v>
      </c>
      <c r="E3443" s="74"/>
      <c r="F3443" s="46" t="s">
        <v>3366</v>
      </c>
      <c r="G3443" s="75"/>
      <c r="H3443" s="74"/>
      <c r="K3443" s="43"/>
    </row>
    <row r="3444">
      <c r="A3444" s="82"/>
      <c r="B3444" s="33" t="s">
        <v>31687</v>
      </c>
      <c r="C3444" s="42">
        <v>22356.0</v>
      </c>
      <c r="D3444" s="33" t="s">
        <v>31689</v>
      </c>
      <c r="E3444" s="74"/>
      <c r="F3444" s="46" t="s">
        <v>3366</v>
      </c>
      <c r="G3444" s="75"/>
      <c r="H3444" s="74"/>
      <c r="K3444" s="43"/>
    </row>
    <row r="3445">
      <c r="A3445" s="82"/>
      <c r="B3445" s="33" t="s">
        <v>31691</v>
      </c>
      <c r="C3445" s="42">
        <v>81.0</v>
      </c>
      <c r="D3445" s="33" t="s">
        <v>21269</v>
      </c>
      <c r="E3445" s="74"/>
      <c r="F3445" s="46" t="s">
        <v>7609</v>
      </c>
      <c r="G3445" s="75"/>
      <c r="H3445" s="96" t="str">
        <f>HYPERLINK("http://mirror.ff7data.com.ar/ff7/data/wm/world_us.lgp/cec.hrc.png","View Picture")</f>
        <v>View Picture</v>
      </c>
      <c r="K3445" s="43"/>
    </row>
    <row r="3446">
      <c r="A3446" s="82"/>
      <c r="B3446" s="33" t="s">
        <v>31700</v>
      </c>
      <c r="C3446" s="42">
        <v>75.0</v>
      </c>
      <c r="D3446" s="33" t="s">
        <v>31703</v>
      </c>
      <c r="E3446" s="74"/>
      <c r="F3446" s="46" t="s">
        <v>2793</v>
      </c>
      <c r="G3446" s="75"/>
      <c r="H3446" s="96" t="str">
        <f>HYPERLINK("http://mirror.ff7data.com.ar/ff7/data/wm/world_us.lgp/ced.rsd.png","View Picture")</f>
        <v>View Picture</v>
      </c>
      <c r="K3446" s="43"/>
    </row>
    <row r="3447">
      <c r="A3447" s="82"/>
      <c r="B3447" s="33" t="s">
        <v>31711</v>
      </c>
      <c r="C3447" s="42">
        <v>10160.0</v>
      </c>
      <c r="D3447" s="33" t="s">
        <v>31703</v>
      </c>
      <c r="E3447" s="74"/>
      <c r="F3447" s="46" t="s">
        <v>2775</v>
      </c>
      <c r="G3447" s="75"/>
      <c r="H3447" s="96" t="str">
        <f>HYPERLINK("http://mirror.ff7data.com.ar/ff7/data/wm/world_us.lgp/cee.p.png","View Picture")</f>
        <v>View Picture</v>
      </c>
      <c r="K3447" s="43"/>
    </row>
    <row r="3448">
      <c r="A3448" s="21"/>
      <c r="B3448" s="33" t="s">
        <v>31720</v>
      </c>
      <c r="C3448" s="42">
        <v>2348.0</v>
      </c>
      <c r="D3448" s="31"/>
      <c r="E3448" s="74"/>
      <c r="F3448" s="46" t="s">
        <v>1348</v>
      </c>
      <c r="G3448" s="46" t="s">
        <v>31722</v>
      </c>
      <c r="H3448" s="98" t="str">
        <f>HYPERLINK("http://mirror.ff7data.com.ar/ff7/data/wm/world_us.lgp/cf01.tex.png","View Picture")</f>
        <v>View Picture</v>
      </c>
      <c r="K3448" s="43"/>
    </row>
    <row r="3449">
      <c r="A3449" s="82"/>
      <c r="B3449" s="33" t="s">
        <v>31729</v>
      </c>
      <c r="C3449" s="42">
        <v>2348.0</v>
      </c>
      <c r="D3449" s="33" t="s">
        <v>21269</v>
      </c>
      <c r="E3449" s="74"/>
      <c r="F3449" s="46" t="s">
        <v>1348</v>
      </c>
      <c r="G3449" s="75"/>
      <c r="H3449" s="98" t="str">
        <f>HYPERLINK("http://mirror.ff7data.com.ar/ff7/data/wm/world_us.lgp/cfa.tex.png","View Picture")</f>
        <v>View Picture</v>
      </c>
      <c r="K3449" s="43"/>
    </row>
    <row r="3450">
      <c r="A3450" s="82"/>
      <c r="B3450" s="33" t="s">
        <v>31736</v>
      </c>
      <c r="C3450" s="42">
        <v>756.0</v>
      </c>
      <c r="D3450" s="33" t="s">
        <v>31737</v>
      </c>
      <c r="E3450" s="74"/>
      <c r="F3450" s="46" t="s">
        <v>3366</v>
      </c>
      <c r="G3450" s="75"/>
      <c r="H3450" s="74"/>
      <c r="K3450" s="43"/>
    </row>
    <row r="3451">
      <c r="A3451" s="82"/>
      <c r="B3451" s="33" t="s">
        <v>31738</v>
      </c>
      <c r="C3451" s="42">
        <v>80.0</v>
      </c>
      <c r="D3451" s="33" t="s">
        <v>813</v>
      </c>
      <c r="E3451" s="74"/>
      <c r="F3451" s="46" t="s">
        <v>7609</v>
      </c>
      <c r="G3451" s="75"/>
      <c r="H3451" s="98" t="str">
        <f>HYPERLINK("http://mirror.ff7data.com.ar/ff7/data/wm/world_us.lgp/cfc.hrc.png","View Picture")</f>
        <v>View Picture</v>
      </c>
      <c r="K3451" s="43"/>
    </row>
    <row r="3452">
      <c r="A3452" s="82"/>
      <c r="B3452" s="33" t="s">
        <v>31748</v>
      </c>
      <c r="C3452" s="42">
        <v>91.0</v>
      </c>
      <c r="D3452" s="33" t="s">
        <v>31749</v>
      </c>
      <c r="E3452" s="74"/>
      <c r="F3452" s="46" t="s">
        <v>2793</v>
      </c>
      <c r="G3452" s="75"/>
      <c r="H3452" s="98" t="str">
        <f>HYPERLINK("http://mirror.ff7data.com.ar/ff7/data/wm/world_us.lgp/cfd.rsd.png","View Picture")</f>
        <v>View Picture</v>
      </c>
      <c r="K3452" s="43"/>
    </row>
    <row r="3453">
      <c r="A3453" s="82"/>
      <c r="B3453" s="33" t="s">
        <v>31757</v>
      </c>
      <c r="C3453" s="42">
        <v>9888.0</v>
      </c>
      <c r="D3453" s="33" t="s">
        <v>31749</v>
      </c>
      <c r="E3453" s="74"/>
      <c r="F3453" s="46" t="s">
        <v>2775</v>
      </c>
      <c r="G3453" s="75"/>
      <c r="H3453" s="98" t="str">
        <f>HYPERLINK("http://mirror.ff7data.com.ar/ff7/data/wm/world_us.lgp/cfe.p.png","View Picture")</f>
        <v>View Picture</v>
      </c>
      <c r="K3453" s="43"/>
    </row>
    <row r="3454">
      <c r="A3454" s="82"/>
      <c r="B3454" s="33" t="s">
        <v>31766</v>
      </c>
      <c r="C3454" s="42">
        <v>1324.0</v>
      </c>
      <c r="D3454" s="33" t="s">
        <v>31768</v>
      </c>
      <c r="E3454" s="74"/>
      <c r="F3454" s="46" t="s">
        <v>1348</v>
      </c>
      <c r="G3454" s="75"/>
      <c r="H3454" s="98" t="str">
        <f>HYPERLINK("http://mirror.ff7data.com.ar/ff7/data/wm/world_us.lgp/cga.tex.png","View Picture")</f>
        <v>View Picture</v>
      </c>
      <c r="K3454" s="43"/>
    </row>
    <row r="3455">
      <c r="A3455" s="82"/>
      <c r="B3455" s="33" t="s">
        <v>31775</v>
      </c>
      <c r="C3455" s="42">
        <v>4396.0</v>
      </c>
      <c r="D3455" s="33" t="s">
        <v>31777</v>
      </c>
      <c r="E3455" s="74"/>
      <c r="F3455" s="46" t="s">
        <v>1348</v>
      </c>
      <c r="G3455" s="75"/>
      <c r="H3455" s="98" t="str">
        <f>HYPERLINK("http://mirror.ff7data.com.ar/ff7/data/wm/world_us.lgp/cgb.tex.png","View Picture")</f>
        <v>View Picture</v>
      </c>
      <c r="K3455" s="43"/>
    </row>
    <row r="3456">
      <c r="A3456" s="82"/>
      <c r="B3456" s="33" t="s">
        <v>31783</v>
      </c>
      <c r="C3456" s="42">
        <v>756.0</v>
      </c>
      <c r="D3456" s="33" t="s">
        <v>31785</v>
      </c>
      <c r="E3456" s="74"/>
      <c r="F3456" s="46" t="s">
        <v>3366</v>
      </c>
      <c r="G3456" s="75"/>
      <c r="H3456" s="74"/>
      <c r="K3456" s="43"/>
    </row>
    <row r="3457">
      <c r="A3457" s="82"/>
      <c r="B3457" s="33" t="s">
        <v>31787</v>
      </c>
      <c r="C3457" s="42">
        <v>251.0</v>
      </c>
      <c r="D3457" s="33" t="s">
        <v>17713</v>
      </c>
      <c r="E3457" s="74"/>
      <c r="F3457" s="46" t="s">
        <v>7609</v>
      </c>
      <c r="G3457" s="75"/>
      <c r="H3457" s="96" t="str">
        <f>HYPERLINK("http://mirror.ff7data.com.ar/ff7/data/wm/world_us.lgp/cgd.hrc.png","View Picture")</f>
        <v>View Picture</v>
      </c>
      <c r="K3457" s="43"/>
    </row>
    <row r="3458">
      <c r="A3458" s="82"/>
      <c r="B3458" s="33" t="s">
        <v>31796</v>
      </c>
      <c r="C3458" s="42">
        <v>142.0</v>
      </c>
      <c r="D3458" s="33" t="s">
        <v>31797</v>
      </c>
      <c r="E3458" s="74"/>
      <c r="F3458" s="46" t="s">
        <v>2793</v>
      </c>
      <c r="G3458" s="75"/>
      <c r="H3458" s="96" t="str">
        <f>HYPERLINK("http://mirror.ff7data.com.ar/ff7/data/wm/world_us.lgp/cge.rsd.png","View Picture")</f>
        <v>View Picture</v>
      </c>
      <c r="K3458" s="43"/>
    </row>
    <row r="3459">
      <c r="A3459" s="82"/>
      <c r="B3459" s="33" t="s">
        <v>31805</v>
      </c>
      <c r="C3459" s="42">
        <v>9696.0</v>
      </c>
      <c r="D3459" s="33" t="s">
        <v>31797</v>
      </c>
      <c r="E3459" s="74"/>
      <c r="F3459" s="46" t="s">
        <v>2775</v>
      </c>
      <c r="G3459" s="75"/>
      <c r="H3459" s="96" t="str">
        <f>HYPERLINK("http://mirror.ff7data.com.ar/ff7/data/wm/world_us.lgp/cha.p.png","View Picture")</f>
        <v>View Picture</v>
      </c>
      <c r="K3459" s="43"/>
    </row>
    <row r="3460">
      <c r="A3460" s="82"/>
      <c r="B3460" s="33" t="s">
        <v>31815</v>
      </c>
      <c r="C3460" s="42">
        <v>59.0</v>
      </c>
      <c r="D3460" s="33" t="s">
        <v>31818</v>
      </c>
      <c r="E3460" s="74"/>
      <c r="F3460" s="46" t="s">
        <v>2793</v>
      </c>
      <c r="G3460" s="75"/>
      <c r="H3460" s="96" t="str">
        <f>HYPERLINK("http://mirror.ff7data.com.ar/ff7/data/wm/world_us.lgp/chb.rsd.png","View Picture")</f>
        <v>View Picture</v>
      </c>
      <c r="K3460" s="43"/>
    </row>
    <row r="3461">
      <c r="A3461" s="82"/>
      <c r="B3461" s="33" t="s">
        <v>31826</v>
      </c>
      <c r="C3461" s="42">
        <v>8756.0</v>
      </c>
      <c r="D3461" s="33" t="s">
        <v>31818</v>
      </c>
      <c r="E3461" s="74"/>
      <c r="F3461" s="46" t="s">
        <v>2775</v>
      </c>
      <c r="G3461" s="75"/>
      <c r="H3461" s="96" t="str">
        <f>HYPERLINK("http://mirror.ff7data.com.ar/ff7/data/wm/world_us.lgp/chc.p.png","View Picture")</f>
        <v>View Picture</v>
      </c>
      <c r="K3461" s="43"/>
    </row>
    <row r="3462">
      <c r="A3462" s="82"/>
      <c r="B3462" s="33" t="s">
        <v>31835</v>
      </c>
      <c r="C3462" s="42">
        <v>59.0</v>
      </c>
      <c r="D3462" s="33" t="s">
        <v>31837</v>
      </c>
      <c r="E3462" s="74"/>
      <c r="F3462" s="46" t="s">
        <v>2793</v>
      </c>
      <c r="G3462" s="75"/>
      <c r="H3462" s="96" t="str">
        <f>HYPERLINK("http://mirror.ff7data.com.ar/ff7/data/wm/world_us.lgp/chd.rsd.png","View Picture")</f>
        <v>View Picture</v>
      </c>
      <c r="K3462" s="43"/>
    </row>
    <row r="3463">
      <c r="A3463" s="82"/>
      <c r="B3463" s="33" t="s">
        <v>31846</v>
      </c>
      <c r="C3463" s="42">
        <v>1036.0</v>
      </c>
      <c r="D3463" s="33" t="s">
        <v>31837</v>
      </c>
      <c r="E3463" s="74"/>
      <c r="F3463" s="46" t="s">
        <v>2775</v>
      </c>
      <c r="G3463" s="75"/>
      <c r="H3463" s="96" t="str">
        <f>HYPERLINK("http://mirror.ff7data.com.ar/ff7/data/wm/world_us.lgp/che.p.png","View Picture")</f>
        <v>View Picture</v>
      </c>
      <c r="K3463" s="43"/>
    </row>
    <row r="3464">
      <c r="A3464" s="82"/>
      <c r="B3464" s="33" t="s">
        <v>31854</v>
      </c>
      <c r="C3464" s="42">
        <v>59.0</v>
      </c>
      <c r="D3464" s="33" t="s">
        <v>31856</v>
      </c>
      <c r="E3464" s="74"/>
      <c r="F3464" s="46" t="s">
        <v>2793</v>
      </c>
      <c r="G3464" s="75"/>
      <c r="H3464" s="96" t="str">
        <f>HYPERLINK("http://mirror.ff7data.com.ar/ff7/data/wm/world_us.lgp/cia.rsd.png","View Picture")</f>
        <v>View Picture</v>
      </c>
      <c r="K3464" s="43"/>
    </row>
    <row r="3465">
      <c r="A3465" s="82"/>
      <c r="B3465" s="33" t="s">
        <v>31864</v>
      </c>
      <c r="C3465" s="42">
        <v>1036.0</v>
      </c>
      <c r="D3465" s="33" t="s">
        <v>31856</v>
      </c>
      <c r="E3465" s="74"/>
      <c r="F3465" s="46" t="s">
        <v>2775</v>
      </c>
      <c r="G3465" s="75"/>
      <c r="H3465" s="96" t="str">
        <f>HYPERLINK("http://mirror.ff7data.com.ar/ff7/data/wm/world_us.lgp/cib.p.png","View Picture")</f>
        <v>View Picture</v>
      </c>
      <c r="K3465" s="43"/>
    </row>
    <row r="3466">
      <c r="A3466" s="82"/>
      <c r="B3466" s="33" t="s">
        <v>31871</v>
      </c>
      <c r="C3466" s="42">
        <v>1476.0</v>
      </c>
      <c r="D3466" s="33" t="s">
        <v>31872</v>
      </c>
      <c r="E3466" s="74"/>
      <c r="F3466" s="46" t="s">
        <v>3366</v>
      </c>
      <c r="G3466" s="75"/>
      <c r="H3466" s="74"/>
      <c r="K3466" s="43"/>
    </row>
    <row r="3467">
      <c r="A3467" s="82"/>
      <c r="B3467" s="33" t="s">
        <v>31876</v>
      </c>
      <c r="C3467" s="42">
        <v>633.0</v>
      </c>
      <c r="D3467" s="33" t="s">
        <v>31877</v>
      </c>
      <c r="E3467" s="74"/>
      <c r="F3467" s="46" t="s">
        <v>7609</v>
      </c>
      <c r="G3467" s="75"/>
      <c r="H3467" s="96" t="str">
        <f>HYPERLINK("http://mirror.ff7data.com.ar/ff7/data/wm/world_us.lgp/cid.hrc.png","View Picture")</f>
        <v>View Picture</v>
      </c>
      <c r="K3467" s="43"/>
    </row>
    <row r="3468">
      <c r="A3468" s="82"/>
      <c r="B3468" s="33" t="s">
        <v>31885</v>
      </c>
      <c r="C3468" s="42">
        <v>142.0</v>
      </c>
      <c r="D3468" s="33" t="s">
        <v>31887</v>
      </c>
      <c r="E3468" s="74"/>
      <c r="F3468" s="46" t="s">
        <v>2793</v>
      </c>
      <c r="G3468" s="75"/>
      <c r="H3468" s="96" t="str">
        <f>HYPERLINK("http://mirror.ff7data.com.ar/ff7/data/wm/world_us.lgp/cie.rsd.png","View Picture")</f>
        <v>View Picture</v>
      </c>
      <c r="K3468" s="43"/>
    </row>
    <row r="3469">
      <c r="A3469" s="82"/>
      <c r="B3469" s="33" t="s">
        <v>31894</v>
      </c>
      <c r="C3469" s="42">
        <v>8328.0</v>
      </c>
      <c r="D3469" s="33" t="s">
        <v>31887</v>
      </c>
      <c r="E3469" s="74"/>
      <c r="F3469" s="46" t="s">
        <v>2775</v>
      </c>
      <c r="G3469" s="75"/>
      <c r="H3469" s="96" t="str">
        <f>HYPERLINK("http://mirror.ff7data.com.ar/ff7/data/wm/world_us.lgp/cja.p.png","View Picture")</f>
        <v>View Picture</v>
      </c>
      <c r="K3469" s="43"/>
    </row>
    <row r="3470">
      <c r="A3470" s="82"/>
      <c r="B3470" s="33" t="s">
        <v>31902</v>
      </c>
      <c r="C3470" s="42">
        <v>142.0</v>
      </c>
      <c r="D3470" s="33" t="s">
        <v>31903</v>
      </c>
      <c r="E3470" s="74"/>
      <c r="F3470" s="46" t="s">
        <v>2793</v>
      </c>
      <c r="G3470" s="75"/>
      <c r="H3470" s="96" t="str">
        <f>HYPERLINK("http://mirror.ff7data.com.ar/ff7/data/wm/world_us.lgp/cjb.rsd.png","View Picture")</f>
        <v>View Picture</v>
      </c>
      <c r="K3470" s="43"/>
    </row>
    <row r="3471">
      <c r="A3471" s="82"/>
      <c r="B3471" s="33" t="s">
        <v>31911</v>
      </c>
      <c r="C3471" s="42">
        <v>724.0</v>
      </c>
      <c r="D3471" s="33" t="s">
        <v>31903</v>
      </c>
      <c r="E3471" s="74"/>
      <c r="F3471" s="46" t="s">
        <v>2775</v>
      </c>
      <c r="G3471" s="75"/>
      <c r="H3471" s="96" t="str">
        <f>HYPERLINK("http://mirror.ff7data.com.ar/ff7/data/wm/world_us.lgp/cjc.p.png","View Picture")</f>
        <v>View Picture</v>
      </c>
      <c r="K3471" s="43"/>
    </row>
    <row r="3472">
      <c r="A3472" s="82"/>
      <c r="B3472" s="33" t="s">
        <v>31919</v>
      </c>
      <c r="C3472" s="42">
        <v>142.0</v>
      </c>
      <c r="D3472" s="33" t="s">
        <v>31921</v>
      </c>
      <c r="E3472" s="74"/>
      <c r="F3472" s="46" t="s">
        <v>2793</v>
      </c>
      <c r="G3472" s="75"/>
      <c r="H3472" s="96" t="str">
        <f>HYPERLINK("http://mirror.ff7data.com.ar/ff7/data/wm/world_us.lgp/cjd.rsd.png","View Picture")</f>
        <v>View Picture</v>
      </c>
      <c r="K3472" s="43"/>
    </row>
    <row r="3473">
      <c r="A3473" s="82"/>
      <c r="B3473" s="33" t="s">
        <v>31928</v>
      </c>
      <c r="C3473" s="42">
        <v>2004.0</v>
      </c>
      <c r="D3473" s="33" t="s">
        <v>31921</v>
      </c>
      <c r="E3473" s="74"/>
      <c r="F3473" s="46" t="s">
        <v>2775</v>
      </c>
      <c r="G3473" s="75"/>
      <c r="H3473" s="96" t="str">
        <f>HYPERLINK("http://mirror.ff7data.com.ar/ff7/data/wm/world_us.lgp/cje.p.png","View Picture")</f>
        <v>View Picture</v>
      </c>
      <c r="K3473" s="43"/>
    </row>
    <row r="3474">
      <c r="A3474" s="82"/>
      <c r="B3474" s="33" t="s">
        <v>31939</v>
      </c>
      <c r="C3474" s="42">
        <v>142.0</v>
      </c>
      <c r="D3474" s="33" t="s">
        <v>31941</v>
      </c>
      <c r="E3474" s="74"/>
      <c r="F3474" s="46" t="s">
        <v>2793</v>
      </c>
      <c r="G3474" s="75"/>
      <c r="H3474" s="96" t="str">
        <f>HYPERLINK("http://mirror.ff7data.com.ar/ff7/data/wm/world_us.lgp/cka.rsd.png","View Picture")</f>
        <v>View Picture</v>
      </c>
      <c r="K3474" s="43"/>
    </row>
    <row r="3475">
      <c r="A3475" s="82"/>
      <c r="B3475" s="33" t="s">
        <v>31949</v>
      </c>
      <c r="C3475" s="42">
        <v>2136.0</v>
      </c>
      <c r="D3475" s="33" t="s">
        <v>31941</v>
      </c>
      <c r="E3475" s="74"/>
      <c r="F3475" s="46" t="s">
        <v>2775</v>
      </c>
      <c r="G3475" s="75"/>
      <c r="H3475" s="96" t="str">
        <f>HYPERLINK("http://mirror.ff7data.com.ar/ff7/data/wm/world_us.lgp/ckb.p.png","View Picture")</f>
        <v>View Picture</v>
      </c>
      <c r="K3475" s="43"/>
    </row>
    <row r="3476">
      <c r="A3476" s="82"/>
      <c r="B3476" s="33" t="s">
        <v>31956</v>
      </c>
      <c r="C3476" s="42">
        <v>142.0</v>
      </c>
      <c r="D3476" s="33" t="s">
        <v>31957</v>
      </c>
      <c r="E3476" s="74"/>
      <c r="F3476" s="46" t="s">
        <v>2793</v>
      </c>
      <c r="G3476" s="75"/>
      <c r="H3476" s="96" t="str">
        <f>HYPERLINK("http://mirror.ff7data.com.ar/ff7/data/wm/world_us.lgp/ckc.rsd.png","View Picture")</f>
        <v>View Picture</v>
      </c>
      <c r="K3476" s="43"/>
    </row>
    <row r="3477">
      <c r="A3477" s="82"/>
      <c r="B3477" s="33" t="s">
        <v>31965</v>
      </c>
      <c r="C3477" s="42">
        <v>724.0</v>
      </c>
      <c r="D3477" s="33" t="s">
        <v>31957</v>
      </c>
      <c r="E3477" s="74"/>
      <c r="F3477" s="46" t="s">
        <v>2775</v>
      </c>
      <c r="G3477" s="75"/>
      <c r="H3477" s="96" t="str">
        <f>HYPERLINK("http://mirror.ff7data.com.ar/ff7/data/wm/world_us.lgp/ckd.p.png","View Picture")</f>
        <v>View Picture</v>
      </c>
      <c r="K3477" s="43"/>
    </row>
    <row r="3478">
      <c r="A3478" s="82"/>
      <c r="B3478" s="33" t="s">
        <v>31973</v>
      </c>
      <c r="C3478" s="42">
        <v>142.0</v>
      </c>
      <c r="D3478" s="33" t="s">
        <v>31974</v>
      </c>
      <c r="E3478" s="74"/>
      <c r="F3478" s="46" t="s">
        <v>2793</v>
      </c>
      <c r="G3478" s="75"/>
      <c r="H3478" s="96" t="str">
        <f>HYPERLINK("http://mirror.ff7data.com.ar/ff7/data/wm/world_us.lgp/cke.rsd.png","View Picture")</f>
        <v>View Picture</v>
      </c>
      <c r="K3478" s="43"/>
    </row>
    <row r="3479">
      <c r="A3479" s="82"/>
      <c r="B3479" s="33" t="s">
        <v>31982</v>
      </c>
      <c r="C3479" s="42">
        <v>12296.0</v>
      </c>
      <c r="D3479" s="33" t="s">
        <v>31974</v>
      </c>
      <c r="E3479" s="74"/>
      <c r="F3479" s="46" t="s">
        <v>2775</v>
      </c>
      <c r="G3479" s="75"/>
      <c r="H3479" s="96" t="str">
        <f>HYPERLINK("http://mirror.ff7data.com.ar/ff7/data/wm/world_us.lgp/cla.p.png","View Picture")</f>
        <v>View Picture</v>
      </c>
      <c r="K3479" s="43"/>
    </row>
    <row r="3480">
      <c r="A3480" s="82"/>
      <c r="B3480" s="33" t="s">
        <v>31991</v>
      </c>
      <c r="C3480" s="42">
        <v>142.0</v>
      </c>
      <c r="D3480" s="33" t="s">
        <v>31992</v>
      </c>
      <c r="E3480" s="74"/>
      <c r="F3480" s="46" t="s">
        <v>2793</v>
      </c>
      <c r="G3480" s="75"/>
      <c r="H3480" s="96" t="str">
        <f>HYPERLINK("http://mirror.ff7data.com.ar/ff7/data/wm/world_us.lgp/clb.rsd.png","View Picture")</f>
        <v>View Picture</v>
      </c>
      <c r="K3480" s="43"/>
    </row>
    <row r="3481">
      <c r="A3481" s="82"/>
      <c r="B3481" s="33" t="s">
        <v>32000</v>
      </c>
      <c r="C3481" s="42">
        <v>3092.0</v>
      </c>
      <c r="D3481" s="33" t="s">
        <v>31992</v>
      </c>
      <c r="E3481" s="74"/>
      <c r="F3481" s="46" t="s">
        <v>2775</v>
      </c>
      <c r="G3481" s="75"/>
      <c r="H3481" s="96" t="str">
        <f>HYPERLINK("http://mirror.ff7data.com.ar/ff7/data/wm/world_us.lgp/clc.p.png","View Picture")</f>
        <v>View Picture</v>
      </c>
      <c r="K3481" s="43"/>
    </row>
    <row r="3482">
      <c r="A3482" s="82"/>
      <c r="B3482" s="33" t="s">
        <v>32011</v>
      </c>
      <c r="C3482" s="42">
        <v>142.0</v>
      </c>
      <c r="D3482" s="33" t="s">
        <v>32012</v>
      </c>
      <c r="E3482" s="74"/>
      <c r="F3482" s="46" t="s">
        <v>2793</v>
      </c>
      <c r="G3482" s="75"/>
      <c r="H3482" s="96" t="str">
        <f>HYPERLINK("http://mirror.ff7data.com.ar/ff7/data/wm/world_us.lgp/cld.rsd.png","View Picture")</f>
        <v>View Picture</v>
      </c>
      <c r="K3482" s="43"/>
    </row>
    <row r="3483">
      <c r="A3483" s="82"/>
      <c r="B3483" s="33" t="s">
        <v>32020</v>
      </c>
      <c r="C3483" s="42">
        <v>3092.0</v>
      </c>
      <c r="D3483" s="33" t="s">
        <v>32012</v>
      </c>
      <c r="E3483" s="74"/>
      <c r="F3483" s="46" t="s">
        <v>2775</v>
      </c>
      <c r="G3483" s="75"/>
      <c r="H3483" s="96" t="str">
        <f>HYPERLINK("http://mirror.ff7data.com.ar/ff7/data/wm/world_us.lgp/cle.p.png","View Picture")</f>
        <v>View Picture</v>
      </c>
      <c r="K3483" s="43"/>
    </row>
    <row r="3484">
      <c r="A3484" s="82"/>
      <c r="B3484" s="33" t="s">
        <v>32029</v>
      </c>
      <c r="C3484" s="42">
        <v>2348.0</v>
      </c>
      <c r="D3484" s="33" t="s">
        <v>32030</v>
      </c>
      <c r="E3484" s="74"/>
      <c r="F3484" s="46" t="s">
        <v>1348</v>
      </c>
      <c r="G3484" s="75"/>
      <c r="H3484" s="98" t="str">
        <f>HYPERLINK("http://mirror.ff7data.com.ar/ff7/data/wm/world_us.lgp/clf_bgs.tex.png","View Picture")</f>
        <v>View Picture</v>
      </c>
      <c r="K3484" s="43"/>
    </row>
    <row r="3485">
      <c r="A3485" s="82"/>
      <c r="B3485" s="33" t="s">
        <v>32035</v>
      </c>
      <c r="C3485" s="42">
        <v>4396.0</v>
      </c>
      <c r="D3485" s="33" t="s">
        <v>32036</v>
      </c>
      <c r="E3485" s="74"/>
      <c r="F3485" s="46" t="s">
        <v>1348</v>
      </c>
      <c r="G3485" s="75"/>
      <c r="H3485" s="98" t="str">
        <f>HYPERLINK("http://mirror.ff7data.com.ar/ff7/data/wm/world_us.lgp/clf_ggl.tex.png","View Picture")</f>
        <v>View Picture</v>
      </c>
      <c r="K3485" s="43"/>
    </row>
    <row r="3486">
      <c r="A3486" s="82"/>
      <c r="B3486" s="33" t="s">
        <v>32044</v>
      </c>
      <c r="C3486" s="42">
        <v>2348.0</v>
      </c>
      <c r="D3486" s="33" t="s">
        <v>32046</v>
      </c>
      <c r="E3486" s="74"/>
      <c r="F3486" s="46" t="s">
        <v>1348</v>
      </c>
      <c r="G3486" s="75"/>
      <c r="H3486" s="98" t="str">
        <f>HYPERLINK("http://mirror.ff7data.com.ar/ff7/data/wm/world_us.lgp/clf_ggs.tex.png","View Picture")</f>
        <v>View Picture</v>
      </c>
      <c r="K3486" s="43"/>
    </row>
    <row r="3487">
      <c r="A3487" s="82"/>
      <c r="B3487" s="33" t="s">
        <v>32054</v>
      </c>
      <c r="C3487" s="42">
        <v>4396.0</v>
      </c>
      <c r="D3487" s="33" t="s">
        <v>32055</v>
      </c>
      <c r="E3487" s="74"/>
      <c r="F3487" s="46" t="s">
        <v>1348</v>
      </c>
      <c r="G3487" s="75"/>
      <c r="H3487" s="98" t="str">
        <f>HYPERLINK("http://mirror.ff7data.com.ar/ff7/data/wm/world_us.lgp/clf_l.tex.png","View Picture")</f>
        <v>View Picture</v>
      </c>
      <c r="K3487" s="43"/>
    </row>
    <row r="3488">
      <c r="A3488" s="82"/>
      <c r="B3488" s="33" t="s">
        <v>32064</v>
      </c>
      <c r="C3488" s="42">
        <v>4396.0</v>
      </c>
      <c r="D3488" s="33" t="s">
        <v>32065</v>
      </c>
      <c r="E3488" s="74"/>
      <c r="F3488" s="46" t="s">
        <v>1348</v>
      </c>
      <c r="G3488" s="75"/>
      <c r="H3488" s="98" t="str">
        <f>HYPERLINK("http://mirror.ff7data.com.ar/ff7/data/wm/world_us.lgp/clf_ld.tex.png","View Picture")</f>
        <v>View Picture</v>
      </c>
      <c r="K3488" s="43"/>
    </row>
    <row r="3489">
      <c r="A3489" s="82"/>
      <c r="B3489" s="33" t="s">
        <v>32072</v>
      </c>
      <c r="C3489" s="42">
        <v>4396.0</v>
      </c>
      <c r="D3489" s="33" t="s">
        <v>32074</v>
      </c>
      <c r="E3489" s="74"/>
      <c r="F3489" s="46" t="s">
        <v>1348</v>
      </c>
      <c r="G3489" s="75"/>
      <c r="H3489" s="98" t="str">
        <f>HYPERLINK("http://mirror.ff7data.com.ar/ff7/data/wm/world_us.lgp/clf_lf.tex.png","View Picture")</f>
        <v>View Picture</v>
      </c>
      <c r="K3489" s="43"/>
    </row>
    <row r="3490">
      <c r="A3490" s="82"/>
      <c r="B3490" s="33" t="s">
        <v>32082</v>
      </c>
      <c r="C3490" s="42">
        <v>2348.0</v>
      </c>
      <c r="D3490" s="33" t="s">
        <v>32084</v>
      </c>
      <c r="E3490" s="74"/>
      <c r="F3490" s="46" t="s">
        <v>1348</v>
      </c>
      <c r="G3490" s="75"/>
      <c r="H3490" s="98" t="str">
        <f>HYPERLINK("http://mirror.ff7data.com.ar/ff7/data/wm/world_us.lgp/clf_lg.tex.png","View Picture")</f>
        <v>View Picture</v>
      </c>
      <c r="K3490" s="43"/>
    </row>
    <row r="3491">
      <c r="A3491" s="82"/>
      <c r="B3491" s="33" t="s">
        <v>32092</v>
      </c>
      <c r="C3491" s="42">
        <v>2348.0</v>
      </c>
      <c r="D3491" s="33" t="s">
        <v>32093</v>
      </c>
      <c r="E3491" s="74"/>
      <c r="F3491" s="46" t="s">
        <v>1348</v>
      </c>
      <c r="G3491" s="75"/>
      <c r="H3491" s="98" t="str">
        <f>HYPERLINK("http://mirror.ff7data.com.ar/ff7/data/wm/world_us.lgp/clf_lr.tex.png","View Picture")</f>
        <v>View Picture</v>
      </c>
      <c r="K3491" s="43"/>
    </row>
    <row r="3492">
      <c r="A3492" s="82"/>
      <c r="B3492" s="33" t="s">
        <v>32101</v>
      </c>
      <c r="C3492" s="42">
        <v>2348.0</v>
      </c>
      <c r="D3492" s="33" t="s">
        <v>32103</v>
      </c>
      <c r="E3492" s="74"/>
      <c r="F3492" s="46" t="s">
        <v>1348</v>
      </c>
      <c r="G3492" s="75"/>
      <c r="H3492" s="98" t="str">
        <f>HYPERLINK("http://mirror.ff7data.com.ar/ff7/data/wm/world_us.lgp/clf_lsg.tex.png","View Picture")</f>
        <v>View Picture</v>
      </c>
      <c r="K3492" s="43"/>
    </row>
    <row r="3493">
      <c r="A3493" s="82"/>
      <c r="B3493" s="33" t="s">
        <v>32110</v>
      </c>
      <c r="C3493" s="42">
        <v>1324.0</v>
      </c>
      <c r="D3493" s="33" t="s">
        <v>32111</v>
      </c>
      <c r="E3493" s="74"/>
      <c r="F3493" s="46" t="s">
        <v>1348</v>
      </c>
      <c r="G3493" s="75"/>
      <c r="H3493" s="98" t="str">
        <f>HYPERLINK("http://mirror.ff7data.com.ar/ff7/data/wm/world_us.lgp/clf_r.tex.png","View Picture")</f>
        <v>View Picture</v>
      </c>
      <c r="K3493" s="43"/>
    </row>
    <row r="3494">
      <c r="A3494" s="82"/>
      <c r="B3494" s="33" t="s">
        <v>32121</v>
      </c>
      <c r="C3494" s="42">
        <v>2348.0</v>
      </c>
      <c r="D3494" s="33" t="s">
        <v>32123</v>
      </c>
      <c r="E3494" s="74"/>
      <c r="F3494" s="46" t="s">
        <v>1348</v>
      </c>
      <c r="G3494" s="75"/>
      <c r="H3494" s="98" t="str">
        <f>HYPERLINK("http://mirror.ff7data.com.ar/ff7/data/wm/world_us.lgp/clf_s.tex.png","View Picture")</f>
        <v>View Picture</v>
      </c>
      <c r="K3494" s="43"/>
    </row>
    <row r="3495">
      <c r="A3495" s="82"/>
      <c r="B3495" s="33" t="s">
        <v>32130</v>
      </c>
      <c r="C3495" s="42">
        <v>2348.0</v>
      </c>
      <c r="D3495" s="33" t="s">
        <v>32132</v>
      </c>
      <c r="E3495" s="74"/>
      <c r="F3495" s="46" t="s">
        <v>1348</v>
      </c>
      <c r="G3495" s="75"/>
      <c r="H3495" s="98" t="str">
        <f>HYPERLINK("http://mirror.ff7data.com.ar/ff7/data/wm/world_us.lgp/clf_sd.tex.png","View Picture")</f>
        <v>View Picture</v>
      </c>
      <c r="K3495" s="43"/>
    </row>
    <row r="3496">
      <c r="A3496" s="82"/>
      <c r="B3496" s="33" t="s">
        <v>32142</v>
      </c>
      <c r="C3496" s="42">
        <v>2348.0</v>
      </c>
      <c r="D3496" s="33" t="s">
        <v>32144</v>
      </c>
      <c r="E3496" s="74"/>
      <c r="F3496" s="46" t="s">
        <v>1348</v>
      </c>
      <c r="G3496" s="75"/>
      <c r="H3496" s="98" t="str">
        <f>HYPERLINK("http://mirror.ff7data.com.ar/ff7/data/wm/world_us.lgp/clf_sf.tex.png","View Picture")</f>
        <v>View Picture</v>
      </c>
      <c r="K3496" s="43"/>
    </row>
    <row r="3497">
      <c r="A3497" s="82"/>
      <c r="B3497" s="33" t="s">
        <v>32152</v>
      </c>
      <c r="C3497" s="42">
        <v>1324.0</v>
      </c>
      <c r="D3497" s="33" t="s">
        <v>32153</v>
      </c>
      <c r="E3497" s="74"/>
      <c r="F3497" s="46" t="s">
        <v>1348</v>
      </c>
      <c r="G3497" s="75"/>
      <c r="H3497" s="98" t="str">
        <f>HYPERLINK("http://mirror.ff7data.com.ar/ff7/data/wm/world_us.lgp/clf_sg.tex.png","View Picture")</f>
        <v>View Picture</v>
      </c>
      <c r="K3497" s="43"/>
    </row>
    <row r="3498">
      <c r="A3498" s="82"/>
      <c r="B3498" s="33" t="s">
        <v>32161</v>
      </c>
      <c r="C3498" s="42">
        <v>1324.0</v>
      </c>
      <c r="D3498" s="33" t="s">
        <v>32123</v>
      </c>
      <c r="E3498" s="74"/>
      <c r="F3498" s="46" t="s">
        <v>1348</v>
      </c>
      <c r="G3498" s="75"/>
      <c r="H3498" s="98" t="str">
        <f>HYPERLINK("http://mirror.ff7data.com.ar/ff7/data/wm/world_us.lgp/clf_sg2.tex.png","View Picture")</f>
        <v>View Picture</v>
      </c>
      <c r="K3498" s="43"/>
    </row>
    <row r="3499">
      <c r="A3499" s="82"/>
      <c r="B3499" s="33" t="s">
        <v>32169</v>
      </c>
      <c r="C3499" s="42">
        <v>1324.0</v>
      </c>
      <c r="D3499" s="33" t="s">
        <v>32171</v>
      </c>
      <c r="E3499" s="74"/>
      <c r="F3499" s="46" t="s">
        <v>1348</v>
      </c>
      <c r="G3499" s="75"/>
      <c r="H3499" s="98" t="str">
        <f>HYPERLINK("http://mirror.ff7data.com.ar/ff7/data/wm/world_us.lgp/clf_sr.tex.png","View Picture")</f>
        <v>View Picture</v>
      </c>
      <c r="K3499" s="43"/>
    </row>
    <row r="3500">
      <c r="A3500" s="82"/>
      <c r="B3500" s="33" t="s">
        <v>32179</v>
      </c>
      <c r="C3500" s="42">
        <v>1324.0</v>
      </c>
      <c r="D3500" s="33" t="s">
        <v>32181</v>
      </c>
      <c r="E3500" s="74"/>
      <c r="F3500" s="46" t="s">
        <v>1348</v>
      </c>
      <c r="G3500" s="75"/>
      <c r="H3500" s="98" t="str">
        <f>HYPERLINK("http://mirror.ff7data.com.ar/ff7/data/wm/world_us.lgp/clf_ss.tex.png","View Picture")</f>
        <v>View Picture</v>
      </c>
      <c r="K3500" s="43"/>
    </row>
    <row r="3501">
      <c r="A3501" s="82"/>
      <c r="B3501" s="33" t="s">
        <v>32188</v>
      </c>
      <c r="C3501" s="42">
        <v>1324.0</v>
      </c>
      <c r="D3501" s="33" t="s">
        <v>32191</v>
      </c>
      <c r="E3501" s="74"/>
      <c r="F3501" s="46" t="s">
        <v>1348</v>
      </c>
      <c r="G3501" s="75"/>
      <c r="H3501" s="98" t="str">
        <f>HYPERLINK("http://mirror.ff7data.com.ar/ff7/data/wm/world_us.lgp/clf_ssd.tex.png","View Picture")</f>
        <v>View Picture</v>
      </c>
      <c r="K3501" s="43"/>
    </row>
    <row r="3502">
      <c r="A3502" s="82"/>
      <c r="B3502" s="33" t="s">
        <v>32202</v>
      </c>
      <c r="C3502" s="42">
        <v>1324.0</v>
      </c>
      <c r="D3502" s="33" t="s">
        <v>32204</v>
      </c>
      <c r="E3502" s="74"/>
      <c r="F3502" s="46" t="s">
        <v>1348</v>
      </c>
      <c r="G3502" s="75"/>
      <c r="H3502" s="98" t="str">
        <f>HYPERLINK("http://mirror.ff7data.com.ar/ff7/data/wm/world_us.lgp/clf_ssw.tex.png","View Picture")</f>
        <v>View Picture</v>
      </c>
      <c r="K3502" s="43"/>
    </row>
    <row r="3503">
      <c r="A3503" s="82"/>
      <c r="B3503" s="33" t="s">
        <v>32212</v>
      </c>
      <c r="C3503" s="42">
        <v>1324.0</v>
      </c>
      <c r="D3503" s="33" t="s">
        <v>32214</v>
      </c>
      <c r="E3503" s="74"/>
      <c r="F3503" s="46" t="s">
        <v>1348</v>
      </c>
      <c r="G3503" s="75"/>
      <c r="H3503" s="98" t="str">
        <f>HYPERLINK("http://mirror.ff7data.com.ar/ff7/data/wm/world_us.lgp/clf_sw.tex.png","View Picture")</f>
        <v>View Picture</v>
      </c>
      <c r="K3503" s="43"/>
    </row>
    <row r="3504">
      <c r="A3504" s="82"/>
      <c r="B3504" s="33" t="s">
        <v>32226</v>
      </c>
      <c r="C3504" s="42">
        <v>4396.0</v>
      </c>
      <c r="D3504" s="33" t="s">
        <v>32229</v>
      </c>
      <c r="E3504" s="74"/>
      <c r="F3504" s="46" t="s">
        <v>1348</v>
      </c>
      <c r="G3504" s="75"/>
      <c r="H3504" s="98" t="str">
        <f>HYPERLINK("http://mirror.ff7data.com.ar/ff7/data/wm/world_us.lgp/clf_w02.tex.png","View Picture")</f>
        <v>View Picture</v>
      </c>
      <c r="K3504" s="43"/>
    </row>
    <row r="3505">
      <c r="A3505" s="82"/>
      <c r="B3505" s="33" t="s">
        <v>32236</v>
      </c>
      <c r="C3505" s="42">
        <v>4396.0</v>
      </c>
      <c r="D3505" s="33" t="s">
        <v>32239</v>
      </c>
      <c r="E3505" s="74"/>
      <c r="F3505" s="46" t="s">
        <v>1348</v>
      </c>
      <c r="G3505" s="75"/>
      <c r="H3505" s="98" t="str">
        <f>HYPERLINK("http://mirror.ff7data.com.ar/ff7/data/wm/world_us.lgp/clf_w03.tex.png","View Picture")</f>
        <v>View Picture</v>
      </c>
      <c r="K3505" s="43"/>
    </row>
    <row r="3506">
      <c r="A3506" s="82"/>
      <c r="B3506" s="33" t="s">
        <v>32247</v>
      </c>
      <c r="C3506" s="42">
        <v>2348.0</v>
      </c>
      <c r="D3506" s="33" t="s">
        <v>32249</v>
      </c>
      <c r="E3506" s="74"/>
      <c r="F3506" s="46" t="s">
        <v>1348</v>
      </c>
      <c r="G3506" s="75"/>
      <c r="H3506" s="98" t="str">
        <f>HYPERLINK("http://mirror.ff7data.com.ar/ff7/data/wm/world_us.lgp/clf_was.tex.png","View Picture")</f>
        <v>View Picture</v>
      </c>
      <c r="K3506" s="43"/>
    </row>
    <row r="3507">
      <c r="A3507" s="82"/>
      <c r="B3507" s="33" t="s">
        <v>32260</v>
      </c>
      <c r="C3507" s="42">
        <v>1324.0</v>
      </c>
      <c r="D3507" s="33" t="s">
        <v>32261</v>
      </c>
      <c r="E3507" s="74"/>
      <c r="F3507" s="46" t="s">
        <v>1348</v>
      </c>
      <c r="G3507" s="75"/>
      <c r="H3507" s="98" t="str">
        <f>HYPERLINK("http://mirror.ff7data.com.ar/ff7/data/wm/world_us.lgp/clfeg.tex.png","View Picture")</f>
        <v>View Picture</v>
      </c>
      <c r="K3507" s="43"/>
    </row>
    <row r="3508">
      <c r="A3508" s="82"/>
      <c r="B3508" s="33" t="s">
        <v>32269</v>
      </c>
      <c r="C3508" s="42">
        <v>1324.0</v>
      </c>
      <c r="D3508" s="33" t="s">
        <v>32270</v>
      </c>
      <c r="E3508" s="74"/>
      <c r="F3508" s="46" t="s">
        <v>1348</v>
      </c>
      <c r="G3508" s="75"/>
      <c r="H3508" s="98" t="str">
        <f>HYPERLINK("http://mirror.ff7data.com.ar/ff7/data/wm/world_us.lgp/clfegd.tex.png","View Picture")</f>
        <v>View Picture</v>
      </c>
      <c r="K3508" s="43"/>
    </row>
    <row r="3509">
      <c r="A3509" s="82"/>
      <c r="B3509" s="33" t="s">
        <v>32278</v>
      </c>
      <c r="C3509" s="42">
        <v>2348.0</v>
      </c>
      <c r="D3509" s="33" t="s">
        <v>32280</v>
      </c>
      <c r="E3509" s="74"/>
      <c r="F3509" s="46" t="s">
        <v>1348</v>
      </c>
      <c r="G3509" s="46" t="s">
        <v>32281</v>
      </c>
      <c r="H3509" s="98" t="str">
        <f>HYPERLINK("http://mirror.ff7data.com.ar/ff7/data/wm/world_us.lgp/clftop.tex.png","View Picture")</f>
        <v>View Picture</v>
      </c>
      <c r="K3509" s="43"/>
    </row>
    <row r="3510">
      <c r="A3510" s="82"/>
      <c r="B3510" s="33" t="s">
        <v>32289</v>
      </c>
      <c r="C3510" s="42">
        <v>1324.0</v>
      </c>
      <c r="D3510" s="33" t="s">
        <v>32290</v>
      </c>
      <c r="E3510" s="74"/>
      <c r="F3510" s="46" t="s">
        <v>1348</v>
      </c>
      <c r="G3510" s="75"/>
      <c r="H3510" s="98" t="str">
        <f>HYPERLINK("http://mirror.ff7data.com.ar/ff7/data/wm/world_us.lgp/clftop2.tex.png","View Picture")</f>
        <v>View Picture</v>
      </c>
      <c r="K3510" s="43"/>
    </row>
    <row r="3511">
      <c r="A3511" s="82"/>
      <c r="B3511" s="33" t="s">
        <v>32299</v>
      </c>
      <c r="C3511" s="42">
        <v>16684.0</v>
      </c>
      <c r="D3511" s="33" t="s">
        <v>32301</v>
      </c>
      <c r="E3511" s="74"/>
      <c r="F3511" s="46" t="s">
        <v>1348</v>
      </c>
      <c r="G3511" s="75"/>
      <c r="H3511" s="98" t="str">
        <f>HYPERLINK("http://mirror.ff7data.com.ar/ff7/data/wm/world_us.lgp/cltr.tex.png","View Picture")</f>
        <v>View Picture</v>
      </c>
      <c r="K3511" s="43"/>
    </row>
    <row r="3512">
      <c r="A3512" s="82"/>
      <c r="B3512" s="33" t="s">
        <v>32307</v>
      </c>
      <c r="C3512" s="42">
        <v>6876.0</v>
      </c>
      <c r="D3512" s="33" t="s">
        <v>32309</v>
      </c>
      <c r="E3512" s="74"/>
      <c r="F3512" s="46" t="s">
        <v>3366</v>
      </c>
      <c r="G3512" s="75"/>
      <c r="H3512" s="74"/>
      <c r="K3512" s="43"/>
    </row>
    <row r="3513">
      <c r="A3513" s="82"/>
      <c r="B3513" s="33" t="s">
        <v>32312</v>
      </c>
      <c r="C3513" s="42">
        <v>81.0</v>
      </c>
      <c r="D3513" s="33" t="s">
        <v>32314</v>
      </c>
      <c r="E3513" s="74"/>
      <c r="F3513" s="46" t="s">
        <v>7609</v>
      </c>
      <c r="G3513" s="75"/>
      <c r="H3513" s="96" t="str">
        <f>HYPERLINK("http://mirror.ff7data.com.ar/ff7/data/wm/world_us.lgp/cmb.hrc.png","View Picture")</f>
        <v>View Picture</v>
      </c>
      <c r="K3513" s="43"/>
    </row>
    <row r="3514">
      <c r="A3514" s="82"/>
      <c r="B3514" s="33" t="s">
        <v>32321</v>
      </c>
      <c r="C3514" s="42">
        <v>75.0</v>
      </c>
      <c r="D3514" s="33" t="s">
        <v>32324</v>
      </c>
      <c r="E3514" s="74"/>
      <c r="F3514" s="46" t="s">
        <v>2793</v>
      </c>
      <c r="G3514" s="75"/>
      <c r="H3514" s="96" t="str">
        <f>HYPERLINK("http://mirror.ff7data.com.ar/ff7/data/wm/world_us.lgp/cmc.rsd.png","View Picture")</f>
        <v>View Picture</v>
      </c>
      <c r="K3514" s="43"/>
    </row>
    <row r="3515">
      <c r="A3515" s="82"/>
      <c r="B3515" s="33" t="s">
        <v>32330</v>
      </c>
      <c r="C3515" s="42">
        <v>7744.0</v>
      </c>
      <c r="D3515" s="33" t="s">
        <v>32324</v>
      </c>
      <c r="E3515" s="74"/>
      <c r="F3515" s="46" t="s">
        <v>2775</v>
      </c>
      <c r="G3515" s="75"/>
      <c r="H3515" s="96" t="str">
        <f>HYPERLINK("http://mirror.ff7data.com.ar/ff7/data/wm/world_us.lgp/cmd.p.png","View Picture")</f>
        <v>View Picture</v>
      </c>
      <c r="K3515" s="43"/>
    </row>
    <row r="3516">
      <c r="A3516" s="82"/>
      <c r="B3516" s="33" t="s">
        <v>32338</v>
      </c>
      <c r="C3516" s="42">
        <v>2348.0</v>
      </c>
      <c r="D3516" s="33" t="s">
        <v>32340</v>
      </c>
      <c r="E3516" s="74"/>
      <c r="F3516" s="46" t="s">
        <v>1348</v>
      </c>
      <c r="G3516" s="75"/>
      <c r="H3516" s="98" t="str">
        <f>HYPERLINK("http://mirror.ff7data.com.ar/ff7/data/wm/world_us.lgp/cme.tex.png","View Picture")</f>
        <v>View Picture</v>
      </c>
      <c r="K3516" s="43"/>
    </row>
    <row r="3517">
      <c r="A3517" s="82"/>
      <c r="B3517" s="33" t="s">
        <v>32347</v>
      </c>
      <c r="C3517" s="42">
        <v>756.0</v>
      </c>
      <c r="D3517" s="33" t="s">
        <v>32349</v>
      </c>
      <c r="E3517" s="74"/>
      <c r="F3517" s="46" t="s">
        <v>3366</v>
      </c>
      <c r="G3517" s="75"/>
      <c r="H3517" s="74"/>
      <c r="K3517" s="43"/>
    </row>
    <row r="3518">
      <c r="A3518" s="82"/>
      <c r="B3518" s="33" t="s">
        <v>32352</v>
      </c>
      <c r="C3518" s="42">
        <v>78.0</v>
      </c>
      <c r="D3518" s="33" t="s">
        <v>32354</v>
      </c>
      <c r="E3518" s="74"/>
      <c r="F3518" s="46" t="s">
        <v>7609</v>
      </c>
      <c r="G3518" s="75"/>
      <c r="H3518" s="96" t="str">
        <f>HYPERLINK("http://mirror.ff7data.com.ar/ff7/data/wm/world_us.lgp/cnb.hrc.png","View Picture")</f>
        <v>View Picture</v>
      </c>
      <c r="K3518" s="43"/>
    </row>
    <row r="3519">
      <c r="A3519" s="82"/>
      <c r="B3519" s="33" t="s">
        <v>32361</v>
      </c>
      <c r="C3519" s="42">
        <v>91.0</v>
      </c>
      <c r="D3519" s="33" t="s">
        <v>32363</v>
      </c>
      <c r="E3519" s="74"/>
      <c r="F3519" s="46" t="s">
        <v>2793</v>
      </c>
      <c r="G3519" s="75"/>
      <c r="H3519" s="96" t="str">
        <f>HYPERLINK("http://mirror.ff7data.com.ar/ff7/data/wm/world_us.lgp/cnc.rsd.png","View Picture")</f>
        <v>View Picture</v>
      </c>
      <c r="K3519" s="43"/>
    </row>
    <row r="3520">
      <c r="A3520" s="82"/>
      <c r="B3520" s="33" t="s">
        <v>32369</v>
      </c>
      <c r="C3520" s="42">
        <v>3148.0</v>
      </c>
      <c r="D3520" s="33" t="s">
        <v>32363</v>
      </c>
      <c r="E3520" s="74"/>
      <c r="F3520" s="46" t="s">
        <v>2775</v>
      </c>
      <c r="G3520" s="75"/>
      <c r="H3520" s="96" t="str">
        <f>HYPERLINK("http://mirror.ff7data.com.ar/ff7/data/wm/world_us.lgp/cnd.p.png","View Picture")</f>
        <v>View Picture</v>
      </c>
      <c r="K3520" s="43"/>
    </row>
    <row r="3521">
      <c r="A3521" s="82"/>
      <c r="B3521" s="33" t="s">
        <v>32376</v>
      </c>
      <c r="C3521" s="42">
        <v>2348.0</v>
      </c>
      <c r="D3521" s="33" t="s">
        <v>32378</v>
      </c>
      <c r="E3521" s="74"/>
      <c r="F3521" s="46" t="s">
        <v>1348</v>
      </c>
      <c r="G3521" s="75"/>
      <c r="H3521" s="98" t="str">
        <f>HYPERLINK("http://mirror.ff7data.com.ar/ff7/data/wm/world_us.lgp/cndl_cl.tex.png","View Picture")</f>
        <v>View Picture</v>
      </c>
      <c r="K3521" s="43"/>
    </row>
    <row r="3522">
      <c r="A3522" s="82"/>
      <c r="B3522" s="33" t="s">
        <v>32386</v>
      </c>
      <c r="C3522" s="42">
        <v>4396.0</v>
      </c>
      <c r="D3522" s="33" t="s">
        <v>32388</v>
      </c>
      <c r="E3522" s="74"/>
      <c r="F3522" s="46" t="s">
        <v>1348</v>
      </c>
      <c r="G3522" s="75"/>
      <c r="H3522" s="98" t="str">
        <f>HYPERLINK("http://mirror.ff7data.com.ar/ff7/data/wm/world_us.lgp/cndlf.tex.png","View Picture")</f>
        <v>View Picture</v>
      </c>
      <c r="K3522" s="43"/>
    </row>
    <row r="3523">
      <c r="A3523" s="82"/>
      <c r="B3523" s="33" t="s">
        <v>32396</v>
      </c>
      <c r="C3523" s="42">
        <v>4396.0</v>
      </c>
      <c r="D3523" s="33" t="s">
        <v>32398</v>
      </c>
      <c r="E3523" s="74"/>
      <c r="F3523" s="46" t="s">
        <v>1348</v>
      </c>
      <c r="G3523" s="75"/>
      <c r="H3523" s="98" t="str">
        <f>HYPERLINK("http://mirror.ff7data.com.ar/ff7/data/wm/world_us.lgp/cndlf02.tex.png","View Picture")</f>
        <v>View Picture</v>
      </c>
      <c r="K3523" s="43"/>
    </row>
    <row r="3524">
      <c r="A3524" s="82"/>
      <c r="B3524" s="33" t="s">
        <v>32405</v>
      </c>
      <c r="C3524" s="42">
        <v>2348.0</v>
      </c>
      <c r="D3524" s="33" t="s">
        <v>32407</v>
      </c>
      <c r="E3524" s="74"/>
      <c r="F3524" s="46" t="s">
        <v>1348</v>
      </c>
      <c r="G3524" s="75"/>
      <c r="H3524" s="98" t="str">
        <f>HYPERLINK("http://mirror.ff7data.com.ar/ff7/data/wm/world_us.lgp/cne.tex.png","View Picture")</f>
        <v>View Picture</v>
      </c>
      <c r="K3524" s="43"/>
    </row>
    <row r="3525">
      <c r="A3525" s="82"/>
      <c r="B3525" s="33" t="s">
        <v>32415</v>
      </c>
      <c r="C3525" s="42">
        <v>1324.0</v>
      </c>
      <c r="D3525" s="33" t="s">
        <v>32417</v>
      </c>
      <c r="E3525" s="74"/>
      <c r="F3525" s="46" t="s">
        <v>1348</v>
      </c>
      <c r="G3525" s="75"/>
      <c r="H3525" s="98" t="str">
        <f>HYPERLINK("http://mirror.ff7data.com.ar/ff7/data/wm/world_us.lgp/coa.tex.png","View Picture")</f>
        <v>View Picture</v>
      </c>
      <c r="K3525" s="43"/>
    </row>
    <row r="3526">
      <c r="A3526" s="82"/>
      <c r="B3526" s="33" t="s">
        <v>32424</v>
      </c>
      <c r="C3526" s="42">
        <v>756.0</v>
      </c>
      <c r="D3526" s="33" t="s">
        <v>32427</v>
      </c>
      <c r="E3526" s="74"/>
      <c r="F3526" s="46" t="s">
        <v>3366</v>
      </c>
      <c r="G3526" s="75"/>
      <c r="H3526" s="74"/>
      <c r="K3526" s="43"/>
    </row>
    <row r="3527">
      <c r="A3527" s="82"/>
      <c r="B3527" s="33" t="s">
        <v>32429</v>
      </c>
      <c r="C3527" s="42">
        <v>79.0</v>
      </c>
      <c r="D3527" s="33" t="s">
        <v>32435</v>
      </c>
      <c r="E3527" s="74"/>
      <c r="F3527" s="46" t="s">
        <v>7609</v>
      </c>
      <c r="G3527" s="75"/>
      <c r="H3527" s="96" t="str">
        <f>HYPERLINK("http://mirror.ff7data.com.ar/ff7/data/wm/world_us.lgp/coc.hrc.png","View Picture")</f>
        <v>View Picture</v>
      </c>
      <c r="K3527" s="43"/>
    </row>
    <row r="3528">
      <c r="A3528" s="82"/>
      <c r="B3528" s="33" t="s">
        <v>32444</v>
      </c>
      <c r="C3528" s="42">
        <v>75.0</v>
      </c>
      <c r="D3528" s="33" t="s">
        <v>32447</v>
      </c>
      <c r="E3528" s="74"/>
      <c r="F3528" s="46" t="s">
        <v>2793</v>
      </c>
      <c r="G3528" s="75"/>
      <c r="H3528" s="96" t="str">
        <f>HYPERLINK("http://mirror.ff7data.com.ar/ff7/data/wm/world_us.lgp/cod.rsd.png","View Picture")</f>
        <v>View Picture</v>
      </c>
      <c r="K3528" s="43"/>
    </row>
    <row r="3529">
      <c r="A3529" s="82"/>
      <c r="B3529" s="33" t="s">
        <v>32455</v>
      </c>
      <c r="C3529" s="42">
        <v>2644.0</v>
      </c>
      <c r="D3529" s="33" t="s">
        <v>32447</v>
      </c>
      <c r="E3529" s="74"/>
      <c r="F3529" s="46" t="s">
        <v>2775</v>
      </c>
      <c r="G3529" s="75"/>
      <c r="H3529" s="96" t="str">
        <f>HYPERLINK("http://mirror.ff7data.com.ar/ff7/data/wm/world_us.lgp/coe.p.png","View Picture")</f>
        <v>View Picture</v>
      </c>
      <c r="K3529" s="43"/>
    </row>
    <row r="3530">
      <c r="A3530" s="55"/>
      <c r="B3530" s="33" t="s">
        <v>32465</v>
      </c>
      <c r="C3530" s="42">
        <v>812.0</v>
      </c>
      <c r="D3530" s="31"/>
      <c r="E3530" s="74"/>
      <c r="F3530" s="46" t="s">
        <v>1348</v>
      </c>
      <c r="G3530" s="75"/>
      <c r="H3530" s="98" t="str">
        <f>HYPERLINK("http://mirror.ff7data.com.ar/ff7/data/wm/world_us.lgp/comtr.tex.png","View Picture")</f>
        <v>View Picture</v>
      </c>
      <c r="K3530" s="43"/>
    </row>
    <row r="3531">
      <c r="A3531" s="55"/>
      <c r="B3531" s="33" t="s">
        <v>32472</v>
      </c>
      <c r="C3531" s="42">
        <v>1324.0</v>
      </c>
      <c r="D3531" s="31"/>
      <c r="E3531" s="74"/>
      <c r="F3531" s="46" t="s">
        <v>1348</v>
      </c>
      <c r="G3531" s="75"/>
      <c r="H3531" s="98" t="str">
        <f>HYPERLINK("http://mirror.ff7data.com.ar/ff7/data/wm/world_us.lgp/cosinn.tex.png","View Picture")</f>
        <v>View Picture</v>
      </c>
      <c r="K3531" s="43"/>
    </row>
    <row r="3532">
      <c r="A3532" s="55"/>
      <c r="B3532" s="33" t="s">
        <v>32481</v>
      </c>
      <c r="C3532" s="42">
        <v>1324.0</v>
      </c>
      <c r="D3532" s="31"/>
      <c r="E3532" s="74"/>
      <c r="F3532" s="46" t="s">
        <v>1348</v>
      </c>
      <c r="G3532" s="75"/>
      <c r="H3532" s="98" t="str">
        <f>HYPERLINK("http://mirror.ff7data.com.ar/ff7/data/wm/world_us.lgp/cosinn2.tex.png","View Picture")</f>
        <v>View Picture</v>
      </c>
      <c r="K3532" s="43"/>
    </row>
    <row r="3533">
      <c r="A3533" s="82"/>
      <c r="B3533" s="33" t="s">
        <v>32488</v>
      </c>
      <c r="C3533" s="42">
        <v>2348.0</v>
      </c>
      <c r="D3533" s="33" t="s">
        <v>32491</v>
      </c>
      <c r="E3533" s="74"/>
      <c r="F3533" s="46" t="s">
        <v>1348</v>
      </c>
      <c r="G3533" s="75"/>
      <c r="H3533" s="98" t="str">
        <f>HYPERLINK("http://mirror.ff7data.com.ar/ff7/data/wm/world_us.lgp/cpa.tex.png","View Picture")</f>
        <v>View Picture</v>
      </c>
      <c r="K3533" s="43"/>
    </row>
    <row r="3534">
      <c r="A3534" s="82"/>
      <c r="B3534" s="33" t="s">
        <v>32498</v>
      </c>
      <c r="C3534" s="42">
        <v>756.0</v>
      </c>
      <c r="D3534" s="33" t="s">
        <v>32500</v>
      </c>
      <c r="E3534" s="74"/>
      <c r="F3534" s="46" t="s">
        <v>3366</v>
      </c>
      <c r="G3534" s="75"/>
      <c r="H3534" s="74"/>
      <c r="K3534" s="43"/>
    </row>
    <row r="3535">
      <c r="A3535" s="82"/>
      <c r="B3535" s="33" t="s">
        <v>32508</v>
      </c>
      <c r="C3535" s="42">
        <v>82.0</v>
      </c>
      <c r="D3535" s="33" t="s">
        <v>32510</v>
      </c>
      <c r="E3535" s="74"/>
      <c r="F3535" s="46" t="s">
        <v>7609</v>
      </c>
      <c r="G3535" s="75"/>
      <c r="H3535" s="96" t="str">
        <f>HYPERLINK("http://mirror.ff7data.com.ar/ff7/data/wm/world_us.lgp/cpc.hrc.png","View Picture")</f>
        <v>View Picture</v>
      </c>
      <c r="K3535" s="43"/>
    </row>
    <row r="3536">
      <c r="A3536" s="82"/>
      <c r="B3536" s="33" t="s">
        <v>32519</v>
      </c>
      <c r="C3536" s="42">
        <v>131.0</v>
      </c>
      <c r="D3536" s="33" t="s">
        <v>32521</v>
      </c>
      <c r="E3536" s="74"/>
      <c r="F3536" s="46" t="s">
        <v>2793</v>
      </c>
      <c r="G3536" s="75"/>
      <c r="H3536" s="96" t="str">
        <f>HYPERLINK("http://mirror.ff7data.com.ar/ff7/data/wm/world_us.lgp/cpd.rsd.png","View Picture")</f>
        <v>View Picture</v>
      </c>
      <c r="K3536" s="43"/>
    </row>
    <row r="3537">
      <c r="A3537" s="82"/>
      <c r="B3537" s="33" t="s">
        <v>32529</v>
      </c>
      <c r="C3537" s="42">
        <v>3988.0</v>
      </c>
      <c r="D3537" s="33" t="s">
        <v>32521</v>
      </c>
      <c r="E3537" s="74"/>
      <c r="F3537" s="46" t="s">
        <v>2775</v>
      </c>
      <c r="G3537" s="75"/>
      <c r="H3537" s="96" t="str">
        <f>HYPERLINK("http://mirror.ff7data.com.ar/ff7/data/wm/world_us.lgp/cpe.p.png","View Picture")</f>
        <v>View Picture</v>
      </c>
      <c r="K3537" s="43"/>
    </row>
    <row r="3538">
      <c r="A3538" s="82"/>
      <c r="B3538" s="33" t="s">
        <v>32537</v>
      </c>
      <c r="C3538" s="42">
        <v>2348.0</v>
      </c>
      <c r="D3538" s="33" t="s">
        <v>32539</v>
      </c>
      <c r="E3538" s="74"/>
      <c r="F3538" s="46" t="s">
        <v>1348</v>
      </c>
      <c r="G3538" s="75"/>
      <c r="H3538" s="98" t="str">
        <f>HYPERLINK("http://mirror.ff7data.com.ar/ff7/data/wm/world_us.lgp/cqa.tex.png","View Picture")</f>
        <v>View Picture</v>
      </c>
      <c r="K3538" s="43"/>
    </row>
    <row r="3539">
      <c r="A3539" s="82"/>
      <c r="B3539" s="33" t="s">
        <v>32549</v>
      </c>
      <c r="C3539" s="42">
        <v>756.0</v>
      </c>
      <c r="D3539" s="33" t="s">
        <v>32551</v>
      </c>
      <c r="E3539" s="74"/>
      <c r="F3539" s="46" t="s">
        <v>3366</v>
      </c>
      <c r="G3539" s="75"/>
      <c r="H3539" s="74"/>
      <c r="K3539" s="43"/>
    </row>
    <row r="3540">
      <c r="A3540" s="82"/>
      <c r="B3540" s="33" t="s">
        <v>32553</v>
      </c>
      <c r="C3540" s="42">
        <v>1028.0</v>
      </c>
      <c r="D3540" s="33" t="s">
        <v>32555</v>
      </c>
      <c r="E3540" s="74"/>
      <c r="F3540" s="46" t="s">
        <v>7609</v>
      </c>
      <c r="G3540" s="75"/>
      <c r="H3540" s="96" t="str">
        <f>HYPERLINK("http://mirror.ff7data.com.ar/ff7/data/wm/world_us.lgp/cqc.hrc.png","View Picture")</f>
        <v>View Picture</v>
      </c>
      <c r="K3540" s="43"/>
    </row>
    <row r="3541">
      <c r="A3541" s="82"/>
      <c r="B3541" s="33" t="s">
        <v>32563</v>
      </c>
      <c r="C3541" s="42">
        <v>59.0</v>
      </c>
      <c r="D3541" s="33" t="s">
        <v>32564</v>
      </c>
      <c r="E3541" s="74"/>
      <c r="F3541" s="46" t="s">
        <v>2793</v>
      </c>
      <c r="G3541" s="75"/>
      <c r="H3541" s="96" t="str">
        <f>HYPERLINK("http://mirror.ff7data.com.ar/ff7/data/wm/world_us.lgp/cqd.rsd.png","View Picture")</f>
        <v>View Picture</v>
      </c>
      <c r="K3541" s="43"/>
    </row>
    <row r="3542">
      <c r="A3542" s="82"/>
      <c r="B3542" s="33" t="s">
        <v>32572</v>
      </c>
      <c r="C3542" s="42">
        <v>4136.0</v>
      </c>
      <c r="D3542" s="33" t="s">
        <v>32564</v>
      </c>
      <c r="E3542" s="74"/>
      <c r="F3542" s="46" t="s">
        <v>2775</v>
      </c>
      <c r="G3542" s="75"/>
      <c r="H3542" s="96" t="str">
        <f>HYPERLINK("http://mirror.ff7data.com.ar/ff7/data/wm/world_us.lgp/cqe.p.png","View Picture")</f>
        <v>View Picture</v>
      </c>
      <c r="K3542" s="43"/>
    </row>
    <row r="3543">
      <c r="A3543" s="82"/>
      <c r="B3543" s="33" t="s">
        <v>32581</v>
      </c>
      <c r="C3543" s="42">
        <v>59.0</v>
      </c>
      <c r="D3543" s="33" t="s">
        <v>32582</v>
      </c>
      <c r="E3543" s="74"/>
      <c r="F3543" s="46" t="s">
        <v>2793</v>
      </c>
      <c r="G3543" s="75"/>
      <c r="H3543" s="96" t="str">
        <f>HYPERLINK("http://mirror.ff7data.com.ar/ff7/data/wm/world_us.lgp/cra.rsd.png","View Picture")</f>
        <v>View Picture</v>
      </c>
      <c r="K3543" s="43"/>
    </row>
    <row r="3544">
      <c r="A3544" s="82"/>
      <c r="B3544" s="33" t="s">
        <v>32589</v>
      </c>
      <c r="C3544" s="42">
        <v>1196.0</v>
      </c>
      <c r="D3544" s="33" t="s">
        <v>32582</v>
      </c>
      <c r="E3544" s="74"/>
      <c r="F3544" s="46" t="s">
        <v>2775</v>
      </c>
      <c r="G3544" s="75"/>
      <c r="H3544" s="96" t="str">
        <f>HYPERLINK("http://mirror.ff7data.com.ar/ff7/data/wm/world_us.lgp/crb.p.png","View Picture")</f>
        <v>View Picture</v>
      </c>
      <c r="K3544" s="43"/>
    </row>
    <row r="3545">
      <c r="A3545" s="82"/>
      <c r="B3545" s="33" t="s">
        <v>32598</v>
      </c>
      <c r="C3545" s="42">
        <v>59.0</v>
      </c>
      <c r="D3545" s="33" t="s">
        <v>32599</v>
      </c>
      <c r="E3545" s="74"/>
      <c r="F3545" s="46" t="s">
        <v>2793</v>
      </c>
      <c r="G3545" s="75"/>
      <c r="H3545" s="96" t="str">
        <f>HYPERLINK("http://mirror.ff7data.com.ar/ff7/data/wm/world_us.lgp/crc.rsd.png","View Picture")</f>
        <v>View Picture</v>
      </c>
      <c r="K3545" s="43"/>
    </row>
    <row r="3546">
      <c r="A3546" s="82"/>
      <c r="B3546" s="33" t="s">
        <v>32607</v>
      </c>
      <c r="C3546" s="42">
        <v>776.0</v>
      </c>
      <c r="D3546" s="33" t="s">
        <v>32599</v>
      </c>
      <c r="E3546" s="74"/>
      <c r="F3546" s="46" t="s">
        <v>2775</v>
      </c>
      <c r="G3546" s="75"/>
      <c r="H3546" s="96" t="str">
        <f>HYPERLINK("http://mirror.ff7data.com.ar/ff7/data/wm/world_us.lgp/crd.p.png","View Picture")</f>
        <v>View Picture</v>
      </c>
      <c r="K3546" s="43"/>
    </row>
    <row r="3547">
      <c r="A3547" s="82"/>
      <c r="B3547" s="33" t="s">
        <v>32617</v>
      </c>
      <c r="C3547" s="42">
        <v>59.0</v>
      </c>
      <c r="D3547" s="33" t="s">
        <v>32618</v>
      </c>
      <c r="E3547" s="74"/>
      <c r="F3547" s="46" t="s">
        <v>2793</v>
      </c>
      <c r="G3547" s="75"/>
      <c r="H3547" s="96" t="str">
        <f>HYPERLINK("http://mirror.ff7data.com.ar/ff7/data/wm/world_us.lgp/cre.rsd.png","View Picture")</f>
        <v>View Picture</v>
      </c>
      <c r="K3547" s="43"/>
    </row>
    <row r="3548">
      <c r="A3548" s="82"/>
      <c r="B3548" s="33" t="s">
        <v>32626</v>
      </c>
      <c r="C3548" s="42">
        <v>1148.0</v>
      </c>
      <c r="D3548" s="33" t="s">
        <v>32618</v>
      </c>
      <c r="E3548" s="74"/>
      <c r="F3548" s="46" t="s">
        <v>2775</v>
      </c>
      <c r="G3548" s="75"/>
      <c r="H3548" s="96" t="str">
        <f>HYPERLINK("http://mirror.ff7data.com.ar/ff7/data/wm/world_us.lgp/csa.p.png","View Picture")</f>
        <v>View Picture</v>
      </c>
      <c r="K3548" s="43"/>
    </row>
    <row r="3549">
      <c r="A3549" s="82"/>
      <c r="B3549" s="33" t="s">
        <v>32635</v>
      </c>
      <c r="C3549" s="42">
        <v>59.0</v>
      </c>
      <c r="D3549" s="33" t="s">
        <v>32636</v>
      </c>
      <c r="E3549" s="74"/>
      <c r="F3549" s="46" t="s">
        <v>2793</v>
      </c>
      <c r="G3549" s="75"/>
      <c r="H3549" s="96" t="str">
        <f>HYPERLINK("http://mirror.ff7data.com.ar/ff7/data/wm/world_us.lgp/csb.rsd.png","View Picture")</f>
        <v>View Picture</v>
      </c>
      <c r="K3549" s="43"/>
    </row>
    <row r="3550">
      <c r="A3550" s="82"/>
      <c r="B3550" s="33" t="s">
        <v>32645</v>
      </c>
      <c r="C3550" s="42">
        <v>840.0</v>
      </c>
      <c r="D3550" s="33" t="s">
        <v>32636</v>
      </c>
      <c r="E3550" s="74"/>
      <c r="F3550" s="46" t="s">
        <v>2775</v>
      </c>
      <c r="G3550" s="75"/>
      <c r="H3550" s="96" t="str">
        <f>HYPERLINK("http://mirror.ff7data.com.ar/ff7/data/wm/world_us.lgp/csc.p.png","View Picture")</f>
        <v>View Picture</v>
      </c>
      <c r="K3550" s="43"/>
    </row>
    <row r="3551">
      <c r="A3551" s="82"/>
      <c r="B3551" s="33" t="s">
        <v>32655</v>
      </c>
      <c r="C3551" s="42">
        <v>59.0</v>
      </c>
      <c r="D3551" s="33" t="s">
        <v>32657</v>
      </c>
      <c r="E3551" s="74"/>
      <c r="F3551" s="46" t="s">
        <v>2793</v>
      </c>
      <c r="G3551" s="75"/>
      <c r="H3551" s="96" t="str">
        <f>HYPERLINK("http://mirror.ff7data.com.ar/ff7/data/wm/world_us.lgp/csd.rsd.png","View Picture")</f>
        <v>View Picture</v>
      </c>
      <c r="K3551" s="43"/>
    </row>
    <row r="3552">
      <c r="A3552" s="82"/>
      <c r="B3552" s="33" t="s">
        <v>32665</v>
      </c>
      <c r="C3552" s="42">
        <v>840.0</v>
      </c>
      <c r="D3552" s="33" t="s">
        <v>32657</v>
      </c>
      <c r="E3552" s="74"/>
      <c r="F3552" s="46" t="s">
        <v>2775</v>
      </c>
      <c r="G3552" s="75"/>
      <c r="H3552" s="96" t="str">
        <f>HYPERLINK("http://mirror.ff7data.com.ar/ff7/data/wm/world_us.lgp/cse.p.png","View Picture")</f>
        <v>View Picture</v>
      </c>
      <c r="K3552" s="43"/>
    </row>
    <row r="3553">
      <c r="A3553" s="55"/>
      <c r="B3553" s="33" t="s">
        <v>32678</v>
      </c>
      <c r="C3553" s="42">
        <v>1324.0</v>
      </c>
      <c r="D3553" s="31"/>
      <c r="E3553" s="74"/>
      <c r="F3553" s="46" t="s">
        <v>1348</v>
      </c>
      <c r="G3553" s="75"/>
      <c r="H3553" s="98" t="str">
        <f>HYPERLINK("http://mirror.ff7data.com.ar/ff7/data/wm/world_us.lgp/csmk.tex.png","View Picture")</f>
        <v>View Picture</v>
      </c>
      <c r="K3553" s="43"/>
    </row>
    <row r="3554">
      <c r="A3554" s="55"/>
      <c r="B3554" s="33" t="s">
        <v>32687</v>
      </c>
      <c r="C3554" s="42">
        <v>1324.0</v>
      </c>
      <c r="D3554" s="31"/>
      <c r="E3554" s="74"/>
      <c r="F3554" s="46" t="s">
        <v>1348</v>
      </c>
      <c r="G3554" s="75"/>
      <c r="H3554" s="98" t="str">
        <f>HYPERLINK("http://mirror.ff7data.com.ar/ff7/data/wm/world_us.lgp/csmk2.tex.png","View Picture")</f>
        <v>View Picture</v>
      </c>
      <c r="K3554" s="43"/>
    </row>
    <row r="3555">
      <c r="A3555" s="82"/>
      <c r="B3555" s="33" t="s">
        <v>32697</v>
      </c>
      <c r="C3555" s="42">
        <v>1324.0</v>
      </c>
      <c r="D3555" s="33" t="s">
        <v>32699</v>
      </c>
      <c r="E3555" s="74"/>
      <c r="F3555" s="46" t="s">
        <v>1348</v>
      </c>
      <c r="G3555" s="75"/>
      <c r="H3555" s="98" t="str">
        <f>HYPERLINK("http://mirror.ff7data.com.ar/ff7/data/wm/world_us.lgp/cstds01.tex.png","View Picture")</f>
        <v>View Picture</v>
      </c>
      <c r="K3555" s="43"/>
    </row>
    <row r="3556">
      <c r="A3556" s="82"/>
      <c r="B3556" s="33" t="s">
        <v>32706</v>
      </c>
      <c r="C3556" s="42">
        <v>4396.0</v>
      </c>
      <c r="D3556" s="33" t="s">
        <v>32708</v>
      </c>
      <c r="E3556" s="74"/>
      <c r="F3556" s="46" t="s">
        <v>1348</v>
      </c>
      <c r="G3556" s="75"/>
      <c r="H3556" s="98" t="str">
        <f>HYPERLINK("http://mirror.ff7data.com.ar/ff7/data/wm/world_us.lgp/cstds02.tex.png","View Picture")</f>
        <v>View Picture</v>
      </c>
      <c r="K3556" s="43"/>
    </row>
    <row r="3557">
      <c r="A3557" s="82"/>
      <c r="B3557" s="33" t="s">
        <v>32712</v>
      </c>
      <c r="C3557" s="42">
        <v>59.0</v>
      </c>
      <c r="D3557" s="33" t="s">
        <v>32713</v>
      </c>
      <c r="E3557" s="74"/>
      <c r="F3557" s="46" t="s">
        <v>2793</v>
      </c>
      <c r="G3557" s="75"/>
      <c r="H3557" s="96" t="str">
        <f>HYPERLINK("http://mirror.ff7data.com.ar/ff7/data/wm/world_us.lgp/cta.rsd.png","View Picture")</f>
        <v>View Picture</v>
      </c>
      <c r="K3557" s="43"/>
    </row>
    <row r="3558">
      <c r="A3558" s="82"/>
      <c r="B3558" s="33" t="s">
        <v>32721</v>
      </c>
      <c r="C3558" s="42">
        <v>840.0</v>
      </c>
      <c r="D3558" s="33" t="s">
        <v>32713</v>
      </c>
      <c r="E3558" s="74"/>
      <c r="F3558" s="46" t="s">
        <v>2775</v>
      </c>
      <c r="G3558" s="75"/>
      <c r="H3558" s="96" t="str">
        <f>HYPERLINK("http://mirror.ff7data.com.ar/ff7/data/wm/world_us.lgp/ctb.p.png","View Picture")</f>
        <v>View Picture</v>
      </c>
      <c r="K3558" s="43"/>
    </row>
    <row r="3559">
      <c r="A3559" s="82"/>
      <c r="B3559" s="33" t="s">
        <v>32730</v>
      </c>
      <c r="C3559" s="42">
        <v>59.0</v>
      </c>
      <c r="D3559" s="33" t="s">
        <v>32731</v>
      </c>
      <c r="E3559" s="74"/>
      <c r="F3559" s="46" t="s">
        <v>2793</v>
      </c>
      <c r="G3559" s="75"/>
      <c r="H3559" s="96" t="str">
        <f>HYPERLINK("http://mirror.ff7data.com.ar/ff7/data/wm/world_us.lgp/ctc.rsd.png","View Picture")</f>
        <v>View Picture</v>
      </c>
      <c r="K3559" s="43"/>
    </row>
    <row r="3560">
      <c r="A3560" s="82"/>
      <c r="B3560" s="33" t="s">
        <v>32739</v>
      </c>
      <c r="C3560" s="42">
        <v>840.0</v>
      </c>
      <c r="D3560" s="33" t="s">
        <v>32731</v>
      </c>
      <c r="E3560" s="74"/>
      <c r="F3560" s="46" t="s">
        <v>2775</v>
      </c>
      <c r="G3560" s="75"/>
      <c r="H3560" s="96" t="str">
        <f>HYPERLINK("http://mirror.ff7data.com.ar/ff7/data/wm/world_us.lgp/ctd.p.png","View Picture")</f>
        <v>View Picture</v>
      </c>
      <c r="K3560" s="43"/>
    </row>
    <row r="3561">
      <c r="A3561" s="82"/>
      <c r="B3561" s="33" t="s">
        <v>32746</v>
      </c>
      <c r="C3561" s="42">
        <v>59.0</v>
      </c>
      <c r="D3561" s="33" t="s">
        <v>32748</v>
      </c>
      <c r="E3561" s="74"/>
      <c r="F3561" s="46" t="s">
        <v>2793</v>
      </c>
      <c r="G3561" s="75"/>
      <c r="H3561" s="96" t="str">
        <f>HYPERLINK("http://mirror.ff7data.com.ar/ff7/data/wm/world_us.lgp/cte.rsd.png","View Picture")</f>
        <v>View Picture</v>
      </c>
      <c r="K3561" s="43"/>
    </row>
    <row r="3562">
      <c r="A3562" s="82"/>
      <c r="B3562" s="33" t="s">
        <v>32755</v>
      </c>
      <c r="C3562" s="42">
        <v>748.0</v>
      </c>
      <c r="D3562" s="33" t="s">
        <v>32748</v>
      </c>
      <c r="E3562" s="74"/>
      <c r="F3562" s="46" t="s">
        <v>2775</v>
      </c>
      <c r="G3562" s="75"/>
      <c r="H3562" s="96" t="str">
        <f>HYPERLINK("http://mirror.ff7data.com.ar/ff7/data/wm/world_us.lgp/cua.p.png","View Picture")</f>
        <v>View Picture</v>
      </c>
      <c r="K3562" s="43"/>
    </row>
    <row r="3563">
      <c r="A3563" s="82"/>
      <c r="B3563" s="33" t="s">
        <v>32763</v>
      </c>
      <c r="C3563" s="42">
        <v>59.0</v>
      </c>
      <c r="D3563" s="33" t="s">
        <v>32764</v>
      </c>
      <c r="E3563" s="74"/>
      <c r="F3563" s="46" t="s">
        <v>2793</v>
      </c>
      <c r="G3563" s="75"/>
      <c r="H3563" s="96" t="str">
        <f>HYPERLINK("http://mirror.ff7data.com.ar/ff7/data/wm/world_us.lgp/cub.rsd.png","View Picture")</f>
        <v>View Picture</v>
      </c>
      <c r="K3563" s="43"/>
    </row>
    <row r="3564">
      <c r="A3564" s="82"/>
      <c r="B3564" s="33" t="s">
        <v>32772</v>
      </c>
      <c r="C3564" s="42">
        <v>548.0</v>
      </c>
      <c r="D3564" s="33" t="s">
        <v>32764</v>
      </c>
      <c r="E3564" s="74"/>
      <c r="F3564" s="46" t="s">
        <v>2775</v>
      </c>
      <c r="G3564" s="75"/>
      <c r="H3564" s="96" t="str">
        <f>HYPERLINK("http://mirror.ff7data.com.ar/ff7/data/wm/world_us.lgp/cuc.p.png","View Picture")</f>
        <v>View Picture</v>
      </c>
      <c r="K3564" s="43"/>
    </row>
    <row r="3565">
      <c r="A3565" s="82"/>
      <c r="B3565" s="33" t="s">
        <v>32784</v>
      </c>
      <c r="C3565" s="42">
        <v>59.0</v>
      </c>
      <c r="D3565" s="33" t="s">
        <v>32785</v>
      </c>
      <c r="E3565" s="74"/>
      <c r="F3565" s="46" t="s">
        <v>2793</v>
      </c>
      <c r="G3565" s="75"/>
      <c r="H3565" s="96" t="str">
        <f>HYPERLINK("http://mirror.ff7data.com.ar/ff7/data/wm/world_us.lgp/cud.rsd.png","View Picture")</f>
        <v>View Picture</v>
      </c>
      <c r="K3565" s="43"/>
    </row>
    <row r="3566">
      <c r="A3566" s="82"/>
      <c r="B3566" s="33" t="s">
        <v>32793</v>
      </c>
      <c r="C3566" s="42">
        <v>548.0</v>
      </c>
      <c r="D3566" s="33" t="s">
        <v>32785</v>
      </c>
      <c r="E3566" s="74"/>
      <c r="F3566" s="46" t="s">
        <v>2775</v>
      </c>
      <c r="G3566" s="75"/>
      <c r="H3566" s="96" t="str">
        <f>HYPERLINK("http://mirror.ff7data.com.ar/ff7/data/wm/world_us.lgp/cue.p.png","View Picture")</f>
        <v>View Picture</v>
      </c>
      <c r="K3566" s="43"/>
    </row>
    <row r="3567">
      <c r="A3567" s="82"/>
      <c r="B3567" s="33" t="s">
        <v>32802</v>
      </c>
      <c r="C3567" s="42">
        <v>59.0</v>
      </c>
      <c r="D3567" s="33" t="s">
        <v>32803</v>
      </c>
      <c r="E3567" s="74"/>
      <c r="F3567" s="46" t="s">
        <v>2793</v>
      </c>
      <c r="G3567" s="75"/>
      <c r="H3567" s="96" t="str">
        <f>HYPERLINK("http://mirror.ff7data.com.ar/ff7/data/wm/world_us.lgp/cva.rsd.png","View Picture")</f>
        <v>View Picture</v>
      </c>
      <c r="K3567" s="43"/>
    </row>
    <row r="3568">
      <c r="A3568" s="82"/>
      <c r="B3568" s="33" t="s">
        <v>32814</v>
      </c>
      <c r="C3568" s="42">
        <v>548.0</v>
      </c>
      <c r="D3568" s="33" t="s">
        <v>32803</v>
      </c>
      <c r="E3568" s="74"/>
      <c r="F3568" s="46" t="s">
        <v>2775</v>
      </c>
      <c r="G3568" s="75"/>
      <c r="H3568" s="96" t="str">
        <f>HYPERLINK("http://mirror.ff7data.com.ar/ff7/data/wm/world_us.lgp/cvb.p.png","View Picture")</f>
        <v>View Picture</v>
      </c>
      <c r="K3568" s="43"/>
    </row>
    <row r="3569">
      <c r="A3569" s="82"/>
      <c r="B3569" s="33" t="s">
        <v>32824</v>
      </c>
      <c r="C3569" s="42">
        <v>59.0</v>
      </c>
      <c r="D3569" s="33" t="s">
        <v>32827</v>
      </c>
      <c r="E3569" s="74"/>
      <c r="F3569" s="46" t="s">
        <v>2793</v>
      </c>
      <c r="G3569" s="75"/>
      <c r="H3569" s="96" t="str">
        <f>HYPERLINK("http://mirror.ff7data.com.ar/ff7/data/wm/world_us.lgp/cvc.rsd.png","View Picture")</f>
        <v>View Picture</v>
      </c>
      <c r="K3569" s="43"/>
    </row>
    <row r="3570">
      <c r="A3570" s="82"/>
      <c r="B3570" s="33" t="s">
        <v>32835</v>
      </c>
      <c r="C3570" s="42">
        <v>872.0</v>
      </c>
      <c r="D3570" s="33" t="s">
        <v>32827</v>
      </c>
      <c r="E3570" s="74"/>
      <c r="F3570" s="46" t="s">
        <v>2775</v>
      </c>
      <c r="G3570" s="75"/>
      <c r="H3570" s="96" t="str">
        <f>HYPERLINK("http://mirror.ff7data.com.ar/ff7/data/wm/world_us.lgp/cvd.p.png","View Picture")</f>
        <v>View Picture</v>
      </c>
      <c r="K3570" s="43"/>
    </row>
    <row r="3571">
      <c r="A3571" s="82"/>
      <c r="B3571" s="33" t="s">
        <v>32844</v>
      </c>
      <c r="C3571" s="42">
        <v>59.0</v>
      </c>
      <c r="D3571" s="33" t="s">
        <v>32845</v>
      </c>
      <c r="E3571" s="74"/>
      <c r="F3571" s="46" t="s">
        <v>2793</v>
      </c>
      <c r="G3571" s="75"/>
      <c r="H3571" s="96" t="str">
        <f>HYPERLINK("http://mirror.ff7data.com.ar/ff7/data/wm/world_us.lgp/cve.rsd.png","View Picture")</f>
        <v>View Picture</v>
      </c>
      <c r="K3571" s="43"/>
    </row>
    <row r="3572">
      <c r="A3572" s="82"/>
      <c r="B3572" s="33" t="s">
        <v>32853</v>
      </c>
      <c r="C3572" s="42">
        <v>872.0</v>
      </c>
      <c r="D3572" s="33" t="s">
        <v>32845</v>
      </c>
      <c r="E3572" s="74"/>
      <c r="F3572" s="46" t="s">
        <v>2775</v>
      </c>
      <c r="G3572" s="75"/>
      <c r="H3572" s="96" t="str">
        <f>HYPERLINK("http://mirror.ff7data.com.ar/ff7/data/wm/world_us.lgp/cwa.p.png","View Picture")</f>
        <v>View Picture</v>
      </c>
      <c r="K3572" s="43"/>
    </row>
    <row r="3573">
      <c r="A3573" s="82"/>
      <c r="B3573" s="33" t="s">
        <v>32862</v>
      </c>
      <c r="C3573" s="42">
        <v>59.0</v>
      </c>
      <c r="D3573" s="33" t="s">
        <v>32863</v>
      </c>
      <c r="E3573" s="74"/>
      <c r="F3573" s="46" t="s">
        <v>2793</v>
      </c>
      <c r="G3573" s="75"/>
      <c r="H3573" s="96" t="str">
        <f>HYPERLINK("http://mirror.ff7data.com.ar/ff7/data/wm/world_us.lgp/cwb.rsd.png","View Picture")</f>
        <v>View Picture</v>
      </c>
      <c r="K3573" s="43"/>
    </row>
    <row r="3574">
      <c r="A3574" s="82"/>
      <c r="B3574" s="33" t="s">
        <v>32871</v>
      </c>
      <c r="C3574" s="42">
        <v>872.0</v>
      </c>
      <c r="D3574" s="33" t="s">
        <v>32863</v>
      </c>
      <c r="E3574" s="74"/>
      <c r="F3574" s="46" t="s">
        <v>2775</v>
      </c>
      <c r="G3574" s="75"/>
      <c r="H3574" s="96" t="str">
        <f>HYPERLINK("http://mirror.ff7data.com.ar/ff7/data/wm/world_us.lgp/cwc.p.png","View Picture")</f>
        <v>View Picture</v>
      </c>
      <c r="K3574" s="43"/>
    </row>
    <row r="3575">
      <c r="A3575" s="82"/>
      <c r="B3575" s="33" t="s">
        <v>32882</v>
      </c>
      <c r="C3575" s="42">
        <v>59.0</v>
      </c>
      <c r="D3575" s="33" t="s">
        <v>32883</v>
      </c>
      <c r="E3575" s="74"/>
      <c r="F3575" s="46" t="s">
        <v>2793</v>
      </c>
      <c r="G3575" s="75"/>
      <c r="H3575" s="96" t="str">
        <f>HYPERLINK("http://mirror.ff7data.com.ar/ff7/data/wm/world_us.lgp/cwd.rsd.png","View Picture")</f>
        <v>View Picture</v>
      </c>
      <c r="K3575" s="43"/>
    </row>
    <row r="3576">
      <c r="A3576" s="82"/>
      <c r="B3576" s="33" t="s">
        <v>32898</v>
      </c>
      <c r="C3576" s="42">
        <v>872.0</v>
      </c>
      <c r="D3576" s="33" t="s">
        <v>32883</v>
      </c>
      <c r="E3576" s="74"/>
      <c r="F3576" s="46" t="s">
        <v>2775</v>
      </c>
      <c r="G3576" s="75"/>
      <c r="H3576" s="96" t="str">
        <f>HYPERLINK("http://mirror.ff7data.com.ar/ff7/data/wm/world_us.lgp/cwe.p.png","View Picture")</f>
        <v>View Picture</v>
      </c>
      <c r="K3576" s="43"/>
    </row>
    <row r="3577">
      <c r="A3577" s="82"/>
      <c r="B3577" s="33" t="s">
        <v>32903</v>
      </c>
      <c r="C3577" s="42">
        <v>59.0</v>
      </c>
      <c r="D3577" s="33" t="s">
        <v>32905</v>
      </c>
      <c r="E3577" s="74"/>
      <c r="F3577" s="46" t="s">
        <v>2793</v>
      </c>
      <c r="G3577" s="75"/>
      <c r="H3577" s="96" t="str">
        <f>HYPERLINK("http://mirror.ff7data.com.ar/ff7/data/wm/world_us.lgp/cxa.rsd.png","View Picture")</f>
        <v>View Picture</v>
      </c>
      <c r="K3577" s="43"/>
    </row>
    <row r="3578">
      <c r="A3578" s="82"/>
      <c r="B3578" s="33" t="s">
        <v>32913</v>
      </c>
      <c r="C3578" s="42">
        <v>1732.0</v>
      </c>
      <c r="D3578" s="33" t="s">
        <v>32905</v>
      </c>
      <c r="E3578" s="74"/>
      <c r="F3578" s="46" t="s">
        <v>2775</v>
      </c>
      <c r="G3578" s="75"/>
      <c r="H3578" s="96" t="str">
        <f>HYPERLINK("http://mirror.ff7data.com.ar/ff7/data/wm/world_us.lgp/cxb.p.png","View Picture")</f>
        <v>View Picture</v>
      </c>
      <c r="K3578" s="43"/>
    </row>
    <row r="3579">
      <c r="A3579" s="82"/>
      <c r="B3579" s="33" t="s">
        <v>32920</v>
      </c>
      <c r="C3579" s="42">
        <v>59.0</v>
      </c>
      <c r="D3579" s="33" t="s">
        <v>32923</v>
      </c>
      <c r="E3579" s="74"/>
      <c r="F3579" s="46" t="s">
        <v>2793</v>
      </c>
      <c r="G3579" s="75"/>
      <c r="H3579" s="96" t="str">
        <f>HYPERLINK("http://mirror.ff7data.com.ar/ff7/data/wm/world_us.lgp/cxc.rsd.png","View Picture")</f>
        <v>View Picture</v>
      </c>
      <c r="K3579" s="43"/>
    </row>
    <row r="3580">
      <c r="A3580" s="82"/>
      <c r="B3580" s="33" t="s">
        <v>32931</v>
      </c>
      <c r="C3580" s="42">
        <v>548.0</v>
      </c>
      <c r="D3580" s="33" t="s">
        <v>32923</v>
      </c>
      <c r="E3580" s="74"/>
      <c r="F3580" s="46" t="s">
        <v>2775</v>
      </c>
      <c r="G3580" s="75"/>
      <c r="H3580" s="96" t="str">
        <f>HYPERLINK("http://mirror.ff7data.com.ar/ff7/data/wm/world_us.lgp/cxd.p.png","View Picture")</f>
        <v>View Picture</v>
      </c>
      <c r="K3580" s="43"/>
    </row>
    <row r="3581">
      <c r="A3581" s="82"/>
      <c r="B3581" s="33" t="s">
        <v>32939</v>
      </c>
      <c r="C3581" s="42">
        <v>59.0</v>
      </c>
      <c r="D3581" s="33" t="s">
        <v>32582</v>
      </c>
      <c r="E3581" s="74"/>
      <c r="F3581" s="46" t="s">
        <v>2793</v>
      </c>
      <c r="G3581" s="75"/>
      <c r="H3581" s="96" t="str">
        <f>HYPERLINK("http://mirror.ff7data.com.ar/ff7/data/wm/world_us.lgp/cxe.rsd.png","View Picture")</f>
        <v>View Picture</v>
      </c>
      <c r="K3581" s="43"/>
    </row>
    <row r="3582">
      <c r="A3582" s="82"/>
      <c r="B3582" s="33" t="s">
        <v>32948</v>
      </c>
      <c r="C3582" s="42">
        <v>1196.0</v>
      </c>
      <c r="D3582" s="33" t="s">
        <v>32582</v>
      </c>
      <c r="E3582" s="74"/>
      <c r="F3582" s="46" t="s">
        <v>2775</v>
      </c>
      <c r="G3582" s="75"/>
      <c r="H3582" s="96" t="str">
        <f>HYPERLINK("http://mirror.ff7data.com.ar/ff7/data/wm/world_us.lgp/cya.p.png","View Picture")</f>
        <v>View Picture</v>
      </c>
      <c r="K3582" s="43"/>
    </row>
    <row r="3583">
      <c r="A3583" s="82"/>
      <c r="B3583" s="33" t="s">
        <v>32955</v>
      </c>
      <c r="C3583" s="42">
        <v>59.0</v>
      </c>
      <c r="D3583" s="33" t="s">
        <v>32599</v>
      </c>
      <c r="E3583" s="74"/>
      <c r="F3583" s="46" t="s">
        <v>2793</v>
      </c>
      <c r="G3583" s="75"/>
      <c r="H3583" s="96" t="str">
        <f>HYPERLINK("http://mirror.ff7data.com.ar/ff7/data/wm/world_us.lgp/cyb.rsd.png","View Picture")</f>
        <v>View Picture</v>
      </c>
      <c r="K3583" s="43"/>
    </row>
    <row r="3584">
      <c r="A3584" s="82"/>
      <c r="B3584" s="33" t="s">
        <v>32963</v>
      </c>
      <c r="C3584" s="42">
        <v>776.0</v>
      </c>
      <c r="D3584" s="33" t="s">
        <v>32599</v>
      </c>
      <c r="E3584" s="74"/>
      <c r="F3584" s="46" t="s">
        <v>2775</v>
      </c>
      <c r="G3584" s="75"/>
      <c r="H3584" s="96" t="str">
        <f>HYPERLINK("http://mirror.ff7data.com.ar/ff7/data/wm/world_us.lgp/cyc.p.png","View Picture")</f>
        <v>View Picture</v>
      </c>
      <c r="K3584" s="43"/>
    </row>
    <row r="3585">
      <c r="A3585" s="82"/>
      <c r="B3585" s="33" t="s">
        <v>32970</v>
      </c>
      <c r="C3585" s="42">
        <v>59.0</v>
      </c>
      <c r="D3585" s="33" t="s">
        <v>32618</v>
      </c>
      <c r="E3585" s="74"/>
      <c r="F3585" s="46" t="s">
        <v>2793</v>
      </c>
      <c r="G3585" s="75"/>
      <c r="H3585" s="96" t="str">
        <f>HYPERLINK("http://mirror.ff7data.com.ar/ff7/data/wm/world_us.lgp/cyd.rsd.png","View Picture")</f>
        <v>View Picture</v>
      </c>
      <c r="K3585" s="43"/>
    </row>
    <row r="3586">
      <c r="A3586" s="82"/>
      <c r="B3586" s="33" t="s">
        <v>32981</v>
      </c>
      <c r="C3586" s="42">
        <v>1148.0</v>
      </c>
      <c r="D3586" s="33" t="s">
        <v>32618</v>
      </c>
      <c r="E3586" s="74"/>
      <c r="F3586" s="46" t="s">
        <v>2775</v>
      </c>
      <c r="G3586" s="75"/>
      <c r="H3586" s="96" t="str">
        <f>HYPERLINK("http://mirror.ff7data.com.ar/ff7/data/wm/world_us.lgp/cye.p.png","View Picture")</f>
        <v>View Picture</v>
      </c>
      <c r="K3586" s="43"/>
    </row>
    <row r="3587">
      <c r="A3587" s="82"/>
      <c r="B3587" s="33" t="s">
        <v>32991</v>
      </c>
      <c r="C3587" s="42">
        <v>59.0</v>
      </c>
      <c r="D3587" s="33" t="s">
        <v>32636</v>
      </c>
      <c r="E3587" s="74"/>
      <c r="F3587" s="46" t="s">
        <v>2793</v>
      </c>
      <c r="G3587" s="75"/>
      <c r="H3587" s="96" t="str">
        <f>HYPERLINK("http://mirror.ff7data.com.ar/ff7/data/wm/world_us.lgp/cza.rsd.png","View Picture")</f>
        <v>View Picture</v>
      </c>
      <c r="K3587" s="43"/>
    </row>
    <row r="3588">
      <c r="A3588" s="82"/>
      <c r="B3588" s="33" t="s">
        <v>33002</v>
      </c>
      <c r="C3588" s="42">
        <v>840.0</v>
      </c>
      <c r="D3588" s="33" t="s">
        <v>32636</v>
      </c>
      <c r="E3588" s="74"/>
      <c r="F3588" s="46" t="s">
        <v>2775</v>
      </c>
      <c r="G3588" s="75"/>
      <c r="H3588" s="96" t="str">
        <f>HYPERLINK("http://mirror.ff7data.com.ar/ff7/data/wm/world_us.lgp/czb.p.png","View Picture")</f>
        <v>View Picture</v>
      </c>
      <c r="K3588" s="43"/>
    </row>
    <row r="3589">
      <c r="A3589" s="82"/>
      <c r="B3589" s="33" t="s">
        <v>33012</v>
      </c>
      <c r="C3589" s="42">
        <v>59.0</v>
      </c>
      <c r="D3589" s="33" t="s">
        <v>32657</v>
      </c>
      <c r="E3589" s="74"/>
      <c r="F3589" s="46" t="s">
        <v>2793</v>
      </c>
      <c r="G3589" s="75"/>
      <c r="H3589" s="96" t="str">
        <f>HYPERLINK("http://mirror.ff7data.com.ar/ff7/data/wm/world_us.lgp/czc.rsd.png","View Picture")</f>
        <v>View Picture</v>
      </c>
      <c r="K3589" s="43"/>
    </row>
    <row r="3590">
      <c r="A3590" s="82"/>
      <c r="B3590" s="33" t="s">
        <v>33020</v>
      </c>
      <c r="C3590" s="42">
        <v>840.0</v>
      </c>
      <c r="D3590" s="33" t="s">
        <v>32657</v>
      </c>
      <c r="E3590" s="74"/>
      <c r="F3590" s="46" t="s">
        <v>2775</v>
      </c>
      <c r="G3590" s="75"/>
      <c r="H3590" s="96" t="str">
        <f>HYPERLINK("http://mirror.ff7data.com.ar/ff7/data/wm/world_us.lgp/czd.p.png","View Picture")</f>
        <v>View Picture</v>
      </c>
      <c r="K3590" s="43"/>
    </row>
    <row r="3591">
      <c r="A3591" s="82"/>
      <c r="B3591" s="33" t="s">
        <v>33030</v>
      </c>
      <c r="C3591" s="42">
        <v>59.0</v>
      </c>
      <c r="D3591" s="33" t="s">
        <v>32713</v>
      </c>
      <c r="E3591" s="74"/>
      <c r="F3591" s="46" t="s">
        <v>2793</v>
      </c>
      <c r="G3591" s="75"/>
      <c r="H3591" s="96" t="str">
        <f>HYPERLINK("http://mirror.ff7data.com.ar/ff7/data/wm/world_us.lgp/cze.rsd.png","View Picture")</f>
        <v>View Picture</v>
      </c>
      <c r="K3591" s="43"/>
    </row>
    <row r="3592">
      <c r="A3592" s="82"/>
      <c r="B3592" s="33" t="s">
        <v>33039</v>
      </c>
      <c r="C3592" s="42">
        <v>840.0</v>
      </c>
      <c r="D3592" s="33" t="s">
        <v>32713</v>
      </c>
      <c r="E3592" s="74"/>
      <c r="F3592" s="46" t="s">
        <v>2775</v>
      </c>
      <c r="G3592" s="75"/>
      <c r="H3592" s="96" t="str">
        <f>HYPERLINK("http://mirror.ff7data.com.ar/ff7/data/wm/world_us.lgp/daa.p.png","View Picture")</f>
        <v>View Picture</v>
      </c>
      <c r="K3592" s="43"/>
    </row>
    <row r="3593">
      <c r="A3593" s="82"/>
      <c r="B3593" s="33" t="s">
        <v>33047</v>
      </c>
      <c r="C3593" s="42">
        <v>59.0</v>
      </c>
      <c r="D3593" s="33" t="s">
        <v>32731</v>
      </c>
      <c r="E3593" s="74"/>
      <c r="F3593" s="46" t="s">
        <v>2793</v>
      </c>
      <c r="G3593" s="75"/>
      <c r="H3593" s="96" t="str">
        <f>HYPERLINK("http://mirror.ff7data.com.ar/ff7/data/wm/world_us.lgp/dab.rsd.png","View Picture")</f>
        <v>View Picture</v>
      </c>
      <c r="K3593" s="43"/>
    </row>
    <row r="3594">
      <c r="A3594" s="82"/>
      <c r="B3594" s="33" t="s">
        <v>33055</v>
      </c>
      <c r="C3594" s="42">
        <v>840.0</v>
      </c>
      <c r="D3594" s="33" t="s">
        <v>32731</v>
      </c>
      <c r="E3594" s="74"/>
      <c r="F3594" s="46" t="s">
        <v>2775</v>
      </c>
      <c r="G3594" s="75"/>
      <c r="H3594" s="96" t="str">
        <f>HYPERLINK("http://mirror.ff7data.com.ar/ff7/data/wm/world_us.lgp/dac.p.png","View Picture")</f>
        <v>View Picture</v>
      </c>
      <c r="K3594" s="43"/>
    </row>
    <row r="3595">
      <c r="A3595" s="82"/>
      <c r="B3595" s="33" t="s">
        <v>33065</v>
      </c>
      <c r="C3595" s="42">
        <v>59.0</v>
      </c>
      <c r="D3595" s="33" t="s">
        <v>32748</v>
      </c>
      <c r="E3595" s="74"/>
      <c r="F3595" s="46" t="s">
        <v>2793</v>
      </c>
      <c r="G3595" s="75"/>
      <c r="H3595" s="96" t="str">
        <f>HYPERLINK("http://mirror.ff7data.com.ar/ff7/data/wm/world_us.lgp/dad.rsd.png","View Picture")</f>
        <v>View Picture</v>
      </c>
      <c r="K3595" s="43"/>
    </row>
    <row r="3596">
      <c r="A3596" s="82"/>
      <c r="B3596" s="33" t="s">
        <v>33075</v>
      </c>
      <c r="C3596" s="42">
        <v>748.0</v>
      </c>
      <c r="D3596" s="33" t="s">
        <v>32748</v>
      </c>
      <c r="E3596" s="74"/>
      <c r="F3596" s="46" t="s">
        <v>2775</v>
      </c>
      <c r="G3596" s="75"/>
      <c r="H3596" s="96" t="str">
        <f>HYPERLINK("http://mirror.ff7data.com.ar/ff7/data/wm/world_us.lgp/dae.p.png","View Picture")</f>
        <v>View Picture</v>
      </c>
      <c r="K3596" s="43"/>
    </row>
    <row r="3597">
      <c r="A3597" s="82"/>
      <c r="B3597" s="33" t="s">
        <v>33091</v>
      </c>
      <c r="C3597" s="42">
        <v>59.0</v>
      </c>
      <c r="D3597" s="33" t="s">
        <v>32764</v>
      </c>
      <c r="E3597" s="74"/>
      <c r="F3597" s="46" t="s">
        <v>2793</v>
      </c>
      <c r="G3597" s="75"/>
      <c r="H3597" s="96" t="str">
        <f>HYPERLINK("http://mirror.ff7data.com.ar/ff7/data/wm/world_us.lgp/dba.rsd.png","View Picture")</f>
        <v>View Picture</v>
      </c>
      <c r="K3597" s="43"/>
    </row>
    <row r="3598">
      <c r="A3598" s="82"/>
      <c r="B3598" s="33" t="s">
        <v>33104</v>
      </c>
      <c r="C3598" s="42">
        <v>548.0</v>
      </c>
      <c r="D3598" s="33" t="s">
        <v>32764</v>
      </c>
      <c r="E3598" s="74"/>
      <c r="F3598" s="46" t="s">
        <v>2775</v>
      </c>
      <c r="G3598" s="75"/>
      <c r="H3598" s="96" t="str">
        <f>HYPERLINK("http://mirror.ff7data.com.ar/ff7/data/wm/world_us.lgp/dbb.p.png","View Picture")</f>
        <v>View Picture</v>
      </c>
      <c r="K3598" s="43"/>
    </row>
    <row r="3599">
      <c r="A3599" s="82"/>
      <c r="B3599" s="33" t="s">
        <v>33115</v>
      </c>
      <c r="C3599" s="42">
        <v>59.0</v>
      </c>
      <c r="D3599" s="33" t="s">
        <v>32785</v>
      </c>
      <c r="E3599" s="74"/>
      <c r="F3599" s="46" t="s">
        <v>2793</v>
      </c>
      <c r="G3599" s="75"/>
      <c r="H3599" s="96" t="str">
        <f>HYPERLINK("http://mirror.ff7data.com.ar/ff7/data/wm/world_us.lgp/dbc.rsd.png","View Picture")</f>
        <v>View Picture</v>
      </c>
      <c r="K3599" s="43"/>
    </row>
    <row r="3600">
      <c r="A3600" s="82"/>
      <c r="B3600" s="33" t="s">
        <v>33120</v>
      </c>
      <c r="C3600" s="42">
        <v>548.0</v>
      </c>
      <c r="D3600" s="33" t="s">
        <v>32785</v>
      </c>
      <c r="E3600" s="74"/>
      <c r="F3600" s="46" t="s">
        <v>2775</v>
      </c>
      <c r="G3600" s="75"/>
      <c r="H3600" s="96" t="str">
        <f>HYPERLINK("http://mirror.ff7data.com.ar/ff7/data/wm/world_us.lgp/dbd.p.png","View Picture")</f>
        <v>View Picture</v>
      </c>
      <c r="K3600" s="43"/>
    </row>
    <row r="3601">
      <c r="A3601" s="82"/>
      <c r="B3601" s="33" t="s">
        <v>33129</v>
      </c>
      <c r="C3601" s="42">
        <v>59.0</v>
      </c>
      <c r="D3601" s="33" t="s">
        <v>32803</v>
      </c>
      <c r="E3601" s="74"/>
      <c r="F3601" s="46" t="s">
        <v>2793</v>
      </c>
      <c r="G3601" s="75"/>
      <c r="H3601" s="96" t="str">
        <f>HYPERLINK("http://mirror.ff7data.com.ar/ff7/data/wm/world_us.lgp/dbe.rsd.png","View Picture")</f>
        <v>View Picture</v>
      </c>
      <c r="K3601" s="43"/>
    </row>
    <row r="3602">
      <c r="A3602" s="82"/>
      <c r="B3602" s="33" t="s">
        <v>33138</v>
      </c>
      <c r="C3602" s="42">
        <v>548.0</v>
      </c>
      <c r="D3602" s="33" t="s">
        <v>32803</v>
      </c>
      <c r="E3602" s="74"/>
      <c r="F3602" s="46" t="s">
        <v>2775</v>
      </c>
      <c r="G3602" s="75"/>
      <c r="H3602" s="96" t="str">
        <f>HYPERLINK("http://mirror.ff7data.com.ar/ff7/data/wm/world_us.lgp/dca.p.png","View Picture")</f>
        <v>View Picture</v>
      </c>
      <c r="K3602" s="43"/>
    </row>
    <row r="3603">
      <c r="A3603" s="82"/>
      <c r="B3603" s="33" t="s">
        <v>33146</v>
      </c>
      <c r="C3603" s="42">
        <v>59.0</v>
      </c>
      <c r="D3603" s="33" t="s">
        <v>33148</v>
      </c>
      <c r="E3603" s="74"/>
      <c r="F3603" s="46" t="s">
        <v>2793</v>
      </c>
      <c r="G3603" s="75"/>
      <c r="H3603" s="96" t="str">
        <f>HYPERLINK("http://mirror.ff7data.com.ar/ff7/data/wm/world_us.lgp/dcb.rsd.png","View Picture")</f>
        <v>View Picture</v>
      </c>
      <c r="K3603" s="43"/>
    </row>
    <row r="3604">
      <c r="A3604" s="82"/>
      <c r="B3604" s="33" t="s">
        <v>33155</v>
      </c>
      <c r="C3604" s="42">
        <v>4340.0</v>
      </c>
      <c r="D3604" s="33" t="s">
        <v>33148</v>
      </c>
      <c r="E3604" s="74"/>
      <c r="F3604" s="46" t="s">
        <v>2775</v>
      </c>
      <c r="G3604" s="75"/>
      <c r="H3604" s="96" t="str">
        <f>HYPERLINK("http://mirror.ff7data.com.ar/ff7/data/wm/world_us.lgp/dcc.p.png","View Picture")</f>
        <v>View Picture</v>
      </c>
      <c r="K3604" s="43"/>
    </row>
    <row r="3605">
      <c r="A3605" s="82"/>
      <c r="B3605" s="33" t="s">
        <v>33170</v>
      </c>
      <c r="C3605" s="42">
        <v>59.0</v>
      </c>
      <c r="D3605" s="33" t="s">
        <v>33171</v>
      </c>
      <c r="E3605" s="74"/>
      <c r="F3605" s="46" t="s">
        <v>2793</v>
      </c>
      <c r="G3605" s="75"/>
      <c r="H3605" s="96" t="str">
        <f>HYPERLINK("http://mirror.ff7data.com.ar/ff7/data/wm/world_us.lgp/dcd.rsd.png","View Picture")</f>
        <v>View Picture</v>
      </c>
      <c r="K3605" s="43"/>
    </row>
    <row r="3606">
      <c r="A3606" s="82"/>
      <c r="B3606" s="33" t="s">
        <v>33184</v>
      </c>
      <c r="C3606" s="42">
        <v>5600.0</v>
      </c>
      <c r="D3606" s="33" t="s">
        <v>33171</v>
      </c>
      <c r="E3606" s="74"/>
      <c r="F3606" s="46" t="s">
        <v>2775</v>
      </c>
      <c r="G3606" s="75"/>
      <c r="H3606" s="96" t="str">
        <f>HYPERLINK("http://mirror.ff7data.com.ar/ff7/data/wm/world_us.lgp/dce.p.png","View Picture")</f>
        <v>View Picture</v>
      </c>
      <c r="K3606" s="43"/>
    </row>
    <row r="3607">
      <c r="A3607" s="82"/>
      <c r="B3607" s="33" t="s">
        <v>33191</v>
      </c>
      <c r="C3607" s="42">
        <v>22356.0</v>
      </c>
      <c r="D3607" s="33" t="s">
        <v>33193</v>
      </c>
      <c r="E3607" s="74"/>
      <c r="F3607" s="46" t="s">
        <v>3366</v>
      </c>
      <c r="G3607" s="75"/>
      <c r="H3607" s="74"/>
      <c r="K3607" s="43"/>
    </row>
    <row r="3608">
      <c r="A3608" s="82"/>
      <c r="B3608" s="33" t="s">
        <v>33195</v>
      </c>
      <c r="C3608" s="42">
        <v>22356.0</v>
      </c>
      <c r="D3608" s="33" t="s">
        <v>33196</v>
      </c>
      <c r="E3608" s="74"/>
      <c r="F3608" s="46" t="s">
        <v>3366</v>
      </c>
      <c r="G3608" s="75"/>
      <c r="H3608" s="74"/>
      <c r="K3608" s="43"/>
    </row>
    <row r="3609">
      <c r="A3609" s="82"/>
      <c r="B3609" s="33" t="s">
        <v>33199</v>
      </c>
      <c r="C3609" s="42">
        <v>22356.0</v>
      </c>
      <c r="D3609" s="33" t="s">
        <v>33201</v>
      </c>
      <c r="E3609" s="74"/>
      <c r="F3609" s="46" t="s">
        <v>3366</v>
      </c>
      <c r="G3609" s="75"/>
      <c r="H3609" s="74"/>
      <c r="K3609" s="43"/>
    </row>
    <row r="3610">
      <c r="A3610" s="82"/>
      <c r="B3610" s="33" t="s">
        <v>33203</v>
      </c>
      <c r="C3610" s="42">
        <v>287.0</v>
      </c>
      <c r="D3610" s="33" t="s">
        <v>33205</v>
      </c>
      <c r="E3610" s="74"/>
      <c r="F3610" s="46" t="s">
        <v>7609</v>
      </c>
      <c r="G3610" s="75"/>
      <c r="H3610" s="96" t="str">
        <f>HYPERLINK("http://mirror.ff7data.com.ar/ff7/data/wm/world_us.lgp/ddd.hrc.png","View Picture")</f>
        <v>View Picture</v>
      </c>
      <c r="K3610" s="43"/>
    </row>
    <row r="3611">
      <c r="A3611" s="82"/>
      <c r="B3611" s="33" t="s">
        <v>33213</v>
      </c>
      <c r="C3611" s="42">
        <v>142.0</v>
      </c>
      <c r="D3611" s="33" t="s">
        <v>33214</v>
      </c>
      <c r="E3611" s="74"/>
      <c r="F3611" s="46" t="s">
        <v>2793</v>
      </c>
      <c r="G3611" s="75"/>
      <c r="H3611" s="96" t="str">
        <f>HYPERLINK("http://mirror.ff7data.com.ar/ff7/data/wm/world_us.lgp/dde.rsd.png","View Picture")</f>
        <v>View Picture</v>
      </c>
      <c r="K3611" s="43"/>
    </row>
    <row r="3612">
      <c r="A3612" s="82"/>
      <c r="B3612" s="33" t="s">
        <v>33222</v>
      </c>
      <c r="C3612" s="42">
        <v>11644.0</v>
      </c>
      <c r="D3612" s="33" t="s">
        <v>33214</v>
      </c>
      <c r="E3612" s="74"/>
      <c r="F3612" s="46" t="s">
        <v>2775</v>
      </c>
      <c r="G3612" s="75"/>
      <c r="H3612" s="96" t="str">
        <f>HYPERLINK("http://mirror.ff7data.com.ar/ff7/data/wm/world_us.lgp/dea.p.png","View Picture")</f>
        <v>View Picture</v>
      </c>
      <c r="K3612" s="43"/>
    </row>
    <row r="3613">
      <c r="A3613" s="82"/>
      <c r="B3613" s="33" t="s">
        <v>33230</v>
      </c>
      <c r="C3613" s="42">
        <v>142.0</v>
      </c>
      <c r="D3613" s="33" t="s">
        <v>33232</v>
      </c>
      <c r="E3613" s="74"/>
      <c r="F3613" s="46" t="s">
        <v>2793</v>
      </c>
      <c r="G3613" s="75"/>
      <c r="H3613" s="96" t="str">
        <f>HYPERLINK("http://mirror.ff7data.com.ar/ff7/data/wm/world_us.lgp/deb.rsd.png","View Picture")</f>
        <v>View Picture</v>
      </c>
      <c r="K3613" s="43"/>
    </row>
    <row r="3614">
      <c r="A3614" s="82"/>
      <c r="B3614" s="33" t="s">
        <v>33242</v>
      </c>
      <c r="C3614" s="42">
        <v>864.0</v>
      </c>
      <c r="D3614" s="33" t="s">
        <v>33232</v>
      </c>
      <c r="E3614" s="74"/>
      <c r="F3614" s="46" t="s">
        <v>2775</v>
      </c>
      <c r="G3614" s="75"/>
      <c r="H3614" s="96" t="str">
        <f>HYPERLINK("http://mirror.ff7data.com.ar/ff7/data/wm/world_us.lgp/dec.p.png","View Picture")</f>
        <v>View Picture</v>
      </c>
      <c r="K3614" s="43"/>
    </row>
    <row r="3615">
      <c r="A3615" s="82"/>
      <c r="B3615" s="33" t="s">
        <v>33250</v>
      </c>
      <c r="C3615" s="42">
        <v>142.0</v>
      </c>
      <c r="D3615" s="33" t="s">
        <v>33252</v>
      </c>
      <c r="E3615" s="74"/>
      <c r="F3615" s="46" t="s">
        <v>2793</v>
      </c>
      <c r="G3615" s="75"/>
      <c r="H3615" s="96" t="str">
        <f>HYPERLINK("http://mirror.ff7data.com.ar/ff7/data/wm/world_us.lgp/ded.rsd.png","View Picture")</f>
        <v>View Picture</v>
      </c>
      <c r="K3615" s="43"/>
    </row>
    <row r="3616">
      <c r="A3616" s="82"/>
      <c r="B3616" s="33" t="s">
        <v>33260</v>
      </c>
      <c r="C3616" s="42">
        <v>12372.0</v>
      </c>
      <c r="D3616" s="33" t="s">
        <v>33252</v>
      </c>
      <c r="E3616" s="74"/>
      <c r="F3616" s="46" t="s">
        <v>2775</v>
      </c>
      <c r="G3616" s="75"/>
      <c r="H3616" s="96" t="str">
        <f>HYPERLINK("http://mirror.ff7data.com.ar/ff7/data/wm/world_us.lgp/dee.p.png","View Picture")</f>
        <v>View Picture</v>
      </c>
      <c r="K3616" s="43"/>
    </row>
    <row r="3617" ht="22.5" customHeight="1">
      <c r="A3617" s="40"/>
      <c r="B3617" s="33" t="s">
        <v>33269</v>
      </c>
      <c r="C3617" s="42">
        <v>1324.0</v>
      </c>
      <c r="D3617" s="33" t="s">
        <v>33271</v>
      </c>
      <c r="E3617" s="74"/>
      <c r="F3617" s="46" t="s">
        <v>1348</v>
      </c>
      <c r="G3617" s="46" t="s">
        <v>33273</v>
      </c>
      <c r="H3617" s="98" t="str">
        <f>HYPERLINK("http://mirror.ff7data.com.ar/ff7/data/wm/world_us.lgp/des01.tex.png","View Picture")</f>
        <v>View Picture</v>
      </c>
      <c r="K3617" s="43"/>
    </row>
    <row r="3618" ht="22.5" customHeight="1">
      <c r="A3618" s="40"/>
      <c r="B3618" s="33" t="s">
        <v>33281</v>
      </c>
      <c r="C3618" s="42">
        <v>1324.0</v>
      </c>
      <c r="D3618" s="33" t="s">
        <v>33282</v>
      </c>
      <c r="E3618" s="74"/>
      <c r="F3618" s="46" t="s">
        <v>1348</v>
      </c>
      <c r="G3618" s="46" t="s">
        <v>33273</v>
      </c>
      <c r="H3618" s="98" t="str">
        <f>HYPERLINK("http://mirror.ff7data.com.ar/ff7/data/wm/world_us.lgp/des02.tex.png","View Picture")</f>
        <v>View Picture</v>
      </c>
      <c r="K3618" s="43"/>
    </row>
    <row r="3619" ht="22.5" customHeight="1">
      <c r="A3619" s="40"/>
      <c r="B3619" s="33" t="s">
        <v>33290</v>
      </c>
      <c r="C3619" s="42">
        <v>1324.0</v>
      </c>
      <c r="D3619" s="33" t="s">
        <v>33292</v>
      </c>
      <c r="E3619" s="74"/>
      <c r="F3619" s="46" t="s">
        <v>1348</v>
      </c>
      <c r="G3619" s="46" t="s">
        <v>33273</v>
      </c>
      <c r="H3619" s="98" t="str">
        <f>HYPERLINK("http://mirror.ff7data.com.ar/ff7/data/wm/world_us.lgp/des03.tex.png","View Picture")</f>
        <v>View Picture</v>
      </c>
      <c r="K3619" s="43"/>
    </row>
    <row r="3620" ht="22.5" customHeight="1">
      <c r="A3620" s="40"/>
      <c r="B3620" s="33" t="s">
        <v>33300</v>
      </c>
      <c r="C3620" s="42">
        <v>1324.0</v>
      </c>
      <c r="D3620" s="33" t="s">
        <v>33301</v>
      </c>
      <c r="E3620" s="74"/>
      <c r="F3620" s="46" t="s">
        <v>1348</v>
      </c>
      <c r="G3620" s="46" t="s">
        <v>33273</v>
      </c>
      <c r="H3620" s="98" t="str">
        <f>HYPERLINK("http://mirror.ff7data.com.ar/ff7/data/wm/world_us.lgp/des04.tex.png","View Picture")</f>
        <v>View Picture</v>
      </c>
      <c r="K3620" s="43"/>
    </row>
    <row r="3621">
      <c r="A3621" s="40"/>
      <c r="B3621" s="33" t="s">
        <v>33309</v>
      </c>
      <c r="C3621" s="42">
        <v>4396.0</v>
      </c>
      <c r="D3621" s="33" t="s">
        <v>33312</v>
      </c>
      <c r="E3621" s="74"/>
      <c r="F3621" s="46" t="s">
        <v>1348</v>
      </c>
      <c r="G3621" s="46" t="s">
        <v>33314</v>
      </c>
      <c r="H3621" s="98" t="str">
        <f>HYPERLINK("http://mirror.ff7data.com.ar/ff7/data/wm/world_us.lgp/desert.tex.png","View Picture")</f>
        <v>View Picture</v>
      </c>
      <c r="K3621" s="43"/>
    </row>
    <row r="3622">
      <c r="A3622" s="82"/>
      <c r="B3622" s="33" t="s">
        <v>33320</v>
      </c>
      <c r="C3622" s="42">
        <v>2348.0</v>
      </c>
      <c r="D3622" s="33" t="s">
        <v>33322</v>
      </c>
      <c r="E3622" s="74"/>
      <c r="F3622" s="46" t="s">
        <v>1348</v>
      </c>
      <c r="G3622" s="75"/>
      <c r="H3622" s="98" t="str">
        <f>HYPERLINK("http://mirror.ff7data.com.ar/ff7/data/wm/world_us.lgp/desor.tex.png","View Picture")</f>
        <v>View Picture</v>
      </c>
      <c r="K3622" s="43"/>
    </row>
    <row r="3623">
      <c r="A3623" s="82"/>
      <c r="B3623" s="33" t="s">
        <v>33330</v>
      </c>
      <c r="C3623" s="42">
        <v>59.0</v>
      </c>
      <c r="D3623" s="33" t="s">
        <v>33331</v>
      </c>
      <c r="E3623" s="74"/>
      <c r="F3623" s="46" t="s">
        <v>2793</v>
      </c>
      <c r="G3623" s="75"/>
      <c r="H3623" s="96" t="str">
        <f>HYPERLINK("http://mirror.ff7data.com.ar/ff7/data/wm/world_us.lgp/dfa.rsd.png","View Picture")</f>
        <v>View Picture</v>
      </c>
      <c r="K3623" s="43"/>
    </row>
    <row r="3624">
      <c r="A3624" s="82"/>
      <c r="B3624" s="33" t="s">
        <v>33339</v>
      </c>
      <c r="C3624" s="42">
        <v>848.0</v>
      </c>
      <c r="D3624" s="33" t="s">
        <v>33331</v>
      </c>
      <c r="E3624" s="74"/>
      <c r="F3624" s="46" t="s">
        <v>2775</v>
      </c>
      <c r="G3624" s="75"/>
      <c r="H3624" s="96" t="str">
        <f>HYPERLINK("http://mirror.ff7data.com.ar/ff7/data/wm/world_us.lgp/dfb.p.png","View Picture")</f>
        <v>View Picture</v>
      </c>
      <c r="K3624" s="43"/>
    </row>
    <row r="3625">
      <c r="A3625" s="82"/>
      <c r="B3625" s="33" t="s">
        <v>33354</v>
      </c>
      <c r="C3625" s="42">
        <v>59.0</v>
      </c>
      <c r="D3625" s="33" t="s">
        <v>33356</v>
      </c>
      <c r="E3625" s="74"/>
      <c r="F3625" s="46" t="s">
        <v>2793</v>
      </c>
      <c r="G3625" s="75"/>
      <c r="H3625" s="96" t="str">
        <f>HYPERLINK("http://mirror.ff7data.com.ar/ff7/data/wm/world_us.lgp/dfc.rsd.png","View Picture")</f>
        <v>View Picture</v>
      </c>
      <c r="K3625" s="43"/>
    </row>
    <row r="3626">
      <c r="A3626" s="82"/>
      <c r="B3626" s="33" t="s">
        <v>33366</v>
      </c>
      <c r="C3626" s="42">
        <v>848.0</v>
      </c>
      <c r="D3626" s="33" t="s">
        <v>33356</v>
      </c>
      <c r="E3626" s="74"/>
      <c r="F3626" s="46" t="s">
        <v>2775</v>
      </c>
      <c r="G3626" s="75"/>
      <c r="H3626" s="96" t="str">
        <f>HYPERLINK("http://mirror.ff7data.com.ar/ff7/data/wm/world_us.lgp/dfd.p.png","View Picture")</f>
        <v>View Picture</v>
      </c>
      <c r="K3626" s="43"/>
    </row>
    <row r="3627">
      <c r="A3627" s="82"/>
      <c r="B3627" s="33" t="s">
        <v>33376</v>
      </c>
      <c r="C3627" s="42">
        <v>684.0</v>
      </c>
      <c r="D3627" s="33" t="s">
        <v>33377</v>
      </c>
      <c r="E3627" s="74"/>
      <c r="F3627" s="46" t="s">
        <v>3366</v>
      </c>
      <c r="G3627" s="75"/>
      <c r="H3627" s="74"/>
      <c r="K3627" s="43"/>
    </row>
    <row r="3628">
      <c r="A3628" s="82"/>
      <c r="B3628" s="33" t="s">
        <v>33380</v>
      </c>
      <c r="C3628" s="42">
        <v>67436.0</v>
      </c>
      <c r="D3628" s="33" t="s">
        <v>33381</v>
      </c>
      <c r="E3628" s="74"/>
      <c r="F3628" s="46" t="s">
        <v>1348</v>
      </c>
      <c r="G3628" s="75"/>
      <c r="H3628" s="98" t="str">
        <f>HYPERLINK("http://mirror.ff7data.com.ar/ff7/data/wm/world_us.lgp/dfx.tex.png","View Picture")</f>
        <v>View Picture</v>
      </c>
      <c r="K3628" s="43"/>
    </row>
    <row r="3629">
      <c r="A3629" s="82"/>
      <c r="B3629" s="33" t="s">
        <v>33389</v>
      </c>
      <c r="C3629" s="42">
        <v>287.0</v>
      </c>
      <c r="D3629" s="33" t="s">
        <v>33391</v>
      </c>
      <c r="E3629" s="74"/>
      <c r="F3629" s="46" t="s">
        <v>7609</v>
      </c>
      <c r="G3629" s="75"/>
      <c r="H3629" s="96" t="str">
        <f>HYPERLINK("http://mirror.ff7data.com.ar/ff7/data/wm/world_us.lgp/dga.hrc.png","View Picture")</f>
        <v>View Picture</v>
      </c>
      <c r="K3629" s="43"/>
    </row>
    <row r="3630">
      <c r="A3630" s="82"/>
      <c r="B3630" s="33" t="s">
        <v>33398</v>
      </c>
      <c r="C3630" s="42">
        <v>142.0</v>
      </c>
      <c r="D3630" s="33" t="s">
        <v>33400</v>
      </c>
      <c r="E3630" s="74"/>
      <c r="F3630" s="46" t="s">
        <v>2793</v>
      </c>
      <c r="G3630" s="75"/>
      <c r="H3630" s="96" t="str">
        <f>HYPERLINK("http://mirror.ff7data.com.ar/ff7/data/wm/world_us.lgp/dgb.rsd.png","View Picture")</f>
        <v>View Picture</v>
      </c>
      <c r="K3630" s="43"/>
    </row>
    <row r="3631">
      <c r="A3631" s="82"/>
      <c r="B3631" s="33" t="s">
        <v>33407</v>
      </c>
      <c r="C3631" s="42">
        <v>12428.0</v>
      </c>
      <c r="D3631" s="33" t="s">
        <v>33400</v>
      </c>
      <c r="E3631" s="74"/>
      <c r="F3631" s="46" t="s">
        <v>2775</v>
      </c>
      <c r="G3631" s="75"/>
      <c r="H3631" s="96" t="str">
        <f>HYPERLINK("http://mirror.ff7data.com.ar/ff7/data/wm/world_us.lgp/dgc.p.png","View Picture")</f>
        <v>View Picture</v>
      </c>
      <c r="K3631" s="43"/>
    </row>
    <row r="3632">
      <c r="A3632" s="82"/>
      <c r="B3632" s="33" t="s">
        <v>33416</v>
      </c>
      <c r="C3632" s="42">
        <v>142.0</v>
      </c>
      <c r="D3632" s="33" t="s">
        <v>33418</v>
      </c>
      <c r="E3632" s="74"/>
      <c r="F3632" s="46" t="s">
        <v>2793</v>
      </c>
      <c r="G3632" s="75"/>
      <c r="H3632" s="96" t="str">
        <f>HYPERLINK("http://mirror.ff7data.com.ar/ff7/data/wm/world_us.lgp/dgd.rsd.png","View Picture")</f>
        <v>View Picture</v>
      </c>
      <c r="K3632" s="43"/>
    </row>
    <row r="3633">
      <c r="A3633" s="82"/>
      <c r="B3633" s="33" t="s">
        <v>33426</v>
      </c>
      <c r="C3633" s="42">
        <v>992.0</v>
      </c>
      <c r="D3633" s="33" t="s">
        <v>33418</v>
      </c>
      <c r="E3633" s="74"/>
      <c r="F3633" s="46" t="s">
        <v>2775</v>
      </c>
      <c r="G3633" s="75"/>
      <c r="H3633" s="96" t="str">
        <f>HYPERLINK("http://mirror.ff7data.com.ar/ff7/data/wm/world_us.lgp/dge.p.png","View Picture")</f>
        <v>View Picture</v>
      </c>
      <c r="K3633" s="43"/>
    </row>
    <row r="3634">
      <c r="A3634" s="82"/>
      <c r="B3634" s="33" t="s">
        <v>33434</v>
      </c>
      <c r="C3634" s="42">
        <v>142.0</v>
      </c>
      <c r="D3634" s="33" t="s">
        <v>33436</v>
      </c>
      <c r="E3634" s="74"/>
      <c r="F3634" s="46" t="s">
        <v>2793</v>
      </c>
      <c r="G3634" s="75"/>
      <c r="H3634" s="96" t="str">
        <f>HYPERLINK("http://mirror.ff7data.com.ar/ff7/data/wm/world_us.lgp/dha.rsd.png","View Picture")</f>
        <v>View Picture</v>
      </c>
      <c r="K3634" s="43"/>
    </row>
    <row r="3635">
      <c r="A3635" s="82"/>
      <c r="B3635" s="33" t="s">
        <v>33444</v>
      </c>
      <c r="C3635" s="42">
        <v>12328.0</v>
      </c>
      <c r="D3635" s="33" t="s">
        <v>33436</v>
      </c>
      <c r="E3635" s="74"/>
      <c r="F3635" s="46" t="s">
        <v>2775</v>
      </c>
      <c r="G3635" s="75"/>
      <c r="H3635" s="96" t="str">
        <f>HYPERLINK("http://mirror.ff7data.com.ar/ff7/data/wm/world_us.lgp/dhb.p.png","View Picture")</f>
        <v>View Picture</v>
      </c>
      <c r="K3635" s="43"/>
    </row>
    <row r="3636">
      <c r="A3636" s="82"/>
      <c r="B3636" s="33" t="s">
        <v>33453</v>
      </c>
      <c r="C3636" s="42">
        <v>142.0</v>
      </c>
      <c r="D3636" s="33" t="s">
        <v>33455</v>
      </c>
      <c r="E3636" s="74"/>
      <c r="F3636" s="46" t="s">
        <v>2793</v>
      </c>
      <c r="G3636" s="75"/>
      <c r="H3636" s="96" t="str">
        <f>HYPERLINK("http://mirror.ff7data.com.ar/ff7/data/wm/world_us.lgp/dhc.rsd.png","View Picture")</f>
        <v>View Picture</v>
      </c>
      <c r="K3636" s="43"/>
    </row>
    <row r="3637">
      <c r="A3637" s="82"/>
      <c r="B3637" s="33" t="s">
        <v>33461</v>
      </c>
      <c r="C3637" s="42">
        <v>1000.0</v>
      </c>
      <c r="D3637" s="33" t="s">
        <v>33455</v>
      </c>
      <c r="E3637" s="74"/>
      <c r="F3637" s="46" t="s">
        <v>2775</v>
      </c>
      <c r="G3637" s="75"/>
      <c r="H3637" s="96" t="str">
        <f>HYPERLINK("http://mirror.ff7data.com.ar/ff7/data/wm/world_us.lgp/dhd.p.png","View Picture")</f>
        <v>View Picture</v>
      </c>
      <c r="K3637" s="43"/>
    </row>
    <row r="3638">
      <c r="A3638" s="82"/>
      <c r="B3638" s="33" t="s">
        <v>33469</v>
      </c>
      <c r="C3638" s="42">
        <v>142.0</v>
      </c>
      <c r="D3638" s="33" t="s">
        <v>33471</v>
      </c>
      <c r="E3638" s="74"/>
      <c r="F3638" s="46" t="s">
        <v>2793</v>
      </c>
      <c r="G3638" s="75"/>
      <c r="H3638" s="96" t="str">
        <f>HYPERLINK("http://mirror.ff7data.com.ar/ff7/data/wm/world_us.lgp/dhe.rsd.png","View Picture")</f>
        <v>View Picture</v>
      </c>
      <c r="K3638" s="43"/>
    </row>
    <row r="3639">
      <c r="A3639" s="82"/>
      <c r="B3639" s="33" t="s">
        <v>33478</v>
      </c>
      <c r="C3639" s="42">
        <v>1000.0</v>
      </c>
      <c r="D3639" s="33" t="s">
        <v>33471</v>
      </c>
      <c r="E3639" s="74"/>
      <c r="F3639" s="46" t="s">
        <v>2775</v>
      </c>
      <c r="G3639" s="75"/>
      <c r="H3639" s="96" t="str">
        <f>HYPERLINK("http://mirror.ff7data.com.ar/ff7/data/wm/world_us.lgp/dia.p.png","View Picture")</f>
        <v>View Picture</v>
      </c>
      <c r="K3639" s="43"/>
    </row>
    <row r="3640">
      <c r="A3640" s="82"/>
      <c r="B3640" s="33" t="s">
        <v>33485</v>
      </c>
      <c r="C3640" s="42">
        <v>684.0</v>
      </c>
      <c r="D3640" s="33" t="s">
        <v>33487</v>
      </c>
      <c r="E3640" s="74"/>
      <c r="F3640" s="46" t="s">
        <v>3366</v>
      </c>
      <c r="G3640" s="75"/>
      <c r="H3640" s="74"/>
      <c r="K3640" s="43"/>
    </row>
    <row r="3641">
      <c r="A3641" s="82"/>
      <c r="B3641" s="33" t="s">
        <v>33490</v>
      </c>
      <c r="C3641" s="42">
        <v>80.0</v>
      </c>
      <c r="D3641" s="141" t="s">
        <v>33492</v>
      </c>
      <c r="E3641" s="74"/>
      <c r="F3641" s="46" t="s">
        <v>29313</v>
      </c>
      <c r="G3641" s="75"/>
      <c r="H3641" s="96" t="str">
        <f>HYPERLINK("http://mirror.ff7data.com.ar/ff7/data/wm/world_us.lgp/dic.hrc.png","View Picture")</f>
        <v>View Picture</v>
      </c>
      <c r="K3641" s="43"/>
    </row>
    <row r="3642">
      <c r="A3642" s="55"/>
      <c r="B3642" s="33" t="s">
        <v>33498</v>
      </c>
      <c r="C3642" s="42">
        <v>75.0</v>
      </c>
      <c r="D3642" s="31"/>
      <c r="E3642" s="74"/>
      <c r="F3642" s="46" t="s">
        <v>2793</v>
      </c>
      <c r="G3642" s="75"/>
      <c r="H3642" s="96" t="str">
        <f>HYPERLINK("http://mirror.ff7data.com.ar/ff7/data/wm/world_us.lgp/did.rsd.png","View Picture")</f>
        <v>View Picture</v>
      </c>
      <c r="K3642" s="43"/>
    </row>
    <row r="3643">
      <c r="A3643" s="55"/>
      <c r="B3643" s="33" t="s">
        <v>33506</v>
      </c>
      <c r="C3643" s="42">
        <v>6844.0</v>
      </c>
      <c r="D3643" s="31"/>
      <c r="E3643" s="74"/>
      <c r="F3643" s="46" t="s">
        <v>2775</v>
      </c>
      <c r="G3643" s="75"/>
      <c r="H3643" s="96" t="str">
        <f>HYPERLINK("http://mirror.ff7data.com.ar/ff7/data/wm/world_us.lgp/die.p.png","View Picture")</f>
        <v>View Picture</v>
      </c>
      <c r="K3643" s="43"/>
    </row>
    <row r="3644">
      <c r="A3644" s="55"/>
      <c r="B3644" s="33" t="s">
        <v>33514</v>
      </c>
      <c r="C3644" s="42">
        <v>4396.0</v>
      </c>
      <c r="D3644" s="31"/>
      <c r="E3644" s="74"/>
      <c r="F3644" s="46" t="s">
        <v>1348</v>
      </c>
      <c r="G3644" s="75"/>
      <c r="H3644" s="98" t="str">
        <f>HYPERLINK("http://mirror.ff7data.com.ar/ff7/data/wm/world_us.lgp/dja.tex.png","View Picture")</f>
        <v>View Picture</v>
      </c>
      <c r="K3644" s="43"/>
    </row>
    <row r="3645">
      <c r="A3645" s="55"/>
      <c r="B3645" s="33" t="s">
        <v>33522</v>
      </c>
      <c r="C3645" s="42">
        <v>756.0</v>
      </c>
      <c r="D3645" s="31"/>
      <c r="E3645" s="74"/>
      <c r="F3645" s="46" t="s">
        <v>3366</v>
      </c>
      <c r="G3645" s="75"/>
      <c r="H3645" s="74"/>
      <c r="K3645" s="43"/>
    </row>
    <row r="3646">
      <c r="A3646" s="82"/>
      <c r="B3646" s="33" t="s">
        <v>33526</v>
      </c>
      <c r="C3646" s="42">
        <v>78.0</v>
      </c>
      <c r="D3646" s="33" t="s">
        <v>33528</v>
      </c>
      <c r="E3646" s="74"/>
      <c r="F3646" s="46" t="s">
        <v>7609</v>
      </c>
      <c r="G3646" s="75"/>
      <c r="H3646" s="96" t="str">
        <f>HYPERLINK("http://mirror.ff7data.com.ar/ff7/data/wm/world_us.lgp/djc.hrc.png","View Picture")</f>
        <v>View Picture</v>
      </c>
      <c r="K3646" s="43"/>
    </row>
    <row r="3647">
      <c r="A3647" s="82"/>
      <c r="B3647" s="33" t="s">
        <v>33534</v>
      </c>
      <c r="C3647" s="42">
        <v>75.0</v>
      </c>
      <c r="D3647" s="33" t="s">
        <v>33537</v>
      </c>
      <c r="E3647" s="74"/>
      <c r="F3647" s="46" t="s">
        <v>2793</v>
      </c>
      <c r="G3647" s="75"/>
      <c r="H3647" s="96" t="str">
        <f>HYPERLINK("http://mirror.ff7data.com.ar/ff7/data/wm/world_us.lgp/djd.rsd.png","View Picture")</f>
        <v>View Picture</v>
      </c>
      <c r="K3647" s="43"/>
    </row>
    <row r="3648">
      <c r="A3648" s="82"/>
      <c r="B3648" s="33" t="s">
        <v>33545</v>
      </c>
      <c r="C3648" s="42">
        <v>1108.0</v>
      </c>
      <c r="D3648" s="33" t="s">
        <v>33537</v>
      </c>
      <c r="E3648" s="74"/>
      <c r="F3648" s="46" t="s">
        <v>2775</v>
      </c>
      <c r="G3648" s="75"/>
      <c r="H3648" s="96" t="str">
        <f>HYPERLINK("http://mirror.ff7data.com.ar/ff7/data/wm/world_us.lgp/dje.p.png","View Picture")</f>
        <v>View Picture</v>
      </c>
      <c r="K3648" s="43"/>
    </row>
    <row r="3649">
      <c r="A3649" s="82"/>
      <c r="B3649" s="33" t="s">
        <v>33555</v>
      </c>
      <c r="C3649" s="42">
        <v>812.0</v>
      </c>
      <c r="D3649" s="33" t="s">
        <v>33558</v>
      </c>
      <c r="E3649" s="74"/>
      <c r="F3649" s="46" t="s">
        <v>1348</v>
      </c>
      <c r="G3649" s="75"/>
      <c r="H3649" s="98" t="str">
        <f>HYPERLINK("http://mirror.ff7data.com.ar/ff7/data/wm/world_us.lgp/dka.tex.png","View Picture")</f>
        <v>View Picture</v>
      </c>
      <c r="K3649" s="43"/>
    </row>
    <row r="3650">
      <c r="A3650" s="82"/>
      <c r="B3650" s="33" t="s">
        <v>33567</v>
      </c>
      <c r="C3650" s="42">
        <v>756.0</v>
      </c>
      <c r="D3650" s="33" t="s">
        <v>33569</v>
      </c>
      <c r="E3650" s="74"/>
      <c r="F3650" s="46" t="s">
        <v>3366</v>
      </c>
      <c r="G3650" s="75"/>
      <c r="H3650" s="74"/>
      <c r="K3650" s="43"/>
    </row>
    <row r="3651">
      <c r="A3651" s="82"/>
      <c r="B3651" s="33" t="s">
        <v>33571</v>
      </c>
      <c r="C3651" s="42">
        <v>72.0</v>
      </c>
      <c r="D3651" s="33" t="s">
        <v>33573</v>
      </c>
      <c r="E3651" s="74"/>
      <c r="F3651" s="46" t="s">
        <v>7609</v>
      </c>
      <c r="G3651" s="75"/>
      <c r="H3651" s="96" t="str">
        <f>HYPERLINK("http://mirror.ff7data.com.ar/ff7/data/wm/world_us.lgp/dkc.hrc.png","View Picture")</f>
        <v>View Picture</v>
      </c>
      <c r="K3651" s="43"/>
    </row>
    <row r="3652">
      <c r="A3652" s="82"/>
      <c r="B3652" s="33" t="s">
        <v>33582</v>
      </c>
      <c r="C3652" s="42">
        <v>59.0</v>
      </c>
      <c r="D3652" s="33" t="s">
        <v>33584</v>
      </c>
      <c r="E3652" s="74"/>
      <c r="F3652" s="46" t="s">
        <v>2793</v>
      </c>
      <c r="G3652" s="75"/>
      <c r="H3652" s="96" t="str">
        <f>HYPERLINK("http://mirror.ff7data.com.ar/ff7/data/wm/world_us.lgp/dkd.rsd.png","View Picture")</f>
        <v>View Picture</v>
      </c>
      <c r="K3652" s="43"/>
    </row>
    <row r="3653">
      <c r="A3653" s="82"/>
      <c r="B3653" s="33" t="s">
        <v>33592</v>
      </c>
      <c r="C3653" s="42">
        <v>1244.0</v>
      </c>
      <c r="D3653" s="33" t="s">
        <v>33584</v>
      </c>
      <c r="E3653" s="74"/>
      <c r="F3653" s="46" t="s">
        <v>2775</v>
      </c>
      <c r="G3653" s="75"/>
      <c r="H3653" s="96" t="str">
        <f>HYPERLINK("http://mirror.ff7data.com.ar/ff7/data/wm/world_us.lgp/dke.p.png","View Picture")</f>
        <v>View Picture</v>
      </c>
      <c r="K3653" s="43"/>
    </row>
    <row r="3654">
      <c r="A3654" s="82"/>
      <c r="B3654" s="33" t="s">
        <v>33600</v>
      </c>
      <c r="C3654" s="42">
        <v>396.0</v>
      </c>
      <c r="D3654" s="33" t="s">
        <v>33602</v>
      </c>
      <c r="E3654" s="74"/>
      <c r="F3654" s="46" t="s">
        <v>3366</v>
      </c>
      <c r="G3654" s="75"/>
      <c r="H3654" s="74"/>
      <c r="K3654" s="43"/>
    </row>
    <row r="3655">
      <c r="A3655" s="82"/>
      <c r="B3655" s="33" t="s">
        <v>33605</v>
      </c>
      <c r="C3655" s="42">
        <v>870.0</v>
      </c>
      <c r="D3655" s="33" t="s">
        <v>33606</v>
      </c>
      <c r="E3655" s="74"/>
      <c r="F3655" s="46" t="s">
        <v>7609</v>
      </c>
      <c r="G3655" s="74"/>
      <c r="H3655" s="96" t="str">
        <f>HYPERLINK("http://mirror.ff7data.com.ar/ff7/data/wm/world_us.lgp/dlb.hrc.png","View Picture")</f>
        <v>View Picture</v>
      </c>
      <c r="K3655" s="43"/>
    </row>
    <row r="3656">
      <c r="A3656" s="82"/>
      <c r="B3656" s="33" t="s">
        <v>33616</v>
      </c>
      <c r="C3656" s="42">
        <v>59.0</v>
      </c>
      <c r="D3656" s="33" t="s">
        <v>7680</v>
      </c>
      <c r="E3656" s="74"/>
      <c r="F3656" s="46" t="s">
        <v>7616</v>
      </c>
      <c r="G3656" s="74"/>
      <c r="H3656" s="96" t="str">
        <f>HYPERLINK("http://mirror.ff7data.com.ar/ff7/data/wm/world_us.lgp/dlc.rsd.png","View Picture")</f>
        <v>View Picture</v>
      </c>
      <c r="K3656" s="43"/>
    </row>
    <row r="3657">
      <c r="A3657" s="82"/>
      <c r="B3657" s="33" t="s">
        <v>33624</v>
      </c>
      <c r="C3657" s="42">
        <v>2720.0</v>
      </c>
      <c r="D3657" s="33" t="s">
        <v>7680</v>
      </c>
      <c r="E3657" s="74"/>
      <c r="F3657" s="46" t="s">
        <v>7618</v>
      </c>
      <c r="G3657" s="74"/>
      <c r="H3657" s="96" t="str">
        <f>HYPERLINK("http://mirror.ff7data.com.ar/ff7/data/wm/world_us.lgp/dld.p.png","View Picture")</f>
        <v>View Picture</v>
      </c>
      <c r="K3657" s="43"/>
    </row>
    <row r="3658">
      <c r="A3658" s="82"/>
      <c r="B3658" s="33" t="s">
        <v>33635</v>
      </c>
      <c r="C3658" s="42">
        <v>59.0</v>
      </c>
      <c r="D3658" s="33" t="s">
        <v>7684</v>
      </c>
      <c r="E3658" s="74"/>
      <c r="F3658" s="46" t="s">
        <v>7616</v>
      </c>
      <c r="G3658" s="74"/>
      <c r="H3658" s="96" t="str">
        <f>HYPERLINK("http://mirror.ff7data.com.ar/ff7/data/wm/world_us.lgp/dle.rsd.png","View Picture")</f>
        <v>View Picture</v>
      </c>
      <c r="K3658" s="43"/>
    </row>
    <row r="3659">
      <c r="A3659" s="82"/>
      <c r="B3659" s="33" t="s">
        <v>33645</v>
      </c>
      <c r="C3659" s="42">
        <v>4168.0</v>
      </c>
      <c r="D3659" s="33" t="s">
        <v>7684</v>
      </c>
      <c r="E3659" s="74"/>
      <c r="F3659" s="46" t="s">
        <v>7618</v>
      </c>
      <c r="G3659" s="74"/>
      <c r="H3659" s="96" t="str">
        <f>HYPERLINK("http://mirror.ff7data.com.ar/ff7/data/wm/world_us.lgp/dma.p.png","View Picture")</f>
        <v>View Picture</v>
      </c>
      <c r="K3659" s="43"/>
    </row>
    <row r="3660">
      <c r="A3660" s="82"/>
      <c r="B3660" s="33" t="s">
        <v>33654</v>
      </c>
      <c r="C3660" s="42">
        <v>172.0</v>
      </c>
      <c r="D3660" s="33" t="s">
        <v>7397</v>
      </c>
      <c r="E3660" s="74"/>
      <c r="F3660" s="46" t="s">
        <v>7616</v>
      </c>
      <c r="G3660" s="74"/>
      <c r="H3660" s="96" t="str">
        <f>HYPERLINK("http://mirror.ff7data.com.ar/ff7/data/wm/world_us.lgp/dmb.rsd.png","View Picture")</f>
        <v>View Picture</v>
      </c>
      <c r="K3660" s="43"/>
    </row>
    <row r="3661">
      <c r="A3661" s="82"/>
      <c r="B3661" s="33" t="s">
        <v>33663</v>
      </c>
      <c r="C3661" s="42">
        <v>10296.0</v>
      </c>
      <c r="D3661" s="33" t="s">
        <v>7397</v>
      </c>
      <c r="E3661" s="74"/>
      <c r="F3661" s="46" t="s">
        <v>7618</v>
      </c>
      <c r="G3661" s="74"/>
      <c r="H3661" s="96" t="str">
        <f>HYPERLINK("http://mirror.ff7data.com.ar/ff7/data/wm/world_us.lgp/dmc.p.png","View Picture")</f>
        <v>View Picture</v>
      </c>
      <c r="K3661" s="43"/>
    </row>
    <row r="3662">
      <c r="A3662" s="79"/>
      <c r="B3662" s="33" t="s">
        <v>33671</v>
      </c>
      <c r="C3662" s="42">
        <v>1324.0</v>
      </c>
      <c r="D3662" s="33" t="s">
        <v>7689</v>
      </c>
      <c r="E3662" s="74"/>
      <c r="F3662" s="46" t="s">
        <v>1348</v>
      </c>
      <c r="G3662" s="74"/>
      <c r="H3662" s="98" t="str">
        <f>HYPERLINK("http://mirror.ff7data.com.ar/ff7/data/wm/world_us.lgp/dmd.tex.png","View Picture")</f>
        <v>View Picture</v>
      </c>
      <c r="K3662" s="43"/>
    </row>
    <row r="3663">
      <c r="A3663" s="79"/>
      <c r="B3663" s="33" t="s">
        <v>33680</v>
      </c>
      <c r="C3663" s="42">
        <v>1324.0</v>
      </c>
      <c r="D3663" s="33" t="s">
        <v>7689</v>
      </c>
      <c r="E3663" s="74"/>
      <c r="F3663" s="46" t="s">
        <v>1348</v>
      </c>
      <c r="G3663" s="74"/>
      <c r="H3663" s="98" t="str">
        <f>HYPERLINK("http://mirror.ff7data.com.ar/ff7/data/wm/world_us.lgp/dme.tex.png","View Picture")</f>
        <v>View Picture</v>
      </c>
      <c r="K3663" s="43"/>
    </row>
    <row r="3664">
      <c r="A3664" s="79"/>
      <c r="B3664" s="33" t="s">
        <v>33689</v>
      </c>
      <c r="C3664" s="42">
        <v>1324.0</v>
      </c>
      <c r="D3664" s="33" t="s">
        <v>7694</v>
      </c>
      <c r="E3664" s="74"/>
      <c r="F3664" s="46" t="s">
        <v>1348</v>
      </c>
      <c r="G3664" s="74"/>
      <c r="H3664" s="98" t="str">
        <f>HYPERLINK("http://mirror.ff7data.com.ar/ff7/data/wm/world_us.lgp/dna.tex.png","View Picture")</f>
        <v>View Picture</v>
      </c>
      <c r="K3664" s="43"/>
    </row>
    <row r="3665">
      <c r="A3665" s="82"/>
      <c r="B3665" s="33" t="s">
        <v>33697</v>
      </c>
      <c r="C3665" s="42">
        <v>59.0</v>
      </c>
      <c r="D3665" s="33" t="s">
        <v>7697</v>
      </c>
      <c r="E3665" s="74"/>
      <c r="F3665" s="46" t="s">
        <v>7616</v>
      </c>
      <c r="G3665" s="74"/>
      <c r="H3665" s="96" t="str">
        <f>HYPERLINK("http://mirror.ff7data.com.ar/ff7/data/wm/world_us.lgp/dnb.rsd.png","View Picture")</f>
        <v>View Picture</v>
      </c>
      <c r="K3665" s="43"/>
    </row>
    <row r="3666">
      <c r="A3666" s="82"/>
      <c r="B3666" s="33" t="s">
        <v>33707</v>
      </c>
      <c r="C3666" s="42">
        <v>2168.0</v>
      </c>
      <c r="D3666" s="33" t="s">
        <v>7697</v>
      </c>
      <c r="E3666" s="74"/>
      <c r="F3666" s="46" t="s">
        <v>7618</v>
      </c>
      <c r="G3666" s="74"/>
      <c r="H3666" s="96" t="str">
        <f>HYPERLINK("http://mirror.ff7data.com.ar/ff7/data/wm/world_us.lgp/dnc.p.png","View Picture")</f>
        <v>View Picture</v>
      </c>
      <c r="K3666" s="43"/>
    </row>
    <row r="3667">
      <c r="A3667" s="21"/>
      <c r="B3667" s="33" t="s">
        <v>33716</v>
      </c>
      <c r="C3667" s="42">
        <v>59.0</v>
      </c>
      <c r="D3667" s="33" t="s">
        <v>7700</v>
      </c>
      <c r="E3667" s="74"/>
      <c r="F3667" s="46" t="s">
        <v>7616</v>
      </c>
      <c r="G3667" s="74"/>
      <c r="H3667" s="96" t="str">
        <f>HYPERLINK("http://mirror.ff7data.com.ar/ff7/data/wm/world_us.lgp/dnd.rsd.png","View Picture")</f>
        <v>View Picture</v>
      </c>
      <c r="K3667" s="43"/>
    </row>
    <row r="3668">
      <c r="A3668" s="21"/>
      <c r="B3668" s="33" t="s">
        <v>33725</v>
      </c>
      <c r="C3668" s="42">
        <v>1872.0</v>
      </c>
      <c r="D3668" s="33" t="s">
        <v>7700</v>
      </c>
      <c r="E3668" s="74"/>
      <c r="F3668" s="46" t="s">
        <v>7618</v>
      </c>
      <c r="G3668" s="74"/>
      <c r="H3668" s="96" t="str">
        <f>HYPERLINK("http://mirror.ff7data.com.ar/ff7/data/wm/world_us.lgp/dne.p.png","View Picture")</f>
        <v>View Picture</v>
      </c>
      <c r="K3668" s="43"/>
    </row>
    <row r="3669">
      <c r="A3669" s="21"/>
      <c r="B3669" s="33" t="s">
        <v>33734</v>
      </c>
      <c r="C3669" s="42">
        <v>59.0</v>
      </c>
      <c r="D3669" s="33" t="s">
        <v>7703</v>
      </c>
      <c r="E3669" s="74"/>
      <c r="F3669" s="46" t="s">
        <v>7616</v>
      </c>
      <c r="G3669" s="74"/>
      <c r="H3669" s="96" t="str">
        <f>HYPERLINK("http://mirror.ff7data.com.ar/ff7/data/wm/world_us.lgp/doa.rsd.png","View Picture")</f>
        <v>View Picture</v>
      </c>
      <c r="K3669" s="43"/>
    </row>
    <row r="3670">
      <c r="A3670" s="21"/>
      <c r="B3670" s="33" t="s">
        <v>33742</v>
      </c>
      <c r="C3670" s="42">
        <v>676.0</v>
      </c>
      <c r="D3670" s="33" t="s">
        <v>7703</v>
      </c>
      <c r="E3670" s="74"/>
      <c r="F3670" s="46" t="s">
        <v>7618</v>
      </c>
      <c r="G3670" s="74"/>
      <c r="H3670" s="96" t="str">
        <f>HYPERLINK("http://mirror.ff7data.com.ar/ff7/data/wm/world_us.lgp/dob.p.png","View Picture")</f>
        <v>View Picture</v>
      </c>
      <c r="K3670" s="43"/>
    </row>
    <row r="3671">
      <c r="A3671" s="21"/>
      <c r="B3671" s="33" t="s">
        <v>33750</v>
      </c>
      <c r="C3671" s="42">
        <v>59.0</v>
      </c>
      <c r="D3671" s="33" t="s">
        <v>7707</v>
      </c>
      <c r="E3671" s="74"/>
      <c r="F3671" s="46" t="s">
        <v>7616</v>
      </c>
      <c r="G3671" s="74"/>
      <c r="H3671" s="96" t="str">
        <f>HYPERLINK("http://mirror.ff7data.com.ar/ff7/data/wm/world_us.lgp/doc.rsd.png","View Picture")</f>
        <v>View Picture</v>
      </c>
      <c r="K3671" s="43"/>
    </row>
    <row r="3672">
      <c r="A3672" s="21"/>
      <c r="B3672" s="33" t="s">
        <v>33758</v>
      </c>
      <c r="C3672" s="42">
        <v>1872.0</v>
      </c>
      <c r="D3672" s="33" t="s">
        <v>7707</v>
      </c>
      <c r="E3672" s="74"/>
      <c r="F3672" s="46" t="s">
        <v>7618</v>
      </c>
      <c r="G3672" s="74"/>
      <c r="H3672" s="96" t="str">
        <f>HYPERLINK("http://mirror.ff7data.com.ar/ff7/data/wm/world_us.lgp/dod.p.png","View Picture")</f>
        <v>View Picture</v>
      </c>
      <c r="K3672" s="43"/>
    </row>
    <row r="3673">
      <c r="A3673" s="21"/>
      <c r="B3673" s="33" t="s">
        <v>33766</v>
      </c>
      <c r="C3673" s="42">
        <v>59.0</v>
      </c>
      <c r="D3673" s="33" t="s">
        <v>7712</v>
      </c>
      <c r="E3673" s="74"/>
      <c r="F3673" s="46" t="s">
        <v>7616</v>
      </c>
      <c r="G3673" s="74"/>
      <c r="H3673" s="96" t="str">
        <f>HYPERLINK("http://mirror.ff7data.com.ar/ff7/data/wm/world_us.lgp/doe.rsd.png","View Picture")</f>
        <v>View Picture</v>
      </c>
      <c r="K3673" s="43"/>
    </row>
    <row r="3674">
      <c r="A3674" s="21"/>
      <c r="B3674" s="33" t="s">
        <v>33774</v>
      </c>
      <c r="C3674" s="42">
        <v>976.0</v>
      </c>
      <c r="D3674" s="33" t="s">
        <v>7712</v>
      </c>
      <c r="E3674" s="74"/>
      <c r="F3674" s="46" t="s">
        <v>7618</v>
      </c>
      <c r="G3674" s="74"/>
      <c r="H3674" s="96" t="str">
        <f>HYPERLINK("http://mirror.ff7data.com.ar/ff7/data/wm/world_us.lgp/dpa.p.png","View Picture")</f>
        <v>View Picture</v>
      </c>
      <c r="K3674" s="43"/>
    </row>
    <row r="3675">
      <c r="A3675" s="21"/>
      <c r="B3675" s="33" t="s">
        <v>33782</v>
      </c>
      <c r="C3675" s="42">
        <v>59.0</v>
      </c>
      <c r="D3675" s="33" t="s">
        <v>7700</v>
      </c>
      <c r="E3675" s="74"/>
      <c r="F3675" s="46" t="s">
        <v>7616</v>
      </c>
      <c r="G3675" s="74"/>
      <c r="H3675" s="96" t="str">
        <f>HYPERLINK("http://mirror.ff7data.com.ar/ff7/data/wm/world_us.lgp/dpb.rsd.png","View Picture")</f>
        <v>View Picture</v>
      </c>
      <c r="K3675" s="43"/>
    </row>
    <row r="3676">
      <c r="A3676" s="21"/>
      <c r="B3676" s="33" t="s">
        <v>33791</v>
      </c>
      <c r="C3676" s="42">
        <v>1872.0</v>
      </c>
      <c r="D3676" s="33" t="s">
        <v>7700</v>
      </c>
      <c r="E3676" s="74"/>
      <c r="F3676" s="46" t="s">
        <v>7618</v>
      </c>
      <c r="G3676" s="74"/>
      <c r="H3676" s="96" t="str">
        <f>HYPERLINK("http://mirror.ff7data.com.ar/ff7/data/wm/world_us.lgp/dpc.p.png","View Picture")</f>
        <v>View Picture</v>
      </c>
      <c r="K3676" s="43"/>
    </row>
    <row r="3677">
      <c r="A3677" s="21"/>
      <c r="B3677" s="33" t="s">
        <v>33800</v>
      </c>
      <c r="C3677" s="42">
        <v>59.0</v>
      </c>
      <c r="D3677" s="33" t="s">
        <v>7707</v>
      </c>
      <c r="E3677" s="74"/>
      <c r="F3677" s="46" t="s">
        <v>7616</v>
      </c>
      <c r="G3677" s="74"/>
      <c r="H3677" s="96" t="str">
        <f>HYPERLINK("http://mirror.ff7data.com.ar/ff7/data/wm/world_us.lgp/dpd.rsd.png","View Picture")</f>
        <v>View Picture</v>
      </c>
      <c r="K3677" s="43"/>
    </row>
    <row r="3678">
      <c r="A3678" s="21"/>
      <c r="B3678" s="33" t="s">
        <v>33809</v>
      </c>
      <c r="C3678" s="42">
        <v>1872.0</v>
      </c>
      <c r="D3678" s="33" t="s">
        <v>7707</v>
      </c>
      <c r="E3678" s="74"/>
      <c r="F3678" s="46" t="s">
        <v>7618</v>
      </c>
      <c r="G3678" s="74"/>
      <c r="H3678" s="96" t="str">
        <f>HYPERLINK("http://mirror.ff7data.com.ar/ff7/data/wm/world_us.lgp/dpe.p.png","View Picture")</f>
        <v>View Picture</v>
      </c>
      <c r="K3678" s="43"/>
    </row>
    <row r="3679">
      <c r="A3679" s="21"/>
      <c r="B3679" s="33" t="s">
        <v>33817</v>
      </c>
      <c r="C3679" s="42">
        <v>59.0</v>
      </c>
      <c r="D3679" s="33" t="s">
        <v>7712</v>
      </c>
      <c r="E3679" s="74"/>
      <c r="F3679" s="46" t="s">
        <v>7616</v>
      </c>
      <c r="G3679" s="74"/>
      <c r="H3679" s="96" t="str">
        <f>HYPERLINK("http://mirror.ff7data.com.ar/ff7/data/wm/world_us.lgp/dqa.rsd.png","View Picture")</f>
        <v>View Picture</v>
      </c>
      <c r="K3679" s="43"/>
    </row>
    <row r="3680">
      <c r="A3680" s="21"/>
      <c r="B3680" s="33" t="s">
        <v>33823</v>
      </c>
      <c r="C3680" s="42">
        <v>976.0</v>
      </c>
      <c r="D3680" s="33" t="s">
        <v>7712</v>
      </c>
      <c r="E3680" s="74"/>
      <c r="F3680" s="46" t="s">
        <v>7618</v>
      </c>
      <c r="G3680" s="74"/>
      <c r="H3680" s="96" t="str">
        <f>HYPERLINK("http://mirror.ff7data.com.ar/ff7/data/wm/world_us.lgp/dqb.p.png","View Picture")</f>
        <v>View Picture</v>
      </c>
      <c r="K3680" s="43"/>
    </row>
    <row r="3681">
      <c r="A3681" s="21"/>
      <c r="B3681" s="33" t="s">
        <v>33832</v>
      </c>
      <c r="C3681" s="42">
        <v>59.0</v>
      </c>
      <c r="D3681" s="33" t="s">
        <v>7723</v>
      </c>
      <c r="E3681" s="74"/>
      <c r="F3681" s="46" t="s">
        <v>7616</v>
      </c>
      <c r="G3681" s="74"/>
      <c r="H3681" s="96" t="str">
        <f>HYPERLINK("http://mirror.ff7data.com.ar/ff7/data/wm/world_us.lgp/dqc.rsd.png","View Picture")</f>
        <v>View Picture</v>
      </c>
      <c r="K3681" s="43"/>
    </row>
    <row r="3682">
      <c r="A3682" s="21"/>
      <c r="B3682" s="33" t="s">
        <v>33841</v>
      </c>
      <c r="C3682" s="42">
        <v>916.0</v>
      </c>
      <c r="D3682" s="33" t="s">
        <v>7723</v>
      </c>
      <c r="E3682" s="74"/>
      <c r="F3682" s="46" t="s">
        <v>7618</v>
      </c>
      <c r="G3682" s="74"/>
      <c r="H3682" s="96" t="str">
        <f>HYPERLINK("http://mirror.ff7data.com.ar/ff7/data/wm/world_us.lgp/dqd.p.png","View Picture")</f>
        <v>View Picture</v>
      </c>
      <c r="K3682" s="43"/>
    </row>
    <row r="3683">
      <c r="A3683" s="21"/>
      <c r="B3683" s="33" t="s">
        <v>33849</v>
      </c>
      <c r="C3683" s="42">
        <v>59.0</v>
      </c>
      <c r="D3683" s="33" t="s">
        <v>7726</v>
      </c>
      <c r="E3683" s="74"/>
      <c r="F3683" s="46" t="s">
        <v>7616</v>
      </c>
      <c r="G3683" s="74"/>
      <c r="H3683" s="96" t="str">
        <f>HYPERLINK("http://mirror.ff7data.com.ar/ff7/data/wm/world_us.lgp/dqe.rsd.png","View Picture")</f>
        <v>View Picture</v>
      </c>
      <c r="K3683" s="43"/>
    </row>
    <row r="3684">
      <c r="A3684" s="21"/>
      <c r="B3684" s="33" t="s">
        <v>33859</v>
      </c>
      <c r="C3684" s="42">
        <v>1968.0</v>
      </c>
      <c r="D3684" s="33" t="s">
        <v>7726</v>
      </c>
      <c r="E3684" s="74"/>
      <c r="F3684" s="46" t="s">
        <v>7618</v>
      </c>
      <c r="G3684" s="74"/>
      <c r="H3684" s="96" t="str">
        <f>HYPERLINK("http://mirror.ff7data.com.ar/ff7/data/wm/world_us.lgp/dra.p.png","View Picture")</f>
        <v>View Picture</v>
      </c>
      <c r="K3684" s="43"/>
    </row>
    <row r="3685">
      <c r="A3685" s="21"/>
      <c r="B3685" s="33" t="s">
        <v>33867</v>
      </c>
      <c r="C3685" s="42">
        <v>59.0</v>
      </c>
      <c r="D3685" s="33" t="s">
        <v>7452</v>
      </c>
      <c r="E3685" s="74"/>
      <c r="F3685" s="46" t="s">
        <v>7616</v>
      </c>
      <c r="G3685" s="74"/>
      <c r="H3685" s="96" t="str">
        <f>HYPERLINK("http://mirror.ff7data.com.ar/ff7/data/wm/world_us.lgp/drb.rsd.png","View Picture")</f>
        <v>View Picture</v>
      </c>
      <c r="K3685" s="43"/>
    </row>
    <row r="3686">
      <c r="A3686" s="21"/>
      <c r="B3686" s="33" t="s">
        <v>33875</v>
      </c>
      <c r="C3686" s="42">
        <v>1176.0</v>
      </c>
      <c r="D3686" s="33" t="s">
        <v>7452</v>
      </c>
      <c r="E3686" s="74"/>
      <c r="F3686" s="46" t="s">
        <v>7618</v>
      </c>
      <c r="G3686" s="74"/>
      <c r="H3686" s="96" t="str">
        <f>HYPERLINK("http://mirror.ff7data.com.ar/ff7/data/wm/world_us.lgp/drc.p.png","View Picture")</f>
        <v>View Picture</v>
      </c>
      <c r="K3686" s="43"/>
    </row>
    <row r="3687">
      <c r="A3687" s="21"/>
      <c r="B3687" s="33" t="s">
        <v>33885</v>
      </c>
      <c r="C3687" s="42">
        <v>59.0</v>
      </c>
      <c r="D3687" s="33" t="s">
        <v>7723</v>
      </c>
      <c r="E3687" s="74"/>
      <c r="F3687" s="46" t="s">
        <v>7616</v>
      </c>
      <c r="G3687" s="74"/>
      <c r="H3687" s="96" t="str">
        <f>HYPERLINK("http://mirror.ff7data.com.ar/ff7/data/wm/world_us.lgp/drd.rsd.png","View Picture")</f>
        <v>View Picture</v>
      </c>
      <c r="K3687" s="43"/>
    </row>
    <row r="3688">
      <c r="A3688" s="21"/>
      <c r="B3688" s="33" t="s">
        <v>33891</v>
      </c>
      <c r="C3688" s="42">
        <v>916.0</v>
      </c>
      <c r="D3688" s="33" t="s">
        <v>7723</v>
      </c>
      <c r="E3688" s="74"/>
      <c r="F3688" s="46" t="s">
        <v>7618</v>
      </c>
      <c r="G3688" s="74"/>
      <c r="H3688" s="96" t="str">
        <f>HYPERLINK("http://mirror.ff7data.com.ar/ff7/data/wm/world_us.lgp/dre.p.png","View Picture")</f>
        <v>View Picture</v>
      </c>
      <c r="K3688" s="43"/>
    </row>
    <row r="3689">
      <c r="A3689" s="82"/>
      <c r="B3689" s="33" t="s">
        <v>33898</v>
      </c>
      <c r="C3689" s="42">
        <v>1324.0</v>
      </c>
      <c r="D3689" s="33" t="s">
        <v>33900</v>
      </c>
      <c r="E3689" s="74"/>
      <c r="F3689" s="46" t="s">
        <v>1348</v>
      </c>
      <c r="G3689" s="75"/>
      <c r="H3689" s="98" t="str">
        <f>HYPERLINK("http://mirror.ff7data.com.ar/ff7/data/wm/world_us.lgp/ds_s1.tex.png","View Picture")</f>
        <v>View Picture</v>
      </c>
      <c r="K3689" s="43"/>
    </row>
    <row r="3690">
      <c r="A3690" s="82"/>
      <c r="B3690" s="33" t="s">
        <v>33908</v>
      </c>
      <c r="C3690" s="42">
        <v>1324.0</v>
      </c>
      <c r="D3690" s="33" t="s">
        <v>33910</v>
      </c>
      <c r="E3690" s="74"/>
      <c r="F3690" s="46" t="s">
        <v>1348</v>
      </c>
      <c r="G3690" s="75"/>
      <c r="H3690" s="98" t="str">
        <f>HYPERLINK("http://mirror.ff7data.com.ar/ff7/data/wm/world_us.lgp/ds_s2.tex.png","View Picture")</f>
        <v>View Picture</v>
      </c>
      <c r="K3690" s="43"/>
    </row>
    <row r="3691">
      <c r="A3691" s="82"/>
      <c r="B3691" s="33" t="s">
        <v>33922</v>
      </c>
      <c r="C3691" s="42">
        <v>1324.0</v>
      </c>
      <c r="D3691" s="33" t="s">
        <v>33924</v>
      </c>
      <c r="E3691" s="74"/>
      <c r="F3691" s="46" t="s">
        <v>1348</v>
      </c>
      <c r="G3691" s="75"/>
      <c r="H3691" s="98" t="str">
        <f>HYPERLINK("http://mirror.ff7data.com.ar/ff7/data/wm/world_us.lgp/ds_s3.tex.png","View Picture")</f>
        <v>View Picture</v>
      </c>
      <c r="K3691" s="43"/>
    </row>
    <row r="3692">
      <c r="A3692" s="82"/>
      <c r="B3692" s="33" t="s">
        <v>33933</v>
      </c>
      <c r="C3692" s="42">
        <v>1324.0</v>
      </c>
      <c r="D3692" s="33" t="s">
        <v>33935</v>
      </c>
      <c r="E3692" s="74"/>
      <c r="F3692" s="46" t="s">
        <v>1348</v>
      </c>
      <c r="G3692" s="75"/>
      <c r="H3692" s="98" t="str">
        <f>HYPERLINK("http://mirror.ff7data.com.ar/ff7/data/wm/world_us.lgp/ds_s4.tex.png","View Picture")</f>
        <v>View Picture</v>
      </c>
      <c r="K3692" s="43"/>
    </row>
    <row r="3693">
      <c r="A3693" s="82"/>
      <c r="B3693" s="33" t="s">
        <v>33942</v>
      </c>
      <c r="C3693" s="42">
        <v>1324.0</v>
      </c>
      <c r="D3693" s="33" t="s">
        <v>33944</v>
      </c>
      <c r="E3693" s="74"/>
      <c r="F3693" s="46" t="s">
        <v>1348</v>
      </c>
      <c r="G3693" s="75"/>
      <c r="H3693" s="98" t="str">
        <f>HYPERLINK("http://mirror.ff7data.com.ar/ff7/data/wm/world_us.lgp/ds1.tex.png","View Picture")</f>
        <v>View Picture</v>
      </c>
      <c r="K3693" s="43"/>
    </row>
    <row r="3694">
      <c r="A3694" s="82"/>
      <c r="B3694" s="33" t="s">
        <v>33951</v>
      </c>
      <c r="C3694" s="42">
        <v>1324.0</v>
      </c>
      <c r="D3694" s="33" t="s">
        <v>33954</v>
      </c>
      <c r="E3694" s="74"/>
      <c r="F3694" s="46" t="s">
        <v>1348</v>
      </c>
      <c r="G3694" s="75"/>
      <c r="H3694" s="98" t="str">
        <f>HYPERLINK("http://mirror.ff7data.com.ar/ff7/data/wm/world_us.lgp/ds2.tex.png","View Picture")</f>
        <v>View Picture</v>
      </c>
      <c r="K3694" s="43"/>
    </row>
    <row r="3695">
      <c r="A3695" s="82"/>
      <c r="B3695" s="33" t="s">
        <v>33965</v>
      </c>
      <c r="C3695" s="42">
        <v>1324.0</v>
      </c>
      <c r="D3695" s="33" t="s">
        <v>33966</v>
      </c>
      <c r="E3695" s="74"/>
      <c r="F3695" s="46" t="s">
        <v>1348</v>
      </c>
      <c r="G3695" s="75"/>
      <c r="H3695" s="98" t="str">
        <f>HYPERLINK("http://mirror.ff7data.com.ar/ff7/data/wm/world_us.lgp/ds3.tex.png","View Picture")</f>
        <v>View Picture</v>
      </c>
      <c r="K3695" s="43"/>
    </row>
    <row r="3696">
      <c r="A3696" s="82"/>
      <c r="B3696" s="33" t="s">
        <v>33976</v>
      </c>
      <c r="C3696" s="42">
        <v>1324.0</v>
      </c>
      <c r="D3696" s="33" t="s">
        <v>33978</v>
      </c>
      <c r="E3696" s="74"/>
      <c r="F3696" s="46" t="s">
        <v>1348</v>
      </c>
      <c r="G3696" s="75"/>
      <c r="H3696" s="98" t="str">
        <f>HYPERLINK("http://mirror.ff7data.com.ar/ff7/data/wm/world_us.lgp/ds4.tex.png","View Picture")</f>
        <v>View Picture</v>
      </c>
      <c r="K3696" s="43"/>
    </row>
    <row r="3697">
      <c r="A3697" s="84"/>
      <c r="B3697" s="33" t="s">
        <v>33985</v>
      </c>
      <c r="C3697" s="42">
        <v>59.0</v>
      </c>
      <c r="D3697" s="33" t="s">
        <v>7726</v>
      </c>
      <c r="E3697" s="74"/>
      <c r="F3697" s="46" t="s">
        <v>7616</v>
      </c>
      <c r="G3697" s="75"/>
      <c r="H3697" s="96" t="str">
        <f>HYPERLINK("http://mirror.ff7data.com.ar/ff7/data/wm/world_us.lgp/dsa.rsd.png","View Picture")</f>
        <v>View Picture</v>
      </c>
      <c r="K3697" s="43"/>
    </row>
    <row r="3698">
      <c r="A3698" s="84"/>
      <c r="B3698" s="33" t="s">
        <v>33999</v>
      </c>
      <c r="C3698" s="42">
        <v>1968.0</v>
      </c>
      <c r="D3698" s="33" t="s">
        <v>7726</v>
      </c>
      <c r="E3698" s="74"/>
      <c r="F3698" s="46" t="s">
        <v>7618</v>
      </c>
      <c r="G3698" s="75"/>
      <c r="H3698" s="96" t="str">
        <f>HYPERLINK("http://mirror.ff7data.com.ar/ff7/data/wm/world_us.lgp/dsb.p.png","View Picture")</f>
        <v>View Picture</v>
      </c>
      <c r="K3698" s="43"/>
    </row>
    <row r="3699">
      <c r="A3699" s="84"/>
      <c r="B3699" s="33" t="s">
        <v>34006</v>
      </c>
      <c r="C3699" s="42">
        <v>59.0</v>
      </c>
      <c r="D3699" s="33" t="s">
        <v>7452</v>
      </c>
      <c r="E3699" s="74"/>
      <c r="F3699" s="46" t="s">
        <v>7616</v>
      </c>
      <c r="G3699" s="75"/>
      <c r="H3699" s="96" t="str">
        <f>HYPERLINK("http://mirror.ff7data.com.ar/ff7/data/wm/world_us.lgp/dsc.rsd.png","View Picture")</f>
        <v>View Picture</v>
      </c>
      <c r="K3699" s="43"/>
    </row>
    <row r="3700">
      <c r="A3700" s="84"/>
      <c r="B3700" s="33" t="s">
        <v>34016</v>
      </c>
      <c r="C3700" s="42">
        <v>1176.0</v>
      </c>
      <c r="D3700" s="33" t="s">
        <v>7452</v>
      </c>
      <c r="E3700" s="74"/>
      <c r="F3700" s="46" t="s">
        <v>7618</v>
      </c>
      <c r="G3700" s="75"/>
      <c r="H3700" s="96" t="str">
        <f>HYPERLINK("http://mirror.ff7data.com.ar/ff7/data/wm/world_us.lgp/dsd.p.png","View Picture")</f>
        <v>View Picture</v>
      </c>
      <c r="K3700" s="43"/>
    </row>
    <row r="3701">
      <c r="A3701" s="82"/>
      <c r="B3701" s="33" t="s">
        <v>34025</v>
      </c>
      <c r="C3701" s="42">
        <v>348.0</v>
      </c>
      <c r="D3701" s="33" t="s">
        <v>34026</v>
      </c>
      <c r="E3701" s="74"/>
      <c r="F3701" s="46" t="s">
        <v>3366</v>
      </c>
      <c r="G3701" s="75"/>
      <c r="H3701" s="74"/>
      <c r="K3701" s="43"/>
    </row>
    <row r="3702">
      <c r="A3702" s="82"/>
      <c r="B3702" s="33" t="s">
        <v>34029</v>
      </c>
      <c r="C3702" s="42">
        <v>1324.0</v>
      </c>
      <c r="D3702" s="33" t="s">
        <v>34030</v>
      </c>
      <c r="E3702" s="74"/>
      <c r="F3702" s="46" t="s">
        <v>1348</v>
      </c>
      <c r="G3702" s="75"/>
      <c r="H3702" s="98" t="str">
        <f>HYPERLINK("http://mirror.ff7data.com.ar/ff7/data/wm/world_us.lgp/dsee1.tex.png","View Picture")</f>
        <v>View Picture</v>
      </c>
      <c r="K3702" s="43"/>
    </row>
    <row r="3703">
      <c r="A3703" s="82"/>
      <c r="B3703" s="33" t="s">
        <v>34039</v>
      </c>
      <c r="C3703" s="42">
        <v>1324.0</v>
      </c>
      <c r="D3703" s="33" t="s">
        <v>34041</v>
      </c>
      <c r="E3703" s="74"/>
      <c r="F3703" s="46" t="s">
        <v>1348</v>
      </c>
      <c r="G3703" s="75"/>
      <c r="H3703" s="98" t="str">
        <f>HYPERLINK("http://mirror.ff7data.com.ar/ff7/data/wm/world_us.lgp/dsee2.tex.png","View Picture")</f>
        <v>View Picture</v>
      </c>
      <c r="K3703" s="43"/>
    </row>
    <row r="3704">
      <c r="A3704" s="82"/>
      <c r="B3704" s="33" t="s">
        <v>34049</v>
      </c>
      <c r="C3704" s="42">
        <v>1324.0</v>
      </c>
      <c r="D3704" s="33" t="s">
        <v>34050</v>
      </c>
      <c r="E3704" s="74"/>
      <c r="F3704" s="46" t="s">
        <v>1348</v>
      </c>
      <c r="G3704" s="75"/>
      <c r="H3704" s="98" t="str">
        <f>HYPERLINK("http://mirror.ff7data.com.ar/ff7/data/wm/world_us.lgp/dsee3.tex.png","View Picture")</f>
        <v>View Picture</v>
      </c>
      <c r="K3704" s="43"/>
    </row>
    <row r="3705">
      <c r="A3705" s="82"/>
      <c r="B3705" s="33" t="s">
        <v>34058</v>
      </c>
      <c r="C3705" s="42">
        <v>1324.0</v>
      </c>
      <c r="D3705" s="33" t="s">
        <v>34060</v>
      </c>
      <c r="E3705" s="74"/>
      <c r="F3705" s="46" t="s">
        <v>1348</v>
      </c>
      <c r="G3705" s="75"/>
      <c r="H3705" s="98" t="str">
        <f>HYPERLINK("http://mirror.ff7data.com.ar/ff7/data/wm/world_us.lgp/dsee4.tex.png","View Picture")</f>
        <v>View Picture</v>
      </c>
      <c r="K3705" s="43"/>
    </row>
    <row r="3706">
      <c r="A3706" s="82"/>
      <c r="B3706" s="33" t="s">
        <v>34068</v>
      </c>
      <c r="C3706" s="42">
        <v>1324.0</v>
      </c>
      <c r="D3706" s="33" t="s">
        <v>33312</v>
      </c>
      <c r="E3706" s="74"/>
      <c r="F3706" s="46" t="s">
        <v>1348</v>
      </c>
      <c r="G3706" s="75"/>
      <c r="H3706" s="98" t="str">
        <f>HYPERLINK("http://mirror.ff7data.com.ar/ff7/data/wm/world_us.lgp/dsrt_d.tex.png","View Picture")</f>
        <v>View Picture</v>
      </c>
      <c r="K3706" s="43"/>
    </row>
    <row r="3707">
      <c r="A3707" s="40"/>
      <c r="B3707" s="33" t="s">
        <v>34076</v>
      </c>
      <c r="C3707" s="42">
        <v>8492.0</v>
      </c>
      <c r="D3707" s="33" t="s">
        <v>34078</v>
      </c>
      <c r="E3707" s="74"/>
      <c r="F3707" s="46" t="s">
        <v>1348</v>
      </c>
      <c r="G3707" s="46" t="s">
        <v>34080</v>
      </c>
      <c r="H3707" s="98" t="str">
        <f>HYPERLINK("http://mirror.ff7data.com.ar/ff7/data/wm/world_us.lgp/dsrt_e.tex.png","View Picture")</f>
        <v>View Picture</v>
      </c>
      <c r="K3707" s="43"/>
    </row>
    <row r="3708">
      <c r="A3708" s="82"/>
      <c r="B3708" s="33" t="s">
        <v>34091</v>
      </c>
      <c r="C3708" s="42">
        <v>4716.0</v>
      </c>
      <c r="D3708" s="33" t="s">
        <v>34093</v>
      </c>
      <c r="E3708" s="74"/>
      <c r="F3708" s="46" t="s">
        <v>3366</v>
      </c>
      <c r="G3708" s="75"/>
      <c r="H3708" s="74"/>
      <c r="K3708" s="43"/>
    </row>
    <row r="3709">
      <c r="A3709" s="82"/>
      <c r="B3709" s="33" t="s">
        <v>34096</v>
      </c>
      <c r="C3709" s="42">
        <v>6276.0</v>
      </c>
      <c r="D3709" s="33" t="s">
        <v>34097</v>
      </c>
      <c r="E3709" s="74"/>
      <c r="F3709" s="46" t="s">
        <v>3366</v>
      </c>
      <c r="G3709" s="75"/>
      <c r="H3709" s="74"/>
      <c r="K3709" s="43"/>
    </row>
    <row r="3710">
      <c r="A3710" s="82"/>
      <c r="B3710" s="33" t="s">
        <v>34100</v>
      </c>
      <c r="C3710" s="42">
        <v>7524.0</v>
      </c>
      <c r="D3710" s="33" t="s">
        <v>34102</v>
      </c>
      <c r="E3710" s="74"/>
      <c r="F3710" s="46" t="s">
        <v>3366</v>
      </c>
      <c r="G3710" s="75"/>
      <c r="H3710" s="74"/>
      <c r="K3710" s="43"/>
    </row>
    <row r="3711">
      <c r="A3711" s="82"/>
      <c r="B3711" s="33" t="s">
        <v>34104</v>
      </c>
      <c r="C3711" s="42">
        <v>4404.0</v>
      </c>
      <c r="D3711" s="33" t="s">
        <v>34111</v>
      </c>
      <c r="E3711" s="74"/>
      <c r="F3711" s="46" t="s">
        <v>3366</v>
      </c>
      <c r="G3711" s="75"/>
      <c r="H3711" s="74"/>
      <c r="K3711" s="43"/>
    </row>
    <row r="3712">
      <c r="A3712" s="82"/>
      <c r="B3712" s="33" t="s">
        <v>34113</v>
      </c>
      <c r="C3712" s="42">
        <v>4404.0</v>
      </c>
      <c r="D3712" s="33" t="s">
        <v>34115</v>
      </c>
      <c r="E3712" s="74"/>
      <c r="F3712" s="46" t="s">
        <v>3366</v>
      </c>
      <c r="G3712" s="75"/>
      <c r="H3712" s="74"/>
      <c r="K3712" s="43"/>
    </row>
    <row r="3713">
      <c r="A3713" s="82"/>
      <c r="B3713" s="33" t="s">
        <v>34117</v>
      </c>
      <c r="C3713" s="42">
        <v>9396.0</v>
      </c>
      <c r="D3713" s="33" t="s">
        <v>34119</v>
      </c>
      <c r="E3713" s="74"/>
      <c r="F3713" s="46" t="s">
        <v>3366</v>
      </c>
      <c r="G3713" s="75"/>
      <c r="H3713" s="74"/>
      <c r="K3713" s="43"/>
    </row>
    <row r="3714">
      <c r="A3714" s="82"/>
      <c r="B3714" s="33" t="s">
        <v>34122</v>
      </c>
      <c r="C3714" s="42">
        <v>2532.0</v>
      </c>
      <c r="D3714" s="33" t="s">
        <v>34123</v>
      </c>
      <c r="E3714" s="74"/>
      <c r="F3714" s="46" t="s">
        <v>3366</v>
      </c>
      <c r="G3714" s="75"/>
      <c r="H3714" s="74"/>
      <c r="K3714" s="43"/>
    </row>
    <row r="3715">
      <c r="A3715" s="82"/>
      <c r="B3715" s="33" t="s">
        <v>34126</v>
      </c>
      <c r="C3715" s="42">
        <v>6276.0</v>
      </c>
      <c r="D3715" s="33" t="s">
        <v>34127</v>
      </c>
      <c r="E3715" s="74"/>
      <c r="F3715" s="46" t="s">
        <v>3366</v>
      </c>
      <c r="G3715" s="75"/>
      <c r="H3715" s="74"/>
      <c r="K3715" s="43"/>
    </row>
    <row r="3716">
      <c r="A3716" s="82"/>
      <c r="B3716" s="33" t="s">
        <v>34130</v>
      </c>
      <c r="C3716" s="42">
        <v>9396.0</v>
      </c>
      <c r="D3716" s="33" t="s">
        <v>34131</v>
      </c>
      <c r="E3716" s="74"/>
      <c r="F3716" s="46" t="s">
        <v>3366</v>
      </c>
      <c r="G3716" s="75"/>
      <c r="H3716" s="74"/>
      <c r="K3716" s="43"/>
    </row>
    <row r="3717">
      <c r="A3717" s="82"/>
      <c r="B3717" s="33" t="s">
        <v>34134</v>
      </c>
      <c r="C3717" s="42">
        <v>6276.0</v>
      </c>
      <c r="D3717" s="33" t="s">
        <v>34135</v>
      </c>
      <c r="E3717" s="74"/>
      <c r="F3717" s="46" t="s">
        <v>3366</v>
      </c>
      <c r="G3717" s="75"/>
      <c r="H3717" s="74"/>
      <c r="K3717" s="43"/>
    </row>
    <row r="3718">
      <c r="A3718" s="82"/>
      <c r="B3718" s="33" t="s">
        <v>34138</v>
      </c>
      <c r="C3718" s="42">
        <v>295.0</v>
      </c>
      <c r="D3718" s="33" t="s">
        <v>34140</v>
      </c>
      <c r="E3718" s="74"/>
      <c r="F3718" s="46" t="s">
        <v>7609</v>
      </c>
      <c r="G3718" s="74"/>
      <c r="H3718" s="96" t="str">
        <f>HYPERLINK("http://mirror.ff7data.com.ar/ff7/data/wm/world_us.lgp/dva.hrc.png","View Picture")</f>
        <v>View Picture</v>
      </c>
      <c r="K3718" s="43"/>
    </row>
    <row r="3719">
      <c r="A3719" s="82"/>
      <c r="B3719" s="33" t="s">
        <v>34148</v>
      </c>
      <c r="C3719" s="42">
        <v>59.0</v>
      </c>
      <c r="D3719" s="33" t="s">
        <v>34151</v>
      </c>
      <c r="E3719" s="74"/>
      <c r="F3719" s="46" t="s">
        <v>2793</v>
      </c>
      <c r="G3719" s="75"/>
      <c r="H3719" s="96" t="str">
        <f>HYPERLINK("http://mirror.ff7data.com.ar/ff7/data/wm/world_us.lgp/dvb.rsd.png","View Picture")</f>
        <v>View Picture</v>
      </c>
      <c r="K3719" s="43"/>
    </row>
    <row r="3720">
      <c r="A3720" s="82"/>
      <c r="B3720" s="33" t="s">
        <v>34160</v>
      </c>
      <c r="C3720" s="42">
        <v>6516.0</v>
      </c>
      <c r="D3720" s="33" t="s">
        <v>34151</v>
      </c>
      <c r="E3720" s="74"/>
      <c r="F3720" s="46" t="s">
        <v>2775</v>
      </c>
      <c r="G3720" s="75"/>
      <c r="H3720" s="96" t="str">
        <f>HYPERLINK("http://mirror.ff7data.com.ar/ff7/data/wm/world_us.lgp/dvc.p.png","View Picture")</f>
        <v>View Picture</v>
      </c>
      <c r="K3720" s="43"/>
    </row>
    <row r="3721">
      <c r="A3721" s="82"/>
      <c r="B3721" s="33" t="s">
        <v>34169</v>
      </c>
      <c r="C3721" s="42">
        <v>59.0</v>
      </c>
      <c r="D3721" s="33" t="s">
        <v>34170</v>
      </c>
      <c r="E3721" s="74"/>
      <c r="F3721" s="46" t="s">
        <v>2793</v>
      </c>
      <c r="G3721" s="75"/>
      <c r="H3721" s="96" t="str">
        <f>HYPERLINK("http://mirror.ff7data.com.ar/ff7/data/wm/world_us.lgp/dvd.rsd.png","View Picture")</f>
        <v>View Picture</v>
      </c>
      <c r="K3721" s="43"/>
    </row>
    <row r="3722">
      <c r="A3722" s="82"/>
      <c r="B3722" s="33" t="s">
        <v>34178</v>
      </c>
      <c r="C3722" s="42">
        <v>7036.0</v>
      </c>
      <c r="D3722" s="33" t="s">
        <v>34170</v>
      </c>
      <c r="E3722" s="74"/>
      <c r="F3722" s="46" t="s">
        <v>2775</v>
      </c>
      <c r="G3722" s="75"/>
      <c r="H3722" s="96" t="str">
        <f>HYPERLINK("http://mirror.ff7data.com.ar/ff7/data/wm/world_us.lgp/dve.p.png","View Picture")</f>
        <v>View Picture</v>
      </c>
      <c r="K3722" s="43"/>
    </row>
    <row r="3723">
      <c r="A3723" s="82"/>
      <c r="B3723" s="33" t="s">
        <v>34188</v>
      </c>
      <c r="C3723" s="42">
        <v>59.0</v>
      </c>
      <c r="D3723" s="33" t="s">
        <v>34191</v>
      </c>
      <c r="E3723" s="74"/>
      <c r="F3723" s="46" t="s">
        <v>2793</v>
      </c>
      <c r="G3723" s="75"/>
      <c r="H3723" s="96" t="str">
        <f>HYPERLINK("http://mirror.ff7data.com.ar/ff7/data/wm/world_us.lgp/dwa.rsd.png","View Picture")</f>
        <v>View Picture</v>
      </c>
      <c r="K3723" s="43"/>
    </row>
    <row r="3724">
      <c r="A3724" s="82"/>
      <c r="B3724" s="33" t="s">
        <v>34199</v>
      </c>
      <c r="C3724" s="42">
        <v>5132.0</v>
      </c>
      <c r="D3724" s="33" t="s">
        <v>34191</v>
      </c>
      <c r="E3724" s="74"/>
      <c r="F3724" s="46" t="s">
        <v>2775</v>
      </c>
      <c r="G3724" s="75"/>
      <c r="H3724" s="96" t="str">
        <f>HYPERLINK("http://mirror.ff7data.com.ar/ff7/data/wm/world_us.lgp/dwb.p.png","View Picture")</f>
        <v>View Picture</v>
      </c>
      <c r="K3724" s="43"/>
    </row>
    <row r="3725">
      <c r="A3725" s="82"/>
      <c r="B3725" s="33" t="s">
        <v>34208</v>
      </c>
      <c r="C3725" s="42">
        <v>59.0</v>
      </c>
      <c r="D3725" s="33" t="s">
        <v>34211</v>
      </c>
      <c r="E3725" s="74"/>
      <c r="F3725" s="46" t="s">
        <v>2793</v>
      </c>
      <c r="G3725" s="75"/>
      <c r="H3725" s="96" t="str">
        <f>HYPERLINK("http://mirror.ff7data.com.ar/ff7/data/wm/world_us.lgp/dwc.rsd.png","View Picture")</f>
        <v>View Picture</v>
      </c>
      <c r="K3725" s="43"/>
    </row>
    <row r="3726">
      <c r="A3726" s="82"/>
      <c r="B3726" s="33" t="s">
        <v>34219</v>
      </c>
      <c r="C3726" s="42">
        <v>1228.0</v>
      </c>
      <c r="D3726" s="33" t="s">
        <v>34211</v>
      </c>
      <c r="E3726" s="74"/>
      <c r="F3726" s="46" t="s">
        <v>2775</v>
      </c>
      <c r="G3726" s="75"/>
      <c r="H3726" s="96" t="str">
        <f>HYPERLINK("http://mirror.ff7data.com.ar/ff7/data/wm/world_us.lgp/dwd.p.png","View Picture")</f>
        <v>View Picture</v>
      </c>
      <c r="K3726" s="43"/>
    </row>
    <row r="3727">
      <c r="A3727" s="82"/>
      <c r="B3727" s="33" t="s">
        <v>34227</v>
      </c>
      <c r="C3727" s="42">
        <v>59.0</v>
      </c>
      <c r="D3727" s="33" t="s">
        <v>34229</v>
      </c>
      <c r="E3727" s="74"/>
      <c r="F3727" s="46" t="s">
        <v>2793</v>
      </c>
      <c r="G3727" s="75"/>
      <c r="H3727" s="96" t="str">
        <f>HYPERLINK("http://mirror.ff7data.com.ar/ff7/data/wm/world_us.lgp/dwe.rsd.png","View Picture")</f>
        <v>View Picture</v>
      </c>
      <c r="K3727" s="43"/>
    </row>
    <row r="3728">
      <c r="A3728" s="82"/>
      <c r="B3728" s="33" t="s">
        <v>34234</v>
      </c>
      <c r="C3728" s="42">
        <v>1116.0</v>
      </c>
      <c r="D3728" s="33" t="s">
        <v>34229</v>
      </c>
      <c r="E3728" s="74"/>
      <c r="F3728" s="46" t="s">
        <v>2775</v>
      </c>
      <c r="G3728" s="75"/>
      <c r="H3728" s="96" t="str">
        <f>HYPERLINK("http://mirror.ff7data.com.ar/ff7/data/wm/world_us.lgp/dxa.p.png","View Picture")</f>
        <v>View Picture</v>
      </c>
      <c r="K3728" s="43"/>
    </row>
    <row r="3729">
      <c r="A3729" s="82"/>
      <c r="B3729" s="33" t="s">
        <v>34243</v>
      </c>
      <c r="C3729" s="42">
        <v>59.0</v>
      </c>
      <c r="D3729" s="33" t="s">
        <v>34244</v>
      </c>
      <c r="E3729" s="74"/>
      <c r="F3729" s="46" t="s">
        <v>2793</v>
      </c>
      <c r="G3729" s="75"/>
      <c r="H3729" s="96" t="str">
        <f>HYPERLINK("http://mirror.ff7data.com.ar/ff7/data/wm/world_us.lgp/dxb.rsd.png","View Picture")</f>
        <v>View Picture</v>
      </c>
      <c r="K3729" s="43"/>
    </row>
    <row r="3730">
      <c r="A3730" s="82"/>
      <c r="B3730" s="33" t="s">
        <v>34252</v>
      </c>
      <c r="C3730" s="42">
        <v>1228.0</v>
      </c>
      <c r="D3730" s="33" t="s">
        <v>34244</v>
      </c>
      <c r="E3730" s="74"/>
      <c r="F3730" s="46" t="s">
        <v>2775</v>
      </c>
      <c r="G3730" s="75"/>
      <c r="H3730" s="96" t="str">
        <f>HYPERLINK("http://mirror.ff7data.com.ar/ff7/data/wm/world_us.lgp/dxc.p.png","View Picture")</f>
        <v>View Picture</v>
      </c>
      <c r="K3730" s="43"/>
    </row>
    <row r="3731">
      <c r="A3731" s="82"/>
      <c r="B3731" s="33" t="s">
        <v>34262</v>
      </c>
      <c r="C3731" s="42">
        <v>59.0</v>
      </c>
      <c r="D3731" s="33" t="s">
        <v>34263</v>
      </c>
      <c r="E3731" s="74"/>
      <c r="F3731" s="46" t="s">
        <v>2793</v>
      </c>
      <c r="G3731" s="75"/>
      <c r="H3731" s="96" t="str">
        <f>HYPERLINK("http://mirror.ff7data.com.ar/ff7/data/wm/world_us.lgp/dxd.rsd.png","View Picture")</f>
        <v>View Picture</v>
      </c>
      <c r="K3731" s="43"/>
    </row>
    <row r="3732">
      <c r="A3732" s="82"/>
      <c r="B3732" s="33" t="s">
        <v>34270</v>
      </c>
      <c r="C3732" s="42">
        <v>1116.0</v>
      </c>
      <c r="D3732" s="33" t="s">
        <v>34263</v>
      </c>
      <c r="E3732" s="74"/>
      <c r="F3732" s="46" t="s">
        <v>2775</v>
      </c>
      <c r="G3732" s="75"/>
      <c r="H3732" s="96" t="str">
        <f>HYPERLINK("http://mirror.ff7data.com.ar/ff7/data/wm/world_us.lgp/dxe.p.png","View Picture")</f>
        <v>View Picture</v>
      </c>
      <c r="K3732" s="43"/>
    </row>
    <row r="3733">
      <c r="A3733" s="82"/>
      <c r="B3733" s="33" t="s">
        <v>34278</v>
      </c>
      <c r="C3733" s="42">
        <v>1656.0</v>
      </c>
      <c r="D3733" s="33" t="s">
        <v>34280</v>
      </c>
      <c r="E3733" s="74"/>
      <c r="F3733" s="46" t="s">
        <v>3366</v>
      </c>
      <c r="G3733" s="75"/>
      <c r="H3733" s="74"/>
      <c r="K3733" s="43"/>
    </row>
    <row r="3734">
      <c r="A3734" s="82"/>
      <c r="B3734" s="33" t="s">
        <v>34283</v>
      </c>
      <c r="C3734" s="42">
        <v>1088.0</v>
      </c>
      <c r="D3734" s="33" t="s">
        <v>1595</v>
      </c>
      <c r="E3734" s="74"/>
      <c r="F3734" s="46" t="s">
        <v>7609</v>
      </c>
      <c r="G3734" s="74"/>
      <c r="H3734" s="96" t="str">
        <f>HYPERLINK("http://mirror.ff7data.com.ar/ff7/data/wm/world_us.lgp/dyb.hrc.png","View Picture")</f>
        <v>View Picture</v>
      </c>
      <c r="K3734" s="43"/>
    </row>
    <row r="3735">
      <c r="A3735" s="82"/>
      <c r="B3735" s="33" t="s">
        <v>34291</v>
      </c>
      <c r="C3735" s="42">
        <v>142.0</v>
      </c>
      <c r="D3735" s="33" t="s">
        <v>34293</v>
      </c>
      <c r="E3735" s="74"/>
      <c r="F3735" s="46" t="s">
        <v>2793</v>
      </c>
      <c r="G3735" s="75"/>
      <c r="H3735" s="96" t="str">
        <f>HYPERLINK("http://mirror.ff7data.com.ar/ff7/data/wm/world_us.lgp/dyc.rsd.png","View Picture")</f>
        <v>View Picture</v>
      </c>
      <c r="K3735" s="43"/>
    </row>
    <row r="3736">
      <c r="A3736" s="82"/>
      <c r="B3736" s="33" t="s">
        <v>34298</v>
      </c>
      <c r="C3736" s="42">
        <v>1620.0</v>
      </c>
      <c r="D3736" s="33" t="s">
        <v>34293</v>
      </c>
      <c r="E3736" s="74"/>
      <c r="F3736" s="46" t="s">
        <v>2775</v>
      </c>
      <c r="G3736" s="75"/>
      <c r="H3736" s="96" t="str">
        <f>HYPERLINK("http://mirror.ff7data.com.ar/ff7/data/wm/world_us.lgp/dyd.p.png","View Picture")</f>
        <v>View Picture</v>
      </c>
      <c r="K3736" s="43"/>
    </row>
    <row r="3737">
      <c r="A3737" s="82"/>
      <c r="B3737" s="33" t="s">
        <v>34306</v>
      </c>
      <c r="C3737" s="42">
        <v>142.0</v>
      </c>
      <c r="D3737" s="33" t="s">
        <v>34308</v>
      </c>
      <c r="E3737" s="74"/>
      <c r="F3737" s="46" t="s">
        <v>2793</v>
      </c>
      <c r="G3737" s="75"/>
      <c r="H3737" s="96" t="str">
        <f>HYPERLINK("http://mirror.ff7data.com.ar/ff7/data/wm/world_us.lgp/dye.rsd.png","View Picture")</f>
        <v>View Picture</v>
      </c>
      <c r="K3737" s="43"/>
    </row>
    <row r="3738">
      <c r="A3738" s="82"/>
      <c r="B3738" s="33" t="s">
        <v>34315</v>
      </c>
      <c r="C3738" s="42">
        <v>1308.0</v>
      </c>
      <c r="D3738" s="33" t="s">
        <v>34308</v>
      </c>
      <c r="E3738" s="74"/>
      <c r="F3738" s="46" t="s">
        <v>2775</v>
      </c>
      <c r="G3738" s="75"/>
      <c r="H3738" s="96" t="str">
        <f>HYPERLINK("http://mirror.ff7data.com.ar/ff7/data/wm/world_us.lgp/dza.p.png","View Picture")</f>
        <v>View Picture</v>
      </c>
      <c r="K3738" s="43"/>
    </row>
    <row r="3739">
      <c r="A3739" s="82"/>
      <c r="B3739" s="33" t="s">
        <v>34323</v>
      </c>
      <c r="C3739" s="42">
        <v>142.0</v>
      </c>
      <c r="D3739" s="33" t="s">
        <v>34325</v>
      </c>
      <c r="E3739" s="74"/>
      <c r="F3739" s="46" t="s">
        <v>2793</v>
      </c>
      <c r="G3739" s="75"/>
      <c r="H3739" s="96" t="str">
        <f>HYPERLINK("http://mirror.ff7data.com.ar/ff7/data/wm/world_us.lgp/dzb.rsd.png","View Picture")</f>
        <v>View Picture</v>
      </c>
      <c r="K3739" s="43"/>
    </row>
    <row r="3740">
      <c r="A3740" s="82"/>
      <c r="B3740" s="33" t="s">
        <v>34333</v>
      </c>
      <c r="C3740" s="42">
        <v>1060.0</v>
      </c>
      <c r="D3740" s="33" t="s">
        <v>34325</v>
      </c>
      <c r="E3740" s="74"/>
      <c r="F3740" s="46" t="s">
        <v>2775</v>
      </c>
      <c r="G3740" s="75"/>
      <c r="H3740" s="96" t="str">
        <f>HYPERLINK("http://mirror.ff7data.com.ar/ff7/data/wm/world_us.lgp/dzc.p.png","View Picture")</f>
        <v>View Picture</v>
      </c>
      <c r="K3740" s="43"/>
    </row>
    <row r="3741">
      <c r="A3741" s="82"/>
      <c r="B3741" s="33" t="s">
        <v>34342</v>
      </c>
      <c r="C3741" s="42">
        <v>142.0</v>
      </c>
      <c r="D3741" s="33" t="s">
        <v>34344</v>
      </c>
      <c r="E3741" s="74"/>
      <c r="F3741" s="46" t="s">
        <v>2793</v>
      </c>
      <c r="G3741" s="75"/>
      <c r="H3741" s="96" t="str">
        <f>HYPERLINK("http://mirror.ff7data.com.ar/ff7/data/wm/world_us.lgp/dzd.rsd.png","View Picture")</f>
        <v>View Picture</v>
      </c>
      <c r="K3741" s="43"/>
    </row>
    <row r="3742">
      <c r="A3742" s="82"/>
      <c r="B3742" s="33" t="s">
        <v>34356</v>
      </c>
      <c r="C3742" s="42">
        <v>764.0</v>
      </c>
      <c r="D3742" s="33" t="s">
        <v>34344</v>
      </c>
      <c r="E3742" s="74"/>
      <c r="F3742" s="46" t="s">
        <v>2775</v>
      </c>
      <c r="G3742" s="75"/>
      <c r="H3742" s="96" t="str">
        <f>HYPERLINK("http://mirror.ff7data.com.ar/ff7/data/wm/world_us.lgp/dze.p.png","View Picture")</f>
        <v>View Picture</v>
      </c>
      <c r="K3742" s="43"/>
    </row>
    <row r="3743">
      <c r="A3743" s="82"/>
      <c r="B3743" s="33" t="s">
        <v>34364</v>
      </c>
      <c r="C3743" s="42">
        <v>142.0</v>
      </c>
      <c r="D3743" s="33" t="s">
        <v>34308</v>
      </c>
      <c r="E3743" s="74"/>
      <c r="F3743" s="46" t="s">
        <v>2793</v>
      </c>
      <c r="G3743" s="75"/>
      <c r="H3743" s="96" t="str">
        <f>HYPERLINK("http://mirror.ff7data.com.ar/ff7/data/wm/world_us.lgp/eaa.rsd.png","View Picture")</f>
        <v>View Picture</v>
      </c>
      <c r="K3743" s="43"/>
    </row>
    <row r="3744">
      <c r="A3744" s="82"/>
      <c r="B3744" s="33" t="s">
        <v>34367</v>
      </c>
      <c r="C3744" s="42">
        <v>1304.0</v>
      </c>
      <c r="D3744" s="33" t="s">
        <v>34308</v>
      </c>
      <c r="E3744" s="74"/>
      <c r="F3744" s="46" t="s">
        <v>2775</v>
      </c>
      <c r="G3744" s="75"/>
      <c r="H3744" s="96" t="str">
        <f>HYPERLINK("http://mirror.ff7data.com.ar/ff7/data/wm/world_us.lgp/eab.p.png","View Picture")</f>
        <v>View Picture</v>
      </c>
      <c r="K3744" s="43"/>
    </row>
    <row r="3745">
      <c r="A3745" s="82"/>
      <c r="B3745" s="33" t="s">
        <v>34379</v>
      </c>
      <c r="C3745" s="42">
        <v>142.0</v>
      </c>
      <c r="D3745" s="33" t="s">
        <v>34325</v>
      </c>
      <c r="E3745" s="74"/>
      <c r="F3745" s="46" t="s">
        <v>2793</v>
      </c>
      <c r="G3745" s="75"/>
      <c r="H3745" s="96" t="str">
        <f>HYPERLINK("http://mirror.ff7data.com.ar/ff7/data/wm/world_us.lgp/eac.rsd.png","View Picture")</f>
        <v>View Picture</v>
      </c>
      <c r="K3745" s="43"/>
    </row>
    <row r="3746">
      <c r="A3746" s="82"/>
      <c r="B3746" s="33" t="s">
        <v>34393</v>
      </c>
      <c r="C3746" s="42">
        <v>1060.0</v>
      </c>
      <c r="D3746" s="33" t="s">
        <v>34325</v>
      </c>
      <c r="E3746" s="74"/>
      <c r="F3746" s="46" t="s">
        <v>2775</v>
      </c>
      <c r="G3746" s="75"/>
      <c r="H3746" s="96" t="str">
        <f>HYPERLINK("http://mirror.ff7data.com.ar/ff7/data/wm/world_us.lgp/ead.p.png","View Picture")</f>
        <v>View Picture</v>
      </c>
      <c r="K3746" s="43"/>
    </row>
    <row r="3747">
      <c r="A3747" s="82"/>
      <c r="B3747" s="33" t="s">
        <v>34404</v>
      </c>
      <c r="C3747" s="42">
        <v>142.0</v>
      </c>
      <c r="D3747" s="33" t="s">
        <v>34344</v>
      </c>
      <c r="E3747" s="74"/>
      <c r="F3747" s="46" t="s">
        <v>2793</v>
      </c>
      <c r="G3747" s="75"/>
      <c r="H3747" s="96" t="str">
        <f>HYPERLINK("http://mirror.ff7data.com.ar/ff7/data/wm/world_us.lgp/eae.rsd.png","View Picture")</f>
        <v>View Picture</v>
      </c>
      <c r="K3747" s="43"/>
    </row>
    <row r="3748">
      <c r="A3748" s="82"/>
      <c r="B3748" s="33" t="s">
        <v>34413</v>
      </c>
      <c r="C3748" s="42">
        <v>764.0</v>
      </c>
      <c r="D3748" s="33" t="s">
        <v>34344</v>
      </c>
      <c r="E3748" s="74"/>
      <c r="F3748" s="46" t="s">
        <v>2775</v>
      </c>
      <c r="G3748" s="75"/>
      <c r="H3748" s="96" t="str">
        <f>HYPERLINK("http://mirror.ff7data.com.ar/ff7/data/wm/world_us.lgp/eba.p.png","View Picture")</f>
        <v>View Picture</v>
      </c>
      <c r="K3748" s="43"/>
    </row>
    <row r="3749">
      <c r="A3749" s="82"/>
      <c r="B3749" s="33" t="s">
        <v>34425</v>
      </c>
      <c r="C3749" s="42">
        <v>142.0</v>
      </c>
      <c r="D3749" s="33" t="s">
        <v>34308</v>
      </c>
      <c r="E3749" s="74"/>
      <c r="F3749" s="46" t="s">
        <v>2793</v>
      </c>
      <c r="G3749" s="75"/>
      <c r="H3749" s="96" t="str">
        <f>HYPERLINK("http://mirror.ff7data.com.ar/ff7/data/wm/world_us.lgp/ebb.rsd.png","View Picture")</f>
        <v>View Picture</v>
      </c>
      <c r="K3749" s="43"/>
    </row>
    <row r="3750">
      <c r="A3750" s="82"/>
      <c r="B3750" s="33" t="s">
        <v>34435</v>
      </c>
      <c r="C3750" s="42">
        <v>1284.0</v>
      </c>
      <c r="D3750" s="33" t="s">
        <v>34308</v>
      </c>
      <c r="E3750" s="74"/>
      <c r="F3750" s="46" t="s">
        <v>2775</v>
      </c>
      <c r="G3750" s="75"/>
      <c r="H3750" s="96" t="str">
        <f>HYPERLINK("http://mirror.ff7data.com.ar/ff7/data/wm/world_us.lgp/ebc.p.png","View Picture")</f>
        <v>View Picture</v>
      </c>
      <c r="K3750" s="43"/>
    </row>
    <row r="3751">
      <c r="A3751" s="82"/>
      <c r="B3751" s="33" t="s">
        <v>34438</v>
      </c>
      <c r="C3751" s="42">
        <v>142.0</v>
      </c>
      <c r="D3751" s="33" t="s">
        <v>34325</v>
      </c>
      <c r="E3751" s="74"/>
      <c r="F3751" s="46" t="s">
        <v>2793</v>
      </c>
      <c r="G3751" s="75"/>
      <c r="H3751" s="96" t="str">
        <f>HYPERLINK("http://mirror.ff7data.com.ar/ff7/data/wm/world_us.lgp/ebd.rsd.png","View Picture")</f>
        <v>View Picture</v>
      </c>
      <c r="K3751" s="43"/>
    </row>
    <row r="3752">
      <c r="A3752" s="82"/>
      <c r="B3752" s="33" t="s">
        <v>34440</v>
      </c>
      <c r="C3752" s="42">
        <v>1060.0</v>
      </c>
      <c r="D3752" s="33" t="s">
        <v>34325</v>
      </c>
      <c r="E3752" s="74"/>
      <c r="F3752" s="46" t="s">
        <v>2775</v>
      </c>
      <c r="G3752" s="75"/>
      <c r="H3752" s="96" t="str">
        <f>HYPERLINK("http://mirror.ff7data.com.ar/ff7/data/wm/world_us.lgp/ebe.p.png","View Picture")</f>
        <v>View Picture</v>
      </c>
      <c r="K3752" s="43"/>
    </row>
    <row r="3753">
      <c r="A3753" s="82"/>
      <c r="B3753" s="33" t="s">
        <v>34442</v>
      </c>
      <c r="C3753" s="42">
        <v>142.0</v>
      </c>
      <c r="D3753" s="33" t="s">
        <v>34344</v>
      </c>
      <c r="E3753" s="74"/>
      <c r="F3753" s="46" t="s">
        <v>2793</v>
      </c>
      <c r="G3753" s="75"/>
      <c r="H3753" s="96" t="str">
        <f>HYPERLINK("http://mirror.ff7data.com.ar/ff7/data/wm/world_us.lgp/eca.rsd.png","View Picture")</f>
        <v>View Picture</v>
      </c>
      <c r="K3753" s="43"/>
    </row>
    <row r="3754">
      <c r="A3754" s="82"/>
      <c r="B3754" s="33" t="s">
        <v>34445</v>
      </c>
      <c r="C3754" s="42">
        <v>764.0</v>
      </c>
      <c r="D3754" s="33" t="s">
        <v>34344</v>
      </c>
      <c r="E3754" s="74"/>
      <c r="F3754" s="46" t="s">
        <v>2775</v>
      </c>
      <c r="G3754" s="75"/>
      <c r="H3754" s="96" t="str">
        <f>HYPERLINK("http://mirror.ff7data.com.ar/ff7/data/wm/world_us.lgp/ecb.p.png","View Picture")</f>
        <v>View Picture</v>
      </c>
      <c r="K3754" s="43"/>
    </row>
    <row r="3755">
      <c r="A3755" s="82"/>
      <c r="B3755" s="33" t="s">
        <v>34447</v>
      </c>
      <c r="C3755" s="42">
        <v>142.0</v>
      </c>
      <c r="D3755" s="33" t="s">
        <v>34308</v>
      </c>
      <c r="E3755" s="74"/>
      <c r="F3755" s="46" t="s">
        <v>2793</v>
      </c>
      <c r="G3755" s="75"/>
      <c r="H3755" s="96" t="str">
        <f>HYPERLINK("http://mirror.ff7data.com.ar/ff7/data/wm/world_us.lgp/ecc.rsd.png","View Picture")</f>
        <v>View Picture</v>
      </c>
      <c r="K3755" s="43"/>
    </row>
    <row r="3756">
      <c r="A3756" s="82"/>
      <c r="B3756" s="33" t="s">
        <v>34448</v>
      </c>
      <c r="C3756" s="42">
        <v>1284.0</v>
      </c>
      <c r="D3756" s="33" t="s">
        <v>34308</v>
      </c>
      <c r="E3756" s="74"/>
      <c r="F3756" s="46" t="s">
        <v>2775</v>
      </c>
      <c r="G3756" s="75"/>
      <c r="H3756" s="96" t="str">
        <f>HYPERLINK("http://mirror.ff7data.com.ar/ff7/data/wm/world_us.lgp/ecd.p.png","View Picture")</f>
        <v>View Picture</v>
      </c>
      <c r="K3756" s="43"/>
    </row>
    <row r="3757">
      <c r="A3757" s="82"/>
      <c r="B3757" s="33" t="s">
        <v>34449</v>
      </c>
      <c r="C3757" s="42">
        <v>142.0</v>
      </c>
      <c r="D3757" s="33" t="s">
        <v>34325</v>
      </c>
      <c r="E3757" s="74"/>
      <c r="F3757" s="46" t="s">
        <v>2793</v>
      </c>
      <c r="G3757" s="75"/>
      <c r="H3757" s="96" t="str">
        <f>HYPERLINK("http://mirror.ff7data.com.ar/ff7/data/wm/world_us.lgp/ece.rsd.png","View Picture")</f>
        <v>View Picture</v>
      </c>
      <c r="K3757" s="43"/>
    </row>
    <row r="3758">
      <c r="A3758" s="82"/>
      <c r="B3758" s="33" t="s">
        <v>34450</v>
      </c>
      <c r="C3758" s="42">
        <v>1060.0</v>
      </c>
      <c r="D3758" s="33" t="s">
        <v>34325</v>
      </c>
      <c r="E3758" s="74"/>
      <c r="F3758" s="46" t="s">
        <v>2775</v>
      </c>
      <c r="G3758" s="75"/>
      <c r="H3758" s="96" t="str">
        <f>HYPERLINK("http://mirror.ff7data.com.ar/ff7/data/wm/world_us.lgp/eda.p.png","View Picture")</f>
        <v>View Picture</v>
      </c>
      <c r="K3758" s="43"/>
    </row>
    <row r="3759">
      <c r="A3759" s="82"/>
      <c r="B3759" s="33" t="s">
        <v>34451</v>
      </c>
      <c r="C3759" s="42">
        <v>142.0</v>
      </c>
      <c r="D3759" s="33" t="s">
        <v>34344</v>
      </c>
      <c r="E3759" s="74"/>
      <c r="F3759" s="46" t="s">
        <v>2793</v>
      </c>
      <c r="G3759" s="75"/>
      <c r="H3759" s="96" t="str">
        <f>HYPERLINK("http://mirror.ff7data.com.ar/ff7/data/wm/world_us.lgp/edb.rsd.png","View Picture")</f>
        <v>View Picture</v>
      </c>
      <c r="K3759" s="43"/>
    </row>
    <row r="3760">
      <c r="A3760" s="82"/>
      <c r="B3760" s="33" t="s">
        <v>34452</v>
      </c>
      <c r="C3760" s="42">
        <v>764.0</v>
      </c>
      <c r="D3760" s="33" t="s">
        <v>34344</v>
      </c>
      <c r="E3760" s="74"/>
      <c r="F3760" s="46" t="s">
        <v>2775</v>
      </c>
      <c r="G3760" s="75"/>
      <c r="H3760" s="96" t="str">
        <f>HYPERLINK("http://mirror.ff7data.com.ar/ff7/data/wm/world_us.lgp/edc.p.png","View Picture")</f>
        <v>View Picture</v>
      </c>
      <c r="K3760" s="43"/>
    </row>
    <row r="3761">
      <c r="A3761" s="82"/>
      <c r="B3761" s="33" t="s">
        <v>34453</v>
      </c>
      <c r="C3761" s="42">
        <v>142.0</v>
      </c>
      <c r="D3761" s="33" t="s">
        <v>34454</v>
      </c>
      <c r="E3761" s="74"/>
      <c r="F3761" s="46" t="s">
        <v>2793</v>
      </c>
      <c r="G3761" s="75"/>
      <c r="H3761" s="96" t="str">
        <f>HYPERLINK("http://mirror.ff7data.com.ar/ff7/data/wm/world_us.lgp/edd.rsd.png","View Picture")</f>
        <v>View Picture</v>
      </c>
      <c r="K3761" s="43"/>
    </row>
    <row r="3762">
      <c r="A3762" s="82"/>
      <c r="B3762" s="33" t="s">
        <v>34456</v>
      </c>
      <c r="C3762" s="42">
        <v>1968.0</v>
      </c>
      <c r="D3762" s="33" t="s">
        <v>34454</v>
      </c>
      <c r="E3762" s="74"/>
      <c r="F3762" s="46" t="s">
        <v>2775</v>
      </c>
      <c r="G3762" s="75"/>
      <c r="H3762" s="96" t="str">
        <f>HYPERLINK("http://mirror.ff7data.com.ar/ff7/data/wm/world_us.lgp/ede.p.png","View Picture")</f>
        <v>View Picture</v>
      </c>
      <c r="K3762" s="43"/>
    </row>
    <row r="3763" ht="22.5" customHeight="1">
      <c r="A3763" s="40"/>
      <c r="B3763" s="33" t="s">
        <v>34458</v>
      </c>
      <c r="C3763" s="42">
        <v>1324.0</v>
      </c>
      <c r="D3763" s="33" t="s">
        <v>34459</v>
      </c>
      <c r="E3763" s="74"/>
      <c r="F3763" s="46" t="s">
        <v>1348</v>
      </c>
      <c r="G3763" s="46" t="s">
        <v>34460</v>
      </c>
      <c r="H3763" s="98" t="str">
        <f>HYPERLINK("http://mirror.ff7data.com.ar/ff7/data/wm/world_us.lgp/edes01.tex.png","View Picture")</f>
        <v>View Picture</v>
      </c>
      <c r="K3763" s="43"/>
    </row>
    <row r="3764" ht="22.5" customHeight="1">
      <c r="A3764" s="40"/>
      <c r="B3764" s="33" t="s">
        <v>34462</v>
      </c>
      <c r="C3764" s="42">
        <v>1324.0</v>
      </c>
      <c r="D3764" s="33" t="s">
        <v>34463</v>
      </c>
      <c r="E3764" s="74"/>
      <c r="F3764" s="46" t="s">
        <v>1348</v>
      </c>
      <c r="G3764" s="46" t="s">
        <v>34460</v>
      </c>
      <c r="H3764" s="98" t="str">
        <f>HYPERLINK("http://mirror.ff7data.com.ar/ff7/data/wm/world_us.lgp/edes02.tex.png","View Picture")</f>
        <v>View Picture</v>
      </c>
      <c r="K3764" s="43"/>
    </row>
    <row r="3765" ht="22.5" customHeight="1">
      <c r="A3765" s="40"/>
      <c r="B3765" s="33" t="s">
        <v>34465</v>
      </c>
      <c r="C3765" s="42">
        <v>1324.0</v>
      </c>
      <c r="D3765" s="33" t="s">
        <v>34466</v>
      </c>
      <c r="E3765" s="74"/>
      <c r="F3765" s="46" t="s">
        <v>1348</v>
      </c>
      <c r="G3765" s="46" t="s">
        <v>34460</v>
      </c>
      <c r="H3765" s="98" t="str">
        <f>HYPERLINK("http://mirror.ff7data.com.ar/ff7/data/wm/world_us.lgp/edes03.tex.png","View Picture")</f>
        <v>View Picture</v>
      </c>
      <c r="K3765" s="43"/>
    </row>
    <row r="3766" ht="22.5" customHeight="1">
      <c r="A3766" s="40"/>
      <c r="B3766" s="33" t="s">
        <v>34468</v>
      </c>
      <c r="C3766" s="42">
        <v>1324.0</v>
      </c>
      <c r="D3766" s="33" t="s">
        <v>34469</v>
      </c>
      <c r="E3766" s="74"/>
      <c r="F3766" s="46" t="s">
        <v>1348</v>
      </c>
      <c r="G3766" s="46" t="s">
        <v>34460</v>
      </c>
      <c r="H3766" s="98" t="str">
        <f>HYPERLINK("http://mirror.ff7data.com.ar/ff7/data/wm/world_us.lgp/edes04.tex.png","View Picture")</f>
        <v>View Picture</v>
      </c>
      <c r="K3766" s="43"/>
    </row>
    <row r="3767">
      <c r="A3767" s="82"/>
      <c r="B3767" s="33" t="s">
        <v>34471</v>
      </c>
      <c r="C3767" s="42">
        <v>142.0</v>
      </c>
      <c r="D3767" s="33" t="s">
        <v>34472</v>
      </c>
      <c r="E3767" s="74"/>
      <c r="F3767" s="46" t="s">
        <v>2793</v>
      </c>
      <c r="G3767" s="75"/>
      <c r="H3767" s="96" t="str">
        <f>HYPERLINK("http://mirror.ff7data.com.ar/ff7/data/wm/world_us.lgp/eea.rsd.png","View Picture")</f>
        <v>View Picture</v>
      </c>
      <c r="K3767" s="43"/>
    </row>
    <row r="3768">
      <c r="A3768" s="82"/>
      <c r="B3768" s="33" t="s">
        <v>34474</v>
      </c>
      <c r="C3768" s="42">
        <v>2524.0</v>
      </c>
      <c r="D3768" s="33" t="s">
        <v>34472</v>
      </c>
      <c r="E3768" s="74"/>
      <c r="F3768" s="46" t="s">
        <v>2775</v>
      </c>
      <c r="G3768" s="75"/>
      <c r="H3768" s="96" t="str">
        <f>HYPERLINK("http://mirror.ff7data.com.ar/ff7/data/wm/world_us.lgp/eeb.p.png","View Picture")</f>
        <v>View Picture</v>
      </c>
      <c r="K3768" s="43"/>
    </row>
    <row r="3769">
      <c r="A3769" s="82"/>
      <c r="B3769" s="33" t="s">
        <v>34476</v>
      </c>
      <c r="C3769" s="42">
        <v>142.0</v>
      </c>
      <c r="D3769" s="33" t="s">
        <v>34477</v>
      </c>
      <c r="E3769" s="74"/>
      <c r="F3769" s="46" t="s">
        <v>2793</v>
      </c>
      <c r="G3769" s="75"/>
      <c r="H3769" s="96" t="str">
        <f>HYPERLINK("http://mirror.ff7data.com.ar/ff7/data/wm/world_us.lgp/eec.rsd.png","View Picture")</f>
        <v>View Picture</v>
      </c>
      <c r="K3769" s="43"/>
    </row>
    <row r="3770">
      <c r="A3770" s="82"/>
      <c r="B3770" s="33" t="s">
        <v>34479</v>
      </c>
      <c r="C3770" s="42">
        <v>2916.0</v>
      </c>
      <c r="D3770" s="33" t="s">
        <v>34477</v>
      </c>
      <c r="E3770" s="74"/>
      <c r="F3770" s="46" t="s">
        <v>2775</v>
      </c>
      <c r="G3770" s="75"/>
      <c r="H3770" s="96" t="str">
        <f>HYPERLINK("http://mirror.ff7data.com.ar/ff7/data/wm/world_us.lgp/eed.p.png","View Picture")</f>
        <v>View Picture</v>
      </c>
      <c r="K3770" s="43"/>
    </row>
    <row r="3771">
      <c r="A3771" s="82"/>
      <c r="B3771" s="33" t="s">
        <v>34481</v>
      </c>
      <c r="C3771" s="42">
        <v>142.0</v>
      </c>
      <c r="D3771" s="33" t="s">
        <v>34483</v>
      </c>
      <c r="E3771" s="74"/>
      <c r="F3771" s="46" t="s">
        <v>2793</v>
      </c>
      <c r="G3771" s="75"/>
      <c r="H3771" s="96" t="str">
        <f>HYPERLINK("http://mirror.ff7data.com.ar/ff7/data/wm/world_us.lgp/eee.rsd.png","View Picture")</f>
        <v>View Picture</v>
      </c>
      <c r="K3771" s="43"/>
    </row>
    <row r="3772">
      <c r="A3772" s="82"/>
      <c r="B3772" s="33" t="s">
        <v>34485</v>
      </c>
      <c r="C3772" s="42">
        <v>2524.0</v>
      </c>
      <c r="D3772" s="33" t="s">
        <v>34483</v>
      </c>
      <c r="E3772" s="74"/>
      <c r="F3772" s="46" t="s">
        <v>2775</v>
      </c>
      <c r="G3772" s="75"/>
      <c r="H3772" s="96" t="str">
        <f>HYPERLINK("http://mirror.ff7data.com.ar/ff7/data/wm/world_us.lgp/efa.p.png","View Picture")</f>
        <v>View Picture</v>
      </c>
      <c r="K3772" s="43"/>
    </row>
    <row r="3773">
      <c r="A3773" s="82"/>
      <c r="B3773" s="33" t="s">
        <v>34487</v>
      </c>
      <c r="C3773" s="42">
        <v>142.0</v>
      </c>
      <c r="D3773" s="33" t="s">
        <v>34488</v>
      </c>
      <c r="E3773" s="74"/>
      <c r="F3773" s="46" t="s">
        <v>2793</v>
      </c>
      <c r="G3773" s="75"/>
      <c r="H3773" s="96" t="str">
        <f>HYPERLINK("http://mirror.ff7data.com.ar/ff7/data/wm/world_us.lgp/efb.rsd.png","View Picture")</f>
        <v>View Picture</v>
      </c>
      <c r="K3773" s="43"/>
    </row>
    <row r="3774">
      <c r="A3774" s="82"/>
      <c r="B3774" s="33" t="s">
        <v>34490</v>
      </c>
      <c r="C3774" s="42">
        <v>2068.0</v>
      </c>
      <c r="D3774" s="33" t="s">
        <v>34488</v>
      </c>
      <c r="E3774" s="74"/>
      <c r="F3774" s="46" t="s">
        <v>2775</v>
      </c>
      <c r="G3774" s="75"/>
      <c r="H3774" s="96" t="str">
        <f>HYPERLINK("http://mirror.ff7data.com.ar/ff7/data/wm/world_us.lgp/efc.p.png","View Picture")</f>
        <v>View Picture</v>
      </c>
      <c r="K3774" s="43"/>
    </row>
    <row r="3775">
      <c r="A3775" s="82"/>
      <c r="B3775" s="33" t="s">
        <v>34492</v>
      </c>
      <c r="C3775" s="42">
        <v>142.0</v>
      </c>
      <c r="D3775" s="33" t="s">
        <v>34493</v>
      </c>
      <c r="E3775" s="74"/>
      <c r="F3775" s="46" t="s">
        <v>2793</v>
      </c>
      <c r="G3775" s="75"/>
      <c r="H3775" s="96" t="str">
        <f>HYPERLINK("http://mirror.ff7data.com.ar/ff7/data/wm/world_us.lgp/efd.rsd.png","View Picture")</f>
        <v>View Picture</v>
      </c>
      <c r="K3775" s="43"/>
    </row>
    <row r="3776">
      <c r="A3776" s="82"/>
      <c r="B3776" s="33" t="s">
        <v>34495</v>
      </c>
      <c r="C3776" s="42">
        <v>848.0</v>
      </c>
      <c r="D3776" s="33" t="s">
        <v>34493</v>
      </c>
      <c r="E3776" s="74"/>
      <c r="F3776" s="46" t="s">
        <v>2775</v>
      </c>
      <c r="G3776" s="75"/>
      <c r="H3776" s="96" t="str">
        <f>HYPERLINK("http://mirror.ff7data.com.ar/ff7/data/wm/world_us.lgp/efe.p.png","View Picture")</f>
        <v>View Picture</v>
      </c>
      <c r="K3776" s="43"/>
    </row>
    <row r="3777">
      <c r="A3777" s="82"/>
      <c r="B3777" s="33" t="s">
        <v>34497</v>
      </c>
      <c r="C3777" s="42">
        <v>142.0</v>
      </c>
      <c r="D3777" s="33" t="s">
        <v>34500</v>
      </c>
      <c r="E3777" s="74"/>
      <c r="F3777" s="46" t="s">
        <v>2793</v>
      </c>
      <c r="G3777" s="75"/>
      <c r="H3777" s="96" t="str">
        <f>HYPERLINK("http://mirror.ff7data.com.ar/ff7/data/wm/world_us.lgp/ega.rsd.png","View Picture")</f>
        <v>View Picture</v>
      </c>
      <c r="K3777" s="43"/>
    </row>
    <row r="3778">
      <c r="A3778" s="82"/>
      <c r="B3778" s="33" t="s">
        <v>34504</v>
      </c>
      <c r="C3778" s="42">
        <v>712.0</v>
      </c>
      <c r="D3778" s="33" t="s">
        <v>34500</v>
      </c>
      <c r="E3778" s="74"/>
      <c r="F3778" s="46" t="s">
        <v>2775</v>
      </c>
      <c r="G3778" s="75"/>
      <c r="H3778" s="96" t="str">
        <f>HYPERLINK("http://mirror.ff7data.com.ar/ff7/data/wm/world_us.lgp/egb.p.png","View Picture")</f>
        <v>View Picture</v>
      </c>
      <c r="K3778" s="43"/>
    </row>
    <row r="3779">
      <c r="A3779" s="82"/>
      <c r="B3779" s="33" t="s">
        <v>34508</v>
      </c>
      <c r="C3779" s="42">
        <v>142.0</v>
      </c>
      <c r="D3779" s="33" t="s">
        <v>34483</v>
      </c>
      <c r="E3779" s="74"/>
      <c r="F3779" s="46" t="s">
        <v>2793</v>
      </c>
      <c r="G3779" s="75"/>
      <c r="H3779" s="96" t="str">
        <f>HYPERLINK("http://mirror.ff7data.com.ar/ff7/data/wm/world_us.lgp/egc.rsd.png","View Picture")</f>
        <v>View Picture</v>
      </c>
      <c r="K3779" s="43"/>
    </row>
    <row r="3780">
      <c r="A3780" s="82"/>
      <c r="B3780" s="33" t="s">
        <v>34509</v>
      </c>
      <c r="C3780" s="42">
        <v>2640.0</v>
      </c>
      <c r="D3780" s="33" t="s">
        <v>34483</v>
      </c>
      <c r="E3780" s="74"/>
      <c r="F3780" s="46" t="s">
        <v>2775</v>
      </c>
      <c r="G3780" s="75"/>
      <c r="H3780" s="96" t="str">
        <f>HYPERLINK("http://mirror.ff7data.com.ar/ff7/data/wm/world_us.lgp/egd.p.png","View Picture")</f>
        <v>View Picture</v>
      </c>
      <c r="K3780" s="43"/>
    </row>
    <row r="3781">
      <c r="A3781" s="82"/>
      <c r="B3781" s="33" t="s">
        <v>34512</v>
      </c>
      <c r="C3781" s="42">
        <v>142.0</v>
      </c>
      <c r="D3781" s="33" t="s">
        <v>34488</v>
      </c>
      <c r="E3781" s="74"/>
      <c r="F3781" s="46" t="s">
        <v>2793</v>
      </c>
      <c r="G3781" s="75"/>
      <c r="H3781" s="96" t="str">
        <f>HYPERLINK("http://mirror.ff7data.com.ar/ff7/data/wm/world_us.lgp/ege.rsd.png","View Picture")</f>
        <v>View Picture</v>
      </c>
      <c r="K3781" s="43"/>
    </row>
    <row r="3782">
      <c r="A3782" s="82"/>
      <c r="B3782" s="33" t="s">
        <v>34514</v>
      </c>
      <c r="C3782" s="42">
        <v>2068.0</v>
      </c>
      <c r="D3782" s="33" t="s">
        <v>34488</v>
      </c>
      <c r="E3782" s="74"/>
      <c r="F3782" s="46" t="s">
        <v>2775</v>
      </c>
      <c r="G3782" s="75"/>
      <c r="H3782" s="96" t="str">
        <f>HYPERLINK("http://mirror.ff7data.com.ar/ff7/data/wm/world_us.lgp/eha.p.png","View Picture")</f>
        <v>View Picture</v>
      </c>
      <c r="K3782" s="43"/>
    </row>
    <row r="3783">
      <c r="A3783" s="82"/>
      <c r="B3783" s="33" t="s">
        <v>34516</v>
      </c>
      <c r="C3783" s="42">
        <v>142.0</v>
      </c>
      <c r="D3783" s="33" t="s">
        <v>34493</v>
      </c>
      <c r="E3783" s="74"/>
      <c r="F3783" s="46" t="s">
        <v>2793</v>
      </c>
      <c r="G3783" s="75"/>
      <c r="H3783" s="96" t="str">
        <f>HYPERLINK("http://mirror.ff7data.com.ar/ff7/data/wm/world_us.lgp/ehb.rsd.png","View Picture")</f>
        <v>View Picture</v>
      </c>
      <c r="K3783" s="43"/>
    </row>
    <row r="3784">
      <c r="A3784" s="82"/>
      <c r="B3784" s="33" t="s">
        <v>34518</v>
      </c>
      <c r="C3784" s="42">
        <v>848.0</v>
      </c>
      <c r="D3784" s="33" t="s">
        <v>34493</v>
      </c>
      <c r="E3784" s="74"/>
      <c r="F3784" s="46" t="s">
        <v>2775</v>
      </c>
      <c r="G3784" s="75"/>
      <c r="H3784" s="96" t="str">
        <f>HYPERLINK("http://mirror.ff7data.com.ar/ff7/data/wm/world_us.lgp/ehc.p.png","View Picture")</f>
        <v>View Picture</v>
      </c>
      <c r="K3784" s="43"/>
    </row>
    <row r="3785">
      <c r="A3785" s="82"/>
      <c r="B3785" s="33" t="s">
        <v>34520</v>
      </c>
      <c r="C3785" s="42">
        <v>142.0</v>
      </c>
      <c r="D3785" s="33" t="s">
        <v>34500</v>
      </c>
      <c r="E3785" s="74"/>
      <c r="F3785" s="46" t="s">
        <v>2793</v>
      </c>
      <c r="G3785" s="75"/>
      <c r="H3785" s="96" t="str">
        <f>HYPERLINK("http://mirror.ff7data.com.ar/ff7/data/wm/world_us.lgp/ehd.rsd.png","View Picture")</f>
        <v>View Picture</v>
      </c>
      <c r="K3785" s="43"/>
    </row>
    <row r="3786">
      <c r="A3786" s="82"/>
      <c r="B3786" s="33" t="s">
        <v>34521</v>
      </c>
      <c r="C3786" s="42">
        <v>712.0</v>
      </c>
      <c r="D3786" s="33" t="s">
        <v>34500</v>
      </c>
      <c r="E3786" s="74"/>
      <c r="F3786" s="46" t="s">
        <v>2775</v>
      </c>
      <c r="G3786" s="75"/>
      <c r="H3786" s="96" t="str">
        <f>HYPERLINK("http://mirror.ff7data.com.ar/ff7/data/wm/world_us.lgp/ehe.p.png","View Picture")</f>
        <v>View Picture</v>
      </c>
      <c r="K3786" s="43"/>
    </row>
    <row r="3787">
      <c r="A3787" s="82"/>
      <c r="B3787" s="33" t="s">
        <v>34523</v>
      </c>
      <c r="C3787" s="42">
        <v>142.0</v>
      </c>
      <c r="D3787" s="33" t="s">
        <v>34524</v>
      </c>
      <c r="E3787" s="74"/>
      <c r="F3787" s="46" t="s">
        <v>2793</v>
      </c>
      <c r="G3787" s="75"/>
      <c r="H3787" s="96" t="str">
        <f>HYPERLINK("http://mirror.ff7data.com.ar/ff7/data/wm/world_us.lgp/eia.rsd.png","View Picture")</f>
        <v>View Picture</v>
      </c>
      <c r="K3787" s="43"/>
    </row>
    <row r="3788">
      <c r="A3788" s="82"/>
      <c r="B3788" s="33" t="s">
        <v>34527</v>
      </c>
      <c r="C3788" s="42">
        <v>1584.0</v>
      </c>
      <c r="D3788" s="33" t="s">
        <v>34524</v>
      </c>
      <c r="E3788" s="74"/>
      <c r="F3788" s="46" t="s">
        <v>2775</v>
      </c>
      <c r="G3788" s="75"/>
      <c r="H3788" s="96" t="str">
        <f>HYPERLINK("http://mirror.ff7data.com.ar/ff7/data/wm/world_us.lgp/eib.p.png","View Picture")</f>
        <v>View Picture</v>
      </c>
      <c r="K3788" s="43"/>
    </row>
    <row r="3789">
      <c r="A3789" s="82"/>
      <c r="B3789" s="33" t="s">
        <v>34528</v>
      </c>
      <c r="C3789" s="42">
        <v>1152.0</v>
      </c>
      <c r="D3789" s="33" t="s">
        <v>34529</v>
      </c>
      <c r="E3789" s="74"/>
      <c r="F3789" s="46" t="s">
        <v>3366</v>
      </c>
      <c r="G3789" s="75"/>
      <c r="H3789" s="74"/>
      <c r="K3789" s="43"/>
    </row>
    <row r="3790">
      <c r="A3790" s="82"/>
      <c r="B3790" s="33" t="s">
        <v>34530</v>
      </c>
      <c r="C3790" s="42">
        <v>11196.0</v>
      </c>
      <c r="D3790" s="33" t="s">
        <v>34532</v>
      </c>
      <c r="E3790" s="74"/>
      <c r="F3790" s="46" t="s">
        <v>3366</v>
      </c>
      <c r="G3790" s="75"/>
      <c r="H3790" s="74"/>
      <c r="K3790" s="43"/>
    </row>
    <row r="3791">
      <c r="A3791" s="82"/>
      <c r="B3791" s="33" t="s">
        <v>34533</v>
      </c>
      <c r="C3791" s="42">
        <v>3012.0</v>
      </c>
      <c r="D3791" s="148" t="s">
        <v>34534</v>
      </c>
      <c r="E3791" s="74"/>
      <c r="F3791" s="46" t="s">
        <v>3366</v>
      </c>
      <c r="G3791" s="75"/>
      <c r="H3791" s="74"/>
      <c r="K3791" s="43"/>
    </row>
    <row r="3792">
      <c r="A3792" s="82"/>
      <c r="B3792" s="33" t="s">
        <v>34535</v>
      </c>
      <c r="C3792" s="42">
        <v>1524.0</v>
      </c>
      <c r="D3792" s="33" t="s">
        <v>34536</v>
      </c>
      <c r="E3792" s="74"/>
      <c r="F3792" s="46" t="s">
        <v>3366</v>
      </c>
      <c r="G3792" s="75"/>
      <c r="H3792" s="74"/>
      <c r="K3792" s="43"/>
    </row>
    <row r="3793">
      <c r="A3793" s="82"/>
      <c r="B3793" s="33" t="s">
        <v>34537</v>
      </c>
      <c r="C3793" s="42">
        <v>12312.0</v>
      </c>
      <c r="D3793" s="33" t="s">
        <v>34538</v>
      </c>
      <c r="E3793" s="74"/>
      <c r="F3793" s="46" t="s">
        <v>3366</v>
      </c>
      <c r="G3793" s="75"/>
      <c r="H3793" s="74"/>
      <c r="K3793" s="43"/>
    </row>
    <row r="3794">
      <c r="A3794" s="82"/>
      <c r="B3794" s="33" t="s">
        <v>34539</v>
      </c>
      <c r="C3794" s="42">
        <v>14544.0</v>
      </c>
      <c r="D3794" s="33" t="s">
        <v>34540</v>
      </c>
      <c r="E3794" s="74"/>
      <c r="F3794" s="46" t="s">
        <v>3366</v>
      </c>
      <c r="G3794" s="75"/>
      <c r="H3794" s="74"/>
      <c r="K3794" s="43"/>
    </row>
    <row r="3795">
      <c r="A3795" s="82"/>
      <c r="B3795" s="33" t="s">
        <v>34541</v>
      </c>
      <c r="C3795" s="42">
        <v>3384.0</v>
      </c>
      <c r="D3795" s="33" t="s">
        <v>34543</v>
      </c>
      <c r="E3795" s="74"/>
      <c r="F3795" s="46" t="s">
        <v>3366</v>
      </c>
      <c r="G3795" s="75"/>
      <c r="H3795" s="74"/>
      <c r="K3795" s="43"/>
    </row>
    <row r="3796">
      <c r="A3796" s="82"/>
      <c r="B3796" s="33" t="s">
        <v>34544</v>
      </c>
      <c r="C3796" s="42">
        <v>78.0</v>
      </c>
      <c r="D3796" s="33" t="s">
        <v>34545</v>
      </c>
      <c r="E3796" s="74"/>
      <c r="F3796" s="46" t="s">
        <v>7609</v>
      </c>
      <c r="G3796" s="75"/>
      <c r="H3796" s="96" t="str">
        <f>HYPERLINK("http://mirror.ff7data.com.ar/ff7/data/wm/world_us.lgp/eje.hrc.png","View Picture")</f>
        <v>View Picture</v>
      </c>
      <c r="K3796" s="43"/>
    </row>
    <row r="3797">
      <c r="A3797" s="82"/>
      <c r="B3797" s="33" t="s">
        <v>34547</v>
      </c>
      <c r="C3797" s="42">
        <v>75.0</v>
      </c>
      <c r="D3797" s="33" t="s">
        <v>34548</v>
      </c>
      <c r="E3797" s="74"/>
      <c r="F3797" s="46" t="s">
        <v>2793</v>
      </c>
      <c r="G3797" s="75"/>
      <c r="H3797" s="96" t="str">
        <f>HYPERLINK("http://mirror.ff7data.com.ar/ff7/data/wm/world_us.lgp/eka.rsd.png","View Picture")</f>
        <v>View Picture</v>
      </c>
      <c r="K3797" s="43"/>
    </row>
    <row r="3798">
      <c r="A3798" s="82"/>
      <c r="B3798" s="33" t="s">
        <v>34550</v>
      </c>
      <c r="C3798" s="42">
        <v>13120.0</v>
      </c>
      <c r="D3798" s="33" t="s">
        <v>34548</v>
      </c>
      <c r="E3798" s="74"/>
      <c r="F3798" s="46" t="s">
        <v>2775</v>
      </c>
      <c r="G3798" s="75"/>
      <c r="H3798" s="96" t="str">
        <f>HYPERLINK("http://mirror.ff7data.com.ar/ff7/data/wm/world_us.lgp/ekb.p.png","View Picture")</f>
        <v>View Picture</v>
      </c>
      <c r="K3798" s="43"/>
    </row>
    <row r="3799">
      <c r="A3799" s="82"/>
      <c r="B3799" s="33" t="s">
        <v>34552</v>
      </c>
      <c r="C3799" s="42">
        <v>2348.0</v>
      </c>
      <c r="D3799" s="33" t="s">
        <v>34554</v>
      </c>
      <c r="E3799" s="74"/>
      <c r="F3799" s="46" t="s">
        <v>1348</v>
      </c>
      <c r="G3799" s="75"/>
      <c r="H3799" s="98" t="str">
        <f>HYPERLINK("http://mirror.ff7data.com.ar/ff7/data/wm/world_us.lgp/ekc.tex.png","View Picture")</f>
        <v>View Picture</v>
      </c>
      <c r="K3799" s="43"/>
    </row>
    <row r="3800">
      <c r="A3800" s="82"/>
      <c r="B3800" s="33" t="s">
        <v>34556</v>
      </c>
      <c r="C3800" s="42">
        <v>756.0</v>
      </c>
      <c r="D3800" s="33" t="s">
        <v>34557</v>
      </c>
      <c r="E3800" s="74"/>
      <c r="F3800" s="46" t="s">
        <v>3366</v>
      </c>
      <c r="G3800" s="75"/>
      <c r="H3800" s="74"/>
      <c r="K3800" s="43"/>
    </row>
    <row r="3801">
      <c r="A3801" s="82"/>
      <c r="B3801" s="33" t="s">
        <v>34559</v>
      </c>
      <c r="C3801" s="42">
        <v>117.0</v>
      </c>
      <c r="D3801" s="33" t="s">
        <v>34560</v>
      </c>
      <c r="E3801" s="74"/>
      <c r="F3801" s="46" t="s">
        <v>7609</v>
      </c>
      <c r="G3801" s="74"/>
      <c r="H3801" s="96" t="str">
        <f>HYPERLINK("http://mirror.ff7data.com.ar/ff7/data/wm/world_us.lgp/eke.hrc.png","View Picture")</f>
        <v>View Picture</v>
      </c>
      <c r="K3801" s="43"/>
    </row>
    <row r="3802">
      <c r="A3802" s="82"/>
      <c r="B3802" s="33" t="s">
        <v>34562</v>
      </c>
      <c r="C3802" s="42">
        <v>142.0</v>
      </c>
      <c r="D3802" s="33" t="s">
        <v>34563</v>
      </c>
      <c r="E3802" s="74"/>
      <c r="F3802" s="46" t="s">
        <v>2793</v>
      </c>
      <c r="G3802" s="74"/>
      <c r="H3802" s="96" t="str">
        <f>HYPERLINK("http://mirror.ff7data.com.ar/ff7/data/wm/world_us.lgp/ela.rsd.png","View Picture")</f>
        <v>View Picture</v>
      </c>
      <c r="K3802" s="43"/>
    </row>
    <row r="3803">
      <c r="A3803" s="82"/>
      <c r="B3803" s="33" t="s">
        <v>34565</v>
      </c>
      <c r="C3803" s="42">
        <v>6056.0</v>
      </c>
      <c r="D3803" s="33" t="s">
        <v>34563</v>
      </c>
      <c r="E3803" s="74"/>
      <c r="F3803" s="46" t="s">
        <v>2775</v>
      </c>
      <c r="G3803" s="74"/>
      <c r="H3803" s="96" t="str">
        <f>HYPERLINK("http://mirror.ff7data.com.ar/ff7/data/wm/world_us.lgp/elb.p.png","View Picture")</f>
        <v>View Picture</v>
      </c>
      <c r="K3803" s="43"/>
    </row>
    <row r="3804">
      <c r="A3804" s="82"/>
      <c r="B3804" s="33" t="s">
        <v>34569</v>
      </c>
      <c r="C3804" s="42">
        <v>142.0</v>
      </c>
      <c r="D3804" s="33" t="s">
        <v>34571</v>
      </c>
      <c r="E3804" s="74"/>
      <c r="F3804" s="46" t="s">
        <v>2793</v>
      </c>
      <c r="G3804" s="74"/>
      <c r="H3804" s="96" t="str">
        <f>HYPERLINK("http://mirror.ff7data.com.ar/ff7/data/wm/world_us.lgp/elc.rsd.png","View Picture")</f>
        <v>View Picture</v>
      </c>
      <c r="K3804" s="43"/>
    </row>
    <row r="3805">
      <c r="A3805" s="82"/>
      <c r="B3805" s="33" t="s">
        <v>34575</v>
      </c>
      <c r="C3805" s="42">
        <v>9700.0</v>
      </c>
      <c r="D3805" s="33" t="s">
        <v>34571</v>
      </c>
      <c r="E3805" s="74"/>
      <c r="F3805" s="46" t="s">
        <v>2775</v>
      </c>
      <c r="G3805" s="74"/>
      <c r="H3805" s="96" t="str">
        <f>HYPERLINK("http://mirror.ff7data.com.ar/ff7/data/wm/world_us.lgp/eld.p.png","View Picture")</f>
        <v>View Picture</v>
      </c>
      <c r="K3805" s="43"/>
    </row>
    <row r="3806">
      <c r="A3806" s="82"/>
      <c r="B3806" s="33" t="s">
        <v>34578</v>
      </c>
      <c r="C3806" s="42">
        <v>142.0</v>
      </c>
      <c r="D3806" s="33" t="s">
        <v>34579</v>
      </c>
      <c r="E3806" s="74"/>
      <c r="F3806" s="46" t="s">
        <v>2793</v>
      </c>
      <c r="G3806" s="74"/>
      <c r="H3806" s="96" t="str">
        <f>HYPERLINK("http://mirror.ff7data.com.ar/ff7/data/wm/world_us.lgp/ele.rsd.png","View Picture")</f>
        <v>View Picture</v>
      </c>
      <c r="K3806" s="43"/>
    </row>
    <row r="3807">
      <c r="A3807" s="82"/>
      <c r="B3807" s="33" t="s">
        <v>34581</v>
      </c>
      <c r="C3807" s="42">
        <v>4396.0</v>
      </c>
      <c r="D3807" s="33" t="s">
        <v>17509</v>
      </c>
      <c r="E3807" s="74"/>
      <c r="F3807" s="46" t="s">
        <v>1348</v>
      </c>
      <c r="G3807" s="74"/>
      <c r="H3807" s="98" t="str">
        <f>HYPERLINK("http://mirror.ff7data.com.ar/ff7/data/wm/world_us.lgp/elm_gro.tex.png","View Picture")</f>
        <v>View Picture</v>
      </c>
      <c r="K3807" s="43"/>
    </row>
    <row r="3808">
      <c r="A3808" s="82"/>
      <c r="B3808" s="33" t="s">
        <v>34584</v>
      </c>
      <c r="C3808" s="42">
        <v>1324.0</v>
      </c>
      <c r="D3808" s="33" t="s">
        <v>34585</v>
      </c>
      <c r="E3808" s="74"/>
      <c r="F3808" s="46" t="s">
        <v>1348</v>
      </c>
      <c r="G3808" s="74"/>
      <c r="H3808" s="98" t="str">
        <f>HYPERLINK("http://mirror.ff7data.com.ar/ff7/data/wm/world_us.lgp/elm_r.tex.png","View Picture")</f>
        <v>View Picture</v>
      </c>
      <c r="K3808" s="43"/>
    </row>
    <row r="3809">
      <c r="A3809" s="82"/>
      <c r="B3809" s="33" t="s">
        <v>34588</v>
      </c>
      <c r="C3809" s="42">
        <v>1324.0</v>
      </c>
      <c r="D3809" s="33" t="s">
        <v>34589</v>
      </c>
      <c r="E3809" s="74"/>
      <c r="F3809" s="46" t="s">
        <v>1348</v>
      </c>
      <c r="G3809" s="74"/>
      <c r="H3809" s="98" t="str">
        <f>HYPERLINK("http://mirror.ff7data.com.ar/ff7/data/wm/world_us.lgp/elm_r2.tex.png","View Picture")</f>
        <v>View Picture</v>
      </c>
      <c r="K3809" s="43"/>
    </row>
    <row r="3810">
      <c r="A3810" s="82"/>
      <c r="B3810" s="33" t="s">
        <v>34591</v>
      </c>
      <c r="C3810" s="42">
        <v>1324.0</v>
      </c>
      <c r="D3810" s="33" t="s">
        <v>17544</v>
      </c>
      <c r="E3810" s="74"/>
      <c r="F3810" s="46" t="s">
        <v>1348</v>
      </c>
      <c r="G3810" s="74"/>
      <c r="H3810" s="98" t="str">
        <f>HYPERLINK("http://mirror.ff7data.com.ar/ff7/data/wm/world_us.lgp/elm01.tex.png","View Picture")</f>
        <v>View Picture</v>
      </c>
      <c r="K3810" s="43"/>
    </row>
    <row r="3811">
      <c r="A3811" s="82"/>
      <c r="B3811" s="33" t="s">
        <v>34594</v>
      </c>
      <c r="C3811" s="42">
        <v>1324.0</v>
      </c>
      <c r="D3811" s="33" t="s">
        <v>17566</v>
      </c>
      <c r="E3811" s="74"/>
      <c r="F3811" s="46" t="s">
        <v>1348</v>
      </c>
      <c r="G3811" s="74"/>
      <c r="H3811" s="98" t="str">
        <f>HYPERLINK("http://mirror.ff7data.com.ar/ff7/data/wm/world_us.lgp/elm02.tex.png","View Picture")</f>
        <v>View Picture</v>
      </c>
      <c r="K3811" s="43"/>
    </row>
    <row r="3812">
      <c r="A3812" s="82"/>
      <c r="B3812" s="33" t="s">
        <v>34596</v>
      </c>
      <c r="C3812" s="42">
        <v>16852.0</v>
      </c>
      <c r="D3812" s="33" t="s">
        <v>34579</v>
      </c>
      <c r="E3812" s="74"/>
      <c r="F3812" s="46" t="s">
        <v>2793</v>
      </c>
      <c r="G3812" s="74"/>
      <c r="H3812" s="96" t="str">
        <f>HYPERLINK("http://mirror.ff7data.com.ar/ff7/data/wm/world_us.lgp/ema.p.png","View Picture")</f>
        <v>View Picture</v>
      </c>
      <c r="K3812" s="43"/>
    </row>
    <row r="3813">
      <c r="A3813" s="82"/>
      <c r="B3813" s="33" t="s">
        <v>34598</v>
      </c>
      <c r="C3813" s="42">
        <v>142.0</v>
      </c>
      <c r="D3813" s="33" t="s">
        <v>34599</v>
      </c>
      <c r="E3813" s="74"/>
      <c r="F3813" s="46" t="s">
        <v>2775</v>
      </c>
      <c r="G3813" s="74"/>
      <c r="H3813" s="96" t="str">
        <f>HYPERLINK("http://mirror.ff7data.com.ar/ff7/data/wm/world_us.lgp/emb.rsd.png","View Picture")</f>
        <v>View Picture</v>
      </c>
      <c r="K3813" s="43"/>
    </row>
    <row r="3814">
      <c r="A3814" s="82"/>
      <c r="B3814" s="33" t="s">
        <v>34602</v>
      </c>
      <c r="C3814" s="42">
        <v>9552.0</v>
      </c>
      <c r="D3814" s="33" t="s">
        <v>34599</v>
      </c>
      <c r="E3814" s="74"/>
      <c r="F3814" s="46" t="s">
        <v>2793</v>
      </c>
      <c r="G3814" s="74"/>
      <c r="H3814" s="96" t="str">
        <f>HYPERLINK("http://mirror.ff7data.com.ar/ff7/data/wm/world_us.lgp/emc.p.png","View Picture")</f>
        <v>View Picture</v>
      </c>
      <c r="K3814" s="43"/>
    </row>
    <row r="3815">
      <c r="A3815" s="82"/>
      <c r="B3815" s="33" t="s">
        <v>34604</v>
      </c>
      <c r="C3815" s="42">
        <v>142.0</v>
      </c>
      <c r="D3815" s="33" t="s">
        <v>34605</v>
      </c>
      <c r="E3815" s="74"/>
      <c r="F3815" s="46" t="s">
        <v>2775</v>
      </c>
      <c r="G3815" s="74"/>
      <c r="H3815" s="96" t="str">
        <f>HYPERLINK("http://mirror.ff7data.com.ar/ff7/data/wm/world_us.lgp/emd.rsd.png","View Picture")</f>
        <v>View Picture</v>
      </c>
      <c r="K3815" s="43"/>
    </row>
    <row r="3816">
      <c r="A3816" s="82"/>
      <c r="B3816" s="33" t="s">
        <v>34608</v>
      </c>
      <c r="C3816" s="42">
        <v>2292.0</v>
      </c>
      <c r="D3816" s="33" t="s">
        <v>34605</v>
      </c>
      <c r="E3816" s="74"/>
      <c r="F3816" s="46" t="s">
        <v>2793</v>
      </c>
      <c r="G3816" s="74"/>
      <c r="H3816" s="96" t="str">
        <f>HYPERLINK("http://mirror.ff7data.com.ar/ff7/data/wm/world_us.lgp/eme.p.png","View Picture")</f>
        <v>View Picture</v>
      </c>
      <c r="K3816" s="43"/>
    </row>
    <row r="3817">
      <c r="A3817" s="82"/>
      <c r="B3817" s="33" t="s">
        <v>34610</v>
      </c>
      <c r="C3817" s="42">
        <v>2916.0</v>
      </c>
      <c r="D3817" s="33" t="s">
        <v>34611</v>
      </c>
      <c r="E3817" s="74"/>
      <c r="F3817" s="46" t="s">
        <v>3366</v>
      </c>
      <c r="G3817" s="74"/>
      <c r="H3817" s="74"/>
      <c r="K3817" s="43"/>
    </row>
    <row r="3818">
      <c r="A3818" s="55"/>
      <c r="B3818" s="33" t="s">
        <v>34612</v>
      </c>
      <c r="C3818" s="42">
        <v>2208.0</v>
      </c>
      <c r="D3818" s="31"/>
      <c r="E3818" s="74"/>
      <c r="F3818" s="75"/>
      <c r="G3818" s="74"/>
      <c r="H3818" s="74"/>
      <c r="K3818" s="43"/>
    </row>
    <row r="3819">
      <c r="A3819" s="40"/>
      <c r="B3819" s="33" t="s">
        <v>34613</v>
      </c>
      <c r="C3819" s="42">
        <v>1324.0</v>
      </c>
      <c r="D3819" s="33" t="s">
        <v>34614</v>
      </c>
      <c r="E3819" s="74"/>
      <c r="F3819" s="46" t="s">
        <v>1348</v>
      </c>
      <c r="G3819" s="46" t="s">
        <v>34615</v>
      </c>
      <c r="H3819" s="98" t="str">
        <f>HYPERLINK("http://mirror.ff7data.com.ar/ff7/data/wm/world_us.lgp/fall1.tex.png","View Picture")</f>
        <v>View Picture</v>
      </c>
      <c r="K3819" s="43"/>
    </row>
    <row r="3820">
      <c r="A3820" s="40"/>
      <c r="B3820" s="33" t="s">
        <v>34617</v>
      </c>
      <c r="C3820" s="42">
        <v>1324.0</v>
      </c>
      <c r="D3820" s="33" t="s">
        <v>34618</v>
      </c>
      <c r="E3820" s="74"/>
      <c r="F3820" s="46" t="s">
        <v>1348</v>
      </c>
      <c r="G3820" s="46" t="s">
        <v>34615</v>
      </c>
      <c r="H3820" s="98" t="str">
        <f>HYPERLINK("http://mirror.ff7data.com.ar/ff7/data/wm/world_us.lgp/fall2.tex.png","View Picture")</f>
        <v>View Picture</v>
      </c>
      <c r="K3820" s="43"/>
    </row>
    <row r="3821">
      <c r="A3821" s="40"/>
      <c r="B3821" s="33" t="s">
        <v>34620</v>
      </c>
      <c r="C3821" s="42">
        <v>1324.0</v>
      </c>
      <c r="D3821" s="33" t="s">
        <v>34621</v>
      </c>
      <c r="E3821" s="74"/>
      <c r="F3821" s="46" t="s">
        <v>1348</v>
      </c>
      <c r="G3821" s="46" t="s">
        <v>34615</v>
      </c>
      <c r="H3821" s="98" t="str">
        <f>HYPERLINK("http://mirror.ff7data.com.ar/ff7/data/wm/world_us.lgp/fall3.tex.png","View Picture")</f>
        <v>View Picture</v>
      </c>
      <c r="K3821" s="43"/>
    </row>
    <row r="3822">
      <c r="A3822" s="40"/>
      <c r="B3822" s="33" t="s">
        <v>34623</v>
      </c>
      <c r="C3822" s="42">
        <v>1324.0</v>
      </c>
      <c r="D3822" s="33" t="s">
        <v>34624</v>
      </c>
      <c r="E3822" s="74"/>
      <c r="F3822" s="46" t="s">
        <v>1348</v>
      </c>
      <c r="G3822" s="46" t="s">
        <v>34615</v>
      </c>
      <c r="H3822" s="98" t="str">
        <f>HYPERLINK("http://mirror.ff7data.com.ar/ff7/data/wm/world_us.lgp/fall4.tex.png","View Picture")</f>
        <v>View Picture</v>
      </c>
      <c r="K3822" s="43"/>
    </row>
    <row r="3823">
      <c r="A3823" s="40"/>
      <c r="B3823" s="33" t="s">
        <v>34626</v>
      </c>
      <c r="C3823" s="42">
        <v>1324.0</v>
      </c>
      <c r="D3823" s="33" t="s">
        <v>34627</v>
      </c>
      <c r="E3823" s="74"/>
      <c r="F3823" s="46" t="s">
        <v>1348</v>
      </c>
      <c r="G3823" s="46" t="s">
        <v>34615</v>
      </c>
      <c r="H3823" s="98" t="str">
        <f>HYPERLINK("http://mirror.ff7data.com.ar/ff7/data/wm/world_us.lgp/fall5.tex.png","View Picture")</f>
        <v>View Picture</v>
      </c>
      <c r="K3823" s="43"/>
    </row>
    <row r="3824">
      <c r="A3824" s="40"/>
      <c r="B3824" s="33" t="s">
        <v>34629</v>
      </c>
      <c r="C3824" s="42">
        <v>1324.0</v>
      </c>
      <c r="D3824" s="33" t="s">
        <v>34630</v>
      </c>
      <c r="E3824" s="74"/>
      <c r="F3824" s="46" t="s">
        <v>1348</v>
      </c>
      <c r="G3824" s="46" t="s">
        <v>34615</v>
      </c>
      <c r="H3824" s="98" t="str">
        <f>HYPERLINK("http://mirror.ff7data.com.ar/ff7/data/wm/world_us.lgp/fall6.tex.png","View Picture")</f>
        <v>View Picture</v>
      </c>
      <c r="K3824" s="43"/>
    </row>
    <row r="3825">
      <c r="A3825" s="40"/>
      <c r="B3825" s="33" t="s">
        <v>34632</v>
      </c>
      <c r="C3825" s="42">
        <v>1324.0</v>
      </c>
      <c r="D3825" s="33" t="s">
        <v>34633</v>
      </c>
      <c r="E3825" s="74"/>
      <c r="F3825" s="46" t="s">
        <v>1348</v>
      </c>
      <c r="G3825" s="46" t="s">
        <v>34615</v>
      </c>
      <c r="H3825" s="98" t="str">
        <f>HYPERLINK("http://mirror.ff7data.com.ar/ff7/data/wm/world_us.lgp/fall7.tex.png","View Picture")</f>
        <v>View Picture</v>
      </c>
      <c r="K3825" s="43"/>
    </row>
    <row r="3826">
      <c r="A3826" s="40"/>
      <c r="B3826" s="33" t="s">
        <v>34635</v>
      </c>
      <c r="C3826" s="42">
        <v>1324.0</v>
      </c>
      <c r="D3826" s="33" t="s">
        <v>34636</v>
      </c>
      <c r="E3826" s="74"/>
      <c r="F3826" s="46" t="s">
        <v>1348</v>
      </c>
      <c r="G3826" s="46" t="s">
        <v>34615</v>
      </c>
      <c r="H3826" s="98" t="str">
        <f>HYPERLINK("http://mirror.ff7data.com.ar/ff7/data/wm/world_us.lgp/fall8.tex.png","View Picture")</f>
        <v>View Picture</v>
      </c>
      <c r="K3826" s="43"/>
    </row>
    <row r="3827">
      <c r="A3827" s="40"/>
      <c r="B3827" s="33" t="s">
        <v>34638</v>
      </c>
      <c r="C3827" s="42">
        <v>1324.0</v>
      </c>
      <c r="D3827" s="33" t="s">
        <v>17657</v>
      </c>
      <c r="E3827" s="74"/>
      <c r="F3827" s="46" t="s">
        <v>1348</v>
      </c>
      <c r="G3827" s="46" t="s">
        <v>34639</v>
      </c>
      <c r="H3827" s="98" t="str">
        <f>HYPERLINK("http://mirror.ff7data.com.ar/ff7/data/wm/world_us.lgp/farm_g.tex.png","View Picture")</f>
        <v>View Picture</v>
      </c>
      <c r="K3827" s="43"/>
    </row>
    <row r="3828">
      <c r="A3828" s="40"/>
      <c r="B3828" s="33" t="s">
        <v>34643</v>
      </c>
      <c r="C3828" s="42">
        <v>812.0</v>
      </c>
      <c r="D3828" s="33" t="s">
        <v>34644</v>
      </c>
      <c r="E3828" s="74"/>
      <c r="F3828" s="46" t="s">
        <v>1348</v>
      </c>
      <c r="G3828" s="46" t="s">
        <v>34645</v>
      </c>
      <c r="H3828" s="98" t="str">
        <f>HYPERLINK("http://mirror.ff7data.com.ar/ff7/data/wm/world_us.lgp/farm_r.tex.png","View Picture")</f>
        <v>View Picture</v>
      </c>
      <c r="K3828" s="43"/>
    </row>
    <row r="3829">
      <c r="A3829" s="40"/>
      <c r="B3829" s="33" t="s">
        <v>34647</v>
      </c>
      <c r="C3829" s="42">
        <v>1324.0</v>
      </c>
      <c r="D3829" s="33" t="s">
        <v>34649</v>
      </c>
      <c r="E3829" s="74"/>
      <c r="F3829" s="46" t="s">
        <v>1348</v>
      </c>
      <c r="G3829" s="46" t="s">
        <v>34650</v>
      </c>
      <c r="H3829" s="98" t="str">
        <f>HYPERLINK("http://mirror.ff7data.com.ar/ff7/data/wm/world_us.lgp/farm01.tex.png","View Picture")</f>
        <v>View Picture</v>
      </c>
      <c r="K3829" s="43"/>
    </row>
    <row r="3830">
      <c r="A3830" s="40"/>
      <c r="B3830" s="33" t="s">
        <v>34652</v>
      </c>
      <c r="C3830" s="42">
        <v>1324.0</v>
      </c>
      <c r="D3830" s="33" t="s">
        <v>34653</v>
      </c>
      <c r="E3830" s="74"/>
      <c r="F3830" s="46" t="s">
        <v>1348</v>
      </c>
      <c r="G3830" s="46" t="s">
        <v>34650</v>
      </c>
      <c r="H3830" s="98" t="str">
        <f>HYPERLINK("http://mirror.ff7data.com.ar/ff7/data/wm/world_us.lgp/farm02.tex.png","View Picture")</f>
        <v>View Picture</v>
      </c>
      <c r="K3830" s="43"/>
    </row>
    <row r="3831">
      <c r="A3831" s="55"/>
      <c r="B3831" s="33" t="s">
        <v>34655</v>
      </c>
      <c r="C3831" s="42">
        <v>1536.0</v>
      </c>
      <c r="D3831" s="31"/>
      <c r="E3831" s="74"/>
      <c r="F3831" s="75"/>
      <c r="G3831" s="75"/>
      <c r="H3831" s="74"/>
      <c r="K3831" s="43"/>
    </row>
    <row r="3832">
      <c r="A3832" s="40"/>
      <c r="B3832" s="33" t="s">
        <v>34656</v>
      </c>
      <c r="C3832" s="42">
        <v>4396.0</v>
      </c>
      <c r="D3832" s="33" t="s">
        <v>34657</v>
      </c>
      <c r="E3832" s="74"/>
      <c r="F3832" s="46" t="s">
        <v>1348</v>
      </c>
      <c r="G3832" s="46" t="s">
        <v>34658</v>
      </c>
      <c r="H3832" s="98" t="str">
        <f>HYPERLINK("http://mirror.ff7data.com.ar/ff7/data/wm/world_us.lgp/fld.tex.png","View Picture")</f>
        <v>View Picture</v>
      </c>
      <c r="K3832" s="43"/>
    </row>
    <row r="3833">
      <c r="A3833" s="40"/>
      <c r="B3833" s="33" t="s">
        <v>34660</v>
      </c>
      <c r="C3833" s="42">
        <v>4396.0</v>
      </c>
      <c r="D3833" s="33" t="s">
        <v>34661</v>
      </c>
      <c r="E3833" s="74"/>
      <c r="F3833" s="46" t="s">
        <v>1348</v>
      </c>
      <c r="G3833" s="46" t="s">
        <v>34663</v>
      </c>
      <c r="H3833" s="98" t="str">
        <f>HYPERLINK("http://mirror.ff7data.com.ar/ff7/data/wm/world_us.lgp/fld_02.tex.png","View Picture")</f>
        <v>View Picture</v>
      </c>
      <c r="K3833" s="43"/>
    </row>
    <row r="3834">
      <c r="A3834" s="40"/>
      <c r="B3834" s="33" t="s">
        <v>34664</v>
      </c>
      <c r="C3834" s="42">
        <v>4396.0</v>
      </c>
      <c r="D3834" s="33" t="s">
        <v>34665</v>
      </c>
      <c r="E3834" s="74"/>
      <c r="F3834" s="46" t="s">
        <v>1348</v>
      </c>
      <c r="G3834" s="46" t="s">
        <v>34667</v>
      </c>
      <c r="H3834" s="98" t="str">
        <f>HYPERLINK("http://mirror.ff7data.com.ar/ff7/data/wm/world_us.lgp/fld_s.tex.png","View Picture")</f>
        <v>View Picture</v>
      </c>
      <c r="K3834" s="43"/>
    </row>
    <row r="3835">
      <c r="A3835" s="40"/>
      <c r="B3835" s="33" t="s">
        <v>34669</v>
      </c>
      <c r="C3835" s="42">
        <v>1324.0</v>
      </c>
      <c r="D3835" s="33" t="s">
        <v>34670</v>
      </c>
      <c r="E3835" s="74"/>
      <c r="F3835" s="46" t="s">
        <v>1348</v>
      </c>
      <c r="G3835" s="46" t="s">
        <v>34667</v>
      </c>
      <c r="H3835" s="98" t="str">
        <f>HYPERLINK("http://mirror.ff7data.com.ar/ff7/data/wm/world_us.lgp/fld_s2.tex.png","View Picture")</f>
        <v>View Picture</v>
      </c>
      <c r="K3835" s="43"/>
    </row>
    <row r="3836">
      <c r="A3836" s="40"/>
      <c r="B3836" s="33" t="s">
        <v>34672</v>
      </c>
      <c r="C3836" s="42">
        <v>4396.0</v>
      </c>
      <c r="D3836" s="33" t="s">
        <v>34673</v>
      </c>
      <c r="E3836" s="74"/>
      <c r="F3836" s="46" t="s">
        <v>1348</v>
      </c>
      <c r="G3836" s="46" t="s">
        <v>34667</v>
      </c>
      <c r="H3836" s="98" t="str">
        <f>HYPERLINK("http://mirror.ff7data.com.ar/ff7/data/wm/world_us.lgp/fld_sw.tex.png","View Picture")</f>
        <v>View Picture</v>
      </c>
      <c r="K3836" s="43"/>
    </row>
    <row r="3837" ht="22.5" customHeight="1">
      <c r="A3837" s="40"/>
      <c r="B3837" s="33" t="s">
        <v>34675</v>
      </c>
      <c r="C3837" s="42">
        <v>16684.0</v>
      </c>
      <c r="D3837" s="33" t="s">
        <v>34676</v>
      </c>
      <c r="E3837" s="74"/>
      <c r="F3837" s="46" t="s">
        <v>1348</v>
      </c>
      <c r="G3837" s="46" t="s">
        <v>34677</v>
      </c>
      <c r="H3837" s="98" t="str">
        <f>HYPERLINK("http://mirror.ff7data.com.ar/ff7/data/wm/world_us.lgp/fld_v.tex.png","View Picture")</f>
        <v>View Picture</v>
      </c>
      <c r="K3837" s="43"/>
    </row>
    <row r="3838">
      <c r="A3838" s="40"/>
      <c r="B3838" s="33" t="s">
        <v>34679</v>
      </c>
      <c r="C3838" s="42">
        <v>2348.0</v>
      </c>
      <c r="D3838" s="33" t="s">
        <v>34680</v>
      </c>
      <c r="E3838" s="74"/>
      <c r="F3838" s="46" t="s">
        <v>1348</v>
      </c>
      <c r="G3838" s="46" t="s">
        <v>34681</v>
      </c>
      <c r="H3838" s="98" t="str">
        <f>HYPERLINK("http://mirror.ff7data.com.ar/ff7/data/wm/world_us.lgp/fld_vd.tex.png","View Picture")</f>
        <v>View Picture</v>
      </c>
      <c r="K3838" s="43"/>
    </row>
    <row r="3839">
      <c r="A3839" s="40"/>
      <c r="B3839" s="33" t="s">
        <v>34683</v>
      </c>
      <c r="C3839" s="42">
        <v>2348.0</v>
      </c>
      <c r="D3839" s="33" t="s">
        <v>34684</v>
      </c>
      <c r="E3839" s="74"/>
      <c r="F3839" s="46" t="s">
        <v>1348</v>
      </c>
      <c r="G3839" s="46" t="s">
        <v>34681</v>
      </c>
      <c r="H3839" s="98" t="str">
        <f>HYPERLINK("http://mirror.ff7data.com.ar/ff7/data/wm/world_us.lgp/fld_vd2.tex.png","View Picture")</f>
        <v>View Picture</v>
      </c>
      <c r="K3839" s="43"/>
    </row>
    <row r="3840">
      <c r="A3840" s="40"/>
      <c r="B3840" s="33" t="s">
        <v>34686</v>
      </c>
      <c r="C3840" s="42">
        <v>2348.0</v>
      </c>
      <c r="D3840" s="33" t="s">
        <v>34687</v>
      </c>
      <c r="E3840" s="74"/>
      <c r="F3840" s="46" t="s">
        <v>1348</v>
      </c>
      <c r="G3840" s="46" t="s">
        <v>34688</v>
      </c>
      <c r="H3840" s="98" t="str">
        <f>HYPERLINK("http://mirror.ff7data.com.ar/ff7/data/wm/world_us.lgp/fvedge.tex.png","View Picture")</f>
        <v>View Picture</v>
      </c>
      <c r="K3840" s="43"/>
    </row>
    <row r="3841" ht="22.5" customHeight="1">
      <c r="A3841" s="40"/>
      <c r="B3841" s="33" t="s">
        <v>34690</v>
      </c>
      <c r="C3841" s="42">
        <v>8492.0</v>
      </c>
      <c r="D3841" s="33" t="s">
        <v>34691</v>
      </c>
      <c r="E3841" s="74"/>
      <c r="F3841" s="46" t="s">
        <v>1348</v>
      </c>
      <c r="G3841" s="46" t="s">
        <v>34692</v>
      </c>
      <c r="H3841" s="98" t="str">
        <f>HYPERLINK("http://mirror.ff7data.com.ar/ff7/data/wm/world_us.lgp/gclf_d.tex.png","View Picture")</f>
        <v>View Picture</v>
      </c>
      <c r="K3841" s="43"/>
    </row>
    <row r="3842" ht="22.5" customHeight="1">
      <c r="A3842" s="40"/>
      <c r="B3842" s="33" t="s">
        <v>34694</v>
      </c>
      <c r="C3842" s="42">
        <v>2348.0</v>
      </c>
      <c r="D3842" s="33" t="s">
        <v>34691</v>
      </c>
      <c r="E3842" s="74"/>
      <c r="F3842" s="46" t="s">
        <v>1348</v>
      </c>
      <c r="G3842" s="46" t="s">
        <v>34692</v>
      </c>
      <c r="H3842" s="98" t="str">
        <f>HYPERLINK("http://mirror.ff7data.com.ar/ff7/data/wm/world_us.lgp/gclf_g.tex.png","View Picture")</f>
        <v>View Picture</v>
      </c>
      <c r="K3842" s="43"/>
    </row>
    <row r="3843" ht="22.5" customHeight="1">
      <c r="A3843" s="40"/>
      <c r="B3843" s="33" t="s">
        <v>34696</v>
      </c>
      <c r="C3843" s="42">
        <v>8492.0</v>
      </c>
      <c r="D3843" s="33" t="s">
        <v>34691</v>
      </c>
      <c r="E3843" s="74"/>
      <c r="F3843" s="46" t="s">
        <v>1348</v>
      </c>
      <c r="G3843" s="46" t="s">
        <v>34697</v>
      </c>
      <c r="H3843" s="98" t="str">
        <f>HYPERLINK("http://mirror.ff7data.com.ar/ff7/data/wm/world_us.lgp/gclfwa.tex.png","View Picture")</f>
        <v>View Picture</v>
      </c>
      <c r="K3843" s="43"/>
    </row>
    <row r="3844" ht="22.5" customHeight="1">
      <c r="A3844" s="40"/>
      <c r="B3844" s="33" t="s">
        <v>34699</v>
      </c>
      <c r="C3844" s="42">
        <v>2348.0</v>
      </c>
      <c r="D3844" s="33" t="s">
        <v>34691</v>
      </c>
      <c r="E3844" s="74"/>
      <c r="F3844" s="46" t="s">
        <v>1348</v>
      </c>
      <c r="G3844" s="46" t="s">
        <v>34697</v>
      </c>
      <c r="H3844" s="98" t="str">
        <f>HYPERLINK("http://mirror.ff7data.com.ar/ff7/data/wm/world_us.lgp/gclfwa2.tex.png","View Picture")</f>
        <v>View Picture</v>
      </c>
      <c r="K3844" s="43"/>
    </row>
    <row r="3845">
      <c r="A3845" s="55"/>
      <c r="B3845" s="33" t="s">
        <v>34701</v>
      </c>
      <c r="C3845" s="42">
        <v>2348.0</v>
      </c>
      <c r="D3845" s="31"/>
      <c r="E3845" s="74"/>
      <c r="F3845" s="46" t="s">
        <v>1348</v>
      </c>
      <c r="G3845" s="74"/>
      <c r="H3845" s="98" t="str">
        <f>HYPERLINK("http://mirror.ff7data.com.ar/ff7/data/wm/world_us.lgp/gclfwag.tex.png","View Picture")</f>
        <v>View Picture</v>
      </c>
      <c r="K3845" s="43"/>
    </row>
    <row r="3846">
      <c r="A3846" s="162"/>
      <c r="B3846" s="33" t="s">
        <v>34706</v>
      </c>
      <c r="C3846" s="42">
        <v>4396.0</v>
      </c>
      <c r="D3846" s="52" t="s">
        <v>34707</v>
      </c>
      <c r="E3846" s="75"/>
      <c r="F3846" s="46" t="s">
        <v>1348</v>
      </c>
      <c r="G3846" s="46" t="s">
        <v>34709</v>
      </c>
      <c r="H3846" s="98" t="str">
        <f>HYPERLINK("http://mirror.ff7data.com.ar/ff7/data/wm/world_us.lgp/gg_gro.tex.png","View Picture")</f>
        <v>View Picture</v>
      </c>
      <c r="K3846" s="43"/>
    </row>
    <row r="3847">
      <c r="A3847" s="55"/>
      <c r="B3847" s="33" t="s">
        <v>34711</v>
      </c>
      <c r="C3847" s="42">
        <v>8492.0</v>
      </c>
      <c r="D3847" s="31"/>
      <c r="E3847" s="74"/>
      <c r="F3847" s="46" t="s">
        <v>1348</v>
      </c>
      <c r="G3847" s="74"/>
      <c r="H3847" s="98" t="str">
        <f>HYPERLINK("http://mirror.ff7data.com.ar/ff7/data/wm/world_us.lgp/gg_mts.tex.png","View Picture")</f>
        <v>View Picture</v>
      </c>
      <c r="K3847" s="43"/>
    </row>
    <row r="3848">
      <c r="A3848" s="55"/>
      <c r="B3848" s="33" t="s">
        <v>34714</v>
      </c>
      <c r="C3848" s="42">
        <v>4396.0</v>
      </c>
      <c r="D3848" s="31"/>
      <c r="E3848" s="74"/>
      <c r="F3848" s="46" t="s">
        <v>1348</v>
      </c>
      <c r="G3848" s="74"/>
      <c r="H3848" s="98" t="str">
        <f>HYPERLINK("http://mirror.ff7data.com.ar/ff7/data/wm/world_us.lgp/ggmk.tex.png","View Picture")</f>
        <v>View Picture</v>
      </c>
      <c r="K3848" s="43"/>
    </row>
    <row r="3849" ht="22.5" customHeight="1">
      <c r="A3849" s="40"/>
      <c r="B3849" s="33" t="s">
        <v>34716</v>
      </c>
      <c r="C3849" s="42">
        <v>16684.0</v>
      </c>
      <c r="D3849" s="33" t="s">
        <v>34718</v>
      </c>
      <c r="E3849" s="74"/>
      <c r="F3849" s="46" t="s">
        <v>1348</v>
      </c>
      <c r="G3849" s="46" t="s">
        <v>34719</v>
      </c>
      <c r="H3849" s="98" t="str">
        <f>HYPERLINK("http://mirror.ff7data.com.ar/ff7/data/wm/world_us.lgp/ggmt.tex.png","View Picture")</f>
        <v>View Picture</v>
      </c>
      <c r="K3849" s="43"/>
    </row>
    <row r="3850" ht="22.5" customHeight="1">
      <c r="A3850" s="40"/>
      <c r="B3850" s="33" t="s">
        <v>34720</v>
      </c>
      <c r="C3850" s="42">
        <v>4396.0</v>
      </c>
      <c r="D3850" s="33" t="s">
        <v>34721</v>
      </c>
      <c r="E3850" s="74"/>
      <c r="F3850" s="46" t="s">
        <v>1348</v>
      </c>
      <c r="G3850" s="46" t="s">
        <v>34719</v>
      </c>
      <c r="H3850" s="98" t="str">
        <f>HYPERLINK("http://mirror.ff7data.com.ar/ff7/data/wm/world_us.lgp/ggmt_e.tex.png","View Picture")</f>
        <v>View Picture</v>
      </c>
      <c r="K3850" s="43"/>
    </row>
    <row r="3851" ht="22.5" customHeight="1">
      <c r="A3851" s="40"/>
      <c r="B3851" s="33" t="s">
        <v>34724</v>
      </c>
      <c r="C3851" s="42">
        <v>4396.0</v>
      </c>
      <c r="D3851" s="33" t="s">
        <v>34721</v>
      </c>
      <c r="E3851" s="74"/>
      <c r="F3851" s="46" t="s">
        <v>1348</v>
      </c>
      <c r="G3851" s="46" t="s">
        <v>34725</v>
      </c>
      <c r="H3851" s="98" t="str">
        <f>HYPERLINK("http://mirror.ff7data.com.ar/ff7/data/wm/world_us.lgp/ggmt_ed.tex.png","View Picture")</f>
        <v>View Picture</v>
      </c>
      <c r="K3851" s="43"/>
    </row>
    <row r="3852">
      <c r="A3852" s="40"/>
      <c r="B3852" s="33" t="s">
        <v>34727</v>
      </c>
      <c r="C3852" s="42">
        <v>1324.0</v>
      </c>
      <c r="D3852" s="33" t="s">
        <v>34728</v>
      </c>
      <c r="E3852" s="74"/>
      <c r="F3852" s="46" t="s">
        <v>1348</v>
      </c>
      <c r="G3852" s="46" t="s">
        <v>34729</v>
      </c>
      <c r="H3852" s="98" t="str">
        <f>HYPERLINK("http://mirror.ff7data.com.ar/ff7/data/wm/world_us.lgp/ggmt_eg.tex.png","View Picture")</f>
        <v>View Picture</v>
      </c>
      <c r="K3852" s="43"/>
    </row>
    <row r="3853" ht="22.5" customHeight="1">
      <c r="A3853" s="40"/>
      <c r="B3853" s="33" t="s">
        <v>34731</v>
      </c>
      <c r="C3853" s="42">
        <v>16684.0</v>
      </c>
      <c r="D3853" s="33" t="s">
        <v>34718</v>
      </c>
      <c r="E3853" s="74"/>
      <c r="F3853" s="46" t="s">
        <v>1348</v>
      </c>
      <c r="G3853" s="46" t="s">
        <v>34732</v>
      </c>
      <c r="H3853" s="98" t="str">
        <f>HYPERLINK("http://mirror.ff7data.com.ar/ff7/data/wm/world_us.lgp/ggmtd.tex.png","View Picture")</f>
        <v>View Picture</v>
      </c>
      <c r="K3853" s="43"/>
    </row>
    <row r="3854">
      <c r="A3854" s="55"/>
      <c r="B3854" s="33" t="s">
        <v>34734</v>
      </c>
      <c r="C3854" s="42">
        <v>1324.0</v>
      </c>
      <c r="D3854" s="31"/>
      <c r="E3854" s="74"/>
      <c r="F3854" s="46" t="s">
        <v>1348</v>
      </c>
      <c r="G3854" s="74"/>
      <c r="H3854" s="98" t="str">
        <f>HYPERLINK("http://mirror.ff7data.com.ar/ff7/data/wm/world_us.lgp/ggs_g.tex.png","View Picture")</f>
        <v>View Picture</v>
      </c>
      <c r="K3854" s="43"/>
    </row>
    <row r="3855">
      <c r="A3855" s="55"/>
      <c r="B3855" s="33" t="s">
        <v>34736</v>
      </c>
      <c r="C3855" s="42">
        <v>1324.0</v>
      </c>
      <c r="D3855" s="31"/>
      <c r="E3855" s="74"/>
      <c r="F3855" s="46" t="s">
        <v>1348</v>
      </c>
      <c r="G3855" s="74"/>
      <c r="H3855" s="98" t="str">
        <f>HYPERLINK("http://mirror.ff7data.com.ar/ff7/data/wm/world_us.lgp/ggshr.tex.png","View Picture")</f>
        <v>View Picture</v>
      </c>
      <c r="K3855" s="43"/>
    </row>
    <row r="3856">
      <c r="A3856" s="55"/>
      <c r="B3856" s="33" t="s">
        <v>34738</v>
      </c>
      <c r="C3856" s="42">
        <v>1324.0</v>
      </c>
      <c r="D3856" s="31"/>
      <c r="E3856" s="74"/>
      <c r="F3856" s="46" t="s">
        <v>1348</v>
      </c>
      <c r="G3856" s="74"/>
      <c r="H3856" s="98" t="str">
        <f>HYPERLINK("http://mirror.ff7data.com.ar/ff7/data/wm/world_us.lgp/ggshrg.tex.png","View Picture")</f>
        <v>View Picture</v>
      </c>
      <c r="K3856" s="43"/>
    </row>
    <row r="3857">
      <c r="A3857" s="55"/>
      <c r="B3857" s="33" t="s">
        <v>34743</v>
      </c>
      <c r="C3857" s="42">
        <v>2348.0</v>
      </c>
      <c r="D3857" s="31"/>
      <c r="E3857" s="74"/>
      <c r="F3857" s="46" t="s">
        <v>1348</v>
      </c>
      <c r="G3857" s="74"/>
      <c r="H3857" s="98" t="str">
        <f>HYPERLINK("http://mirror.ff7data.com.ar/ff7/data/wm/world_us.lgp/gia.tex.png","View Picture")</f>
        <v>View Picture</v>
      </c>
      <c r="K3857" s="43"/>
    </row>
    <row r="3858">
      <c r="A3858" s="55"/>
      <c r="B3858" s="33" t="s">
        <v>34747</v>
      </c>
      <c r="C3858" s="42">
        <v>2348.0</v>
      </c>
      <c r="D3858" s="31"/>
      <c r="E3858" s="74"/>
      <c r="F3858" s="46" t="s">
        <v>1348</v>
      </c>
      <c r="G3858" s="74"/>
      <c r="H3858" s="98" t="str">
        <f>HYPERLINK("http://mirror.ff7data.com.ar/ff7/data/wm/world_us.lgp/gia_d.tex.png","View Picture")</f>
        <v>View Picture</v>
      </c>
      <c r="K3858" s="43"/>
    </row>
    <row r="3859">
      <c r="A3859" s="55"/>
      <c r="B3859" s="33" t="s">
        <v>34749</v>
      </c>
      <c r="C3859" s="42">
        <v>2348.0</v>
      </c>
      <c r="D3859" s="31"/>
      <c r="E3859" s="74"/>
      <c r="F3859" s="46" t="s">
        <v>1348</v>
      </c>
      <c r="G3859" s="74"/>
      <c r="H3859" s="98" t="str">
        <f>HYPERLINK("http://mirror.ff7data.com.ar/ff7/data/wm/world_us.lgp/gia_d2.tex.png","View Picture")</f>
        <v>View Picture</v>
      </c>
      <c r="K3859" s="43"/>
    </row>
    <row r="3860">
      <c r="A3860" s="55"/>
      <c r="B3860" s="33" t="s">
        <v>34753</v>
      </c>
      <c r="C3860" s="42">
        <v>1324.0</v>
      </c>
      <c r="D3860" s="31"/>
      <c r="E3860" s="74"/>
      <c r="F3860" s="46" t="s">
        <v>1348</v>
      </c>
      <c r="G3860" s="74"/>
      <c r="H3860" s="98" t="str">
        <f>HYPERLINK("http://mirror.ff7data.com.ar/ff7/data/wm/world_us.lgp/gia_g.tex.png","View Picture")</f>
        <v>View Picture</v>
      </c>
      <c r="K3860" s="43"/>
    </row>
    <row r="3861">
      <c r="A3861" s="55"/>
      <c r="B3861" s="33" t="s">
        <v>34755</v>
      </c>
      <c r="C3861" s="42">
        <v>1324.0</v>
      </c>
      <c r="D3861" s="31"/>
      <c r="E3861" s="74"/>
      <c r="F3861" s="46" t="s">
        <v>1348</v>
      </c>
      <c r="G3861" s="74"/>
      <c r="H3861" s="98" t="str">
        <f>HYPERLINK("http://mirror.ff7data.com.ar/ff7/data/wm/world_us.lgp/gia_g2.tex.png","View Picture")</f>
        <v>View Picture</v>
      </c>
      <c r="K3861" s="43"/>
    </row>
    <row r="3862">
      <c r="A3862" s="55"/>
      <c r="B3862" s="33" t="s">
        <v>34758</v>
      </c>
      <c r="C3862" s="42">
        <v>2348.0</v>
      </c>
      <c r="D3862" s="31"/>
      <c r="E3862" s="74"/>
      <c r="F3862" s="46" t="s">
        <v>1348</v>
      </c>
      <c r="G3862" s="74"/>
      <c r="H3862" s="98" t="str">
        <f>HYPERLINK("http://mirror.ff7data.com.ar/ff7/data/wm/world_us.lgp/gia2.tex.png","View Picture")</f>
        <v>View Picture</v>
      </c>
      <c r="K3862" s="43"/>
    </row>
    <row r="3863">
      <c r="A3863" s="55"/>
      <c r="B3863" s="33" t="s">
        <v>34760</v>
      </c>
      <c r="C3863" s="42">
        <v>1324.0</v>
      </c>
      <c r="D3863" s="31"/>
      <c r="E3863" s="74"/>
      <c r="F3863" s="46" t="s">
        <v>1348</v>
      </c>
      <c r="G3863" s="74"/>
      <c r="H3863" s="98" t="str">
        <f>HYPERLINK("http://mirror.ff7data.com.ar/ff7/data/wm/world_us.lgp/gmt_eda.tex.png","View Picture")</f>
        <v>View Picture</v>
      </c>
      <c r="K3863" s="43"/>
    </row>
    <row r="3864">
      <c r="A3864" s="40"/>
      <c r="B3864" s="33" t="s">
        <v>34763</v>
      </c>
      <c r="C3864" s="42">
        <v>8492.0</v>
      </c>
      <c r="D3864" s="33" t="s">
        <v>34691</v>
      </c>
      <c r="E3864" s="74"/>
      <c r="F3864" s="46" t="s">
        <v>1348</v>
      </c>
      <c r="G3864" s="46" t="s">
        <v>34764</v>
      </c>
      <c r="H3864" s="98" t="str">
        <f>HYPERLINK("http://mirror.ff7data.com.ar/ff7/data/wm/world_us.lgp/gonclf.tex.png","View Picture")</f>
        <v>View Picture</v>
      </c>
      <c r="K3864" s="43"/>
    </row>
    <row r="3865">
      <c r="A3865" s="55"/>
      <c r="B3865" s="33" t="s">
        <v>34768</v>
      </c>
      <c r="C3865" s="42">
        <v>1324.0</v>
      </c>
      <c r="D3865" s="31"/>
      <c r="E3865" s="74"/>
      <c r="F3865" s="46" t="s">
        <v>1348</v>
      </c>
      <c r="G3865" s="74"/>
      <c r="H3865" s="98" t="str">
        <f>HYPERLINK("http://mirror.ff7data.com.ar/ff7/data/wm/world_us.lgp/gredge.tex.png","View Picture")</f>
        <v>View Picture</v>
      </c>
      <c r="K3865" s="43"/>
    </row>
    <row r="3866">
      <c r="A3866" s="55"/>
      <c r="B3866" s="33" t="s">
        <v>34770</v>
      </c>
      <c r="C3866" s="42">
        <v>4396.0</v>
      </c>
      <c r="D3866" s="31"/>
      <c r="E3866" s="74"/>
      <c r="F3866" s="46" t="s">
        <v>1348</v>
      </c>
      <c r="G3866" s="74"/>
      <c r="H3866" s="98" t="str">
        <f>HYPERLINK("http://mirror.ff7data.com.ar/ff7/data/wm/world_us.lgp/hokola01.tex.png","View Picture")</f>
        <v>View Picture</v>
      </c>
      <c r="K3866" s="43"/>
    </row>
    <row r="3867">
      <c r="A3867" s="55"/>
      <c r="B3867" s="33" t="s">
        <v>34773</v>
      </c>
      <c r="C3867" s="42">
        <v>4396.0</v>
      </c>
      <c r="D3867" s="31"/>
      <c r="E3867" s="74"/>
      <c r="F3867" s="46" t="s">
        <v>1348</v>
      </c>
      <c r="G3867" s="74"/>
      <c r="H3867" s="98" t="str">
        <f>HYPERLINK("http://mirror.ff7data.com.ar/ff7/data/wm/world_us.lgp/hokola02.tex.png","View Picture")</f>
        <v>View Picture</v>
      </c>
      <c r="K3867" s="43"/>
    </row>
    <row r="3868">
      <c r="A3868" s="55"/>
      <c r="B3868" s="33" t="s">
        <v>34775</v>
      </c>
      <c r="C3868" s="42">
        <v>4396.0</v>
      </c>
      <c r="D3868" s="31"/>
      <c r="E3868" s="74"/>
      <c r="F3868" s="46" t="s">
        <v>1348</v>
      </c>
      <c r="G3868" s="74"/>
      <c r="H3868" s="98" t="str">
        <f>HYPERLINK("http://mirror.ff7data.com.ar/ff7/data/wm/world_us.lgp/hyouga.tex.png","View Picture")</f>
        <v>View Picture</v>
      </c>
      <c r="K3868" s="43"/>
    </row>
    <row r="3869">
      <c r="A3869" s="55"/>
      <c r="B3869" s="33" t="s">
        <v>34778</v>
      </c>
      <c r="C3869" s="42">
        <v>2348.0</v>
      </c>
      <c r="D3869" s="31"/>
      <c r="E3869" s="74"/>
      <c r="F3869" s="46" t="s">
        <v>1348</v>
      </c>
      <c r="G3869" s="74"/>
      <c r="H3869" s="98" t="str">
        <f>HYPERLINK("http://mirror.ff7data.com.ar/ff7/data/wm/world_us.lgp/iceclf.tex.png","View Picture")</f>
        <v>View Picture</v>
      </c>
      <c r="K3869" s="43"/>
    </row>
    <row r="3870">
      <c r="A3870" s="55"/>
      <c r="B3870" s="33" t="s">
        <v>34780</v>
      </c>
      <c r="C3870" s="42">
        <v>2348.0</v>
      </c>
      <c r="D3870" s="31"/>
      <c r="E3870" s="74"/>
      <c r="F3870" s="46" t="s">
        <v>1348</v>
      </c>
      <c r="G3870" s="74"/>
      <c r="H3870" s="98" t="str">
        <f>HYPERLINK("http://mirror.ff7data.com.ar/ff7/data/wm/world_us.lgp/iceclfd.tex.png","View Picture")</f>
        <v>View Picture</v>
      </c>
      <c r="K3870" s="43"/>
    </row>
    <row r="3871">
      <c r="A3871" s="55"/>
      <c r="B3871" s="33" t="s">
        <v>34782</v>
      </c>
      <c r="C3871" s="42">
        <v>1324.0</v>
      </c>
      <c r="D3871" s="31"/>
      <c r="E3871" s="74"/>
      <c r="F3871" s="46" t="s">
        <v>1348</v>
      </c>
      <c r="G3871" s="74"/>
      <c r="H3871" s="98" t="str">
        <f>HYPERLINK("http://mirror.ff7data.com.ar/ff7/data/wm/world_us.lgp/iceclfg.tex.png","View Picture")</f>
        <v>View Picture</v>
      </c>
      <c r="K3871" s="43"/>
    </row>
    <row r="3872">
      <c r="A3872" s="82"/>
      <c r="B3872" s="33" t="s">
        <v>34785</v>
      </c>
      <c r="C3872" s="42">
        <v>4396.0</v>
      </c>
      <c r="D3872" s="33" t="s">
        <v>34786</v>
      </c>
      <c r="E3872" s="74"/>
      <c r="F3872" s="46" t="s">
        <v>1348</v>
      </c>
      <c r="G3872" s="74"/>
      <c r="H3872" s="98" t="str">
        <f>HYPERLINK("http://mirror.ff7data.com.ar/ff7/data/wm/world_us.lgp/jun.tex.png","View Picture")</f>
        <v>View Picture</v>
      </c>
      <c r="K3872" s="43"/>
    </row>
    <row r="3873">
      <c r="A3873" s="82"/>
      <c r="B3873" s="33" t="s">
        <v>34792</v>
      </c>
      <c r="C3873" s="42">
        <v>4396.0</v>
      </c>
      <c r="D3873" s="33" t="s">
        <v>34793</v>
      </c>
      <c r="E3873" s="74"/>
      <c r="F3873" s="46" t="s">
        <v>1348</v>
      </c>
      <c r="G3873" s="74"/>
      <c r="H3873" s="98" t="str">
        <f>HYPERLINK("http://mirror.ff7data.com.ar/ff7/data/wm/world_us.lgp/jun_d.tex.png","View Picture")</f>
        <v>View Picture</v>
      </c>
      <c r="K3873" s="43"/>
    </row>
    <row r="3874">
      <c r="A3874" s="82"/>
      <c r="B3874" s="33" t="s">
        <v>34794</v>
      </c>
      <c r="C3874" s="42">
        <v>1324.0</v>
      </c>
      <c r="D3874" s="33" t="s">
        <v>34795</v>
      </c>
      <c r="E3874" s="74"/>
      <c r="F3874" s="46" t="s">
        <v>1348</v>
      </c>
      <c r="G3874" s="74"/>
      <c r="H3874" s="98" t="str">
        <f>HYPERLINK("http://mirror.ff7data.com.ar/ff7/data/wm/world_us.lgp/jun_e.tex.png","View Picture")</f>
        <v>View Picture</v>
      </c>
      <c r="K3874" s="43"/>
    </row>
    <row r="3875">
      <c r="A3875" s="82"/>
      <c r="B3875" s="33" t="s">
        <v>34798</v>
      </c>
      <c r="C3875" s="42">
        <v>4396.0</v>
      </c>
      <c r="D3875" s="33" t="s">
        <v>34799</v>
      </c>
      <c r="E3875" s="74"/>
      <c r="F3875" s="46" t="s">
        <v>1348</v>
      </c>
      <c r="G3875" s="74"/>
      <c r="H3875" s="98" t="str">
        <f>HYPERLINK("http://mirror.ff7data.com.ar/ff7/data/wm/world_us.lgp/jun_gro.tex.png","View Picture")</f>
        <v>View Picture</v>
      </c>
      <c r="K3875" s="43"/>
    </row>
    <row r="3876">
      <c r="A3876" s="55"/>
      <c r="B3876" s="33" t="s">
        <v>34801</v>
      </c>
      <c r="C3876" s="42">
        <v>1324.0</v>
      </c>
      <c r="D3876" s="31"/>
      <c r="E3876" s="74"/>
      <c r="F3876" s="46" t="s">
        <v>1348</v>
      </c>
      <c r="G3876" s="74"/>
      <c r="H3876" s="98" t="str">
        <f>HYPERLINK("http://mirror.ff7data.com.ar/ff7/data/wm/world_us.lgp/junmk.tex.png","View Picture")</f>
        <v>View Picture</v>
      </c>
      <c r="K3876" s="43"/>
    </row>
    <row r="3877">
      <c r="A3877" s="82"/>
      <c r="B3877" s="33" t="s">
        <v>34803</v>
      </c>
      <c r="C3877" s="42">
        <v>1324.0</v>
      </c>
      <c r="D3877" s="33" t="s">
        <v>34804</v>
      </c>
      <c r="E3877" s="74"/>
      <c r="F3877" s="46" t="s">
        <v>1348</v>
      </c>
      <c r="G3877" s="74"/>
      <c r="H3877" s="98" t="str">
        <f>HYPERLINK("http://mirror.ff7data.com.ar/ff7/data/wm/world_us.lgp/junn01.tex.png","View Picture")</f>
        <v>View Picture</v>
      </c>
      <c r="K3877" s="43"/>
    </row>
    <row r="3878">
      <c r="A3878" s="82"/>
      <c r="B3878" s="33" t="s">
        <v>34808</v>
      </c>
      <c r="C3878" s="42">
        <v>1324.0</v>
      </c>
      <c r="D3878" s="33" t="s">
        <v>34809</v>
      </c>
      <c r="E3878" s="74"/>
      <c r="F3878" s="46" t="s">
        <v>1348</v>
      </c>
      <c r="G3878" s="74"/>
      <c r="H3878" s="98" t="str">
        <f>HYPERLINK("http://mirror.ff7data.com.ar/ff7/data/wm/world_us.lgp/junn02.tex.png","View Picture")</f>
        <v>View Picture</v>
      </c>
      <c r="K3878" s="43"/>
    </row>
    <row r="3879">
      <c r="A3879" s="82"/>
      <c r="B3879" s="33" t="s">
        <v>34812</v>
      </c>
      <c r="C3879" s="42">
        <v>1324.0</v>
      </c>
      <c r="D3879" s="33" t="s">
        <v>34814</v>
      </c>
      <c r="E3879" s="74"/>
      <c r="F3879" s="46" t="s">
        <v>1348</v>
      </c>
      <c r="G3879" s="74"/>
      <c r="H3879" s="98" t="str">
        <f>HYPERLINK("http://mirror.ff7data.com.ar/ff7/data/wm/world_us.lgp/junn03.tex.png","View Picture")</f>
        <v>View Picture</v>
      </c>
      <c r="K3879" s="43"/>
    </row>
    <row r="3880">
      <c r="A3880" s="82"/>
      <c r="B3880" s="33" t="s">
        <v>34816</v>
      </c>
      <c r="C3880" s="42">
        <v>1324.0</v>
      </c>
      <c r="D3880" s="33" t="s">
        <v>34817</v>
      </c>
      <c r="E3880" s="74"/>
      <c r="F3880" s="46" t="s">
        <v>1348</v>
      </c>
      <c r="G3880" s="74"/>
      <c r="H3880" s="98" t="str">
        <f>HYPERLINK("http://mirror.ff7data.com.ar/ff7/data/wm/world_us.lgp/junn04.tex.png","View Picture")</f>
        <v>View Picture</v>
      </c>
      <c r="K3880" s="43"/>
    </row>
    <row r="3881">
      <c r="A3881" s="82"/>
      <c r="B3881" s="33" t="s">
        <v>34820</v>
      </c>
      <c r="C3881" s="42">
        <v>4396.0</v>
      </c>
      <c r="D3881" s="33" t="s">
        <v>34821</v>
      </c>
      <c r="E3881" s="74"/>
      <c r="F3881" s="46" t="s">
        <v>1348</v>
      </c>
      <c r="G3881" s="74"/>
      <c r="H3881" s="98" t="str">
        <f>HYPERLINK("http://mirror.ff7data.com.ar/ff7/data/wm/world_us.lgp/jutmpl01.tex.png","View Picture")</f>
        <v>View Picture</v>
      </c>
      <c r="K3881" s="43"/>
    </row>
    <row r="3882">
      <c r="A3882" s="55"/>
      <c r="B3882" s="33" t="s">
        <v>34824</v>
      </c>
      <c r="C3882" s="42">
        <v>33068.0</v>
      </c>
      <c r="D3882" s="31"/>
      <c r="E3882" s="74"/>
      <c r="F3882" s="46" t="s">
        <v>1348</v>
      </c>
      <c r="G3882" s="74"/>
      <c r="H3882" s="98" t="str">
        <f>HYPERLINK("http://mirror.ff7data.com.ar/ff7/data/wm/world_us.lgp/lake_a.tex.png","View Picture")</f>
        <v>View Picture</v>
      </c>
      <c r="K3882" s="43"/>
    </row>
    <row r="3883">
      <c r="A3883" s="55"/>
      <c r="B3883" s="33" t="s">
        <v>34827</v>
      </c>
      <c r="C3883" s="42">
        <v>1324.0</v>
      </c>
      <c r="D3883" s="31"/>
      <c r="E3883" s="74"/>
      <c r="F3883" s="46" t="s">
        <v>1348</v>
      </c>
      <c r="G3883" s="74"/>
      <c r="H3883" s="98" t="str">
        <f>HYPERLINK("http://mirror.ff7data.com.ar/ff7/data/wm/world_us.lgp/lake_ef.tex.png","View Picture")</f>
        <v>View Picture</v>
      </c>
      <c r="K3883" s="43"/>
    </row>
    <row r="3884">
      <c r="A3884" s="55"/>
      <c r="B3884" s="33" t="s">
        <v>34830</v>
      </c>
      <c r="C3884" s="42">
        <v>4396.0</v>
      </c>
      <c r="D3884" s="31"/>
      <c r="E3884" s="74"/>
      <c r="F3884" s="46" t="s">
        <v>1348</v>
      </c>
      <c r="G3884" s="74"/>
      <c r="H3884" s="98" t="str">
        <f>HYPERLINK("http://mirror.ff7data.com.ar/ff7/data/wm/world_us.lgp/lake_fl.tex.png","View Picture")</f>
        <v>View Picture</v>
      </c>
      <c r="K3884" s="43"/>
    </row>
    <row r="3885">
      <c r="A3885" s="55"/>
      <c r="B3885" s="33" t="s">
        <v>34833</v>
      </c>
      <c r="C3885" s="42">
        <v>1324.0</v>
      </c>
      <c r="D3885" s="31"/>
      <c r="E3885" s="74"/>
      <c r="F3885" s="46" t="s">
        <v>1348</v>
      </c>
      <c r="G3885" s="74"/>
      <c r="H3885" s="98" t="str">
        <f>HYPERLINK("http://mirror.ff7data.com.ar/ff7/data/wm/world_us.lgp/lake-e.tex.png","View Picture")</f>
        <v>View Picture</v>
      </c>
      <c r="K3885" s="43"/>
    </row>
    <row r="3886">
      <c r="A3886" s="55"/>
      <c r="B3886" s="33" t="s">
        <v>34836</v>
      </c>
      <c r="C3886" s="42">
        <v>2348.0</v>
      </c>
      <c r="D3886" s="31"/>
      <c r="E3886" s="74"/>
      <c r="F3886" s="46" t="s">
        <v>1348</v>
      </c>
      <c r="G3886" s="74"/>
      <c r="H3886" s="98" t="str">
        <f>HYPERLINK("http://mirror.ff7data.com.ar/ff7/data/wm/world_us.lgp/lostclf.tex.png","View Picture")</f>
        <v>View Picture</v>
      </c>
      <c r="K3886" s="43"/>
    </row>
    <row r="3887">
      <c r="A3887" s="55"/>
      <c r="B3887" s="33" t="s">
        <v>34839</v>
      </c>
      <c r="C3887" s="42">
        <v>4396.0</v>
      </c>
      <c r="D3887" s="31"/>
      <c r="E3887" s="74"/>
      <c r="F3887" s="46" t="s">
        <v>1348</v>
      </c>
      <c r="G3887" s="74"/>
      <c r="H3887" s="98" t="str">
        <f>HYPERLINK("http://mirror.ff7data.com.ar/ff7/data/wm/world_us.lgp/lostmt.tex.png","View Picture")</f>
        <v>View Picture</v>
      </c>
      <c r="K3887" s="43"/>
    </row>
    <row r="3888">
      <c r="A3888" s="55"/>
      <c r="B3888" s="33" t="s">
        <v>34842</v>
      </c>
      <c r="C3888" s="42">
        <v>4396.0</v>
      </c>
      <c r="D3888" s="31"/>
      <c r="E3888" s="74"/>
      <c r="F3888" s="46" t="s">
        <v>1348</v>
      </c>
      <c r="G3888" s="74"/>
      <c r="H3888" s="98" t="str">
        <f>HYPERLINK("http://mirror.ff7data.com.ar/ff7/data/wm/world_us.lgp/lostmtd.tex.png","View Picture")</f>
        <v>View Picture</v>
      </c>
      <c r="K3888" s="43"/>
    </row>
    <row r="3889">
      <c r="A3889" s="55"/>
      <c r="B3889" s="33" t="s">
        <v>34845</v>
      </c>
      <c r="C3889" s="42">
        <v>2348.0</v>
      </c>
      <c r="D3889" s="31"/>
      <c r="E3889" s="74"/>
      <c r="F3889" s="46" t="s">
        <v>1348</v>
      </c>
      <c r="G3889" s="74"/>
      <c r="H3889" s="98" t="str">
        <f>HYPERLINK("http://mirror.ff7data.com.ar/ff7/data/wm/world_us.lgp/lostmts.tex.png","View Picture")</f>
        <v>View Picture</v>
      </c>
      <c r="K3889" s="43"/>
    </row>
    <row r="3890">
      <c r="A3890" s="55"/>
      <c r="B3890" s="33" t="s">
        <v>34849</v>
      </c>
      <c r="C3890" s="42">
        <v>1324.0</v>
      </c>
      <c r="D3890" s="31"/>
      <c r="E3890" s="74"/>
      <c r="F3890" s="46" t="s">
        <v>1348</v>
      </c>
      <c r="G3890" s="74"/>
      <c r="H3890" s="98" t="str">
        <f>HYPERLINK("http://mirror.ff7data.com.ar/ff7/data/wm/world_us.lgp/lostwd_e.tex.png","View Picture")</f>
        <v>View Picture</v>
      </c>
      <c r="K3890" s="43"/>
    </row>
    <row r="3891">
      <c r="A3891" s="55"/>
      <c r="B3891" s="33" t="s">
        <v>34853</v>
      </c>
      <c r="C3891" s="42">
        <v>4396.0</v>
      </c>
      <c r="D3891" s="31"/>
      <c r="E3891" s="74"/>
      <c r="F3891" s="46" t="s">
        <v>1348</v>
      </c>
      <c r="G3891" s="74"/>
      <c r="H3891" s="98" t="str">
        <f>HYPERLINK("http://mirror.ff7data.com.ar/ff7/data/wm/world_us.lgp/lostwod.tex.png","View Picture")</f>
        <v>View Picture</v>
      </c>
      <c r="K3891" s="43"/>
    </row>
    <row r="3892">
      <c r="A3892" s="55"/>
      <c r="B3892" s="33" t="s">
        <v>34855</v>
      </c>
      <c r="C3892" s="42">
        <v>1324.0</v>
      </c>
      <c r="D3892" s="31"/>
      <c r="E3892" s="74"/>
      <c r="F3892" s="46" t="s">
        <v>1348</v>
      </c>
      <c r="G3892" s="74"/>
      <c r="H3892" s="98" t="str">
        <f>HYPERLINK("http://mirror.ff7data.com.ar/ff7/data/wm/world_us.lgp/lst1.tex.png","View Picture")</f>
        <v>View Picture</v>
      </c>
      <c r="K3892" s="43"/>
    </row>
    <row r="3893">
      <c r="A3893" s="55"/>
      <c r="B3893" s="33" t="s">
        <v>34857</v>
      </c>
      <c r="C3893" s="42">
        <v>1324.0</v>
      </c>
      <c r="D3893" s="31"/>
      <c r="E3893" s="74"/>
      <c r="F3893" s="46" t="s">
        <v>1348</v>
      </c>
      <c r="G3893" s="74"/>
      <c r="H3893" s="98" t="str">
        <f>HYPERLINK("http://mirror.ff7data.com.ar/ff7/data/wm/world_us.lgp/lst2.tex.png","View Picture")</f>
        <v>View Picture</v>
      </c>
      <c r="K3893" s="43"/>
    </row>
    <row r="3894">
      <c r="A3894" s="55"/>
      <c r="B3894" s="33" t="s">
        <v>34859</v>
      </c>
      <c r="C3894" s="42">
        <v>1324.0</v>
      </c>
      <c r="D3894" s="31"/>
      <c r="E3894" s="74"/>
      <c r="F3894" s="46" t="s">
        <v>1348</v>
      </c>
      <c r="G3894" s="74"/>
      <c r="H3894" s="98" t="str">
        <f>HYPERLINK("http://mirror.ff7data.com.ar/ff7/data/wm/world_us.lgp/lst3.tex.png","View Picture")</f>
        <v>View Picture</v>
      </c>
      <c r="K3894" s="43"/>
    </row>
    <row r="3895">
      <c r="A3895" s="55"/>
      <c r="B3895" s="33" t="s">
        <v>34862</v>
      </c>
      <c r="C3895" s="42">
        <v>1324.0</v>
      </c>
      <c r="D3895" s="31"/>
      <c r="E3895" s="74"/>
      <c r="F3895" s="46" t="s">
        <v>1348</v>
      </c>
      <c r="G3895" s="74"/>
      <c r="H3895" s="98" t="str">
        <f>HYPERLINK("http://mirror.ff7data.com.ar/ff7/data/wm/world_us.lgp/lst4.tex.png","View Picture")</f>
        <v>View Picture</v>
      </c>
      <c r="K3895" s="43"/>
    </row>
    <row r="3896">
      <c r="A3896" s="55"/>
      <c r="B3896" s="33" t="s">
        <v>34865</v>
      </c>
      <c r="C3896" s="42">
        <v>1324.0</v>
      </c>
      <c r="D3896" s="31"/>
      <c r="E3896" s="74"/>
      <c r="F3896" s="46" t="s">
        <v>1348</v>
      </c>
      <c r="G3896" s="74"/>
      <c r="H3896" s="98" t="str">
        <f>HYPERLINK("http://mirror.ff7data.com.ar/ff7/data/wm/world_us.lgp/lstwd_e2.tex.png","View Picture")</f>
        <v>View Picture</v>
      </c>
      <c r="K3896" s="43"/>
    </row>
    <row r="3897">
      <c r="A3897" s="82"/>
      <c r="B3897" s="33" t="s">
        <v>34867</v>
      </c>
      <c r="C3897" s="42">
        <v>8492.0</v>
      </c>
      <c r="D3897" s="33" t="s">
        <v>34868</v>
      </c>
      <c r="E3897" s="74"/>
      <c r="F3897" s="46" t="s">
        <v>1348</v>
      </c>
      <c r="G3897" s="74"/>
      <c r="H3897" s="98" t="str">
        <f>HYPERLINK("http://mirror.ff7data.com.ar/ff7/data/wm/world_us.lgp/map.tex.png","View Picture")</f>
        <v>View Picture</v>
      </c>
      <c r="K3897" s="43"/>
    </row>
    <row r="3898">
      <c r="A3898" s="55"/>
      <c r="B3898" s="33" t="s">
        <v>34870</v>
      </c>
      <c r="C3898" s="42">
        <v>16684.0</v>
      </c>
      <c r="D3898" s="31"/>
      <c r="E3898" s="74"/>
      <c r="F3898" s="46" t="s">
        <v>1348</v>
      </c>
      <c r="G3898" s="74"/>
      <c r="H3898" s="98" t="str">
        <f>HYPERLINK("http://mirror.ff7data.com.ar/ff7/data/wm/world_us.lgp/md_mt.tex.png","View Picture")</f>
        <v>View Picture</v>
      </c>
      <c r="K3898" s="43"/>
    </row>
    <row r="3899">
      <c r="A3899" s="55"/>
      <c r="B3899" s="33" t="s">
        <v>34871</v>
      </c>
      <c r="C3899" s="42">
        <v>16684.0</v>
      </c>
      <c r="D3899" s="31"/>
      <c r="E3899" s="74"/>
      <c r="F3899" s="46" t="s">
        <v>1348</v>
      </c>
      <c r="G3899" s="74"/>
      <c r="H3899" s="98" t="str">
        <f>HYPERLINK("http://mirror.ff7data.com.ar/ff7/data/wm/world_us.lgp/md_mtd.tex.png","View Picture")</f>
        <v>View Picture</v>
      </c>
      <c r="K3899" s="43"/>
    </row>
    <row r="3900">
      <c r="A3900" s="55"/>
      <c r="B3900" s="33" t="s">
        <v>34873</v>
      </c>
      <c r="C3900" s="42">
        <v>8492.0</v>
      </c>
      <c r="D3900" s="31"/>
      <c r="E3900" s="74"/>
      <c r="F3900" s="46" t="s">
        <v>1348</v>
      </c>
      <c r="G3900" s="74"/>
      <c r="H3900" s="98" t="str">
        <f>HYPERLINK("http://mirror.ff7data.com.ar/ff7/data/wm/world_us.lgp/md_mts.tex.png","View Picture")</f>
        <v>View Picture</v>
      </c>
      <c r="K3900" s="43"/>
    </row>
    <row r="3901">
      <c r="A3901" s="55"/>
      <c r="B3901" s="33" t="s">
        <v>34875</v>
      </c>
      <c r="C3901" s="42">
        <v>4396.0</v>
      </c>
      <c r="D3901" s="31"/>
      <c r="E3901" s="74"/>
      <c r="F3901" s="46" t="s">
        <v>1348</v>
      </c>
      <c r="G3901" s="74"/>
      <c r="H3901" s="98" t="str">
        <f>HYPERLINK("http://mirror.ff7data.com.ar/ff7/data/wm/world_us.lgp/md_snow.tex.png","View Picture")</f>
        <v>View Picture</v>
      </c>
      <c r="K3901" s="43"/>
    </row>
    <row r="3902">
      <c r="A3902" s="55"/>
      <c r="B3902" s="33" t="s">
        <v>34877</v>
      </c>
      <c r="C3902" s="42">
        <v>4396.0</v>
      </c>
      <c r="D3902" s="31"/>
      <c r="E3902" s="74"/>
      <c r="F3902" s="46" t="s">
        <v>1348</v>
      </c>
      <c r="G3902" s="74"/>
      <c r="H3902" s="98" t="str">
        <f>HYPERLINK("http://mirror.ff7data.com.ar/ff7/data/wm/world_us.lgp/md_snw2.tex.png","View Picture")</f>
        <v>View Picture</v>
      </c>
      <c r="K3902" s="43"/>
    </row>
    <row r="3903">
      <c r="A3903" s="55"/>
      <c r="B3903" s="33" t="s">
        <v>34879</v>
      </c>
      <c r="C3903" s="42">
        <v>8492.0</v>
      </c>
      <c r="D3903" s="31"/>
      <c r="E3903" s="74"/>
      <c r="F3903" s="46" t="s">
        <v>1348</v>
      </c>
      <c r="G3903" s="74"/>
      <c r="H3903" s="98" t="str">
        <f>HYPERLINK("http://mirror.ff7data.com.ar/ff7/data/wm/world_us.lgp/md_snwd.tex.png","View Picture")</f>
        <v>View Picture</v>
      </c>
      <c r="K3903" s="43"/>
    </row>
    <row r="3904">
      <c r="A3904" s="55"/>
      <c r="B3904" s="33" t="s">
        <v>34881</v>
      </c>
      <c r="C3904" s="42">
        <v>4396.0</v>
      </c>
      <c r="D3904" s="31"/>
      <c r="E3904" s="74"/>
      <c r="F3904" s="46" t="s">
        <v>1348</v>
      </c>
      <c r="G3904" s="74"/>
      <c r="H3904" s="98" t="str">
        <f>HYPERLINK("http://mirror.ff7data.com.ar/ff7/data/wm/world_us.lgp/md_snwe.tex.png","View Picture")</f>
        <v>View Picture</v>
      </c>
      <c r="K3904" s="43"/>
    </row>
    <row r="3905">
      <c r="A3905" s="55"/>
      <c r="B3905" s="33" t="s">
        <v>34883</v>
      </c>
      <c r="C3905" s="42">
        <v>4396.0</v>
      </c>
      <c r="D3905" s="31"/>
      <c r="E3905" s="74"/>
      <c r="F3905" s="46" t="s">
        <v>1348</v>
      </c>
      <c r="G3905" s="74"/>
      <c r="H3905" s="98" t="str">
        <f>HYPERLINK("http://mirror.ff7data.com.ar/ff7/data/wm/world_us.lgp/md_snws.tex.png","View Picture")</f>
        <v>View Picture</v>
      </c>
      <c r="K3905" s="43"/>
    </row>
    <row r="3906">
      <c r="A3906" s="55"/>
      <c r="B3906" s="33" t="s">
        <v>34885</v>
      </c>
      <c r="C3906" s="42">
        <v>4396.0</v>
      </c>
      <c r="D3906" s="31"/>
      <c r="E3906" s="74"/>
      <c r="F3906" s="46" t="s">
        <v>1348</v>
      </c>
      <c r="G3906" s="74"/>
      <c r="H3906" s="98" t="str">
        <f>HYPERLINK("http://mirror.ff7data.com.ar/ff7/data/wm/world_us.lgp/md_snwt.tex.png","View Picture")</f>
        <v>View Picture</v>
      </c>
      <c r="K3906" s="43"/>
    </row>
    <row r="3907">
      <c r="A3907" s="55"/>
      <c r="B3907" s="33" t="s">
        <v>34887</v>
      </c>
      <c r="C3907" s="42">
        <v>1324.0</v>
      </c>
      <c r="D3907" s="31"/>
      <c r="E3907" s="74"/>
      <c r="F3907" s="46" t="s">
        <v>1348</v>
      </c>
      <c r="G3907" s="74"/>
      <c r="H3907" s="98" t="str">
        <f>HYPERLINK("http://mirror.ff7data.com.ar/ff7/data/wm/world_us.lgp/md_snww.tex.png","View Picture")</f>
        <v>View Picture</v>
      </c>
      <c r="K3907" s="43"/>
    </row>
    <row r="3908">
      <c r="A3908" s="82"/>
      <c r="B3908" s="33" t="s">
        <v>34889</v>
      </c>
      <c r="C3908" s="42">
        <v>16684.0</v>
      </c>
      <c r="D3908" s="33" t="s">
        <v>34890</v>
      </c>
      <c r="E3908" s="74"/>
      <c r="F3908" s="46" t="s">
        <v>1348</v>
      </c>
      <c r="G3908" s="74"/>
      <c r="H3908" s="98" t="str">
        <f>HYPERLINK("http://mirror.ff7data.com.ar/ff7/data/wm/world_us.lgp/md_sw_s.tex.png","View Picture")</f>
        <v>View Picture</v>
      </c>
      <c r="K3908" s="43"/>
    </row>
    <row r="3909">
      <c r="A3909" s="55"/>
      <c r="B3909" s="33" t="s">
        <v>34892</v>
      </c>
      <c r="C3909" s="42">
        <v>1324.0</v>
      </c>
      <c r="D3909" s="31"/>
      <c r="E3909" s="74"/>
      <c r="F3909" s="46" t="s">
        <v>1348</v>
      </c>
      <c r="G3909" s="74"/>
      <c r="H3909" s="98" t="str">
        <f>HYPERLINK("http://mirror.ff7data.com.ar/ff7/data/wm/world_us.lgp/md_swd2.tex.png","View Picture")</f>
        <v>View Picture</v>
      </c>
      <c r="K3909" s="43"/>
    </row>
    <row r="3910">
      <c r="A3910" s="82"/>
      <c r="B3910" s="33" t="s">
        <v>34894</v>
      </c>
      <c r="C3910" s="42">
        <v>16684.0</v>
      </c>
      <c r="D3910" s="33" t="s">
        <v>34890</v>
      </c>
      <c r="E3910" s="74"/>
      <c r="F3910" s="46" t="s">
        <v>1348</v>
      </c>
      <c r="G3910" s="46" t="s">
        <v>34895</v>
      </c>
      <c r="H3910" s="98" t="str">
        <f>HYPERLINK("http://mirror.ff7data.com.ar/ff7/data/wm/world_us.lgp/md_swnp.tex.png","View Picture")</f>
        <v>View Picture</v>
      </c>
      <c r="K3910" s="43"/>
    </row>
    <row r="3911">
      <c r="A3911" s="82"/>
      <c r="B3911" s="33" t="s">
        <v>34897</v>
      </c>
      <c r="C3911" s="42">
        <v>1324.0</v>
      </c>
      <c r="D3911" s="33" t="s">
        <v>34898</v>
      </c>
      <c r="E3911" s="74"/>
      <c r="F3911" s="46" t="s">
        <v>1348</v>
      </c>
      <c r="G3911" s="74"/>
      <c r="H3911" s="98" t="str">
        <f>HYPERLINK("http://mirror.ff7data.com.ar/ff7/data/wm/world_us.lgp/md01.tex.png","View Picture")</f>
        <v>View Picture</v>
      </c>
      <c r="K3911" s="43"/>
    </row>
    <row r="3912">
      <c r="A3912" s="82"/>
      <c r="B3912" s="33" t="s">
        <v>34900</v>
      </c>
      <c r="C3912" s="42">
        <v>16684.0</v>
      </c>
      <c r="D3912" s="33" t="s">
        <v>34901</v>
      </c>
      <c r="E3912" s="74"/>
      <c r="F3912" s="46" t="s">
        <v>1348</v>
      </c>
      <c r="G3912" s="74"/>
      <c r="H3912" s="98" t="str">
        <f>HYPERLINK("http://mirror.ff7data.com.ar/ff7/data/wm/world_us.lgp/md02.tex.png","View Picture")</f>
        <v>View Picture</v>
      </c>
      <c r="K3912" s="43"/>
    </row>
    <row r="3913">
      <c r="A3913" s="82"/>
      <c r="B3913" s="33" t="s">
        <v>34903</v>
      </c>
      <c r="C3913" s="42">
        <v>556.0</v>
      </c>
      <c r="D3913" s="33" t="s">
        <v>34904</v>
      </c>
      <c r="E3913" s="74"/>
      <c r="F3913" s="46" t="s">
        <v>1348</v>
      </c>
      <c r="G3913" s="74"/>
      <c r="H3913" s="98" t="str">
        <f>HYPERLINK("http://mirror.ff7data.com.ar/ff7/data/wm/world_us.lgp/md03.tex.png","View Picture")</f>
        <v>View Picture</v>
      </c>
      <c r="K3913" s="43"/>
    </row>
    <row r="3914">
      <c r="A3914" s="82"/>
      <c r="B3914" s="33" t="s">
        <v>34906</v>
      </c>
      <c r="C3914" s="42">
        <v>1324.0</v>
      </c>
      <c r="D3914" s="33" t="s">
        <v>34907</v>
      </c>
      <c r="E3914" s="74"/>
      <c r="F3914" s="46" t="s">
        <v>1348</v>
      </c>
      <c r="G3914" s="74"/>
      <c r="H3914" s="98" t="str">
        <f>HYPERLINK("http://mirror.ff7data.com.ar/ff7/data/wm/world_us.lgp/md04.tex.png","View Picture")</f>
        <v>View Picture</v>
      </c>
      <c r="K3914" s="43"/>
    </row>
    <row r="3915">
      <c r="A3915" s="82"/>
      <c r="B3915" s="33" t="s">
        <v>34908</v>
      </c>
      <c r="C3915" s="42">
        <v>1324.0</v>
      </c>
      <c r="D3915" s="33" t="s">
        <v>34909</v>
      </c>
      <c r="E3915" s="74"/>
      <c r="F3915" s="46" t="s">
        <v>1348</v>
      </c>
      <c r="G3915" s="74"/>
      <c r="H3915" s="98" t="str">
        <f>HYPERLINK("http://mirror.ff7data.com.ar/ff7/data/wm/world_us.lgp/md05.tex.png","View Picture")</f>
        <v>View Picture</v>
      </c>
      <c r="K3915" s="43"/>
    </row>
    <row r="3916">
      <c r="A3916" s="82"/>
      <c r="B3916" s="33" t="s">
        <v>34910</v>
      </c>
      <c r="C3916" s="42">
        <v>812.0</v>
      </c>
      <c r="D3916" s="33" t="s">
        <v>34912</v>
      </c>
      <c r="E3916" s="74"/>
      <c r="F3916" s="46" t="s">
        <v>1348</v>
      </c>
      <c r="G3916" s="74"/>
      <c r="H3916" s="98" t="str">
        <f>HYPERLINK("http://mirror.ff7data.com.ar/ff7/data/wm/world_us.lgp/md06.tex.png","View Picture")</f>
        <v>View Picture</v>
      </c>
      <c r="K3916" s="43"/>
    </row>
    <row r="3917">
      <c r="A3917" s="82"/>
      <c r="B3917" s="33" t="s">
        <v>34915</v>
      </c>
      <c r="C3917" s="42">
        <v>556.0</v>
      </c>
      <c r="D3917" s="33" t="s">
        <v>34916</v>
      </c>
      <c r="E3917" s="74"/>
      <c r="F3917" s="46" t="s">
        <v>1348</v>
      </c>
      <c r="G3917" s="74"/>
      <c r="H3917" s="98" t="str">
        <f>HYPERLINK("http://mirror.ff7data.com.ar/ff7/data/wm/world_us.lgp/md07.tex.png","View Picture")</f>
        <v>View Picture</v>
      </c>
      <c r="K3917" s="43"/>
    </row>
    <row r="3918">
      <c r="A3918" s="55"/>
      <c r="B3918" s="33" t="s">
        <v>34920</v>
      </c>
      <c r="C3918" s="42">
        <v>4396.0</v>
      </c>
      <c r="D3918" s="31"/>
      <c r="E3918" s="74"/>
      <c r="F3918" s="46" t="s">
        <v>1348</v>
      </c>
      <c r="G3918" s="74"/>
      <c r="H3918" s="98" t="str">
        <f>HYPERLINK("http://mirror.ff7data.com.ar/ff7/data/wm/world_us.lgp/mdsrt_e.tex.png","View Picture")</f>
        <v>View Picture</v>
      </c>
      <c r="K3918" s="43"/>
    </row>
    <row r="3919">
      <c r="A3919" s="55"/>
      <c r="B3919" s="33" t="s">
        <v>34922</v>
      </c>
      <c r="C3919" s="42">
        <v>4396.0</v>
      </c>
      <c r="D3919" s="31"/>
      <c r="E3919" s="74"/>
      <c r="F3919" s="46" t="s">
        <v>1348</v>
      </c>
      <c r="G3919" s="74"/>
      <c r="H3919" s="98" t="str">
        <f>HYPERLINK("http://mirror.ff7data.com.ar/ff7/data/wm/world_us.lgp/mdsrt_ed.tex.png","View Picture")</f>
        <v>View Picture</v>
      </c>
      <c r="K3919" s="43"/>
    </row>
    <row r="3920">
      <c r="A3920" s="55"/>
      <c r="B3920" s="33" t="s">
        <v>34924</v>
      </c>
      <c r="C3920" s="42">
        <v>1324.0</v>
      </c>
      <c r="D3920" s="31"/>
      <c r="E3920" s="74"/>
      <c r="F3920" s="46" t="s">
        <v>1348</v>
      </c>
      <c r="G3920" s="74"/>
      <c r="H3920" s="98" t="str">
        <f>HYPERLINK("http://mirror.ff7data.com.ar/ff7/data/wm/world_us.lgp/mdsrt_eg.tex.png","View Picture")</f>
        <v>View Picture</v>
      </c>
      <c r="K3920" s="43"/>
    </row>
    <row r="3921">
      <c r="A3921" s="55"/>
      <c r="B3921" s="33" t="s">
        <v>34926</v>
      </c>
      <c r="C3921" s="42">
        <v>4096.0</v>
      </c>
      <c r="D3921" s="31"/>
      <c r="E3921" s="74"/>
      <c r="F3921" s="75"/>
      <c r="G3921" s="74"/>
      <c r="H3921" s="74"/>
      <c r="K3921" s="43"/>
    </row>
    <row r="3922">
      <c r="A3922" s="40"/>
      <c r="B3922" s="33" t="s">
        <v>34927</v>
      </c>
      <c r="C3922" s="42">
        <v>16684.0</v>
      </c>
      <c r="D3922" s="33" t="s">
        <v>34928</v>
      </c>
      <c r="E3922" s="74"/>
      <c r="F3922" s="46" t="s">
        <v>1348</v>
      </c>
      <c r="G3922" s="46" t="s">
        <v>34930</v>
      </c>
      <c r="H3922" s="98" t="str">
        <f>HYPERLINK("http://mirror.ff7data.com.ar/ff7/data/wm/world_us.lgp/meteo.tex.png","View Picture")</f>
        <v>View Picture</v>
      </c>
      <c r="K3922" s="43"/>
    </row>
    <row r="3923">
      <c r="A3923" s="55"/>
      <c r="B3923" s="33" t="s">
        <v>34931</v>
      </c>
      <c r="C3923" s="42">
        <v>2796.0</v>
      </c>
      <c r="D3923" s="31"/>
      <c r="E3923" s="74"/>
      <c r="F3923" s="46" t="s">
        <v>1348</v>
      </c>
      <c r="G3923" s="75"/>
      <c r="H3923" s="98" t="str">
        <f>HYPERLINK("http://mirror.ff7data.com.ar/ff7/data/wm/world_us.lgp/midg.tex.png","View Picture")</f>
        <v>View Picture</v>
      </c>
      <c r="K3923" s="43"/>
    </row>
    <row r="3924">
      <c r="A3924" s="55"/>
      <c r="B3924" s="33" t="s">
        <v>34933</v>
      </c>
      <c r="C3924" s="42">
        <v>1324.0</v>
      </c>
      <c r="D3924" s="31"/>
      <c r="E3924" s="74"/>
      <c r="F3924" s="46" t="s">
        <v>1348</v>
      </c>
      <c r="G3924" s="75"/>
      <c r="H3924" s="98" t="str">
        <f>HYPERLINK("http://mirror.ff7data.com.ar/ff7/data/wm/world_us.lgp/midil.tex.png","View Picture")</f>
        <v>View Picture</v>
      </c>
      <c r="K3924" s="43"/>
    </row>
    <row r="3925">
      <c r="A3925" s="55"/>
      <c r="B3925" s="33" t="s">
        <v>34935</v>
      </c>
      <c r="C3925" s="42">
        <v>1324.0</v>
      </c>
      <c r="D3925" s="31"/>
      <c r="E3925" s="74"/>
      <c r="F3925" s="46" t="s">
        <v>1348</v>
      </c>
      <c r="G3925" s="75"/>
      <c r="H3925" s="98" t="str">
        <f>HYPERLINK("http://mirror.ff7data.com.ar/ff7/data/wm/world_us.lgp/midild.tex.png","View Picture")</f>
        <v>View Picture</v>
      </c>
      <c r="K3925" s="43"/>
    </row>
    <row r="3926" ht="22.5" customHeight="1">
      <c r="A3926" s="40"/>
      <c r="B3926" s="33" t="s">
        <v>34937</v>
      </c>
      <c r="C3926" s="42">
        <v>65836.0</v>
      </c>
      <c r="D3926" s="33" t="s">
        <v>34938</v>
      </c>
      <c r="E3926" s="74"/>
      <c r="F3926" s="46" t="s">
        <v>1348</v>
      </c>
      <c r="G3926" s="46" t="s">
        <v>34939</v>
      </c>
      <c r="H3926" s="98" t="str">
        <f>HYPERLINK("http://mirror.ff7data.com.ar/ff7/data/wm/world_us.lgp/midlmap.tex.png","View Picture")</f>
        <v>View Picture</v>
      </c>
      <c r="K3926" s="43"/>
    </row>
    <row r="3927" ht="22.5" customHeight="1">
      <c r="A3927" s="40"/>
      <c r="B3927" s="33" t="s">
        <v>34941</v>
      </c>
      <c r="C3927" s="42">
        <v>65836.0</v>
      </c>
      <c r="D3927" s="33" t="s">
        <v>34942</v>
      </c>
      <c r="E3927" s="74"/>
      <c r="F3927" s="46" t="s">
        <v>1348</v>
      </c>
      <c r="G3927" s="46" t="s">
        <v>34939</v>
      </c>
      <c r="H3927" s="98" t="str">
        <f>HYPERLINK("http://mirror.ff7data.com.ar/ff7/data/wm/world_us.lgp/midlmap2.tex.png","View Picture")</f>
        <v>View Picture</v>
      </c>
      <c r="K3927" s="43"/>
    </row>
    <row r="3928">
      <c r="A3928" s="55"/>
      <c r="B3928" s="33" t="s">
        <v>34944</v>
      </c>
      <c r="C3928" s="42">
        <v>1324.0</v>
      </c>
      <c r="D3928" s="31"/>
      <c r="E3928" s="74"/>
      <c r="F3928" s="46" t="s">
        <v>1348</v>
      </c>
      <c r="G3928" s="74"/>
      <c r="H3928" s="98" t="str">
        <f>HYPERLINK("http://mirror.ff7data.com.ar/ff7/data/wm/world_us.lgp/mt_ewg.tex.png","View Picture")</f>
        <v>View Picture</v>
      </c>
      <c r="K3928" s="43"/>
    </row>
    <row r="3929">
      <c r="A3929" s="55"/>
      <c r="B3929" s="33" t="s">
        <v>34946</v>
      </c>
      <c r="C3929" s="42">
        <v>4396.0</v>
      </c>
      <c r="D3929" s="31"/>
      <c r="E3929" s="74"/>
      <c r="F3929" s="46" t="s">
        <v>1348</v>
      </c>
      <c r="G3929" s="74"/>
      <c r="H3929" s="98" t="str">
        <f>HYPERLINK("http://mirror.ff7data.com.ar/ff7/data/wm/world_us.lgp/mt_road.tex.png","View Picture")</f>
        <v>View Picture</v>
      </c>
      <c r="K3929" s="43"/>
    </row>
    <row r="3930">
      <c r="A3930" s="55"/>
      <c r="B3930" s="33" t="s">
        <v>34948</v>
      </c>
      <c r="C3930" s="42">
        <v>1324.0</v>
      </c>
      <c r="D3930" s="31"/>
      <c r="E3930" s="74"/>
      <c r="F3930" s="46" t="s">
        <v>1348</v>
      </c>
      <c r="G3930" s="74"/>
      <c r="H3930" s="98" t="str">
        <f>HYPERLINK("http://mirror.ff7data.com.ar/ff7/data/wm/world_us.lgp/mt_se.tex.png","View Picture")</f>
        <v>View Picture</v>
      </c>
      <c r="K3930" s="43"/>
    </row>
    <row r="3931">
      <c r="A3931" s="55"/>
      <c r="B3931" s="33" t="s">
        <v>34950</v>
      </c>
      <c r="C3931" s="42">
        <v>4396.0</v>
      </c>
      <c r="D3931" s="31"/>
      <c r="E3931" s="74"/>
      <c r="F3931" s="46" t="s">
        <v>1348</v>
      </c>
      <c r="G3931" s="74"/>
      <c r="H3931" s="98" t="str">
        <f>HYPERLINK("http://mirror.ff7data.com.ar/ff7/data/wm/world_us.lgp/mt_se2.tex.png","View Picture")</f>
        <v>View Picture</v>
      </c>
      <c r="K3931" s="43"/>
    </row>
    <row r="3932">
      <c r="A3932" s="55"/>
      <c r="B3932" s="33" t="s">
        <v>34952</v>
      </c>
      <c r="C3932" s="42">
        <v>1324.0</v>
      </c>
      <c r="D3932" s="31"/>
      <c r="E3932" s="74"/>
      <c r="F3932" s="46" t="s">
        <v>1348</v>
      </c>
      <c r="G3932" s="74"/>
      <c r="H3932" s="98" t="str">
        <f>HYPERLINK("http://mirror.ff7data.com.ar/ff7/data/wm/world_us.lgp/mt_sg01.tex.png","View Picture")</f>
        <v>View Picture</v>
      </c>
      <c r="K3932" s="43"/>
    </row>
    <row r="3933">
      <c r="A3933" s="55"/>
      <c r="B3933" s="33" t="s">
        <v>34953</v>
      </c>
      <c r="C3933" s="42">
        <v>1324.0</v>
      </c>
      <c r="D3933" s="31"/>
      <c r="E3933" s="74"/>
      <c r="F3933" s="46" t="s">
        <v>1348</v>
      </c>
      <c r="G3933" s="74"/>
      <c r="H3933" s="98" t="str">
        <f>HYPERLINK("http://mirror.ff7data.com.ar/ff7/data/wm/world_us.lgp/mt_sg02.tex.png","View Picture")</f>
        <v>View Picture</v>
      </c>
      <c r="K3933" s="43"/>
    </row>
    <row r="3934">
      <c r="A3934" s="55"/>
      <c r="B3934" s="33" t="s">
        <v>34955</v>
      </c>
      <c r="C3934" s="42">
        <v>1324.0</v>
      </c>
      <c r="D3934" s="31"/>
      <c r="E3934" s="74"/>
      <c r="F3934" s="46" t="s">
        <v>1348</v>
      </c>
      <c r="G3934" s="74"/>
      <c r="H3934" s="98" t="str">
        <f>HYPERLINK("http://mirror.ff7data.com.ar/ff7/data/wm/world_us.lgp/mt_sg03.tex.png","View Picture")</f>
        <v>View Picture</v>
      </c>
      <c r="K3934" s="43"/>
    </row>
    <row r="3935">
      <c r="A3935" s="55"/>
      <c r="B3935" s="33" t="s">
        <v>34957</v>
      </c>
      <c r="C3935" s="42">
        <v>1324.0</v>
      </c>
      <c r="D3935" s="31"/>
      <c r="E3935" s="74"/>
      <c r="F3935" s="46" t="s">
        <v>1348</v>
      </c>
      <c r="G3935" s="74"/>
      <c r="H3935" s="98" t="str">
        <f>HYPERLINK("http://mirror.ff7data.com.ar/ff7/data/wm/world_us.lgp/mt_sg04.tex.png","View Picture")</f>
        <v>View Picture</v>
      </c>
      <c r="K3935" s="43"/>
    </row>
    <row r="3936">
      <c r="A3936" s="55"/>
      <c r="B3936" s="33" t="s">
        <v>34959</v>
      </c>
      <c r="C3936" s="42">
        <v>4396.0</v>
      </c>
      <c r="D3936" s="31"/>
      <c r="E3936" s="74"/>
      <c r="F3936" s="46" t="s">
        <v>1348</v>
      </c>
      <c r="G3936" s="74"/>
      <c r="H3936" s="98" t="str">
        <f>HYPERLINK("http://mirror.ff7data.com.ar/ff7/data/wm/world_us.lgp/mtcoin.tex.png","View Picture")</f>
        <v>View Picture</v>
      </c>
      <c r="K3936" s="43"/>
    </row>
    <row r="3937">
      <c r="A3937" s="55"/>
      <c r="B3937" s="33" t="s">
        <v>34961</v>
      </c>
      <c r="C3937" s="42">
        <v>4396.0</v>
      </c>
      <c r="D3937" s="31"/>
      <c r="E3937" s="74"/>
      <c r="F3937" s="46" t="s">
        <v>1348</v>
      </c>
      <c r="G3937" s="74"/>
      <c r="H3937" s="98" t="str">
        <f>HYPERLINK("http://mirror.ff7data.com.ar/ff7/data/wm/world_us.lgp/mtwas_e.tex.png","View Picture")</f>
        <v>View Picture</v>
      </c>
      <c r="K3937" s="43"/>
    </row>
    <row r="3938">
      <c r="A3938" s="55"/>
      <c r="B3938" s="33" t="s">
        <v>34963</v>
      </c>
      <c r="C3938" s="42">
        <v>4396.0</v>
      </c>
      <c r="D3938" s="31"/>
      <c r="E3938" s="74"/>
      <c r="F3938" s="46" t="s">
        <v>1348</v>
      </c>
      <c r="G3938" s="74"/>
      <c r="H3938" s="98" t="str">
        <f>HYPERLINK("http://mirror.ff7data.com.ar/ff7/data/wm/world_us.lgp/mtwas_ed.tex.png","View Picture")</f>
        <v>View Picture</v>
      </c>
      <c r="K3938" s="43"/>
    </row>
    <row r="3939">
      <c r="A3939" s="55"/>
      <c r="B3939" s="33" t="s">
        <v>34965</v>
      </c>
      <c r="C3939" s="42">
        <v>1324.0</v>
      </c>
      <c r="D3939" s="31"/>
      <c r="E3939" s="74"/>
      <c r="F3939" s="46" t="s">
        <v>1348</v>
      </c>
      <c r="G3939" s="74"/>
      <c r="H3939" s="98" t="str">
        <f>HYPERLINK("http://mirror.ff7data.com.ar/ff7/data/wm/world_us.lgp/mzes.tex.png","View Picture")</f>
        <v>View Picture</v>
      </c>
      <c r="K3939" s="43"/>
    </row>
    <row r="3940">
      <c r="A3940" s="55"/>
      <c r="B3940" s="33" t="s">
        <v>34967</v>
      </c>
      <c r="C3940" s="42">
        <v>8492.0</v>
      </c>
      <c r="D3940" s="31"/>
      <c r="E3940" s="74"/>
      <c r="F3940" s="46" t="s">
        <v>1348</v>
      </c>
      <c r="G3940" s="74"/>
      <c r="H3940" s="98" t="str">
        <f>HYPERLINK("http://mirror.ff7data.com.ar/ff7/data/wm/world_us.lgp/mzmt_e.tex.png","View Picture")</f>
        <v>View Picture</v>
      </c>
      <c r="K3940" s="43"/>
    </row>
    <row r="3941">
      <c r="A3941" s="55"/>
      <c r="B3941" s="33" t="s">
        <v>34969</v>
      </c>
      <c r="C3941" s="42">
        <v>4396.0</v>
      </c>
      <c r="D3941" s="31"/>
      <c r="E3941" s="74"/>
      <c r="F3941" s="46" t="s">
        <v>1348</v>
      </c>
      <c r="G3941" s="74"/>
      <c r="H3941" s="98" t="str">
        <f>HYPERLINK("http://mirror.ff7data.com.ar/ff7/data/wm/world_us.lgp/mzmt_ed.tex.png","View Picture")</f>
        <v>View Picture</v>
      </c>
      <c r="K3941" s="43"/>
    </row>
    <row r="3942">
      <c r="A3942" s="55"/>
      <c r="B3942" s="33" t="s">
        <v>34971</v>
      </c>
      <c r="C3942" s="42">
        <v>4396.0</v>
      </c>
      <c r="D3942" s="31"/>
      <c r="E3942" s="74"/>
      <c r="F3942" s="46" t="s">
        <v>1348</v>
      </c>
      <c r="G3942" s="74"/>
      <c r="H3942" s="98" t="str">
        <f>HYPERLINK("http://mirror.ff7data.com.ar/ff7/data/wm/world_us.lgp/mzmt_edw.tex.png","View Picture")</f>
        <v>View Picture</v>
      </c>
      <c r="K3942" s="43"/>
    </row>
    <row r="3943">
      <c r="A3943" s="55"/>
      <c r="B3943" s="33" t="s">
        <v>34973</v>
      </c>
      <c r="C3943" s="42">
        <v>4396.0</v>
      </c>
      <c r="D3943" s="31"/>
      <c r="E3943" s="74"/>
      <c r="F3943" s="46" t="s">
        <v>1348</v>
      </c>
      <c r="G3943" s="74"/>
      <c r="H3943" s="98" t="str">
        <f>HYPERLINK("http://mirror.ff7data.com.ar/ff7/data/wm/world_us.lgp/mzmt_ew.tex.png","View Picture")</f>
        <v>View Picture</v>
      </c>
      <c r="K3943" s="43"/>
    </row>
    <row r="3944">
      <c r="A3944" s="55"/>
      <c r="B3944" s="33" t="s">
        <v>34975</v>
      </c>
      <c r="C3944" s="42">
        <v>4396.0</v>
      </c>
      <c r="D3944" s="31"/>
      <c r="E3944" s="74"/>
      <c r="F3944" s="46" t="s">
        <v>1348</v>
      </c>
      <c r="G3944" s="74"/>
      <c r="H3944" s="98" t="str">
        <f>HYPERLINK("http://mirror.ff7data.com.ar/ff7/data/wm/world_us.lgp/mzmt_o.tex.png","View Picture")</f>
        <v>View Picture</v>
      </c>
      <c r="K3944" s="43"/>
    </row>
    <row r="3945">
      <c r="A3945" s="55"/>
      <c r="B3945" s="33" t="s">
        <v>34977</v>
      </c>
      <c r="C3945" s="42">
        <v>4396.0</v>
      </c>
      <c r="D3945" s="31"/>
      <c r="E3945" s="74"/>
      <c r="F3945" s="46" t="s">
        <v>1348</v>
      </c>
      <c r="G3945" s="74"/>
      <c r="H3945" s="98" t="str">
        <f>HYPERLINK("http://mirror.ff7data.com.ar/ff7/data/wm/world_us.lgp/mzmt_od.tex.png","View Picture")</f>
        <v>View Picture</v>
      </c>
      <c r="K3945" s="43"/>
    </row>
    <row r="3946">
      <c r="A3946" s="55"/>
      <c r="B3946" s="33" t="s">
        <v>34979</v>
      </c>
      <c r="C3946" s="42">
        <v>4396.0</v>
      </c>
      <c r="D3946" s="31"/>
      <c r="E3946" s="74"/>
      <c r="F3946" s="46" t="s">
        <v>1348</v>
      </c>
      <c r="G3946" s="74"/>
      <c r="H3946" s="98" t="str">
        <f>HYPERLINK("http://mirror.ff7data.com.ar/ff7/data/wm/world_us.lgp/mzmt_s.tex.png","View Picture")</f>
        <v>View Picture</v>
      </c>
      <c r="K3946" s="43"/>
    </row>
    <row r="3947">
      <c r="A3947" s="55"/>
      <c r="B3947" s="33" t="s">
        <v>34982</v>
      </c>
      <c r="C3947" s="42">
        <v>4396.0</v>
      </c>
      <c r="D3947" s="31"/>
      <c r="E3947" s="74"/>
      <c r="F3947" s="46" t="s">
        <v>1348</v>
      </c>
      <c r="G3947" s="74"/>
      <c r="H3947" s="98" t="str">
        <f>HYPERLINK("http://mirror.ff7data.com.ar/ff7/data/wm/world_us.lgp/mzmt_sd.tex.png","View Picture")</f>
        <v>View Picture</v>
      </c>
      <c r="K3947" s="43"/>
    </row>
    <row r="3948">
      <c r="A3948" s="40"/>
      <c r="B3948" s="33" t="s">
        <v>34988</v>
      </c>
      <c r="C3948" s="42">
        <v>4396.0</v>
      </c>
      <c r="D3948" s="33" t="s">
        <v>34989</v>
      </c>
      <c r="E3948" s="74"/>
      <c r="F3948" s="46" t="s">
        <v>1348</v>
      </c>
      <c r="G3948" s="46" t="s">
        <v>34990</v>
      </c>
      <c r="H3948" s="98" t="str">
        <f>HYPERLINK("http://mirror.ff7data.com.ar/ff7/data/wm/world_us.lgp/ncol_gro.tex.png","View Picture")</f>
        <v>View Picture</v>
      </c>
      <c r="K3948" s="43"/>
    </row>
    <row r="3949">
      <c r="A3949" s="40"/>
      <c r="B3949" s="33" t="s">
        <v>34992</v>
      </c>
      <c r="C3949" s="42">
        <v>1324.0</v>
      </c>
      <c r="D3949" s="33" t="s">
        <v>34993</v>
      </c>
      <c r="E3949" s="74"/>
      <c r="F3949" s="46" t="s">
        <v>1348</v>
      </c>
      <c r="G3949" s="46" t="s">
        <v>34994</v>
      </c>
      <c r="H3949" s="98" t="str">
        <f>HYPERLINK("http://mirror.ff7data.com.ar/ff7/data/wm/world_us.lgp/ncole01.tex.png","View Picture")</f>
        <v>View Picture</v>
      </c>
      <c r="K3949" s="43"/>
    </row>
    <row r="3950">
      <c r="A3950" s="40"/>
      <c r="B3950" s="33" t="s">
        <v>34995</v>
      </c>
      <c r="C3950" s="42">
        <v>1324.0</v>
      </c>
      <c r="D3950" s="33" t="s">
        <v>34996</v>
      </c>
      <c r="E3950" s="74"/>
      <c r="F3950" s="46" t="s">
        <v>1348</v>
      </c>
      <c r="G3950" s="46" t="s">
        <v>34994</v>
      </c>
      <c r="H3950" s="98" t="str">
        <f>HYPERLINK("http://mirror.ff7data.com.ar/ff7/data/wm/world_us.lgp/ncole02.tex.png","View Picture")</f>
        <v>View Picture</v>
      </c>
      <c r="K3950" s="43"/>
    </row>
    <row r="3951">
      <c r="A3951" s="40"/>
      <c r="B3951" s="33" t="s">
        <v>34998</v>
      </c>
      <c r="C3951" s="42">
        <v>4396.0</v>
      </c>
      <c r="D3951" s="33" t="s">
        <v>20927</v>
      </c>
      <c r="E3951" s="74"/>
      <c r="F3951" s="46" t="s">
        <v>1348</v>
      </c>
      <c r="G3951" s="46" t="s">
        <v>34999</v>
      </c>
      <c r="H3951" s="98" t="str">
        <f>HYPERLINK("http://mirror.ff7data.com.ar/ff7/data/wm/world_us.lgp/nivl_gro.tex.png","View Picture")</f>
        <v>View Picture</v>
      </c>
      <c r="K3951" s="43"/>
    </row>
    <row r="3952">
      <c r="A3952" s="40"/>
      <c r="B3952" s="33" t="s">
        <v>35001</v>
      </c>
      <c r="C3952" s="42">
        <v>8492.0</v>
      </c>
      <c r="D3952" s="33" t="s">
        <v>35002</v>
      </c>
      <c r="E3952" s="74"/>
      <c r="F3952" s="46" t="s">
        <v>1348</v>
      </c>
      <c r="G3952" s="46" t="s">
        <v>35004</v>
      </c>
      <c r="H3952" s="98" t="str">
        <f>HYPERLINK("http://mirror.ff7data.com.ar/ff7/data/wm/world_us.lgp/nivl_mt.tex.png","View Picture")</f>
        <v>View Picture</v>
      </c>
      <c r="K3952" s="43"/>
    </row>
    <row r="3953">
      <c r="A3953" s="40"/>
      <c r="B3953" s="33" t="s">
        <v>35006</v>
      </c>
      <c r="C3953" s="42">
        <v>1324.0</v>
      </c>
      <c r="D3953" s="33" t="s">
        <v>35007</v>
      </c>
      <c r="E3953" s="74"/>
      <c r="F3953" s="46" t="s">
        <v>1348</v>
      </c>
      <c r="G3953" s="46" t="s">
        <v>35008</v>
      </c>
      <c r="H3953" s="98" t="str">
        <f>HYPERLINK("http://mirror.ff7data.com.ar/ff7/data/wm/world_us.lgp/nivl_top.tex.png","View Picture")</f>
        <v>View Picture</v>
      </c>
      <c r="K3953" s="43"/>
    </row>
    <row r="3954">
      <c r="A3954" s="40"/>
      <c r="B3954" s="33" t="s">
        <v>35010</v>
      </c>
      <c r="C3954" s="42">
        <v>1324.0</v>
      </c>
      <c r="D3954" s="33" t="s">
        <v>35011</v>
      </c>
      <c r="E3954" s="74"/>
      <c r="F3954" s="46" t="s">
        <v>1348</v>
      </c>
      <c r="G3954" s="46" t="s">
        <v>35012</v>
      </c>
      <c r="H3954" s="98" t="str">
        <f>HYPERLINK("http://mirror.ff7data.com.ar/ff7/data/wm/world_us.lgp/nivlr.tex.png","View Picture")</f>
        <v>View Picture</v>
      </c>
      <c r="K3954" s="43"/>
    </row>
    <row r="3955">
      <c r="A3955" s="55"/>
      <c r="B3955" s="33" t="s">
        <v>35014</v>
      </c>
      <c r="C3955" s="42">
        <v>1324.0</v>
      </c>
      <c r="D3955" s="31"/>
      <c r="E3955" s="74"/>
      <c r="F3955" s="46" t="s">
        <v>1348</v>
      </c>
      <c r="G3955" s="75"/>
      <c r="H3955" s="98" t="str">
        <f>HYPERLINK("http://mirror.ff7data.com.ar/ff7/data/wm/world_us.lgp/pond.tex.png","View Picture")</f>
        <v>View Picture</v>
      </c>
      <c r="K3955" s="43"/>
    </row>
    <row r="3956">
      <c r="A3956" s="55"/>
      <c r="B3956" s="33" t="s">
        <v>35016</v>
      </c>
      <c r="C3956" s="42">
        <v>1324.0</v>
      </c>
      <c r="D3956" s="31"/>
      <c r="E3956" s="74"/>
      <c r="F3956" s="46" t="s">
        <v>1348</v>
      </c>
      <c r="G3956" s="75"/>
      <c r="H3956" s="98" t="str">
        <f>HYPERLINK("http://mirror.ff7data.com.ar/ff7/data/wm/world_us.lgp/port.tex.png","View Picture")</f>
        <v>View Picture</v>
      </c>
      <c r="K3956" s="43"/>
    </row>
    <row r="3957">
      <c r="A3957" s="55"/>
      <c r="B3957" s="33" t="s">
        <v>35018</v>
      </c>
      <c r="C3957" s="42">
        <v>1324.0</v>
      </c>
      <c r="D3957" s="31"/>
      <c r="E3957" s="74"/>
      <c r="F3957" s="46" t="s">
        <v>1348</v>
      </c>
      <c r="G3957" s="75"/>
      <c r="H3957" s="98" t="str">
        <f>HYPERLINK("http://mirror.ff7data.com.ar/ff7/data/wm/world_us.lgp/port_d.tex.png","View Picture")</f>
        <v>View Picture</v>
      </c>
      <c r="K3957" s="43"/>
    </row>
    <row r="3958">
      <c r="A3958" s="40"/>
      <c r="B3958" s="33" t="s">
        <v>35020</v>
      </c>
      <c r="C3958" s="42">
        <v>8492.0</v>
      </c>
      <c r="D3958" s="33" t="s">
        <v>35021</v>
      </c>
      <c r="E3958" s="74"/>
      <c r="F3958" s="46" t="s">
        <v>1348</v>
      </c>
      <c r="G3958" s="46" t="s">
        <v>35022</v>
      </c>
      <c r="H3958" s="98" t="str">
        <f>HYPERLINK("http://mirror.ff7data.com.ar/ff7/data/wm/world_us.lgp/radar.tex.png","View Picture")</f>
        <v>View Picture</v>
      </c>
      <c r="K3958" s="43"/>
    </row>
    <row r="3959">
      <c r="A3959" s="40"/>
      <c r="B3959" s="33" t="s">
        <v>35024</v>
      </c>
      <c r="C3959" s="42">
        <v>8492.0</v>
      </c>
      <c r="D3959" s="33" t="s">
        <v>21287</v>
      </c>
      <c r="E3959" s="74"/>
      <c r="F3959" s="46" t="s">
        <v>1348</v>
      </c>
      <c r="G3959" s="46" t="s">
        <v>35025</v>
      </c>
      <c r="H3959" s="98" t="str">
        <f>HYPERLINK("http://mirror.ff7data.com.ar/ff7/data/wm/world_us.lgp/rct_gro.tex.png","View Picture")</f>
        <v>View Picture</v>
      </c>
      <c r="K3959" s="43"/>
    </row>
    <row r="3960">
      <c r="A3960" s="55"/>
      <c r="B3960" s="33" t="s">
        <v>35027</v>
      </c>
      <c r="C3960" s="42">
        <v>4396.0</v>
      </c>
      <c r="D3960" s="31"/>
      <c r="E3960" s="74"/>
      <c r="F3960" s="46" t="s">
        <v>1348</v>
      </c>
      <c r="G3960" s="74"/>
      <c r="H3960" s="98" t="str">
        <f>HYPERLINK("http://mirror.ff7data.com.ar/ff7/data/wm/world_us.lgp/riv_cls.tex.png","View Picture")</f>
        <v>View Picture</v>
      </c>
      <c r="K3960" s="43"/>
    </row>
    <row r="3961">
      <c r="A3961" s="55"/>
      <c r="B3961" s="33" t="s">
        <v>35029</v>
      </c>
      <c r="C3961" s="42">
        <v>1324.0</v>
      </c>
      <c r="D3961" s="31"/>
      <c r="E3961" s="74"/>
      <c r="F3961" s="46" t="s">
        <v>1348</v>
      </c>
      <c r="G3961" s="74"/>
      <c r="H3961" s="98" t="str">
        <f>HYPERLINK("http://mirror.ff7data.com.ar/ff7/data/wm/world_us.lgp/riv_l1.tex.png","View Picture")</f>
        <v>View Picture</v>
      </c>
      <c r="K3961" s="43"/>
    </row>
    <row r="3962">
      <c r="A3962" s="55"/>
      <c r="B3962" s="33" t="s">
        <v>35031</v>
      </c>
      <c r="C3962" s="42">
        <v>1324.0</v>
      </c>
      <c r="D3962" s="31"/>
      <c r="E3962" s="74"/>
      <c r="F3962" s="46" t="s">
        <v>1348</v>
      </c>
      <c r="G3962" s="74"/>
      <c r="H3962" s="98" t="str">
        <f>HYPERLINK("http://mirror.ff7data.com.ar/ff7/data/wm/world_us.lgp/riv_l2.tex.png","View Picture")</f>
        <v>View Picture</v>
      </c>
      <c r="K3962" s="43"/>
    </row>
    <row r="3963">
      <c r="A3963" s="55"/>
      <c r="B3963" s="33" t="s">
        <v>35033</v>
      </c>
      <c r="C3963" s="42">
        <v>1324.0</v>
      </c>
      <c r="D3963" s="31"/>
      <c r="E3963" s="74"/>
      <c r="F3963" s="46" t="s">
        <v>1348</v>
      </c>
      <c r="G3963" s="74"/>
      <c r="H3963" s="98" t="str">
        <f>HYPERLINK("http://mirror.ff7data.com.ar/ff7/data/wm/world_us.lgp/riv_l3.tex.png","View Picture")</f>
        <v>View Picture</v>
      </c>
      <c r="K3963" s="43"/>
    </row>
    <row r="3964">
      <c r="A3964" s="55"/>
      <c r="B3964" s="33" t="s">
        <v>35035</v>
      </c>
      <c r="C3964" s="42">
        <v>1324.0</v>
      </c>
      <c r="D3964" s="31"/>
      <c r="E3964" s="74"/>
      <c r="F3964" s="46" t="s">
        <v>1348</v>
      </c>
      <c r="G3964" s="74"/>
      <c r="H3964" s="98" t="str">
        <f>HYPERLINK("http://mirror.ff7data.com.ar/ff7/data/wm/world_us.lgp/riv_l4.tex.png","View Picture")</f>
        <v>View Picture</v>
      </c>
      <c r="K3964" s="43"/>
    </row>
    <row r="3965">
      <c r="A3965" s="55"/>
      <c r="B3965" s="33" t="s">
        <v>35037</v>
      </c>
      <c r="C3965" s="42">
        <v>1324.0</v>
      </c>
      <c r="D3965" s="31"/>
      <c r="E3965" s="74"/>
      <c r="F3965" s="46" t="s">
        <v>1348</v>
      </c>
      <c r="G3965" s="74"/>
      <c r="H3965" s="98" t="str">
        <f>HYPERLINK("http://mirror.ff7data.com.ar/ff7/data/wm/world_us.lgp/riv_m.tex.png","View Picture")</f>
        <v>View Picture</v>
      </c>
      <c r="K3965" s="43"/>
    </row>
    <row r="3966">
      <c r="A3966" s="55"/>
      <c r="B3966" s="33" t="s">
        <v>35039</v>
      </c>
      <c r="C3966" s="42">
        <v>1324.0</v>
      </c>
      <c r="D3966" s="31"/>
      <c r="E3966" s="74"/>
      <c r="F3966" s="46" t="s">
        <v>1348</v>
      </c>
      <c r="G3966" s="74"/>
      <c r="H3966" s="98" t="str">
        <f>HYPERLINK("http://mirror.ff7data.com.ar/ff7/data/wm/world_us.lgp/riv_m2.tex.png","View Picture")</f>
        <v>View Picture</v>
      </c>
      <c r="K3966" s="43"/>
    </row>
    <row r="3967">
      <c r="A3967" s="55"/>
      <c r="B3967" s="33" t="s">
        <v>35042</v>
      </c>
      <c r="C3967" s="42">
        <v>1324.0</v>
      </c>
      <c r="D3967" s="31"/>
      <c r="E3967" s="74"/>
      <c r="F3967" s="46" t="s">
        <v>1348</v>
      </c>
      <c r="G3967" s="74"/>
      <c r="H3967" s="98" t="str">
        <f>HYPERLINK("http://mirror.ff7data.com.ar/ff7/data/wm/world_us.lgp/rivr.tex.png","View Picture")</f>
        <v>View Picture</v>
      </c>
      <c r="K3967" s="43"/>
    </row>
    <row r="3968">
      <c r="A3968" s="55"/>
      <c r="B3968" s="33" t="s">
        <v>35044</v>
      </c>
      <c r="C3968" s="42">
        <v>4396.0</v>
      </c>
      <c r="D3968" s="31"/>
      <c r="E3968" s="74"/>
      <c r="F3968" s="46" t="s">
        <v>1348</v>
      </c>
      <c r="G3968" s="74"/>
      <c r="H3968" s="98" t="str">
        <f>HYPERLINK("http://mirror.ff7data.com.ar/ff7/data/wm/world_us.lgp/rivrclf.tex.png","View Picture")</f>
        <v>View Picture</v>
      </c>
      <c r="K3968" s="43"/>
    </row>
    <row r="3969">
      <c r="A3969" s="55"/>
      <c r="B3969" s="33" t="s">
        <v>35049</v>
      </c>
      <c r="C3969" s="42">
        <v>1324.0</v>
      </c>
      <c r="D3969" s="31"/>
      <c r="E3969" s="74"/>
      <c r="F3969" s="46" t="s">
        <v>1348</v>
      </c>
      <c r="G3969" s="74"/>
      <c r="H3969" s="98" t="str">
        <f>HYPERLINK("http://mirror.ff7data.com.ar/ff7/data/wm/world_us.lgp/rivs1.tex.png","View Picture")</f>
        <v>View Picture</v>
      </c>
      <c r="K3969" s="43"/>
    </row>
    <row r="3970">
      <c r="A3970" s="55"/>
      <c r="B3970" s="33" t="s">
        <v>35051</v>
      </c>
      <c r="C3970" s="42">
        <v>1324.0</v>
      </c>
      <c r="D3970" s="31"/>
      <c r="E3970" s="74"/>
      <c r="F3970" s="46" t="s">
        <v>1348</v>
      </c>
      <c r="G3970" s="74"/>
      <c r="H3970" s="98" t="str">
        <f>HYPERLINK("http://mirror.ff7data.com.ar/ff7/data/wm/world_us.lgp/rivs2.tex.png","View Picture")</f>
        <v>View Picture</v>
      </c>
      <c r="K3970" s="43"/>
    </row>
    <row r="3971">
      <c r="A3971" s="55"/>
      <c r="B3971" s="33" t="s">
        <v>35053</v>
      </c>
      <c r="C3971" s="42">
        <v>1324.0</v>
      </c>
      <c r="D3971" s="31"/>
      <c r="E3971" s="74"/>
      <c r="F3971" s="46" t="s">
        <v>1348</v>
      </c>
      <c r="G3971" s="74"/>
      <c r="H3971" s="98" t="str">
        <f>HYPERLINK("http://mirror.ff7data.com.ar/ff7/data/wm/world_us.lgp/rivs3.tex.png","View Picture")</f>
        <v>View Picture</v>
      </c>
      <c r="K3971" s="43"/>
    </row>
    <row r="3972">
      <c r="A3972" s="55"/>
      <c r="B3972" s="33" t="s">
        <v>35054</v>
      </c>
      <c r="C3972" s="42">
        <v>1324.0</v>
      </c>
      <c r="D3972" s="31"/>
      <c r="E3972" s="74"/>
      <c r="F3972" s="46" t="s">
        <v>1348</v>
      </c>
      <c r="G3972" s="74"/>
      <c r="H3972" s="98" t="str">
        <f>HYPERLINK("http://mirror.ff7data.com.ar/ff7/data/wm/world_us.lgp/rivs4.tex.png","View Picture")</f>
        <v>View Picture</v>
      </c>
      <c r="K3972" s="43"/>
    </row>
    <row r="3973">
      <c r="A3973" s="55"/>
      <c r="B3973" s="33" t="s">
        <v>35056</v>
      </c>
      <c r="C3973" s="42">
        <v>4396.0</v>
      </c>
      <c r="D3973" s="31"/>
      <c r="E3973" s="74"/>
      <c r="F3973" s="46" t="s">
        <v>1348</v>
      </c>
      <c r="G3973" s="74"/>
      <c r="H3973" s="98" t="str">
        <f>HYPERLINK("http://mirror.ff7data.com.ar/ff7/data/wm/world_us.lgp/rivshr.tex.png","View Picture")</f>
        <v>View Picture</v>
      </c>
      <c r="K3973" s="43"/>
    </row>
    <row r="3974">
      <c r="A3974" s="55"/>
      <c r="B3974" s="33" t="s">
        <v>35058</v>
      </c>
      <c r="C3974" s="42">
        <v>2348.0</v>
      </c>
      <c r="D3974" s="31"/>
      <c r="E3974" s="74"/>
      <c r="F3974" s="46" t="s">
        <v>1348</v>
      </c>
      <c r="G3974" s="74"/>
      <c r="H3974" s="98" t="str">
        <f>HYPERLINK("http://mirror.ff7data.com.ar/ff7/data/wm/world_us.lgp/rivssr.tex.png","View Picture")</f>
        <v>View Picture</v>
      </c>
      <c r="K3974" s="43"/>
    </row>
    <row r="3975">
      <c r="A3975" s="55"/>
      <c r="B3975" s="33" t="s">
        <v>35060</v>
      </c>
      <c r="C3975" s="42">
        <v>1324.0</v>
      </c>
      <c r="D3975" s="31"/>
      <c r="E3975" s="74"/>
      <c r="F3975" s="46" t="s">
        <v>1348</v>
      </c>
      <c r="G3975" s="74"/>
      <c r="H3975" s="98" t="str">
        <f>HYPERLINK("http://mirror.ff7data.com.ar/ff7/data/wm/world_us.lgp/rivstrt.tex.png","View Picture")</f>
        <v>View Picture</v>
      </c>
      <c r="K3975" s="43"/>
    </row>
    <row r="3976">
      <c r="A3976" s="55"/>
      <c r="B3976" s="33" t="s">
        <v>35062</v>
      </c>
      <c r="C3976" s="42">
        <v>1324.0</v>
      </c>
      <c r="D3976" s="31"/>
      <c r="E3976" s="74"/>
      <c r="F3976" s="46" t="s">
        <v>1348</v>
      </c>
      <c r="G3976" s="74"/>
      <c r="H3976" s="98" t="str">
        <f>HYPERLINK("http://mirror.ff7data.com.ar/ff7/data/wm/world_us.lgp/rm1.tex.png","View Picture")</f>
        <v>View Picture</v>
      </c>
      <c r="K3976" s="43"/>
    </row>
    <row r="3977">
      <c r="A3977" s="55"/>
      <c r="B3977" s="33" t="s">
        <v>35064</v>
      </c>
      <c r="C3977" s="42">
        <v>1324.0</v>
      </c>
      <c r="D3977" s="31"/>
      <c r="E3977" s="74"/>
      <c r="F3977" s="46" t="s">
        <v>1348</v>
      </c>
      <c r="G3977" s="74"/>
      <c r="H3977" s="98" t="str">
        <f>HYPERLINK("http://mirror.ff7data.com.ar/ff7/data/wm/world_us.lgp/rm2.tex.png","View Picture")</f>
        <v>View Picture</v>
      </c>
      <c r="K3977" s="43"/>
    </row>
    <row r="3978">
      <c r="A3978" s="55"/>
      <c r="B3978" s="33" t="s">
        <v>35066</v>
      </c>
      <c r="C3978" s="42">
        <v>1324.0</v>
      </c>
      <c r="D3978" s="31"/>
      <c r="E3978" s="74"/>
      <c r="F3978" s="46" t="s">
        <v>1348</v>
      </c>
      <c r="G3978" s="74"/>
      <c r="H3978" s="98" t="str">
        <f>HYPERLINK("http://mirror.ff7data.com.ar/ff7/data/wm/world_us.lgp/rm3.tex.png","View Picture")</f>
        <v>View Picture</v>
      </c>
      <c r="K3978" s="43"/>
    </row>
    <row r="3979">
      <c r="A3979" s="55"/>
      <c r="B3979" s="33" t="s">
        <v>35068</v>
      </c>
      <c r="C3979" s="42">
        <v>1324.0</v>
      </c>
      <c r="D3979" s="31"/>
      <c r="E3979" s="74"/>
      <c r="F3979" s="46" t="s">
        <v>1348</v>
      </c>
      <c r="G3979" s="74"/>
      <c r="H3979" s="98" t="str">
        <f>HYPERLINK("http://mirror.ff7data.com.ar/ff7/data/wm/world_us.lgp/rm4.tex.png","View Picture")</f>
        <v>View Picture</v>
      </c>
      <c r="K3979" s="43"/>
    </row>
    <row r="3980">
      <c r="A3980" s="55"/>
      <c r="B3980" s="33" t="s">
        <v>35070</v>
      </c>
      <c r="C3980" s="42">
        <v>1324.0</v>
      </c>
      <c r="D3980" s="31"/>
      <c r="E3980" s="74"/>
      <c r="F3980" s="46" t="s">
        <v>1348</v>
      </c>
      <c r="G3980" s="74"/>
      <c r="H3980" s="98" t="str">
        <f>HYPERLINK("http://mirror.ff7data.com.ar/ff7/data/wm/world_us.lgp/rocet.tex.png","View Picture")</f>
        <v>View Picture</v>
      </c>
      <c r="K3980" s="43"/>
    </row>
    <row r="3981">
      <c r="A3981" s="55"/>
      <c r="B3981" s="33" t="s">
        <v>35072</v>
      </c>
      <c r="C3981" s="42">
        <v>65836.0</v>
      </c>
      <c r="D3981" s="31"/>
      <c r="E3981" s="74"/>
      <c r="F3981" s="46" t="s">
        <v>1348</v>
      </c>
      <c r="G3981" s="74"/>
      <c r="H3981" s="98" t="str">
        <f>HYPERLINK("http://mirror.ff7data.com.ar/ff7/data/wm/world_us.lgp/rock.tex.png","View Picture")</f>
        <v>View Picture</v>
      </c>
      <c r="K3981" s="43"/>
    </row>
    <row r="3982">
      <c r="A3982" s="55"/>
      <c r="B3982" s="33" t="s">
        <v>35075</v>
      </c>
      <c r="C3982" s="42">
        <v>1324.0</v>
      </c>
      <c r="D3982" s="31"/>
      <c r="E3982" s="74"/>
      <c r="F3982" s="46" t="s">
        <v>1348</v>
      </c>
      <c r="G3982" s="74"/>
      <c r="H3982" s="98" t="str">
        <f>HYPERLINK("http://mirror.ff7data.com.ar/ff7/data/wm/world_us.lgp/rs_ss.tex.png","View Picture")</f>
        <v>View Picture</v>
      </c>
      <c r="K3982" s="43"/>
    </row>
    <row r="3983">
      <c r="A3983" s="55"/>
      <c r="B3983" s="33" t="s">
        <v>35077</v>
      </c>
      <c r="C3983" s="42">
        <v>4396.0</v>
      </c>
      <c r="D3983" s="31"/>
      <c r="E3983" s="74"/>
      <c r="F3983" s="46" t="s">
        <v>1348</v>
      </c>
      <c r="G3983" s="74"/>
      <c r="H3983" s="98" t="str">
        <f>HYPERLINK("http://mirror.ff7data.com.ar/ff7/data/wm/world_us.lgp/rzclf02.tex.png","View Picture")</f>
        <v>View Picture</v>
      </c>
      <c r="K3983" s="43"/>
    </row>
    <row r="3984">
      <c r="A3984" s="55"/>
      <c r="B3984" s="33" t="s">
        <v>35079</v>
      </c>
      <c r="C3984" s="42">
        <v>1324.0</v>
      </c>
      <c r="D3984" s="31"/>
      <c r="E3984" s="74"/>
      <c r="F3984" s="46" t="s">
        <v>1348</v>
      </c>
      <c r="G3984" s="74"/>
      <c r="H3984" s="98" t="str">
        <f>HYPERLINK("http://mirror.ff7data.com.ar/ff7/data/wm/world_us.lgp/sango.tex.png","View Picture")</f>
        <v>View Picture</v>
      </c>
      <c r="K3984" s="43"/>
    </row>
    <row r="3985">
      <c r="A3985" s="55"/>
      <c r="B3985" s="33" t="s">
        <v>35083</v>
      </c>
      <c r="C3985" s="42">
        <v>1324.0</v>
      </c>
      <c r="D3985" s="31"/>
      <c r="E3985" s="74"/>
      <c r="F3985" s="46" t="s">
        <v>1348</v>
      </c>
      <c r="G3985" s="74"/>
      <c r="H3985" s="98" t="str">
        <f>HYPERLINK("http://mirror.ff7data.com.ar/ff7/data/wm/world_us.lgp/sango2.tex.png","View Picture")</f>
        <v>View Picture</v>
      </c>
      <c r="K3985" s="43"/>
    </row>
    <row r="3986">
      <c r="A3986" s="55"/>
      <c r="B3986" s="33" t="s">
        <v>35085</v>
      </c>
      <c r="C3986" s="42">
        <v>1324.0</v>
      </c>
      <c r="D3986" s="31"/>
      <c r="E3986" s="74"/>
      <c r="F3986" s="46" t="s">
        <v>1348</v>
      </c>
      <c r="G3986" s="74"/>
      <c r="H3986" s="98" t="str">
        <f>HYPERLINK("http://mirror.ff7data.com.ar/ff7/data/wm/world_us.lgp/sango3.tex.png","View Picture")</f>
        <v>View Picture</v>
      </c>
      <c r="K3986" s="43"/>
    </row>
    <row r="3987">
      <c r="A3987" s="55"/>
      <c r="B3987" s="33" t="s">
        <v>35087</v>
      </c>
      <c r="C3987" s="42">
        <v>4396.0</v>
      </c>
      <c r="D3987" s="31"/>
      <c r="E3987" s="74"/>
      <c r="F3987" s="46" t="s">
        <v>1348</v>
      </c>
      <c r="G3987" s="74"/>
      <c r="H3987" s="98" t="str">
        <f>HYPERLINK("http://mirror.ff7data.com.ar/ff7/data/wm/world_us.lgp/sango4.tex.png","View Picture")</f>
        <v>View Picture</v>
      </c>
      <c r="K3987" s="43"/>
    </row>
    <row r="3988">
      <c r="A3988" s="55"/>
      <c r="B3988" s="33" t="s">
        <v>35090</v>
      </c>
      <c r="C3988" s="42">
        <v>65836.0</v>
      </c>
      <c r="D3988" s="31"/>
      <c r="E3988" s="74"/>
      <c r="F3988" s="46" t="s">
        <v>1348</v>
      </c>
      <c r="G3988" s="74"/>
      <c r="H3988" s="98" t="str">
        <f>HYPERLINK("http://mirror.ff7data.com.ar/ff7/data/wm/world_us.lgp/scave.tex.png","View Picture")</f>
        <v>View Picture</v>
      </c>
      <c r="K3988" s="43"/>
    </row>
    <row r="3989">
      <c r="A3989" s="55"/>
      <c r="B3989" s="33" t="s">
        <v>35092</v>
      </c>
      <c r="C3989" s="42">
        <v>4396.0</v>
      </c>
      <c r="D3989" s="31"/>
      <c r="E3989" s="74"/>
      <c r="F3989" s="46" t="s">
        <v>1348</v>
      </c>
      <c r="G3989" s="74"/>
      <c r="H3989" s="98" t="str">
        <f>HYPERLINK("http://mirror.ff7data.com.ar/ff7/data/wm/world_us.lgp/sdun.tex.png","View Picture")</f>
        <v>View Picture</v>
      </c>
      <c r="K3989" s="43"/>
    </row>
    <row r="3990">
      <c r="A3990" s="55"/>
      <c r="B3990" s="33" t="s">
        <v>35096</v>
      </c>
      <c r="C3990" s="42">
        <v>4396.0</v>
      </c>
      <c r="D3990" s="31"/>
      <c r="E3990" s="74"/>
      <c r="F3990" s="46" t="s">
        <v>1348</v>
      </c>
      <c r="G3990" s="74"/>
      <c r="H3990" s="98" t="str">
        <f>HYPERLINK("http://mirror.ff7data.com.ar/ff7/data/wm/world_us.lgp/sdun02.tex.png","View Picture")</f>
        <v>View Picture</v>
      </c>
      <c r="K3990" s="43"/>
    </row>
    <row r="3991">
      <c r="A3991" s="55"/>
      <c r="B3991" s="33" t="s">
        <v>35100</v>
      </c>
      <c r="C3991" s="42">
        <v>1324.0</v>
      </c>
      <c r="D3991" s="31"/>
      <c r="E3991" s="74"/>
      <c r="F3991" s="46" t="s">
        <v>1348</v>
      </c>
      <c r="G3991" s="74"/>
      <c r="H3991" s="98" t="str">
        <f>HYPERLINK("http://mirror.ff7data.com.ar/ff7/data/wm/world_us.lgp/sh_s1.tex.png","View Picture")</f>
        <v>View Picture</v>
      </c>
      <c r="K3991" s="43"/>
    </row>
    <row r="3992">
      <c r="A3992" s="55"/>
      <c r="B3992" s="33" t="s">
        <v>35103</v>
      </c>
      <c r="C3992" s="42">
        <v>1324.0</v>
      </c>
      <c r="D3992" s="31"/>
      <c r="E3992" s="74"/>
      <c r="F3992" s="46" t="s">
        <v>1348</v>
      </c>
      <c r="G3992" s="74"/>
      <c r="H3992" s="98" t="str">
        <f>HYPERLINK("http://mirror.ff7data.com.ar/ff7/data/wm/world_us.lgp/sh_s2.tex.png","View Picture")</f>
        <v>View Picture</v>
      </c>
      <c r="K3992" s="43"/>
    </row>
    <row r="3993">
      <c r="A3993" s="55"/>
      <c r="B3993" s="33" t="s">
        <v>35106</v>
      </c>
      <c r="C3993" s="42">
        <v>1324.0</v>
      </c>
      <c r="D3993" s="31"/>
      <c r="E3993" s="74"/>
      <c r="F3993" s="46" t="s">
        <v>1348</v>
      </c>
      <c r="G3993" s="74"/>
      <c r="H3993" s="98" t="str">
        <f>HYPERLINK("http://mirror.ff7data.com.ar/ff7/data/wm/world_us.lgp/sh_s3.tex.png","View Picture")</f>
        <v>View Picture</v>
      </c>
      <c r="K3993" s="43"/>
    </row>
    <row r="3994">
      <c r="A3994" s="55"/>
      <c r="B3994" s="33" t="s">
        <v>35108</v>
      </c>
      <c r="C3994" s="42">
        <v>1324.0</v>
      </c>
      <c r="D3994" s="31"/>
      <c r="E3994" s="74"/>
      <c r="F3994" s="46" t="s">
        <v>1348</v>
      </c>
      <c r="G3994" s="74"/>
      <c r="H3994" s="98" t="str">
        <f>HYPERLINK("http://mirror.ff7data.com.ar/ff7/data/wm/world_us.lgp/sh_s4.tex.png","View Picture")</f>
        <v>View Picture</v>
      </c>
      <c r="K3994" s="43"/>
    </row>
    <row r="3995">
      <c r="A3995" s="55"/>
      <c r="B3995" s="33" t="s">
        <v>35111</v>
      </c>
      <c r="C3995" s="42">
        <v>1324.0</v>
      </c>
      <c r="D3995" s="31"/>
      <c r="E3995" s="74"/>
      <c r="F3995" s="46" t="s">
        <v>1348</v>
      </c>
      <c r="G3995" s="74"/>
      <c r="H3995" s="98" t="str">
        <f>HYPERLINK("http://mirror.ff7data.com.ar/ff7/data/wm/world_us.lgp/sh1.tex.png","View Picture")</f>
        <v>View Picture</v>
      </c>
      <c r="K3995" s="43"/>
    </row>
    <row r="3996">
      <c r="A3996" s="55"/>
      <c r="B3996" s="33" t="s">
        <v>35113</v>
      </c>
      <c r="C3996" s="42">
        <v>1324.0</v>
      </c>
      <c r="D3996" s="31"/>
      <c r="E3996" s="74"/>
      <c r="F3996" s="46" t="s">
        <v>1348</v>
      </c>
      <c r="G3996" s="74"/>
      <c r="H3996" s="98" t="str">
        <f>HYPERLINK("http://mirror.ff7data.com.ar/ff7/data/wm/world_us.lgp/sh2.tex.png","View Picture")</f>
        <v>View Picture</v>
      </c>
      <c r="K3996" s="43"/>
    </row>
    <row r="3997">
      <c r="A3997" s="55"/>
      <c r="B3997" s="33" t="s">
        <v>35116</v>
      </c>
      <c r="C3997" s="42">
        <v>1324.0</v>
      </c>
      <c r="D3997" s="31"/>
      <c r="E3997" s="74"/>
      <c r="F3997" s="46" t="s">
        <v>1348</v>
      </c>
      <c r="G3997" s="74"/>
      <c r="H3997" s="98" t="str">
        <f>HYPERLINK("http://mirror.ff7data.com.ar/ff7/data/wm/world_us.lgp/sh3.tex.png","View Picture")</f>
        <v>View Picture</v>
      </c>
      <c r="K3997" s="43"/>
    </row>
    <row r="3998">
      <c r="A3998" s="55"/>
      <c r="B3998" s="33" t="s">
        <v>35118</v>
      </c>
      <c r="C3998" s="42">
        <v>1324.0</v>
      </c>
      <c r="D3998" s="31"/>
      <c r="E3998" s="74"/>
      <c r="F3998" s="46" t="s">
        <v>1348</v>
      </c>
      <c r="G3998" s="74"/>
      <c r="H3998" s="98" t="str">
        <f>HYPERLINK("http://mirror.ff7data.com.ar/ff7/data/wm/world_us.lgp/sh4.tex.png","View Picture")</f>
        <v>View Picture</v>
      </c>
      <c r="K3998" s="43"/>
    </row>
    <row r="3999">
      <c r="A3999" s="40"/>
      <c r="B3999" s="33" t="s">
        <v>35121</v>
      </c>
      <c r="C3999" s="42">
        <v>4396.0</v>
      </c>
      <c r="D3999" s="33" t="s">
        <v>35122</v>
      </c>
      <c r="E3999" s="74"/>
      <c r="F3999" s="46" t="s">
        <v>1348</v>
      </c>
      <c r="G3999" s="46" t="s">
        <v>35123</v>
      </c>
      <c r="H3999" s="98" t="str">
        <f>HYPERLINK("http://mirror.ff7data.com.ar/ff7/data/wm/world_us.lgp/shadow.tex.png","View Picture")</f>
        <v>View Picture</v>
      </c>
      <c r="K3999" s="43"/>
    </row>
    <row r="4000">
      <c r="A4000" s="40"/>
      <c r="B4000" s="33" t="s">
        <v>35125</v>
      </c>
      <c r="C4000" s="42">
        <v>2348.0</v>
      </c>
      <c r="D4000" s="33" t="s">
        <v>35127</v>
      </c>
      <c r="E4000" s="74"/>
      <c r="F4000" s="46" t="s">
        <v>1348</v>
      </c>
      <c r="G4000" s="46" t="s">
        <v>35128</v>
      </c>
      <c r="H4000" s="98" t="str">
        <f>HYPERLINK("http://mirror.ff7data.com.ar/ff7/data/wm/world_us.lgp/shedge.tex.png","View Picture")</f>
        <v>View Picture</v>
      </c>
      <c r="K4000" s="43"/>
    </row>
    <row r="4001">
      <c r="A4001" s="55"/>
      <c r="B4001" s="33" t="s">
        <v>35130</v>
      </c>
      <c r="C4001" s="42">
        <v>1324.0</v>
      </c>
      <c r="D4001" s="31"/>
      <c r="E4001" s="74"/>
      <c r="F4001" s="46" t="s">
        <v>1348</v>
      </c>
      <c r="G4001" s="75"/>
      <c r="H4001" s="98" t="str">
        <f>HYPERLINK("http://mirror.ff7data.com.ar/ff7/data/wm/world_us.lgp/shlm_1.tex.png","View Picture")</f>
        <v>View Picture</v>
      </c>
      <c r="K4001" s="43"/>
    </row>
    <row r="4002">
      <c r="A4002" s="55"/>
      <c r="B4002" s="33" t="s">
        <v>35132</v>
      </c>
      <c r="C4002" s="42">
        <v>1324.0</v>
      </c>
      <c r="D4002" s="31"/>
      <c r="E4002" s="74"/>
      <c r="F4002" s="46" t="s">
        <v>1348</v>
      </c>
      <c r="G4002" s="75"/>
      <c r="H4002" s="98" t="str">
        <f>HYPERLINK("http://mirror.ff7data.com.ar/ff7/data/wm/world_us.lgp/shlm_2.tex.png","View Picture")</f>
        <v>View Picture</v>
      </c>
      <c r="K4002" s="43"/>
    </row>
    <row r="4003">
      <c r="A4003" s="55"/>
      <c r="B4003" s="33" t="s">
        <v>35135</v>
      </c>
      <c r="C4003" s="42">
        <v>1324.0</v>
      </c>
      <c r="D4003" s="31"/>
      <c r="E4003" s="74"/>
      <c r="F4003" s="46" t="s">
        <v>1348</v>
      </c>
      <c r="G4003" s="75"/>
      <c r="H4003" s="98" t="str">
        <f>HYPERLINK("http://mirror.ff7data.com.ar/ff7/data/wm/world_us.lgp/shlm_3.tex.png","View Picture")</f>
        <v>View Picture</v>
      </c>
      <c r="K4003" s="43"/>
    </row>
    <row r="4004">
      <c r="A4004" s="55"/>
      <c r="B4004" s="33" t="s">
        <v>35136</v>
      </c>
      <c r="C4004" s="42">
        <v>1324.0</v>
      </c>
      <c r="D4004" s="31"/>
      <c r="E4004" s="74"/>
      <c r="F4004" s="46" t="s">
        <v>1348</v>
      </c>
      <c r="G4004" s="75"/>
      <c r="H4004" s="98" t="str">
        <f>HYPERLINK("http://mirror.ff7data.com.ar/ff7/data/wm/world_us.lgp/shlm_4.tex.png","View Picture")</f>
        <v>View Picture</v>
      </c>
      <c r="K4004" s="43"/>
    </row>
    <row r="4005">
      <c r="A4005" s="55"/>
      <c r="B4005" s="33" t="s">
        <v>35139</v>
      </c>
      <c r="C4005" s="42">
        <v>16684.0</v>
      </c>
      <c r="D4005" s="31"/>
      <c r="E4005" s="74"/>
      <c r="F4005" s="46" t="s">
        <v>1348</v>
      </c>
      <c r="G4005" s="75"/>
      <c r="H4005" s="98" t="str">
        <f>HYPERLINK("http://mirror.ff7data.com.ar/ff7/data/wm/world_us.lgp/shol.tex.png","View Picture")</f>
        <v>View Picture</v>
      </c>
      <c r="K4005" s="43"/>
    </row>
    <row r="4006">
      <c r="A4006" s="55"/>
      <c r="B4006" s="33" t="s">
        <v>35144</v>
      </c>
      <c r="C4006" s="42">
        <v>4396.0</v>
      </c>
      <c r="D4006" s="31"/>
      <c r="E4006" s="74"/>
      <c r="F4006" s="46" t="s">
        <v>1348</v>
      </c>
      <c r="G4006" s="75"/>
      <c r="H4006" s="98" t="str">
        <f>HYPERLINK("http://mirror.ff7data.com.ar/ff7/data/wm/world_us.lgp/shol_s.tex.png","View Picture")</f>
        <v>View Picture</v>
      </c>
      <c r="K4006" s="43"/>
    </row>
    <row r="4007">
      <c r="A4007" s="40"/>
      <c r="B4007" s="33" t="s">
        <v>35147</v>
      </c>
      <c r="C4007" s="42">
        <v>16684.0</v>
      </c>
      <c r="D4007" s="33" t="s">
        <v>35148</v>
      </c>
      <c r="E4007" s="74"/>
      <c r="F4007" s="46" t="s">
        <v>1348</v>
      </c>
      <c r="G4007" s="46" t="s">
        <v>35149</v>
      </c>
      <c r="H4007" s="98" t="str">
        <f>HYPERLINK("http://mirror.ff7data.com.ar/ff7/data/wm/world_us.lgp/shor.tex.png","View Picture")</f>
        <v>View Picture</v>
      </c>
      <c r="K4007" s="43"/>
    </row>
    <row r="4008">
      <c r="A4008" s="40"/>
      <c r="B4008" s="33" t="s">
        <v>35152</v>
      </c>
      <c r="C4008" s="42">
        <v>4396.0</v>
      </c>
      <c r="D4008" s="33" t="s">
        <v>35153</v>
      </c>
      <c r="E4008" s="74"/>
      <c r="F4008" s="46" t="s">
        <v>1348</v>
      </c>
      <c r="G4008" s="46" t="s">
        <v>35149</v>
      </c>
      <c r="H4008" s="98" t="str">
        <f>HYPERLINK("http://mirror.ff7data.com.ar/ff7/data/wm/world_us.lgp/shor_s.tex.png","View Picture")</f>
        <v>View Picture</v>
      </c>
      <c r="K4008" s="43"/>
    </row>
    <row r="4009">
      <c r="A4009" s="40"/>
      <c r="B4009" s="33" t="s">
        <v>35155</v>
      </c>
      <c r="C4009" s="42">
        <v>1324.0</v>
      </c>
      <c r="D4009" s="33" t="s">
        <v>35153</v>
      </c>
      <c r="E4009" s="74"/>
      <c r="F4009" s="46" t="s">
        <v>1348</v>
      </c>
      <c r="G4009" s="46" t="s">
        <v>35149</v>
      </c>
      <c r="H4009" s="98" t="str">
        <f>HYPERLINK("http://mirror.ff7data.com.ar/ff7/data/wm/world_us.lgp/shor_s2.tex.png","View Picture")</f>
        <v>View Picture</v>
      </c>
      <c r="K4009" s="43"/>
    </row>
    <row r="4010">
      <c r="A4010" s="40"/>
      <c r="B4010" s="33" t="s">
        <v>35158</v>
      </c>
      <c r="C4010" s="42">
        <v>1324.0</v>
      </c>
      <c r="D4010" s="33" t="s">
        <v>35159</v>
      </c>
      <c r="E4010" s="74"/>
      <c r="F4010" s="46" t="s">
        <v>1348</v>
      </c>
      <c r="G4010" s="75"/>
      <c r="H4010" s="98" t="str">
        <f>HYPERLINK("http://mirror.ff7data.com.ar/ff7/data/wm/world_us.lgp/shor_v.tex.png","View Picture")</f>
        <v>View Picture</v>
      </c>
      <c r="K4010" s="43"/>
    </row>
    <row r="4011">
      <c r="A4011" s="40"/>
      <c r="B4011" s="33" t="s">
        <v>35161</v>
      </c>
      <c r="C4011" s="42">
        <v>1324.0</v>
      </c>
      <c r="D4011" s="33" t="s">
        <v>35163</v>
      </c>
      <c r="E4011" s="74"/>
      <c r="F4011" s="46" t="s">
        <v>1348</v>
      </c>
      <c r="G4011" s="46" t="s">
        <v>35164</v>
      </c>
      <c r="H4011" s="98" t="str">
        <f>HYPERLINK("http://mirror.ff7data.com.ar/ff7/data/wm/world_us.lgp/silo.tex.png","View Picture")</f>
        <v>View Picture</v>
      </c>
      <c r="K4011" s="43"/>
    </row>
    <row r="4012">
      <c r="A4012" s="55"/>
      <c r="B4012" s="33" t="s">
        <v>35166</v>
      </c>
      <c r="C4012" s="42">
        <v>4396.0</v>
      </c>
      <c r="D4012" s="31"/>
      <c r="E4012" s="74"/>
      <c r="F4012" s="46" t="s">
        <v>1348</v>
      </c>
      <c r="G4012" s="74"/>
      <c r="H4012" s="98" t="str">
        <f>HYPERLINK("http://mirror.ff7data.com.ar/ff7/data/wm/world_us.lgp/slope.tex.png","View Picture")</f>
        <v>View Picture</v>
      </c>
      <c r="K4012" s="43"/>
    </row>
    <row r="4013">
      <c r="A4013" s="55"/>
      <c r="B4013" s="33" t="s">
        <v>35169</v>
      </c>
      <c r="C4013" s="42">
        <v>16684.0</v>
      </c>
      <c r="D4013" s="31"/>
      <c r="E4013" s="74"/>
      <c r="F4013" s="46" t="s">
        <v>1348</v>
      </c>
      <c r="G4013" s="74"/>
      <c r="H4013" s="98" t="str">
        <f>HYPERLINK("http://mirror.ff7data.com.ar/ff7/data/wm/world_us.lgp/sng01.tex.png","View Picture")</f>
        <v>View Picture</v>
      </c>
      <c r="K4013" s="43"/>
    </row>
    <row r="4014">
      <c r="A4014" s="55"/>
      <c r="B4014" s="33" t="s">
        <v>35171</v>
      </c>
      <c r="C4014" s="42">
        <v>16684.0</v>
      </c>
      <c r="D4014" s="31"/>
      <c r="E4014" s="74"/>
      <c r="F4014" s="46" t="s">
        <v>1348</v>
      </c>
      <c r="G4014" s="74"/>
      <c r="H4014" s="98" t="str">
        <f>HYPERLINK("http://mirror.ff7data.com.ar/ff7/data/wm/world_us.lgp/sng02.tex.png","View Picture")</f>
        <v>View Picture</v>
      </c>
      <c r="K4014" s="43"/>
    </row>
    <row r="4015">
      <c r="A4015" s="55"/>
      <c r="B4015" s="33" t="s">
        <v>35173</v>
      </c>
      <c r="C4015" s="42">
        <v>1324.0</v>
      </c>
      <c r="D4015" s="31"/>
      <c r="E4015" s="74"/>
      <c r="F4015" s="46" t="s">
        <v>1348</v>
      </c>
      <c r="G4015" s="74"/>
      <c r="H4015" s="98" t="str">
        <f>HYPERLINK("http://mirror.ff7data.com.ar/ff7/data/wm/world_us.lgp/snow_es.tex.png","View Picture")</f>
        <v>View Picture</v>
      </c>
      <c r="K4015" s="43"/>
    </row>
    <row r="4016">
      <c r="A4016" s="55"/>
      <c r="B4016" s="33" t="s">
        <v>35176</v>
      </c>
      <c r="C4016" s="42">
        <v>1324.0</v>
      </c>
      <c r="D4016" s="31"/>
      <c r="E4016" s="74"/>
      <c r="F4016" s="46" t="s">
        <v>1348</v>
      </c>
      <c r="G4016" s="74"/>
      <c r="H4016" s="98" t="str">
        <f>HYPERLINK("http://mirror.ff7data.com.ar/ff7/data/wm/world_us.lgp/snow_es2.tex.png","View Picture")</f>
        <v>View Picture</v>
      </c>
      <c r="K4016" s="43"/>
    </row>
    <row r="4017">
      <c r="A4017" s="55"/>
      <c r="B4017" s="33" t="s">
        <v>35178</v>
      </c>
      <c r="C4017" s="42">
        <v>1324.0</v>
      </c>
      <c r="D4017" s="31"/>
      <c r="E4017" s="74"/>
      <c r="F4017" s="46" t="s">
        <v>1348</v>
      </c>
      <c r="G4017" s="74"/>
      <c r="H4017" s="98" t="str">
        <f>HYPERLINK("http://mirror.ff7data.com.ar/ff7/data/wm/world_us.lgp/snow_es3.tex.png","View Picture")</f>
        <v>View Picture</v>
      </c>
      <c r="K4017" s="43"/>
    </row>
    <row r="4018">
      <c r="A4018" s="55"/>
      <c r="B4018" s="33" t="s">
        <v>35179</v>
      </c>
      <c r="C4018" s="42">
        <v>65836.0</v>
      </c>
      <c r="D4018" s="31"/>
      <c r="E4018" s="74"/>
      <c r="F4018" s="46" t="s">
        <v>1348</v>
      </c>
      <c r="G4018" s="74"/>
      <c r="H4018" s="98" t="str">
        <f>HYPERLINK("http://mirror.ff7data.com.ar/ff7/data/wm/world_us.lgp/snow4.tex.png","View Picture")</f>
        <v>View Picture</v>
      </c>
      <c r="K4018" s="43"/>
    </row>
    <row r="4019">
      <c r="A4019" s="55"/>
      <c r="B4019" s="33" t="s">
        <v>35181</v>
      </c>
      <c r="C4019" s="42">
        <v>65836.0</v>
      </c>
      <c r="D4019" s="31"/>
      <c r="E4019" s="74"/>
      <c r="F4019" s="46" t="s">
        <v>1348</v>
      </c>
      <c r="G4019" s="74"/>
      <c r="H4019" s="98" t="str">
        <f>HYPERLINK("http://mirror.ff7data.com.ar/ff7/data/wm/world_us.lgp/snow5.tex.png","View Picture")</f>
        <v>View Picture</v>
      </c>
      <c r="K4019" s="43"/>
    </row>
    <row r="4020">
      <c r="A4020" s="162"/>
      <c r="B4020" s="33" t="s">
        <v>35184</v>
      </c>
      <c r="C4020" s="42">
        <v>16684.0</v>
      </c>
      <c r="D4020" s="52" t="s">
        <v>35185</v>
      </c>
      <c r="E4020" s="75"/>
      <c r="F4020" s="46" t="s">
        <v>1348</v>
      </c>
      <c r="G4020" s="46" t="s">
        <v>35186</v>
      </c>
      <c r="H4020" s="98" t="str">
        <f>HYPERLINK("http://mirror.ff7data.com.ar/ff7/data/wm/world_us.lgp/snw_mt.tex.png","View Picture")</f>
        <v>View Picture</v>
      </c>
      <c r="K4020" s="43"/>
    </row>
    <row r="4021">
      <c r="A4021" s="163"/>
      <c r="B4021" s="33" t="s">
        <v>35191</v>
      </c>
      <c r="C4021" s="42">
        <v>16684.0</v>
      </c>
      <c r="D4021" s="164"/>
      <c r="E4021" s="75"/>
      <c r="F4021" s="46" t="s">
        <v>1348</v>
      </c>
      <c r="G4021" s="75"/>
      <c r="H4021" s="98" t="str">
        <f>HYPERLINK("http://mirror.ff7data.com.ar/ff7/data/wm/world_us.lgp/snw_mtd.tex.png","View Picture")</f>
        <v>View Picture</v>
      </c>
      <c r="K4021" s="43"/>
    </row>
    <row r="4022">
      <c r="A4022" s="162"/>
      <c r="B4022" s="33" t="s">
        <v>35194</v>
      </c>
      <c r="C4022" s="42">
        <v>2348.0</v>
      </c>
      <c r="D4022" s="52" t="s">
        <v>35195</v>
      </c>
      <c r="E4022" s="75"/>
      <c r="F4022" s="46" t="s">
        <v>1348</v>
      </c>
      <c r="G4022" s="46" t="s">
        <v>35186</v>
      </c>
      <c r="H4022" s="98" t="str">
        <f>HYPERLINK("http://mirror.ff7data.com.ar/ff7/data/wm/world_us.lgp/snw_mte.tex.png","View Picture")</f>
        <v>View Picture</v>
      </c>
      <c r="K4022" s="43"/>
    </row>
    <row r="4023">
      <c r="A4023" s="163"/>
      <c r="B4023" s="33" t="s">
        <v>35199</v>
      </c>
      <c r="C4023" s="42">
        <v>2348.0</v>
      </c>
      <c r="D4023" s="164"/>
      <c r="E4023" s="75"/>
      <c r="F4023" s="46" t="s">
        <v>1348</v>
      </c>
      <c r="G4023" s="75"/>
      <c r="H4023" s="98" t="str">
        <f>HYPERLINK("http://mirror.ff7data.com.ar/ff7/data/wm/world_us.lgp/snw_mted.tex.png","View Picture")</f>
        <v>View Picture</v>
      </c>
      <c r="K4023" s="43"/>
    </row>
    <row r="4024">
      <c r="A4024" s="163"/>
      <c r="B4024" s="33" t="s">
        <v>35203</v>
      </c>
      <c r="C4024" s="42">
        <v>8492.0</v>
      </c>
      <c r="D4024" s="164"/>
      <c r="E4024" s="75"/>
      <c r="F4024" s="46" t="s">
        <v>1348</v>
      </c>
      <c r="G4024" s="75"/>
      <c r="H4024" s="98" t="str">
        <f>HYPERLINK("http://mirror.ff7data.com.ar/ff7/data/wm/world_us.lgp/snw_mts.tex.png","View Picture")</f>
        <v>View Picture</v>
      </c>
      <c r="K4024" s="43"/>
    </row>
    <row r="4025">
      <c r="A4025" s="163"/>
      <c r="B4025" s="33" t="s">
        <v>35206</v>
      </c>
      <c r="C4025" s="42">
        <v>2348.0</v>
      </c>
      <c r="D4025" s="164"/>
      <c r="E4025" s="75"/>
      <c r="F4025" s="46" t="s">
        <v>1348</v>
      </c>
      <c r="G4025" s="75"/>
      <c r="H4025" s="98" t="str">
        <f>HYPERLINK("http://mirror.ff7data.com.ar/ff7/data/wm/world_us.lgp/snw_mts2.tex.png","View Picture")</f>
        <v>View Picture</v>
      </c>
      <c r="K4025" s="43"/>
    </row>
    <row r="4026">
      <c r="A4026" s="162"/>
      <c r="B4026" s="33" t="s">
        <v>35208</v>
      </c>
      <c r="C4026" s="42">
        <v>4396.0</v>
      </c>
      <c r="D4026" s="52" t="s">
        <v>35209</v>
      </c>
      <c r="E4026" s="75"/>
      <c r="F4026" s="46" t="s">
        <v>1348</v>
      </c>
      <c r="G4026" s="46" t="s">
        <v>35186</v>
      </c>
      <c r="H4026" s="98" t="str">
        <f>HYPERLINK("http://mirror.ff7data.com.ar/ff7/data/wm/world_us.lgp/snwfld.tex.png","View Picture")</f>
        <v>View Picture</v>
      </c>
      <c r="K4026" s="43"/>
    </row>
    <row r="4027">
      <c r="A4027" s="162"/>
      <c r="B4027" s="33" t="s">
        <v>35212</v>
      </c>
      <c r="C4027" s="42">
        <v>2348.0</v>
      </c>
      <c r="D4027" s="52" t="s">
        <v>35213</v>
      </c>
      <c r="E4027" s="75"/>
      <c r="F4027" s="46" t="s">
        <v>1348</v>
      </c>
      <c r="G4027" s="46" t="s">
        <v>35186</v>
      </c>
      <c r="H4027" s="98" t="str">
        <f>HYPERLINK("http://mirror.ff7data.com.ar/ff7/data/wm/world_us.lgp/snwfld_s.tex.png","View Picture")</f>
        <v>View Picture</v>
      </c>
      <c r="K4027" s="43"/>
    </row>
    <row r="4028">
      <c r="A4028" s="163"/>
      <c r="B4028" s="33" t="s">
        <v>35216</v>
      </c>
      <c r="C4028" s="42">
        <v>4396.0</v>
      </c>
      <c r="D4028" s="164"/>
      <c r="E4028" s="75"/>
      <c r="F4028" s="46" t="s">
        <v>1348</v>
      </c>
      <c r="G4028" s="75"/>
      <c r="H4028" s="98" t="str">
        <f>HYPERLINK("http://mirror.ff7data.com.ar/ff7/data/wm/world_us.lgp/snwfld2.tex.png","View Picture")</f>
        <v>View Picture</v>
      </c>
      <c r="K4028" s="43"/>
    </row>
    <row r="4029">
      <c r="A4029" s="162"/>
      <c r="B4029" s="33" t="s">
        <v>35218</v>
      </c>
      <c r="C4029" s="42">
        <v>4396.0</v>
      </c>
      <c r="D4029" s="52" t="s">
        <v>35220</v>
      </c>
      <c r="E4029" s="75"/>
      <c r="F4029" s="46" t="s">
        <v>1348</v>
      </c>
      <c r="G4029" s="46" t="s">
        <v>35221</v>
      </c>
      <c r="H4029" s="98" t="str">
        <f>HYPERLINK("http://mirror.ff7data.com.ar/ff7/data/wm/world_us.lgp/snwfldl.tex.png","View Picture")</f>
        <v>View Picture</v>
      </c>
      <c r="K4029" s="43"/>
    </row>
    <row r="4030">
      <c r="A4030" s="162"/>
      <c r="B4030" s="33" t="s">
        <v>35223</v>
      </c>
      <c r="C4030" s="42">
        <v>4396.0</v>
      </c>
      <c r="D4030" s="52" t="s">
        <v>35224</v>
      </c>
      <c r="E4030" s="75"/>
      <c r="F4030" s="46" t="s">
        <v>1348</v>
      </c>
      <c r="G4030" s="46" t="s">
        <v>35186</v>
      </c>
      <c r="H4030" s="98" t="str">
        <f>HYPERLINK("http://mirror.ff7data.com.ar/ff7/data/wm/world_us.lgp/snwgra.tex.png","View Picture")</f>
        <v>View Picture</v>
      </c>
      <c r="K4030" s="43"/>
    </row>
    <row r="4031">
      <c r="A4031" s="55"/>
      <c r="B4031" s="33" t="s">
        <v>35226</v>
      </c>
      <c r="C4031" s="42">
        <v>1324.0</v>
      </c>
      <c r="D4031" s="31"/>
      <c r="E4031" s="74"/>
      <c r="F4031" s="46" t="s">
        <v>1348</v>
      </c>
      <c r="G4031" s="74"/>
      <c r="H4031" s="98" t="str">
        <f>HYPERLINK("http://mirror.ff7data.com.ar/ff7/data/wm/world_us.lgp/snwhm01.tex.png","View Picture")</f>
        <v>View Picture</v>
      </c>
      <c r="K4031" s="43"/>
    </row>
    <row r="4032">
      <c r="A4032" s="55"/>
      <c r="B4032" s="33" t="s">
        <v>35228</v>
      </c>
      <c r="C4032" s="42">
        <v>1324.0</v>
      </c>
      <c r="D4032" s="31"/>
      <c r="E4032" s="74"/>
      <c r="F4032" s="46" t="s">
        <v>1348</v>
      </c>
      <c r="G4032" s="74"/>
      <c r="H4032" s="98" t="str">
        <f>HYPERLINK("http://mirror.ff7data.com.ar/ff7/data/wm/world_us.lgp/snwhm02.tex.png","View Picture")</f>
        <v>View Picture</v>
      </c>
      <c r="K4032" s="43"/>
    </row>
    <row r="4033">
      <c r="A4033" s="55"/>
      <c r="B4033" s="33" t="s">
        <v>35231</v>
      </c>
      <c r="C4033" s="42">
        <v>1324.0</v>
      </c>
      <c r="D4033" s="31"/>
      <c r="E4033" s="74"/>
      <c r="F4033" s="46" t="s">
        <v>1348</v>
      </c>
      <c r="G4033" s="74"/>
      <c r="H4033" s="98" t="str">
        <f>HYPERLINK("http://mirror.ff7data.com.ar/ff7/data/wm/world_us.lgp/snwods.tex.png","View Picture")</f>
        <v>View Picture</v>
      </c>
      <c r="K4033" s="43"/>
    </row>
    <row r="4034">
      <c r="A4034" s="55"/>
      <c r="B4034" s="33" t="s">
        <v>35233</v>
      </c>
      <c r="C4034" s="42">
        <v>4396.0</v>
      </c>
      <c r="D4034" s="31"/>
      <c r="E4034" s="74"/>
      <c r="F4034" s="46" t="s">
        <v>1348</v>
      </c>
      <c r="G4034" s="74"/>
      <c r="H4034" s="98" t="str">
        <f>HYPERLINK("http://mirror.ff7data.com.ar/ff7/data/wm/world_us.lgp/snwood.tex.png","View Picture")</f>
        <v>View Picture</v>
      </c>
      <c r="K4034" s="43"/>
    </row>
    <row r="4035">
      <c r="A4035" s="40"/>
      <c r="B4035" s="33" t="s">
        <v>35236</v>
      </c>
      <c r="C4035" s="42">
        <v>2348.0</v>
      </c>
      <c r="D4035" s="33" t="s">
        <v>35237</v>
      </c>
      <c r="E4035" s="74"/>
      <c r="F4035" s="46" t="s">
        <v>1348</v>
      </c>
      <c r="G4035" s="46" t="s">
        <v>35239</v>
      </c>
      <c r="H4035" s="98" t="str">
        <f>HYPERLINK("http://mirror.ff7data.com.ar/ff7/data/wm/world_us.lgp/snwtrk.tex.png","View Picture")</f>
        <v>View Picture</v>
      </c>
      <c r="K4035" s="43"/>
    </row>
    <row r="4036">
      <c r="A4036" s="55"/>
      <c r="B4036" s="33" t="s">
        <v>35240</v>
      </c>
      <c r="C4036" s="42">
        <v>65836.0</v>
      </c>
      <c r="D4036" s="31"/>
      <c r="E4036" s="74"/>
      <c r="F4036" s="46" t="s">
        <v>1348</v>
      </c>
      <c r="G4036" s="75"/>
      <c r="H4036" s="98" t="str">
        <f>HYPERLINK("http://mirror.ff7data.com.ar/ff7/data/wm/world_us.lgp/ssand.tex.png","View Picture")</f>
        <v>View Picture</v>
      </c>
      <c r="K4036" s="43"/>
    </row>
    <row r="4037">
      <c r="A4037" s="55"/>
      <c r="B4037" s="33" t="s">
        <v>35244</v>
      </c>
      <c r="C4037" s="42">
        <v>1324.0</v>
      </c>
      <c r="D4037" s="31"/>
      <c r="E4037" s="74"/>
      <c r="F4037" s="46" t="s">
        <v>1348</v>
      </c>
      <c r="G4037" s="75"/>
      <c r="H4037" s="98" t="str">
        <f>HYPERLINK("http://mirror.ff7data.com.ar/ff7/data/wm/world_us.lgp/sse_s1.tex.png","View Picture")</f>
        <v>View Picture</v>
      </c>
      <c r="K4037" s="43"/>
    </row>
    <row r="4038">
      <c r="A4038" s="55"/>
      <c r="B4038" s="33" t="s">
        <v>35249</v>
      </c>
      <c r="C4038" s="42">
        <v>1324.0</v>
      </c>
      <c r="D4038" s="31"/>
      <c r="E4038" s="74"/>
      <c r="F4038" s="46" t="s">
        <v>1348</v>
      </c>
      <c r="G4038" s="75"/>
      <c r="H4038" s="98" t="str">
        <f>HYPERLINK("http://mirror.ff7data.com.ar/ff7/data/wm/world_us.lgp/sse_s2.tex.png","View Picture")</f>
        <v>View Picture</v>
      </c>
      <c r="K4038" s="43"/>
    </row>
    <row r="4039">
      <c r="A4039" s="55"/>
      <c r="B4039" s="33" t="s">
        <v>35251</v>
      </c>
      <c r="C4039" s="42">
        <v>1324.0</v>
      </c>
      <c r="D4039" s="31"/>
      <c r="E4039" s="74"/>
      <c r="F4039" s="46" t="s">
        <v>1348</v>
      </c>
      <c r="G4039" s="75"/>
      <c r="H4039" s="98" t="str">
        <f>HYPERLINK("http://mirror.ff7data.com.ar/ff7/data/wm/world_us.lgp/sse_s3.tex.png","View Picture")</f>
        <v>View Picture</v>
      </c>
      <c r="K4039" s="43"/>
    </row>
    <row r="4040">
      <c r="A4040" s="55"/>
      <c r="B4040" s="33" t="s">
        <v>35254</v>
      </c>
      <c r="C4040" s="42">
        <v>1324.0</v>
      </c>
      <c r="D4040" s="31"/>
      <c r="E4040" s="74"/>
      <c r="F4040" s="46" t="s">
        <v>1348</v>
      </c>
      <c r="G4040" s="75"/>
      <c r="H4040" s="98" t="str">
        <f>HYPERLINK("http://mirror.ff7data.com.ar/ff7/data/wm/world_us.lgp/sse_s4.tex.png","View Picture")</f>
        <v>View Picture</v>
      </c>
      <c r="K4040" s="43"/>
    </row>
    <row r="4041">
      <c r="A4041" s="55"/>
      <c r="B4041" s="33" t="s">
        <v>35256</v>
      </c>
      <c r="C4041" s="42">
        <v>1324.0</v>
      </c>
      <c r="D4041" s="31"/>
      <c r="E4041" s="74"/>
      <c r="F4041" s="46" t="s">
        <v>1348</v>
      </c>
      <c r="G4041" s="75"/>
      <c r="H4041" s="98" t="str">
        <f>HYPERLINK("http://mirror.ff7data.com.ar/ff7/data/wm/world_us.lgp/ssee1.tex.png","View Picture")</f>
        <v>View Picture</v>
      </c>
      <c r="K4041" s="43"/>
    </row>
    <row r="4042">
      <c r="A4042" s="55"/>
      <c r="B4042" s="33" t="s">
        <v>35259</v>
      </c>
      <c r="C4042" s="42">
        <v>1324.0</v>
      </c>
      <c r="D4042" s="31"/>
      <c r="E4042" s="74"/>
      <c r="F4042" s="46" t="s">
        <v>1348</v>
      </c>
      <c r="G4042" s="75"/>
      <c r="H4042" s="98" t="str">
        <f>HYPERLINK("http://mirror.ff7data.com.ar/ff7/data/wm/world_us.lgp/ssee2.tex.png","View Picture")</f>
        <v>View Picture</v>
      </c>
      <c r="K4042" s="43"/>
    </row>
    <row r="4043">
      <c r="A4043" s="55"/>
      <c r="B4043" s="33" t="s">
        <v>35261</v>
      </c>
      <c r="C4043" s="42">
        <v>1324.0</v>
      </c>
      <c r="D4043" s="31"/>
      <c r="E4043" s="74"/>
      <c r="F4043" s="46" t="s">
        <v>1348</v>
      </c>
      <c r="G4043" s="75"/>
      <c r="H4043" s="98" t="str">
        <f>HYPERLINK("http://mirror.ff7data.com.ar/ff7/data/wm/world_us.lgp/ssee3.tex.png","View Picture")</f>
        <v>View Picture</v>
      </c>
      <c r="K4043" s="43"/>
    </row>
    <row r="4044">
      <c r="A4044" s="55"/>
      <c r="B4044" s="33" t="s">
        <v>35263</v>
      </c>
      <c r="C4044" s="42">
        <v>1324.0</v>
      </c>
      <c r="D4044" s="31"/>
      <c r="E4044" s="74"/>
      <c r="F4044" s="46" t="s">
        <v>1348</v>
      </c>
      <c r="G4044" s="75"/>
      <c r="H4044" s="98" t="str">
        <f>HYPERLINK("http://mirror.ff7data.com.ar/ff7/data/wm/world_us.lgp/ssee4.tex.png","View Picture")</f>
        <v>View Picture</v>
      </c>
      <c r="K4044" s="43"/>
    </row>
    <row r="4045">
      <c r="A4045" s="55"/>
      <c r="B4045" s="33" t="s">
        <v>35266</v>
      </c>
      <c r="C4045" s="42">
        <v>1324.0</v>
      </c>
      <c r="D4045" s="31"/>
      <c r="E4045" s="74"/>
      <c r="F4045" s="46" t="s">
        <v>1348</v>
      </c>
      <c r="G4045" s="75"/>
      <c r="H4045" s="98" t="str">
        <f>HYPERLINK("http://mirror.ff7data.com.ar/ff7/data/wm/world_us.lgp/sst1.tex.png","View Picture")</f>
        <v>View Picture</v>
      </c>
      <c r="K4045" s="43"/>
    </row>
    <row r="4046">
      <c r="A4046" s="55"/>
      <c r="B4046" s="33" t="s">
        <v>35268</v>
      </c>
      <c r="C4046" s="42">
        <v>1324.0</v>
      </c>
      <c r="D4046" s="31"/>
      <c r="E4046" s="74"/>
      <c r="F4046" s="46" t="s">
        <v>1348</v>
      </c>
      <c r="G4046" s="75"/>
      <c r="H4046" s="98" t="str">
        <f>HYPERLINK("http://mirror.ff7data.com.ar/ff7/data/wm/world_us.lgp/sst2.tex.png","View Picture")</f>
        <v>View Picture</v>
      </c>
      <c r="K4046" s="43"/>
    </row>
    <row r="4047">
      <c r="A4047" s="55"/>
      <c r="B4047" s="33" t="s">
        <v>35270</v>
      </c>
      <c r="C4047" s="42">
        <v>1324.0</v>
      </c>
      <c r="D4047" s="31"/>
      <c r="E4047" s="74"/>
      <c r="F4047" s="46" t="s">
        <v>1348</v>
      </c>
      <c r="G4047" s="75"/>
      <c r="H4047" s="98" t="str">
        <f>HYPERLINK("http://mirror.ff7data.com.ar/ff7/data/wm/world_us.lgp/sst3.tex.png","View Picture")</f>
        <v>View Picture</v>
      </c>
      <c r="K4047" s="43"/>
    </row>
    <row r="4048">
      <c r="A4048" s="55"/>
      <c r="B4048" s="33" t="s">
        <v>35272</v>
      </c>
      <c r="C4048" s="42">
        <v>1324.0</v>
      </c>
      <c r="D4048" s="31"/>
      <c r="E4048" s="74"/>
      <c r="F4048" s="46" t="s">
        <v>1348</v>
      </c>
      <c r="G4048" s="75"/>
      <c r="H4048" s="98" t="str">
        <f>HYPERLINK("http://mirror.ff7data.com.ar/ff7/data/wm/world_us.lgp/sst4.tex.png","View Picture")</f>
        <v>View Picture</v>
      </c>
      <c r="K4048" s="43"/>
    </row>
    <row r="4049">
      <c r="A4049" s="82"/>
      <c r="B4049" s="33" t="s">
        <v>35274</v>
      </c>
      <c r="C4049" s="42">
        <v>1324.0</v>
      </c>
      <c r="D4049" s="33" t="s">
        <v>35275</v>
      </c>
      <c r="E4049" s="74"/>
      <c r="F4049" s="46" t="s">
        <v>1348</v>
      </c>
      <c r="G4049" s="46" t="s">
        <v>35276</v>
      </c>
      <c r="H4049" s="98" t="str">
        <f>HYPERLINK("http://mirror.ff7data.com.ar/ff7/data/wm/world_us.lgp/stown_r.tex.png","View Picture")</f>
        <v>View Picture</v>
      </c>
      <c r="K4049" s="43"/>
    </row>
    <row r="4050">
      <c r="A4050" s="82"/>
      <c r="B4050" s="33" t="s">
        <v>35278</v>
      </c>
      <c r="C4050" s="42">
        <v>4396.0</v>
      </c>
      <c r="D4050" s="33" t="s">
        <v>22104</v>
      </c>
      <c r="E4050" s="74"/>
      <c r="F4050" s="46" t="s">
        <v>1348</v>
      </c>
      <c r="G4050" s="46" t="s">
        <v>35279</v>
      </c>
      <c r="H4050" s="98" t="str">
        <f>HYPERLINK("http://mirror.ff7data.com.ar/ff7/data/wm/world_us.lgp/stw_gro.tex.png","View Picture")</f>
        <v>View Picture</v>
      </c>
      <c r="K4050" s="43"/>
    </row>
    <row r="4051">
      <c r="A4051" s="55"/>
      <c r="B4051" s="33" t="s">
        <v>35281</v>
      </c>
      <c r="C4051" s="42">
        <v>1324.0</v>
      </c>
      <c r="D4051" s="31"/>
      <c r="E4051" s="74"/>
      <c r="F4051" s="46" t="s">
        <v>1348</v>
      </c>
      <c r="G4051" s="74"/>
      <c r="H4051" s="98" t="str">
        <f>HYPERLINK("http://mirror.ff7data.com.ar/ff7/data/wm/world_us.lgp/subrg2.tex.png","View Picture")</f>
        <v>View Picture</v>
      </c>
      <c r="K4051" s="43"/>
    </row>
    <row r="4052">
      <c r="A4052" s="55"/>
      <c r="B4052" s="33" t="s">
        <v>35283</v>
      </c>
      <c r="C4052" s="42">
        <v>4396.0</v>
      </c>
      <c r="D4052" s="31"/>
      <c r="E4052" s="74"/>
      <c r="F4052" s="46" t="s">
        <v>1348</v>
      </c>
      <c r="G4052" s="74"/>
      <c r="H4052" s="98" t="str">
        <f>HYPERLINK("http://mirror.ff7data.com.ar/ff7/data/wm/world_us.lgp/susbrg.tex.png","View Picture")</f>
        <v>View Picture</v>
      </c>
      <c r="K4052" s="43"/>
    </row>
    <row r="4053">
      <c r="A4053" s="82"/>
      <c r="B4053" s="33" t="s">
        <v>35284</v>
      </c>
      <c r="C4053" s="42">
        <v>4396.0</v>
      </c>
      <c r="D4053" s="33" t="s">
        <v>35285</v>
      </c>
      <c r="E4053" s="74"/>
      <c r="F4053" s="46" t="s">
        <v>1348</v>
      </c>
      <c r="G4053" s="74"/>
      <c r="H4053" s="98" t="str">
        <f>HYPERLINK("http://mirror.ff7data.com.ar/ff7/data/wm/world_us.lgp/sw_se.tex.png","View Picture")</f>
        <v>View Picture</v>
      </c>
      <c r="K4053" s="43"/>
    </row>
    <row r="4054">
      <c r="A4054" s="55"/>
      <c r="B4054" s="33" t="s">
        <v>35287</v>
      </c>
      <c r="C4054" s="42">
        <v>65836.0</v>
      </c>
      <c r="D4054" s="31"/>
      <c r="E4054" s="74"/>
      <c r="F4054" s="46" t="s">
        <v>1348</v>
      </c>
      <c r="G4054" s="74"/>
      <c r="H4054" s="98" t="str">
        <f>HYPERLINK("http://mirror.ff7data.com.ar/ff7/data/wm/world_us.lgp/swall02.tex.png","View Picture")</f>
        <v>View Picture</v>
      </c>
      <c r="K4054" s="43"/>
    </row>
    <row r="4055">
      <c r="A4055" s="55"/>
      <c r="B4055" s="33" t="s">
        <v>35289</v>
      </c>
      <c r="C4055" s="42">
        <v>4396.0</v>
      </c>
      <c r="D4055" s="31"/>
      <c r="E4055" s="74"/>
      <c r="F4055" s="46" t="s">
        <v>1348</v>
      </c>
      <c r="G4055" s="74"/>
      <c r="H4055" s="98" t="str">
        <f>HYPERLINK("http://mirror.ff7data.com.ar/ff7/data/wm/world_us.lgp/swclf_l.tex.png","View Picture")</f>
        <v>View Picture</v>
      </c>
      <c r="K4055" s="43"/>
    </row>
    <row r="4056">
      <c r="A4056" s="55"/>
      <c r="B4056" s="33" t="s">
        <v>35291</v>
      </c>
      <c r="C4056" s="42">
        <v>4396.0</v>
      </c>
      <c r="D4056" s="31"/>
      <c r="E4056" s="74"/>
      <c r="F4056" s="46" t="s">
        <v>1348</v>
      </c>
      <c r="G4056" s="74"/>
      <c r="H4056" s="98" t="str">
        <f>HYPERLINK("http://mirror.ff7data.com.ar/ff7/data/wm/world_us.lgp/swclf_ld.tex.png","View Picture")</f>
        <v>View Picture</v>
      </c>
      <c r="K4056" s="43"/>
    </row>
    <row r="4057">
      <c r="A4057" s="55"/>
      <c r="B4057" s="33" t="s">
        <v>35293</v>
      </c>
      <c r="C4057" s="42">
        <v>2348.0</v>
      </c>
      <c r="D4057" s="31"/>
      <c r="E4057" s="74"/>
      <c r="F4057" s="46" t="s">
        <v>1348</v>
      </c>
      <c r="G4057" s="74"/>
      <c r="H4057" s="98" t="str">
        <f>HYPERLINK("http://mirror.ff7data.com.ar/ff7/data/wm/world_us.lgp/swclf_lg.tex.png","View Picture")</f>
        <v>View Picture</v>
      </c>
      <c r="K4057" s="43"/>
    </row>
    <row r="4058">
      <c r="A4058" s="55"/>
      <c r="B4058" s="33" t="s">
        <v>35295</v>
      </c>
      <c r="C4058" s="42">
        <v>2348.0</v>
      </c>
      <c r="D4058" s="31"/>
      <c r="E4058" s="74"/>
      <c r="F4058" s="46" t="s">
        <v>1348</v>
      </c>
      <c r="G4058" s="74"/>
      <c r="H4058" s="98" t="str">
        <f>HYPERLINK("http://mirror.ff7data.com.ar/ff7/data/wm/world_us.lgp/swclf_s.tex.png","View Picture")</f>
        <v>View Picture</v>
      </c>
      <c r="K4058" s="43"/>
    </row>
    <row r="4059">
      <c r="A4059" s="55"/>
      <c r="B4059" s="33" t="s">
        <v>35297</v>
      </c>
      <c r="C4059" s="42">
        <v>2348.0</v>
      </c>
      <c r="D4059" s="31"/>
      <c r="E4059" s="74"/>
      <c r="F4059" s="46" t="s">
        <v>1348</v>
      </c>
      <c r="G4059" s="74"/>
      <c r="H4059" s="98" t="str">
        <f>HYPERLINK("http://mirror.ff7data.com.ar/ff7/data/wm/world_us.lgp/swclf_sd.tex.png","View Picture")</f>
        <v>View Picture</v>
      </c>
      <c r="K4059" s="43"/>
    </row>
    <row r="4060">
      <c r="A4060" s="55"/>
      <c r="B4060" s="33" t="s">
        <v>35299</v>
      </c>
      <c r="C4060" s="42">
        <v>1324.0</v>
      </c>
      <c r="D4060" s="31"/>
      <c r="E4060" s="74"/>
      <c r="F4060" s="46" t="s">
        <v>1348</v>
      </c>
      <c r="G4060" s="74"/>
      <c r="H4060" s="98" t="str">
        <f>HYPERLINK("http://mirror.ff7data.com.ar/ff7/data/wm/world_us.lgp/swclf_sg.tex.png","View Picture")</f>
        <v>View Picture</v>
      </c>
      <c r="K4060" s="43"/>
    </row>
    <row r="4061">
      <c r="A4061" s="55"/>
      <c r="B4061" s="33" t="s">
        <v>35301</v>
      </c>
      <c r="C4061" s="42">
        <v>1324.0</v>
      </c>
      <c r="D4061" s="31"/>
      <c r="E4061" s="74"/>
      <c r="F4061" s="46" t="s">
        <v>1348</v>
      </c>
      <c r="G4061" s="74"/>
      <c r="H4061" s="98" t="str">
        <f>HYPERLINK("http://mirror.ff7data.com.ar/ff7/data/wm/world_us.lgp/swclf_wg.tex.png","View Picture")</f>
        <v>View Picture</v>
      </c>
      <c r="K4061" s="43"/>
    </row>
    <row r="4062">
      <c r="A4062" s="55"/>
      <c r="B4062" s="33" t="s">
        <v>35303</v>
      </c>
      <c r="C4062" s="42">
        <v>2348.0</v>
      </c>
      <c r="D4062" s="31"/>
      <c r="E4062" s="74"/>
      <c r="F4062" s="46" t="s">
        <v>1348</v>
      </c>
      <c r="G4062" s="74"/>
      <c r="H4062" s="98" t="str">
        <f>HYPERLINK("http://mirror.ff7data.com.ar/ff7/data/wm/world_us.lgp/swfld_s2.tex.png","View Picture")</f>
        <v>View Picture</v>
      </c>
      <c r="K4062" s="43"/>
    </row>
    <row r="4063">
      <c r="A4063" s="55"/>
      <c r="B4063" s="33" t="s">
        <v>35305</v>
      </c>
      <c r="C4063" s="42">
        <v>1324.0</v>
      </c>
      <c r="D4063" s="31"/>
      <c r="E4063" s="74"/>
      <c r="F4063" s="46" t="s">
        <v>1348</v>
      </c>
      <c r="G4063" s="74"/>
      <c r="H4063" s="98" t="str">
        <f>HYPERLINK("http://mirror.ff7data.com.ar/ff7/data/wm/world_us.lgp/swfld_s3.tex.png","View Picture")</f>
        <v>View Picture</v>
      </c>
      <c r="K4063" s="43"/>
    </row>
    <row r="4064">
      <c r="A4064" s="55"/>
      <c r="B4064" s="33" t="s">
        <v>35307</v>
      </c>
      <c r="C4064" s="42">
        <v>1324.0</v>
      </c>
      <c r="D4064" s="31"/>
      <c r="E4064" s="74"/>
      <c r="F4064" s="46" t="s">
        <v>1348</v>
      </c>
      <c r="G4064" s="74"/>
      <c r="H4064" s="98" t="str">
        <f>HYPERLINK("http://mirror.ff7data.com.ar/ff7/data/wm/world_us.lgp/swmd_cg.tex.png","View Picture")</f>
        <v>View Picture</v>
      </c>
      <c r="K4064" s="43"/>
    </row>
    <row r="4065">
      <c r="A4065" s="55"/>
      <c r="B4065" s="33" t="s">
        <v>35311</v>
      </c>
      <c r="C4065" s="42">
        <v>2348.0</v>
      </c>
      <c r="D4065" s="31"/>
      <c r="E4065" s="74"/>
      <c r="F4065" s="46" t="s">
        <v>1348</v>
      </c>
      <c r="G4065" s="74"/>
      <c r="H4065" s="98" t="str">
        <f>HYPERLINK("http://mirror.ff7data.com.ar/ff7/data/wm/world_us.lgp/swmd_clf.tex.png","View Picture")</f>
        <v>View Picture</v>
      </c>
      <c r="K4065" s="43"/>
    </row>
    <row r="4066">
      <c r="A4066" s="55"/>
      <c r="B4066" s="33" t="s">
        <v>35312</v>
      </c>
      <c r="C4066" s="42">
        <v>1324.0</v>
      </c>
      <c r="D4066" s="31"/>
      <c r="E4066" s="74"/>
      <c r="F4066" s="46" t="s">
        <v>1348</v>
      </c>
      <c r="G4066" s="74"/>
      <c r="H4066" s="98" t="str">
        <f>HYPERLINK("http://mirror.ff7data.com.ar/ff7/data/wm/world_us.lgp/swp1.tex.png","View Picture")</f>
        <v>View Picture</v>
      </c>
      <c r="K4066" s="43"/>
    </row>
    <row r="4067">
      <c r="A4067" s="55"/>
      <c r="B4067" s="33" t="s">
        <v>35316</v>
      </c>
      <c r="C4067" s="42">
        <v>1324.0</v>
      </c>
      <c r="D4067" s="31"/>
      <c r="E4067" s="74"/>
      <c r="F4067" s="46" t="s">
        <v>1348</v>
      </c>
      <c r="G4067" s="74"/>
      <c r="H4067" s="98" t="str">
        <f>HYPERLINK("http://mirror.ff7data.com.ar/ff7/data/wm/world_us.lgp/swp2.tex.png","View Picture")</f>
        <v>View Picture</v>
      </c>
      <c r="K4067" s="43"/>
    </row>
    <row r="4068">
      <c r="A4068" s="55"/>
      <c r="B4068" s="33" t="s">
        <v>35321</v>
      </c>
      <c r="C4068" s="42">
        <v>1324.0</v>
      </c>
      <c r="D4068" s="31"/>
      <c r="E4068" s="74"/>
      <c r="F4068" s="46" t="s">
        <v>1348</v>
      </c>
      <c r="G4068" s="74"/>
      <c r="H4068" s="98" t="str">
        <f>HYPERLINK("http://mirror.ff7data.com.ar/ff7/data/wm/world_us.lgp/swp3.tex.png","View Picture")</f>
        <v>View Picture</v>
      </c>
      <c r="K4068" s="43"/>
    </row>
    <row r="4069">
      <c r="A4069" s="55"/>
      <c r="B4069" s="33" t="s">
        <v>35324</v>
      </c>
      <c r="C4069" s="42">
        <v>1324.0</v>
      </c>
      <c r="D4069" s="31"/>
      <c r="E4069" s="74"/>
      <c r="F4069" s="46" t="s">
        <v>1348</v>
      </c>
      <c r="G4069" s="74"/>
      <c r="H4069" s="98" t="str">
        <f>HYPERLINK("http://mirror.ff7data.com.ar/ff7/data/wm/world_us.lgp/swp4.tex.png","View Picture")</f>
        <v>View Picture</v>
      </c>
      <c r="K4069" s="43"/>
    </row>
    <row r="4070">
      <c r="A4070" s="40"/>
      <c r="B4070" s="33" t="s">
        <v>35327</v>
      </c>
      <c r="C4070" s="42">
        <v>4396.0</v>
      </c>
      <c r="D4070" s="33" t="s">
        <v>35328</v>
      </c>
      <c r="E4070" s="74"/>
      <c r="F4070" s="46" t="s">
        <v>1348</v>
      </c>
      <c r="G4070" s="46" t="s">
        <v>35329</v>
      </c>
      <c r="H4070" s="98" t="str">
        <f>HYPERLINK("http://mirror.ff7data.com.ar/ff7/data/wm/world_us.lgp/trk.tex.png","View Picture")</f>
        <v>View Picture</v>
      </c>
      <c r="K4070" s="43"/>
    </row>
    <row r="4071">
      <c r="A4071" s="40"/>
      <c r="B4071" s="33" t="s">
        <v>35332</v>
      </c>
      <c r="C4071" s="42">
        <v>16684.0</v>
      </c>
      <c r="D4071" s="33" t="s">
        <v>35333</v>
      </c>
      <c r="E4071" s="74"/>
      <c r="F4071" s="46" t="s">
        <v>1348</v>
      </c>
      <c r="G4071" s="46" t="s">
        <v>35334</v>
      </c>
      <c r="H4071" s="98" t="str">
        <f>HYPERLINK("http://mirror.ff7data.com.ar/ff7/data/wm/world_us.lgp/tyo_f.tex.png","View Picture")</f>
        <v>View Picture</v>
      </c>
      <c r="K4071" s="43"/>
    </row>
    <row r="4072">
      <c r="A4072" s="55"/>
      <c r="B4072" s="33" t="s">
        <v>35337</v>
      </c>
      <c r="C4072" s="42">
        <v>8492.0</v>
      </c>
      <c r="D4072" s="31"/>
      <c r="E4072" s="74"/>
      <c r="F4072" s="46" t="s">
        <v>1348</v>
      </c>
      <c r="G4072" s="75"/>
      <c r="H4072" s="98" t="str">
        <f>HYPERLINK("http://mirror.ff7data.com.ar/ff7/data/wm/world_us.lgp/tyosnw.tex.png","View Picture")</f>
        <v>View Picture</v>
      </c>
      <c r="K4072" s="43"/>
    </row>
    <row r="4073">
      <c r="A4073" s="55"/>
      <c r="B4073" s="33" t="s">
        <v>35339</v>
      </c>
      <c r="C4073" s="42">
        <v>1324.0</v>
      </c>
      <c r="D4073" s="31"/>
      <c r="E4073" s="74"/>
      <c r="F4073" s="46" t="s">
        <v>1348</v>
      </c>
      <c r="G4073" s="75"/>
      <c r="H4073" s="98" t="str">
        <f>HYPERLINK("http://mirror.ff7data.com.ar/ff7/data/wm/world_us.lgp/uf1.tex.png","View Picture")</f>
        <v>View Picture</v>
      </c>
      <c r="K4073" s="43"/>
    </row>
    <row r="4074">
      <c r="A4074" s="55"/>
      <c r="B4074" s="33" t="s">
        <v>35342</v>
      </c>
      <c r="C4074" s="42">
        <v>1324.0</v>
      </c>
      <c r="D4074" s="31"/>
      <c r="E4074" s="74"/>
      <c r="F4074" s="46" t="s">
        <v>1348</v>
      </c>
      <c r="G4074" s="75"/>
      <c r="H4074" s="98" t="str">
        <f>HYPERLINK("http://mirror.ff7data.com.ar/ff7/data/wm/world_us.lgp/uf2.tex.png","View Picture")</f>
        <v>View Picture</v>
      </c>
      <c r="K4074" s="43"/>
    </row>
    <row r="4075">
      <c r="A4075" s="55"/>
      <c r="B4075" s="33" t="s">
        <v>35345</v>
      </c>
      <c r="C4075" s="42">
        <v>1324.0</v>
      </c>
      <c r="D4075" s="31"/>
      <c r="E4075" s="74"/>
      <c r="F4075" s="46" t="s">
        <v>1348</v>
      </c>
      <c r="G4075" s="75"/>
      <c r="H4075" s="98" t="str">
        <f>HYPERLINK("http://mirror.ff7data.com.ar/ff7/data/wm/world_us.lgp/uf3.tex.png","View Picture")</f>
        <v>View Picture</v>
      </c>
      <c r="K4075" s="43"/>
    </row>
    <row r="4076">
      <c r="A4076" s="55"/>
      <c r="B4076" s="33" t="s">
        <v>35347</v>
      </c>
      <c r="C4076" s="42">
        <v>1324.0</v>
      </c>
      <c r="D4076" s="31"/>
      <c r="E4076" s="74"/>
      <c r="F4076" s="46" t="s">
        <v>1348</v>
      </c>
      <c r="G4076" s="75"/>
      <c r="H4076" s="98" t="str">
        <f>HYPERLINK("http://mirror.ff7data.com.ar/ff7/data/wm/world_us.lgp/uf4.tex.png","View Picture")</f>
        <v>View Picture</v>
      </c>
      <c r="K4076" s="43"/>
    </row>
    <row r="4077">
      <c r="A4077" s="82"/>
      <c r="B4077" s="33" t="s">
        <v>35350</v>
      </c>
      <c r="C4077" s="42">
        <v>4396.0</v>
      </c>
      <c r="D4077" s="33" t="s">
        <v>35351</v>
      </c>
      <c r="E4077" s="74"/>
      <c r="F4077" s="46" t="s">
        <v>1348</v>
      </c>
      <c r="G4077" s="46" t="s">
        <v>35352</v>
      </c>
      <c r="H4077" s="98" t="str">
        <f>HYPERLINK("http://mirror.ff7data.com.ar/ff7/data/wm/world_us.lgp/utai_gro.tex.png","View Picture")</f>
        <v>View Picture</v>
      </c>
      <c r="K4077" s="43"/>
    </row>
    <row r="4078">
      <c r="A4078" s="82"/>
      <c r="B4078" s="33" t="s">
        <v>35355</v>
      </c>
      <c r="C4078" s="42">
        <v>1324.0</v>
      </c>
      <c r="D4078" s="33" t="s">
        <v>35356</v>
      </c>
      <c r="E4078" s="74"/>
      <c r="F4078" s="46" t="s">
        <v>1348</v>
      </c>
      <c r="G4078" s="75"/>
      <c r="H4078" s="98" t="str">
        <f>HYPERLINK("http://mirror.ff7data.com.ar/ff7/data/wm/world_us.lgp/utai01.tex.png","View Picture")</f>
        <v>View Picture</v>
      </c>
      <c r="K4078" s="43"/>
    </row>
    <row r="4079">
      <c r="A4079" s="82"/>
      <c r="B4079" s="33" t="s">
        <v>35359</v>
      </c>
      <c r="C4079" s="42">
        <v>1324.0</v>
      </c>
      <c r="D4079" s="33" t="s">
        <v>35360</v>
      </c>
      <c r="E4079" s="74"/>
      <c r="F4079" s="46" t="s">
        <v>1348</v>
      </c>
      <c r="G4079" s="75"/>
      <c r="H4079" s="98" t="str">
        <f>HYPERLINK("http://mirror.ff7data.com.ar/ff7/data/wm/world_us.lgp/utai02.tex.png","View Picture")</f>
        <v>View Picture</v>
      </c>
      <c r="K4079" s="43"/>
    </row>
    <row r="4080">
      <c r="A4080" s="82"/>
      <c r="B4080" s="33" t="s">
        <v>35362</v>
      </c>
      <c r="C4080" s="42">
        <v>1324.0</v>
      </c>
      <c r="D4080" s="33" t="s">
        <v>35363</v>
      </c>
      <c r="E4080" s="74"/>
      <c r="F4080" s="46" t="s">
        <v>1348</v>
      </c>
      <c r="G4080" s="75"/>
      <c r="H4080" s="98" t="str">
        <f>HYPERLINK("http://mirror.ff7data.com.ar/ff7/data/wm/world_us.lgp/utaimt.tex.png","View Picture")</f>
        <v>View Picture</v>
      </c>
      <c r="K4080" s="43"/>
    </row>
    <row r="4081">
      <c r="A4081" s="82"/>
      <c r="B4081" s="33" t="s">
        <v>35366</v>
      </c>
      <c r="C4081" s="42">
        <v>1324.0</v>
      </c>
      <c r="D4081" s="33" t="s">
        <v>35367</v>
      </c>
      <c r="E4081" s="74"/>
      <c r="F4081" s="46" t="s">
        <v>1348</v>
      </c>
      <c r="G4081" s="75"/>
      <c r="H4081" s="98" t="str">
        <f>HYPERLINK("http://mirror.ff7data.com.ar/ff7/data/wm/world_us.lgp/utaimtd.tex.png","View Picture")</f>
        <v>View Picture</v>
      </c>
      <c r="K4081" s="43"/>
    </row>
    <row r="4082">
      <c r="A4082" s="82"/>
      <c r="B4082" s="33" t="s">
        <v>35369</v>
      </c>
      <c r="C4082" s="42">
        <v>1324.0</v>
      </c>
      <c r="D4082" s="33" t="s">
        <v>35371</v>
      </c>
      <c r="E4082" s="74"/>
      <c r="F4082" s="46" t="s">
        <v>1348</v>
      </c>
      <c r="G4082" s="75"/>
      <c r="H4082" s="98" t="str">
        <f>HYPERLINK("http://mirror.ff7data.com.ar/ff7/data/wm/world_us.lgp/utaimtg.tex.png","View Picture")</f>
        <v>View Picture</v>
      </c>
      <c r="K4082" s="43"/>
    </row>
    <row r="4083">
      <c r="A4083" s="82"/>
      <c r="B4083" s="33" t="s">
        <v>35374</v>
      </c>
      <c r="C4083" s="42">
        <v>1324.0</v>
      </c>
      <c r="D4083" s="33" t="s">
        <v>35376</v>
      </c>
      <c r="E4083" s="74"/>
      <c r="F4083" s="46" t="s">
        <v>1348</v>
      </c>
      <c r="G4083" s="75"/>
      <c r="H4083" s="98" t="str">
        <f>HYPERLINK("http://mirror.ff7data.com.ar/ff7/data/wm/world_us.lgp/wa1.tex.png","View Picture")</f>
        <v>View Picture</v>
      </c>
      <c r="K4083" s="43"/>
    </row>
    <row r="4084">
      <c r="A4084" s="82"/>
      <c r="B4084" s="33" t="s">
        <v>35381</v>
      </c>
      <c r="C4084" s="42">
        <v>1324.0</v>
      </c>
      <c r="D4084" s="33" t="s">
        <v>35382</v>
      </c>
      <c r="E4084" s="74"/>
      <c r="F4084" s="46" t="s">
        <v>1348</v>
      </c>
      <c r="G4084" s="75"/>
      <c r="H4084" s="98" t="str">
        <f>HYPERLINK("http://mirror.ff7data.com.ar/ff7/data/wm/world_us.lgp/wa2.tex.png","View Picture")</f>
        <v>View Picture</v>
      </c>
      <c r="K4084" s="43"/>
    </row>
    <row r="4085">
      <c r="A4085" s="82"/>
      <c r="B4085" s="33" t="s">
        <v>35384</v>
      </c>
      <c r="C4085" s="42">
        <v>1324.0</v>
      </c>
      <c r="D4085" s="33" t="s">
        <v>35385</v>
      </c>
      <c r="E4085" s="74"/>
      <c r="F4085" s="46" t="s">
        <v>1348</v>
      </c>
      <c r="G4085" s="75"/>
      <c r="H4085" s="98" t="str">
        <f>HYPERLINK("http://mirror.ff7data.com.ar/ff7/data/wm/world_us.lgp/wa3.tex.png","View Picture")</f>
        <v>View Picture</v>
      </c>
      <c r="K4085" s="43"/>
    </row>
    <row r="4086">
      <c r="A4086" s="82"/>
      <c r="B4086" s="33" t="s">
        <v>35386</v>
      </c>
      <c r="C4086" s="42">
        <v>1324.0</v>
      </c>
      <c r="D4086" s="33" t="s">
        <v>35388</v>
      </c>
      <c r="E4086" s="74"/>
      <c r="F4086" s="46" t="s">
        <v>1348</v>
      </c>
      <c r="G4086" s="75"/>
      <c r="H4086" s="98" t="str">
        <f>HYPERLINK("http://mirror.ff7data.com.ar/ff7/data/wm/world_us.lgp/wa4.tex.png","View Picture")</f>
        <v>View Picture</v>
      </c>
      <c r="K4086" s="43"/>
    </row>
    <row r="4087">
      <c r="A4087" s="82"/>
      <c r="B4087" s="33" t="s">
        <v>35390</v>
      </c>
      <c r="C4087" s="42">
        <v>1324.0</v>
      </c>
      <c r="D4087" s="33" t="s">
        <v>35391</v>
      </c>
      <c r="E4087" s="74"/>
      <c r="F4087" s="46" t="s">
        <v>1348</v>
      </c>
      <c r="G4087" s="75"/>
      <c r="H4087" s="98" t="str">
        <f>HYPERLINK("http://mirror.ff7data.com.ar/ff7/data/wm/world_us.lgp/wa5.tex.png","View Picture")</f>
        <v>View Picture</v>
      </c>
      <c r="K4087" s="43"/>
    </row>
    <row r="4088">
      <c r="A4088" s="82"/>
      <c r="B4088" s="33" t="s">
        <v>35393</v>
      </c>
      <c r="C4088" s="42">
        <v>1324.0</v>
      </c>
      <c r="D4088" s="33" t="s">
        <v>35395</v>
      </c>
      <c r="E4088" s="74"/>
      <c r="F4088" s="46" t="s">
        <v>1348</v>
      </c>
      <c r="G4088" s="75"/>
      <c r="H4088" s="98" t="str">
        <f>HYPERLINK("http://mirror.ff7data.com.ar/ff7/data/wm/world_us.lgp/wa6.tex.png","View Picture")</f>
        <v>View Picture</v>
      </c>
      <c r="K4088" s="43"/>
    </row>
    <row r="4089">
      <c r="A4089" s="82"/>
      <c r="B4089" s="33" t="s">
        <v>35397</v>
      </c>
      <c r="C4089" s="42">
        <v>1324.0</v>
      </c>
      <c r="D4089" s="33" t="s">
        <v>35398</v>
      </c>
      <c r="E4089" s="74"/>
      <c r="F4089" s="46" t="s">
        <v>1348</v>
      </c>
      <c r="G4089" s="75"/>
      <c r="H4089" s="98" t="str">
        <f>HYPERLINK("http://mirror.ff7data.com.ar/ff7/data/wm/world_us.lgp/wa7.tex.png","View Picture")</f>
        <v>View Picture</v>
      </c>
      <c r="K4089" s="43"/>
    </row>
    <row r="4090">
      <c r="A4090" s="82"/>
      <c r="B4090" s="33" t="s">
        <v>35401</v>
      </c>
      <c r="C4090" s="42">
        <v>1324.0</v>
      </c>
      <c r="D4090" s="33" t="s">
        <v>35402</v>
      </c>
      <c r="E4090" s="74"/>
      <c r="F4090" s="46" t="s">
        <v>1348</v>
      </c>
      <c r="G4090" s="75"/>
      <c r="H4090" s="98" t="str">
        <f>HYPERLINK("http://mirror.ff7data.com.ar/ff7/data/wm/world_us.lgp/wa8.tex.png","View Picture")</f>
        <v>View Picture</v>
      </c>
      <c r="K4090" s="43"/>
    </row>
    <row r="4091">
      <c r="A4091" s="40"/>
      <c r="B4091" s="33" t="s">
        <v>35405</v>
      </c>
      <c r="C4091" s="42">
        <v>16684.0</v>
      </c>
      <c r="D4091" s="33" t="s">
        <v>35406</v>
      </c>
      <c r="E4091" s="74"/>
      <c r="F4091" s="46" t="s">
        <v>1348</v>
      </c>
      <c r="G4091" s="46" t="s">
        <v>35407</v>
      </c>
      <c r="H4091" s="98" t="str">
        <f>HYPERLINK("http://mirror.ff7data.com.ar/ff7/data/wm/world_us.lgp/was.tex.png","View Picture")</f>
        <v>View Picture</v>
      </c>
      <c r="K4091" s="43"/>
    </row>
    <row r="4092">
      <c r="A4092" s="82"/>
      <c r="B4092" s="33" t="s">
        <v>35409</v>
      </c>
      <c r="C4092" s="42">
        <v>2348.0</v>
      </c>
      <c r="D4092" s="33" t="s">
        <v>35411</v>
      </c>
      <c r="E4092" s="74"/>
      <c r="F4092" s="46" t="s">
        <v>1348</v>
      </c>
      <c r="G4092" s="75"/>
      <c r="H4092" s="98" t="str">
        <f>HYPERLINK("http://mirror.ff7data.com.ar/ff7/data/wm/world_us.lgp/was_d.tex.png","View Picture")</f>
        <v>View Picture</v>
      </c>
      <c r="K4092" s="43"/>
    </row>
    <row r="4093">
      <c r="A4093" s="82"/>
      <c r="B4093" s="33" t="s">
        <v>35413</v>
      </c>
      <c r="C4093" s="42">
        <v>4396.0</v>
      </c>
      <c r="D4093" s="33" t="s">
        <v>35414</v>
      </c>
      <c r="E4093" s="74"/>
      <c r="F4093" s="46" t="s">
        <v>1348</v>
      </c>
      <c r="G4093" s="75"/>
      <c r="H4093" s="98" t="str">
        <f>HYPERLINK("http://mirror.ff7data.com.ar/ff7/data/wm/world_us.lgp/was_g.tex.png","View Picture")</f>
        <v>View Picture</v>
      </c>
      <c r="K4093" s="43"/>
    </row>
    <row r="4094">
      <c r="A4094" s="82"/>
      <c r="B4094" s="33" t="s">
        <v>35415</v>
      </c>
      <c r="C4094" s="42">
        <v>4396.0</v>
      </c>
      <c r="D4094" s="33" t="s">
        <v>35416</v>
      </c>
      <c r="E4094" s="74"/>
      <c r="F4094" s="46" t="s">
        <v>1348</v>
      </c>
      <c r="G4094" s="75"/>
      <c r="H4094" s="98" t="str">
        <f>HYPERLINK("http://mirror.ff7data.com.ar/ff7/data/wm/world_us.lgp/was_gs.tex.png","View Picture")</f>
        <v>View Picture</v>
      </c>
      <c r="K4094" s="43"/>
    </row>
    <row r="4095">
      <c r="A4095" s="82"/>
      <c r="B4095" s="33" t="s">
        <v>35418</v>
      </c>
      <c r="C4095" s="42">
        <v>16684.0</v>
      </c>
      <c r="D4095" s="33" t="s">
        <v>35419</v>
      </c>
      <c r="E4095" s="74"/>
      <c r="F4095" s="46" t="s">
        <v>1348</v>
      </c>
      <c r="G4095" s="75"/>
      <c r="H4095" s="98" t="str">
        <f>HYPERLINK("http://mirror.ff7data.com.ar/ff7/data/wm/world_us.lgp/was_s.tex.png","View Picture")</f>
        <v>View Picture</v>
      </c>
      <c r="K4095" s="43"/>
    </row>
    <row r="4096">
      <c r="A4096" s="40"/>
      <c r="B4096" s="33" t="s">
        <v>35422</v>
      </c>
      <c r="C4096" s="42">
        <v>4396.0</v>
      </c>
      <c r="D4096" s="33" t="s">
        <v>35423</v>
      </c>
      <c r="E4096" s="74"/>
      <c r="F4096" s="46" t="s">
        <v>1348</v>
      </c>
      <c r="G4096" s="46" t="s">
        <v>35425</v>
      </c>
      <c r="H4096" s="98" t="str">
        <f>HYPERLINK("http://mirror.ff7data.com.ar/ff7/data/wm/world_us.lgp/wasfld.tex.png","View Picture")</f>
        <v>View Picture</v>
      </c>
      <c r="K4096" s="43"/>
    </row>
    <row r="4097">
      <c r="A4097" s="40"/>
      <c r="B4097" s="33" t="s">
        <v>35426</v>
      </c>
      <c r="C4097" s="42">
        <v>4396.0</v>
      </c>
      <c r="D4097" s="33" t="s">
        <v>35428</v>
      </c>
      <c r="E4097" s="74"/>
      <c r="F4097" s="46" t="s">
        <v>1348</v>
      </c>
      <c r="G4097" s="46" t="s">
        <v>35430</v>
      </c>
      <c r="H4097" s="98" t="str">
        <f>HYPERLINK("http://mirror.ff7data.com.ar/ff7/data/wm/world_us.lgp/wdedge.tex.png","View Picture")</f>
        <v>View Picture</v>
      </c>
      <c r="K4097" s="43"/>
    </row>
    <row r="4098">
      <c r="A4098" s="82"/>
      <c r="B4098" s="33" t="s">
        <v>35432</v>
      </c>
      <c r="C4098" s="42">
        <v>1324.0</v>
      </c>
      <c r="D4098" s="33" t="s">
        <v>35433</v>
      </c>
      <c r="E4098" s="74"/>
      <c r="F4098" s="46" t="s">
        <v>1348</v>
      </c>
      <c r="G4098" s="74"/>
      <c r="H4098" s="98" t="str">
        <f>HYPERLINK("http://mirror.ff7data.com.ar/ff7/data/wm/world_us.lgp/we_s1.tex.png","View Picture")</f>
        <v>View Picture</v>
      </c>
      <c r="K4098" s="43"/>
    </row>
    <row r="4099">
      <c r="A4099" s="82"/>
      <c r="B4099" s="33" t="s">
        <v>35434</v>
      </c>
      <c r="C4099" s="42">
        <v>1324.0</v>
      </c>
      <c r="D4099" s="33" t="s">
        <v>35435</v>
      </c>
      <c r="E4099" s="74"/>
      <c r="F4099" s="46" t="s">
        <v>1348</v>
      </c>
      <c r="G4099" s="74"/>
      <c r="H4099" s="98" t="str">
        <f>HYPERLINK("http://mirror.ff7data.com.ar/ff7/data/wm/world_us.lgp/we_s2.tex.png","View Picture")</f>
        <v>View Picture</v>
      </c>
      <c r="K4099" s="43"/>
    </row>
    <row r="4100">
      <c r="A4100" s="82"/>
      <c r="B4100" s="33" t="s">
        <v>35436</v>
      </c>
      <c r="C4100" s="42">
        <v>1324.0</v>
      </c>
      <c r="D4100" s="33" t="s">
        <v>35437</v>
      </c>
      <c r="E4100" s="74"/>
      <c r="F4100" s="46" t="s">
        <v>1348</v>
      </c>
      <c r="G4100" s="74"/>
      <c r="H4100" s="98" t="str">
        <f>HYPERLINK("http://mirror.ff7data.com.ar/ff7/data/wm/world_us.lgp/we_s3.tex.png","View Picture")</f>
        <v>View Picture</v>
      </c>
      <c r="K4100" s="43"/>
    </row>
    <row r="4101">
      <c r="A4101" s="82"/>
      <c r="B4101" s="33" t="s">
        <v>35439</v>
      </c>
      <c r="C4101" s="42">
        <v>1324.0</v>
      </c>
      <c r="D4101" s="33" t="s">
        <v>35440</v>
      </c>
      <c r="E4101" s="74"/>
      <c r="F4101" s="46" t="s">
        <v>1348</v>
      </c>
      <c r="G4101" s="74"/>
      <c r="H4101" s="98" t="str">
        <f>HYPERLINK("http://mirror.ff7data.com.ar/ff7/data/wm/world_us.lgp/we_s4.tex.png","View Picture")</f>
        <v>View Picture</v>
      </c>
      <c r="K4101" s="43"/>
    </row>
    <row r="4102">
      <c r="A4102" s="82"/>
      <c r="B4102" s="33" t="s">
        <v>35441</v>
      </c>
      <c r="C4102" s="42">
        <v>1324.0</v>
      </c>
      <c r="D4102" s="33" t="s">
        <v>35443</v>
      </c>
      <c r="E4102" s="74"/>
      <c r="F4102" s="46" t="s">
        <v>1348</v>
      </c>
      <c r="G4102" s="74"/>
      <c r="H4102" s="98" t="str">
        <f>HYPERLINK("http://mirror.ff7data.com.ar/ff7/data/wm/world_us.lgp/we_s5.tex.png","View Picture")</f>
        <v>View Picture</v>
      </c>
      <c r="K4102" s="43"/>
    </row>
    <row r="4103">
      <c r="A4103" s="82"/>
      <c r="B4103" s="33" t="s">
        <v>35444</v>
      </c>
      <c r="C4103" s="42">
        <v>1324.0</v>
      </c>
      <c r="D4103" s="33" t="s">
        <v>35445</v>
      </c>
      <c r="E4103" s="74"/>
      <c r="F4103" s="46" t="s">
        <v>1348</v>
      </c>
      <c r="G4103" s="74"/>
      <c r="H4103" s="98" t="str">
        <f>HYPERLINK("http://mirror.ff7data.com.ar/ff7/data/wm/world_us.lgp/we_s6.tex.png","View Picture")</f>
        <v>View Picture</v>
      </c>
      <c r="K4103" s="43"/>
    </row>
    <row r="4104">
      <c r="A4104" s="82"/>
      <c r="B4104" s="33" t="s">
        <v>35446</v>
      </c>
      <c r="C4104" s="42">
        <v>1324.0</v>
      </c>
      <c r="D4104" s="33" t="s">
        <v>35447</v>
      </c>
      <c r="E4104" s="74"/>
      <c r="F4104" s="46" t="s">
        <v>1348</v>
      </c>
      <c r="G4104" s="74"/>
      <c r="H4104" s="98" t="str">
        <f>HYPERLINK("http://mirror.ff7data.com.ar/ff7/data/wm/world_us.lgp/we_s7.tex.png","View Picture")</f>
        <v>View Picture</v>
      </c>
      <c r="K4104" s="43"/>
    </row>
    <row r="4105">
      <c r="A4105" s="82"/>
      <c r="B4105" s="33" t="s">
        <v>35449</v>
      </c>
      <c r="C4105" s="42">
        <v>1324.0</v>
      </c>
      <c r="D4105" s="33" t="s">
        <v>35450</v>
      </c>
      <c r="E4105" s="74"/>
      <c r="F4105" s="46" t="s">
        <v>1348</v>
      </c>
      <c r="G4105" s="75"/>
      <c r="H4105" s="98" t="str">
        <f>HYPERLINK("http://mirror.ff7data.com.ar/ff7/data/wm/world_us.lgp/we_s8.tex.png","View Picture")</f>
        <v>View Picture</v>
      </c>
      <c r="K4105" s="43"/>
    </row>
    <row r="4106">
      <c r="A4106" s="82"/>
      <c r="B4106" s="33" t="s">
        <v>35452</v>
      </c>
      <c r="C4106" s="42">
        <v>1324.0</v>
      </c>
      <c r="D4106" s="33" t="s">
        <v>35453</v>
      </c>
      <c r="E4106" s="74"/>
      <c r="F4106" s="46" t="s">
        <v>1348</v>
      </c>
      <c r="G4106" s="75"/>
      <c r="H4106" s="98" t="str">
        <f>HYPERLINK("http://mirror.ff7data.com.ar/ff7/data/wm/world_us.lgp/we1.tex.png","View Picture")</f>
        <v>View Picture</v>
      </c>
      <c r="K4106" s="43"/>
    </row>
    <row r="4107">
      <c r="A4107" s="82"/>
      <c r="B4107" s="33" t="s">
        <v>35455</v>
      </c>
      <c r="C4107" s="42">
        <v>1324.0</v>
      </c>
      <c r="D4107" s="33" t="s">
        <v>35456</v>
      </c>
      <c r="E4107" s="74"/>
      <c r="F4107" s="46" t="s">
        <v>1348</v>
      </c>
      <c r="G4107" s="74"/>
      <c r="H4107" s="98" t="str">
        <f>HYPERLINK("http://mirror.ff7data.com.ar/ff7/data/wm/world_us.lgp/we2.tex.png","View Picture")</f>
        <v>View Picture</v>
      </c>
      <c r="K4107" s="43"/>
    </row>
    <row r="4108">
      <c r="A4108" s="82"/>
      <c r="B4108" s="33" t="s">
        <v>35458</v>
      </c>
      <c r="C4108" s="42">
        <v>1324.0</v>
      </c>
      <c r="D4108" s="33" t="s">
        <v>35459</v>
      </c>
      <c r="E4108" s="74"/>
      <c r="F4108" s="46" t="s">
        <v>1348</v>
      </c>
      <c r="G4108" s="74"/>
      <c r="H4108" s="98" t="str">
        <f>HYPERLINK("http://mirror.ff7data.com.ar/ff7/data/wm/world_us.lgp/we3.tex.png","View Picture")</f>
        <v>View Picture</v>
      </c>
      <c r="K4108" s="43"/>
    </row>
    <row r="4109">
      <c r="A4109" s="82"/>
      <c r="B4109" s="33" t="s">
        <v>35461</v>
      </c>
      <c r="C4109" s="42">
        <v>1324.0</v>
      </c>
      <c r="D4109" s="33" t="s">
        <v>35462</v>
      </c>
      <c r="E4109" s="74"/>
      <c r="F4109" s="46" t="s">
        <v>1348</v>
      </c>
      <c r="G4109" s="74"/>
      <c r="H4109" s="98" t="str">
        <f>HYPERLINK("http://mirror.ff7data.com.ar/ff7/data/wm/world_us.lgp/we4.tex.png","View Picture")</f>
        <v>View Picture</v>
      </c>
      <c r="K4109" s="43"/>
    </row>
    <row r="4110">
      <c r="A4110" s="82"/>
      <c r="B4110" s="33" t="s">
        <v>35464</v>
      </c>
      <c r="C4110" s="42">
        <v>1324.0</v>
      </c>
      <c r="D4110" s="33" t="s">
        <v>35465</v>
      </c>
      <c r="E4110" s="74"/>
      <c r="F4110" s="46" t="s">
        <v>1348</v>
      </c>
      <c r="G4110" s="74"/>
      <c r="H4110" s="98" t="str">
        <f>HYPERLINK("http://mirror.ff7data.com.ar/ff7/data/wm/world_us.lgp/we5.tex.png","View Picture")</f>
        <v>View Picture</v>
      </c>
      <c r="K4110" s="43"/>
    </row>
    <row r="4111">
      <c r="A4111" s="82"/>
      <c r="B4111" s="33" t="s">
        <v>35467</v>
      </c>
      <c r="C4111" s="42">
        <v>1324.0</v>
      </c>
      <c r="D4111" s="33" t="s">
        <v>35468</v>
      </c>
      <c r="E4111" s="74"/>
      <c r="F4111" s="46" t="s">
        <v>1348</v>
      </c>
      <c r="G4111" s="74"/>
      <c r="H4111" s="98" t="str">
        <f>HYPERLINK("http://mirror.ff7data.com.ar/ff7/data/wm/world_us.lgp/we6.tex.png","View Picture")</f>
        <v>View Picture</v>
      </c>
      <c r="K4111" s="43"/>
    </row>
    <row r="4112">
      <c r="A4112" s="82"/>
      <c r="B4112" s="33" t="s">
        <v>35470</v>
      </c>
      <c r="C4112" s="42">
        <v>1324.0</v>
      </c>
      <c r="D4112" s="33" t="s">
        <v>35471</v>
      </c>
      <c r="E4112" s="74"/>
      <c r="F4112" s="46" t="s">
        <v>1348</v>
      </c>
      <c r="G4112" s="74"/>
      <c r="H4112" s="98" t="str">
        <f>HYPERLINK("http://mirror.ff7data.com.ar/ff7/data/wm/world_us.lgp/we7.tex.png","View Picture")</f>
        <v>View Picture</v>
      </c>
      <c r="K4112" s="43"/>
    </row>
    <row r="4113">
      <c r="A4113" s="82"/>
      <c r="B4113" s="33" t="s">
        <v>35473</v>
      </c>
      <c r="C4113" s="42">
        <v>1324.0</v>
      </c>
      <c r="D4113" s="33" t="s">
        <v>35474</v>
      </c>
      <c r="E4113" s="74"/>
      <c r="F4113" s="46" t="s">
        <v>1348</v>
      </c>
      <c r="G4113" s="74"/>
      <c r="H4113" s="98" t="str">
        <f>HYPERLINK("http://mirror.ff7data.com.ar/ff7/data/wm/world_us.lgp/we8.tex.png","View Picture")</f>
        <v>View Picture</v>
      </c>
      <c r="K4113" s="43"/>
    </row>
    <row r="4114">
      <c r="A4114" s="40"/>
      <c r="B4114" s="33" t="s">
        <v>35476</v>
      </c>
      <c r="C4114" s="42">
        <v>2348.0</v>
      </c>
      <c r="D4114" s="33" t="s">
        <v>35428</v>
      </c>
      <c r="E4114" s="74"/>
      <c r="F4114" s="46" t="s">
        <v>1348</v>
      </c>
      <c r="G4114" s="46" t="s">
        <v>35430</v>
      </c>
      <c r="H4114" s="98" t="str">
        <f>HYPERLINK("http://mirror.ff7data.com.ar/ff7/data/wm/world_us.lgp/wedged.tex.png","View Picture")</f>
        <v>View Picture</v>
      </c>
      <c r="K4114" s="43"/>
    </row>
    <row r="4115">
      <c r="A4115" s="55"/>
      <c r="B4115" s="165" t="s">
        <v>35478</v>
      </c>
      <c r="C4115" s="42">
        <v>57344.0</v>
      </c>
      <c r="D4115" s="31"/>
      <c r="E4115" s="74"/>
      <c r="F4115" s="75"/>
      <c r="G4115" s="75"/>
      <c r="H4115" s="74"/>
      <c r="K4115" s="43"/>
    </row>
    <row r="4116">
      <c r="A4116" s="40"/>
      <c r="B4116" s="33" t="s">
        <v>35485</v>
      </c>
      <c r="C4116" s="42">
        <v>16684.0</v>
      </c>
      <c r="D4116" s="33" t="s">
        <v>35486</v>
      </c>
      <c r="E4116" s="74"/>
      <c r="F4116" s="46" t="s">
        <v>1348</v>
      </c>
      <c r="G4116" s="46" t="s">
        <v>35487</v>
      </c>
      <c r="H4116" s="98" t="str">
        <f>HYPERLINK("http://mirror.ff7data.com.ar/ff7/data/wm/world_us.lgp/wm_kumo.tex.png","View Picture")</f>
        <v>View Picture</v>
      </c>
      <c r="K4116" s="43"/>
    </row>
    <row r="4117">
      <c r="A4117" s="55"/>
      <c r="B4117" s="165" t="s">
        <v>35490</v>
      </c>
      <c r="C4117" s="42">
        <v>28672.0</v>
      </c>
      <c r="D4117" s="31"/>
      <c r="E4117" s="74"/>
      <c r="F4117" s="75"/>
      <c r="G4117" s="75"/>
      <c r="H4117" s="74"/>
      <c r="K4117" s="43"/>
    </row>
    <row r="4118">
      <c r="A4118" s="55"/>
      <c r="B4118" s="165" t="s">
        <v>35493</v>
      </c>
      <c r="C4118" s="42">
        <v>28672.0</v>
      </c>
      <c r="D4118" s="31"/>
      <c r="E4118" s="74"/>
      <c r="F4118" s="75"/>
      <c r="G4118" s="75"/>
      <c r="H4118" s="74"/>
      <c r="K4118" s="43"/>
    </row>
    <row r="4119">
      <c r="A4119" s="55"/>
      <c r="B4119" s="165" t="s">
        <v>35495</v>
      </c>
      <c r="C4119" s="42">
        <v>28672.0</v>
      </c>
      <c r="D4119" s="31"/>
      <c r="E4119" s="74"/>
      <c r="F4119" s="75"/>
      <c r="G4119" s="75"/>
      <c r="H4119" s="74"/>
      <c r="K4119" s="43"/>
    </row>
    <row r="4120">
      <c r="A4120" s="40"/>
      <c r="B4120" s="33" t="s">
        <v>35497</v>
      </c>
      <c r="C4120" s="42">
        <v>1324.0</v>
      </c>
      <c r="D4120" s="33" t="s">
        <v>35498</v>
      </c>
      <c r="E4120" s="74"/>
      <c r="F4120" s="46" t="s">
        <v>1348</v>
      </c>
      <c r="G4120" s="46" t="s">
        <v>35499</v>
      </c>
      <c r="H4120" s="98" t="str">
        <f>HYPERLINK("http://mirror.ff7data.com.ar/ff7/data/wm/world_us.lgp/wod-e2.tex.png","View Picture")</f>
        <v>View Picture</v>
      </c>
      <c r="K4120" s="43"/>
    </row>
    <row r="4121">
      <c r="A4121" s="40"/>
      <c r="B4121" s="33" t="s">
        <v>35501</v>
      </c>
      <c r="C4121" s="42">
        <v>4396.0</v>
      </c>
      <c r="D4121" s="33" t="s">
        <v>35502</v>
      </c>
      <c r="E4121" s="74"/>
      <c r="F4121" s="46" t="s">
        <v>1348</v>
      </c>
      <c r="G4121" s="46" t="s">
        <v>35504</v>
      </c>
      <c r="H4121" s="98" t="str">
        <f>HYPERLINK("http://mirror.ff7data.com.ar/ff7/data/wm/world_us.lgp/wood.tex.png","View Picture")</f>
        <v>View Picture</v>
      </c>
      <c r="K4121" s="43"/>
    </row>
    <row r="4122">
      <c r="A4122" s="40"/>
      <c r="B4122" s="33" t="s">
        <v>35507</v>
      </c>
      <c r="C4122" s="42">
        <v>4396.0</v>
      </c>
      <c r="D4122" s="33" t="s">
        <v>35508</v>
      </c>
      <c r="E4122" s="74"/>
      <c r="F4122" s="46" t="s">
        <v>1348</v>
      </c>
      <c r="G4122" s="46" t="s">
        <v>35509</v>
      </c>
      <c r="H4122" s="98" t="str">
        <f>HYPERLINK("http://mirror.ff7data.com.ar/ff7/data/wm/world_us.lgp/wood_d.tex.png","View Picture")</f>
        <v>View Picture</v>
      </c>
      <c r="K4122" s="43"/>
    </row>
    <row r="4123">
      <c r="A4123" s="82"/>
      <c r="B4123" s="33" t="s">
        <v>35511</v>
      </c>
      <c r="C4123" s="42">
        <v>4396.0</v>
      </c>
      <c r="D4123" s="33" t="s">
        <v>35512</v>
      </c>
      <c r="E4123" s="74"/>
      <c r="F4123" s="46" t="s">
        <v>1348</v>
      </c>
      <c r="G4123" s="74"/>
      <c r="H4123" s="98" t="str">
        <f>HYPERLINK("http://mirror.ff7data.com.ar/ff7/data/wm/world_us.lgp/wpcltr.tex.png","View Picture")</f>
        <v>View Picture</v>
      </c>
      <c r="K4123" s="43"/>
    </row>
    <row r="4124">
      <c r="A4124" s="82"/>
      <c r="B4124" s="33" t="s">
        <v>35517</v>
      </c>
      <c r="C4124" s="42">
        <v>1324.0</v>
      </c>
      <c r="D4124" s="33" t="s">
        <v>35518</v>
      </c>
      <c r="E4124" s="74"/>
      <c r="F4124" s="46" t="s">
        <v>1348</v>
      </c>
      <c r="G4124" s="74"/>
      <c r="H4124" s="98" t="str">
        <f>HYPERLINK("http://mirror.ff7data.com.ar/ff7/data/wm/world_us.lgp/wpcltr2.tex.png","View Picture")</f>
        <v>View Picture</v>
      </c>
      <c r="K4124" s="43"/>
    </row>
    <row r="4125">
      <c r="A4125" s="40"/>
      <c r="B4125" s="33" t="s">
        <v>35521</v>
      </c>
      <c r="C4125" s="42">
        <v>2348.0</v>
      </c>
      <c r="D4125" s="33" t="s">
        <v>35522</v>
      </c>
      <c r="E4125" s="74"/>
      <c r="F4125" s="46" t="s">
        <v>1348</v>
      </c>
      <c r="G4125" s="74"/>
      <c r="H4125" s="98" t="str">
        <f>HYPERLINK("http://mirror.ff7data.com.ar/ff7/data/wm/world_us.lgp/wtrk.tex.png","View Picture")</f>
        <v>View Picture</v>
      </c>
      <c r="K4125" s="43"/>
    </row>
    <row r="4126">
      <c r="A4126" s="82"/>
      <c r="B4126" s="33" t="s">
        <v>35523</v>
      </c>
      <c r="C4126" s="42">
        <v>1324.0</v>
      </c>
      <c r="D4126" s="33" t="s">
        <v>35524</v>
      </c>
      <c r="E4126" s="74"/>
      <c r="F4126" s="46" t="s">
        <v>1348</v>
      </c>
      <c r="G4126" s="74"/>
      <c r="H4126" s="98" t="str">
        <f>HYPERLINK("http://mirror.ff7data.com.ar/ff7/data/wm/world_us.lgp/wzs1.tex.png","View Picture")</f>
        <v>View Picture</v>
      </c>
      <c r="K4126" s="43"/>
    </row>
    <row r="4127">
      <c r="A4127" s="82"/>
      <c r="B4127" s="33" t="s">
        <v>35526</v>
      </c>
      <c r="C4127" s="42">
        <v>1324.0</v>
      </c>
      <c r="D4127" s="33" t="s">
        <v>35527</v>
      </c>
      <c r="E4127" s="74"/>
      <c r="F4127" s="46" t="s">
        <v>1348</v>
      </c>
      <c r="G4127" s="74"/>
      <c r="H4127" s="98" t="str">
        <f>HYPERLINK("http://mirror.ff7data.com.ar/ff7/data/wm/world_us.lgp/wzs2.tex.png","View Picture")</f>
        <v>View Picture</v>
      </c>
      <c r="K4127" s="43"/>
    </row>
    <row r="4128">
      <c r="A4128" s="82"/>
      <c r="B4128" s="33" t="s">
        <v>35529</v>
      </c>
      <c r="C4128" s="42">
        <v>1324.0</v>
      </c>
      <c r="D4128" s="33" t="s">
        <v>35530</v>
      </c>
      <c r="E4128" s="74"/>
      <c r="F4128" s="46" t="s">
        <v>1348</v>
      </c>
      <c r="G4128" s="74"/>
      <c r="H4128" s="98" t="str">
        <f>HYPERLINK("http://mirror.ff7data.com.ar/ff7/data/wm/world_us.lgp/wzs3.tex.png","View Picture")</f>
        <v>View Picture</v>
      </c>
      <c r="K4128" s="43"/>
    </row>
    <row r="4129">
      <c r="A4129" s="82"/>
      <c r="B4129" s="33" t="s">
        <v>35532</v>
      </c>
      <c r="C4129" s="42">
        <v>1324.0</v>
      </c>
      <c r="D4129" s="33" t="s">
        <v>35533</v>
      </c>
      <c r="E4129" s="74"/>
      <c r="F4129" s="46" t="s">
        <v>1348</v>
      </c>
      <c r="G4129" s="74"/>
      <c r="H4129" s="98" t="str">
        <f>HYPERLINK("http://mirror.ff7data.com.ar/ff7/data/wm/world_us.lgp/wzs4.tex.png","View Picture")</f>
        <v>View Picture</v>
      </c>
      <c r="K4129" s="43"/>
    </row>
    <row r="4130">
      <c r="A4130" s="82"/>
      <c r="B4130" s="33" t="s">
        <v>35535</v>
      </c>
      <c r="C4130" s="42">
        <v>1324.0</v>
      </c>
      <c r="D4130" s="33" t="s">
        <v>35536</v>
      </c>
      <c r="E4130" s="74"/>
      <c r="F4130" s="46" t="s">
        <v>1348</v>
      </c>
      <c r="G4130" s="74"/>
      <c r="H4130" s="98" t="str">
        <f>HYPERLINK("http://mirror.ff7data.com.ar/ff7/data/wm/world_us.lgp/wzs5.tex.png","View Picture")</f>
        <v>View Picture</v>
      </c>
      <c r="K4130" s="43"/>
    </row>
    <row r="4131">
      <c r="A4131" s="82"/>
      <c r="B4131" s="33" t="s">
        <v>35538</v>
      </c>
      <c r="C4131" s="42">
        <v>1324.0</v>
      </c>
      <c r="D4131" s="33" t="s">
        <v>35539</v>
      </c>
      <c r="E4131" s="74"/>
      <c r="F4131" s="46" t="s">
        <v>1348</v>
      </c>
      <c r="G4131" s="74"/>
      <c r="H4131" s="98" t="str">
        <f>HYPERLINK("http://mirror.ff7data.com.ar/ff7/data/wm/world_us.lgp/wzs6.tex.png","View Picture")</f>
        <v>View Picture</v>
      </c>
      <c r="K4131" s="43"/>
    </row>
    <row r="4132">
      <c r="A4132" s="82"/>
      <c r="B4132" s="33" t="s">
        <v>35542</v>
      </c>
      <c r="C4132" s="42">
        <v>1324.0</v>
      </c>
      <c r="D4132" s="33" t="s">
        <v>35544</v>
      </c>
      <c r="E4132" s="74"/>
      <c r="F4132" s="46" t="s">
        <v>1348</v>
      </c>
      <c r="G4132" s="74"/>
      <c r="H4132" s="98" t="str">
        <f>HYPERLINK("http://mirror.ff7data.com.ar/ff7/data/wm/world_us.lgp/wzs7.tex.png","View Picture")</f>
        <v>View Picture</v>
      </c>
      <c r="K4132" s="43"/>
    </row>
    <row r="4133">
      <c r="A4133" s="82"/>
      <c r="B4133" s="33" t="s">
        <v>35546</v>
      </c>
      <c r="C4133" s="42">
        <v>1324.0</v>
      </c>
      <c r="D4133" s="33" t="s">
        <v>35547</v>
      </c>
      <c r="E4133" s="74"/>
      <c r="F4133" s="46" t="s">
        <v>1348</v>
      </c>
      <c r="G4133" s="74"/>
      <c r="H4133" s="98" t="str">
        <f>HYPERLINK("http://mirror.ff7data.com.ar/ff7/data/wm/world_us.lgp/wzs8.tex.png","View Picture")</f>
        <v>View Picture</v>
      </c>
      <c r="K4133" s="43"/>
    </row>
    <row r="4134">
      <c r="A4134" s="55"/>
      <c r="B4134" s="33" t="s">
        <v>35549</v>
      </c>
      <c r="C4134" s="42">
        <v>1324.0</v>
      </c>
      <c r="D4134" s="31"/>
      <c r="E4134" s="74"/>
      <c r="F4134" s="46" t="s">
        <v>1348</v>
      </c>
      <c r="G4134" s="74"/>
      <c r="H4134" s="98" t="str">
        <f>HYPERLINK("http://mirror.ff7data.com.ar/ff7/data/wm/world_us.lgp/wzshr.tex.png","View Picture")</f>
        <v>View Picture</v>
      </c>
      <c r="K4134" s="43"/>
    </row>
    <row r="4135">
      <c r="A4135" s="55"/>
      <c r="B4135" s="33" t="s">
        <v>35552</v>
      </c>
      <c r="C4135" s="42">
        <v>1324.0</v>
      </c>
      <c r="D4135" s="31"/>
      <c r="E4135" s="74"/>
      <c r="F4135" s="46" t="s">
        <v>1348</v>
      </c>
      <c r="G4135" s="74"/>
      <c r="H4135" s="98" t="str">
        <f>HYPERLINK("http://mirror.ff7data.com.ar/ff7/data/wm/world_us.lgp/wzshr2.tex.png","View Picture")</f>
        <v>View Picture</v>
      </c>
      <c r="K4135" s="43"/>
    </row>
    <row r="4136">
      <c r="A4136" s="55"/>
      <c r="B4136" s="57" t="s">
        <v>35554</v>
      </c>
      <c r="C4136" s="58">
        <v>1324.0</v>
      </c>
      <c r="D4136" s="70"/>
      <c r="E4136" s="19"/>
      <c r="F4136" s="61" t="s">
        <v>1348</v>
      </c>
      <c r="G4136" s="19"/>
      <c r="H4136" s="136" t="str">
        <f>HYPERLINK("http://mirror.ff7data.com.ar/ff7/data/wm/world_us.lgp/wzshrs.tex.png","View Picture")</f>
        <v>View Picture</v>
      </c>
      <c r="I4136" s="19"/>
      <c r="J4136" s="19"/>
      <c r="K4136" s="64"/>
    </row>
    <row r="4137">
      <c r="A4137" s="12"/>
      <c r="B4137" s="12"/>
      <c r="C4137" s="65"/>
      <c r="D4137" s="34"/>
      <c r="E4137" s="34"/>
      <c r="F4137" s="67"/>
      <c r="G4137" s="67"/>
      <c r="H4137" s="34"/>
      <c r="I4137" s="34"/>
      <c r="J4137" s="34"/>
      <c r="K4137" s="34"/>
    </row>
    <row r="4138">
      <c r="A4138" s="68"/>
      <c r="B4138" s="69" t="s">
        <v>254</v>
      </c>
      <c r="C4138" s="144"/>
      <c r="D4138" s="19"/>
      <c r="E4138" s="19"/>
      <c r="F4138" s="71"/>
      <c r="G4138" s="71"/>
      <c r="H4138" s="19"/>
      <c r="I4138" s="19"/>
      <c r="J4138" s="19"/>
      <c r="K4138" s="19"/>
    </row>
    <row r="4139">
      <c r="A4139" s="82"/>
      <c r="B4139" s="23" t="s">
        <v>461</v>
      </c>
      <c r="C4139" s="24">
        <v>26500.0</v>
      </c>
      <c r="D4139" s="23" t="s">
        <v>464</v>
      </c>
      <c r="E4139" s="34"/>
      <c r="F4139" s="36" t="s">
        <v>35557</v>
      </c>
      <c r="G4139" s="67"/>
      <c r="H4139" s="34"/>
      <c r="I4139" s="34"/>
      <c r="J4139" s="34"/>
      <c r="K4139" s="38"/>
    </row>
    <row r="4140">
      <c r="A4140" s="82"/>
      <c r="B4140" s="33" t="s">
        <v>471</v>
      </c>
      <c r="C4140" s="42">
        <v>19176.0</v>
      </c>
      <c r="D4140" s="33" t="s">
        <v>472</v>
      </c>
      <c r="E4140" s="74"/>
      <c r="F4140" s="46" t="s">
        <v>35557</v>
      </c>
      <c r="G4140" s="75"/>
      <c r="H4140" s="74"/>
      <c r="K4140" s="43"/>
    </row>
    <row r="4141">
      <c r="A4141" s="82"/>
      <c r="B4141" s="33" t="s">
        <v>493</v>
      </c>
      <c r="C4141" s="42">
        <v>11623.0</v>
      </c>
      <c r="D4141" s="33" t="s">
        <v>496</v>
      </c>
      <c r="E4141" s="74"/>
      <c r="F4141" s="46" t="s">
        <v>35557</v>
      </c>
      <c r="G4141" s="75"/>
      <c r="H4141" s="74"/>
      <c r="K4141" s="43"/>
    </row>
    <row r="4142">
      <c r="A4142" s="82"/>
      <c r="B4142" s="33" t="s">
        <v>499</v>
      </c>
      <c r="C4142" s="42">
        <v>12592.0</v>
      </c>
      <c r="D4142" s="33" t="s">
        <v>503</v>
      </c>
      <c r="E4142" s="74"/>
      <c r="F4142" s="46" t="s">
        <v>35557</v>
      </c>
      <c r="G4142" s="75"/>
      <c r="H4142" s="74"/>
      <c r="K4142" s="43"/>
    </row>
    <row r="4143">
      <c r="A4143" s="82"/>
      <c r="B4143" s="33" t="s">
        <v>508</v>
      </c>
      <c r="C4143" s="42">
        <v>29793.0</v>
      </c>
      <c r="D4143" s="33" t="s">
        <v>511</v>
      </c>
      <c r="E4143" s="74"/>
      <c r="F4143" s="46" t="s">
        <v>35557</v>
      </c>
      <c r="G4143" s="75"/>
      <c r="H4143" s="74"/>
      <c r="K4143" s="43"/>
    </row>
    <row r="4144">
      <c r="A4144" s="82"/>
      <c r="B4144" s="33" t="s">
        <v>513</v>
      </c>
      <c r="C4144" s="42">
        <v>10963.0</v>
      </c>
      <c r="D4144" s="33" t="s">
        <v>516</v>
      </c>
      <c r="E4144" s="74"/>
      <c r="F4144" s="46" t="s">
        <v>35557</v>
      </c>
      <c r="G4144" s="75"/>
      <c r="H4144" s="74"/>
      <c r="K4144" s="43"/>
    </row>
    <row r="4145">
      <c r="A4145" s="82"/>
      <c r="B4145" s="33" t="s">
        <v>521</v>
      </c>
      <c r="C4145" s="42">
        <v>10133.0</v>
      </c>
      <c r="D4145" s="33" t="s">
        <v>523</v>
      </c>
      <c r="E4145" s="74"/>
      <c r="F4145" s="46" t="s">
        <v>35557</v>
      </c>
      <c r="G4145" s="75"/>
      <c r="H4145" s="74"/>
      <c r="K4145" s="43"/>
    </row>
    <row r="4146">
      <c r="A4146" s="82"/>
      <c r="B4146" s="33" t="s">
        <v>529</v>
      </c>
      <c r="C4146" s="42">
        <v>7204.0</v>
      </c>
      <c r="D4146" s="33" t="s">
        <v>984</v>
      </c>
      <c r="E4146" s="74"/>
      <c r="F4146" s="46" t="s">
        <v>35557</v>
      </c>
      <c r="G4146" s="75"/>
      <c r="H4146" s="74"/>
      <c r="K4146" s="43"/>
    </row>
    <row r="4147">
      <c r="A4147" s="82"/>
      <c r="B4147" s="33" t="s">
        <v>579</v>
      </c>
      <c r="C4147" s="42">
        <v>5908.0</v>
      </c>
      <c r="D4147" s="33" t="s">
        <v>35560</v>
      </c>
      <c r="E4147" s="74"/>
      <c r="F4147" s="46" t="s">
        <v>35557</v>
      </c>
      <c r="G4147" s="75"/>
      <c r="H4147" s="74"/>
      <c r="K4147" s="43"/>
    </row>
    <row r="4148">
      <c r="A4148" s="82"/>
      <c r="B4148" s="33" t="s">
        <v>589</v>
      </c>
      <c r="C4148" s="42">
        <v>14862.0</v>
      </c>
      <c r="D4148" s="33" t="s">
        <v>1024</v>
      </c>
      <c r="E4148" s="74"/>
      <c r="F4148" s="46" t="s">
        <v>35557</v>
      </c>
      <c r="G4148" s="75"/>
      <c r="H4148" s="74"/>
      <c r="K4148" s="43"/>
    </row>
    <row r="4149">
      <c r="A4149" s="82"/>
      <c r="B4149" s="33" t="s">
        <v>635</v>
      </c>
      <c r="C4149" s="42">
        <v>14372.0</v>
      </c>
      <c r="D4149" s="33" t="s">
        <v>638</v>
      </c>
      <c r="E4149" s="74"/>
      <c r="F4149" s="46" t="s">
        <v>35557</v>
      </c>
      <c r="G4149" s="75"/>
      <c r="H4149" s="74"/>
      <c r="K4149" s="43"/>
    </row>
    <row r="4150">
      <c r="A4150" s="40"/>
      <c r="B4150" s="33" t="s">
        <v>645</v>
      </c>
      <c r="C4150" s="42">
        <v>33123.0</v>
      </c>
      <c r="D4150" s="33" t="s">
        <v>649</v>
      </c>
      <c r="E4150" s="74"/>
      <c r="F4150" s="46" t="s">
        <v>35557</v>
      </c>
      <c r="G4150" s="75"/>
      <c r="H4150" s="74"/>
      <c r="K4150" s="43"/>
    </row>
    <row r="4151">
      <c r="A4151" s="40"/>
      <c r="B4151" s="33" t="s">
        <v>656</v>
      </c>
      <c r="C4151" s="42">
        <v>35652.0</v>
      </c>
      <c r="D4151" s="33" t="s">
        <v>659</v>
      </c>
      <c r="E4151" s="74"/>
      <c r="F4151" s="46" t="s">
        <v>35557</v>
      </c>
      <c r="G4151" s="75"/>
      <c r="H4151" s="74"/>
      <c r="K4151" s="43"/>
    </row>
    <row r="4152">
      <c r="A4152" s="40"/>
      <c r="B4152" s="33" t="s">
        <v>666</v>
      </c>
      <c r="C4152" s="42">
        <v>28115.0</v>
      </c>
      <c r="D4152" s="33" t="s">
        <v>669</v>
      </c>
      <c r="E4152" s="74"/>
      <c r="F4152" s="46" t="s">
        <v>35557</v>
      </c>
      <c r="G4152" s="75"/>
      <c r="H4152" s="74"/>
      <c r="K4152" s="43"/>
    </row>
    <row r="4153">
      <c r="A4153" s="40"/>
      <c r="B4153" s="33" t="s">
        <v>675</v>
      </c>
      <c r="C4153" s="42">
        <v>21207.0</v>
      </c>
      <c r="D4153" s="33" t="s">
        <v>677</v>
      </c>
      <c r="E4153" s="74"/>
      <c r="F4153" s="46" t="s">
        <v>35557</v>
      </c>
      <c r="G4153" s="75"/>
      <c r="H4153" s="74"/>
      <c r="K4153" s="43"/>
    </row>
    <row r="4154">
      <c r="A4154" s="82"/>
      <c r="B4154" s="33" t="s">
        <v>682</v>
      </c>
      <c r="C4154" s="42">
        <v>758.0</v>
      </c>
      <c r="D4154" s="33" t="s">
        <v>684</v>
      </c>
      <c r="E4154" s="74"/>
      <c r="F4154" s="46" t="s">
        <v>35557</v>
      </c>
      <c r="G4154" s="75"/>
      <c r="H4154" s="74"/>
      <c r="K4154" s="43"/>
    </row>
    <row r="4155">
      <c r="A4155" s="84"/>
      <c r="B4155" s="33" t="s">
        <v>704</v>
      </c>
      <c r="C4155" s="42">
        <v>5517.0</v>
      </c>
      <c r="D4155" s="31"/>
      <c r="E4155" s="74"/>
      <c r="F4155" s="46" t="s">
        <v>35557</v>
      </c>
      <c r="G4155" s="46" t="s">
        <v>35563</v>
      </c>
      <c r="H4155" s="74"/>
      <c r="K4155" s="43"/>
    </row>
    <row r="4156">
      <c r="A4156" s="82"/>
      <c r="B4156" s="33" t="s">
        <v>706</v>
      </c>
      <c r="C4156" s="42">
        <v>19581.0</v>
      </c>
      <c r="D4156" s="33" t="s">
        <v>707</v>
      </c>
      <c r="E4156" s="74"/>
      <c r="F4156" s="46" t="s">
        <v>35557</v>
      </c>
      <c r="G4156" s="75"/>
      <c r="H4156" s="74"/>
      <c r="K4156" s="43"/>
    </row>
    <row r="4157">
      <c r="A4157" s="82"/>
      <c r="B4157" s="33" t="s">
        <v>708</v>
      </c>
      <c r="C4157" s="42">
        <v>9347.0</v>
      </c>
      <c r="D4157" s="33" t="s">
        <v>709</v>
      </c>
      <c r="E4157" s="74"/>
      <c r="F4157" s="46" t="s">
        <v>35557</v>
      </c>
      <c r="G4157" s="75"/>
      <c r="H4157" s="74"/>
      <c r="K4157" s="43"/>
    </row>
    <row r="4158">
      <c r="A4158" s="82"/>
      <c r="B4158" s="33" t="s">
        <v>710</v>
      </c>
      <c r="C4158" s="42">
        <v>5490.0</v>
      </c>
      <c r="D4158" s="33" t="s">
        <v>711</v>
      </c>
      <c r="E4158" s="74"/>
      <c r="F4158" s="46" t="s">
        <v>35557</v>
      </c>
      <c r="G4158" s="75"/>
      <c r="H4158" s="74"/>
      <c r="K4158" s="43"/>
    </row>
    <row r="4159">
      <c r="A4159" s="82"/>
      <c r="B4159" s="33" t="s">
        <v>712</v>
      </c>
      <c r="C4159" s="42">
        <v>11789.0</v>
      </c>
      <c r="D4159" s="33" t="s">
        <v>714</v>
      </c>
      <c r="E4159" s="74"/>
      <c r="F4159" s="46" t="s">
        <v>35557</v>
      </c>
      <c r="G4159" s="75"/>
      <c r="H4159" s="74"/>
      <c r="K4159" s="43"/>
    </row>
    <row r="4160">
      <c r="A4160" s="82"/>
      <c r="B4160" s="33" t="s">
        <v>719</v>
      </c>
      <c r="C4160" s="42">
        <v>3785.0</v>
      </c>
      <c r="D4160" s="33" t="s">
        <v>724</v>
      </c>
      <c r="E4160" s="74"/>
      <c r="F4160" s="46" t="s">
        <v>35557</v>
      </c>
      <c r="G4160" s="75"/>
      <c r="H4160" s="74"/>
      <c r="K4160" s="43"/>
    </row>
    <row r="4161">
      <c r="A4161" s="82"/>
      <c r="B4161" s="33" t="s">
        <v>730</v>
      </c>
      <c r="C4161" s="42">
        <v>1342.0</v>
      </c>
      <c r="D4161" s="33" t="s">
        <v>734</v>
      </c>
      <c r="E4161" s="74"/>
      <c r="F4161" s="46" t="s">
        <v>35557</v>
      </c>
      <c r="G4161" s="75"/>
      <c r="H4161" s="74"/>
      <c r="K4161" s="43"/>
    </row>
    <row r="4162">
      <c r="A4162" s="82"/>
      <c r="B4162" s="33" t="s">
        <v>740</v>
      </c>
      <c r="C4162" s="42">
        <v>10512.0</v>
      </c>
      <c r="D4162" s="33" t="s">
        <v>741</v>
      </c>
      <c r="E4162" s="74"/>
      <c r="F4162" s="46" t="s">
        <v>35557</v>
      </c>
      <c r="G4162" s="75"/>
      <c r="H4162" s="74"/>
      <c r="K4162" s="43"/>
    </row>
    <row r="4163">
      <c r="A4163" s="82"/>
      <c r="B4163" s="33" t="s">
        <v>746</v>
      </c>
      <c r="C4163" s="42">
        <v>9383.0</v>
      </c>
      <c r="D4163" s="33" t="s">
        <v>748</v>
      </c>
      <c r="E4163" s="74"/>
      <c r="F4163" s="46" t="s">
        <v>35557</v>
      </c>
      <c r="G4163" s="75"/>
      <c r="H4163" s="74"/>
      <c r="K4163" s="43"/>
    </row>
    <row r="4164">
      <c r="A4164" s="82"/>
      <c r="B4164" s="33" t="s">
        <v>754</v>
      </c>
      <c r="C4164" s="42">
        <v>29074.0</v>
      </c>
      <c r="D4164" s="33" t="s">
        <v>756</v>
      </c>
      <c r="E4164" s="74"/>
      <c r="F4164" s="46" t="s">
        <v>35557</v>
      </c>
      <c r="G4164" s="75"/>
      <c r="H4164" s="74"/>
      <c r="K4164" s="43"/>
    </row>
    <row r="4165">
      <c r="A4165" s="82"/>
      <c r="B4165" s="33" t="s">
        <v>760</v>
      </c>
      <c r="C4165" s="42">
        <v>7503.0</v>
      </c>
      <c r="D4165" s="33" t="s">
        <v>763</v>
      </c>
      <c r="E4165" s="74"/>
      <c r="F4165" s="46" t="s">
        <v>35557</v>
      </c>
      <c r="G4165" s="75"/>
      <c r="H4165" s="74"/>
      <c r="K4165" s="43"/>
    </row>
    <row r="4166">
      <c r="A4166" s="82"/>
      <c r="B4166" s="33" t="s">
        <v>769</v>
      </c>
      <c r="C4166" s="42">
        <v>12107.0</v>
      </c>
      <c r="D4166" s="33" t="s">
        <v>772</v>
      </c>
      <c r="E4166" s="74"/>
      <c r="F4166" s="46" t="s">
        <v>35557</v>
      </c>
      <c r="G4166" s="75"/>
      <c r="H4166" s="74"/>
      <c r="K4166" s="43"/>
    </row>
    <row r="4167">
      <c r="A4167" s="82"/>
      <c r="B4167" s="33" t="s">
        <v>776</v>
      </c>
      <c r="C4167" s="42">
        <v>28333.0</v>
      </c>
      <c r="D4167" s="33" t="s">
        <v>779</v>
      </c>
      <c r="E4167" s="74"/>
      <c r="F4167" s="46" t="s">
        <v>35557</v>
      </c>
      <c r="G4167" s="75"/>
      <c r="H4167" s="74"/>
      <c r="K4167" s="43"/>
    </row>
    <row r="4168">
      <c r="A4168" s="82"/>
      <c r="B4168" s="33" t="s">
        <v>781</v>
      </c>
      <c r="C4168" s="42">
        <v>8790.0</v>
      </c>
      <c r="D4168" s="33" t="s">
        <v>783</v>
      </c>
      <c r="E4168" s="74"/>
      <c r="F4168" s="46" t="s">
        <v>35557</v>
      </c>
      <c r="G4168" s="75"/>
      <c r="H4168" s="74"/>
      <c r="K4168" s="43"/>
    </row>
    <row r="4169">
      <c r="A4169" s="82"/>
      <c r="B4169" s="33" t="s">
        <v>786</v>
      </c>
      <c r="C4169" s="42">
        <v>1027.0</v>
      </c>
      <c r="D4169" s="33" t="s">
        <v>788</v>
      </c>
      <c r="E4169" s="74"/>
      <c r="F4169" s="46" t="s">
        <v>35557</v>
      </c>
      <c r="G4169" s="75"/>
      <c r="H4169" s="74"/>
      <c r="K4169" s="43"/>
    </row>
    <row r="4170">
      <c r="A4170" s="82"/>
      <c r="B4170" s="33" t="s">
        <v>793</v>
      </c>
      <c r="C4170" s="42">
        <v>15774.0</v>
      </c>
      <c r="D4170" s="33" t="s">
        <v>796</v>
      </c>
      <c r="E4170" s="74"/>
      <c r="F4170" s="46" t="s">
        <v>35557</v>
      </c>
      <c r="G4170" s="75"/>
      <c r="H4170" s="74"/>
      <c r="K4170" s="43"/>
    </row>
    <row r="4171">
      <c r="A4171" s="82"/>
      <c r="B4171" s="33" t="s">
        <v>803</v>
      </c>
      <c r="C4171" s="42">
        <v>83715.0</v>
      </c>
      <c r="D4171" s="33" t="s">
        <v>805</v>
      </c>
      <c r="E4171" s="74"/>
      <c r="F4171" s="46" t="s">
        <v>35557</v>
      </c>
      <c r="G4171" s="75"/>
      <c r="H4171" s="74"/>
      <c r="K4171" s="43"/>
    </row>
    <row r="4172">
      <c r="A4172" s="82"/>
      <c r="B4172" s="33" t="s">
        <v>806</v>
      </c>
      <c r="C4172" s="42">
        <v>4729.0</v>
      </c>
      <c r="D4172" s="33" t="s">
        <v>809</v>
      </c>
      <c r="E4172" s="74"/>
      <c r="F4172" s="46" t="s">
        <v>35557</v>
      </c>
      <c r="G4172" s="75"/>
      <c r="H4172" s="74"/>
      <c r="K4172" s="43"/>
    </row>
    <row r="4173">
      <c r="A4173" s="82"/>
      <c r="B4173" s="33" t="s">
        <v>811</v>
      </c>
      <c r="C4173" s="42">
        <v>20151.0</v>
      </c>
      <c r="D4173" s="33" t="s">
        <v>813</v>
      </c>
      <c r="E4173" s="74"/>
      <c r="F4173" s="46" t="s">
        <v>35557</v>
      </c>
      <c r="G4173" s="75"/>
      <c r="H4173" s="74"/>
      <c r="K4173" s="43"/>
    </row>
    <row r="4174">
      <c r="A4174" s="82"/>
      <c r="B4174" s="33" t="s">
        <v>819</v>
      </c>
      <c r="C4174" s="42">
        <v>7835.0</v>
      </c>
      <c r="D4174" s="33" t="s">
        <v>821</v>
      </c>
      <c r="E4174" s="74"/>
      <c r="F4174" s="46" t="s">
        <v>35557</v>
      </c>
      <c r="G4174" s="75"/>
      <c r="H4174" s="74"/>
      <c r="K4174" s="43"/>
    </row>
    <row r="4175">
      <c r="A4175" s="82"/>
      <c r="B4175" s="33" t="s">
        <v>824</v>
      </c>
      <c r="C4175" s="42">
        <v>19553.0</v>
      </c>
      <c r="D4175" s="33" t="s">
        <v>1008</v>
      </c>
      <c r="E4175" s="74"/>
      <c r="F4175" s="46" t="s">
        <v>35557</v>
      </c>
      <c r="G4175" s="75"/>
      <c r="H4175" s="74"/>
      <c r="K4175" s="43"/>
    </row>
    <row r="4176">
      <c r="A4176" s="55"/>
      <c r="B4176" s="33" t="s">
        <v>35569</v>
      </c>
      <c r="C4176" s="42">
        <v>273.0</v>
      </c>
      <c r="D4176" s="31"/>
      <c r="E4176" s="74"/>
      <c r="F4176" s="46" t="s">
        <v>35557</v>
      </c>
      <c r="G4176" s="75"/>
      <c r="H4176" s="74"/>
      <c r="K4176" s="43"/>
    </row>
    <row r="4177">
      <c r="A4177" s="82"/>
      <c r="B4177" s="33" t="s">
        <v>831</v>
      </c>
      <c r="C4177" s="42">
        <v>4353.0</v>
      </c>
      <c r="D4177" s="33" t="s">
        <v>833</v>
      </c>
      <c r="E4177" s="74"/>
      <c r="F4177" s="46" t="s">
        <v>35557</v>
      </c>
      <c r="G4177" s="75"/>
      <c r="H4177" s="74"/>
      <c r="K4177" s="43"/>
    </row>
    <row r="4178">
      <c r="A4178" s="82"/>
      <c r="B4178" s="33" t="s">
        <v>837</v>
      </c>
      <c r="C4178" s="42">
        <v>22661.0</v>
      </c>
      <c r="D4178" s="33" t="s">
        <v>838</v>
      </c>
      <c r="E4178" s="74"/>
      <c r="F4178" s="46" t="s">
        <v>35557</v>
      </c>
      <c r="G4178" s="75"/>
      <c r="H4178" s="74"/>
      <c r="K4178" s="43"/>
    </row>
    <row r="4179">
      <c r="A4179" s="82"/>
      <c r="B4179" s="33" t="s">
        <v>843</v>
      </c>
      <c r="C4179" s="42">
        <v>7031.0</v>
      </c>
      <c r="D4179" s="33" t="s">
        <v>844</v>
      </c>
      <c r="E4179" s="74"/>
      <c r="F4179" s="46" t="s">
        <v>35557</v>
      </c>
      <c r="G4179" s="75"/>
      <c r="H4179" s="74"/>
      <c r="K4179" s="43"/>
    </row>
    <row r="4180">
      <c r="A4180" s="82"/>
      <c r="B4180" s="33" t="s">
        <v>849</v>
      </c>
      <c r="C4180" s="42">
        <v>19399.0</v>
      </c>
      <c r="D4180" s="33" t="s">
        <v>852</v>
      </c>
      <c r="E4180" s="74"/>
      <c r="F4180" s="46" t="s">
        <v>35557</v>
      </c>
      <c r="G4180" s="75"/>
      <c r="H4180" s="74"/>
      <c r="K4180" s="43"/>
    </row>
    <row r="4181">
      <c r="A4181" s="82"/>
      <c r="B4181" s="33" t="s">
        <v>856</v>
      </c>
      <c r="C4181" s="42">
        <v>17675.0</v>
      </c>
      <c r="D4181" s="33" t="s">
        <v>857</v>
      </c>
      <c r="E4181" s="74"/>
      <c r="F4181" s="46" t="s">
        <v>35557</v>
      </c>
      <c r="G4181" s="75"/>
      <c r="H4181" s="74"/>
      <c r="K4181" s="43"/>
    </row>
    <row r="4182">
      <c r="A4182" s="82"/>
      <c r="B4182" s="33" t="s">
        <v>862</v>
      </c>
      <c r="C4182" s="42">
        <v>16759.0</v>
      </c>
      <c r="D4182" s="33" t="s">
        <v>865</v>
      </c>
      <c r="E4182" s="74"/>
      <c r="F4182" s="46" t="s">
        <v>35557</v>
      </c>
      <c r="G4182" s="75"/>
      <c r="H4182" s="74"/>
      <c r="K4182" s="43"/>
    </row>
    <row r="4183">
      <c r="A4183" s="82"/>
      <c r="B4183" s="33" t="s">
        <v>870</v>
      </c>
      <c r="C4183" s="42">
        <v>18207.0</v>
      </c>
      <c r="D4183" s="33" t="s">
        <v>873</v>
      </c>
      <c r="E4183" s="74"/>
      <c r="F4183" s="46" t="s">
        <v>35557</v>
      </c>
      <c r="G4183" s="75"/>
      <c r="H4183" s="74"/>
      <c r="K4183" s="43"/>
    </row>
    <row r="4184">
      <c r="A4184" s="82"/>
      <c r="B4184" s="33" t="s">
        <v>879</v>
      </c>
      <c r="C4184" s="42">
        <v>11308.0</v>
      </c>
      <c r="D4184" s="33" t="s">
        <v>880</v>
      </c>
      <c r="E4184" s="74"/>
      <c r="F4184" s="46" t="s">
        <v>35557</v>
      </c>
      <c r="G4184" s="75"/>
      <c r="H4184" s="74"/>
      <c r="K4184" s="43"/>
    </row>
    <row r="4185">
      <c r="A4185" s="82"/>
      <c r="B4185" s="33" t="s">
        <v>884</v>
      </c>
      <c r="C4185" s="42">
        <v>31766.0</v>
      </c>
      <c r="D4185" s="33" t="s">
        <v>886</v>
      </c>
      <c r="E4185" s="74"/>
      <c r="F4185" s="46" t="s">
        <v>35557</v>
      </c>
      <c r="G4185" s="75"/>
      <c r="H4185" s="74"/>
      <c r="K4185" s="43"/>
    </row>
    <row r="4186">
      <c r="A4186" s="82"/>
      <c r="B4186" s="33" t="s">
        <v>888</v>
      </c>
      <c r="C4186" s="42">
        <v>14147.0</v>
      </c>
      <c r="D4186" s="33" t="s">
        <v>897</v>
      </c>
      <c r="E4186" s="74"/>
      <c r="F4186" s="46" t="s">
        <v>35557</v>
      </c>
      <c r="G4186" s="75"/>
      <c r="H4186" s="74"/>
      <c r="K4186" s="43"/>
    </row>
    <row r="4187">
      <c r="A4187" s="82"/>
      <c r="B4187" s="33" t="s">
        <v>902</v>
      </c>
      <c r="C4187" s="42">
        <v>40006.0</v>
      </c>
      <c r="D4187" s="33" t="s">
        <v>906</v>
      </c>
      <c r="E4187" s="74"/>
      <c r="F4187" s="46" t="s">
        <v>35557</v>
      </c>
      <c r="G4187" s="75"/>
      <c r="H4187" s="74"/>
      <c r="K4187" s="43"/>
    </row>
    <row r="4188">
      <c r="A4188" s="82"/>
      <c r="B4188" s="33" t="s">
        <v>913</v>
      </c>
      <c r="C4188" s="42">
        <v>58503.0</v>
      </c>
      <c r="D4188" s="33" t="s">
        <v>916</v>
      </c>
      <c r="E4188" s="74"/>
      <c r="F4188" s="46" t="s">
        <v>35557</v>
      </c>
      <c r="G4188" s="75"/>
      <c r="H4188" s="74"/>
      <c r="K4188" s="43"/>
    </row>
    <row r="4189">
      <c r="A4189" s="82"/>
      <c r="B4189" s="33" t="s">
        <v>930</v>
      </c>
      <c r="C4189" s="42">
        <v>21910.0</v>
      </c>
      <c r="D4189" s="33" t="s">
        <v>932</v>
      </c>
      <c r="E4189" s="74"/>
      <c r="F4189" s="46" t="s">
        <v>35557</v>
      </c>
      <c r="G4189" s="75"/>
      <c r="H4189" s="74"/>
      <c r="K4189" s="43"/>
    </row>
    <row r="4190">
      <c r="A4190" s="82"/>
      <c r="B4190" s="33" t="s">
        <v>938</v>
      </c>
      <c r="C4190" s="42">
        <v>32426.0</v>
      </c>
      <c r="D4190" s="33" t="s">
        <v>941</v>
      </c>
      <c r="E4190" s="74"/>
      <c r="F4190" s="46" t="s">
        <v>35557</v>
      </c>
      <c r="G4190" s="75"/>
      <c r="H4190" s="74"/>
      <c r="K4190" s="43"/>
    </row>
    <row r="4191">
      <c r="A4191" s="82"/>
      <c r="B4191" s="33" t="s">
        <v>944</v>
      </c>
      <c r="C4191" s="42">
        <v>9559.0</v>
      </c>
      <c r="D4191" s="33" t="s">
        <v>945</v>
      </c>
      <c r="E4191" s="74"/>
      <c r="F4191" s="46" t="s">
        <v>35557</v>
      </c>
      <c r="G4191" s="75"/>
      <c r="H4191" s="74"/>
      <c r="K4191" s="43"/>
    </row>
    <row r="4192">
      <c r="A4192" s="82"/>
      <c r="B4192" s="33" t="s">
        <v>947</v>
      </c>
      <c r="C4192" s="42">
        <v>16757.0</v>
      </c>
      <c r="D4192" s="33" t="s">
        <v>948</v>
      </c>
      <c r="E4192" s="74"/>
      <c r="F4192" s="46" t="s">
        <v>35557</v>
      </c>
      <c r="G4192" s="75"/>
      <c r="H4192" s="74"/>
      <c r="K4192" s="43"/>
    </row>
    <row r="4193">
      <c r="A4193" s="82"/>
      <c r="B4193" s="33" t="s">
        <v>950</v>
      </c>
      <c r="C4193" s="42">
        <v>4214.0</v>
      </c>
      <c r="D4193" s="33" t="s">
        <v>952</v>
      </c>
      <c r="E4193" s="74"/>
      <c r="F4193" s="46" t="s">
        <v>35557</v>
      </c>
      <c r="G4193" s="75"/>
      <c r="H4193" s="74"/>
      <c r="K4193" s="43"/>
    </row>
    <row r="4194">
      <c r="A4194" s="82"/>
      <c r="B4194" s="33" t="s">
        <v>959</v>
      </c>
      <c r="C4194" s="42">
        <v>11938.0</v>
      </c>
      <c r="D4194" s="33" t="s">
        <v>961</v>
      </c>
      <c r="E4194" s="74"/>
      <c r="F4194" s="46" t="s">
        <v>35557</v>
      </c>
      <c r="G4194" s="75"/>
      <c r="H4194" s="74"/>
      <c r="K4194" s="43"/>
    </row>
    <row r="4195">
      <c r="A4195" s="82"/>
      <c r="B4195" s="33" t="s">
        <v>966</v>
      </c>
      <c r="C4195" s="42">
        <v>15937.0</v>
      </c>
      <c r="D4195" s="33" t="s">
        <v>35577</v>
      </c>
      <c r="E4195" s="74"/>
      <c r="F4195" s="46" t="s">
        <v>35557</v>
      </c>
      <c r="G4195" s="75"/>
      <c r="H4195" s="74"/>
      <c r="K4195" s="43"/>
    </row>
    <row r="4196">
      <c r="A4196" s="82"/>
      <c r="B4196" s="33" t="s">
        <v>973</v>
      </c>
      <c r="C4196" s="42">
        <v>40629.0</v>
      </c>
      <c r="D4196" s="33" t="s">
        <v>976</v>
      </c>
      <c r="E4196" s="74"/>
      <c r="F4196" s="46" t="s">
        <v>35557</v>
      </c>
      <c r="G4196" s="75"/>
      <c r="H4196" s="74"/>
      <c r="K4196" s="43"/>
    </row>
    <row r="4197">
      <c r="A4197" s="82"/>
      <c r="B4197" s="33" t="s">
        <v>982</v>
      </c>
      <c r="C4197" s="42">
        <v>35074.0</v>
      </c>
      <c r="D4197" s="33" t="s">
        <v>984</v>
      </c>
      <c r="E4197" s="74"/>
      <c r="F4197" s="46" t="s">
        <v>35557</v>
      </c>
      <c r="G4197" s="75"/>
      <c r="H4197" s="74"/>
      <c r="K4197" s="43"/>
    </row>
    <row r="4198">
      <c r="A4198" s="82"/>
      <c r="B4198" s="33" t="s">
        <v>992</v>
      </c>
      <c r="C4198" s="42">
        <v>8993.0</v>
      </c>
      <c r="D4198" s="33" t="s">
        <v>993</v>
      </c>
      <c r="E4198" s="74"/>
      <c r="F4198" s="46" t="s">
        <v>35557</v>
      </c>
      <c r="G4198" s="75"/>
      <c r="H4198" s="74"/>
      <c r="K4198" s="43"/>
    </row>
    <row r="4199">
      <c r="A4199" s="82"/>
      <c r="B4199" s="33" t="s">
        <v>998</v>
      </c>
      <c r="C4199" s="42">
        <v>7194.0</v>
      </c>
      <c r="D4199" s="33" t="s">
        <v>35583</v>
      </c>
      <c r="E4199" s="74"/>
      <c r="F4199" s="46" t="s">
        <v>35557</v>
      </c>
      <c r="G4199" s="75"/>
      <c r="H4199" s="74"/>
      <c r="K4199" s="43"/>
    </row>
    <row r="4200">
      <c r="A4200" s="82"/>
      <c r="B4200" s="33" t="s">
        <v>1006</v>
      </c>
      <c r="C4200" s="42">
        <v>12524.0</v>
      </c>
      <c r="D4200" s="33" t="s">
        <v>1008</v>
      </c>
      <c r="E4200" s="74"/>
      <c r="F4200" s="46" t="s">
        <v>35557</v>
      </c>
      <c r="G4200" s="75"/>
      <c r="H4200" s="74"/>
      <c r="K4200" s="43"/>
    </row>
    <row r="4201">
      <c r="A4201" s="82"/>
      <c r="B4201" s="33" t="s">
        <v>1014</v>
      </c>
      <c r="C4201" s="42">
        <v>29722.0</v>
      </c>
      <c r="D4201" s="33" t="s">
        <v>1016</v>
      </c>
      <c r="E4201" s="74"/>
      <c r="F4201" s="46" t="s">
        <v>35557</v>
      </c>
      <c r="G4201" s="75"/>
      <c r="H4201" s="74"/>
      <c r="K4201" s="43"/>
    </row>
    <row r="4202">
      <c r="A4202" s="82"/>
      <c r="B4202" s="33" t="s">
        <v>1018</v>
      </c>
      <c r="C4202" s="42">
        <v>36337.0</v>
      </c>
      <c r="D4202" s="33" t="s">
        <v>1020</v>
      </c>
      <c r="E4202" s="74"/>
      <c r="F4202" s="46" t="s">
        <v>35557</v>
      </c>
      <c r="G4202" s="75"/>
      <c r="H4202" s="74"/>
      <c r="K4202" s="43"/>
    </row>
    <row r="4203">
      <c r="A4203" s="82"/>
      <c r="B4203" s="33" t="s">
        <v>1022</v>
      </c>
      <c r="C4203" s="42">
        <v>6960.0</v>
      </c>
      <c r="D4203" s="33" t="s">
        <v>1024</v>
      </c>
      <c r="E4203" s="74"/>
      <c r="F4203" s="46" t="s">
        <v>35557</v>
      </c>
      <c r="G4203" s="75"/>
      <c r="H4203" s="74"/>
      <c r="K4203" s="43"/>
    </row>
    <row r="4204">
      <c r="A4204" s="82"/>
      <c r="B4204" s="33" t="s">
        <v>1026</v>
      </c>
      <c r="C4204" s="42">
        <v>10556.0</v>
      </c>
      <c r="D4204" s="33" t="s">
        <v>1027</v>
      </c>
      <c r="E4204" s="74"/>
      <c r="F4204" s="46" t="s">
        <v>35557</v>
      </c>
      <c r="G4204" s="75"/>
      <c r="H4204" s="74"/>
      <c r="K4204" s="43"/>
    </row>
    <row r="4205">
      <c r="A4205" s="82"/>
      <c r="B4205" s="33" t="s">
        <v>1029</v>
      </c>
      <c r="C4205" s="42">
        <v>3772.0</v>
      </c>
      <c r="D4205" s="52" t="s">
        <v>35586</v>
      </c>
      <c r="E4205" s="74"/>
      <c r="F4205" s="46" t="s">
        <v>35557</v>
      </c>
      <c r="G4205" s="75"/>
      <c r="H4205" s="74"/>
      <c r="K4205" s="43"/>
    </row>
    <row r="4206">
      <c r="A4206" s="82"/>
      <c r="B4206" s="33" t="s">
        <v>1036</v>
      </c>
      <c r="C4206" s="42">
        <v>14589.0</v>
      </c>
      <c r="D4206" s="33" t="s">
        <v>1038</v>
      </c>
      <c r="E4206" s="74"/>
      <c r="F4206" s="46" t="s">
        <v>35557</v>
      </c>
      <c r="G4206" s="75"/>
      <c r="H4206" s="74"/>
      <c r="K4206" s="43"/>
    </row>
    <row r="4207">
      <c r="A4207" s="82"/>
      <c r="B4207" s="33" t="s">
        <v>1040</v>
      </c>
      <c r="C4207" s="42">
        <v>9421.0</v>
      </c>
      <c r="D4207" s="33" t="s">
        <v>1042</v>
      </c>
      <c r="E4207" s="74"/>
      <c r="F4207" s="46" t="s">
        <v>35557</v>
      </c>
      <c r="G4207" s="75"/>
      <c r="H4207" s="74"/>
      <c r="K4207" s="43"/>
    </row>
    <row r="4208">
      <c r="A4208" s="82"/>
      <c r="B4208" s="33" t="s">
        <v>1046</v>
      </c>
      <c r="C4208" s="42">
        <v>71670.0</v>
      </c>
      <c r="D4208" s="33" t="s">
        <v>1048</v>
      </c>
      <c r="E4208" s="74"/>
      <c r="F4208" s="46" t="s">
        <v>35557</v>
      </c>
      <c r="G4208" s="75"/>
      <c r="H4208" s="74"/>
      <c r="K4208" s="43"/>
    </row>
    <row r="4209">
      <c r="A4209" s="82"/>
      <c r="B4209" s="33" t="s">
        <v>1053</v>
      </c>
      <c r="C4209" s="42">
        <v>20387.0</v>
      </c>
      <c r="D4209" s="33" t="s">
        <v>1054</v>
      </c>
      <c r="E4209" s="74"/>
      <c r="F4209" s="46" t="s">
        <v>35557</v>
      </c>
      <c r="G4209" s="75"/>
      <c r="H4209" s="74"/>
      <c r="K4209" s="43"/>
    </row>
    <row r="4210">
      <c r="A4210" s="82"/>
      <c r="B4210" s="33" t="s">
        <v>1060</v>
      </c>
      <c r="C4210" s="42">
        <v>5387.0</v>
      </c>
      <c r="D4210" s="33" t="s">
        <v>1062</v>
      </c>
      <c r="E4210" s="74"/>
      <c r="F4210" s="46" t="s">
        <v>35557</v>
      </c>
      <c r="G4210" s="75"/>
      <c r="H4210" s="74"/>
      <c r="K4210" s="43"/>
    </row>
    <row r="4211">
      <c r="A4211" s="82"/>
      <c r="B4211" s="33" t="s">
        <v>1067</v>
      </c>
      <c r="C4211" s="42">
        <v>6337.0</v>
      </c>
      <c r="D4211" s="33" t="s">
        <v>1068</v>
      </c>
      <c r="E4211" s="74"/>
      <c r="F4211" s="46" t="s">
        <v>35557</v>
      </c>
      <c r="G4211" s="75"/>
      <c r="H4211" s="74"/>
      <c r="K4211" s="43"/>
    </row>
    <row r="4212">
      <c r="A4212" s="55"/>
      <c r="B4212" s="33" t="s">
        <v>35589</v>
      </c>
      <c r="C4212" s="42">
        <v>4650.0</v>
      </c>
      <c r="D4212" s="31"/>
      <c r="E4212" s="74"/>
      <c r="F4212" s="46" t="s">
        <v>35557</v>
      </c>
      <c r="G4212" s="75"/>
      <c r="H4212" s="74"/>
      <c r="K4212" s="43"/>
    </row>
    <row r="4213">
      <c r="A4213" s="82"/>
      <c r="B4213" s="33" t="s">
        <v>1073</v>
      </c>
      <c r="C4213" s="42">
        <v>28380.0</v>
      </c>
      <c r="D4213" s="33" t="s">
        <v>1075</v>
      </c>
      <c r="E4213" s="74"/>
      <c r="F4213" s="46" t="s">
        <v>35557</v>
      </c>
      <c r="G4213" s="75"/>
      <c r="H4213" s="74"/>
      <c r="K4213" s="43"/>
    </row>
    <row r="4214">
      <c r="A4214" s="55"/>
      <c r="B4214" s="33" t="s">
        <v>35590</v>
      </c>
      <c r="C4214" s="42">
        <v>1012.0</v>
      </c>
      <c r="D4214" s="31"/>
      <c r="E4214" s="74"/>
      <c r="F4214" s="46" t="s">
        <v>35557</v>
      </c>
      <c r="G4214" s="75"/>
      <c r="H4214" s="74"/>
      <c r="K4214" s="43"/>
    </row>
    <row r="4215">
      <c r="A4215" s="82"/>
      <c r="B4215" s="33" t="s">
        <v>1079</v>
      </c>
      <c r="C4215" s="42">
        <v>13703.0</v>
      </c>
      <c r="D4215" s="33" t="s">
        <v>1084</v>
      </c>
      <c r="E4215" s="74"/>
      <c r="F4215" s="46" t="s">
        <v>35557</v>
      </c>
      <c r="G4215" s="75"/>
      <c r="H4215" s="74"/>
      <c r="K4215" s="43"/>
    </row>
    <row r="4216">
      <c r="A4216" s="82"/>
      <c r="B4216" s="33" t="s">
        <v>1089</v>
      </c>
      <c r="C4216" s="42">
        <v>3789.0</v>
      </c>
      <c r="D4216" s="52" t="s">
        <v>35592</v>
      </c>
      <c r="E4216" s="74"/>
      <c r="F4216" s="46" t="s">
        <v>35557</v>
      </c>
      <c r="G4216" s="75"/>
      <c r="H4216" s="74"/>
      <c r="K4216" s="43"/>
    </row>
    <row r="4217">
      <c r="A4217" s="82"/>
      <c r="B4217" s="33" t="s">
        <v>1099</v>
      </c>
      <c r="C4217" s="42">
        <v>12543.0</v>
      </c>
      <c r="D4217" s="33" t="s">
        <v>1101</v>
      </c>
      <c r="E4217" s="74"/>
      <c r="F4217" s="46" t="s">
        <v>35557</v>
      </c>
      <c r="G4217" s="75"/>
      <c r="H4217" s="74"/>
      <c r="K4217" s="43"/>
    </row>
    <row r="4218">
      <c r="A4218" s="82"/>
      <c r="B4218" s="33" t="s">
        <v>1106</v>
      </c>
      <c r="C4218" s="42">
        <v>11657.0</v>
      </c>
      <c r="D4218" s="33" t="s">
        <v>1109</v>
      </c>
      <c r="E4218" s="74"/>
      <c r="F4218" s="46" t="s">
        <v>35557</v>
      </c>
      <c r="G4218" s="75"/>
      <c r="H4218" s="74"/>
      <c r="K4218" s="43"/>
    </row>
    <row r="4219">
      <c r="A4219" s="82"/>
      <c r="B4219" s="33" t="s">
        <v>1121</v>
      </c>
      <c r="C4219" s="42">
        <v>11460.0</v>
      </c>
      <c r="D4219" s="33" t="s">
        <v>1124</v>
      </c>
      <c r="E4219" s="74"/>
      <c r="F4219" s="46" t="s">
        <v>35557</v>
      </c>
      <c r="G4219" s="75"/>
      <c r="H4219" s="74"/>
      <c r="K4219" s="43"/>
    </row>
    <row r="4220">
      <c r="A4220" s="82"/>
      <c r="B4220" s="33" t="s">
        <v>1129</v>
      </c>
      <c r="C4220" s="42">
        <v>12774.0</v>
      </c>
      <c r="D4220" s="33" t="s">
        <v>1132</v>
      </c>
      <c r="E4220" s="74"/>
      <c r="F4220" s="46" t="s">
        <v>35557</v>
      </c>
      <c r="G4220" s="75"/>
      <c r="H4220" s="74"/>
      <c r="K4220" s="43"/>
    </row>
    <row r="4221">
      <c r="A4221" s="82"/>
      <c r="B4221" s="33" t="s">
        <v>1135</v>
      </c>
      <c r="C4221" s="42">
        <v>20332.0</v>
      </c>
      <c r="D4221" s="33" t="s">
        <v>1137</v>
      </c>
      <c r="E4221" s="74"/>
      <c r="F4221" s="46" t="s">
        <v>35557</v>
      </c>
      <c r="G4221" s="75"/>
      <c r="H4221" s="74"/>
      <c r="K4221" s="43"/>
    </row>
    <row r="4222">
      <c r="A4222" s="82"/>
      <c r="B4222" s="33" t="s">
        <v>1143</v>
      </c>
      <c r="C4222" s="42">
        <v>6701.0</v>
      </c>
      <c r="D4222" s="33" t="s">
        <v>35595</v>
      </c>
      <c r="E4222" s="74"/>
      <c r="F4222" s="46" t="s">
        <v>35557</v>
      </c>
      <c r="G4222" s="75"/>
      <c r="H4222" s="74"/>
      <c r="K4222" s="43"/>
    </row>
    <row r="4223">
      <c r="A4223" s="82"/>
      <c r="B4223" s="33" t="s">
        <v>1149</v>
      </c>
      <c r="C4223" s="42">
        <v>47391.0</v>
      </c>
      <c r="D4223" s="33" t="s">
        <v>1151</v>
      </c>
      <c r="E4223" s="74"/>
      <c r="F4223" s="46" t="s">
        <v>35557</v>
      </c>
      <c r="G4223" s="75"/>
      <c r="H4223" s="74"/>
      <c r="K4223" s="43"/>
    </row>
    <row r="4224">
      <c r="A4224" s="82"/>
      <c r="B4224" s="33" t="s">
        <v>1158</v>
      </c>
      <c r="C4224" s="42">
        <v>32678.0</v>
      </c>
      <c r="D4224" s="33" t="s">
        <v>1162</v>
      </c>
      <c r="E4224" s="74"/>
      <c r="F4224" s="46" t="s">
        <v>35557</v>
      </c>
      <c r="G4224" s="75"/>
      <c r="H4224" s="74"/>
      <c r="K4224" s="43"/>
    </row>
    <row r="4225">
      <c r="A4225" s="82"/>
      <c r="B4225" s="33" t="s">
        <v>1171</v>
      </c>
      <c r="C4225" s="42">
        <v>13929.0</v>
      </c>
      <c r="D4225" s="33" t="s">
        <v>1174</v>
      </c>
      <c r="E4225" s="74"/>
      <c r="F4225" s="46" t="s">
        <v>35557</v>
      </c>
      <c r="G4225" s="75"/>
      <c r="H4225" s="74"/>
      <c r="K4225" s="43"/>
    </row>
    <row r="4226">
      <c r="A4226" s="82"/>
      <c r="B4226" s="33" t="s">
        <v>1180</v>
      </c>
      <c r="C4226" s="42">
        <v>15866.0</v>
      </c>
      <c r="D4226" s="33" t="s">
        <v>1183</v>
      </c>
      <c r="E4226" s="74"/>
      <c r="F4226" s="46" t="s">
        <v>35557</v>
      </c>
      <c r="G4226" s="75"/>
      <c r="H4226" s="74"/>
      <c r="K4226" s="43"/>
    </row>
    <row r="4227">
      <c r="A4227" s="82"/>
      <c r="B4227" s="33" t="s">
        <v>1190</v>
      </c>
      <c r="C4227" s="42">
        <v>20087.0</v>
      </c>
      <c r="D4227" s="33" t="s">
        <v>35597</v>
      </c>
      <c r="E4227" s="74"/>
      <c r="F4227" s="46" t="s">
        <v>35557</v>
      </c>
      <c r="G4227" s="75"/>
      <c r="H4227" s="74"/>
      <c r="K4227" s="43"/>
    </row>
    <row r="4228">
      <c r="A4228" s="82"/>
      <c r="B4228" s="33" t="s">
        <v>1202</v>
      </c>
      <c r="C4228" s="42">
        <v>29771.0</v>
      </c>
      <c r="D4228" s="33" t="s">
        <v>1204</v>
      </c>
      <c r="E4228" s="74"/>
      <c r="F4228" s="46" t="s">
        <v>35557</v>
      </c>
      <c r="G4228" s="75"/>
      <c r="H4228" s="74"/>
      <c r="K4228" s="43"/>
    </row>
    <row r="4229">
      <c r="A4229" s="82"/>
      <c r="B4229" s="33" t="s">
        <v>1210</v>
      </c>
      <c r="C4229" s="42">
        <v>5430.0</v>
      </c>
      <c r="D4229" s="33" t="s">
        <v>1212</v>
      </c>
      <c r="E4229" s="74"/>
      <c r="F4229" s="46" t="s">
        <v>35557</v>
      </c>
      <c r="G4229" s="75"/>
      <c r="H4229" s="74"/>
      <c r="K4229" s="43"/>
    </row>
    <row r="4230">
      <c r="A4230" s="82"/>
      <c r="B4230" s="33" t="s">
        <v>1221</v>
      </c>
      <c r="C4230" s="42">
        <v>4536.0</v>
      </c>
      <c r="D4230" s="33" t="s">
        <v>1225</v>
      </c>
      <c r="E4230" s="74"/>
      <c r="F4230" s="46" t="s">
        <v>35557</v>
      </c>
      <c r="G4230" s="75"/>
      <c r="H4230" s="74"/>
      <c r="K4230" s="43"/>
    </row>
    <row r="4231">
      <c r="A4231" s="82"/>
      <c r="B4231" s="33" t="s">
        <v>1233</v>
      </c>
      <c r="C4231" s="42">
        <v>14938.0</v>
      </c>
      <c r="D4231" s="33" t="s">
        <v>1236</v>
      </c>
      <c r="E4231" s="74"/>
      <c r="F4231" s="46" t="s">
        <v>35557</v>
      </c>
      <c r="G4231" s="75"/>
      <c r="H4231" s="74"/>
      <c r="K4231" s="43"/>
    </row>
    <row r="4232">
      <c r="A4232" s="55"/>
      <c r="B4232" s="33" t="s">
        <v>35599</v>
      </c>
      <c r="C4232" s="42">
        <v>23668.0</v>
      </c>
      <c r="D4232" s="31"/>
      <c r="E4232" s="74"/>
      <c r="F4232" s="46" t="s">
        <v>35557</v>
      </c>
      <c r="G4232" s="75"/>
      <c r="H4232" s="74"/>
      <c r="K4232" s="43"/>
    </row>
    <row r="4233">
      <c r="A4233" s="82"/>
      <c r="B4233" s="33" t="s">
        <v>1243</v>
      </c>
      <c r="C4233" s="42">
        <v>2146.0</v>
      </c>
      <c r="D4233" s="33" t="s">
        <v>1247</v>
      </c>
      <c r="E4233" s="74"/>
      <c r="F4233" s="46" t="s">
        <v>35557</v>
      </c>
      <c r="G4233" s="75"/>
      <c r="H4233" s="74"/>
      <c r="K4233" s="43"/>
    </row>
    <row r="4234">
      <c r="A4234" s="82"/>
      <c r="B4234" s="33" t="s">
        <v>1256</v>
      </c>
      <c r="C4234" s="42">
        <v>11935.0</v>
      </c>
      <c r="D4234" s="33" t="s">
        <v>1260</v>
      </c>
      <c r="E4234" s="74"/>
      <c r="F4234" s="46" t="s">
        <v>35557</v>
      </c>
      <c r="G4234" s="75"/>
      <c r="H4234" s="74"/>
      <c r="K4234" s="43"/>
    </row>
    <row r="4235">
      <c r="A4235" s="82"/>
      <c r="B4235" s="33" t="s">
        <v>1267</v>
      </c>
      <c r="C4235" s="42">
        <v>2884.0</v>
      </c>
      <c r="D4235" s="33" t="s">
        <v>1269</v>
      </c>
      <c r="E4235" s="74"/>
      <c r="F4235" s="46" t="s">
        <v>35557</v>
      </c>
      <c r="G4235" s="75"/>
      <c r="H4235" s="74"/>
      <c r="K4235" s="43"/>
    </row>
    <row r="4236">
      <c r="A4236" s="82"/>
      <c r="B4236" s="57" t="s">
        <v>1279</v>
      </c>
      <c r="C4236" s="58">
        <v>6262.0</v>
      </c>
      <c r="D4236" s="57" t="s">
        <v>1283</v>
      </c>
      <c r="E4236" s="19"/>
      <c r="F4236" s="61" t="s">
        <v>35557</v>
      </c>
      <c r="G4236" s="71"/>
      <c r="H4236" s="19"/>
      <c r="I4236" s="19"/>
      <c r="J4236" s="19"/>
      <c r="K4236" s="64"/>
    </row>
    <row r="4237">
      <c r="A4237" s="12"/>
      <c r="B4237" s="12"/>
      <c r="C4237" s="65"/>
      <c r="D4237" s="34"/>
      <c r="E4237" s="34"/>
      <c r="F4237" s="67"/>
      <c r="G4237" s="67"/>
      <c r="H4237" s="34"/>
      <c r="I4237" s="34"/>
      <c r="J4237" s="34"/>
      <c r="K4237" s="34"/>
    </row>
    <row r="4238">
      <c r="A4238" s="68"/>
      <c r="B4238" s="69" t="s">
        <v>35602</v>
      </c>
      <c r="C4238" s="144"/>
      <c r="D4238" s="19"/>
      <c r="E4238" s="19"/>
      <c r="F4238" s="71"/>
      <c r="G4238" s="71"/>
      <c r="H4238" s="19"/>
      <c r="I4238" s="19"/>
      <c r="J4238" s="19"/>
      <c r="K4238" s="19"/>
    </row>
    <row r="4239">
      <c r="A4239" s="82"/>
      <c r="B4239" s="23" t="s">
        <v>461</v>
      </c>
      <c r="C4239" s="24">
        <v>26109.0</v>
      </c>
      <c r="D4239" s="23" t="s">
        <v>464</v>
      </c>
      <c r="E4239" s="34"/>
      <c r="F4239" s="36" t="s">
        <v>35557</v>
      </c>
      <c r="G4239" s="67"/>
      <c r="H4239" s="34"/>
      <c r="I4239" s="34"/>
      <c r="J4239" s="34"/>
      <c r="K4239" s="38"/>
    </row>
    <row r="4240">
      <c r="A4240" s="82"/>
      <c r="B4240" s="33" t="s">
        <v>471</v>
      </c>
      <c r="C4240" s="42">
        <v>18756.0</v>
      </c>
      <c r="D4240" s="33" t="s">
        <v>472</v>
      </c>
      <c r="E4240" s="74"/>
      <c r="F4240" s="46" t="s">
        <v>35557</v>
      </c>
      <c r="G4240" s="75"/>
      <c r="H4240" s="74"/>
      <c r="K4240" s="43"/>
    </row>
    <row r="4241">
      <c r="A4241" s="82"/>
      <c r="B4241" s="33" t="s">
        <v>493</v>
      </c>
      <c r="C4241" s="42">
        <v>11562.0</v>
      </c>
      <c r="D4241" s="33" t="s">
        <v>496</v>
      </c>
      <c r="E4241" s="74"/>
      <c r="F4241" s="46" t="s">
        <v>35557</v>
      </c>
      <c r="G4241" s="75"/>
      <c r="H4241" s="74"/>
      <c r="K4241" s="43"/>
    </row>
    <row r="4242">
      <c r="A4242" s="82"/>
      <c r="B4242" s="33" t="s">
        <v>499</v>
      </c>
      <c r="C4242" s="42">
        <v>12396.0</v>
      </c>
      <c r="D4242" s="33" t="s">
        <v>503</v>
      </c>
      <c r="E4242" s="74"/>
      <c r="F4242" s="46" t="s">
        <v>35557</v>
      </c>
      <c r="G4242" s="75"/>
      <c r="H4242" s="74"/>
      <c r="K4242" s="43"/>
    </row>
    <row r="4243">
      <c r="A4243" s="82"/>
      <c r="B4243" s="33" t="s">
        <v>508</v>
      </c>
      <c r="C4243" s="42">
        <v>29228.0</v>
      </c>
      <c r="D4243" s="33" t="s">
        <v>511</v>
      </c>
      <c r="E4243" s="74"/>
      <c r="F4243" s="46" t="s">
        <v>35557</v>
      </c>
      <c r="G4243" s="75"/>
      <c r="H4243" s="74"/>
      <c r="K4243" s="43"/>
    </row>
    <row r="4244">
      <c r="A4244" s="82"/>
      <c r="B4244" s="33" t="s">
        <v>513</v>
      </c>
      <c r="C4244" s="42">
        <v>10528.0</v>
      </c>
      <c r="D4244" s="33" t="s">
        <v>516</v>
      </c>
      <c r="E4244" s="74"/>
      <c r="F4244" s="46" t="s">
        <v>35557</v>
      </c>
      <c r="G4244" s="75"/>
      <c r="H4244" s="74"/>
      <c r="K4244" s="43"/>
    </row>
    <row r="4245">
      <c r="A4245" s="82"/>
      <c r="B4245" s="33" t="s">
        <v>521</v>
      </c>
      <c r="C4245" s="42">
        <v>9822.0</v>
      </c>
      <c r="D4245" s="33" t="s">
        <v>523</v>
      </c>
      <c r="E4245" s="74"/>
      <c r="F4245" s="46" t="s">
        <v>35557</v>
      </c>
      <c r="G4245" s="75"/>
      <c r="H4245" s="74"/>
      <c r="K4245" s="43"/>
    </row>
    <row r="4246">
      <c r="A4246" s="82"/>
      <c r="B4246" s="33" t="s">
        <v>529</v>
      </c>
      <c r="C4246" s="42">
        <v>8665.0</v>
      </c>
      <c r="D4246" s="33" t="s">
        <v>984</v>
      </c>
      <c r="E4246" s="74"/>
      <c r="F4246" s="46" t="s">
        <v>35557</v>
      </c>
      <c r="G4246" s="75"/>
      <c r="H4246" s="74"/>
      <c r="K4246" s="43"/>
    </row>
    <row r="4247">
      <c r="A4247" s="82"/>
      <c r="B4247" s="33" t="s">
        <v>579</v>
      </c>
      <c r="C4247" s="42">
        <v>5946.0</v>
      </c>
      <c r="D4247" s="33" t="s">
        <v>35560</v>
      </c>
      <c r="E4247" s="74"/>
      <c r="F4247" s="46" t="s">
        <v>35557</v>
      </c>
      <c r="G4247" s="75"/>
      <c r="H4247" s="74"/>
      <c r="K4247" s="43"/>
    </row>
    <row r="4248">
      <c r="A4248" s="82"/>
      <c r="B4248" s="33" t="s">
        <v>589</v>
      </c>
      <c r="C4248" s="42">
        <v>14206.0</v>
      </c>
      <c r="D4248" s="33" t="s">
        <v>1024</v>
      </c>
      <c r="E4248" s="74"/>
      <c r="F4248" s="46" t="s">
        <v>35557</v>
      </c>
      <c r="G4248" s="75"/>
      <c r="H4248" s="74"/>
      <c r="K4248" s="43"/>
    </row>
    <row r="4249">
      <c r="A4249" s="82"/>
      <c r="B4249" s="33" t="s">
        <v>635</v>
      </c>
      <c r="C4249" s="42">
        <v>14382.0</v>
      </c>
      <c r="D4249" s="33" t="s">
        <v>638</v>
      </c>
      <c r="E4249" s="74"/>
      <c r="F4249" s="46" t="s">
        <v>35557</v>
      </c>
      <c r="G4249" s="75"/>
      <c r="H4249" s="74"/>
      <c r="K4249" s="43"/>
    </row>
    <row r="4250">
      <c r="A4250" s="82"/>
      <c r="B4250" s="33" t="s">
        <v>645</v>
      </c>
      <c r="C4250" s="42">
        <v>32713.0</v>
      </c>
      <c r="D4250" s="33" t="s">
        <v>649</v>
      </c>
      <c r="E4250" s="74"/>
      <c r="F4250" s="46" t="s">
        <v>35557</v>
      </c>
      <c r="G4250" s="75"/>
      <c r="H4250" s="74"/>
      <c r="K4250" s="43"/>
    </row>
    <row r="4251">
      <c r="A4251" s="82"/>
      <c r="B4251" s="33" t="s">
        <v>656</v>
      </c>
      <c r="C4251" s="42">
        <v>35709.0</v>
      </c>
      <c r="D4251" s="33" t="s">
        <v>659</v>
      </c>
      <c r="E4251" s="74"/>
      <c r="F4251" s="46" t="s">
        <v>35557</v>
      </c>
      <c r="G4251" s="75"/>
      <c r="H4251" s="74"/>
      <c r="K4251" s="43"/>
    </row>
    <row r="4252">
      <c r="A4252" s="82"/>
      <c r="B4252" s="33" t="s">
        <v>666</v>
      </c>
      <c r="C4252" s="42">
        <v>28184.0</v>
      </c>
      <c r="D4252" s="33" t="s">
        <v>669</v>
      </c>
      <c r="E4252" s="74"/>
      <c r="F4252" s="46" t="s">
        <v>35557</v>
      </c>
      <c r="G4252" s="75"/>
      <c r="H4252" s="74"/>
      <c r="K4252" s="43"/>
    </row>
    <row r="4253">
      <c r="A4253" s="82"/>
      <c r="B4253" s="33" t="s">
        <v>675</v>
      </c>
      <c r="C4253" s="42">
        <v>20317.0</v>
      </c>
      <c r="D4253" s="33" t="s">
        <v>677</v>
      </c>
      <c r="E4253" s="74"/>
      <c r="F4253" s="46" t="s">
        <v>35557</v>
      </c>
      <c r="G4253" s="75"/>
      <c r="H4253" s="74"/>
      <c r="K4253" s="43"/>
    </row>
    <row r="4254">
      <c r="A4254" s="82"/>
      <c r="B4254" s="33" t="s">
        <v>682</v>
      </c>
      <c r="C4254" s="42">
        <v>523.0</v>
      </c>
      <c r="D4254" s="33" t="s">
        <v>684</v>
      </c>
      <c r="E4254" s="74"/>
      <c r="F4254" s="46" t="s">
        <v>35557</v>
      </c>
      <c r="G4254" s="75"/>
      <c r="H4254" s="74"/>
      <c r="K4254" s="43"/>
    </row>
    <row r="4255">
      <c r="A4255" s="55"/>
      <c r="B4255" s="33" t="s">
        <v>704</v>
      </c>
      <c r="C4255" s="42">
        <v>5589.0</v>
      </c>
      <c r="D4255" s="31"/>
      <c r="E4255" s="74"/>
      <c r="F4255" s="46" t="s">
        <v>35557</v>
      </c>
      <c r="G4255" s="75"/>
      <c r="H4255" s="74"/>
      <c r="K4255" s="43"/>
    </row>
    <row r="4256">
      <c r="A4256" s="82"/>
      <c r="B4256" s="33" t="s">
        <v>706</v>
      </c>
      <c r="C4256" s="42">
        <v>19684.0</v>
      </c>
      <c r="D4256" s="33" t="s">
        <v>707</v>
      </c>
      <c r="E4256" s="74"/>
      <c r="F4256" s="46" t="s">
        <v>35557</v>
      </c>
      <c r="G4256" s="75"/>
      <c r="H4256" s="74"/>
      <c r="K4256" s="43"/>
    </row>
    <row r="4257">
      <c r="A4257" s="82"/>
      <c r="B4257" s="33" t="s">
        <v>708</v>
      </c>
      <c r="C4257" s="42">
        <v>9042.0</v>
      </c>
      <c r="D4257" s="33" t="s">
        <v>709</v>
      </c>
      <c r="E4257" s="74"/>
      <c r="F4257" s="46" t="s">
        <v>35557</v>
      </c>
      <c r="G4257" s="75"/>
      <c r="H4257" s="74"/>
      <c r="K4257" s="43"/>
    </row>
    <row r="4258">
      <c r="A4258" s="82"/>
      <c r="B4258" s="33" t="s">
        <v>710</v>
      </c>
      <c r="C4258" s="42">
        <v>5195.0</v>
      </c>
      <c r="D4258" s="33" t="s">
        <v>711</v>
      </c>
      <c r="E4258" s="74"/>
      <c r="F4258" s="46" t="s">
        <v>35557</v>
      </c>
      <c r="G4258" s="75"/>
      <c r="H4258" s="74"/>
      <c r="K4258" s="43"/>
    </row>
    <row r="4259">
      <c r="A4259" s="82"/>
      <c r="B4259" s="33" t="s">
        <v>712</v>
      </c>
      <c r="C4259" s="42">
        <v>11725.0</v>
      </c>
      <c r="D4259" s="33" t="s">
        <v>714</v>
      </c>
      <c r="E4259" s="74"/>
      <c r="F4259" s="46" t="s">
        <v>35557</v>
      </c>
      <c r="G4259" s="75"/>
      <c r="H4259" s="74"/>
      <c r="K4259" s="43"/>
    </row>
    <row r="4260">
      <c r="A4260" s="82"/>
      <c r="B4260" s="33" t="s">
        <v>719</v>
      </c>
      <c r="C4260" s="42">
        <v>3576.0</v>
      </c>
      <c r="D4260" s="33" t="s">
        <v>724</v>
      </c>
      <c r="E4260" s="74"/>
      <c r="F4260" s="46" t="s">
        <v>35557</v>
      </c>
      <c r="G4260" s="75"/>
      <c r="H4260" s="74"/>
      <c r="K4260" s="43"/>
    </row>
    <row r="4261">
      <c r="A4261" s="82"/>
      <c r="B4261" s="33" t="s">
        <v>730</v>
      </c>
      <c r="C4261" s="42">
        <v>1258.0</v>
      </c>
      <c r="D4261" s="33" t="s">
        <v>734</v>
      </c>
      <c r="E4261" s="74"/>
      <c r="F4261" s="46" t="s">
        <v>35557</v>
      </c>
      <c r="G4261" s="75"/>
      <c r="H4261" s="74"/>
      <c r="K4261" s="43"/>
    </row>
    <row r="4262">
      <c r="A4262" s="82"/>
      <c r="B4262" s="33" t="s">
        <v>740</v>
      </c>
      <c r="C4262" s="42">
        <v>9383.0</v>
      </c>
      <c r="D4262" s="33" t="s">
        <v>741</v>
      </c>
      <c r="E4262" s="74"/>
      <c r="F4262" s="46" t="s">
        <v>35557</v>
      </c>
      <c r="G4262" s="75"/>
      <c r="H4262" s="74"/>
      <c r="K4262" s="43"/>
    </row>
    <row r="4263">
      <c r="A4263" s="82"/>
      <c r="B4263" s="33" t="s">
        <v>746</v>
      </c>
      <c r="C4263" s="42">
        <v>9476.0</v>
      </c>
      <c r="D4263" s="33" t="s">
        <v>748</v>
      </c>
      <c r="E4263" s="74"/>
      <c r="F4263" s="46" t="s">
        <v>35557</v>
      </c>
      <c r="G4263" s="75"/>
      <c r="H4263" s="74"/>
      <c r="K4263" s="43"/>
    </row>
    <row r="4264">
      <c r="A4264" s="82"/>
      <c r="B4264" s="33" t="s">
        <v>754</v>
      </c>
      <c r="C4264" s="42">
        <v>29166.0</v>
      </c>
      <c r="D4264" s="33" t="s">
        <v>756</v>
      </c>
      <c r="E4264" s="74"/>
      <c r="F4264" s="46" t="s">
        <v>35557</v>
      </c>
      <c r="G4264" s="75"/>
      <c r="H4264" s="74"/>
      <c r="K4264" s="43"/>
    </row>
    <row r="4265">
      <c r="A4265" s="82"/>
      <c r="B4265" s="33" t="s">
        <v>760</v>
      </c>
      <c r="C4265" s="42">
        <v>7516.0</v>
      </c>
      <c r="D4265" s="33" t="s">
        <v>763</v>
      </c>
      <c r="E4265" s="74"/>
      <c r="F4265" s="46" t="s">
        <v>35557</v>
      </c>
      <c r="G4265" s="75"/>
      <c r="H4265" s="74"/>
      <c r="K4265" s="43"/>
    </row>
    <row r="4266">
      <c r="A4266" s="82"/>
      <c r="B4266" s="33" t="s">
        <v>769</v>
      </c>
      <c r="C4266" s="42">
        <v>11784.0</v>
      </c>
      <c r="D4266" s="33" t="s">
        <v>772</v>
      </c>
      <c r="E4266" s="74"/>
      <c r="F4266" s="46" t="s">
        <v>35557</v>
      </c>
      <c r="G4266" s="75"/>
      <c r="H4266" s="74"/>
      <c r="K4266" s="43"/>
    </row>
    <row r="4267">
      <c r="A4267" s="82"/>
      <c r="B4267" s="33" t="s">
        <v>776</v>
      </c>
      <c r="C4267" s="42">
        <v>28280.0</v>
      </c>
      <c r="D4267" s="33" t="s">
        <v>779</v>
      </c>
      <c r="E4267" s="74"/>
      <c r="F4267" s="46" t="s">
        <v>35557</v>
      </c>
      <c r="G4267" s="75"/>
      <c r="H4267" s="74"/>
      <c r="K4267" s="43"/>
    </row>
    <row r="4268">
      <c r="A4268" s="82"/>
      <c r="B4268" s="33" t="s">
        <v>781</v>
      </c>
      <c r="C4268" s="42">
        <v>8830.0</v>
      </c>
      <c r="D4268" s="33" t="s">
        <v>783</v>
      </c>
      <c r="E4268" s="74"/>
      <c r="F4268" s="46" t="s">
        <v>35557</v>
      </c>
      <c r="G4268" s="75"/>
      <c r="H4268" s="74"/>
      <c r="K4268" s="43"/>
    </row>
    <row r="4269">
      <c r="A4269" s="82"/>
      <c r="B4269" s="33" t="s">
        <v>786</v>
      </c>
      <c r="C4269" s="42">
        <v>1034.0</v>
      </c>
      <c r="D4269" s="33" t="s">
        <v>788</v>
      </c>
      <c r="E4269" s="74"/>
      <c r="F4269" s="46" t="s">
        <v>35557</v>
      </c>
      <c r="G4269" s="75"/>
      <c r="H4269" s="74"/>
      <c r="K4269" s="43"/>
    </row>
    <row r="4270">
      <c r="A4270" s="82"/>
      <c r="B4270" s="33" t="s">
        <v>793</v>
      </c>
      <c r="C4270" s="42">
        <v>15496.0</v>
      </c>
      <c r="D4270" s="33" t="s">
        <v>796</v>
      </c>
      <c r="E4270" s="74"/>
      <c r="F4270" s="46" t="s">
        <v>35557</v>
      </c>
      <c r="G4270" s="75"/>
      <c r="H4270" s="74"/>
      <c r="K4270" s="43"/>
    </row>
    <row r="4271">
      <c r="A4271" s="82"/>
      <c r="B4271" s="33" t="s">
        <v>803</v>
      </c>
      <c r="C4271" s="42">
        <v>83494.0</v>
      </c>
      <c r="D4271" s="33" t="s">
        <v>805</v>
      </c>
      <c r="E4271" s="74"/>
      <c r="F4271" s="46" t="s">
        <v>35557</v>
      </c>
      <c r="G4271" s="75"/>
      <c r="H4271" s="74"/>
      <c r="K4271" s="43"/>
    </row>
    <row r="4272">
      <c r="A4272" s="82"/>
      <c r="B4272" s="33" t="s">
        <v>806</v>
      </c>
      <c r="C4272" s="42">
        <v>4477.0</v>
      </c>
      <c r="D4272" s="33" t="s">
        <v>809</v>
      </c>
      <c r="E4272" s="74"/>
      <c r="F4272" s="46" t="s">
        <v>35557</v>
      </c>
      <c r="G4272" s="75"/>
      <c r="H4272" s="74"/>
      <c r="K4272" s="43"/>
    </row>
    <row r="4273">
      <c r="A4273" s="82"/>
      <c r="B4273" s="33" t="s">
        <v>811</v>
      </c>
      <c r="C4273" s="42">
        <v>19732.0</v>
      </c>
      <c r="D4273" s="33" t="s">
        <v>813</v>
      </c>
      <c r="E4273" s="74"/>
      <c r="F4273" s="46" t="s">
        <v>35557</v>
      </c>
      <c r="G4273" s="75"/>
      <c r="H4273" s="74"/>
      <c r="K4273" s="43"/>
    </row>
    <row r="4274">
      <c r="A4274" s="82"/>
      <c r="B4274" s="33" t="s">
        <v>819</v>
      </c>
      <c r="C4274" s="42">
        <v>7730.0</v>
      </c>
      <c r="D4274" s="33" t="s">
        <v>821</v>
      </c>
      <c r="E4274" s="74"/>
      <c r="F4274" s="46" t="s">
        <v>35557</v>
      </c>
      <c r="G4274" s="75"/>
      <c r="H4274" s="74"/>
      <c r="K4274" s="43"/>
    </row>
    <row r="4275">
      <c r="A4275" s="82"/>
      <c r="B4275" s="33" t="s">
        <v>824</v>
      </c>
      <c r="C4275" s="42">
        <v>19586.0</v>
      </c>
      <c r="D4275" s="33" t="s">
        <v>1008</v>
      </c>
      <c r="E4275" s="74"/>
      <c r="F4275" s="46" t="s">
        <v>35557</v>
      </c>
      <c r="G4275" s="75"/>
      <c r="H4275" s="74"/>
      <c r="K4275" s="43"/>
    </row>
    <row r="4276">
      <c r="A4276" s="55"/>
      <c r="B4276" s="33" t="s">
        <v>35569</v>
      </c>
      <c r="C4276" s="42">
        <v>131.0</v>
      </c>
      <c r="D4276" s="31"/>
      <c r="E4276" s="74"/>
      <c r="F4276" s="46" t="s">
        <v>35557</v>
      </c>
      <c r="G4276" s="75"/>
      <c r="H4276" s="74"/>
      <c r="K4276" s="43"/>
    </row>
    <row r="4277">
      <c r="A4277" s="82"/>
      <c r="B4277" s="33" t="s">
        <v>831</v>
      </c>
      <c r="C4277" s="42">
        <v>4418.0</v>
      </c>
      <c r="D4277" s="33" t="s">
        <v>833</v>
      </c>
      <c r="E4277" s="74"/>
      <c r="F4277" s="46" t="s">
        <v>35557</v>
      </c>
      <c r="G4277" s="75"/>
      <c r="H4277" s="74"/>
      <c r="K4277" s="43"/>
    </row>
    <row r="4278">
      <c r="A4278" s="82"/>
      <c r="B4278" s="33" t="s">
        <v>837</v>
      </c>
      <c r="C4278" s="42">
        <v>22353.0</v>
      </c>
      <c r="D4278" s="33" t="s">
        <v>838</v>
      </c>
      <c r="E4278" s="74"/>
      <c r="F4278" s="46" t="s">
        <v>35557</v>
      </c>
      <c r="G4278" s="75"/>
      <c r="H4278" s="74"/>
      <c r="K4278" s="43"/>
    </row>
    <row r="4279">
      <c r="A4279" s="82"/>
      <c r="B4279" s="33" t="s">
        <v>843</v>
      </c>
      <c r="C4279" s="42">
        <v>11904.0</v>
      </c>
      <c r="D4279" s="33" t="s">
        <v>844</v>
      </c>
      <c r="E4279" s="74"/>
      <c r="F4279" s="46" t="s">
        <v>35557</v>
      </c>
      <c r="G4279" s="75"/>
      <c r="H4279" s="74"/>
      <c r="K4279" s="43"/>
    </row>
    <row r="4280">
      <c r="A4280" s="82"/>
      <c r="B4280" s="33" t="s">
        <v>849</v>
      </c>
      <c r="C4280" s="42">
        <v>23092.0</v>
      </c>
      <c r="D4280" s="33" t="s">
        <v>852</v>
      </c>
      <c r="E4280" s="74"/>
      <c r="F4280" s="46" t="s">
        <v>35557</v>
      </c>
      <c r="G4280" s="75"/>
      <c r="H4280" s="74"/>
      <c r="K4280" s="43"/>
    </row>
    <row r="4281">
      <c r="A4281" s="82"/>
      <c r="B4281" s="33" t="s">
        <v>856</v>
      </c>
      <c r="C4281" s="42">
        <v>17693.0</v>
      </c>
      <c r="D4281" s="33" t="s">
        <v>857</v>
      </c>
      <c r="E4281" s="74"/>
      <c r="F4281" s="46" t="s">
        <v>35557</v>
      </c>
      <c r="G4281" s="75"/>
      <c r="H4281" s="74"/>
      <c r="K4281" s="43"/>
    </row>
    <row r="4282">
      <c r="A4282" s="82"/>
      <c r="B4282" s="33" t="s">
        <v>862</v>
      </c>
      <c r="C4282" s="42">
        <v>16492.0</v>
      </c>
      <c r="D4282" s="33" t="s">
        <v>865</v>
      </c>
      <c r="E4282" s="74"/>
      <c r="F4282" s="46" t="s">
        <v>35557</v>
      </c>
      <c r="G4282" s="75"/>
      <c r="H4282" s="74"/>
      <c r="K4282" s="43"/>
    </row>
    <row r="4283">
      <c r="A4283" s="82"/>
      <c r="B4283" s="33" t="s">
        <v>870</v>
      </c>
      <c r="C4283" s="42">
        <v>17891.0</v>
      </c>
      <c r="D4283" s="33" t="s">
        <v>873</v>
      </c>
      <c r="E4283" s="74"/>
      <c r="F4283" s="46" t="s">
        <v>35557</v>
      </c>
      <c r="G4283" s="75"/>
      <c r="H4283" s="74"/>
      <c r="K4283" s="43"/>
    </row>
    <row r="4284">
      <c r="A4284" s="82"/>
      <c r="B4284" s="33" t="s">
        <v>879</v>
      </c>
      <c r="C4284" s="42">
        <v>11256.0</v>
      </c>
      <c r="D4284" s="33" t="s">
        <v>880</v>
      </c>
      <c r="E4284" s="74"/>
      <c r="F4284" s="46" t="s">
        <v>35557</v>
      </c>
      <c r="G4284" s="75"/>
      <c r="H4284" s="74"/>
      <c r="K4284" s="43"/>
    </row>
    <row r="4285">
      <c r="A4285" s="82"/>
      <c r="B4285" s="33" t="s">
        <v>884</v>
      </c>
      <c r="C4285" s="42">
        <v>31550.0</v>
      </c>
      <c r="D4285" s="33" t="s">
        <v>886</v>
      </c>
      <c r="E4285" s="74"/>
      <c r="F4285" s="46" t="s">
        <v>35557</v>
      </c>
      <c r="G4285" s="75"/>
      <c r="H4285" s="74"/>
      <c r="K4285" s="43"/>
    </row>
    <row r="4286">
      <c r="A4286" s="82"/>
      <c r="B4286" s="33" t="s">
        <v>888</v>
      </c>
      <c r="C4286" s="42">
        <v>14225.0</v>
      </c>
      <c r="D4286" s="33" t="s">
        <v>897</v>
      </c>
      <c r="E4286" s="74"/>
      <c r="F4286" s="46" t="s">
        <v>35557</v>
      </c>
      <c r="G4286" s="75"/>
      <c r="H4286" s="74"/>
      <c r="K4286" s="43"/>
    </row>
    <row r="4287">
      <c r="A4287" s="82"/>
      <c r="B4287" s="33" t="s">
        <v>902</v>
      </c>
      <c r="C4287" s="42">
        <v>39715.0</v>
      </c>
      <c r="D4287" s="33" t="s">
        <v>906</v>
      </c>
      <c r="E4287" s="74"/>
      <c r="F4287" s="46" t="s">
        <v>35557</v>
      </c>
      <c r="G4287" s="75"/>
      <c r="H4287" s="74"/>
      <c r="K4287" s="43"/>
    </row>
    <row r="4288">
      <c r="A4288" s="82"/>
      <c r="B4288" s="33" t="s">
        <v>913</v>
      </c>
      <c r="C4288" s="42">
        <v>58546.0</v>
      </c>
      <c r="D4288" s="33" t="s">
        <v>916</v>
      </c>
      <c r="E4288" s="74"/>
      <c r="F4288" s="46" t="s">
        <v>35557</v>
      </c>
      <c r="G4288" s="75"/>
      <c r="H4288" s="74"/>
      <c r="K4288" s="43"/>
    </row>
    <row r="4289">
      <c r="A4289" s="82"/>
      <c r="B4289" s="33" t="s">
        <v>930</v>
      </c>
      <c r="C4289" s="42">
        <v>21535.0</v>
      </c>
      <c r="D4289" s="33" t="s">
        <v>932</v>
      </c>
      <c r="E4289" s="74"/>
      <c r="F4289" s="46" t="s">
        <v>35557</v>
      </c>
      <c r="G4289" s="75"/>
      <c r="H4289" s="74"/>
      <c r="K4289" s="43"/>
    </row>
    <row r="4290">
      <c r="A4290" s="82"/>
      <c r="B4290" s="33" t="s">
        <v>938</v>
      </c>
      <c r="C4290" s="42">
        <v>32418.0</v>
      </c>
      <c r="D4290" s="33" t="s">
        <v>941</v>
      </c>
      <c r="E4290" s="74"/>
      <c r="F4290" s="46" t="s">
        <v>35557</v>
      </c>
      <c r="G4290" s="75"/>
      <c r="H4290" s="74"/>
      <c r="K4290" s="43"/>
    </row>
    <row r="4291">
      <c r="A4291" s="82"/>
      <c r="B4291" s="33" t="s">
        <v>944</v>
      </c>
      <c r="C4291" s="42">
        <v>9530.0</v>
      </c>
      <c r="D4291" s="33" t="s">
        <v>945</v>
      </c>
      <c r="E4291" s="74"/>
      <c r="F4291" s="46" t="s">
        <v>35557</v>
      </c>
      <c r="G4291" s="75"/>
      <c r="H4291" s="74"/>
      <c r="K4291" s="43"/>
    </row>
    <row r="4292">
      <c r="A4292" s="82"/>
      <c r="B4292" s="33" t="s">
        <v>947</v>
      </c>
      <c r="C4292" s="42">
        <v>15397.0</v>
      </c>
      <c r="D4292" s="33" t="s">
        <v>948</v>
      </c>
      <c r="E4292" s="74"/>
      <c r="F4292" s="46" t="s">
        <v>35557</v>
      </c>
      <c r="G4292" s="75"/>
      <c r="H4292" s="74"/>
      <c r="K4292" s="43"/>
    </row>
    <row r="4293">
      <c r="A4293" s="82"/>
      <c r="B4293" s="33" t="s">
        <v>950</v>
      </c>
      <c r="C4293" s="42">
        <v>3921.0</v>
      </c>
      <c r="D4293" s="33" t="s">
        <v>952</v>
      </c>
      <c r="E4293" s="74"/>
      <c r="F4293" s="46" t="s">
        <v>35557</v>
      </c>
      <c r="G4293" s="75"/>
      <c r="H4293" s="74"/>
      <c r="K4293" s="43"/>
    </row>
    <row r="4294">
      <c r="A4294" s="82"/>
      <c r="B4294" s="33" t="s">
        <v>959</v>
      </c>
      <c r="C4294" s="42">
        <v>12126.0</v>
      </c>
      <c r="D4294" s="33" t="s">
        <v>961</v>
      </c>
      <c r="E4294" s="74"/>
      <c r="F4294" s="46" t="s">
        <v>35557</v>
      </c>
      <c r="G4294" s="75"/>
      <c r="H4294" s="74"/>
      <c r="K4294" s="43"/>
    </row>
    <row r="4295">
      <c r="A4295" s="82"/>
      <c r="B4295" s="33" t="s">
        <v>966</v>
      </c>
      <c r="C4295" s="42">
        <v>15645.0</v>
      </c>
      <c r="D4295" s="33" t="s">
        <v>35577</v>
      </c>
      <c r="E4295" s="74"/>
      <c r="F4295" s="46" t="s">
        <v>35557</v>
      </c>
      <c r="G4295" s="75"/>
      <c r="H4295" s="74"/>
      <c r="K4295" s="43"/>
    </row>
    <row r="4296">
      <c r="A4296" s="82"/>
      <c r="B4296" s="33" t="s">
        <v>973</v>
      </c>
      <c r="C4296" s="42">
        <v>40655.0</v>
      </c>
      <c r="D4296" s="33" t="s">
        <v>976</v>
      </c>
      <c r="E4296" s="74"/>
      <c r="F4296" s="46" t="s">
        <v>35557</v>
      </c>
      <c r="G4296" s="75"/>
      <c r="H4296" s="74"/>
      <c r="K4296" s="43"/>
    </row>
    <row r="4297">
      <c r="A4297" s="82"/>
      <c r="B4297" s="33" t="s">
        <v>982</v>
      </c>
      <c r="C4297" s="42">
        <v>35233.0</v>
      </c>
      <c r="D4297" s="33" t="s">
        <v>984</v>
      </c>
      <c r="E4297" s="74"/>
      <c r="F4297" s="46" t="s">
        <v>35557</v>
      </c>
      <c r="G4297" s="75"/>
      <c r="H4297" s="74"/>
      <c r="K4297" s="43"/>
    </row>
    <row r="4298">
      <c r="A4298" s="82"/>
      <c r="B4298" s="33" t="s">
        <v>992</v>
      </c>
      <c r="C4298" s="42">
        <v>9029.0</v>
      </c>
      <c r="D4298" s="33" t="s">
        <v>993</v>
      </c>
      <c r="E4298" s="74"/>
      <c r="F4298" s="46" t="s">
        <v>35557</v>
      </c>
      <c r="G4298" s="75"/>
      <c r="H4298" s="74"/>
      <c r="K4298" s="43"/>
    </row>
    <row r="4299">
      <c r="A4299" s="82"/>
      <c r="B4299" s="33" t="s">
        <v>998</v>
      </c>
      <c r="C4299" s="42">
        <v>7181.0</v>
      </c>
      <c r="D4299" s="33" t="s">
        <v>35583</v>
      </c>
      <c r="E4299" s="74"/>
      <c r="F4299" s="46" t="s">
        <v>35557</v>
      </c>
      <c r="G4299" s="75"/>
      <c r="H4299" s="74"/>
      <c r="K4299" s="43"/>
    </row>
    <row r="4300">
      <c r="A4300" s="82"/>
      <c r="B4300" s="33" t="s">
        <v>1006</v>
      </c>
      <c r="C4300" s="42">
        <v>12441.0</v>
      </c>
      <c r="D4300" s="33" t="s">
        <v>1008</v>
      </c>
      <c r="E4300" s="74"/>
      <c r="F4300" s="46" t="s">
        <v>35557</v>
      </c>
      <c r="G4300" s="75"/>
      <c r="H4300" s="74"/>
      <c r="K4300" s="43"/>
    </row>
    <row r="4301">
      <c r="A4301" s="82"/>
      <c r="B4301" s="33" t="s">
        <v>1014</v>
      </c>
      <c r="C4301" s="42">
        <v>29357.0</v>
      </c>
      <c r="D4301" s="33" t="s">
        <v>1016</v>
      </c>
      <c r="E4301" s="74"/>
      <c r="F4301" s="46" t="s">
        <v>35557</v>
      </c>
      <c r="G4301" s="75"/>
      <c r="H4301" s="74"/>
      <c r="K4301" s="43"/>
    </row>
    <row r="4302">
      <c r="A4302" s="82"/>
      <c r="B4302" s="33" t="s">
        <v>1018</v>
      </c>
      <c r="C4302" s="42">
        <v>36179.0</v>
      </c>
      <c r="D4302" s="33" t="s">
        <v>1020</v>
      </c>
      <c r="E4302" s="74"/>
      <c r="F4302" s="46" t="s">
        <v>35557</v>
      </c>
      <c r="G4302" s="75"/>
      <c r="H4302" s="74"/>
      <c r="K4302" s="43"/>
    </row>
    <row r="4303">
      <c r="A4303" s="82"/>
      <c r="B4303" s="33" t="s">
        <v>1022</v>
      </c>
      <c r="C4303" s="42">
        <v>7067.0</v>
      </c>
      <c r="D4303" s="33" t="s">
        <v>1024</v>
      </c>
      <c r="E4303" s="74"/>
      <c r="F4303" s="46" t="s">
        <v>35557</v>
      </c>
      <c r="G4303" s="75"/>
      <c r="H4303" s="74"/>
      <c r="K4303" s="43"/>
    </row>
    <row r="4304">
      <c r="A4304" s="82"/>
      <c r="B4304" s="33" t="s">
        <v>1026</v>
      </c>
      <c r="C4304" s="42">
        <v>10115.0</v>
      </c>
      <c r="D4304" s="33" t="s">
        <v>1027</v>
      </c>
      <c r="E4304" s="74"/>
      <c r="F4304" s="46" t="s">
        <v>35557</v>
      </c>
      <c r="G4304" s="75"/>
      <c r="H4304" s="74"/>
      <c r="K4304" s="43"/>
    </row>
    <row r="4305">
      <c r="A4305" s="82"/>
      <c r="B4305" s="33" t="s">
        <v>1029</v>
      </c>
      <c r="C4305" s="42">
        <v>3810.0</v>
      </c>
      <c r="D4305" s="52" t="s">
        <v>35586</v>
      </c>
      <c r="E4305" s="74"/>
      <c r="F4305" s="46" t="s">
        <v>35557</v>
      </c>
      <c r="G4305" s="75"/>
      <c r="H4305" s="74"/>
      <c r="K4305" s="43"/>
    </row>
    <row r="4306">
      <c r="A4306" s="82"/>
      <c r="B4306" s="33" t="s">
        <v>1036</v>
      </c>
      <c r="C4306" s="42">
        <v>14069.0</v>
      </c>
      <c r="D4306" s="33" t="s">
        <v>1038</v>
      </c>
      <c r="E4306" s="74"/>
      <c r="F4306" s="46" t="s">
        <v>35557</v>
      </c>
      <c r="G4306" s="75"/>
      <c r="H4306" s="74"/>
      <c r="K4306" s="43"/>
    </row>
    <row r="4307">
      <c r="A4307" s="82"/>
      <c r="B4307" s="33" t="s">
        <v>1040</v>
      </c>
      <c r="C4307" s="42">
        <v>9386.0</v>
      </c>
      <c r="D4307" s="33" t="s">
        <v>1042</v>
      </c>
      <c r="E4307" s="74"/>
      <c r="F4307" s="46" t="s">
        <v>35557</v>
      </c>
      <c r="G4307" s="75"/>
      <c r="H4307" s="74"/>
      <c r="K4307" s="43"/>
    </row>
    <row r="4308">
      <c r="A4308" s="82"/>
      <c r="B4308" s="33" t="s">
        <v>1046</v>
      </c>
      <c r="C4308" s="42">
        <v>71021.0</v>
      </c>
      <c r="D4308" s="33" t="s">
        <v>1048</v>
      </c>
      <c r="E4308" s="74"/>
      <c r="F4308" s="46" t="s">
        <v>35557</v>
      </c>
      <c r="G4308" s="75"/>
      <c r="H4308" s="74"/>
      <c r="K4308" s="43"/>
    </row>
    <row r="4309">
      <c r="A4309" s="82"/>
      <c r="B4309" s="33" t="s">
        <v>1053</v>
      </c>
      <c r="C4309" s="42">
        <v>20227.0</v>
      </c>
      <c r="D4309" s="33" t="s">
        <v>1054</v>
      </c>
      <c r="E4309" s="74"/>
      <c r="F4309" s="46" t="s">
        <v>35557</v>
      </c>
      <c r="G4309" s="75"/>
      <c r="H4309" s="74"/>
      <c r="K4309" s="43"/>
    </row>
    <row r="4310">
      <c r="A4310" s="82"/>
      <c r="B4310" s="33" t="s">
        <v>1060</v>
      </c>
      <c r="C4310" s="42">
        <v>5023.0</v>
      </c>
      <c r="D4310" s="33" t="s">
        <v>1062</v>
      </c>
      <c r="E4310" s="74"/>
      <c r="F4310" s="46" t="s">
        <v>35557</v>
      </c>
      <c r="G4310" s="75"/>
      <c r="H4310" s="74"/>
      <c r="K4310" s="43"/>
    </row>
    <row r="4311">
      <c r="A4311" s="82"/>
      <c r="B4311" s="33" t="s">
        <v>1067</v>
      </c>
      <c r="C4311" s="42">
        <v>5972.0</v>
      </c>
      <c r="D4311" s="33" t="s">
        <v>1068</v>
      </c>
      <c r="E4311" s="74"/>
      <c r="F4311" s="46" t="s">
        <v>35557</v>
      </c>
      <c r="G4311" s="75"/>
      <c r="H4311" s="74"/>
      <c r="K4311" s="43"/>
    </row>
    <row r="4312">
      <c r="A4312" s="55"/>
      <c r="B4312" s="33" t="s">
        <v>35589</v>
      </c>
      <c r="C4312" s="42">
        <v>4359.0</v>
      </c>
      <c r="D4312" s="31"/>
      <c r="E4312" s="74"/>
      <c r="F4312" s="46" t="s">
        <v>35557</v>
      </c>
      <c r="G4312" s="75"/>
      <c r="H4312" s="74"/>
      <c r="K4312" s="43"/>
    </row>
    <row r="4313">
      <c r="A4313" s="82"/>
      <c r="B4313" s="33" t="s">
        <v>1073</v>
      </c>
      <c r="C4313" s="42">
        <v>28062.0</v>
      </c>
      <c r="D4313" s="33" t="s">
        <v>1075</v>
      </c>
      <c r="E4313" s="74"/>
      <c r="F4313" s="46" t="s">
        <v>35557</v>
      </c>
      <c r="G4313" s="75"/>
      <c r="H4313" s="74"/>
      <c r="K4313" s="43"/>
    </row>
    <row r="4314">
      <c r="A4314" s="55"/>
      <c r="B4314" s="33" t="s">
        <v>35590</v>
      </c>
      <c r="C4314" s="42">
        <v>888.0</v>
      </c>
      <c r="D4314" s="31"/>
      <c r="E4314" s="74"/>
      <c r="F4314" s="46" t="s">
        <v>35557</v>
      </c>
      <c r="G4314" s="75"/>
      <c r="H4314" s="74"/>
      <c r="K4314" s="43"/>
    </row>
    <row r="4315">
      <c r="A4315" s="82"/>
      <c r="B4315" s="33" t="s">
        <v>1079</v>
      </c>
      <c r="C4315" s="42">
        <v>13356.0</v>
      </c>
      <c r="D4315" s="33" t="s">
        <v>1084</v>
      </c>
      <c r="E4315" s="74"/>
      <c r="F4315" s="46" t="s">
        <v>35557</v>
      </c>
      <c r="G4315" s="75"/>
      <c r="H4315" s="74"/>
      <c r="K4315" s="43"/>
    </row>
    <row r="4316">
      <c r="A4316" s="82"/>
      <c r="B4316" s="33" t="s">
        <v>1089</v>
      </c>
      <c r="C4316" s="42">
        <v>3568.0</v>
      </c>
      <c r="D4316" s="52" t="s">
        <v>35592</v>
      </c>
      <c r="E4316" s="74"/>
      <c r="F4316" s="46" t="s">
        <v>35557</v>
      </c>
      <c r="G4316" s="75"/>
      <c r="H4316" s="74"/>
      <c r="K4316" s="43"/>
    </row>
    <row r="4317">
      <c r="A4317" s="82"/>
      <c r="B4317" s="33" t="s">
        <v>1099</v>
      </c>
      <c r="C4317" s="42">
        <v>11435.0</v>
      </c>
      <c r="D4317" s="33" t="s">
        <v>1101</v>
      </c>
      <c r="E4317" s="74"/>
      <c r="F4317" s="46" t="s">
        <v>35557</v>
      </c>
      <c r="G4317" s="75"/>
      <c r="H4317" s="74"/>
      <c r="K4317" s="43"/>
    </row>
    <row r="4318">
      <c r="A4318" s="82"/>
      <c r="B4318" s="33" t="s">
        <v>1106</v>
      </c>
      <c r="C4318" s="42">
        <v>11326.0</v>
      </c>
      <c r="D4318" s="33" t="s">
        <v>1109</v>
      </c>
      <c r="E4318" s="74"/>
      <c r="F4318" s="46" t="s">
        <v>35557</v>
      </c>
      <c r="G4318" s="75"/>
      <c r="H4318" s="74"/>
      <c r="K4318" s="43"/>
    </row>
    <row r="4319">
      <c r="A4319" s="82"/>
      <c r="B4319" s="33" t="s">
        <v>1121</v>
      </c>
      <c r="C4319" s="42">
        <v>11487.0</v>
      </c>
      <c r="D4319" s="33" t="s">
        <v>1124</v>
      </c>
      <c r="E4319" s="74"/>
      <c r="F4319" s="46" t="s">
        <v>35557</v>
      </c>
      <c r="G4319" s="75"/>
      <c r="H4319" s="74"/>
      <c r="K4319" s="43"/>
    </row>
    <row r="4320">
      <c r="A4320" s="82"/>
      <c r="B4320" s="33" t="s">
        <v>1129</v>
      </c>
      <c r="C4320" s="42">
        <v>11578.0</v>
      </c>
      <c r="D4320" s="33" t="s">
        <v>1132</v>
      </c>
      <c r="E4320" s="74"/>
      <c r="F4320" s="46" t="s">
        <v>35557</v>
      </c>
      <c r="G4320" s="75"/>
      <c r="H4320" s="74"/>
      <c r="K4320" s="43"/>
    </row>
    <row r="4321">
      <c r="A4321" s="82"/>
      <c r="B4321" s="33" t="s">
        <v>1135</v>
      </c>
      <c r="C4321" s="42">
        <v>20342.0</v>
      </c>
      <c r="D4321" s="33" t="s">
        <v>1137</v>
      </c>
      <c r="E4321" s="74"/>
      <c r="F4321" s="46" t="s">
        <v>35557</v>
      </c>
      <c r="G4321" s="75"/>
      <c r="H4321" s="74"/>
      <c r="K4321" s="43"/>
    </row>
    <row r="4322">
      <c r="A4322" s="82"/>
      <c r="B4322" s="33" t="s">
        <v>1143</v>
      </c>
      <c r="C4322" s="42">
        <v>10820.0</v>
      </c>
      <c r="D4322" s="33" t="s">
        <v>35595</v>
      </c>
      <c r="E4322" s="74"/>
      <c r="F4322" s="46" t="s">
        <v>35557</v>
      </c>
      <c r="G4322" s="75"/>
      <c r="H4322" s="74"/>
      <c r="K4322" s="43"/>
    </row>
    <row r="4323">
      <c r="A4323" s="82"/>
      <c r="B4323" s="33" t="s">
        <v>1149</v>
      </c>
      <c r="C4323" s="42">
        <v>47357.0</v>
      </c>
      <c r="D4323" s="33" t="s">
        <v>1151</v>
      </c>
      <c r="E4323" s="74"/>
      <c r="F4323" s="46" t="s">
        <v>35557</v>
      </c>
      <c r="G4323" s="75"/>
      <c r="H4323" s="74"/>
      <c r="K4323" s="43"/>
    </row>
    <row r="4324">
      <c r="A4324" s="82"/>
      <c r="B4324" s="33" t="s">
        <v>1158</v>
      </c>
      <c r="C4324" s="42">
        <v>32747.0</v>
      </c>
      <c r="D4324" s="33" t="s">
        <v>1162</v>
      </c>
      <c r="E4324" s="74"/>
      <c r="F4324" s="46" t="s">
        <v>35557</v>
      </c>
      <c r="G4324" s="75"/>
      <c r="H4324" s="74"/>
      <c r="K4324" s="43"/>
    </row>
    <row r="4325">
      <c r="A4325" s="82"/>
      <c r="B4325" s="33" t="s">
        <v>1171</v>
      </c>
      <c r="C4325" s="42">
        <v>13928.0</v>
      </c>
      <c r="D4325" s="33" t="s">
        <v>1174</v>
      </c>
      <c r="E4325" s="74"/>
      <c r="F4325" s="46" t="s">
        <v>35557</v>
      </c>
      <c r="G4325" s="75"/>
      <c r="H4325" s="74"/>
      <c r="K4325" s="43"/>
    </row>
    <row r="4326">
      <c r="A4326" s="82"/>
      <c r="B4326" s="33" t="s">
        <v>1180</v>
      </c>
      <c r="C4326" s="42">
        <v>15637.0</v>
      </c>
      <c r="D4326" s="33" t="s">
        <v>1183</v>
      </c>
      <c r="E4326" s="74"/>
      <c r="F4326" s="46" t="s">
        <v>35557</v>
      </c>
      <c r="G4326" s="75"/>
      <c r="H4326" s="74"/>
      <c r="K4326" s="43"/>
    </row>
    <row r="4327">
      <c r="A4327" s="82"/>
      <c r="B4327" s="33" t="s">
        <v>1190</v>
      </c>
      <c r="C4327" s="42">
        <v>19879.0</v>
      </c>
      <c r="D4327" s="33" t="s">
        <v>35597</v>
      </c>
      <c r="E4327" s="74"/>
      <c r="F4327" s="46" t="s">
        <v>35557</v>
      </c>
      <c r="G4327" s="75"/>
      <c r="H4327" s="74"/>
      <c r="K4327" s="43"/>
    </row>
    <row r="4328">
      <c r="A4328" s="82"/>
      <c r="B4328" s="33" t="s">
        <v>1202</v>
      </c>
      <c r="C4328" s="42">
        <v>30437.0</v>
      </c>
      <c r="D4328" s="33" t="s">
        <v>1204</v>
      </c>
      <c r="E4328" s="74"/>
      <c r="F4328" s="46" t="s">
        <v>35557</v>
      </c>
      <c r="G4328" s="75"/>
      <c r="H4328" s="74"/>
      <c r="K4328" s="43"/>
    </row>
    <row r="4329">
      <c r="A4329" s="82"/>
      <c r="B4329" s="33" t="s">
        <v>1210</v>
      </c>
      <c r="C4329" s="42">
        <v>5246.0</v>
      </c>
      <c r="D4329" s="33" t="s">
        <v>1212</v>
      </c>
      <c r="E4329" s="74"/>
      <c r="F4329" s="46" t="s">
        <v>35557</v>
      </c>
      <c r="G4329" s="75"/>
      <c r="H4329" s="74"/>
      <c r="K4329" s="43"/>
    </row>
    <row r="4330">
      <c r="A4330" s="82"/>
      <c r="B4330" s="33" t="s">
        <v>1221</v>
      </c>
      <c r="C4330" s="42">
        <v>4604.0</v>
      </c>
      <c r="D4330" s="33" t="s">
        <v>1225</v>
      </c>
      <c r="E4330" s="74"/>
      <c r="F4330" s="46" t="s">
        <v>35557</v>
      </c>
      <c r="G4330" s="75"/>
      <c r="H4330" s="74"/>
      <c r="K4330" s="43"/>
    </row>
    <row r="4331">
      <c r="A4331" s="82"/>
      <c r="B4331" s="33" t="s">
        <v>1233</v>
      </c>
      <c r="C4331" s="42">
        <v>14813.0</v>
      </c>
      <c r="D4331" s="33" t="s">
        <v>1236</v>
      </c>
      <c r="E4331" s="74"/>
      <c r="F4331" s="46" t="s">
        <v>35557</v>
      </c>
      <c r="G4331" s="75"/>
      <c r="H4331" s="74"/>
      <c r="K4331" s="43"/>
    </row>
    <row r="4332">
      <c r="A4332" s="55"/>
      <c r="B4332" s="33" t="s">
        <v>35599</v>
      </c>
      <c r="C4332" s="42">
        <v>16936.0</v>
      </c>
      <c r="D4332" s="31"/>
      <c r="E4332" s="74"/>
      <c r="F4332" s="46" t="s">
        <v>35557</v>
      </c>
      <c r="G4332" s="75"/>
      <c r="H4332" s="74"/>
      <c r="K4332" s="43"/>
    </row>
    <row r="4333">
      <c r="A4333" s="82"/>
      <c r="B4333" s="33" t="s">
        <v>1243</v>
      </c>
      <c r="C4333" s="42">
        <v>1944.0</v>
      </c>
      <c r="D4333" s="33" t="s">
        <v>1247</v>
      </c>
      <c r="E4333" s="74"/>
      <c r="F4333" s="46" t="s">
        <v>35557</v>
      </c>
      <c r="G4333" s="75"/>
      <c r="H4333" s="74"/>
      <c r="K4333" s="43"/>
    </row>
    <row r="4334">
      <c r="A4334" s="82"/>
      <c r="B4334" s="33" t="s">
        <v>1256</v>
      </c>
      <c r="C4334" s="42">
        <v>12116.0</v>
      </c>
      <c r="D4334" s="33" t="s">
        <v>1260</v>
      </c>
      <c r="E4334" s="74"/>
      <c r="F4334" s="46" t="s">
        <v>35557</v>
      </c>
      <c r="G4334" s="75"/>
      <c r="H4334" s="74"/>
      <c r="K4334" s="43"/>
    </row>
    <row r="4335">
      <c r="A4335" s="82"/>
      <c r="B4335" s="33" t="s">
        <v>1267</v>
      </c>
      <c r="C4335" s="42">
        <v>2884.0</v>
      </c>
      <c r="D4335" s="33" t="s">
        <v>1269</v>
      </c>
      <c r="E4335" s="74"/>
      <c r="F4335" s="46" t="s">
        <v>35557</v>
      </c>
      <c r="G4335" s="75"/>
      <c r="H4335" s="74"/>
      <c r="K4335" s="43"/>
    </row>
    <row r="4336">
      <c r="A4336" s="82"/>
      <c r="B4336" s="57" t="s">
        <v>1279</v>
      </c>
      <c r="C4336" s="58">
        <v>5954.0</v>
      </c>
      <c r="D4336" s="57" t="s">
        <v>1283</v>
      </c>
      <c r="E4336" s="19"/>
      <c r="F4336" s="61" t="s">
        <v>35557</v>
      </c>
      <c r="G4336" s="71"/>
      <c r="H4336" s="19"/>
      <c r="I4336" s="19"/>
      <c r="J4336" s="19"/>
      <c r="K4336" s="64"/>
    </row>
  </sheetData>
  <hyperlinks>
    <hyperlink r:id="rId1" ref="B4115"/>
    <hyperlink r:id="rId2" ref="B4117"/>
    <hyperlink r:id="rId3" ref="B4118"/>
    <hyperlink r:id="rId4" ref="B4119"/>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2" width="6.86"/>
    <col customWidth="1" min="3" max="3" width="11.14"/>
    <col customWidth="1" min="4" max="4" width="44.0"/>
    <col customWidth="1" min="5" max="5" width="16.43"/>
    <col customWidth="1" min="6" max="6" width="15.29"/>
    <col customWidth="1" min="7" max="7" width="14.14"/>
    <col customWidth="1" min="8" max="8" width="23.71"/>
    <col customWidth="1" min="9" max="9" width="6.43"/>
    <col customWidth="1" min="10" max="10" width="3.29"/>
    <col customWidth="1" min="11" max="11" width="16.0"/>
  </cols>
  <sheetData>
    <row r="1">
      <c r="A1" s="104" t="s">
        <v>2</v>
      </c>
      <c r="B1" s="105" t="s">
        <v>2804</v>
      </c>
      <c r="C1" s="105" t="s">
        <v>8</v>
      </c>
      <c r="D1" s="106" t="s">
        <v>5</v>
      </c>
      <c r="E1" s="106" t="s">
        <v>2834</v>
      </c>
      <c r="F1" s="106" t="s">
        <v>12</v>
      </c>
      <c r="G1" s="106" t="s">
        <v>13</v>
      </c>
      <c r="H1" s="106" t="s">
        <v>7</v>
      </c>
      <c r="I1" s="107"/>
      <c r="J1" s="108"/>
      <c r="K1" s="109" t="s">
        <v>9</v>
      </c>
    </row>
    <row r="2">
      <c r="A2" s="12"/>
      <c r="B2" s="110" t="s">
        <v>2868</v>
      </c>
      <c r="C2" s="111"/>
      <c r="D2" s="111"/>
      <c r="E2" s="111"/>
      <c r="F2" s="111"/>
      <c r="G2" s="111"/>
      <c r="H2" s="111"/>
      <c r="I2" s="111"/>
      <c r="J2" s="111"/>
      <c r="K2" s="113"/>
    </row>
    <row r="3">
      <c r="A3" s="68"/>
      <c r="B3" s="115" t="s">
        <v>16</v>
      </c>
      <c r="C3" s="116"/>
      <c r="D3" s="117"/>
      <c r="E3" s="28"/>
      <c r="F3" s="28"/>
      <c r="G3" s="118" t="s">
        <v>2940</v>
      </c>
      <c r="H3" s="28"/>
      <c r="I3" s="28"/>
      <c r="J3" s="34"/>
      <c r="K3" s="34"/>
    </row>
    <row r="4">
      <c r="A4" s="40"/>
      <c r="B4" s="119" t="s">
        <v>2952</v>
      </c>
      <c r="C4" s="120" t="s">
        <v>2959</v>
      </c>
      <c r="D4" s="20" t="s">
        <v>2967</v>
      </c>
      <c r="E4" s="39" t="s">
        <v>64</v>
      </c>
      <c r="F4" s="121" t="s">
        <v>2971</v>
      </c>
      <c r="G4" s="98" t="str">
        <f>HYPERLINK("http://mirror.ff7data.com.ar/ff7/data/battle/battle.lgp/agaa.png","View Picture")</f>
        <v>View Picture</v>
      </c>
      <c r="H4" s="75"/>
      <c r="I4" s="74"/>
      <c r="J4" s="74"/>
      <c r="K4" s="74"/>
    </row>
    <row r="5">
      <c r="A5" s="21"/>
      <c r="B5" s="119" t="s">
        <v>2988</v>
      </c>
      <c r="C5" s="120" t="s">
        <v>2989</v>
      </c>
      <c r="D5" s="33" t="s">
        <v>2990</v>
      </c>
      <c r="E5" s="39" t="s">
        <v>64</v>
      </c>
      <c r="F5" s="121" t="s">
        <v>2993</v>
      </c>
      <c r="G5" s="122"/>
      <c r="H5" s="46" t="s">
        <v>3002</v>
      </c>
      <c r="I5" s="74"/>
      <c r="J5" s="74"/>
      <c r="K5" s="74"/>
    </row>
    <row r="6">
      <c r="A6" s="40"/>
      <c r="B6" s="119" t="s">
        <v>3005</v>
      </c>
      <c r="C6" s="120" t="s">
        <v>3007</v>
      </c>
      <c r="D6" s="33" t="s">
        <v>3008</v>
      </c>
      <c r="E6" s="39" t="s">
        <v>64</v>
      </c>
      <c r="F6" s="121" t="s">
        <v>3009</v>
      </c>
      <c r="G6" s="98" t="str">
        <f>HYPERLINK("http://mirror.ff7data.com.ar/ff7/data/battle/battle.lgp/agam.png","View Picture")</f>
        <v>View Picture</v>
      </c>
      <c r="I6" s="74"/>
      <c r="J6" s="74"/>
      <c r="K6" s="74"/>
    </row>
    <row r="7">
      <c r="A7" s="21"/>
      <c r="B7" s="119" t="s">
        <v>3019</v>
      </c>
      <c r="C7" s="120" t="s">
        <v>3020</v>
      </c>
      <c r="D7" s="33" t="s">
        <v>2990</v>
      </c>
      <c r="E7" s="39" t="s">
        <v>64</v>
      </c>
      <c r="F7" s="121" t="s">
        <v>3025</v>
      </c>
      <c r="G7" s="122"/>
      <c r="H7" s="46" t="s">
        <v>3002</v>
      </c>
      <c r="I7" s="74"/>
      <c r="J7" s="74"/>
      <c r="K7" s="74"/>
    </row>
    <row r="8">
      <c r="A8" s="40"/>
      <c r="B8" s="119" t="s">
        <v>3028</v>
      </c>
      <c r="C8" s="120" t="s">
        <v>2959</v>
      </c>
      <c r="D8" s="20" t="s">
        <v>2967</v>
      </c>
      <c r="E8" s="39" t="s">
        <v>67</v>
      </c>
      <c r="F8" s="121" t="s">
        <v>2971</v>
      </c>
      <c r="G8" s="98" t="str">
        <f>HYPERLINK("http://mirror.ff7data.com.ar/ff7/data/battle/battle.lgp/agaa.png","View Picture")</f>
        <v>View Picture</v>
      </c>
      <c r="H8" s="46" t="s">
        <v>3037</v>
      </c>
      <c r="I8" s="74"/>
      <c r="J8" s="74"/>
      <c r="K8" s="74"/>
    </row>
    <row r="9">
      <c r="A9" s="21"/>
      <c r="B9" s="119" t="s">
        <v>3039</v>
      </c>
      <c r="C9" s="120" t="s">
        <v>2989</v>
      </c>
      <c r="D9" s="33" t="s">
        <v>2990</v>
      </c>
      <c r="E9" s="51" t="s">
        <v>67</v>
      </c>
      <c r="F9" s="121" t="s">
        <v>2993</v>
      </c>
      <c r="G9" s="122"/>
      <c r="H9" s="46" t="s">
        <v>3002</v>
      </c>
      <c r="I9" s="74"/>
      <c r="J9" s="74"/>
      <c r="K9" s="74"/>
    </row>
    <row r="10">
      <c r="A10" s="40"/>
      <c r="B10" s="119" t="s">
        <v>3044</v>
      </c>
      <c r="C10" s="120" t="s">
        <v>3007</v>
      </c>
      <c r="D10" s="33" t="s">
        <v>3008</v>
      </c>
      <c r="E10" s="39" t="s">
        <v>67</v>
      </c>
      <c r="F10" s="121" t="s">
        <v>3009</v>
      </c>
      <c r="G10" s="98" t="str">
        <f>HYPERLINK("http://mirror.ff7data.com.ar/ff7/data/battle/battle.lgp/agam.png","View Picture")</f>
        <v>View Picture</v>
      </c>
      <c r="H10" s="75"/>
      <c r="I10" s="74"/>
      <c r="J10" s="74"/>
      <c r="K10" s="74"/>
    </row>
    <row r="11">
      <c r="A11" s="21"/>
      <c r="B11" s="119" t="s">
        <v>3057</v>
      </c>
      <c r="C11" s="120" t="s">
        <v>3020</v>
      </c>
      <c r="D11" s="33" t="s">
        <v>2990</v>
      </c>
      <c r="E11" s="39" t="s">
        <v>67</v>
      </c>
      <c r="F11" s="121" t="s">
        <v>3025</v>
      </c>
      <c r="G11" s="122"/>
      <c r="H11" s="46" t="s">
        <v>3002</v>
      </c>
      <c r="I11" s="74"/>
      <c r="J11" s="74"/>
      <c r="K11" s="74"/>
    </row>
    <row r="12">
      <c r="A12" s="40"/>
      <c r="B12" s="119" t="s">
        <v>3061</v>
      </c>
      <c r="C12" s="120" t="s">
        <v>2959</v>
      </c>
      <c r="D12" s="20" t="s">
        <v>2967</v>
      </c>
      <c r="E12" s="39" t="s">
        <v>69</v>
      </c>
      <c r="F12" s="121" t="s">
        <v>2971</v>
      </c>
      <c r="G12" s="98" t="str">
        <f>HYPERLINK("http://mirror.ff7data.com.ar/ff7/data/battle/battle.lgp/agaa.png","View Picture")</f>
        <v>View Picture</v>
      </c>
      <c r="H12" s="46" t="s">
        <v>3072</v>
      </c>
      <c r="I12" s="74"/>
      <c r="J12" s="74"/>
      <c r="K12" s="74"/>
    </row>
    <row r="13">
      <c r="A13" s="21"/>
      <c r="B13" s="119" t="s">
        <v>3073</v>
      </c>
      <c r="C13" s="120" t="s">
        <v>2989</v>
      </c>
      <c r="D13" s="33" t="s">
        <v>2990</v>
      </c>
      <c r="E13" s="39" t="s">
        <v>69</v>
      </c>
      <c r="F13" s="121" t="s">
        <v>2993</v>
      </c>
      <c r="G13" s="122"/>
      <c r="H13" s="46" t="s">
        <v>3002</v>
      </c>
      <c r="I13" s="74"/>
      <c r="J13" s="74"/>
      <c r="K13" s="74"/>
    </row>
    <row r="14">
      <c r="A14" s="40"/>
      <c r="B14" s="119" t="s">
        <v>3077</v>
      </c>
      <c r="C14" s="120" t="s">
        <v>3007</v>
      </c>
      <c r="D14" s="33" t="s">
        <v>3008</v>
      </c>
      <c r="E14" s="39" t="s">
        <v>69</v>
      </c>
      <c r="F14" s="121" t="s">
        <v>3009</v>
      </c>
      <c r="G14" s="98" t="str">
        <f>HYPERLINK("http://mirror.ff7data.com.ar/ff7/data/battle/battle.lgp/agam.png","View Picture")</f>
        <v>View Picture</v>
      </c>
      <c r="H14" s="75"/>
      <c r="I14" s="74"/>
      <c r="J14" s="74"/>
      <c r="K14" s="74"/>
    </row>
    <row r="15">
      <c r="A15" s="21"/>
      <c r="B15" s="119" t="s">
        <v>3089</v>
      </c>
      <c r="C15" s="120" t="s">
        <v>3020</v>
      </c>
      <c r="D15" s="33" t="s">
        <v>2990</v>
      </c>
      <c r="E15" s="39" t="s">
        <v>69</v>
      </c>
      <c r="F15" s="121" t="s">
        <v>3025</v>
      </c>
      <c r="G15" s="122"/>
      <c r="H15" s="46" t="s">
        <v>3002</v>
      </c>
      <c r="I15" s="74"/>
      <c r="J15" s="74"/>
      <c r="K15" s="74"/>
    </row>
    <row r="16">
      <c r="A16" s="40"/>
      <c r="B16" s="119" t="s">
        <v>3094</v>
      </c>
      <c r="C16" s="120" t="s">
        <v>2959</v>
      </c>
      <c r="D16" s="20" t="s">
        <v>2967</v>
      </c>
      <c r="E16" s="39" t="s">
        <v>72</v>
      </c>
      <c r="F16" s="121" t="s">
        <v>2971</v>
      </c>
      <c r="G16" s="98" t="str">
        <f>HYPERLINK("http://mirror.ff7data.com.ar/ff7/data/battle/battle.lgp/agaa.png","View Picture")</f>
        <v>View Picture</v>
      </c>
      <c r="H16" s="123" t="s">
        <v>3103</v>
      </c>
      <c r="I16" s="74"/>
      <c r="J16" s="74"/>
      <c r="K16" s="74"/>
    </row>
    <row r="17">
      <c r="A17" s="21"/>
      <c r="B17" s="119" t="s">
        <v>3112</v>
      </c>
      <c r="C17" s="120" t="s">
        <v>2989</v>
      </c>
      <c r="D17" s="33" t="s">
        <v>2990</v>
      </c>
      <c r="E17" s="39" t="s">
        <v>72</v>
      </c>
      <c r="F17" s="121" t="s">
        <v>2993</v>
      </c>
      <c r="G17" s="122"/>
      <c r="H17" s="46" t="s">
        <v>3002</v>
      </c>
      <c r="I17" s="74"/>
      <c r="J17" s="74"/>
      <c r="K17" s="74"/>
    </row>
    <row r="18">
      <c r="A18" s="40"/>
      <c r="B18" s="119" t="s">
        <v>3116</v>
      </c>
      <c r="C18" s="120" t="s">
        <v>3007</v>
      </c>
      <c r="D18" s="33" t="s">
        <v>3008</v>
      </c>
      <c r="E18" s="39" t="s">
        <v>72</v>
      </c>
      <c r="F18" s="121" t="s">
        <v>3009</v>
      </c>
      <c r="G18" s="98" t="str">
        <f>HYPERLINK("http://mirror.ff7data.com.ar/ff7/data/battle/battle.lgp/agam.png","View Picture")</f>
        <v>View Picture</v>
      </c>
      <c r="H18" s="75"/>
      <c r="I18" s="74"/>
      <c r="J18" s="74"/>
      <c r="K18" s="74"/>
    </row>
    <row r="19">
      <c r="A19" s="21"/>
      <c r="B19" s="119" t="s">
        <v>3126</v>
      </c>
      <c r="C19" s="120" t="s">
        <v>3020</v>
      </c>
      <c r="D19" s="33" t="s">
        <v>2990</v>
      </c>
      <c r="E19" s="39" t="s">
        <v>72</v>
      </c>
      <c r="F19" s="121" t="s">
        <v>3025</v>
      </c>
      <c r="G19" s="122"/>
      <c r="H19" s="46" t="s">
        <v>3002</v>
      </c>
      <c r="I19" s="74"/>
      <c r="J19" s="74"/>
      <c r="K19" s="74"/>
    </row>
    <row r="20">
      <c r="A20" s="40"/>
      <c r="B20" s="119" t="s">
        <v>3130</v>
      </c>
      <c r="C20" s="120" t="s">
        <v>2959</v>
      </c>
      <c r="D20" s="20" t="s">
        <v>2967</v>
      </c>
      <c r="E20" s="39" t="s">
        <v>74</v>
      </c>
      <c r="F20" s="121" t="s">
        <v>2971</v>
      </c>
      <c r="G20" s="98" t="str">
        <f>HYPERLINK("http://mirror.ff7data.com.ar/ff7/data/battle/battle.lgp/agaa.png","View Picture")</f>
        <v>View Picture</v>
      </c>
      <c r="H20" s="123" t="s">
        <v>3139</v>
      </c>
      <c r="I20" s="74"/>
      <c r="J20" s="74"/>
      <c r="K20" s="74"/>
    </row>
    <row r="21">
      <c r="A21" s="21"/>
      <c r="B21" s="119" t="s">
        <v>3143</v>
      </c>
      <c r="C21" s="120" t="s">
        <v>2989</v>
      </c>
      <c r="D21" s="33" t="s">
        <v>2990</v>
      </c>
      <c r="E21" s="39" t="s">
        <v>74</v>
      </c>
      <c r="F21" s="121" t="s">
        <v>2993</v>
      </c>
      <c r="G21" s="122"/>
      <c r="H21" s="46" t="s">
        <v>3002</v>
      </c>
      <c r="I21" s="74"/>
      <c r="J21" s="74"/>
      <c r="K21" s="74"/>
    </row>
    <row r="22">
      <c r="A22" s="40"/>
      <c r="B22" s="119" t="s">
        <v>3148</v>
      </c>
      <c r="C22" s="120" t="s">
        <v>3007</v>
      </c>
      <c r="D22" s="33" t="s">
        <v>3008</v>
      </c>
      <c r="E22" s="39" t="s">
        <v>74</v>
      </c>
      <c r="F22" s="121" t="s">
        <v>3009</v>
      </c>
      <c r="G22" s="98" t="str">
        <f>HYPERLINK("http://mirror.ff7data.com.ar/ff7/data/battle/battle.lgp/agam.png","View Picture")</f>
        <v>View Picture</v>
      </c>
      <c r="H22" s="75"/>
      <c r="I22" s="74"/>
      <c r="J22" s="74"/>
      <c r="K22" s="74"/>
    </row>
    <row r="23">
      <c r="A23" s="21"/>
      <c r="B23" s="119" t="s">
        <v>3157</v>
      </c>
      <c r="C23" s="120" t="s">
        <v>3020</v>
      </c>
      <c r="D23" s="33" t="s">
        <v>2990</v>
      </c>
      <c r="E23" s="39" t="s">
        <v>74</v>
      </c>
      <c r="F23" s="121" t="s">
        <v>3025</v>
      </c>
      <c r="G23" s="122"/>
      <c r="H23" s="46" t="s">
        <v>3002</v>
      </c>
      <c r="I23" s="74"/>
      <c r="J23" s="74"/>
      <c r="K23" s="74"/>
    </row>
    <row r="24">
      <c r="A24" s="40"/>
      <c r="B24" s="119" t="s">
        <v>3161</v>
      </c>
      <c r="C24" s="120" t="s">
        <v>2959</v>
      </c>
      <c r="D24" s="20" t="s">
        <v>2967</v>
      </c>
      <c r="E24" s="39" t="s">
        <v>76</v>
      </c>
      <c r="F24" s="121" t="s">
        <v>2971</v>
      </c>
      <c r="G24" s="98" t="str">
        <f>HYPERLINK("http://mirror.ff7data.com.ar/ff7/data/battle/battle.lgp/agaa.png","View Picture")</f>
        <v>View Picture</v>
      </c>
      <c r="H24" s="123" t="s">
        <v>3166</v>
      </c>
      <c r="I24" s="74"/>
      <c r="J24" s="74"/>
      <c r="K24" s="74"/>
    </row>
    <row r="25">
      <c r="A25" s="21"/>
      <c r="B25" s="119" t="s">
        <v>3167</v>
      </c>
      <c r="C25" s="120" t="s">
        <v>2989</v>
      </c>
      <c r="D25" s="33" t="s">
        <v>2990</v>
      </c>
      <c r="E25" s="39" t="s">
        <v>76</v>
      </c>
      <c r="F25" s="121" t="s">
        <v>2993</v>
      </c>
      <c r="G25" s="122"/>
      <c r="H25" s="46" t="s">
        <v>3002</v>
      </c>
      <c r="I25" s="74"/>
      <c r="J25" s="74"/>
      <c r="K25" s="74"/>
    </row>
    <row r="26">
      <c r="A26" s="40"/>
      <c r="B26" s="119" t="s">
        <v>3172</v>
      </c>
      <c r="C26" s="120" t="s">
        <v>3007</v>
      </c>
      <c r="D26" s="33" t="s">
        <v>3008</v>
      </c>
      <c r="E26" s="39" t="s">
        <v>76</v>
      </c>
      <c r="F26" s="121" t="s">
        <v>3009</v>
      </c>
      <c r="G26" s="98" t="str">
        <f>HYPERLINK("http://mirror.ff7data.com.ar/ff7/data/battle/battle.lgp/agam.png","View Picture")</f>
        <v>View Picture</v>
      </c>
      <c r="H26" s="75"/>
      <c r="I26" s="74"/>
      <c r="J26" s="74"/>
      <c r="K26" s="74"/>
    </row>
    <row r="27">
      <c r="A27" s="21"/>
      <c r="B27" s="119" t="s">
        <v>3181</v>
      </c>
      <c r="C27" s="120" t="s">
        <v>3020</v>
      </c>
      <c r="D27" s="33" t="s">
        <v>2990</v>
      </c>
      <c r="E27" s="39" t="s">
        <v>76</v>
      </c>
      <c r="F27" s="121" t="s">
        <v>3025</v>
      </c>
      <c r="G27" s="122"/>
      <c r="H27" s="46" t="s">
        <v>3002</v>
      </c>
      <c r="I27" s="74"/>
      <c r="J27" s="74"/>
      <c r="K27" s="74"/>
    </row>
    <row r="28">
      <c r="A28" s="40"/>
      <c r="B28" s="119" t="s">
        <v>3187</v>
      </c>
      <c r="C28" s="120" t="s">
        <v>2959</v>
      </c>
      <c r="D28" s="20" t="s">
        <v>2967</v>
      </c>
      <c r="E28" s="39" t="s">
        <v>78</v>
      </c>
      <c r="F28" s="121" t="s">
        <v>2971</v>
      </c>
      <c r="G28" s="98" t="str">
        <f>HYPERLINK("http://mirror.ff7data.com.ar/ff7/data/battle/battle.lgp/agaa.png","View Picture")</f>
        <v>View Picture</v>
      </c>
      <c r="H28" s="123" t="s">
        <v>3194</v>
      </c>
      <c r="I28" s="74"/>
      <c r="J28" s="74"/>
      <c r="K28" s="74"/>
    </row>
    <row r="29">
      <c r="A29" s="21"/>
      <c r="B29" s="119" t="s">
        <v>3196</v>
      </c>
      <c r="C29" s="120" t="s">
        <v>2989</v>
      </c>
      <c r="D29" s="33" t="s">
        <v>2990</v>
      </c>
      <c r="E29" s="39" t="s">
        <v>78</v>
      </c>
      <c r="F29" s="121" t="s">
        <v>2993</v>
      </c>
      <c r="G29" s="122"/>
      <c r="H29" s="46" t="s">
        <v>3002</v>
      </c>
      <c r="I29" s="74"/>
      <c r="J29" s="74"/>
      <c r="K29" s="74"/>
    </row>
    <row r="30">
      <c r="A30" s="40"/>
      <c r="B30" s="119" t="s">
        <v>3200</v>
      </c>
      <c r="C30" s="120" t="s">
        <v>3007</v>
      </c>
      <c r="D30" s="33" t="s">
        <v>3008</v>
      </c>
      <c r="E30" s="39" t="s">
        <v>78</v>
      </c>
      <c r="F30" s="121" t="s">
        <v>3009</v>
      </c>
      <c r="G30" s="98" t="str">
        <f>HYPERLINK("http://mirror.ff7data.com.ar/ff7/data/battle/battle.lgp/agam.png","View Picture")</f>
        <v>View Picture</v>
      </c>
      <c r="H30" s="75"/>
      <c r="I30" s="74"/>
      <c r="J30" s="74"/>
      <c r="K30" s="74"/>
    </row>
    <row r="31">
      <c r="A31" s="21"/>
      <c r="B31" s="119" t="s">
        <v>3210</v>
      </c>
      <c r="C31" s="120" t="s">
        <v>3020</v>
      </c>
      <c r="D31" s="33" t="s">
        <v>2990</v>
      </c>
      <c r="E31" s="39" t="s">
        <v>78</v>
      </c>
      <c r="F31" s="121" t="s">
        <v>3025</v>
      </c>
      <c r="G31" s="122"/>
      <c r="H31" s="46" t="s">
        <v>3002</v>
      </c>
      <c r="I31" s="74"/>
      <c r="J31" s="74"/>
      <c r="K31" s="74"/>
    </row>
    <row r="32">
      <c r="A32" s="40"/>
      <c r="B32" s="119" t="s">
        <v>3216</v>
      </c>
      <c r="C32" s="120" t="s">
        <v>2959</v>
      </c>
      <c r="D32" s="20" t="s">
        <v>2967</v>
      </c>
      <c r="E32" s="39" t="s">
        <v>80</v>
      </c>
      <c r="F32" s="121" t="s">
        <v>2971</v>
      </c>
      <c r="G32" s="98" t="str">
        <f>HYPERLINK("http://mirror.ff7data.com.ar/ff7/data/battle/battle.lgp/agaa.png","View Picture")</f>
        <v>View Picture</v>
      </c>
      <c r="H32" s="123" t="s">
        <v>3224</v>
      </c>
      <c r="I32" s="74"/>
      <c r="J32" s="74"/>
      <c r="K32" s="74"/>
    </row>
    <row r="33">
      <c r="A33" s="21"/>
      <c r="B33" s="119" t="s">
        <v>3227</v>
      </c>
      <c r="C33" s="120" t="s">
        <v>2989</v>
      </c>
      <c r="D33" s="33" t="s">
        <v>2990</v>
      </c>
      <c r="E33" s="39" t="s">
        <v>80</v>
      </c>
      <c r="F33" s="121" t="s">
        <v>2993</v>
      </c>
      <c r="G33" s="122"/>
      <c r="H33" s="46" t="s">
        <v>3002</v>
      </c>
      <c r="I33" s="74"/>
      <c r="J33" s="74"/>
      <c r="K33" s="74"/>
    </row>
    <row r="34">
      <c r="A34" s="40"/>
      <c r="B34" s="119" t="s">
        <v>3232</v>
      </c>
      <c r="C34" s="120" t="s">
        <v>3007</v>
      </c>
      <c r="D34" s="33" t="s">
        <v>3008</v>
      </c>
      <c r="E34" s="39" t="s">
        <v>80</v>
      </c>
      <c r="F34" s="121" t="s">
        <v>3009</v>
      </c>
      <c r="G34" s="98" t="str">
        <f>HYPERLINK("http://mirror.ff7data.com.ar/ff7/data/battle/battle.lgp/agam.png","View Picture")</f>
        <v>View Picture</v>
      </c>
      <c r="H34" s="75"/>
      <c r="I34" s="74"/>
      <c r="J34" s="74"/>
      <c r="K34" s="74"/>
    </row>
    <row r="35">
      <c r="A35" s="21"/>
      <c r="B35" s="119" t="s">
        <v>3239</v>
      </c>
      <c r="C35" s="120" t="s">
        <v>3020</v>
      </c>
      <c r="D35" s="33" t="s">
        <v>2990</v>
      </c>
      <c r="E35" s="39" t="s">
        <v>80</v>
      </c>
      <c r="F35" s="121" t="s">
        <v>3025</v>
      </c>
      <c r="G35" s="122"/>
      <c r="H35" s="46" t="s">
        <v>3002</v>
      </c>
      <c r="I35" s="74"/>
      <c r="J35" s="74"/>
      <c r="K35" s="74"/>
    </row>
    <row r="36">
      <c r="A36" s="40"/>
      <c r="B36" s="119" t="s">
        <v>3240</v>
      </c>
      <c r="C36" s="120" t="s">
        <v>2959</v>
      </c>
      <c r="D36" s="20" t="s">
        <v>2967</v>
      </c>
      <c r="E36" s="39" t="s">
        <v>82</v>
      </c>
      <c r="F36" s="121" t="s">
        <v>2971</v>
      </c>
      <c r="G36" s="98" t="str">
        <f>HYPERLINK("http://mirror.ff7data.com.ar/ff7/data/battle/battle.lgp/agaa.png","View Picture")</f>
        <v>View Picture</v>
      </c>
      <c r="H36" s="123" t="s">
        <v>3248</v>
      </c>
      <c r="I36" s="74"/>
      <c r="J36" s="74"/>
      <c r="K36" s="74"/>
    </row>
    <row r="37">
      <c r="A37" s="21"/>
      <c r="B37" s="119" t="s">
        <v>3250</v>
      </c>
      <c r="C37" s="120" t="s">
        <v>2989</v>
      </c>
      <c r="D37" s="33" t="s">
        <v>2990</v>
      </c>
      <c r="E37" s="39" t="s">
        <v>82</v>
      </c>
      <c r="F37" s="121" t="s">
        <v>2993</v>
      </c>
      <c r="G37" s="122"/>
      <c r="H37" s="46" t="s">
        <v>3002</v>
      </c>
      <c r="I37" s="74"/>
      <c r="J37" s="74"/>
      <c r="K37" s="74"/>
    </row>
    <row r="38">
      <c r="A38" s="40"/>
      <c r="B38" s="119" t="s">
        <v>3255</v>
      </c>
      <c r="C38" s="120" t="s">
        <v>3007</v>
      </c>
      <c r="D38" s="33" t="s">
        <v>3008</v>
      </c>
      <c r="E38" s="39" t="s">
        <v>82</v>
      </c>
      <c r="F38" s="121" t="s">
        <v>3009</v>
      </c>
      <c r="G38" s="98" t="str">
        <f>HYPERLINK("http://mirror.ff7data.com.ar/ff7/data/battle/battle.lgp/agam.png","View Picture")</f>
        <v>View Picture</v>
      </c>
      <c r="H38" s="75"/>
      <c r="I38" s="74"/>
      <c r="J38" s="74"/>
      <c r="K38" s="74"/>
    </row>
    <row r="39">
      <c r="A39" s="21"/>
      <c r="B39" s="119" t="s">
        <v>3264</v>
      </c>
      <c r="C39" s="120" t="s">
        <v>3020</v>
      </c>
      <c r="D39" s="33" t="s">
        <v>2990</v>
      </c>
      <c r="E39" s="39" t="s">
        <v>82</v>
      </c>
      <c r="F39" s="121" t="s">
        <v>3025</v>
      </c>
      <c r="G39" s="122"/>
      <c r="H39" s="46" t="s">
        <v>3002</v>
      </c>
      <c r="I39" s="74"/>
      <c r="J39" s="74"/>
      <c r="K39" s="74"/>
    </row>
    <row r="40">
      <c r="A40" s="40"/>
      <c r="B40" s="119" t="s">
        <v>3269</v>
      </c>
      <c r="C40" s="120" t="s">
        <v>2959</v>
      </c>
      <c r="D40" s="20" t="s">
        <v>2967</v>
      </c>
      <c r="E40" s="39" t="s">
        <v>84</v>
      </c>
      <c r="F40" s="121" t="s">
        <v>2971</v>
      </c>
      <c r="G40" s="98" t="str">
        <f>HYPERLINK("http://mirror.ff7data.com.ar/ff7/data/battle/battle.lgp/agaa.png","View Picture")</f>
        <v>View Picture</v>
      </c>
      <c r="H40" s="123" t="s">
        <v>3277</v>
      </c>
      <c r="I40" s="74"/>
      <c r="J40" s="74"/>
      <c r="K40" s="74"/>
    </row>
    <row r="41">
      <c r="A41" s="21"/>
      <c r="B41" s="119" t="s">
        <v>3281</v>
      </c>
      <c r="C41" s="120" t="s">
        <v>2989</v>
      </c>
      <c r="D41" s="33" t="s">
        <v>2990</v>
      </c>
      <c r="E41" s="39" t="s">
        <v>84</v>
      </c>
      <c r="F41" s="121" t="s">
        <v>2993</v>
      </c>
      <c r="G41" s="122"/>
      <c r="H41" s="46" t="s">
        <v>3002</v>
      </c>
      <c r="I41" s="74"/>
      <c r="J41" s="74"/>
      <c r="K41" s="74"/>
    </row>
    <row r="42">
      <c r="A42" s="40"/>
      <c r="B42" s="119" t="s">
        <v>3285</v>
      </c>
      <c r="C42" s="120" t="s">
        <v>3007</v>
      </c>
      <c r="D42" s="33" t="s">
        <v>3008</v>
      </c>
      <c r="E42" s="39" t="s">
        <v>84</v>
      </c>
      <c r="F42" s="121" t="s">
        <v>3009</v>
      </c>
      <c r="G42" s="98" t="str">
        <f>HYPERLINK("http://mirror.ff7data.com.ar/ff7/data/battle/battle.lgp/agam.png","View Picture")</f>
        <v>View Picture</v>
      </c>
      <c r="H42" s="75"/>
      <c r="I42" s="74"/>
      <c r="J42" s="74"/>
      <c r="K42" s="74"/>
    </row>
    <row r="43">
      <c r="A43" s="21"/>
      <c r="B43" s="119" t="s">
        <v>3294</v>
      </c>
      <c r="C43" s="120" t="s">
        <v>3020</v>
      </c>
      <c r="D43" s="33" t="s">
        <v>2990</v>
      </c>
      <c r="E43" s="39" t="s">
        <v>84</v>
      </c>
      <c r="F43" s="121" t="s">
        <v>3025</v>
      </c>
      <c r="H43" s="46" t="s">
        <v>3002</v>
      </c>
    </row>
    <row r="44">
      <c r="A44" s="40"/>
      <c r="B44" s="119" t="s">
        <v>3298</v>
      </c>
      <c r="C44" s="120" t="s">
        <v>3299</v>
      </c>
      <c r="D44" s="33" t="s">
        <v>3301</v>
      </c>
      <c r="E44" s="39" t="s">
        <v>87</v>
      </c>
      <c r="F44" s="121" t="s">
        <v>2971</v>
      </c>
      <c r="G44" s="98" t="str">
        <f>HYPERLINK("http://mirror.ff7data.com.ar/ff7/data/battle/battle.lgp/akaa.png","View Picture")</f>
        <v>View Picture</v>
      </c>
      <c r="H44" s="75"/>
      <c r="I44" s="74"/>
      <c r="J44" s="74"/>
      <c r="K44" s="74"/>
    </row>
    <row r="45">
      <c r="A45" s="21"/>
      <c r="B45" s="119" t="s">
        <v>3311</v>
      </c>
      <c r="C45" s="120" t="s">
        <v>3312</v>
      </c>
      <c r="D45" s="33" t="s">
        <v>3314</v>
      </c>
      <c r="E45" s="39" t="s">
        <v>87</v>
      </c>
      <c r="F45" s="121" t="s">
        <v>2993</v>
      </c>
      <c r="G45" s="122"/>
      <c r="H45" s="46" t="s">
        <v>3002</v>
      </c>
      <c r="I45" s="74"/>
      <c r="J45" s="74"/>
      <c r="K45" s="74"/>
    </row>
    <row r="46">
      <c r="A46" s="40"/>
      <c r="B46" s="119" t="s">
        <v>3317</v>
      </c>
      <c r="C46" s="120" t="s">
        <v>3318</v>
      </c>
      <c r="D46" s="33" t="s">
        <v>3320</v>
      </c>
      <c r="E46" s="39" t="s">
        <v>87</v>
      </c>
      <c r="F46" s="121" t="s">
        <v>3009</v>
      </c>
      <c r="G46" s="98" t="str">
        <f>HYPERLINK("http://mirror.ff7data.com.ar/ff7/data/battle/battle.lgp/akam.png","View Picture")</f>
        <v>View Picture</v>
      </c>
      <c r="H46" s="75"/>
      <c r="I46" s="74"/>
      <c r="J46" s="74"/>
      <c r="K46" s="74"/>
    </row>
    <row r="47">
      <c r="A47" s="40"/>
      <c r="B47" s="119" t="s">
        <v>3329</v>
      </c>
      <c r="C47" s="120" t="s">
        <v>3330</v>
      </c>
      <c r="D47" s="33" t="s">
        <v>3331</v>
      </c>
      <c r="E47" s="39" t="s">
        <v>87</v>
      </c>
      <c r="F47" s="121" t="s">
        <v>3009</v>
      </c>
      <c r="G47" s="98" t="str">
        <f>HYPERLINK("http://mirror.ff7data.com.ar/ff7/data/battle/battle.lgp/akao.png","View Picture")</f>
        <v>View Picture</v>
      </c>
      <c r="H47" s="75"/>
      <c r="I47" s="74"/>
      <c r="J47" s="74"/>
      <c r="K47" s="74"/>
    </row>
    <row r="48">
      <c r="A48" s="40"/>
      <c r="B48" s="119" t="s">
        <v>3341</v>
      </c>
      <c r="C48" s="120" t="s">
        <v>3343</v>
      </c>
      <c r="D48" s="33" t="s">
        <v>3344</v>
      </c>
      <c r="E48" s="39" t="s">
        <v>87</v>
      </c>
      <c r="F48" s="121" t="s">
        <v>3009</v>
      </c>
      <c r="G48" s="98" t="str">
        <f>HYPERLINK("http://mirror.ff7data.com.ar/ff7/data/battle/battle.lgp/akas.png","View Picture")</f>
        <v>View Picture</v>
      </c>
      <c r="H48" s="75"/>
      <c r="I48" s="74"/>
      <c r="J48" s="74"/>
      <c r="K48" s="74"/>
    </row>
    <row r="49">
      <c r="A49" s="40"/>
      <c r="B49" s="119" t="s">
        <v>3354</v>
      </c>
      <c r="C49" s="120" t="s">
        <v>3355</v>
      </c>
      <c r="D49" s="33" t="s">
        <v>3356</v>
      </c>
      <c r="E49" s="39" t="s">
        <v>87</v>
      </c>
      <c r="F49" s="121" t="s">
        <v>3009</v>
      </c>
      <c r="G49" s="98" t="str">
        <f>HYPERLINK("http://mirror.ff7data.com.ar/ff7/data/battle/battle.lgp/akau.png","View Picture")</f>
        <v>View Picture</v>
      </c>
      <c r="H49" s="75"/>
      <c r="I49" s="74"/>
      <c r="J49" s="74"/>
      <c r="K49" s="74"/>
    </row>
    <row r="50">
      <c r="A50" s="40"/>
      <c r="B50" s="119" t="s">
        <v>3368</v>
      </c>
      <c r="C50" s="120" t="s">
        <v>3370</v>
      </c>
      <c r="D50" s="33" t="s">
        <v>3372</v>
      </c>
      <c r="E50" s="39" t="s">
        <v>87</v>
      </c>
      <c r="F50" s="121" t="s">
        <v>3009</v>
      </c>
      <c r="G50" s="98" t="str">
        <f>HYPERLINK("http://mirror.ff7data.com.ar/ff7/data/battle/battle.lgp/akaw.png","View Picture")</f>
        <v>View Picture</v>
      </c>
      <c r="H50" s="124"/>
      <c r="I50" s="74"/>
      <c r="J50" s="74"/>
      <c r="K50" s="74"/>
    </row>
    <row r="51">
      <c r="A51" s="40"/>
      <c r="B51" s="119" t="s">
        <v>3398</v>
      </c>
      <c r="C51" s="120" t="s">
        <v>3399</v>
      </c>
      <c r="D51" s="33" t="s">
        <v>3400</v>
      </c>
      <c r="E51" s="39" t="s">
        <v>87</v>
      </c>
      <c r="F51" s="121" t="s">
        <v>3009</v>
      </c>
      <c r="G51" s="98" t="str">
        <f>HYPERLINK("http://mirror.ff7data.com.ar/ff7/data/battle/battle.lgp/akay.png","View Picture")</f>
        <v>View Picture</v>
      </c>
      <c r="H51" s="124"/>
      <c r="I51" s="74"/>
      <c r="J51" s="74"/>
      <c r="K51" s="74"/>
    </row>
    <row r="52">
      <c r="A52" s="40"/>
      <c r="B52" s="119" t="s">
        <v>3410</v>
      </c>
      <c r="C52" s="120" t="s">
        <v>3412</v>
      </c>
      <c r="D52" s="33" t="s">
        <v>3413</v>
      </c>
      <c r="E52" s="39" t="s">
        <v>87</v>
      </c>
      <c r="F52" s="121" t="s">
        <v>3009</v>
      </c>
      <c r="G52" s="98" t="str">
        <f>HYPERLINK("http://mirror.ff7data.com.ar/ff7/data/battle/battle.lgp/akbd.png","View Picture")</f>
        <v>View Picture</v>
      </c>
      <c r="H52" s="75"/>
      <c r="I52" s="74"/>
      <c r="J52" s="74"/>
      <c r="K52" s="74"/>
    </row>
    <row r="53">
      <c r="A53" s="40"/>
      <c r="B53" s="119" t="s">
        <v>3421</v>
      </c>
      <c r="C53" s="120" t="s">
        <v>3412</v>
      </c>
      <c r="D53" s="33" t="s">
        <v>3423</v>
      </c>
      <c r="E53" s="39" t="s">
        <v>87</v>
      </c>
      <c r="F53" s="121" t="s">
        <v>3009</v>
      </c>
      <c r="G53" s="98" t="str">
        <f>HYPERLINK("http://mirror.ff7data.com.ar/ff7/data/battle/battle.lgp/akbe.png","View Picture")</f>
        <v>View Picture</v>
      </c>
      <c r="H53" s="75"/>
      <c r="I53" s="74"/>
      <c r="J53" s="74"/>
      <c r="K53" s="74"/>
    </row>
    <row r="54">
      <c r="A54" s="40"/>
      <c r="B54" s="119" t="s">
        <v>3432</v>
      </c>
      <c r="C54" s="120" t="s">
        <v>3434</v>
      </c>
      <c r="D54" s="33" t="s">
        <v>3435</v>
      </c>
      <c r="E54" s="39" t="s">
        <v>87</v>
      </c>
      <c r="F54" s="121" t="s">
        <v>3009</v>
      </c>
      <c r="G54" s="98" t="str">
        <f>HYPERLINK("http://mirror.ff7data.com.ar/ff7/data/battle/battle.lgp/akbf.png","View Picture")</f>
        <v>View Picture</v>
      </c>
      <c r="H54" s="75"/>
      <c r="I54" s="74"/>
      <c r="J54" s="74"/>
      <c r="K54" s="74"/>
    </row>
    <row r="55">
      <c r="A55" s="40"/>
      <c r="B55" s="119" t="s">
        <v>3444</v>
      </c>
      <c r="C55" s="120" t="s">
        <v>3445</v>
      </c>
      <c r="D55" s="33" t="s">
        <v>3446</v>
      </c>
      <c r="E55" s="39" t="s">
        <v>87</v>
      </c>
      <c r="F55" s="121" t="s">
        <v>3009</v>
      </c>
      <c r="G55" s="98" t="str">
        <f>HYPERLINK("http://mirror.ff7data.com.ar/ff7/data/battle/battle.lgp/akbi.png","View Picture")</f>
        <v>View Picture</v>
      </c>
      <c r="H55" s="75"/>
      <c r="I55" s="74"/>
      <c r="J55" s="74"/>
      <c r="K55" s="74"/>
    </row>
    <row r="56">
      <c r="A56" s="40"/>
      <c r="B56" s="119" t="s">
        <v>3457</v>
      </c>
      <c r="C56" s="120" t="s">
        <v>3412</v>
      </c>
      <c r="D56" s="33" t="s">
        <v>3459</v>
      </c>
      <c r="E56" s="39" t="s">
        <v>87</v>
      </c>
      <c r="F56" s="121" t="s">
        <v>3009</v>
      </c>
      <c r="G56" s="98" t="str">
        <f>HYPERLINK("http://mirror.ff7data.com.ar/ff7/data/battle/battle.lgp/akbj.png","View Picture")</f>
        <v>View Picture</v>
      </c>
      <c r="H56" s="75"/>
      <c r="I56" s="74"/>
      <c r="J56" s="74"/>
      <c r="K56" s="74"/>
    </row>
    <row r="57">
      <c r="A57" s="40"/>
      <c r="B57" s="119" t="s">
        <v>3464</v>
      </c>
      <c r="C57" s="120" t="s">
        <v>3465</v>
      </c>
      <c r="D57" s="33" t="s">
        <v>3466</v>
      </c>
      <c r="E57" s="39" t="s">
        <v>87</v>
      </c>
      <c r="F57" s="121" t="s">
        <v>3009</v>
      </c>
      <c r="G57" s="98" t="str">
        <f>HYPERLINK("http://mirror.ff7data.com.ar/ff7/data/battle/battle.lgp/akbk.png","View Picture")</f>
        <v>View Picture</v>
      </c>
      <c r="H57" s="75"/>
      <c r="I57" s="74"/>
      <c r="J57" s="74"/>
      <c r="K57" s="74"/>
    </row>
    <row r="58">
      <c r="A58" s="40"/>
      <c r="B58" s="119" t="s">
        <v>3480</v>
      </c>
      <c r="C58" s="120" t="s">
        <v>3481</v>
      </c>
      <c r="D58" s="33" t="s">
        <v>3482</v>
      </c>
      <c r="E58" s="39" t="s">
        <v>87</v>
      </c>
      <c r="F58" s="121" t="s">
        <v>3009</v>
      </c>
      <c r="G58" s="98" t="str">
        <f>HYPERLINK("http://mirror.ff7data.com.ar/ff7/data/battle/battle.lgp/akbm.png","View Picture")</f>
        <v>View Picture</v>
      </c>
      <c r="H58" s="46" t="s">
        <v>3490</v>
      </c>
      <c r="I58" s="74"/>
      <c r="J58" s="74"/>
      <c r="K58" s="74"/>
    </row>
    <row r="59">
      <c r="A59" s="40"/>
      <c r="B59" s="119" t="s">
        <v>3493</v>
      </c>
      <c r="C59" s="120" t="s">
        <v>3494</v>
      </c>
      <c r="D59" s="33" t="s">
        <v>3495</v>
      </c>
      <c r="E59" s="39" t="s">
        <v>87</v>
      </c>
      <c r="F59" s="121" t="s">
        <v>3009</v>
      </c>
      <c r="G59" s="98" t="str">
        <f>HYPERLINK("http://mirror.ff7data.com.ar/ff7/data/battle/battle.lgp/akbn.png","View Picture")</f>
        <v>View Picture</v>
      </c>
      <c r="H59" s="46" t="s">
        <v>3490</v>
      </c>
      <c r="I59" s="74"/>
      <c r="J59" s="74"/>
      <c r="K59" s="74"/>
    </row>
    <row r="60">
      <c r="A60" s="40"/>
      <c r="B60" s="119" t="s">
        <v>3504</v>
      </c>
      <c r="C60" s="120" t="s">
        <v>3505</v>
      </c>
      <c r="D60" s="33" t="s">
        <v>3507</v>
      </c>
      <c r="E60" s="39" t="s">
        <v>87</v>
      </c>
      <c r="F60" s="121" t="s">
        <v>3009</v>
      </c>
      <c r="G60" s="98" t="str">
        <f>HYPERLINK("http://mirror.ff7data.com.ar/ff7/data/battle/battle.lgp/akbp.png","View Picture")</f>
        <v>View Picture</v>
      </c>
      <c r="H60" s="46" t="s">
        <v>3490</v>
      </c>
      <c r="I60" s="74"/>
      <c r="J60" s="74"/>
      <c r="K60" s="74"/>
    </row>
    <row r="61">
      <c r="A61" s="40"/>
      <c r="B61" s="119" t="s">
        <v>3517</v>
      </c>
      <c r="C61" s="120" t="s">
        <v>3519</v>
      </c>
      <c r="D61" s="33" t="s">
        <v>3520</v>
      </c>
      <c r="E61" s="39" t="s">
        <v>87</v>
      </c>
      <c r="F61" s="121" t="s">
        <v>3009</v>
      </c>
      <c r="G61" s="98" t="str">
        <f>HYPERLINK("http://mirror.ff7data.com.ar/ff7/data/battle/battle.lgp/akbr.png","View Picture")</f>
        <v>View Picture</v>
      </c>
      <c r="H61" s="46" t="s">
        <v>3490</v>
      </c>
      <c r="I61" s="74"/>
      <c r="J61" s="74"/>
      <c r="K61" s="74"/>
    </row>
    <row r="62">
      <c r="A62" s="40"/>
      <c r="B62" s="119" t="s">
        <v>3529</v>
      </c>
      <c r="C62" s="120" t="s">
        <v>3494</v>
      </c>
      <c r="D62" s="33" t="s">
        <v>3531</v>
      </c>
      <c r="E62" s="39" t="s">
        <v>87</v>
      </c>
      <c r="F62" s="121" t="s">
        <v>3009</v>
      </c>
      <c r="G62" s="98" t="str">
        <f>HYPERLINK("http://mirror.ff7data.com.ar/ff7/data/battle/battle.lgp/akbs.png","View Picture")</f>
        <v>View Picture</v>
      </c>
      <c r="H62" s="46" t="s">
        <v>3490</v>
      </c>
      <c r="I62" s="74"/>
      <c r="J62" s="74"/>
      <c r="K62" s="74"/>
    </row>
    <row r="63">
      <c r="A63" s="40"/>
      <c r="B63" s="119" t="s">
        <v>3539</v>
      </c>
      <c r="C63" s="120" t="s">
        <v>3505</v>
      </c>
      <c r="D63" s="33" t="s">
        <v>3541</v>
      </c>
      <c r="E63" s="39" t="s">
        <v>87</v>
      </c>
      <c r="F63" s="121" t="s">
        <v>3009</v>
      </c>
      <c r="G63" s="98" t="str">
        <f>HYPERLINK("http://mirror.ff7data.com.ar/ff7/data/battle/battle.lgp/akbu.png","View Picture")</f>
        <v>View Picture</v>
      </c>
      <c r="H63" s="46" t="s">
        <v>3490</v>
      </c>
      <c r="I63" s="74"/>
      <c r="J63" s="74"/>
      <c r="K63" s="74"/>
    </row>
    <row r="64">
      <c r="A64" s="21"/>
      <c r="B64" s="119" t="s">
        <v>3550</v>
      </c>
      <c r="C64" s="120" t="s">
        <v>3552</v>
      </c>
      <c r="D64" s="33" t="s">
        <v>3314</v>
      </c>
      <c r="E64" s="39" t="s">
        <v>87</v>
      </c>
      <c r="F64" s="121" t="s">
        <v>3025</v>
      </c>
      <c r="G64" s="122"/>
      <c r="H64" s="46" t="s">
        <v>3002</v>
      </c>
      <c r="I64" s="74"/>
      <c r="J64" s="74"/>
      <c r="K64" s="74"/>
    </row>
    <row r="65">
      <c r="A65" s="40"/>
      <c r="B65" s="119" t="s">
        <v>3555</v>
      </c>
      <c r="C65" s="120" t="s">
        <v>3557</v>
      </c>
      <c r="D65" s="33" t="s">
        <v>3558</v>
      </c>
      <c r="E65" s="39" t="s">
        <v>90</v>
      </c>
      <c r="F65" s="121" t="s">
        <v>2971</v>
      </c>
      <c r="G65" s="98" t="str">
        <f>HYPERLINK("http://mirror.ff7data.com.ar/ff7/data/battle/battle.lgp/alaa.png","View Picture")</f>
        <v>View Picture</v>
      </c>
      <c r="H65" s="75"/>
      <c r="I65" s="74"/>
      <c r="J65" s="74"/>
      <c r="K65" s="74"/>
    </row>
    <row r="66">
      <c r="A66" s="21"/>
      <c r="B66" s="119" t="s">
        <v>3564</v>
      </c>
      <c r="C66" s="120" t="s">
        <v>3566</v>
      </c>
      <c r="D66" s="33" t="s">
        <v>3568</v>
      </c>
      <c r="E66" s="39" t="s">
        <v>90</v>
      </c>
      <c r="F66" s="121" t="s">
        <v>2993</v>
      </c>
      <c r="G66" s="122"/>
      <c r="H66" s="46" t="s">
        <v>3002</v>
      </c>
      <c r="I66" s="74"/>
      <c r="J66" s="74"/>
      <c r="K66" s="74"/>
    </row>
    <row r="67">
      <c r="A67" s="40"/>
      <c r="B67" s="119" t="s">
        <v>3572</v>
      </c>
      <c r="C67" s="120" t="s">
        <v>3573</v>
      </c>
      <c r="D67" s="33" t="s">
        <v>3575</v>
      </c>
      <c r="E67" s="39" t="s">
        <v>90</v>
      </c>
      <c r="F67" s="121" t="s">
        <v>3009</v>
      </c>
      <c r="G67" s="98" t="str">
        <f>HYPERLINK("http://mirror.ff7data.com.ar/ff7/data/battle/battle.lgp/alam.png","View Picture")</f>
        <v>View Picture</v>
      </c>
      <c r="H67" s="75"/>
      <c r="I67" s="74"/>
      <c r="J67" s="74"/>
      <c r="K67" s="74"/>
    </row>
    <row r="68">
      <c r="A68" s="40"/>
      <c r="B68" s="119" t="s">
        <v>3583</v>
      </c>
      <c r="C68" s="120" t="s">
        <v>3584</v>
      </c>
      <c r="D68" s="33" t="s">
        <v>3585</v>
      </c>
      <c r="E68" s="39" t="s">
        <v>90</v>
      </c>
      <c r="F68" s="121" t="s">
        <v>3009</v>
      </c>
      <c r="G68" s="98" t="str">
        <f>HYPERLINK("http://mirror.ff7data.com.ar/ff7/battle/alan.png","View Picture")</f>
        <v>View Picture</v>
      </c>
      <c r="H68" s="75"/>
      <c r="I68" s="74"/>
      <c r="J68" s="74"/>
      <c r="K68" s="74"/>
    </row>
    <row r="69">
      <c r="A69" s="40"/>
      <c r="B69" s="119" t="s">
        <v>3592</v>
      </c>
      <c r="C69" s="120" t="s">
        <v>3412</v>
      </c>
      <c r="D69" s="33" t="s">
        <v>3594</v>
      </c>
      <c r="E69" s="39" t="s">
        <v>90</v>
      </c>
      <c r="F69" s="121" t="s">
        <v>3009</v>
      </c>
      <c r="G69" s="98" t="str">
        <f>HYPERLINK("http://mirror.ff7data.com.ar/ff7/data/battle/battle.lgp/alap.png","View Picture")</f>
        <v>View Picture</v>
      </c>
      <c r="H69" s="75"/>
      <c r="I69" s="74"/>
      <c r="J69" s="74"/>
      <c r="K69" s="74"/>
    </row>
    <row r="70">
      <c r="A70" s="21"/>
      <c r="B70" s="119" t="s">
        <v>3602</v>
      </c>
      <c r="C70" s="120" t="s">
        <v>3412</v>
      </c>
      <c r="D70" s="33" t="s">
        <v>3568</v>
      </c>
      <c r="E70" s="39" t="s">
        <v>90</v>
      </c>
      <c r="F70" s="121" t="s">
        <v>3009</v>
      </c>
      <c r="G70" s="98" t="str">
        <f>HYPERLINK("http://mirror.ff7data.com.ar/ff7/battle/alaq.png","View Picture")</f>
        <v>View Picture</v>
      </c>
      <c r="H70" s="75"/>
      <c r="I70" s="74"/>
      <c r="J70" s="74"/>
      <c r="K70" s="74"/>
    </row>
    <row r="71">
      <c r="A71" s="21"/>
      <c r="B71" s="119" t="s">
        <v>3612</v>
      </c>
      <c r="C71" s="120" t="s">
        <v>3614</v>
      </c>
      <c r="D71" s="33" t="s">
        <v>3568</v>
      </c>
      <c r="E71" s="39" t="s">
        <v>90</v>
      </c>
      <c r="F71" s="121" t="s">
        <v>3009</v>
      </c>
      <c r="G71" s="98" t="str">
        <f>HYPERLINK("http://mirror.ff7data.com.ar/ff7/data/battle/battle.lgp/alar.png","View Picture")</f>
        <v>View Picture</v>
      </c>
      <c r="H71" s="75"/>
      <c r="I71" s="74"/>
      <c r="J71" s="74"/>
      <c r="K71" s="74"/>
    </row>
    <row r="72">
      <c r="A72" s="21"/>
      <c r="B72" s="119" t="s">
        <v>3624</v>
      </c>
      <c r="C72" s="120" t="s">
        <v>3626</v>
      </c>
      <c r="D72" s="33" t="s">
        <v>3568</v>
      </c>
      <c r="E72" s="39" t="s">
        <v>90</v>
      </c>
      <c r="F72" s="121" t="s">
        <v>3009</v>
      </c>
      <c r="G72" s="98" t="str">
        <f>HYPERLINK("http://mirror.ff7data.com.ar/ff7/battle/alas.png","View Picture")</f>
        <v>View Picture</v>
      </c>
      <c r="H72" s="75"/>
      <c r="I72" s="74"/>
      <c r="J72" s="74"/>
      <c r="K72" s="74"/>
    </row>
    <row r="73">
      <c r="A73" s="21"/>
      <c r="B73" s="119" t="s">
        <v>3636</v>
      </c>
      <c r="C73" s="120" t="s">
        <v>3637</v>
      </c>
      <c r="D73" s="33" t="s">
        <v>3568</v>
      </c>
      <c r="E73" s="39" t="s">
        <v>90</v>
      </c>
      <c r="F73" s="121" t="s">
        <v>3009</v>
      </c>
      <c r="G73" s="98" t="str">
        <f>HYPERLINK("http://mirror.ff7data.com.ar/ff7/data/battle/battle.lgp/alat.png","View Picture")</f>
        <v>View Picture</v>
      </c>
      <c r="H73" s="75"/>
      <c r="I73" s="74"/>
      <c r="J73" s="74"/>
      <c r="K73" s="74"/>
    </row>
    <row r="74">
      <c r="A74" s="21"/>
      <c r="B74" s="119" t="s">
        <v>3647</v>
      </c>
      <c r="C74" s="120" t="s">
        <v>3648</v>
      </c>
      <c r="D74" s="33" t="s">
        <v>3568</v>
      </c>
      <c r="E74" s="39" t="s">
        <v>90</v>
      </c>
      <c r="F74" s="121" t="s">
        <v>3009</v>
      </c>
      <c r="G74" s="98" t="str">
        <f>HYPERLINK("http://mirror.ff7data.com.ar/ff7/battle/alaw.png","View Picture")</f>
        <v>View Picture</v>
      </c>
      <c r="H74" s="75"/>
      <c r="I74" s="74"/>
      <c r="J74" s="74"/>
      <c r="K74" s="74"/>
    </row>
    <row r="75">
      <c r="A75" s="21"/>
      <c r="B75" s="119" t="s">
        <v>3656</v>
      </c>
      <c r="C75" s="120" t="s">
        <v>3658</v>
      </c>
      <c r="D75" s="33" t="s">
        <v>3568</v>
      </c>
      <c r="E75" s="39" t="s">
        <v>90</v>
      </c>
      <c r="F75" s="121" t="s">
        <v>3009</v>
      </c>
      <c r="G75" s="98" t="str">
        <f>HYPERLINK("http://mirror.ff7data.com.ar/ff7/data/battle/battle.lgp/alax.png","View Picture")</f>
        <v>View Picture</v>
      </c>
      <c r="H75" s="75"/>
      <c r="I75" s="74"/>
      <c r="J75" s="74"/>
      <c r="K75" s="74"/>
    </row>
    <row r="76">
      <c r="A76" s="21"/>
      <c r="B76" s="119" t="s">
        <v>3669</v>
      </c>
      <c r="C76" s="120" t="s">
        <v>3671</v>
      </c>
      <c r="D76" s="33" t="s">
        <v>3568</v>
      </c>
      <c r="E76" s="39" t="s">
        <v>90</v>
      </c>
      <c r="F76" s="121" t="s">
        <v>3009</v>
      </c>
      <c r="G76" s="98" t="str">
        <f>HYPERLINK("http://mirror.ff7data.com.ar/ff7/data/battle/battle.lgp/alay.png","View Picture")</f>
        <v>View Picture</v>
      </c>
      <c r="H76" s="75"/>
      <c r="I76" s="74"/>
      <c r="J76" s="74"/>
      <c r="K76" s="74"/>
    </row>
    <row r="77">
      <c r="A77" s="21"/>
      <c r="B77" s="119" t="s">
        <v>3681</v>
      </c>
      <c r="C77" s="120" t="s">
        <v>3614</v>
      </c>
      <c r="D77" s="33" t="s">
        <v>3568</v>
      </c>
      <c r="E77" s="39" t="s">
        <v>90</v>
      </c>
      <c r="F77" s="121" t="s">
        <v>3009</v>
      </c>
      <c r="G77" s="98" t="str">
        <f>HYPERLINK("http://mirror.ff7data.com.ar/ff7/data/battle/battle.lgp/alaz.png","View Picture")</f>
        <v>View Picture</v>
      </c>
      <c r="H77" s="75"/>
      <c r="I77" s="74"/>
      <c r="J77" s="74"/>
      <c r="K77" s="74"/>
    </row>
    <row r="78">
      <c r="A78" s="21"/>
      <c r="B78" s="119" t="s">
        <v>3690</v>
      </c>
      <c r="C78" s="120" t="s">
        <v>3445</v>
      </c>
      <c r="D78" s="33" t="s">
        <v>3568</v>
      </c>
      <c r="E78" s="39" t="s">
        <v>90</v>
      </c>
      <c r="F78" s="121" t="s">
        <v>3009</v>
      </c>
      <c r="G78" s="98" t="str">
        <f>HYPERLINK("http://mirror.ff7data.com.ar/ff7/data/battle/battle.lgp/alba.png","View Picture")</f>
        <v>View Picture</v>
      </c>
      <c r="H78" s="75"/>
      <c r="I78" s="74"/>
      <c r="J78" s="74"/>
      <c r="K78" s="74"/>
    </row>
    <row r="79">
      <c r="A79" s="21"/>
      <c r="B79" s="119" t="s">
        <v>3693</v>
      </c>
      <c r="C79" s="120" t="s">
        <v>3445</v>
      </c>
      <c r="D79" s="33" t="s">
        <v>3568</v>
      </c>
      <c r="E79" s="39" t="s">
        <v>90</v>
      </c>
      <c r="F79" s="121" t="s">
        <v>3009</v>
      </c>
      <c r="G79" s="98" t="str">
        <f>HYPERLINK("http://mirror.ff7data.com.ar/ff7/data/battle/battle.lgp/albb.png","View Picture")</f>
        <v>View Picture</v>
      </c>
      <c r="H79" s="75"/>
      <c r="I79" s="74"/>
      <c r="J79" s="74"/>
      <c r="K79" s="74"/>
    </row>
    <row r="80">
      <c r="A80" s="21"/>
      <c r="B80" s="119" t="s">
        <v>3709</v>
      </c>
      <c r="C80" s="120" t="s">
        <v>3445</v>
      </c>
      <c r="D80" s="33" t="s">
        <v>3568</v>
      </c>
      <c r="E80" s="39" t="s">
        <v>90</v>
      </c>
      <c r="F80" s="121" t="s">
        <v>3009</v>
      </c>
      <c r="G80" s="98" t="str">
        <f>HYPERLINK("http://mirror.ff7data.com.ar/ff7/data/battle/battle.lgp/albc.png","View Picture")</f>
        <v>View Picture</v>
      </c>
      <c r="H80" s="75"/>
      <c r="I80" s="74"/>
      <c r="J80" s="74"/>
      <c r="K80" s="74"/>
    </row>
    <row r="81">
      <c r="A81" s="21"/>
      <c r="B81" s="119" t="s">
        <v>3721</v>
      </c>
      <c r="C81" s="120" t="s">
        <v>3723</v>
      </c>
      <c r="D81" s="33" t="s">
        <v>3568</v>
      </c>
      <c r="E81" s="39" t="s">
        <v>90</v>
      </c>
      <c r="F81" s="121" t="s">
        <v>3009</v>
      </c>
      <c r="G81" s="98" t="str">
        <f>HYPERLINK("http://mirror.ff7data.com.ar/ff7/battle/albd.png","View Picture")</f>
        <v>View Picture</v>
      </c>
      <c r="H81" s="75"/>
      <c r="I81" s="74"/>
      <c r="J81" s="74"/>
      <c r="K81" s="74"/>
    </row>
    <row r="82">
      <c r="A82" s="21"/>
      <c r="B82" s="119" t="s">
        <v>3735</v>
      </c>
      <c r="C82" s="120" t="s">
        <v>3412</v>
      </c>
      <c r="D82" s="33" t="s">
        <v>3568</v>
      </c>
      <c r="E82" s="39" t="s">
        <v>90</v>
      </c>
      <c r="F82" s="121" t="s">
        <v>3009</v>
      </c>
      <c r="G82" s="98" t="str">
        <f>HYPERLINK("http://mirror.ff7data.com.ar/ff7/data/battle/battle.lgp/albe.png","View Picture")</f>
        <v>View Picture</v>
      </c>
      <c r="H82" s="75"/>
      <c r="I82" s="74"/>
      <c r="J82" s="74"/>
      <c r="K82" s="74"/>
    </row>
    <row r="83">
      <c r="A83" s="21"/>
      <c r="B83" s="119" t="s">
        <v>3746</v>
      </c>
      <c r="C83" s="120" t="s">
        <v>3749</v>
      </c>
      <c r="D83" s="33" t="s">
        <v>3568</v>
      </c>
      <c r="E83" s="39" t="s">
        <v>90</v>
      </c>
      <c r="F83" s="121" t="s">
        <v>3009</v>
      </c>
      <c r="G83" s="98" t="str">
        <f>HYPERLINK("http://mirror.ff7data.com.ar/ff7/data/battle/battle.lgp/albh.png","View Picture")</f>
        <v>View Picture</v>
      </c>
      <c r="H83" s="75"/>
      <c r="I83" s="74"/>
      <c r="J83" s="74"/>
      <c r="K83" s="74"/>
    </row>
    <row r="84">
      <c r="A84" s="21"/>
      <c r="B84" s="119" t="s">
        <v>3756</v>
      </c>
      <c r="C84" s="120" t="s">
        <v>3658</v>
      </c>
      <c r="D84" s="33" t="s">
        <v>3568</v>
      </c>
      <c r="E84" s="39" t="s">
        <v>90</v>
      </c>
      <c r="F84" s="121" t="s">
        <v>3009</v>
      </c>
      <c r="G84" s="98" t="str">
        <f>HYPERLINK("http://mirror.ff7data.com.ar/ff7/data/battle/battle.lgp/albi.png","View Picture")</f>
        <v>View Picture</v>
      </c>
      <c r="H84" s="75"/>
      <c r="I84" s="74"/>
      <c r="J84" s="74"/>
      <c r="K84" s="74"/>
    </row>
    <row r="85">
      <c r="A85" s="21"/>
      <c r="B85" s="119" t="s">
        <v>3767</v>
      </c>
      <c r="C85" s="120" t="s">
        <v>3768</v>
      </c>
      <c r="D85" s="33" t="s">
        <v>3568</v>
      </c>
      <c r="E85" s="39" t="s">
        <v>90</v>
      </c>
      <c r="F85" s="121" t="s">
        <v>3009</v>
      </c>
      <c r="G85" s="98" t="str">
        <f>HYPERLINK("http://mirror.ff7data.com.ar/ff7/data/battle/battle.lgp/albj.png","View Picture")</f>
        <v>View Picture</v>
      </c>
      <c r="H85" s="75"/>
      <c r="I85" s="74"/>
      <c r="J85" s="74"/>
      <c r="K85" s="74"/>
    </row>
    <row r="86">
      <c r="A86" s="21"/>
      <c r="B86" s="119" t="s">
        <v>3779</v>
      </c>
      <c r="C86" s="120" t="s">
        <v>3614</v>
      </c>
      <c r="D86" s="33" t="s">
        <v>3568</v>
      </c>
      <c r="E86" s="39" t="s">
        <v>90</v>
      </c>
      <c r="F86" s="121" t="s">
        <v>3009</v>
      </c>
      <c r="G86" s="98" t="str">
        <f>HYPERLINK("http://mirror.ff7data.com.ar/ff7/data/battle/battle.lgp/albk.png","View Picture")</f>
        <v>View Picture</v>
      </c>
      <c r="H86" s="75"/>
      <c r="I86" s="74"/>
      <c r="J86" s="74"/>
      <c r="K86" s="74"/>
    </row>
    <row r="87">
      <c r="A87" s="21"/>
      <c r="B87" s="119" t="s">
        <v>3790</v>
      </c>
      <c r="C87" s="120" t="s">
        <v>3445</v>
      </c>
      <c r="D87" s="33" t="s">
        <v>3568</v>
      </c>
      <c r="E87" s="39" t="s">
        <v>90</v>
      </c>
      <c r="F87" s="121" t="s">
        <v>3009</v>
      </c>
      <c r="G87" s="98" t="str">
        <f>HYPERLINK("http://mirror.ff7data.com.ar/ff7/data/battle/battle.lgp/albl.png","View Picture")</f>
        <v>View Picture</v>
      </c>
      <c r="H87" s="75"/>
      <c r="I87" s="74"/>
      <c r="J87" s="74"/>
      <c r="K87" s="74"/>
    </row>
    <row r="88">
      <c r="A88" s="21"/>
      <c r="B88" s="119" t="s">
        <v>3800</v>
      </c>
      <c r="C88" s="120" t="s">
        <v>3445</v>
      </c>
      <c r="D88" s="33" t="s">
        <v>3568</v>
      </c>
      <c r="E88" s="39" t="s">
        <v>90</v>
      </c>
      <c r="F88" s="121" t="s">
        <v>3009</v>
      </c>
      <c r="G88" s="98" t="str">
        <f>HYPERLINK("http://mirror.ff7data.com.ar/ff7/data/battle/battle.lgp/albm.png","View Picture")</f>
        <v>View Picture</v>
      </c>
      <c r="H88" s="75"/>
      <c r="I88" s="74"/>
      <c r="J88" s="74"/>
      <c r="K88" s="74"/>
    </row>
    <row r="89">
      <c r="A89" s="21"/>
      <c r="B89" s="119" t="s">
        <v>3810</v>
      </c>
      <c r="C89" s="120" t="s">
        <v>3445</v>
      </c>
      <c r="D89" s="33" t="s">
        <v>3568</v>
      </c>
      <c r="E89" s="39" t="s">
        <v>90</v>
      </c>
      <c r="F89" s="121" t="s">
        <v>3009</v>
      </c>
      <c r="G89" s="98" t="str">
        <f>HYPERLINK("http://mirror.ff7data.com.ar/ff7/data/battle/battle.lgp/albn.png","View Picture")</f>
        <v>View Picture</v>
      </c>
      <c r="H89" s="75"/>
      <c r="I89" s="74"/>
      <c r="J89" s="74"/>
      <c r="K89" s="74"/>
    </row>
    <row r="90">
      <c r="A90" s="21"/>
      <c r="B90" s="119" t="s">
        <v>3821</v>
      </c>
      <c r="C90" s="120" t="s">
        <v>3343</v>
      </c>
      <c r="D90" s="33" t="s">
        <v>3568</v>
      </c>
      <c r="E90" s="39" t="s">
        <v>90</v>
      </c>
      <c r="F90" s="121" t="s">
        <v>3009</v>
      </c>
      <c r="G90" s="98" t="str">
        <f>HYPERLINK("http://mirror.ff7data.com.ar/ff7/data/battle/battle.lgp/albo.png","View Picture")</f>
        <v>View Picture</v>
      </c>
      <c r="H90" s="75"/>
      <c r="I90" s="74"/>
      <c r="J90" s="74"/>
      <c r="K90" s="74"/>
    </row>
    <row r="91">
      <c r="A91" s="21"/>
      <c r="B91" s="119" t="s">
        <v>3831</v>
      </c>
      <c r="C91" s="120" t="s">
        <v>3412</v>
      </c>
      <c r="D91" s="33" t="s">
        <v>3568</v>
      </c>
      <c r="E91" s="39" t="s">
        <v>90</v>
      </c>
      <c r="F91" s="121" t="s">
        <v>3009</v>
      </c>
      <c r="G91" s="98" t="str">
        <f>HYPERLINK("http://mirror.ff7data.com.ar/ff7/data/battle/battle.lgp/albp.png","View Picture")</f>
        <v>View Picture</v>
      </c>
      <c r="H91" s="75"/>
      <c r="I91" s="74"/>
      <c r="J91" s="74"/>
      <c r="K91" s="74"/>
    </row>
    <row r="92">
      <c r="A92" s="21"/>
      <c r="B92" s="119" t="s">
        <v>3841</v>
      </c>
      <c r="C92" s="120" t="s">
        <v>3842</v>
      </c>
      <c r="D92" s="33" t="s">
        <v>3568</v>
      </c>
      <c r="E92" s="39" t="s">
        <v>90</v>
      </c>
      <c r="F92" s="121" t="s">
        <v>3009</v>
      </c>
      <c r="G92" s="98" t="str">
        <f>HYPERLINK("http://mirror.ff7data.com.ar/ff7/data/battle/battle.lgp/albt.png","View Picture")</f>
        <v>View Picture</v>
      </c>
      <c r="H92" s="75"/>
      <c r="I92" s="74"/>
      <c r="J92" s="74"/>
      <c r="K92" s="74"/>
    </row>
    <row r="93">
      <c r="A93" s="21"/>
      <c r="B93" s="119" t="s">
        <v>3852</v>
      </c>
      <c r="C93" s="120" t="s">
        <v>3853</v>
      </c>
      <c r="D93" s="33" t="s">
        <v>3568</v>
      </c>
      <c r="E93" s="39" t="s">
        <v>90</v>
      </c>
      <c r="F93" s="121" t="s">
        <v>3009</v>
      </c>
      <c r="G93" s="98" t="str">
        <f>HYPERLINK("http://mirror.ff7data.com.ar/ff7/data/battle/battle.lgp/albu.png","View Picture")</f>
        <v>View Picture</v>
      </c>
      <c r="H93" s="75"/>
      <c r="I93" s="74"/>
      <c r="J93" s="74"/>
      <c r="K93" s="74"/>
    </row>
    <row r="94">
      <c r="A94" s="21"/>
      <c r="B94" s="119" t="s">
        <v>3863</v>
      </c>
      <c r="C94" s="120" t="s">
        <v>3842</v>
      </c>
      <c r="D94" s="33" t="s">
        <v>3568</v>
      </c>
      <c r="E94" s="39" t="s">
        <v>90</v>
      </c>
      <c r="F94" s="121" t="s">
        <v>3009</v>
      </c>
      <c r="G94" s="98" t="str">
        <f>HYPERLINK("http://mirror.ff7data.com.ar/ff7/data/battle/battle.lgp/albw.png","View Picture")</f>
        <v>View Picture</v>
      </c>
      <c r="H94" s="75"/>
      <c r="I94" s="74"/>
      <c r="J94" s="74"/>
      <c r="K94" s="74"/>
    </row>
    <row r="95">
      <c r="A95" s="21"/>
      <c r="B95" s="119" t="s">
        <v>3873</v>
      </c>
      <c r="C95" s="120" t="s">
        <v>3875</v>
      </c>
      <c r="D95" s="33" t="s">
        <v>3568</v>
      </c>
      <c r="E95" s="39" t="s">
        <v>90</v>
      </c>
      <c r="F95" s="121" t="s">
        <v>3009</v>
      </c>
      <c r="G95" s="98" t="str">
        <f>HYPERLINK("http://mirror.ff7data.com.ar/ff7/data/battle/battle.lgp/albx.png","View Picture")</f>
        <v>View Picture</v>
      </c>
      <c r="H95" s="75"/>
      <c r="I95" s="74"/>
      <c r="J95" s="74"/>
      <c r="K95" s="74"/>
    </row>
    <row r="96">
      <c r="A96" s="21"/>
      <c r="B96" s="119" t="s">
        <v>3885</v>
      </c>
      <c r="C96" s="120" t="s">
        <v>3886</v>
      </c>
      <c r="D96" s="33" t="s">
        <v>3568</v>
      </c>
      <c r="E96" s="39" t="s">
        <v>90</v>
      </c>
      <c r="F96" s="121" t="s">
        <v>3888</v>
      </c>
      <c r="G96" s="122"/>
      <c r="H96" s="46" t="s">
        <v>3002</v>
      </c>
      <c r="I96" s="74"/>
      <c r="J96" s="74"/>
      <c r="K96" s="74"/>
    </row>
    <row r="97">
      <c r="A97" s="40"/>
      <c r="B97" s="119" t="s">
        <v>3892</v>
      </c>
      <c r="C97" s="120" t="s">
        <v>3893</v>
      </c>
      <c r="D97" s="33" t="s">
        <v>3894</v>
      </c>
      <c r="E97" s="39" t="s">
        <v>93</v>
      </c>
      <c r="F97" s="121" t="s">
        <v>2971</v>
      </c>
      <c r="G97" s="98" t="str">
        <f>HYPERLINK("http://mirror.ff7data.com.ar/ff7/data/battle/battle.lgp/amaa.png","View Picture")</f>
        <v>View Picture</v>
      </c>
      <c r="H97" s="75"/>
      <c r="I97" s="74"/>
      <c r="J97" s="74"/>
      <c r="K97" s="74"/>
    </row>
    <row r="98">
      <c r="A98" s="21"/>
      <c r="B98" s="119" t="s">
        <v>3905</v>
      </c>
      <c r="C98" s="120" t="s">
        <v>3906</v>
      </c>
      <c r="D98" s="33" t="s">
        <v>3907</v>
      </c>
      <c r="E98" s="39" t="s">
        <v>93</v>
      </c>
      <c r="F98" s="121" t="s">
        <v>2993</v>
      </c>
      <c r="G98" s="122"/>
      <c r="H98" s="46" t="s">
        <v>3002</v>
      </c>
      <c r="I98" s="74"/>
      <c r="J98" s="74"/>
      <c r="K98" s="74"/>
    </row>
    <row r="99">
      <c r="A99" s="40"/>
      <c r="B99" s="119" t="s">
        <v>3912</v>
      </c>
      <c r="C99" s="120" t="s">
        <v>3914</v>
      </c>
      <c r="D99" s="33" t="s">
        <v>3915</v>
      </c>
      <c r="E99" s="39" t="s">
        <v>93</v>
      </c>
      <c r="F99" s="121" t="s">
        <v>3009</v>
      </c>
      <c r="G99" s="98" t="str">
        <f>HYPERLINK("http://mirror.ff7data.com.ar/ff7/data/battle/battle.lgp/amam.png","View Picture")</f>
        <v>View Picture</v>
      </c>
      <c r="H99" s="75"/>
      <c r="I99" s="74"/>
      <c r="J99" s="74"/>
      <c r="K99" s="74"/>
    </row>
    <row r="100">
      <c r="A100" s="40"/>
      <c r="B100" s="119" t="s">
        <v>3923</v>
      </c>
      <c r="C100" s="120" t="s">
        <v>3914</v>
      </c>
      <c r="D100" s="33" t="s">
        <v>3927</v>
      </c>
      <c r="E100" s="39" t="s">
        <v>93</v>
      </c>
      <c r="F100" s="121" t="s">
        <v>3009</v>
      </c>
      <c r="G100" s="98" t="str">
        <f>HYPERLINK("http://mirror.ff7data.com.ar/ff7/data/battle/battle.lgp/aman.png","View Picture")</f>
        <v>View Picture</v>
      </c>
      <c r="H100" s="75"/>
      <c r="I100" s="74"/>
      <c r="J100" s="74"/>
      <c r="K100" s="74"/>
    </row>
    <row r="101">
      <c r="A101" s="40"/>
      <c r="B101" s="119" t="s">
        <v>3934</v>
      </c>
      <c r="C101" s="120" t="s">
        <v>3914</v>
      </c>
      <c r="D101" s="33" t="s">
        <v>3936</v>
      </c>
      <c r="E101" s="39" t="s">
        <v>93</v>
      </c>
      <c r="F101" s="121" t="s">
        <v>3009</v>
      </c>
      <c r="G101" s="98" t="str">
        <f>HYPERLINK("http://mirror.ff7data.com.ar/ff7/data/battle/battle.lgp/amao.png","View Picture")</f>
        <v>View Picture</v>
      </c>
      <c r="H101" s="75"/>
      <c r="I101" s="74"/>
      <c r="J101" s="74"/>
      <c r="K101" s="74"/>
    </row>
    <row r="102">
      <c r="A102" s="40"/>
      <c r="B102" s="119" t="s">
        <v>3945</v>
      </c>
      <c r="C102" s="120" t="s">
        <v>3946</v>
      </c>
      <c r="D102" s="33" t="s">
        <v>3948</v>
      </c>
      <c r="E102" s="39" t="s">
        <v>93</v>
      </c>
      <c r="F102" s="121" t="s">
        <v>3009</v>
      </c>
      <c r="G102" s="98" t="str">
        <f>HYPERLINK("http://mirror.ff7data.com.ar/ff7/data/battle/battle.lgp/amap.png","View Picture")</f>
        <v>View Picture</v>
      </c>
      <c r="H102" s="75"/>
      <c r="I102" s="74"/>
      <c r="J102" s="74"/>
      <c r="K102" s="74"/>
    </row>
    <row r="103">
      <c r="A103" s="40"/>
      <c r="B103" s="119" t="s">
        <v>3960</v>
      </c>
      <c r="C103" s="120" t="s">
        <v>3961</v>
      </c>
      <c r="D103" s="33" t="s">
        <v>3963</v>
      </c>
      <c r="E103" s="39" t="s">
        <v>93</v>
      </c>
      <c r="F103" s="121" t="s">
        <v>3009</v>
      </c>
      <c r="G103" s="98" t="str">
        <f>HYPERLINK("http://mirror.ff7data.com.ar/ff7/data/battle/battle.lgp/amaq.png","View Picture")</f>
        <v>View Picture</v>
      </c>
      <c r="H103" s="75"/>
      <c r="I103" s="74"/>
      <c r="J103" s="74"/>
      <c r="K103" s="74"/>
    </row>
    <row r="104">
      <c r="A104" s="21"/>
      <c r="B104" s="119" t="s">
        <v>3971</v>
      </c>
      <c r="C104" s="120" t="s">
        <v>3519</v>
      </c>
      <c r="D104" s="33" t="s">
        <v>3973</v>
      </c>
      <c r="E104" s="39" t="s">
        <v>93</v>
      </c>
      <c r="F104" s="121" t="s">
        <v>3025</v>
      </c>
      <c r="G104" s="122"/>
      <c r="H104" s="46" t="s">
        <v>3002</v>
      </c>
      <c r="I104" s="74"/>
      <c r="J104" s="74"/>
      <c r="K104" s="74"/>
    </row>
    <row r="105">
      <c r="A105" s="40"/>
      <c r="B105" s="119" t="s">
        <v>3978</v>
      </c>
      <c r="C105" s="120" t="s">
        <v>3980</v>
      </c>
      <c r="D105" s="33" t="s">
        <v>3981</v>
      </c>
      <c r="E105" s="39" t="s">
        <v>96</v>
      </c>
      <c r="F105" s="121" t="s">
        <v>2971</v>
      </c>
      <c r="G105" s="98" t="str">
        <f>HYPERLINK("http://mirror.ff7data.com.ar/ff7/data/battle/battle.lgp/anaa.png","View Picture")</f>
        <v>View Picture</v>
      </c>
      <c r="H105" s="75"/>
      <c r="I105" s="74"/>
      <c r="J105" s="74"/>
      <c r="K105" s="74"/>
    </row>
    <row r="106">
      <c r="A106" s="21"/>
      <c r="B106" s="119" t="s">
        <v>3990</v>
      </c>
      <c r="C106" s="120" t="s">
        <v>3991</v>
      </c>
      <c r="D106" s="33" t="s">
        <v>3993</v>
      </c>
      <c r="E106" s="39" t="s">
        <v>96</v>
      </c>
      <c r="F106" s="121" t="s">
        <v>2993</v>
      </c>
      <c r="G106" s="122"/>
      <c r="H106" s="46" t="s">
        <v>3002</v>
      </c>
      <c r="I106" s="74"/>
      <c r="J106" s="74"/>
      <c r="K106" s="74"/>
    </row>
    <row r="107">
      <c r="A107" s="40"/>
      <c r="B107" s="119" t="s">
        <v>3996</v>
      </c>
      <c r="C107" s="120" t="s">
        <v>3997</v>
      </c>
      <c r="D107" s="33" t="s">
        <v>3998</v>
      </c>
      <c r="E107" s="39" t="s">
        <v>96</v>
      </c>
      <c r="F107" s="121" t="s">
        <v>1348</v>
      </c>
      <c r="G107" s="98" t="str">
        <f>HYPERLINK("http://mirror.ff7data.com.ar/ff7/data/battle/battle.lgp/anac.png","View Picture")</f>
        <v>View Picture</v>
      </c>
      <c r="H107" s="75"/>
      <c r="I107" s="74"/>
      <c r="J107" s="74"/>
      <c r="K107" s="74"/>
    </row>
    <row r="108">
      <c r="A108" s="40"/>
      <c r="B108" s="119" t="s">
        <v>4002</v>
      </c>
      <c r="C108" s="120" t="s">
        <v>3997</v>
      </c>
      <c r="D108" s="33" t="s">
        <v>3998</v>
      </c>
      <c r="E108" s="39" t="s">
        <v>96</v>
      </c>
      <c r="F108" s="121" t="s">
        <v>1348</v>
      </c>
      <c r="G108" s="98" t="str">
        <f>HYPERLINK("http://mirror.ff7data.com.ar/ff7/data/battle/battle.lgp/anad.png","View Picture")</f>
        <v>View Picture</v>
      </c>
      <c r="H108" s="75"/>
      <c r="I108" s="74"/>
      <c r="J108" s="74"/>
      <c r="K108" s="74"/>
    </row>
    <row r="109">
      <c r="A109" s="21"/>
      <c r="B109" s="119" t="s">
        <v>4011</v>
      </c>
      <c r="C109" s="120" t="s">
        <v>4012</v>
      </c>
      <c r="D109" s="33" t="s">
        <v>3993</v>
      </c>
      <c r="E109" s="39" t="s">
        <v>96</v>
      </c>
      <c r="F109" s="121" t="s">
        <v>3009</v>
      </c>
      <c r="G109" s="98" t="str">
        <f>HYPERLINK("http://mirror.ff7data.com.ar/ff7/data/battle/battle.lgp/anam.png","View Picture")</f>
        <v>View Picture</v>
      </c>
      <c r="H109" s="75"/>
      <c r="I109" s="74"/>
      <c r="J109" s="74"/>
      <c r="K109" s="74"/>
    </row>
    <row r="110">
      <c r="A110" s="21"/>
      <c r="B110" s="119" t="s">
        <v>4028</v>
      </c>
      <c r="C110" s="120" t="s">
        <v>4030</v>
      </c>
      <c r="D110" s="33" t="s">
        <v>3993</v>
      </c>
      <c r="E110" s="39" t="s">
        <v>96</v>
      </c>
      <c r="F110" s="121" t="s">
        <v>3009</v>
      </c>
      <c r="G110" s="98" t="str">
        <f>HYPERLINK("http://mirror.ff7data.com.ar/ff7/data/battle/battle.lgp/anao.png","View Picture")</f>
        <v>View Picture</v>
      </c>
      <c r="H110" s="75"/>
      <c r="I110" s="74"/>
      <c r="J110" s="74"/>
      <c r="K110" s="74"/>
    </row>
    <row r="111">
      <c r="A111" s="21"/>
      <c r="B111" s="119" t="s">
        <v>4045</v>
      </c>
      <c r="C111" s="120" t="s">
        <v>4046</v>
      </c>
      <c r="D111" s="33" t="s">
        <v>3993</v>
      </c>
      <c r="E111" s="39" t="s">
        <v>96</v>
      </c>
      <c r="F111" s="121" t="s">
        <v>3009</v>
      </c>
      <c r="G111" s="98" t="str">
        <f>HYPERLINK("http://mirror.ff7data.com.ar/ff7/data/battle/battle.lgp/anar.png","View Picture")</f>
        <v>View Picture</v>
      </c>
      <c r="H111" s="75"/>
      <c r="I111" s="74"/>
      <c r="J111" s="74"/>
      <c r="K111" s="74"/>
    </row>
    <row r="112">
      <c r="A112" s="21"/>
      <c r="B112" s="119" t="s">
        <v>4056</v>
      </c>
      <c r="C112" s="120" t="s">
        <v>4057</v>
      </c>
      <c r="D112" s="33" t="s">
        <v>3993</v>
      </c>
      <c r="E112" s="39" t="s">
        <v>96</v>
      </c>
      <c r="F112" s="121" t="s">
        <v>3009</v>
      </c>
      <c r="G112" s="98" t="str">
        <f>HYPERLINK("http://mirror.ff7data.com.ar/ff7/data/battle/battle.lgp/anax.png","View Picture")</f>
        <v>View Picture</v>
      </c>
      <c r="H112" s="75"/>
      <c r="I112" s="74"/>
      <c r="J112" s="74"/>
      <c r="K112" s="74"/>
    </row>
    <row r="113">
      <c r="A113" s="21"/>
      <c r="B113" s="119" t="s">
        <v>4066</v>
      </c>
      <c r="C113" s="120" t="s">
        <v>4046</v>
      </c>
      <c r="D113" s="33" t="s">
        <v>3993</v>
      </c>
      <c r="E113" s="39" t="s">
        <v>96</v>
      </c>
      <c r="F113" s="121" t="s">
        <v>3009</v>
      </c>
      <c r="G113" s="98" t="str">
        <f>HYPERLINK("http://mirror.ff7data.com.ar/ff7/data/battle/battle.lgp/anbc.png","View Picture")</f>
        <v>View Picture</v>
      </c>
      <c r="H113" s="75"/>
      <c r="I113" s="74"/>
      <c r="J113" s="74"/>
      <c r="K113" s="74"/>
    </row>
    <row r="114">
      <c r="A114" s="21"/>
      <c r="B114" s="119" t="s">
        <v>4076</v>
      </c>
      <c r="C114" s="120" t="s">
        <v>4057</v>
      </c>
      <c r="D114" s="33" t="s">
        <v>3993</v>
      </c>
      <c r="E114" s="39" t="s">
        <v>96</v>
      </c>
      <c r="F114" s="121" t="s">
        <v>3009</v>
      </c>
      <c r="G114" s="98" t="str">
        <f>HYPERLINK("http://mirror.ff7data.com.ar/ff7/data/battle/battle.lgp/anbe.png","View Picture")</f>
        <v>View Picture</v>
      </c>
      <c r="H114" s="75"/>
      <c r="I114" s="74"/>
      <c r="J114" s="74"/>
      <c r="K114" s="74"/>
    </row>
    <row r="115">
      <c r="A115" s="21"/>
      <c r="B115" s="119" t="s">
        <v>4084</v>
      </c>
      <c r="C115" s="120" t="s">
        <v>4086</v>
      </c>
      <c r="D115" s="33" t="s">
        <v>3993</v>
      </c>
      <c r="E115" s="39" t="s">
        <v>96</v>
      </c>
      <c r="F115" s="121" t="s">
        <v>3009</v>
      </c>
      <c r="G115" s="98" t="str">
        <f>HYPERLINK("http://mirror.ff7data.com.ar/ff7/data/battle/battle.lgp/anda.png","View Picture")</f>
        <v>View Picture</v>
      </c>
      <c r="H115" s="46" t="s">
        <v>3002</v>
      </c>
      <c r="I115" s="74"/>
      <c r="J115" s="74"/>
      <c r="K115" s="74"/>
    </row>
    <row r="116">
      <c r="A116" s="40"/>
      <c r="B116" s="119" t="s">
        <v>4095</v>
      </c>
      <c r="C116" s="120" t="s">
        <v>4096</v>
      </c>
      <c r="D116" s="33" t="s">
        <v>4098</v>
      </c>
      <c r="E116" s="39" t="s">
        <v>99</v>
      </c>
      <c r="F116" s="121" t="s">
        <v>3009</v>
      </c>
      <c r="G116" s="98" t="str">
        <f>HYPERLINK("http://mirror.ff7data.com.ar/ff7/data/battle/battle.lgp/aoaa.png","View Picture")</f>
        <v>View Picture</v>
      </c>
      <c r="H116" s="75"/>
      <c r="I116" s="74"/>
      <c r="J116" s="74"/>
      <c r="K116" s="74"/>
    </row>
    <row r="117">
      <c r="A117" s="21"/>
      <c r="B117" s="119" t="s">
        <v>4106</v>
      </c>
      <c r="C117" s="120" t="s">
        <v>4109</v>
      </c>
      <c r="D117" s="33" t="s">
        <v>4110</v>
      </c>
      <c r="E117" s="39" t="s">
        <v>99</v>
      </c>
      <c r="F117" s="121" t="s">
        <v>3009</v>
      </c>
      <c r="G117" s="98" t="str">
        <f>HYPERLINK("http://mirror.ff7data.com.ar/ff7/data/battle/battle.lgp/aoab.png","View Picture")</f>
        <v>View Picture</v>
      </c>
      <c r="H117" s="46" t="s">
        <v>3002</v>
      </c>
      <c r="I117" s="74"/>
      <c r="J117" s="74"/>
      <c r="K117" s="74"/>
    </row>
    <row r="118">
      <c r="A118" s="21"/>
      <c r="B118" s="119" t="s">
        <v>4119</v>
      </c>
      <c r="C118" s="120" t="s">
        <v>4122</v>
      </c>
      <c r="D118" s="33" t="s">
        <v>4110</v>
      </c>
      <c r="E118" s="39" t="s">
        <v>99</v>
      </c>
      <c r="F118" s="121" t="s">
        <v>3009</v>
      </c>
      <c r="G118" s="98" t="str">
        <f>HYPERLINK("http://mirror.ff7data.com.ar/ff7/data/battle/battle.lgp/aoan.png","View Picture")</f>
        <v>View Picture</v>
      </c>
      <c r="H118" s="75"/>
      <c r="I118" s="74"/>
      <c r="J118" s="74"/>
      <c r="K118" s="74"/>
    </row>
    <row r="119">
      <c r="A119" s="21"/>
      <c r="B119" s="119" t="s">
        <v>4132</v>
      </c>
      <c r="C119" s="120" t="s">
        <v>3723</v>
      </c>
      <c r="D119" s="33" t="s">
        <v>4110</v>
      </c>
      <c r="E119" s="39" t="s">
        <v>99</v>
      </c>
      <c r="F119" s="121" t="s">
        <v>3009</v>
      </c>
      <c r="G119" s="98" t="str">
        <f>HYPERLINK("http://mirror.ff7data.com.ar/ff7/data/battle/battle.lgp/aoap.png","View Picture")</f>
        <v>View Picture</v>
      </c>
      <c r="H119" s="75"/>
      <c r="I119" s="74"/>
      <c r="J119" s="74"/>
      <c r="K119" s="74"/>
    </row>
    <row r="120">
      <c r="A120" s="21"/>
      <c r="B120" s="119" t="s">
        <v>4143</v>
      </c>
      <c r="C120" s="120" t="s">
        <v>4146</v>
      </c>
      <c r="D120" s="33" t="s">
        <v>4110</v>
      </c>
      <c r="E120" s="39" t="s">
        <v>99</v>
      </c>
      <c r="F120" s="121" t="s">
        <v>3009</v>
      </c>
      <c r="G120" s="98" t="str">
        <f>HYPERLINK("http://mirror.ff7data.com.ar/ff7/data/battle/battle.lgp/aoar.png","View Picture")</f>
        <v>View Picture</v>
      </c>
      <c r="H120" s="75"/>
      <c r="I120" s="74"/>
      <c r="J120" s="74"/>
      <c r="K120" s="74"/>
    </row>
    <row r="121">
      <c r="A121" s="21"/>
      <c r="B121" s="119" t="s">
        <v>4155</v>
      </c>
      <c r="C121" s="120" t="s">
        <v>4156</v>
      </c>
      <c r="D121" s="33" t="s">
        <v>4110</v>
      </c>
      <c r="E121" s="39" t="s">
        <v>99</v>
      </c>
      <c r="F121" s="121" t="s">
        <v>3009</v>
      </c>
      <c r="G121" s="98" t="str">
        <f>HYPERLINK("http://mirror.ff7data.com.ar/ff7/data/battle/battle.lgp/aoat.png","View Picture")</f>
        <v>View Picture</v>
      </c>
      <c r="H121" s="75"/>
      <c r="I121" s="74"/>
      <c r="J121" s="74"/>
      <c r="K121" s="74"/>
    </row>
    <row r="122">
      <c r="A122" s="21"/>
      <c r="B122" s="119" t="s">
        <v>4166</v>
      </c>
      <c r="C122" s="120" t="s">
        <v>4167</v>
      </c>
      <c r="D122" s="33" t="s">
        <v>4110</v>
      </c>
      <c r="E122" s="39" t="s">
        <v>99</v>
      </c>
      <c r="F122" s="121" t="s">
        <v>3025</v>
      </c>
      <c r="G122" s="122"/>
      <c r="H122" s="46" t="s">
        <v>3002</v>
      </c>
      <c r="I122" s="74"/>
      <c r="J122" s="74"/>
      <c r="K122" s="74"/>
    </row>
    <row r="123">
      <c r="A123" s="40"/>
      <c r="B123" s="119" t="s">
        <v>4171</v>
      </c>
      <c r="C123" s="120" t="s">
        <v>3980</v>
      </c>
      <c r="D123" s="33" t="s">
        <v>4173</v>
      </c>
      <c r="E123" s="39" t="s">
        <v>102</v>
      </c>
      <c r="F123" s="121" t="s">
        <v>2971</v>
      </c>
      <c r="G123" s="98" t="str">
        <f>HYPERLINK("http://mirror.ff7data.com.ar/ff7/data/battle/battle.lgp/apaa.png","View Picture")</f>
        <v>View Picture</v>
      </c>
      <c r="H123" s="46" t="s">
        <v>4181</v>
      </c>
      <c r="I123" s="74"/>
      <c r="J123" s="74"/>
      <c r="K123" s="74"/>
    </row>
    <row r="124">
      <c r="A124" s="40"/>
      <c r="B124" s="119" t="s">
        <v>4184</v>
      </c>
      <c r="C124" s="120" t="s">
        <v>4185</v>
      </c>
      <c r="D124" s="33" t="s">
        <v>4186</v>
      </c>
      <c r="E124" s="39" t="s">
        <v>102</v>
      </c>
      <c r="F124" s="121" t="s">
        <v>2993</v>
      </c>
      <c r="G124" s="122"/>
      <c r="H124" s="75"/>
      <c r="I124" s="74"/>
      <c r="J124" s="74"/>
      <c r="K124" s="74"/>
    </row>
    <row r="125">
      <c r="A125" s="40"/>
      <c r="B125" s="119" t="s">
        <v>4190</v>
      </c>
      <c r="C125" s="120" t="s">
        <v>4191</v>
      </c>
      <c r="D125" s="33" t="s">
        <v>4186</v>
      </c>
      <c r="E125" s="39" t="s">
        <v>102</v>
      </c>
      <c r="F125" s="121" t="s">
        <v>3025</v>
      </c>
      <c r="G125" s="122"/>
      <c r="H125" s="75"/>
      <c r="I125" s="74"/>
      <c r="J125" s="74"/>
      <c r="K125" s="74"/>
    </row>
    <row r="126">
      <c r="A126" s="40"/>
      <c r="B126" s="119" t="s">
        <v>4194</v>
      </c>
      <c r="C126" s="120" t="s">
        <v>4196</v>
      </c>
      <c r="D126" s="33" t="s">
        <v>4197</v>
      </c>
      <c r="E126" s="39" t="s">
        <v>106</v>
      </c>
      <c r="F126" s="121" t="s">
        <v>2971</v>
      </c>
      <c r="G126" s="98" t="str">
        <f>HYPERLINK("http://mirror.ff7data.com.ar/ff7/data/battle/battle.lgp/aqaa.png","View Picture")</f>
        <v>View Picture</v>
      </c>
      <c r="H126" s="75"/>
      <c r="I126" s="74"/>
      <c r="J126" s="74"/>
      <c r="K126" s="74"/>
    </row>
    <row r="127">
      <c r="A127" s="21"/>
      <c r="B127" s="119" t="s">
        <v>4208</v>
      </c>
      <c r="C127" s="120" t="s">
        <v>4209</v>
      </c>
      <c r="D127" s="33" t="s">
        <v>4210</v>
      </c>
      <c r="E127" s="39" t="s">
        <v>106</v>
      </c>
      <c r="F127" s="121" t="s">
        <v>2993</v>
      </c>
      <c r="G127" s="122"/>
      <c r="H127" s="46" t="s">
        <v>3002</v>
      </c>
      <c r="I127" s="74"/>
      <c r="J127" s="74"/>
      <c r="K127" s="74"/>
    </row>
    <row r="128">
      <c r="A128" s="40"/>
      <c r="B128" s="119" t="s">
        <v>4215</v>
      </c>
      <c r="C128" s="120" t="s">
        <v>4217</v>
      </c>
      <c r="D128" s="33" t="s">
        <v>4218</v>
      </c>
      <c r="E128" s="39" t="s">
        <v>106</v>
      </c>
      <c r="F128" s="121" t="s">
        <v>3009</v>
      </c>
      <c r="G128" s="98" t="str">
        <f>HYPERLINK("http://mirror.ff7data.com.ar/ff7/data/battle/battle.lgp/aqam.png","View Picture")</f>
        <v>View Picture</v>
      </c>
      <c r="H128" s="75"/>
      <c r="I128" s="74"/>
      <c r="J128" s="74"/>
      <c r="K128" s="74"/>
    </row>
    <row r="129">
      <c r="A129" s="40"/>
      <c r="B129" s="119" t="s">
        <v>4227</v>
      </c>
      <c r="C129" s="120" t="s">
        <v>4228</v>
      </c>
      <c r="D129" s="33" t="s">
        <v>4231</v>
      </c>
      <c r="E129" s="39" t="s">
        <v>106</v>
      </c>
      <c r="F129" s="121" t="s">
        <v>3009</v>
      </c>
      <c r="G129" s="98" t="str">
        <f>HYPERLINK("http://mirror.ff7data.com.ar/ff7/data/battle/battle.lgp/aqan.png","View Picture")</f>
        <v>View Picture</v>
      </c>
      <c r="H129" s="75"/>
      <c r="I129" s="74"/>
      <c r="J129" s="74"/>
      <c r="K129" s="74"/>
    </row>
    <row r="130">
      <c r="A130" s="40"/>
      <c r="B130" s="119" t="s">
        <v>4239</v>
      </c>
      <c r="C130" s="120" t="s">
        <v>4240</v>
      </c>
      <c r="D130" s="33" t="s">
        <v>4241</v>
      </c>
      <c r="E130" s="39" t="s">
        <v>106</v>
      </c>
      <c r="F130" s="121" t="s">
        <v>3009</v>
      </c>
      <c r="G130" s="98" t="str">
        <f>HYPERLINK("http://mirror.ff7data.com.ar/ff7/data/battle/battle.lgp/aqao.png","View Picture")</f>
        <v>View Picture</v>
      </c>
      <c r="H130" s="75"/>
      <c r="I130" s="74"/>
      <c r="J130" s="74"/>
      <c r="K130" s="74"/>
    </row>
    <row r="131">
      <c r="A131" s="40"/>
      <c r="B131" s="119" t="s">
        <v>4251</v>
      </c>
      <c r="C131" s="120" t="s">
        <v>4252</v>
      </c>
      <c r="D131" s="33" t="s">
        <v>4254</v>
      </c>
      <c r="E131" s="39" t="s">
        <v>106</v>
      </c>
      <c r="F131" s="121" t="s">
        <v>3009</v>
      </c>
      <c r="G131" s="98" t="str">
        <f>HYPERLINK("http://mirror.ff7data.com.ar/ff7/data/battle/battle.lgp/aqar.png","View Picture")</f>
        <v>View Picture</v>
      </c>
      <c r="H131" s="75"/>
      <c r="I131" s="74"/>
      <c r="J131" s="74"/>
      <c r="K131" s="74"/>
    </row>
    <row r="132">
      <c r="A132" s="40"/>
      <c r="B132" s="119" t="s">
        <v>4263</v>
      </c>
      <c r="C132" s="120" t="s">
        <v>4264</v>
      </c>
      <c r="D132" s="33" t="s">
        <v>4265</v>
      </c>
      <c r="E132" s="39" t="s">
        <v>106</v>
      </c>
      <c r="F132" s="121" t="s">
        <v>3009</v>
      </c>
      <c r="G132" s="98" t="str">
        <f>HYPERLINK("http://mirror.ff7data.com.ar/ff7/data/battle/battle.lgp/aqas.png","View Picture")</f>
        <v>View Picture</v>
      </c>
      <c r="H132" s="75"/>
      <c r="I132" s="74"/>
      <c r="J132" s="74"/>
      <c r="K132" s="74"/>
    </row>
    <row r="133">
      <c r="A133" s="40"/>
      <c r="B133" s="119" t="s">
        <v>4274</v>
      </c>
      <c r="C133" s="120" t="s">
        <v>4167</v>
      </c>
      <c r="D133" s="33" t="s">
        <v>4276</v>
      </c>
      <c r="E133" s="39" t="s">
        <v>106</v>
      </c>
      <c r="F133" s="121" t="s">
        <v>3009</v>
      </c>
      <c r="G133" s="98" t="str">
        <f>HYPERLINK("http://mirror.ff7data.com.ar/ff7/data/battle/battle.lgp/aqat.png","View Picture")</f>
        <v>View Picture</v>
      </c>
      <c r="H133" s="75"/>
      <c r="I133" s="74"/>
      <c r="J133" s="74"/>
      <c r="K133" s="74"/>
    </row>
    <row r="134">
      <c r="A134" s="40"/>
      <c r="B134" s="119" t="s">
        <v>4286</v>
      </c>
      <c r="C134" s="120" t="s">
        <v>4288</v>
      </c>
      <c r="D134" s="33" t="s">
        <v>4289</v>
      </c>
      <c r="E134" s="39" t="s">
        <v>106</v>
      </c>
      <c r="F134" s="121" t="s">
        <v>3009</v>
      </c>
      <c r="G134" s="98" t="str">
        <f>HYPERLINK("http://mirror.ff7data.com.ar/ff7/data/battle/battle.lgp/aqav.png","View Picture")</f>
        <v>View Picture</v>
      </c>
      <c r="H134" s="75"/>
      <c r="I134" s="74"/>
      <c r="J134" s="74"/>
      <c r="K134" s="74"/>
    </row>
    <row r="135">
      <c r="A135" s="40"/>
      <c r="B135" s="119" t="s">
        <v>4297</v>
      </c>
      <c r="C135" s="120" t="s">
        <v>4288</v>
      </c>
      <c r="D135" s="33" t="s">
        <v>4299</v>
      </c>
      <c r="E135" s="39" t="s">
        <v>106</v>
      </c>
      <c r="F135" s="121" t="s">
        <v>3009</v>
      </c>
      <c r="G135" s="98" t="str">
        <f>HYPERLINK("http://mirror.ff7data.com.ar/ff7/data/battle/battle.lgp/aqax.png","View Picture")</f>
        <v>View Picture</v>
      </c>
      <c r="H135" s="75"/>
      <c r="I135" s="74"/>
      <c r="J135" s="74"/>
      <c r="K135" s="74"/>
    </row>
    <row r="136">
      <c r="A136" s="40"/>
      <c r="B136" s="119" t="s">
        <v>4311</v>
      </c>
      <c r="C136" s="120" t="s">
        <v>4217</v>
      </c>
      <c r="D136" s="33" t="s">
        <v>4313</v>
      </c>
      <c r="E136" s="39" t="s">
        <v>106</v>
      </c>
      <c r="F136" s="121" t="s">
        <v>3009</v>
      </c>
      <c r="G136" s="98" t="str">
        <f>HYPERLINK("http://mirror.ff7data.com.ar/ff7/data/battle/battle.lgp/aqba.png","View Picture")</f>
        <v>View Picture</v>
      </c>
      <c r="H136" s="75"/>
      <c r="I136" s="74"/>
      <c r="J136" s="74"/>
      <c r="K136" s="74"/>
    </row>
    <row r="137">
      <c r="A137" s="40"/>
      <c r="B137" s="119" t="s">
        <v>4323</v>
      </c>
      <c r="C137" s="120" t="s">
        <v>4264</v>
      </c>
      <c r="D137" s="33" t="s">
        <v>4325</v>
      </c>
      <c r="E137" s="39" t="s">
        <v>106</v>
      </c>
      <c r="F137" s="121" t="s">
        <v>3009</v>
      </c>
      <c r="G137" s="98" t="str">
        <f>HYPERLINK("http://mirror.ff7data.com.ar/ff7/data/battle/battle.lgp/aqbb.png","View Picture")</f>
        <v>View Picture</v>
      </c>
      <c r="H137" s="75"/>
      <c r="I137" s="74"/>
      <c r="J137" s="74"/>
      <c r="K137" s="74"/>
    </row>
    <row r="138">
      <c r="A138" s="40"/>
      <c r="B138" s="119" t="s">
        <v>4334</v>
      </c>
      <c r="C138" s="120" t="s">
        <v>4217</v>
      </c>
      <c r="D138" s="33" t="s">
        <v>4335</v>
      </c>
      <c r="E138" s="39" t="s">
        <v>106</v>
      </c>
      <c r="F138" s="121" t="s">
        <v>3009</v>
      </c>
      <c r="G138" s="98" t="str">
        <f>HYPERLINK("http://mirror.ff7data.com.ar/ff7/data/battle/battle.lgp/aqbc.png","View Picture")</f>
        <v>View Picture</v>
      </c>
      <c r="H138" s="75"/>
      <c r="I138" s="74"/>
      <c r="J138" s="74"/>
      <c r="K138" s="74"/>
    </row>
    <row r="139">
      <c r="A139" s="40"/>
      <c r="B139" s="119" t="s">
        <v>4345</v>
      </c>
      <c r="C139" s="120" t="s">
        <v>3749</v>
      </c>
      <c r="D139" s="33" t="s">
        <v>4347</v>
      </c>
      <c r="E139" s="39" t="s">
        <v>106</v>
      </c>
      <c r="F139" s="121" t="s">
        <v>3009</v>
      </c>
      <c r="G139" s="98" t="str">
        <f>HYPERLINK("http://mirror.ff7data.com.ar/ff7/data/battle/battle.lgp/aqbe.png","View Picture")</f>
        <v>View Picture</v>
      </c>
      <c r="H139" s="75"/>
      <c r="I139" s="74"/>
      <c r="J139" s="74"/>
      <c r="K139" s="74"/>
    </row>
    <row r="140">
      <c r="A140" s="40"/>
      <c r="B140" s="119" t="s">
        <v>4356</v>
      </c>
      <c r="C140" s="120" t="s">
        <v>4357</v>
      </c>
      <c r="D140" s="33" t="s">
        <v>4358</v>
      </c>
      <c r="E140" s="39" t="s">
        <v>106</v>
      </c>
      <c r="F140" s="121" t="s">
        <v>3009</v>
      </c>
      <c r="G140" s="98" t="str">
        <f>HYPERLINK("http://mirror.ff7data.com.ar/ff7/data/battle/battle.lgp/aqbf.png","View Picture")</f>
        <v>View Picture</v>
      </c>
      <c r="H140" s="75"/>
      <c r="I140" s="74"/>
      <c r="J140" s="74"/>
      <c r="K140" s="74"/>
    </row>
    <row r="141">
      <c r="A141" s="40"/>
      <c r="B141" s="119" t="s">
        <v>4371</v>
      </c>
      <c r="C141" s="120" t="s">
        <v>4372</v>
      </c>
      <c r="D141" s="33" t="s">
        <v>4373</v>
      </c>
      <c r="E141" s="39" t="s">
        <v>106</v>
      </c>
      <c r="F141" s="121" t="s">
        <v>3009</v>
      </c>
      <c r="G141" s="98" t="str">
        <f>HYPERLINK("http://mirror.ff7data.com.ar/ff7/data/battle/battle.lgp/aqbg.png","View Picture")</f>
        <v>View Picture</v>
      </c>
      <c r="H141" s="75"/>
      <c r="I141" s="74"/>
      <c r="J141" s="74"/>
      <c r="K141" s="74"/>
    </row>
    <row r="142">
      <c r="A142" s="40"/>
      <c r="B142" s="119" t="s">
        <v>4385</v>
      </c>
      <c r="C142" s="120" t="s">
        <v>4372</v>
      </c>
      <c r="D142" s="33" t="s">
        <v>4386</v>
      </c>
      <c r="E142" s="39" t="s">
        <v>106</v>
      </c>
      <c r="F142" s="121" t="s">
        <v>3009</v>
      </c>
      <c r="G142" s="98" t="str">
        <f>HYPERLINK("http://mirror.ff7data.com.ar/ff7/data/battle/battle.lgp/aqbh.png","View Picture")</f>
        <v>View Picture</v>
      </c>
      <c r="H142" s="75"/>
      <c r="I142" s="74"/>
      <c r="J142" s="74"/>
      <c r="K142" s="74"/>
    </row>
    <row r="143">
      <c r="A143" s="40"/>
      <c r="B143" s="119" t="s">
        <v>4395</v>
      </c>
      <c r="C143" s="120" t="s">
        <v>4396</v>
      </c>
      <c r="D143" s="33" t="s">
        <v>4398</v>
      </c>
      <c r="E143" s="39" t="s">
        <v>106</v>
      </c>
      <c r="F143" s="121" t="s">
        <v>3009</v>
      </c>
      <c r="G143" s="98" t="str">
        <f>HYPERLINK("http://mirror.ff7data.com.ar/ff7/data/battle/battle.lgp/aqbj.png","View Picture")</f>
        <v>View Picture</v>
      </c>
      <c r="H143" s="75"/>
      <c r="I143" s="74"/>
      <c r="J143" s="74"/>
      <c r="K143" s="74"/>
    </row>
    <row r="144">
      <c r="A144" s="40"/>
      <c r="B144" s="119" t="s">
        <v>4407</v>
      </c>
      <c r="C144" s="120" t="s">
        <v>4357</v>
      </c>
      <c r="D144" s="33" t="s">
        <v>4408</v>
      </c>
      <c r="E144" s="39" t="s">
        <v>106</v>
      </c>
      <c r="F144" s="121" t="s">
        <v>3009</v>
      </c>
      <c r="G144" s="98" t="str">
        <f>HYPERLINK("http://mirror.ff7data.com.ar/ff7/data/battle/battle.lgp/aqbk.png","View Picture")</f>
        <v>View Picture</v>
      </c>
      <c r="H144" s="75"/>
      <c r="I144" s="74"/>
      <c r="J144" s="74"/>
      <c r="K144" s="74"/>
    </row>
    <row r="145">
      <c r="A145" s="40"/>
      <c r="B145" s="119" t="s">
        <v>4418</v>
      </c>
      <c r="C145" s="120" t="s">
        <v>4372</v>
      </c>
      <c r="D145" s="33" t="s">
        <v>4419</v>
      </c>
      <c r="E145" s="39" t="s">
        <v>106</v>
      </c>
      <c r="F145" s="121" t="s">
        <v>3009</v>
      </c>
      <c r="G145" s="98" t="str">
        <f>HYPERLINK("http://mirror.ff7data.com.ar/ff7/data/battle/battle.lgp/aqbl.png","View Picture")</f>
        <v>View Picture</v>
      </c>
      <c r="H145" s="75"/>
      <c r="I145" s="74"/>
      <c r="J145" s="74"/>
      <c r="K145" s="74"/>
    </row>
    <row r="146">
      <c r="A146" s="40"/>
      <c r="B146" s="119" t="s">
        <v>4427</v>
      </c>
      <c r="C146" s="120" t="s">
        <v>4372</v>
      </c>
      <c r="D146" s="33" t="s">
        <v>4429</v>
      </c>
      <c r="E146" s="39" t="s">
        <v>106</v>
      </c>
      <c r="F146" s="121" t="s">
        <v>3009</v>
      </c>
      <c r="G146" s="98" t="str">
        <f>HYPERLINK("http://mirror.ff7data.com.ar/ff7/data/battle/battle.lgp/aqbm.png","View Picture")</f>
        <v>View Picture</v>
      </c>
      <c r="H146" s="75"/>
      <c r="I146" s="74"/>
      <c r="J146" s="74"/>
      <c r="K146" s="74"/>
    </row>
    <row r="147">
      <c r="A147" s="40"/>
      <c r="B147" s="119" t="s">
        <v>4438</v>
      </c>
      <c r="C147" s="120" t="s">
        <v>4439</v>
      </c>
      <c r="D147" s="33" t="s">
        <v>4441</v>
      </c>
      <c r="E147" s="39" t="s">
        <v>106</v>
      </c>
      <c r="F147" s="121" t="s">
        <v>3009</v>
      </c>
      <c r="G147" s="98" t="str">
        <f>HYPERLINK("http://mirror.ff7data.com.ar/ff7/data/battle/battle.lgp/aqck.png","View Picture")</f>
        <v>View Picture</v>
      </c>
      <c r="H147" s="75"/>
      <c r="I147" s="74"/>
      <c r="J147" s="74"/>
      <c r="K147" s="74"/>
    </row>
    <row r="148">
      <c r="A148" s="21"/>
      <c r="B148" s="119" t="s">
        <v>4449</v>
      </c>
      <c r="C148" s="120" t="s">
        <v>3434</v>
      </c>
      <c r="D148" s="33" t="s">
        <v>4452</v>
      </c>
      <c r="E148" s="39" t="s">
        <v>106</v>
      </c>
      <c r="F148" s="121" t="s">
        <v>3025</v>
      </c>
      <c r="G148" s="122"/>
      <c r="H148" s="46" t="s">
        <v>3002</v>
      </c>
      <c r="I148" s="74"/>
      <c r="J148" s="74"/>
      <c r="K148" s="74"/>
    </row>
    <row r="149">
      <c r="A149" s="40"/>
      <c r="B149" s="119" t="s">
        <v>4455</v>
      </c>
      <c r="C149" s="120" t="s">
        <v>4456</v>
      </c>
      <c r="D149" s="20" t="s">
        <v>4458</v>
      </c>
      <c r="E149" s="39" t="s">
        <v>109</v>
      </c>
      <c r="F149" s="121" t="s">
        <v>2971</v>
      </c>
      <c r="G149" s="98" t="str">
        <f>HYPERLINK("http://mirror.ff7data.com.ar/ff7/data/battle/battle.lgp/araa.png","View Picture")</f>
        <v>View Picture</v>
      </c>
      <c r="H149" s="75"/>
      <c r="I149" s="74"/>
      <c r="J149" s="74"/>
      <c r="K149" s="74"/>
    </row>
    <row r="150">
      <c r="A150" s="21"/>
      <c r="B150" s="119" t="s">
        <v>4467</v>
      </c>
      <c r="C150" s="120" t="s">
        <v>4468</v>
      </c>
      <c r="D150" s="20" t="s">
        <v>4470</v>
      </c>
      <c r="E150" s="39" t="s">
        <v>109</v>
      </c>
      <c r="F150" s="121" t="s">
        <v>2993</v>
      </c>
      <c r="G150" s="122"/>
      <c r="H150" s="46" t="s">
        <v>3002</v>
      </c>
      <c r="I150" s="74"/>
      <c r="J150" s="74"/>
      <c r="K150" s="74"/>
    </row>
    <row r="151">
      <c r="A151" s="21"/>
      <c r="B151" s="119" t="s">
        <v>4475</v>
      </c>
      <c r="C151" s="120" t="s">
        <v>4476</v>
      </c>
      <c r="D151" s="20" t="s">
        <v>4477</v>
      </c>
      <c r="E151" s="39" t="s">
        <v>109</v>
      </c>
      <c r="F151" s="121" t="s">
        <v>3009</v>
      </c>
      <c r="G151" s="98" t="str">
        <f>HYPERLINK("http://mirror.ff7data.com.ar/ff7/data/battle/battle.lgp/aram.png","View Picture")</f>
        <v>View Picture</v>
      </c>
      <c r="H151" s="75"/>
      <c r="I151" s="74"/>
      <c r="J151" s="74"/>
      <c r="K151" s="74"/>
    </row>
    <row r="152">
      <c r="A152" s="21"/>
      <c r="B152" s="119" t="s">
        <v>4487</v>
      </c>
      <c r="C152" s="120" t="s">
        <v>4357</v>
      </c>
      <c r="D152" s="20" t="s">
        <v>4488</v>
      </c>
      <c r="E152" s="39" t="s">
        <v>109</v>
      </c>
      <c r="F152" s="121" t="s">
        <v>3009</v>
      </c>
      <c r="G152" s="98" t="str">
        <f>HYPERLINK("http://mirror.ff7data.com.ar/ff7/data/battle/battle.lgp/aran.png","View Picture")</f>
        <v>View Picture</v>
      </c>
      <c r="H152" s="75"/>
      <c r="I152" s="74"/>
      <c r="J152" s="74"/>
      <c r="K152" s="74"/>
    </row>
    <row r="153">
      <c r="A153" s="21"/>
      <c r="B153" s="119" t="s">
        <v>4496</v>
      </c>
      <c r="C153" s="120" t="s">
        <v>4476</v>
      </c>
      <c r="D153" s="20" t="s">
        <v>4498</v>
      </c>
      <c r="E153" s="39" t="s">
        <v>109</v>
      </c>
      <c r="F153" s="121" t="s">
        <v>3009</v>
      </c>
      <c r="G153" s="98" t="str">
        <f>HYPERLINK("http://mirror.ff7data.com.ar/ff7/data/battle/battle.lgp/arao.png","View Picture")</f>
        <v>View Picture</v>
      </c>
      <c r="H153" s="75"/>
      <c r="I153" s="74"/>
      <c r="J153" s="74"/>
      <c r="K153" s="74"/>
    </row>
    <row r="154">
      <c r="A154" s="21"/>
      <c r="B154" s="119" t="s">
        <v>4508</v>
      </c>
      <c r="C154" s="120" t="s">
        <v>3842</v>
      </c>
      <c r="D154" s="20" t="s">
        <v>4498</v>
      </c>
      <c r="E154" s="39" t="s">
        <v>109</v>
      </c>
      <c r="F154" s="121" t="s">
        <v>3009</v>
      </c>
      <c r="G154" s="98" t="str">
        <f>HYPERLINK("http://mirror.ff7data.com.ar/ff7/data/battle/battle.lgp/arap.png","View Picture")</f>
        <v>View Picture</v>
      </c>
      <c r="H154" s="75"/>
      <c r="I154" s="74"/>
      <c r="J154" s="74"/>
      <c r="K154" s="74"/>
    </row>
    <row r="155">
      <c r="A155" s="21"/>
      <c r="B155" s="119" t="s">
        <v>4515</v>
      </c>
      <c r="C155" s="120" t="s">
        <v>3875</v>
      </c>
      <c r="D155" s="20" t="s">
        <v>4518</v>
      </c>
      <c r="E155" s="39" t="s">
        <v>109</v>
      </c>
      <c r="F155" s="121" t="s">
        <v>3009</v>
      </c>
      <c r="G155" s="98" t="str">
        <f>HYPERLINK("http://mirror.ff7data.com.ar/ff7/data/battle/battle.lgp/araq.png","View Picture")</f>
        <v>View Picture</v>
      </c>
      <c r="H155" s="75"/>
      <c r="I155" s="74"/>
      <c r="J155" s="74"/>
      <c r="K155" s="74"/>
    </row>
    <row r="156">
      <c r="A156" s="21"/>
      <c r="B156" s="119" t="s">
        <v>4527</v>
      </c>
      <c r="C156" s="120" t="s">
        <v>4217</v>
      </c>
      <c r="D156" s="20" t="s">
        <v>4529</v>
      </c>
      <c r="E156" s="39" t="s">
        <v>109</v>
      </c>
      <c r="F156" s="121" t="s">
        <v>3009</v>
      </c>
      <c r="G156" s="98" t="str">
        <f>HYPERLINK("http://mirror.ff7data.com.ar/ff7/data/battle/battle.lgp/arar.png","View Picture")</f>
        <v>View Picture</v>
      </c>
      <c r="H156" s="75"/>
      <c r="I156" s="74"/>
      <c r="J156" s="74"/>
      <c r="K156" s="74"/>
    </row>
    <row r="157">
      <c r="A157" s="21"/>
      <c r="B157" s="119" t="s">
        <v>4539</v>
      </c>
      <c r="C157" s="120" t="s">
        <v>4541</v>
      </c>
      <c r="D157" s="20" t="s">
        <v>4543</v>
      </c>
      <c r="E157" s="39" t="s">
        <v>109</v>
      </c>
      <c r="F157" s="121" t="s">
        <v>3009</v>
      </c>
      <c r="G157" s="98" t="str">
        <f>HYPERLINK("http://mirror.ff7data.com.ar/ff7/data/battle/battle.lgp/arat.png","View Picture")</f>
        <v>View Picture</v>
      </c>
      <c r="H157" s="75"/>
      <c r="I157" s="74"/>
      <c r="J157" s="74"/>
      <c r="K157" s="74"/>
    </row>
    <row r="158">
      <c r="A158" s="21"/>
      <c r="B158" s="119" t="s">
        <v>4552</v>
      </c>
      <c r="C158" s="120" t="s">
        <v>4554</v>
      </c>
      <c r="D158" s="20" t="s">
        <v>4543</v>
      </c>
      <c r="E158" s="39" t="s">
        <v>109</v>
      </c>
      <c r="F158" s="121" t="s">
        <v>3009</v>
      </c>
      <c r="G158" s="98" t="str">
        <f>HYPERLINK("http://mirror.ff7data.com.ar/ff7/data/battle/battle.lgp/arau.png","View Picture")</f>
        <v>View Picture</v>
      </c>
      <c r="H158" s="75"/>
      <c r="I158" s="74"/>
      <c r="J158" s="74"/>
      <c r="K158" s="74"/>
    </row>
    <row r="159">
      <c r="A159" s="21"/>
      <c r="B159" s="119" t="s">
        <v>4563</v>
      </c>
      <c r="C159" s="120" t="s">
        <v>4565</v>
      </c>
      <c r="D159" s="20" t="s">
        <v>4543</v>
      </c>
      <c r="E159" s="39" t="s">
        <v>109</v>
      </c>
      <c r="F159" s="121" t="s">
        <v>3009</v>
      </c>
      <c r="G159" s="98" t="str">
        <f>HYPERLINK("http://mirror.ff7data.com.ar/ff7/data/battle/battle.lgp/arav.png","View Picture")</f>
        <v>View Picture</v>
      </c>
      <c r="H159" s="75"/>
      <c r="I159" s="74"/>
      <c r="J159" s="74"/>
      <c r="K159" s="74"/>
    </row>
    <row r="160">
      <c r="A160" s="21"/>
      <c r="B160" s="119" t="s">
        <v>4579</v>
      </c>
      <c r="C160" s="120" t="s">
        <v>4565</v>
      </c>
      <c r="D160" s="20" t="s">
        <v>4543</v>
      </c>
      <c r="E160" s="39" t="s">
        <v>109</v>
      </c>
      <c r="F160" s="121" t="s">
        <v>3009</v>
      </c>
      <c r="G160" s="98" t="str">
        <f>HYPERLINK("http://mirror.ff7data.com.ar/ff7/data/battle/battle.lgp/araw.png","View Picture")</f>
        <v>View Picture</v>
      </c>
      <c r="H160" s="75"/>
      <c r="I160" s="74"/>
      <c r="J160" s="74"/>
      <c r="K160" s="74"/>
    </row>
    <row r="161">
      <c r="A161" s="21"/>
      <c r="B161" s="119" t="s">
        <v>4589</v>
      </c>
      <c r="C161" s="120" t="s">
        <v>4565</v>
      </c>
      <c r="D161" s="20" t="s">
        <v>4543</v>
      </c>
      <c r="E161" s="39" t="s">
        <v>109</v>
      </c>
      <c r="F161" s="121" t="s">
        <v>3009</v>
      </c>
      <c r="G161" s="98" t="str">
        <f>HYPERLINK("http://mirror.ff7data.com.ar/ff7/data/battle/battle.lgp/arax.png","View Picture")</f>
        <v>View Picture</v>
      </c>
      <c r="H161" s="75"/>
      <c r="I161" s="74"/>
      <c r="J161" s="74"/>
      <c r="K161" s="74"/>
    </row>
    <row r="162">
      <c r="A162" s="21"/>
      <c r="B162" s="119" t="s">
        <v>4599</v>
      </c>
      <c r="C162" s="120" t="s">
        <v>4601</v>
      </c>
      <c r="D162" s="20" t="s">
        <v>4543</v>
      </c>
      <c r="E162" s="39" t="s">
        <v>109</v>
      </c>
      <c r="F162" s="121" t="s">
        <v>3009</v>
      </c>
      <c r="G162" s="98" t="str">
        <f>HYPERLINK("http://mirror.ff7data.com.ar/ff7/data/battle/battle.lgp/aray.png","View Picture")</f>
        <v>View Picture</v>
      </c>
      <c r="H162" s="75"/>
      <c r="I162" s="74"/>
      <c r="J162" s="74"/>
      <c r="K162" s="74"/>
    </row>
    <row r="163">
      <c r="A163" s="21"/>
      <c r="B163" s="119" t="s">
        <v>4610</v>
      </c>
      <c r="C163" s="120" t="s">
        <v>3007</v>
      </c>
      <c r="D163" s="20" t="s">
        <v>4611</v>
      </c>
      <c r="E163" s="39" t="s">
        <v>109</v>
      </c>
      <c r="F163" s="121" t="s">
        <v>3009</v>
      </c>
      <c r="G163" s="98" t="str">
        <f>HYPERLINK("http://mirror.ff7data.com.ar/ff7/data/battle/battle.lgp/araz.png","View Picture")</f>
        <v>View Picture</v>
      </c>
      <c r="H163" s="75"/>
      <c r="I163" s="74"/>
      <c r="J163" s="74"/>
      <c r="K163" s="74"/>
    </row>
    <row r="164">
      <c r="A164" s="21"/>
      <c r="B164" s="119" t="s">
        <v>4622</v>
      </c>
      <c r="C164" s="120" t="s">
        <v>4264</v>
      </c>
      <c r="D164" s="20" t="s">
        <v>4624</v>
      </c>
      <c r="E164" s="39" t="s">
        <v>109</v>
      </c>
      <c r="F164" s="121" t="s">
        <v>3009</v>
      </c>
      <c r="G164" s="98" t="str">
        <f>HYPERLINK("http://mirror.ff7data.com.ar/ff7/data/battle/battle.lgp/arbb.png","View Picture")</f>
        <v>View Picture</v>
      </c>
      <c r="H164" s="75"/>
      <c r="I164" s="74"/>
      <c r="J164" s="74"/>
      <c r="K164" s="74"/>
    </row>
    <row r="165">
      <c r="A165" s="21"/>
      <c r="B165" s="119" t="s">
        <v>4634</v>
      </c>
      <c r="C165" s="120" t="s">
        <v>4476</v>
      </c>
      <c r="D165" s="20" t="s">
        <v>4635</v>
      </c>
      <c r="E165" s="39" t="s">
        <v>109</v>
      </c>
      <c r="F165" s="121" t="s">
        <v>3009</v>
      </c>
      <c r="G165" s="98" t="str">
        <f>HYPERLINK("http://mirror.ff7data.com.ar/ff7/data/battle/battle.lgp/arbc.png","View Picture")</f>
        <v>View Picture</v>
      </c>
      <c r="H165" s="75"/>
      <c r="I165" s="74"/>
      <c r="J165" s="74"/>
      <c r="K165" s="74"/>
    </row>
    <row r="166">
      <c r="A166" s="21"/>
      <c r="B166" s="119" t="s">
        <v>4644</v>
      </c>
      <c r="C166" s="120" t="s">
        <v>4646</v>
      </c>
      <c r="D166" s="20" t="s">
        <v>4647</v>
      </c>
      <c r="E166" s="39" t="s">
        <v>109</v>
      </c>
      <c r="F166" s="121" t="s">
        <v>3009</v>
      </c>
      <c r="G166" s="98" t="str">
        <f>HYPERLINK("http://mirror.ff7data.com.ar/ff7/data/battle/battle.lgp/arbd.png","View Picture")</f>
        <v>View Picture</v>
      </c>
      <c r="H166" s="75"/>
      <c r="I166" s="74"/>
      <c r="J166" s="74"/>
      <c r="K166" s="74"/>
    </row>
    <row r="167">
      <c r="A167" s="21"/>
      <c r="B167" s="119" t="s">
        <v>4657</v>
      </c>
      <c r="C167" s="120" t="s">
        <v>4658</v>
      </c>
      <c r="D167" s="20" t="s">
        <v>4659</v>
      </c>
      <c r="E167" s="39" t="s">
        <v>109</v>
      </c>
      <c r="F167" s="121" t="s">
        <v>3009</v>
      </c>
      <c r="G167" s="98" t="str">
        <f>HYPERLINK("http://mirror.ff7data.com.ar/ff7/data/battle/battle.lgp/arbe.png","View Picture")</f>
        <v>View Picture</v>
      </c>
      <c r="H167" s="75"/>
      <c r="I167" s="74"/>
      <c r="J167" s="74"/>
      <c r="K167" s="74"/>
    </row>
    <row r="168">
      <c r="A168" s="21"/>
      <c r="B168" s="119" t="s">
        <v>4669</v>
      </c>
      <c r="C168" s="120" t="s">
        <v>4264</v>
      </c>
      <c r="D168" s="20" t="s">
        <v>4670</v>
      </c>
      <c r="E168" s="39" t="s">
        <v>109</v>
      </c>
      <c r="F168" s="121" t="s">
        <v>3009</v>
      </c>
      <c r="G168" s="98" t="str">
        <f>HYPERLINK("http://mirror.ff7data.com.ar/ff7/data/battle/battle.lgp/arbg.png","View Picture")</f>
        <v>View Picture</v>
      </c>
      <c r="H168" s="75"/>
      <c r="I168" s="74"/>
      <c r="J168" s="74"/>
      <c r="K168" s="74"/>
    </row>
    <row r="169">
      <c r="A169" s="21"/>
      <c r="B169" s="119" t="s">
        <v>4683</v>
      </c>
      <c r="C169" s="120" t="s">
        <v>4372</v>
      </c>
      <c r="D169" s="20" t="s">
        <v>4685</v>
      </c>
      <c r="E169" s="39" t="s">
        <v>109</v>
      </c>
      <c r="F169" s="121" t="s">
        <v>3009</v>
      </c>
      <c r="G169" s="98" t="str">
        <f>HYPERLINK("http://mirror.ff7data.com.ar/ff7/data/battle/battle.lgp/arbh.png","View Picture")</f>
        <v>View Picture</v>
      </c>
      <c r="H169" s="75"/>
      <c r="I169" s="74"/>
      <c r="J169" s="74"/>
      <c r="K169" s="74"/>
    </row>
    <row r="170">
      <c r="A170" s="21"/>
      <c r="B170" s="119" t="s">
        <v>4694</v>
      </c>
      <c r="C170" s="120" t="s">
        <v>4696</v>
      </c>
      <c r="D170" s="20" t="s">
        <v>4697</v>
      </c>
      <c r="E170" s="39" t="s">
        <v>109</v>
      </c>
      <c r="F170" s="121" t="s">
        <v>3009</v>
      </c>
      <c r="G170" s="98" t="str">
        <f>HYPERLINK("http://mirror.ff7data.com.ar/ff7/data/battle/battle.lgp/arbi.png","View Picture")</f>
        <v>View Picture</v>
      </c>
      <c r="H170" s="75"/>
      <c r="I170" s="74"/>
      <c r="J170" s="74"/>
      <c r="K170" s="74"/>
    </row>
    <row r="171">
      <c r="A171" s="21"/>
      <c r="B171" s="119" t="s">
        <v>4706</v>
      </c>
      <c r="C171" s="120" t="s">
        <v>4707</v>
      </c>
      <c r="D171" s="20" t="s">
        <v>4709</v>
      </c>
      <c r="E171" s="39" t="s">
        <v>109</v>
      </c>
      <c r="F171" s="121" t="s">
        <v>3009</v>
      </c>
      <c r="G171" s="98" t="str">
        <f>HYPERLINK("http://mirror.ff7data.com.ar/ff7/data/battle/battle.lgp/arbj.png","View Picture")</f>
        <v>View Picture</v>
      </c>
      <c r="H171" s="75"/>
      <c r="I171" s="74"/>
      <c r="J171" s="74"/>
      <c r="K171" s="74"/>
    </row>
    <row r="172">
      <c r="A172" s="21"/>
      <c r="B172" s="119" t="s">
        <v>4718</v>
      </c>
      <c r="C172" s="120" t="s">
        <v>4719</v>
      </c>
      <c r="D172" s="20" t="s">
        <v>4720</v>
      </c>
      <c r="E172" s="39" t="s">
        <v>109</v>
      </c>
      <c r="F172" s="121" t="s">
        <v>3009</v>
      </c>
      <c r="G172" s="98" t="str">
        <f>HYPERLINK("http://mirror.ff7data.com.ar/ff7/data/battle/battle.lgp/arbk.png","View Picture")</f>
        <v>View Picture</v>
      </c>
      <c r="H172" s="75"/>
      <c r="I172" s="74"/>
      <c r="J172" s="74"/>
      <c r="K172" s="74"/>
    </row>
    <row r="173">
      <c r="A173" s="21"/>
      <c r="B173" s="119" t="s">
        <v>4731</v>
      </c>
      <c r="C173" s="120" t="s">
        <v>4732</v>
      </c>
      <c r="D173" s="20" t="s">
        <v>4733</v>
      </c>
      <c r="E173" s="39" t="s">
        <v>109</v>
      </c>
      <c r="F173" s="121" t="s">
        <v>3009</v>
      </c>
      <c r="G173" s="98" t="str">
        <f>HYPERLINK("http://mirror.ff7data.com.ar/ff7/data/battle/battle.lgp/arbm.png","View Picture")</f>
        <v>View Picture</v>
      </c>
      <c r="H173" s="75"/>
      <c r="I173" s="74"/>
      <c r="J173" s="74"/>
      <c r="K173" s="74"/>
    </row>
    <row r="174">
      <c r="A174" s="21"/>
      <c r="B174" s="119" t="s">
        <v>4745</v>
      </c>
      <c r="C174" s="120" t="s">
        <v>4747</v>
      </c>
      <c r="D174" s="20" t="s">
        <v>4749</v>
      </c>
      <c r="E174" s="39" t="s">
        <v>109</v>
      </c>
      <c r="F174" s="121" t="s">
        <v>3009</v>
      </c>
      <c r="G174" s="98" t="str">
        <f>HYPERLINK("http://mirror.ff7data.com.ar/ff7/data/battle/battle.lgp/arbn.png","View Picture")</f>
        <v>View Picture</v>
      </c>
      <c r="H174" s="75"/>
      <c r="I174" s="74"/>
      <c r="J174" s="74"/>
      <c r="K174" s="74"/>
    </row>
    <row r="175">
      <c r="A175" s="21"/>
      <c r="B175" s="119" t="s">
        <v>4757</v>
      </c>
      <c r="C175" s="120" t="s">
        <v>4476</v>
      </c>
      <c r="D175" s="20" t="s">
        <v>4749</v>
      </c>
      <c r="E175" s="39" t="s">
        <v>109</v>
      </c>
      <c r="F175" s="121" t="s">
        <v>3009</v>
      </c>
      <c r="G175" s="98" t="str">
        <f>HYPERLINK("http://mirror.ff7data.com.ar/ff7/data/battle/battle.lgp/arbo.png","View Picture")</f>
        <v>View Picture</v>
      </c>
      <c r="H175" s="75"/>
      <c r="I175" s="74"/>
      <c r="J175" s="74"/>
      <c r="K175" s="74"/>
    </row>
    <row r="176">
      <c r="A176" s="21"/>
      <c r="B176" s="119" t="s">
        <v>4765</v>
      </c>
      <c r="C176" s="120" t="s">
        <v>4696</v>
      </c>
      <c r="D176" s="20" t="s">
        <v>4767</v>
      </c>
      <c r="E176" s="39" t="s">
        <v>109</v>
      </c>
      <c r="F176" s="121" t="s">
        <v>3009</v>
      </c>
      <c r="G176" s="98" t="str">
        <f>HYPERLINK("http://mirror.ff7data.com.ar/ff7/data/battle/battle.lgp/arbp.png","View Picture")</f>
        <v>View Picture</v>
      </c>
      <c r="H176" s="75"/>
      <c r="I176" s="74"/>
      <c r="J176" s="74"/>
      <c r="K176" s="74"/>
    </row>
    <row r="177">
      <c r="A177" s="21"/>
      <c r="B177" s="119" t="s">
        <v>4776</v>
      </c>
      <c r="C177" s="120" t="s">
        <v>4658</v>
      </c>
      <c r="D177" s="20" t="s">
        <v>4778</v>
      </c>
      <c r="E177" s="39" t="s">
        <v>109</v>
      </c>
      <c r="F177" s="121" t="s">
        <v>3009</v>
      </c>
      <c r="G177" s="98" t="str">
        <f>HYPERLINK("http://mirror.ff7data.com.ar/ff7/data/battle/battle.lgp/arbq.png","View Picture")</f>
        <v>View Picture</v>
      </c>
      <c r="H177" s="75"/>
      <c r="I177" s="74"/>
      <c r="J177" s="74"/>
      <c r="K177" s="74"/>
    </row>
    <row r="178">
      <c r="A178" s="21"/>
      <c r="B178" s="119" t="s">
        <v>4787</v>
      </c>
      <c r="C178" s="120" t="s">
        <v>4439</v>
      </c>
      <c r="D178" s="20" t="s">
        <v>4788</v>
      </c>
      <c r="E178" s="39" t="s">
        <v>109</v>
      </c>
      <c r="F178" s="121" t="s">
        <v>3009</v>
      </c>
      <c r="G178" s="98" t="str">
        <f>HYPERLINK("http://mirror.ff7data.com.ar/ff7/data/battle/battle.lgp/arbs.png","View Picture")</f>
        <v>View Picture</v>
      </c>
      <c r="H178" s="75"/>
      <c r="I178" s="74"/>
      <c r="J178" s="74"/>
      <c r="K178" s="74"/>
    </row>
    <row r="179">
      <c r="A179" s="21"/>
      <c r="B179" s="119" t="s">
        <v>4797</v>
      </c>
      <c r="C179" s="120" t="s">
        <v>4747</v>
      </c>
      <c r="D179" s="20" t="s">
        <v>4799</v>
      </c>
      <c r="E179" s="39" t="s">
        <v>109</v>
      </c>
      <c r="F179" s="121" t="s">
        <v>3009</v>
      </c>
      <c r="G179" s="98" t="str">
        <f>HYPERLINK("http://mirror.ff7data.com.ar/ff7/data/battle/battle.lgp/arbt.png","View Picture")</f>
        <v>View Picture</v>
      </c>
      <c r="H179" s="75"/>
      <c r="I179" s="74"/>
      <c r="J179" s="74"/>
      <c r="K179" s="74"/>
    </row>
    <row r="180">
      <c r="A180" s="21"/>
      <c r="B180" s="119" t="s">
        <v>4808</v>
      </c>
      <c r="C180" s="120" t="s">
        <v>4185</v>
      </c>
      <c r="D180" s="20" t="s">
        <v>4799</v>
      </c>
      <c r="E180" s="39" t="s">
        <v>109</v>
      </c>
      <c r="F180" s="121" t="s">
        <v>3009</v>
      </c>
      <c r="G180" s="98" t="str">
        <f>HYPERLINK("http://mirror.ff7data.com.ar/ff7/data/battle/battle.lgp/arbu.png","View Picture")</f>
        <v>View Picture</v>
      </c>
      <c r="H180" s="75"/>
      <c r="I180" s="74"/>
      <c r="J180" s="74"/>
      <c r="K180" s="74"/>
    </row>
    <row r="181">
      <c r="A181" s="21"/>
      <c r="B181" s="119" t="s">
        <v>4817</v>
      </c>
      <c r="C181" s="120" t="s">
        <v>4646</v>
      </c>
      <c r="D181" s="20" t="s">
        <v>4820</v>
      </c>
      <c r="E181" s="39" t="s">
        <v>109</v>
      </c>
      <c r="F181" s="121" t="s">
        <v>3009</v>
      </c>
      <c r="G181" s="98" t="str">
        <f>HYPERLINK("http://mirror.ff7data.com.ar/ff7/data/battle/battle.lgp/arbv.png","View Picture")</f>
        <v>View Picture</v>
      </c>
      <c r="H181" s="75"/>
      <c r="I181" s="74"/>
      <c r="J181" s="74"/>
      <c r="K181" s="74"/>
    </row>
    <row r="182">
      <c r="A182" s="21"/>
      <c r="B182" s="119" t="s">
        <v>4829</v>
      </c>
      <c r="C182" s="120" t="s">
        <v>4747</v>
      </c>
      <c r="D182" s="20" t="s">
        <v>4831</v>
      </c>
      <c r="E182" s="39" t="s">
        <v>109</v>
      </c>
      <c r="F182" s="121" t="s">
        <v>3009</v>
      </c>
      <c r="G182" s="98" t="str">
        <f>HYPERLINK("http://mirror.ff7data.com.ar/ff7/data/battle/battle.lgp/arbw.png","View Picture")</f>
        <v>View Picture</v>
      </c>
      <c r="H182" s="75"/>
      <c r="I182" s="74"/>
      <c r="J182" s="74"/>
      <c r="K182" s="74"/>
    </row>
    <row r="183">
      <c r="A183" s="21"/>
      <c r="B183" s="119" t="s">
        <v>4839</v>
      </c>
      <c r="C183" s="120" t="s">
        <v>4841</v>
      </c>
      <c r="D183" s="20" t="s">
        <v>4470</v>
      </c>
      <c r="E183" s="39" t="s">
        <v>109</v>
      </c>
      <c r="F183" s="121" t="s">
        <v>3025</v>
      </c>
      <c r="G183" s="122"/>
      <c r="H183" s="46" t="s">
        <v>3002</v>
      </c>
      <c r="I183" s="74"/>
      <c r="J183" s="74"/>
      <c r="K183" s="74"/>
    </row>
    <row r="184">
      <c r="A184" s="40"/>
      <c r="B184" s="119" t="s">
        <v>4845</v>
      </c>
      <c r="C184" s="120" t="s">
        <v>4846</v>
      </c>
      <c r="D184" s="33" t="s">
        <v>4847</v>
      </c>
      <c r="E184" s="39" t="s">
        <v>113</v>
      </c>
      <c r="F184" s="121" t="s">
        <v>2971</v>
      </c>
      <c r="G184" s="98" t="str">
        <f>HYPERLINK("http://mirror.ff7data.com.ar/ff7/data/battle/battle.lgp/asaa.png","View Picture")</f>
        <v>View Picture</v>
      </c>
      <c r="H184" s="75"/>
      <c r="I184" s="74"/>
      <c r="J184" s="74"/>
      <c r="K184" s="74"/>
    </row>
    <row r="185">
      <c r="A185" s="21"/>
      <c r="B185" s="119" t="s">
        <v>4857</v>
      </c>
      <c r="C185" s="120" t="s">
        <v>4109</v>
      </c>
      <c r="D185" s="33" t="s">
        <v>4859</v>
      </c>
      <c r="E185" s="51" t="s">
        <v>113</v>
      </c>
      <c r="F185" s="121" t="s">
        <v>2993</v>
      </c>
      <c r="G185" s="122"/>
      <c r="H185" s="46" t="s">
        <v>3002</v>
      </c>
      <c r="I185" s="74"/>
      <c r="J185" s="74"/>
      <c r="K185" s="74"/>
    </row>
    <row r="186">
      <c r="A186" s="21"/>
      <c r="B186" s="119" t="s">
        <v>4862</v>
      </c>
      <c r="C186" s="120" t="s">
        <v>3494</v>
      </c>
      <c r="D186" s="33" t="s">
        <v>4863</v>
      </c>
      <c r="E186" s="51" t="s">
        <v>113</v>
      </c>
      <c r="F186" s="121" t="s">
        <v>3009</v>
      </c>
      <c r="G186" s="98" t="str">
        <f>HYPERLINK("http://mirror.ff7data.com.ar/ff7/data/battle/battle.lgp/asam.png","View Picture")</f>
        <v>View Picture</v>
      </c>
      <c r="H186" s="75"/>
      <c r="I186" s="74"/>
      <c r="J186" s="74"/>
      <c r="K186" s="74"/>
    </row>
    <row r="187">
      <c r="A187" s="21"/>
      <c r="B187" s="119" t="s">
        <v>4868</v>
      </c>
      <c r="C187" s="120" t="s">
        <v>3007</v>
      </c>
      <c r="D187" s="33" t="s">
        <v>4870</v>
      </c>
      <c r="E187" s="51" t="s">
        <v>113</v>
      </c>
      <c r="F187" s="121" t="s">
        <v>3009</v>
      </c>
      <c r="G187" s="98" t="str">
        <f>HYPERLINK("http://mirror.ff7data.com.ar/ff7/data/battle/battle.lgp/asan.png","View Picture")</f>
        <v>View Picture</v>
      </c>
      <c r="H187" s="75"/>
      <c r="I187" s="74"/>
      <c r="J187" s="74"/>
      <c r="K187" s="74"/>
    </row>
    <row r="188">
      <c r="A188" s="21"/>
      <c r="B188" s="119" t="s">
        <v>4882</v>
      </c>
      <c r="C188" s="120" t="s">
        <v>4883</v>
      </c>
      <c r="D188" s="33" t="s">
        <v>4885</v>
      </c>
      <c r="E188" s="51" t="s">
        <v>113</v>
      </c>
      <c r="F188" s="121" t="s">
        <v>3009</v>
      </c>
      <c r="G188" s="98" t="str">
        <f>HYPERLINK("http://mirror.ff7data.com.ar/ff7/data/battle/battle.lgp/asao.png","View Picture")</f>
        <v>View Picture</v>
      </c>
      <c r="H188" s="75"/>
      <c r="I188" s="74"/>
      <c r="J188" s="74"/>
      <c r="K188" s="74"/>
    </row>
    <row r="189">
      <c r="A189" s="21"/>
      <c r="B189" s="119" t="s">
        <v>4894</v>
      </c>
      <c r="C189" s="120" t="s">
        <v>4883</v>
      </c>
      <c r="D189" s="33" t="s">
        <v>4896</v>
      </c>
      <c r="E189" s="51" t="s">
        <v>113</v>
      </c>
      <c r="F189" s="121" t="s">
        <v>3009</v>
      </c>
      <c r="G189" s="98" t="str">
        <f>HYPERLINK("http://mirror.ff7data.com.ar/ff7/data/battle/battle.lgp/asap.png","View Picture")</f>
        <v>View Picture</v>
      </c>
      <c r="H189" s="75"/>
      <c r="I189" s="74"/>
      <c r="J189" s="74"/>
      <c r="K189" s="74"/>
    </row>
    <row r="190">
      <c r="A190" s="21"/>
      <c r="B190" s="119" t="s">
        <v>4904</v>
      </c>
      <c r="C190" s="120" t="s">
        <v>4883</v>
      </c>
      <c r="D190" s="33" t="s">
        <v>4905</v>
      </c>
      <c r="E190" s="51" t="s">
        <v>113</v>
      </c>
      <c r="F190" s="121" t="s">
        <v>3009</v>
      </c>
      <c r="G190" s="98" t="str">
        <f>HYPERLINK("http://mirror.ff7data.com.ar/ff7/data/battle/battle.lgp/asaq.png","View Picture")</f>
        <v>View Picture</v>
      </c>
      <c r="H190" s="75"/>
      <c r="I190" s="74"/>
      <c r="J190" s="74"/>
      <c r="K190" s="74"/>
    </row>
    <row r="191">
      <c r="A191" s="21"/>
      <c r="B191" s="119" t="s">
        <v>4915</v>
      </c>
      <c r="C191" s="120" t="s">
        <v>4883</v>
      </c>
      <c r="D191" s="33" t="s">
        <v>4917</v>
      </c>
      <c r="E191" s="51" t="s">
        <v>113</v>
      </c>
      <c r="F191" s="121" t="s">
        <v>3009</v>
      </c>
      <c r="G191" s="98" t="str">
        <f>HYPERLINK("http://mirror.ff7data.com.ar/ff7/data/battle/battle.lgp/asar.png","View Picture")</f>
        <v>View Picture</v>
      </c>
      <c r="H191" s="75"/>
      <c r="I191" s="74"/>
      <c r="J191" s="74"/>
      <c r="K191" s="74"/>
    </row>
    <row r="192">
      <c r="A192" s="21"/>
      <c r="B192" s="119" t="s">
        <v>4924</v>
      </c>
      <c r="C192" s="120" t="s">
        <v>4926</v>
      </c>
      <c r="D192" s="33" t="s">
        <v>4927</v>
      </c>
      <c r="E192" s="51" t="s">
        <v>113</v>
      </c>
      <c r="F192" s="121" t="s">
        <v>3009</v>
      </c>
      <c r="G192" s="98" t="str">
        <f>HYPERLINK("http://mirror.ff7data.com.ar/ff7/data/battle/battle.lgp/asas.png","View Picture")</f>
        <v>View Picture</v>
      </c>
      <c r="H192" s="75"/>
      <c r="I192" s="74"/>
      <c r="J192" s="74"/>
      <c r="K192" s="74"/>
    </row>
    <row r="193">
      <c r="A193" s="21"/>
      <c r="B193" s="119" t="s">
        <v>4936</v>
      </c>
      <c r="C193" s="120" t="s">
        <v>3007</v>
      </c>
      <c r="D193" s="33" t="s">
        <v>4938</v>
      </c>
      <c r="E193" s="51" t="s">
        <v>113</v>
      </c>
      <c r="F193" s="121" t="s">
        <v>3009</v>
      </c>
      <c r="G193" s="98" t="str">
        <f>HYPERLINK("http://mirror.ff7data.com.ar/ff7/data/battle/battle.lgp/asat.png","View Picture")</f>
        <v>View Picture</v>
      </c>
      <c r="H193" s="75"/>
      <c r="I193" s="74"/>
      <c r="J193" s="74"/>
      <c r="K193" s="74"/>
    </row>
    <row r="194">
      <c r="A194" s="21"/>
      <c r="B194" s="119" t="s">
        <v>4948</v>
      </c>
      <c r="C194" s="120" t="s">
        <v>4883</v>
      </c>
      <c r="D194" s="33" t="s">
        <v>4949</v>
      </c>
      <c r="E194" s="51" t="s">
        <v>113</v>
      </c>
      <c r="F194" s="121" t="s">
        <v>3009</v>
      </c>
      <c r="G194" s="98" t="str">
        <f>HYPERLINK("http://mirror.ff7data.com.ar/ff7/data/battle/battle.lgp/asau.png","View Picture")</f>
        <v>View Picture</v>
      </c>
      <c r="H194" s="75"/>
      <c r="I194" s="74"/>
      <c r="J194" s="74"/>
      <c r="K194" s="74"/>
    </row>
    <row r="195">
      <c r="A195" s="21"/>
      <c r="B195" s="119" t="s">
        <v>4958</v>
      </c>
      <c r="C195" s="120" t="s">
        <v>4883</v>
      </c>
      <c r="D195" s="33" t="s">
        <v>4961</v>
      </c>
      <c r="E195" s="51" t="s">
        <v>113</v>
      </c>
      <c r="F195" s="121" t="s">
        <v>3009</v>
      </c>
      <c r="G195" s="98" t="str">
        <f>HYPERLINK("http://mirror.ff7data.com.ar/ff7/data/battle/battle.lgp/asav.png","View Picture")</f>
        <v>View Picture</v>
      </c>
      <c r="H195" s="75"/>
      <c r="I195" s="74"/>
      <c r="J195" s="74"/>
      <c r="K195" s="74"/>
    </row>
    <row r="196">
      <c r="A196" s="21"/>
      <c r="B196" s="119" t="s">
        <v>4969</v>
      </c>
      <c r="C196" s="120" t="s">
        <v>4883</v>
      </c>
      <c r="D196" s="33" t="s">
        <v>4970</v>
      </c>
      <c r="E196" s="51" t="s">
        <v>113</v>
      </c>
      <c r="F196" s="121" t="s">
        <v>3009</v>
      </c>
      <c r="G196" s="98" t="str">
        <f>HYPERLINK("http://mirror.ff7data.com.ar/ff7/data/battle/battle.lgp/asaw.png","View Picture")</f>
        <v>View Picture</v>
      </c>
      <c r="H196" s="75"/>
      <c r="I196" s="74"/>
      <c r="J196" s="74"/>
      <c r="K196" s="74"/>
    </row>
    <row r="197">
      <c r="A197" s="21"/>
      <c r="B197" s="119" t="s">
        <v>4980</v>
      </c>
      <c r="C197" s="120" t="s">
        <v>4883</v>
      </c>
      <c r="D197" s="33" t="s">
        <v>4981</v>
      </c>
      <c r="E197" s="51" t="s">
        <v>113</v>
      </c>
      <c r="F197" s="121" t="s">
        <v>3009</v>
      </c>
      <c r="G197" s="98" t="str">
        <f>HYPERLINK("http://mirror.ff7data.com.ar/ff7/data/battle/battle.lgp/asax.png","View Picture")</f>
        <v>View Picture</v>
      </c>
      <c r="H197" s="75"/>
      <c r="I197" s="74"/>
      <c r="J197" s="74"/>
      <c r="K197" s="74"/>
    </row>
    <row r="198">
      <c r="A198" s="21"/>
      <c r="B198" s="119" t="s">
        <v>4989</v>
      </c>
      <c r="C198" s="120" t="s">
        <v>4926</v>
      </c>
      <c r="D198" s="33" t="s">
        <v>4991</v>
      </c>
      <c r="E198" s="51" t="s">
        <v>113</v>
      </c>
      <c r="F198" s="121" t="s">
        <v>3009</v>
      </c>
      <c r="G198" s="98" t="str">
        <f>HYPERLINK("http://mirror.ff7data.com.ar/ff7/data/battle/battle.lgp/asay.png","View Picture")</f>
        <v>View Picture</v>
      </c>
      <c r="H198" s="75"/>
      <c r="I198" s="74"/>
      <c r="J198" s="74"/>
      <c r="K198" s="74"/>
    </row>
    <row r="199">
      <c r="A199" s="21"/>
      <c r="B199" s="119" t="s">
        <v>5001</v>
      </c>
      <c r="C199" s="120" t="s">
        <v>3007</v>
      </c>
      <c r="D199" s="33" t="s">
        <v>5003</v>
      </c>
      <c r="E199" s="51" t="s">
        <v>113</v>
      </c>
      <c r="F199" s="121" t="s">
        <v>3009</v>
      </c>
      <c r="G199" s="98" t="str">
        <f>HYPERLINK("http://mirror.ff7data.com.ar/ff7/data/battle/battle.lgp/asaz.png","View Picture")</f>
        <v>View Picture</v>
      </c>
      <c r="H199" s="75"/>
      <c r="I199" s="74"/>
      <c r="J199" s="74"/>
      <c r="K199" s="74"/>
    </row>
    <row r="200">
      <c r="A200" s="21"/>
      <c r="B200" s="119" t="s">
        <v>5010</v>
      </c>
      <c r="C200" s="120" t="s">
        <v>4883</v>
      </c>
      <c r="D200" s="33" t="s">
        <v>5011</v>
      </c>
      <c r="E200" s="51" t="s">
        <v>113</v>
      </c>
      <c r="F200" s="121" t="s">
        <v>3009</v>
      </c>
      <c r="G200" s="98" t="str">
        <f>HYPERLINK("http://mirror.ff7data.com.ar/ff7/data/battle/battle.lgp/asba.png","View Picture")</f>
        <v>View Picture</v>
      </c>
      <c r="H200" s="75"/>
      <c r="I200" s="74"/>
      <c r="J200" s="74"/>
      <c r="K200" s="74"/>
    </row>
    <row r="201">
      <c r="A201" s="21"/>
      <c r="B201" s="119" t="s">
        <v>5019</v>
      </c>
      <c r="C201" s="120" t="s">
        <v>4883</v>
      </c>
      <c r="D201" s="33" t="s">
        <v>5021</v>
      </c>
      <c r="E201" s="51" t="s">
        <v>113</v>
      </c>
      <c r="F201" s="121" t="s">
        <v>3009</v>
      </c>
      <c r="G201" s="98" t="str">
        <f>HYPERLINK("http://mirror.ff7data.com.ar/ff7/data/battle/battle.lgp/asbb.png","View Picture")</f>
        <v>View Picture</v>
      </c>
      <c r="H201" s="75"/>
      <c r="I201" s="74"/>
      <c r="J201" s="74"/>
      <c r="K201" s="74"/>
    </row>
    <row r="202">
      <c r="A202" s="21"/>
      <c r="B202" s="119" t="s">
        <v>5026</v>
      </c>
      <c r="C202" s="120" t="s">
        <v>5027</v>
      </c>
      <c r="D202" s="33" t="s">
        <v>5028</v>
      </c>
      <c r="E202" s="51" t="s">
        <v>113</v>
      </c>
      <c r="F202" s="121" t="s">
        <v>3009</v>
      </c>
      <c r="G202" s="98" t="str">
        <f>HYPERLINK("http://mirror.ff7data.com.ar/ff7/data/battle/battle.lgp/asbc.png","View Picture")</f>
        <v>View Picture</v>
      </c>
      <c r="H202" s="75"/>
      <c r="I202" s="74"/>
      <c r="J202" s="74"/>
      <c r="K202" s="74"/>
    </row>
    <row r="203">
      <c r="A203" s="21"/>
      <c r="B203" s="119" t="s">
        <v>5036</v>
      </c>
      <c r="C203" s="120" t="s">
        <v>4883</v>
      </c>
      <c r="D203" s="33" t="s">
        <v>5038</v>
      </c>
      <c r="E203" s="51" t="s">
        <v>113</v>
      </c>
      <c r="F203" s="121" t="s">
        <v>3009</v>
      </c>
      <c r="G203" s="98" t="str">
        <f>HYPERLINK("http://mirror.ff7data.com.ar/ff7/data/battle/battle.lgp/asbd.png","View Picture")</f>
        <v>View Picture</v>
      </c>
      <c r="H203" s="75"/>
      <c r="I203" s="74"/>
      <c r="J203" s="74"/>
      <c r="K203" s="74"/>
    </row>
    <row r="204">
      <c r="A204" s="21"/>
      <c r="B204" s="119" t="s">
        <v>5046</v>
      </c>
      <c r="C204" s="120" t="s">
        <v>4926</v>
      </c>
      <c r="D204" s="33" t="s">
        <v>5048</v>
      </c>
      <c r="E204" s="51" t="s">
        <v>113</v>
      </c>
      <c r="F204" s="121" t="s">
        <v>3009</v>
      </c>
      <c r="G204" s="98" t="str">
        <f>HYPERLINK("http://mirror.ff7data.com.ar/ff7/data/battle/battle.lgp/asbe.png","View Picture")</f>
        <v>View Picture</v>
      </c>
      <c r="H204" s="75"/>
      <c r="I204" s="74"/>
      <c r="J204" s="74"/>
      <c r="K204" s="74"/>
    </row>
    <row r="205">
      <c r="A205" s="21"/>
      <c r="B205" s="119" t="s">
        <v>5055</v>
      </c>
      <c r="C205" s="120" t="s">
        <v>3007</v>
      </c>
      <c r="D205" s="33" t="s">
        <v>5057</v>
      </c>
      <c r="E205" s="51" t="s">
        <v>113</v>
      </c>
      <c r="F205" s="121" t="s">
        <v>3009</v>
      </c>
      <c r="G205" s="98" t="str">
        <f>HYPERLINK("http://mirror.ff7data.com.ar/ff7/data/battle/battle.lgp/asbf.png","View Picture")</f>
        <v>View Picture</v>
      </c>
      <c r="H205" s="75"/>
      <c r="I205" s="74"/>
      <c r="J205" s="74"/>
      <c r="K205" s="74"/>
    </row>
    <row r="206">
      <c r="A206" s="21"/>
      <c r="B206" s="119" t="s">
        <v>5068</v>
      </c>
      <c r="C206" s="120" t="s">
        <v>4883</v>
      </c>
      <c r="D206" s="33" t="s">
        <v>5070</v>
      </c>
      <c r="E206" s="51" t="s">
        <v>113</v>
      </c>
      <c r="F206" s="121" t="s">
        <v>3009</v>
      </c>
      <c r="G206" s="98" t="str">
        <f>HYPERLINK("http://mirror.ff7data.com.ar/ff7/data/battle/battle.lgp/asbg.png","View Picture")</f>
        <v>View Picture</v>
      </c>
      <c r="H206" s="75"/>
      <c r="I206" s="74"/>
      <c r="J206" s="74"/>
      <c r="K206" s="74"/>
    </row>
    <row r="207">
      <c r="A207" s="21"/>
      <c r="B207" s="119" t="s">
        <v>5080</v>
      </c>
      <c r="C207" s="120" t="s">
        <v>4883</v>
      </c>
      <c r="D207" s="33" t="s">
        <v>5081</v>
      </c>
      <c r="E207" s="51" t="s">
        <v>113</v>
      </c>
      <c r="F207" s="121" t="s">
        <v>3009</v>
      </c>
      <c r="G207" s="98" t="str">
        <f>HYPERLINK("http://mirror.ff7data.com.ar/ff7/data/battle/battle.lgp/asbh.png","View Picture")</f>
        <v>View Picture</v>
      </c>
      <c r="H207" s="75"/>
      <c r="I207" s="74"/>
      <c r="J207" s="74"/>
      <c r="K207" s="74"/>
    </row>
    <row r="208">
      <c r="A208" s="21"/>
      <c r="B208" s="119" t="s">
        <v>5091</v>
      </c>
      <c r="C208" s="120" t="s">
        <v>4883</v>
      </c>
      <c r="D208" s="33" t="s">
        <v>5092</v>
      </c>
      <c r="E208" s="51" t="s">
        <v>113</v>
      </c>
      <c r="F208" s="121" t="s">
        <v>3009</v>
      </c>
      <c r="G208" s="98" t="str">
        <f>HYPERLINK("http://mirror.ff7data.com.ar/ff7/data/battle/battle.lgp/asbi.png","View Picture")</f>
        <v>View Picture</v>
      </c>
      <c r="H208" s="75"/>
      <c r="I208" s="74"/>
      <c r="J208" s="74"/>
      <c r="K208" s="74"/>
    </row>
    <row r="209">
      <c r="A209" s="21"/>
      <c r="B209" s="119" t="s">
        <v>5102</v>
      </c>
      <c r="C209" s="120" t="s">
        <v>4883</v>
      </c>
      <c r="D209" s="33" t="s">
        <v>5104</v>
      </c>
      <c r="E209" s="51" t="s">
        <v>113</v>
      </c>
      <c r="F209" s="121" t="s">
        <v>3009</v>
      </c>
      <c r="G209" s="98" t="str">
        <f>HYPERLINK("http://mirror.ff7data.com.ar/ff7/data/battle/battle.lgp/asbj.png","View Picture")</f>
        <v>View Picture</v>
      </c>
      <c r="H209" s="75"/>
      <c r="I209" s="74"/>
      <c r="J209" s="74"/>
      <c r="K209" s="74"/>
    </row>
    <row r="210">
      <c r="A210" s="21"/>
      <c r="B210" s="119" t="s">
        <v>5112</v>
      </c>
      <c r="C210" s="120" t="s">
        <v>4926</v>
      </c>
      <c r="D210" s="33" t="s">
        <v>5114</v>
      </c>
      <c r="E210" s="51" t="s">
        <v>113</v>
      </c>
      <c r="F210" s="121" t="s">
        <v>3009</v>
      </c>
      <c r="G210" s="98" t="str">
        <f>HYPERLINK("http://mirror.ff7data.com.ar/ff7/data/battle/battle.lgp/asbk.png","View Picture")</f>
        <v>View Picture</v>
      </c>
      <c r="H210" s="75"/>
      <c r="I210" s="74"/>
      <c r="J210" s="74"/>
      <c r="K210" s="74"/>
    </row>
    <row r="211">
      <c r="A211" s="21"/>
      <c r="B211" s="119" t="s">
        <v>5124</v>
      </c>
      <c r="C211" s="120" t="s">
        <v>3007</v>
      </c>
      <c r="D211" s="33" t="s">
        <v>5126</v>
      </c>
      <c r="E211" s="51" t="s">
        <v>113</v>
      </c>
      <c r="F211" s="121" t="s">
        <v>3009</v>
      </c>
      <c r="G211" s="98" t="str">
        <f>HYPERLINK("http://mirror.ff7data.com.ar/ff7/data/battle/battle.lgp/asbl.png","View Picture")</f>
        <v>View Picture</v>
      </c>
      <c r="H211" s="75"/>
      <c r="I211" s="74"/>
      <c r="J211" s="74"/>
      <c r="K211" s="74"/>
    </row>
    <row r="212">
      <c r="A212" s="21"/>
      <c r="B212" s="119" t="s">
        <v>5134</v>
      </c>
      <c r="C212" s="120" t="s">
        <v>4883</v>
      </c>
      <c r="D212" s="33" t="s">
        <v>5136</v>
      </c>
      <c r="E212" s="51" t="s">
        <v>113</v>
      </c>
      <c r="F212" s="121" t="s">
        <v>3009</v>
      </c>
      <c r="G212" s="98" t="str">
        <f>HYPERLINK("http://mirror.ff7data.com.ar/ff7/data/battle/battle.lgp/asbm.png","View Picture")</f>
        <v>View Picture</v>
      </c>
      <c r="H212" s="75"/>
      <c r="I212" s="74"/>
      <c r="J212" s="74"/>
      <c r="K212" s="74"/>
    </row>
    <row r="213">
      <c r="A213" s="21"/>
      <c r="B213" s="119" t="s">
        <v>5144</v>
      </c>
      <c r="C213" s="120" t="s">
        <v>4883</v>
      </c>
      <c r="D213" s="33" t="s">
        <v>5146</v>
      </c>
      <c r="E213" s="51" t="s">
        <v>113</v>
      </c>
      <c r="F213" s="121" t="s">
        <v>3009</v>
      </c>
      <c r="G213" s="98" t="str">
        <f>HYPERLINK("http://mirror.ff7data.com.ar/ff7/data/battle/battle.lgp/asbn.png","View Picture")</f>
        <v>View Picture</v>
      </c>
      <c r="H213" s="75"/>
      <c r="I213" s="74"/>
      <c r="J213" s="74"/>
      <c r="K213" s="74"/>
    </row>
    <row r="214">
      <c r="A214" s="21"/>
      <c r="B214" s="119" t="s">
        <v>5156</v>
      </c>
      <c r="C214" s="120" t="s">
        <v>4883</v>
      </c>
      <c r="D214" s="33" t="s">
        <v>5158</v>
      </c>
      <c r="E214" s="51" t="s">
        <v>113</v>
      </c>
      <c r="F214" s="121" t="s">
        <v>3009</v>
      </c>
      <c r="G214" s="98" t="str">
        <f>HYPERLINK("http://mirror.ff7data.com.ar/ff7/data/battle/battle.lgp/asbo.png","View Picture")</f>
        <v>View Picture</v>
      </c>
      <c r="H214" s="75"/>
      <c r="I214" s="74"/>
      <c r="J214" s="74"/>
      <c r="K214" s="74"/>
    </row>
    <row r="215">
      <c r="A215" s="21"/>
      <c r="B215" s="119" t="s">
        <v>5166</v>
      </c>
      <c r="C215" s="120" t="s">
        <v>4883</v>
      </c>
      <c r="D215" s="33" t="s">
        <v>5168</v>
      </c>
      <c r="E215" s="51" t="s">
        <v>113</v>
      </c>
      <c r="F215" s="121" t="s">
        <v>3009</v>
      </c>
      <c r="G215" s="98" t="str">
        <f>HYPERLINK("http://mirror.ff7data.com.ar/ff7/data/battle/battle.lgp/asbp.png","View Picture")</f>
        <v>View Picture</v>
      </c>
      <c r="H215" s="75"/>
      <c r="I215" s="74"/>
      <c r="J215" s="74"/>
      <c r="K215" s="74"/>
    </row>
    <row r="216">
      <c r="A216" s="21"/>
      <c r="B216" s="119" t="s">
        <v>5181</v>
      </c>
      <c r="C216" s="120" t="s">
        <v>4926</v>
      </c>
      <c r="D216" s="33" t="s">
        <v>5182</v>
      </c>
      <c r="E216" s="51" t="s">
        <v>113</v>
      </c>
      <c r="F216" s="121" t="s">
        <v>3009</v>
      </c>
      <c r="G216" s="98" t="str">
        <f>HYPERLINK("http://mirror.ff7data.com.ar/ff7/data/battle/battle.lgp/asbq.png","View Picture")</f>
        <v>View Picture</v>
      </c>
      <c r="H216" s="75"/>
      <c r="I216" s="74"/>
      <c r="J216" s="74"/>
      <c r="K216" s="74"/>
    </row>
    <row r="217">
      <c r="A217" s="21"/>
      <c r="B217" s="119" t="s">
        <v>5191</v>
      </c>
      <c r="C217" s="120" t="s">
        <v>3343</v>
      </c>
      <c r="D217" s="33" t="s">
        <v>5194</v>
      </c>
      <c r="E217" s="51" t="s">
        <v>113</v>
      </c>
      <c r="F217" s="121" t="s">
        <v>3009</v>
      </c>
      <c r="G217" s="98" t="str">
        <f>HYPERLINK("http://mirror.ff7data.com.ar/ff7/data/battle/battle.lgp/asbr.png","View Picture")</f>
        <v>View Picture</v>
      </c>
      <c r="H217" s="75"/>
      <c r="I217" s="74"/>
      <c r="J217" s="74"/>
      <c r="K217" s="74"/>
    </row>
    <row r="218">
      <c r="A218" s="21"/>
      <c r="B218" s="119" t="s">
        <v>5202</v>
      </c>
      <c r="C218" s="120" t="s">
        <v>5203</v>
      </c>
      <c r="D218" s="33" t="s">
        <v>4859</v>
      </c>
      <c r="E218" s="51" t="s">
        <v>113</v>
      </c>
      <c r="F218" s="121" t="s">
        <v>3025</v>
      </c>
      <c r="G218" s="122"/>
      <c r="H218" s="46" t="s">
        <v>3002</v>
      </c>
      <c r="I218" s="74"/>
      <c r="J218" s="74"/>
      <c r="K218" s="74"/>
    </row>
    <row r="219">
      <c r="A219" s="40"/>
      <c r="B219" s="119" t="s">
        <v>5207</v>
      </c>
      <c r="C219" s="120" t="s">
        <v>3299</v>
      </c>
      <c r="D219" s="33" t="s">
        <v>5210</v>
      </c>
      <c r="E219" s="51" t="s">
        <v>116</v>
      </c>
      <c r="F219" s="121" t="s">
        <v>2971</v>
      </c>
      <c r="G219" s="98" t="str">
        <f>HYPERLINK("http://mirror.ff7data.com.ar/ff7/data/battle/battle.lgp/ataa.png","View Picture")</f>
        <v>View Picture</v>
      </c>
      <c r="H219" s="75"/>
      <c r="I219" s="74"/>
      <c r="J219" s="74"/>
      <c r="K219" s="74"/>
    </row>
    <row r="220">
      <c r="A220" s="21"/>
      <c r="B220" s="119" t="s">
        <v>5220</v>
      </c>
      <c r="C220" s="120" t="s">
        <v>5222</v>
      </c>
      <c r="D220" s="33" t="s">
        <v>5223</v>
      </c>
      <c r="E220" s="51" t="s">
        <v>116</v>
      </c>
      <c r="F220" s="121" t="s">
        <v>2993</v>
      </c>
      <c r="G220" s="122"/>
      <c r="H220" s="46" t="s">
        <v>3002</v>
      </c>
      <c r="I220" s="74"/>
      <c r="J220" s="74"/>
      <c r="K220" s="74"/>
    </row>
    <row r="221">
      <c r="A221" s="40"/>
      <c r="B221" s="119" t="s">
        <v>5232</v>
      </c>
      <c r="C221" s="120" t="s">
        <v>3997</v>
      </c>
      <c r="D221" s="33" t="s">
        <v>5234</v>
      </c>
      <c r="E221" s="51" t="s">
        <v>116</v>
      </c>
      <c r="F221" s="121" t="s">
        <v>1348</v>
      </c>
      <c r="G221" s="98" t="str">
        <f>HYPERLINK("http://mirror.ff7data.com.ar/ff7/data/battle/battle.lgp/atac.png","View Picture")</f>
        <v>View Picture</v>
      </c>
      <c r="H221" s="75"/>
      <c r="I221" s="74"/>
      <c r="J221" s="74"/>
      <c r="K221" s="74"/>
    </row>
    <row r="222">
      <c r="A222" s="40"/>
      <c r="B222" s="119" t="s">
        <v>5244</v>
      </c>
      <c r="C222" s="120" t="s">
        <v>3671</v>
      </c>
      <c r="D222" s="33" t="s">
        <v>5246</v>
      </c>
      <c r="E222" s="51" t="s">
        <v>116</v>
      </c>
      <c r="F222" s="121" t="s">
        <v>1348</v>
      </c>
      <c r="G222" s="98" t="str">
        <f>HYPERLINK("http://mirror.ff7data.com.ar/ff7/data/battle/battle.lgp/atad.png","View Picture")</f>
        <v>View Picture</v>
      </c>
      <c r="H222" s="75"/>
      <c r="I222" s="74"/>
      <c r="J222" s="74"/>
      <c r="K222" s="74"/>
    </row>
    <row r="223">
      <c r="A223" s="40"/>
      <c r="B223" s="119" t="s">
        <v>5255</v>
      </c>
      <c r="C223" s="120" t="s">
        <v>3552</v>
      </c>
      <c r="D223" s="33" t="s">
        <v>5257</v>
      </c>
      <c r="E223" s="51" t="s">
        <v>116</v>
      </c>
      <c r="F223" s="121" t="s">
        <v>1348</v>
      </c>
      <c r="G223" s="98" t="str">
        <f>HYPERLINK("http://mirror.ff7data.com.ar/ff7/data/battle/battle.lgp/atae.png","View Picture")</f>
        <v>View Picture</v>
      </c>
      <c r="H223" s="75"/>
      <c r="I223" s="74"/>
      <c r="J223" s="74"/>
      <c r="K223" s="74"/>
    </row>
    <row r="224">
      <c r="A224" s="21"/>
      <c r="B224" s="119" t="s">
        <v>5269</v>
      </c>
      <c r="C224" s="120" t="s">
        <v>4372</v>
      </c>
      <c r="D224" s="33" t="s">
        <v>5271</v>
      </c>
      <c r="E224" s="51" t="s">
        <v>116</v>
      </c>
      <c r="F224" s="121" t="s">
        <v>3009</v>
      </c>
      <c r="G224" s="98" t="str">
        <f>HYPERLINK("http://mirror.ff7data.com.ar/ff7/data/battle/battle.lgp/atam.png","View Picture")</f>
        <v>View Picture</v>
      </c>
      <c r="H224" s="75"/>
      <c r="I224" s="74"/>
      <c r="J224" s="74"/>
      <c r="K224" s="74"/>
    </row>
    <row r="225">
      <c r="A225" s="21"/>
      <c r="B225" s="119" t="s">
        <v>5285</v>
      </c>
      <c r="C225" s="120" t="s">
        <v>3723</v>
      </c>
      <c r="D225" s="33" t="s">
        <v>5287</v>
      </c>
      <c r="E225" s="51" t="s">
        <v>116</v>
      </c>
      <c r="F225" s="121" t="s">
        <v>3009</v>
      </c>
      <c r="G225" s="98" t="str">
        <f>HYPERLINK("http://mirror.ff7data.com.ar/ff7/data/battle/battle.lgp/atan.png","View Picture")</f>
        <v>View Picture</v>
      </c>
      <c r="H225" s="75"/>
      <c r="I225" s="74"/>
      <c r="J225" s="74"/>
      <c r="K225" s="74"/>
    </row>
    <row r="226">
      <c r="A226" s="21"/>
      <c r="B226" s="119" t="s">
        <v>5302</v>
      </c>
      <c r="C226" s="120" t="s">
        <v>4228</v>
      </c>
      <c r="D226" s="33" t="s">
        <v>5306</v>
      </c>
      <c r="E226" s="51" t="s">
        <v>116</v>
      </c>
      <c r="F226" s="121" t="s">
        <v>3009</v>
      </c>
      <c r="G226" s="98" t="str">
        <f>HYPERLINK("http://mirror.ff7data.com.ar/ff7/data/battle/battle.lgp/atao.png","View Picture")</f>
        <v>View Picture</v>
      </c>
      <c r="H226" s="75"/>
      <c r="I226" s="74"/>
      <c r="J226" s="74"/>
      <c r="K226" s="74"/>
    </row>
    <row r="227">
      <c r="A227" s="21"/>
      <c r="B227" s="119" t="s">
        <v>5321</v>
      </c>
      <c r="C227" s="120" t="s">
        <v>4057</v>
      </c>
      <c r="D227" s="33" t="s">
        <v>5324</v>
      </c>
      <c r="E227" s="51" t="s">
        <v>116</v>
      </c>
      <c r="F227" s="121" t="s">
        <v>3009</v>
      </c>
      <c r="G227" s="98" t="str">
        <f>HYPERLINK("http://mirror.ff7data.com.ar/ff7/data/battle/battle.lgp/atar.png","View Picture")</f>
        <v>View Picture</v>
      </c>
      <c r="H227" s="75"/>
      <c r="I227" s="74"/>
      <c r="J227" s="74"/>
      <c r="K227" s="74"/>
    </row>
    <row r="228">
      <c r="A228" s="21"/>
      <c r="B228" s="119" t="s">
        <v>5339</v>
      </c>
      <c r="C228" s="120" t="s">
        <v>4252</v>
      </c>
      <c r="D228" s="33" t="s">
        <v>5341</v>
      </c>
      <c r="E228" s="51" t="s">
        <v>116</v>
      </c>
      <c r="F228" s="121" t="s">
        <v>3009</v>
      </c>
      <c r="G228" s="98" t="str">
        <f>HYPERLINK("http://mirror.ff7data.com.ar/ff7/data/battle/battle.lgp/atas.png","View Picture")</f>
        <v>View Picture</v>
      </c>
      <c r="H228" s="75"/>
      <c r="I228" s="74"/>
      <c r="J228" s="74"/>
      <c r="K228" s="74"/>
    </row>
    <row r="229">
      <c r="A229" s="21"/>
      <c r="B229" s="119" t="s">
        <v>5354</v>
      </c>
      <c r="C229" s="120" t="s">
        <v>5356</v>
      </c>
      <c r="D229" s="33" t="s">
        <v>5357</v>
      </c>
      <c r="E229" s="51" t="s">
        <v>116</v>
      </c>
      <c r="F229" s="121" t="s">
        <v>3009</v>
      </c>
      <c r="G229" s="98" t="str">
        <f>HYPERLINK("http://mirror.ff7data.com.ar/ff7/data/battle/battle.lgp/atau.png","View Picture")</f>
        <v>View Picture</v>
      </c>
      <c r="H229" s="75"/>
      <c r="I229" s="74"/>
      <c r="J229" s="74"/>
      <c r="K229" s="74"/>
    </row>
    <row r="230">
      <c r="A230" s="21"/>
      <c r="B230" s="119" t="s">
        <v>5372</v>
      </c>
      <c r="C230" s="120" t="s">
        <v>5356</v>
      </c>
      <c r="D230" s="33" t="s">
        <v>5357</v>
      </c>
      <c r="E230" s="51" t="s">
        <v>116</v>
      </c>
      <c r="F230" s="121" t="s">
        <v>3009</v>
      </c>
      <c r="G230" s="98" t="str">
        <f>HYPERLINK("http://mirror.ff7data.com.ar/ff7/data/battle/battle.lgp/ataw.png","View Picture")</f>
        <v>View Picture</v>
      </c>
      <c r="H230" s="75"/>
      <c r="I230" s="74"/>
      <c r="J230" s="74"/>
      <c r="K230" s="74"/>
    </row>
    <row r="231">
      <c r="A231" s="21"/>
      <c r="B231" s="119" t="s">
        <v>5396</v>
      </c>
      <c r="C231" s="120" t="s">
        <v>5356</v>
      </c>
      <c r="D231" s="33" t="s">
        <v>5357</v>
      </c>
      <c r="E231" s="51" t="s">
        <v>116</v>
      </c>
      <c r="F231" s="121" t="s">
        <v>3009</v>
      </c>
      <c r="G231" s="98" t="str">
        <f>HYPERLINK("http://mirror.ff7data.com.ar/ff7/data/battle/battle.lgp/atay.png","View Picture")</f>
        <v>View Picture</v>
      </c>
      <c r="H231" s="75"/>
      <c r="I231" s="74"/>
      <c r="J231" s="74"/>
      <c r="K231" s="74"/>
    </row>
    <row r="232">
      <c r="A232" s="21"/>
      <c r="B232" s="119" t="s">
        <v>5407</v>
      </c>
      <c r="C232" s="120" t="s">
        <v>5356</v>
      </c>
      <c r="D232" s="33" t="s">
        <v>5357</v>
      </c>
      <c r="E232" s="51" t="s">
        <v>116</v>
      </c>
      <c r="F232" s="121" t="s">
        <v>3009</v>
      </c>
      <c r="G232" s="98" t="str">
        <f>HYPERLINK("http://mirror.ff7data.com.ar/ff7/data/battle/battle.lgp/atba.png","View Picture")</f>
        <v>View Picture</v>
      </c>
      <c r="H232" s="75"/>
      <c r="I232" s="74"/>
      <c r="J232" s="74"/>
      <c r="K232" s="74"/>
    </row>
    <row r="233">
      <c r="A233" s="21"/>
      <c r="B233" s="119" t="s">
        <v>5418</v>
      </c>
      <c r="C233" s="120" t="s">
        <v>5419</v>
      </c>
      <c r="D233" s="33" t="s">
        <v>5421</v>
      </c>
      <c r="E233" s="51" t="s">
        <v>116</v>
      </c>
      <c r="F233" s="121" t="s">
        <v>3009</v>
      </c>
      <c r="G233" s="98" t="str">
        <f>HYPERLINK("http://mirror.ff7data.com.ar/ff7/data/battle/battle.lgp/atbd.png","View Picture")</f>
        <v>View Picture</v>
      </c>
      <c r="H233" s="75"/>
      <c r="I233" s="74"/>
      <c r="J233" s="74"/>
      <c r="K233" s="74"/>
    </row>
    <row r="234">
      <c r="A234" s="21"/>
      <c r="B234" s="119" t="s">
        <v>5437</v>
      </c>
      <c r="C234" s="120" t="s">
        <v>4252</v>
      </c>
      <c r="D234" s="33" t="s">
        <v>5439</v>
      </c>
      <c r="E234" s="51" t="s">
        <v>116</v>
      </c>
      <c r="F234" s="121" t="s">
        <v>3009</v>
      </c>
      <c r="G234" s="98" t="str">
        <f>HYPERLINK("http://mirror.ff7data.com.ar/ff7/data/battle/battle.lgp/atbe.png","View Picture")</f>
        <v>View Picture</v>
      </c>
      <c r="H234" s="75"/>
      <c r="I234" s="74"/>
      <c r="J234" s="74"/>
      <c r="K234" s="74"/>
    </row>
    <row r="235">
      <c r="A235" s="21"/>
      <c r="B235" s="119" t="s">
        <v>5449</v>
      </c>
      <c r="C235" s="120" t="s">
        <v>5356</v>
      </c>
      <c r="D235" s="33" t="s">
        <v>5451</v>
      </c>
      <c r="E235" s="51" t="s">
        <v>116</v>
      </c>
      <c r="F235" s="121" t="s">
        <v>3009</v>
      </c>
      <c r="G235" s="98" t="str">
        <f>HYPERLINK("http://mirror.ff7data.com.ar/ff7/data/battle/battle.lgp/atbg.png","View Picture")</f>
        <v>View Picture</v>
      </c>
      <c r="H235" s="75"/>
      <c r="I235" s="74"/>
      <c r="J235" s="74"/>
      <c r="K235" s="74"/>
    </row>
    <row r="236">
      <c r="A236" s="21"/>
      <c r="B236" s="119" t="s">
        <v>5459</v>
      </c>
      <c r="C236" s="120" t="s">
        <v>5356</v>
      </c>
      <c r="D236" s="33" t="s">
        <v>5451</v>
      </c>
      <c r="E236" s="51" t="s">
        <v>116</v>
      </c>
      <c r="F236" s="121" t="s">
        <v>3009</v>
      </c>
      <c r="G236" s="98" t="str">
        <f>HYPERLINK("http://mirror.ff7data.com.ar/ff7/data/battle/battle.lgp/atbi.png","View Picture")</f>
        <v>View Picture</v>
      </c>
      <c r="H236" s="75"/>
      <c r="I236" s="74"/>
      <c r="J236" s="74"/>
      <c r="K236" s="74"/>
    </row>
    <row r="237">
      <c r="A237" s="21"/>
      <c r="B237" s="119" t="s">
        <v>5470</v>
      </c>
      <c r="C237" s="120" t="s">
        <v>5356</v>
      </c>
      <c r="D237" s="33" t="s">
        <v>5451</v>
      </c>
      <c r="E237" s="51" t="s">
        <v>116</v>
      </c>
      <c r="F237" s="121" t="s">
        <v>3009</v>
      </c>
      <c r="G237" s="98" t="str">
        <f>HYPERLINK("http://mirror.ff7data.com.ar/ff7/data/battle/battle.lgp/atbk.png","View Picture")</f>
        <v>View Picture</v>
      </c>
      <c r="H237" s="75"/>
      <c r="I237" s="74"/>
      <c r="J237" s="74"/>
      <c r="K237" s="74"/>
    </row>
    <row r="238">
      <c r="A238" s="21"/>
      <c r="B238" s="119" t="s">
        <v>5481</v>
      </c>
      <c r="C238" s="120" t="s">
        <v>5356</v>
      </c>
      <c r="D238" s="33" t="s">
        <v>5451</v>
      </c>
      <c r="E238" s="51" t="s">
        <v>116</v>
      </c>
      <c r="F238" s="121" t="s">
        <v>3009</v>
      </c>
      <c r="G238" s="98" t="str">
        <f>HYPERLINK("http://mirror.ff7data.com.ar/ff7/data/battle/battle.lgp/atbm.png","View Picture")</f>
        <v>View Picture</v>
      </c>
      <c r="H238" s="75"/>
      <c r="I238" s="74"/>
      <c r="J238" s="74"/>
      <c r="K238" s="74"/>
    </row>
    <row r="239">
      <c r="A239" s="21"/>
      <c r="B239" s="119" t="s">
        <v>5495</v>
      </c>
      <c r="C239" s="120" t="s">
        <v>4264</v>
      </c>
      <c r="D239" s="33" t="s">
        <v>5497</v>
      </c>
      <c r="E239" s="51" t="s">
        <v>116</v>
      </c>
      <c r="F239" s="121" t="s">
        <v>3009</v>
      </c>
      <c r="G239" s="98" t="str">
        <f>HYPERLINK("http://mirror.ff7data.com.ar/ff7/data/battle/battle.lgp/atbo.png","View Picture")</f>
        <v>View Picture</v>
      </c>
      <c r="H239" s="75"/>
      <c r="I239" s="74"/>
      <c r="J239" s="74"/>
      <c r="K239" s="74"/>
    </row>
    <row r="240">
      <c r="A240" s="21"/>
      <c r="B240" s="119" t="s">
        <v>5510</v>
      </c>
      <c r="C240" s="120" t="s">
        <v>4185</v>
      </c>
      <c r="D240" s="33" t="s">
        <v>5515</v>
      </c>
      <c r="E240" s="51" t="s">
        <v>116</v>
      </c>
      <c r="F240" s="121" t="s">
        <v>3009</v>
      </c>
      <c r="G240" s="98" t="str">
        <f>HYPERLINK("http://mirror.ff7data.com.ar/ff7/data/battle/battle.lgp/atbp.png","View Picture")</f>
        <v>View Picture</v>
      </c>
      <c r="H240" s="75"/>
      <c r="I240" s="74"/>
      <c r="J240" s="74"/>
      <c r="K240" s="74"/>
    </row>
    <row r="241">
      <c r="A241" s="21"/>
      <c r="B241" s="119" t="s">
        <v>5526</v>
      </c>
      <c r="C241" s="120" t="s">
        <v>3648</v>
      </c>
      <c r="D241" s="33" t="s">
        <v>5527</v>
      </c>
      <c r="E241" s="51" t="s">
        <v>116</v>
      </c>
      <c r="F241" s="121" t="s">
        <v>3009</v>
      </c>
      <c r="G241" s="98" t="str">
        <f>HYPERLINK("http://mirror.ff7data.com.ar/ff7/data/battle/battle.lgp/atbq.png","View Picture")</f>
        <v>View Picture</v>
      </c>
      <c r="H241" s="75"/>
      <c r="I241" s="74"/>
      <c r="J241" s="74"/>
      <c r="K241" s="74"/>
    </row>
    <row r="242">
      <c r="A242" s="21"/>
      <c r="B242" s="119" t="s">
        <v>5537</v>
      </c>
      <c r="C242" s="120" t="s">
        <v>4264</v>
      </c>
      <c r="D242" s="33" t="s">
        <v>5539</v>
      </c>
      <c r="E242" s="51" t="s">
        <v>116</v>
      </c>
      <c r="F242" s="121" t="s">
        <v>3009</v>
      </c>
      <c r="G242" s="98" t="str">
        <f>HYPERLINK("http://mirror.ff7data.com.ar/ff7/data/battle/battle.lgp/atbs.png","View Picture")</f>
        <v>View Picture</v>
      </c>
      <c r="H242" s="75"/>
      <c r="I242" s="74"/>
      <c r="J242" s="74"/>
      <c r="K242" s="74"/>
    </row>
    <row r="243">
      <c r="A243" s="21"/>
      <c r="B243" s="119" t="s">
        <v>5548</v>
      </c>
      <c r="C243" s="120" t="s">
        <v>4185</v>
      </c>
      <c r="D243" s="33" t="s">
        <v>5550</v>
      </c>
      <c r="E243" s="51" t="s">
        <v>116</v>
      </c>
      <c r="F243" s="121" t="s">
        <v>3009</v>
      </c>
      <c r="G243" s="98" t="str">
        <f>HYPERLINK("http://mirror.ff7data.com.ar/ff7/data/battle/battle.lgp/atbt.png","View Picture")</f>
        <v>View Picture</v>
      </c>
      <c r="H243" s="75"/>
      <c r="I243" s="74"/>
      <c r="J243" s="74"/>
      <c r="K243" s="74"/>
    </row>
    <row r="244">
      <c r="A244" s="21"/>
      <c r="B244" s="119" t="s">
        <v>5559</v>
      </c>
      <c r="C244" s="120" t="s">
        <v>4396</v>
      </c>
      <c r="D244" s="33" t="s">
        <v>5561</v>
      </c>
      <c r="E244" s="51" t="s">
        <v>116</v>
      </c>
      <c r="F244" s="121" t="s">
        <v>3009</v>
      </c>
      <c r="G244" s="98" t="str">
        <f>HYPERLINK("http://mirror.ff7data.com.ar/ff7/data/battle/battle.lgp/atbu.png","View Picture")</f>
        <v>View Picture</v>
      </c>
      <c r="H244" s="75"/>
      <c r="I244" s="74"/>
      <c r="J244" s="74"/>
      <c r="K244" s="74"/>
    </row>
    <row r="245">
      <c r="A245" s="21"/>
      <c r="B245" s="119" t="s">
        <v>5571</v>
      </c>
      <c r="C245" s="120" t="s">
        <v>5573</v>
      </c>
      <c r="D245" s="33" t="s">
        <v>5223</v>
      </c>
      <c r="E245" s="51" t="s">
        <v>116</v>
      </c>
      <c r="F245" s="121" t="s">
        <v>3025</v>
      </c>
      <c r="G245" s="74"/>
      <c r="H245" s="46" t="s">
        <v>3002</v>
      </c>
      <c r="I245" s="74"/>
      <c r="J245" s="74"/>
      <c r="K245" s="74"/>
    </row>
    <row r="246">
      <c r="A246" s="21"/>
      <c r="B246" s="119" t="s">
        <v>5576</v>
      </c>
      <c r="C246" s="120" t="s">
        <v>3980</v>
      </c>
      <c r="D246" s="33" t="s">
        <v>5579</v>
      </c>
      <c r="E246" s="51" t="s">
        <v>119</v>
      </c>
      <c r="F246" s="121" t="s">
        <v>2971</v>
      </c>
      <c r="G246" s="98" t="str">
        <f>HYPERLINK("http://mirror.ff7data.com.ar/ff7/data/battle/battle.lgp/auaa.png","View Picture")</f>
        <v>View Picture</v>
      </c>
      <c r="H246" s="75"/>
      <c r="I246" s="74"/>
      <c r="J246" s="74"/>
      <c r="K246" s="74"/>
    </row>
    <row r="247">
      <c r="A247" s="21"/>
      <c r="B247" s="119" t="s">
        <v>5589</v>
      </c>
      <c r="C247" s="120" t="s">
        <v>2989</v>
      </c>
      <c r="D247" s="33" t="s">
        <v>5590</v>
      </c>
      <c r="E247" s="51" t="s">
        <v>119</v>
      </c>
      <c r="F247" s="121" t="s">
        <v>2993</v>
      </c>
      <c r="G247" s="122"/>
      <c r="H247" s="46" t="s">
        <v>3002</v>
      </c>
      <c r="I247" s="74"/>
      <c r="J247" s="74"/>
      <c r="K247" s="74"/>
    </row>
    <row r="248">
      <c r="A248" s="21"/>
      <c r="B248" s="119" t="s">
        <v>5594</v>
      </c>
      <c r="C248" s="120" t="s">
        <v>4707</v>
      </c>
      <c r="D248" s="33" t="s">
        <v>5596</v>
      </c>
      <c r="E248" s="51" t="s">
        <v>119</v>
      </c>
      <c r="F248" s="121" t="s">
        <v>3009</v>
      </c>
      <c r="G248" s="98" t="str">
        <f>HYPERLINK("http://mirror.ff7data.com.ar/ff7/data/battle/battle.lgp/auam.png","View Picture")</f>
        <v>View Picture</v>
      </c>
      <c r="H248" s="75"/>
      <c r="I248" s="74"/>
      <c r="J248" s="74"/>
      <c r="K248" s="74"/>
    </row>
    <row r="249">
      <c r="A249" s="21"/>
      <c r="B249" s="119" t="s">
        <v>5605</v>
      </c>
      <c r="C249" s="120" t="s">
        <v>4719</v>
      </c>
      <c r="D249" s="33" t="s">
        <v>5596</v>
      </c>
      <c r="E249" s="51" t="s">
        <v>119</v>
      </c>
      <c r="F249" s="121" t="s">
        <v>3009</v>
      </c>
      <c r="G249" s="98" t="str">
        <f>HYPERLINK("http://mirror.ff7data.com.ar/ff7/data/battle/battle.lgp/auan.png","View Picture")</f>
        <v>View Picture</v>
      </c>
      <c r="H249" s="75"/>
      <c r="I249" s="74"/>
      <c r="J249" s="74"/>
      <c r="K249" s="74"/>
    </row>
    <row r="250">
      <c r="A250" s="21"/>
      <c r="B250" s="119" t="s">
        <v>5623</v>
      </c>
      <c r="C250" s="120" t="s">
        <v>4732</v>
      </c>
      <c r="D250" s="33" t="s">
        <v>5626</v>
      </c>
      <c r="E250" s="51" t="s">
        <v>119</v>
      </c>
      <c r="F250" s="121" t="s">
        <v>3009</v>
      </c>
      <c r="G250" s="98" t="str">
        <f>HYPERLINK("http://mirror.ff7data.com.ar/ff7/data/battle/battle.lgp/auao.png","View Picture")</f>
        <v>View Picture</v>
      </c>
      <c r="H250" s="75"/>
      <c r="I250" s="74"/>
      <c r="J250" s="74"/>
      <c r="K250" s="74"/>
    </row>
    <row r="251">
      <c r="A251" s="21"/>
      <c r="B251" s="119" t="s">
        <v>5635</v>
      </c>
      <c r="C251" s="120" t="s">
        <v>3573</v>
      </c>
      <c r="D251" s="33" t="s">
        <v>5636</v>
      </c>
      <c r="E251" s="51" t="s">
        <v>119</v>
      </c>
      <c r="F251" s="121" t="s">
        <v>3009</v>
      </c>
      <c r="G251" s="98" t="str">
        <f>HYPERLINK("http://mirror.ff7data.com.ar/ff7/data/battle/battle.lgp/auaq.png","View Picture")</f>
        <v>View Picture</v>
      </c>
      <c r="H251" s="75"/>
      <c r="I251" s="74"/>
      <c r="J251" s="74"/>
      <c r="K251" s="74"/>
    </row>
    <row r="252">
      <c r="A252" s="21"/>
      <c r="B252" s="119" t="s">
        <v>5646</v>
      </c>
      <c r="C252" s="120" t="s">
        <v>4372</v>
      </c>
      <c r="D252" s="33" t="s">
        <v>5648</v>
      </c>
      <c r="E252" s="51" t="s">
        <v>119</v>
      </c>
      <c r="F252" s="121" t="s">
        <v>3009</v>
      </c>
      <c r="G252" s="98" t="str">
        <f>HYPERLINK("http://mirror.ff7data.com.ar/ff7/data/battle/battle.lgp/auau.png","View Picture")</f>
        <v>View Picture</v>
      </c>
      <c r="H252" s="75"/>
      <c r="I252" s="74"/>
      <c r="J252" s="74"/>
      <c r="K252" s="74"/>
    </row>
    <row r="253">
      <c r="A253" s="21"/>
      <c r="B253" s="119" t="s">
        <v>5656</v>
      </c>
      <c r="C253" s="120" t="s">
        <v>5657</v>
      </c>
      <c r="D253" s="33" t="s">
        <v>5658</v>
      </c>
      <c r="E253" s="51" t="s">
        <v>119</v>
      </c>
      <c r="F253" s="121" t="s">
        <v>3009</v>
      </c>
      <c r="G253" s="98" t="str">
        <f>HYPERLINK("http://mirror.ff7data.com.ar/ff7/data/battle/battle.lgp/auaw.png","View Picture")</f>
        <v>View Picture</v>
      </c>
      <c r="H253" s="75"/>
      <c r="I253" s="74"/>
      <c r="J253" s="74"/>
      <c r="K253" s="74"/>
    </row>
    <row r="254">
      <c r="A254" s="21"/>
      <c r="B254" s="119" t="s">
        <v>5672</v>
      </c>
      <c r="C254" s="120" t="s">
        <v>4565</v>
      </c>
      <c r="D254" s="33" t="s">
        <v>5676</v>
      </c>
      <c r="E254" s="51" t="s">
        <v>119</v>
      </c>
      <c r="F254" s="121" t="s">
        <v>3009</v>
      </c>
      <c r="G254" s="98" t="str">
        <f>HYPERLINK("http://mirror.ff7data.com.ar/ff7/data/battle/battle.lgp/auay.png","View Picture")</f>
        <v>View Picture</v>
      </c>
      <c r="H254" s="75"/>
      <c r="I254" s="74"/>
      <c r="J254" s="74"/>
      <c r="K254" s="74"/>
    </row>
    <row r="255">
      <c r="A255" s="21"/>
      <c r="B255" s="119" t="s">
        <v>5685</v>
      </c>
      <c r="C255" s="120" t="s">
        <v>3658</v>
      </c>
      <c r="D255" s="33" t="s">
        <v>5688</v>
      </c>
      <c r="E255" s="51" t="s">
        <v>119</v>
      </c>
      <c r="F255" s="121" t="s">
        <v>3009</v>
      </c>
      <c r="G255" s="98" t="str">
        <f>HYPERLINK("http://mirror.ff7data.com.ar/ff7/data/battle/battle.lgp/aubc.png","View Picture")</f>
        <v>View Picture</v>
      </c>
      <c r="H255" s="75"/>
      <c r="I255" s="74"/>
      <c r="J255" s="74"/>
      <c r="K255" s="74"/>
    </row>
    <row r="256">
      <c r="A256" s="21"/>
      <c r="B256" s="119" t="s">
        <v>5697</v>
      </c>
      <c r="C256" s="120" t="s">
        <v>3658</v>
      </c>
      <c r="D256" s="33" t="s">
        <v>5698</v>
      </c>
      <c r="E256" s="51" t="s">
        <v>119</v>
      </c>
      <c r="F256" s="121" t="s">
        <v>3009</v>
      </c>
      <c r="G256" s="98" t="str">
        <f>HYPERLINK("http://mirror.ff7data.com.ar/ff7/data/battle/battle.lgp/aubf.png","View Picture")</f>
        <v>View Picture</v>
      </c>
      <c r="H256" s="75"/>
      <c r="I256" s="74"/>
      <c r="J256" s="74"/>
      <c r="K256" s="74"/>
    </row>
    <row r="257">
      <c r="A257" s="21"/>
      <c r="B257" s="119" t="s">
        <v>5708</v>
      </c>
      <c r="C257" s="120" t="s">
        <v>4357</v>
      </c>
      <c r="D257" s="33" t="s">
        <v>5590</v>
      </c>
      <c r="E257" s="51" t="s">
        <v>119</v>
      </c>
      <c r="F257" s="121" t="s">
        <v>3025</v>
      </c>
      <c r="G257" s="122"/>
      <c r="H257" s="46" t="s">
        <v>3002</v>
      </c>
      <c r="I257" s="74"/>
      <c r="J257" s="74"/>
      <c r="K257" s="74"/>
    </row>
    <row r="258">
      <c r="A258" s="21"/>
      <c r="B258" s="119" t="s">
        <v>5711</v>
      </c>
      <c r="C258" s="120" t="s">
        <v>4456</v>
      </c>
      <c r="D258" s="33" t="s">
        <v>5714</v>
      </c>
      <c r="E258" s="51" t="s">
        <v>122</v>
      </c>
      <c r="F258" s="121" t="s">
        <v>2971</v>
      </c>
      <c r="G258" s="98" t="str">
        <f>HYPERLINK("http://mirror.ff7data.com.ar/ff7/data/battle/battle.lgp/avaa.png","View Picture")</f>
        <v>View Picture</v>
      </c>
      <c r="H258" s="75"/>
      <c r="I258" s="74"/>
      <c r="J258" s="74"/>
      <c r="K258" s="74"/>
    </row>
    <row r="259">
      <c r="A259" s="21"/>
      <c r="B259" s="119" t="s">
        <v>5723</v>
      </c>
      <c r="C259" s="120" t="s">
        <v>5724</v>
      </c>
      <c r="D259" s="33" t="s">
        <v>5714</v>
      </c>
      <c r="E259" s="51" t="s">
        <v>122</v>
      </c>
      <c r="F259" s="121" t="s">
        <v>2993</v>
      </c>
      <c r="G259" s="122"/>
      <c r="H259" s="46" t="s">
        <v>3002</v>
      </c>
      <c r="I259" s="74"/>
      <c r="J259" s="74"/>
      <c r="K259" s="74"/>
    </row>
    <row r="260">
      <c r="A260" s="21"/>
      <c r="B260" s="119" t="s">
        <v>5728</v>
      </c>
      <c r="C260" s="120" t="s">
        <v>5730</v>
      </c>
      <c r="D260" s="33" t="s">
        <v>5731</v>
      </c>
      <c r="E260" s="51" t="s">
        <v>122</v>
      </c>
      <c r="F260" s="121" t="s">
        <v>3009</v>
      </c>
      <c r="G260" s="98" t="str">
        <f>HYPERLINK("http://mirror.ff7data.com.ar/ff7/data/battle/battle.lgp/avam.png","View Picture")</f>
        <v>View Picture</v>
      </c>
      <c r="H260" s="75"/>
      <c r="I260" s="74"/>
      <c r="J260" s="74"/>
      <c r="K260" s="74"/>
    </row>
    <row r="261">
      <c r="A261" s="21"/>
      <c r="B261" s="119" t="s">
        <v>5740</v>
      </c>
      <c r="C261" s="120" t="s">
        <v>4264</v>
      </c>
      <c r="D261" s="33" t="s">
        <v>5741</v>
      </c>
      <c r="E261" s="51" t="s">
        <v>122</v>
      </c>
      <c r="F261" s="121" t="s">
        <v>3009</v>
      </c>
      <c r="G261" s="98" t="str">
        <f>HYPERLINK("http://mirror.ff7data.com.ar/ff7/data/battle/battle.lgp/avao.png","View Picture")</f>
        <v>View Picture</v>
      </c>
      <c r="H261" s="75"/>
      <c r="I261" s="74"/>
      <c r="J261" s="74"/>
      <c r="K261" s="74"/>
    </row>
    <row r="262">
      <c r="A262" s="21"/>
      <c r="B262" s="119" t="s">
        <v>5750</v>
      </c>
      <c r="C262" s="120" t="s">
        <v>4185</v>
      </c>
      <c r="D262" s="33" t="s">
        <v>5752</v>
      </c>
      <c r="E262" s="51" t="s">
        <v>122</v>
      </c>
      <c r="F262" s="121" t="s">
        <v>3009</v>
      </c>
      <c r="G262" s="98" t="str">
        <f>HYPERLINK("http://mirror.ff7data.com.ar/ff7/data/battle/battle.lgp/avap.png","View Picture")</f>
        <v>View Picture</v>
      </c>
      <c r="H262" s="75"/>
      <c r="I262" s="74"/>
      <c r="J262" s="74"/>
      <c r="K262" s="74"/>
    </row>
    <row r="263">
      <c r="A263" s="21"/>
      <c r="B263" s="119" t="s">
        <v>5761</v>
      </c>
      <c r="C263" s="120" t="s">
        <v>5762</v>
      </c>
      <c r="D263" s="33" t="s">
        <v>5764</v>
      </c>
      <c r="E263" s="51" t="s">
        <v>122</v>
      </c>
      <c r="F263" s="121" t="s">
        <v>3009</v>
      </c>
      <c r="G263" s="98" t="str">
        <f>HYPERLINK("http://mirror.ff7data.com.ar/ff7/data/battle/battle.lgp/avar.png","View Picture")</f>
        <v>View Picture</v>
      </c>
      <c r="H263" s="75"/>
      <c r="I263" s="74"/>
      <c r="J263" s="74"/>
      <c r="K263" s="74"/>
    </row>
    <row r="264">
      <c r="A264" s="21"/>
      <c r="B264" s="119" t="s">
        <v>5773</v>
      </c>
      <c r="C264" s="120" t="s">
        <v>4439</v>
      </c>
      <c r="D264" s="33" t="s">
        <v>5775</v>
      </c>
      <c r="E264" s="51" t="s">
        <v>122</v>
      </c>
      <c r="F264" s="121" t="s">
        <v>3009</v>
      </c>
      <c r="G264" s="98" t="str">
        <f>HYPERLINK("http://mirror.ff7data.com.ar/ff7/data/battle/battle.lgp/avat.png","View Picture")</f>
        <v>View Picture</v>
      </c>
      <c r="H264" s="75"/>
      <c r="I264" s="74"/>
      <c r="J264" s="74"/>
      <c r="K264" s="74"/>
    </row>
    <row r="265">
      <c r="A265" s="21"/>
      <c r="B265" s="119" t="s">
        <v>5793</v>
      </c>
      <c r="C265" s="120" t="s">
        <v>4732</v>
      </c>
      <c r="D265" s="33" t="s">
        <v>5794</v>
      </c>
      <c r="E265" s="51" t="s">
        <v>122</v>
      </c>
      <c r="F265" s="121" t="s">
        <v>3009</v>
      </c>
      <c r="G265" s="98" t="str">
        <f>HYPERLINK("http://mirror.ff7data.com.ar/ff7/data/battle/battle.lgp/avav.png","View Picture")</f>
        <v>View Picture</v>
      </c>
      <c r="H265" s="75"/>
      <c r="I265" s="74"/>
      <c r="J265" s="74"/>
      <c r="K265" s="74"/>
    </row>
    <row r="266">
      <c r="A266" s="21"/>
      <c r="B266" s="119" t="s">
        <v>5802</v>
      </c>
      <c r="C266" s="120" t="s">
        <v>4732</v>
      </c>
      <c r="D266" s="33" t="s">
        <v>5804</v>
      </c>
      <c r="E266" s="51" t="s">
        <v>122</v>
      </c>
      <c r="F266" s="121" t="s">
        <v>3009</v>
      </c>
      <c r="G266" s="98" t="str">
        <f>HYPERLINK("http://mirror.ff7data.com.ar/ff7/data/battle/battle.lgp/avax.png","View Picture")</f>
        <v>View Picture</v>
      </c>
      <c r="H266" s="75"/>
      <c r="I266" s="74"/>
      <c r="J266" s="74"/>
      <c r="K266" s="74"/>
    </row>
    <row r="267">
      <c r="A267" s="21"/>
      <c r="B267" s="119" t="s">
        <v>5813</v>
      </c>
      <c r="C267" s="120" t="s">
        <v>4732</v>
      </c>
      <c r="D267" s="33" t="s">
        <v>5815</v>
      </c>
      <c r="E267" s="51" t="s">
        <v>122</v>
      </c>
      <c r="F267" s="121" t="s">
        <v>3009</v>
      </c>
      <c r="G267" s="98" t="str">
        <f>HYPERLINK("http://mirror.ff7data.com.ar/ff7/data/battle/battle.lgp/avaz.png","View Picture")</f>
        <v>View Picture</v>
      </c>
      <c r="H267" s="75"/>
      <c r="I267" s="74"/>
      <c r="J267" s="74"/>
      <c r="K267" s="74"/>
    </row>
    <row r="268">
      <c r="A268" s="21"/>
      <c r="B268" s="119" t="s">
        <v>5823</v>
      </c>
      <c r="C268" s="120" t="s">
        <v>4264</v>
      </c>
      <c r="D268" s="33" t="s">
        <v>5824</v>
      </c>
      <c r="E268" s="51" t="s">
        <v>122</v>
      </c>
      <c r="F268" s="121" t="s">
        <v>3009</v>
      </c>
      <c r="G268" s="98" t="str">
        <f>HYPERLINK("http://mirror.ff7data.com.ar/ff7/data/battle/battle.lgp/avbb.png","View Picture")</f>
        <v>View Picture</v>
      </c>
      <c r="H268" s="75"/>
      <c r="I268" s="74"/>
      <c r="J268" s="74"/>
      <c r="K268" s="74"/>
    </row>
    <row r="269">
      <c r="A269" s="21"/>
      <c r="B269" s="119" t="s">
        <v>5838</v>
      </c>
      <c r="C269" s="120" t="s">
        <v>4185</v>
      </c>
      <c r="D269" s="33" t="s">
        <v>5839</v>
      </c>
      <c r="E269" s="51" t="s">
        <v>122</v>
      </c>
      <c r="F269" s="121" t="s">
        <v>3009</v>
      </c>
      <c r="G269" s="98" t="str">
        <f>HYPERLINK("http://mirror.ff7data.com.ar/ff7/data/battle/battle.lgp/avbc.png","View Picture")</f>
        <v>View Picture</v>
      </c>
      <c r="H269" s="75"/>
      <c r="I269" s="74"/>
      <c r="J269" s="74"/>
      <c r="K269" s="74"/>
    </row>
    <row r="270">
      <c r="A270" s="21"/>
      <c r="B270" s="119" t="s">
        <v>5847</v>
      </c>
      <c r="C270" s="120" t="s">
        <v>5762</v>
      </c>
      <c r="D270" s="33" t="s">
        <v>5849</v>
      </c>
      <c r="E270" s="51" t="s">
        <v>122</v>
      </c>
      <c r="F270" s="121" t="s">
        <v>3009</v>
      </c>
      <c r="G270" s="98" t="str">
        <f>HYPERLINK("http://mirror.ff7data.com.ar/ff7/data/battle/battle.lgp/avbe.png","View Picture")</f>
        <v>View Picture</v>
      </c>
      <c r="H270" s="75"/>
      <c r="I270" s="74"/>
      <c r="J270" s="74"/>
      <c r="K270" s="74"/>
    </row>
    <row r="271">
      <c r="A271" s="21"/>
      <c r="B271" s="119" t="s">
        <v>5857</v>
      </c>
      <c r="C271" s="120" t="s">
        <v>5859</v>
      </c>
      <c r="D271" s="33" t="s">
        <v>5861</v>
      </c>
      <c r="E271" s="51" t="s">
        <v>122</v>
      </c>
      <c r="F271" s="121" t="s">
        <v>3009</v>
      </c>
      <c r="G271" s="98" t="str">
        <f>HYPERLINK("http://mirror.ff7data.com.ar/ff7/data/battle/battle.lgp/avbg.png","View Picture")</f>
        <v>View Picture</v>
      </c>
      <c r="H271" s="75"/>
      <c r="I271" s="74"/>
      <c r="J271" s="74"/>
      <c r="K271" s="74"/>
    </row>
    <row r="272">
      <c r="A272" s="21"/>
      <c r="B272" s="119" t="s">
        <v>5867</v>
      </c>
      <c r="C272" s="120" t="s">
        <v>4719</v>
      </c>
      <c r="D272" s="33" t="s">
        <v>5869</v>
      </c>
      <c r="E272" s="51" t="s">
        <v>122</v>
      </c>
      <c r="F272" s="121" t="s">
        <v>3009</v>
      </c>
      <c r="G272" s="98" t="str">
        <f>HYPERLINK("http://mirror.ff7data.com.ar/ff7/data/battle/battle.lgp/avbi.png","View Picture")</f>
        <v>View Picture</v>
      </c>
      <c r="H272" s="75"/>
      <c r="I272" s="74"/>
      <c r="J272" s="74"/>
      <c r="K272" s="74"/>
    </row>
    <row r="273">
      <c r="A273" s="21"/>
      <c r="B273" s="119" t="s">
        <v>5878</v>
      </c>
      <c r="C273" s="120" t="s">
        <v>3671</v>
      </c>
      <c r="D273" s="33" t="s">
        <v>5880</v>
      </c>
      <c r="E273" s="51" t="s">
        <v>122</v>
      </c>
      <c r="F273" s="121" t="s">
        <v>3009</v>
      </c>
      <c r="G273" s="98" t="str">
        <f>HYPERLINK("http://mirror.ff7data.com.ar/ff7/data/battle/battle.lgp/avbj.png","View Picture")</f>
        <v>View Picture</v>
      </c>
      <c r="H273" s="75"/>
      <c r="I273" s="74"/>
      <c r="J273" s="74"/>
      <c r="K273" s="74"/>
    </row>
    <row r="274">
      <c r="A274" s="21"/>
      <c r="B274" s="119" t="s">
        <v>5889</v>
      </c>
      <c r="C274" s="120" t="s">
        <v>5891</v>
      </c>
      <c r="D274" s="33" t="s">
        <v>5892</v>
      </c>
      <c r="E274" s="51" t="s">
        <v>122</v>
      </c>
      <c r="F274" s="121" t="s">
        <v>3009</v>
      </c>
      <c r="G274" s="98" t="str">
        <f>HYPERLINK("http://mirror.ff7data.com.ar/ff7/data/battle/battle.lgp/avbk.png","View Picture")</f>
        <v>View Picture</v>
      </c>
      <c r="H274" s="75"/>
      <c r="I274" s="74"/>
      <c r="J274" s="74"/>
      <c r="K274" s="74"/>
    </row>
    <row r="275">
      <c r="A275" s="21"/>
      <c r="B275" s="119" t="s">
        <v>5902</v>
      </c>
      <c r="C275" s="120" t="s">
        <v>5904</v>
      </c>
      <c r="D275" s="33" t="s">
        <v>5905</v>
      </c>
      <c r="E275" s="51" t="s">
        <v>122</v>
      </c>
      <c r="F275" s="121" t="s">
        <v>3009</v>
      </c>
      <c r="G275" s="98" t="str">
        <f>HYPERLINK("http://mirror.ff7data.com.ar/ff7/data/battle/battle.lgp/avbl.png","View Picture")</f>
        <v>View Picture</v>
      </c>
      <c r="H275" s="75"/>
      <c r="I275" s="74"/>
      <c r="J275" s="74"/>
      <c r="K275" s="74"/>
    </row>
    <row r="276">
      <c r="A276" s="21"/>
      <c r="B276" s="119" t="s">
        <v>5913</v>
      </c>
      <c r="C276" s="120" t="s">
        <v>4372</v>
      </c>
      <c r="D276" s="33" t="s">
        <v>5914</v>
      </c>
      <c r="E276" s="51" t="s">
        <v>122</v>
      </c>
      <c r="F276" s="121" t="s">
        <v>3009</v>
      </c>
      <c r="G276" s="98" t="str">
        <f>HYPERLINK("http://mirror.ff7data.com.ar/ff7/data/battle/battle.lgp/avbn.png","View Picture")</f>
        <v>View Picture</v>
      </c>
      <c r="H276" s="75"/>
      <c r="I276" s="74"/>
      <c r="J276" s="74"/>
      <c r="K276" s="74"/>
    </row>
    <row r="277">
      <c r="A277" s="21"/>
      <c r="B277" s="119" t="s">
        <v>5924</v>
      </c>
      <c r="C277" s="120" t="s">
        <v>5925</v>
      </c>
      <c r="D277" s="33" t="s">
        <v>5926</v>
      </c>
      <c r="E277" s="51" t="s">
        <v>122</v>
      </c>
      <c r="F277" s="121" t="s">
        <v>3009</v>
      </c>
      <c r="G277" s="98" t="str">
        <f>HYPERLINK("http://mirror.ff7data.com.ar/ff7/data/battle/battle.lgp/avbp.png","View Picture")</f>
        <v>View Picture</v>
      </c>
      <c r="H277" s="75"/>
      <c r="I277" s="74"/>
      <c r="J277" s="74"/>
      <c r="K277" s="74"/>
    </row>
    <row r="278">
      <c r="A278" s="21"/>
      <c r="B278" s="119" t="s">
        <v>5935</v>
      </c>
      <c r="C278" s="120" t="s">
        <v>4719</v>
      </c>
      <c r="D278" s="33" t="s">
        <v>5937</v>
      </c>
      <c r="E278" s="51" t="s">
        <v>122</v>
      </c>
      <c r="F278" s="121" t="s">
        <v>3009</v>
      </c>
      <c r="G278" s="98" t="str">
        <f>HYPERLINK("http://mirror.ff7data.com.ar/ff7/data/battle/battle.lgp/avbr.png","View Picture")</f>
        <v>View Picture</v>
      </c>
      <c r="H278" s="75"/>
      <c r="I278" s="74"/>
      <c r="J278" s="74"/>
      <c r="K278" s="74"/>
    </row>
    <row r="279">
      <c r="A279" s="21"/>
      <c r="B279" s="119" t="s">
        <v>5946</v>
      </c>
      <c r="C279" s="120" t="s">
        <v>3671</v>
      </c>
      <c r="D279" s="33" t="s">
        <v>5947</v>
      </c>
      <c r="E279" s="51" t="s">
        <v>122</v>
      </c>
      <c r="F279" s="121" t="s">
        <v>3009</v>
      </c>
      <c r="G279" s="98" t="str">
        <f>HYPERLINK("http://mirror.ff7data.com.ar/ff7/data/battle/battle.lgp/avbs.png","View Picture")</f>
        <v>View Picture</v>
      </c>
      <c r="H279" s="75"/>
      <c r="I279" s="74"/>
      <c r="J279" s="74"/>
      <c r="K279" s="74"/>
    </row>
    <row r="280">
      <c r="A280" s="21"/>
      <c r="B280" s="119" t="s">
        <v>5957</v>
      </c>
      <c r="C280" s="120" t="s">
        <v>3749</v>
      </c>
      <c r="D280" s="33" t="s">
        <v>5958</v>
      </c>
      <c r="E280" s="51" t="s">
        <v>122</v>
      </c>
      <c r="F280" s="121" t="s">
        <v>3009</v>
      </c>
      <c r="G280" s="98" t="str">
        <f>HYPERLINK("http://mirror.ff7data.com.ar/ff7/data/battle/battle.lgp/avbt.png","View Picture")</f>
        <v>View Picture</v>
      </c>
      <c r="H280" s="75"/>
      <c r="I280" s="74"/>
      <c r="J280" s="74"/>
      <c r="K280" s="74"/>
    </row>
    <row r="281">
      <c r="A281" s="21"/>
      <c r="B281" s="119" t="s">
        <v>5965</v>
      </c>
      <c r="C281" s="120" t="s">
        <v>5967</v>
      </c>
      <c r="D281" s="33" t="s">
        <v>5969</v>
      </c>
      <c r="E281" s="51" t="s">
        <v>122</v>
      </c>
      <c r="F281" s="121" t="s">
        <v>3009</v>
      </c>
      <c r="G281" s="98" t="str">
        <f>HYPERLINK("http://mirror.ff7data.com.ar/ff7/data/battle/battle.lgp/avbu.png","View Picture")</f>
        <v>View Picture</v>
      </c>
      <c r="H281" s="75"/>
      <c r="I281" s="74"/>
      <c r="J281" s="74"/>
      <c r="K281" s="74"/>
    </row>
    <row r="282">
      <c r="A282" s="21"/>
      <c r="B282" s="119" t="s">
        <v>5978</v>
      </c>
      <c r="C282" s="120" t="s">
        <v>4372</v>
      </c>
      <c r="D282" s="33" t="s">
        <v>5979</v>
      </c>
      <c r="E282" s="51" t="s">
        <v>122</v>
      </c>
      <c r="F282" s="121" t="s">
        <v>3009</v>
      </c>
      <c r="G282" s="98" t="str">
        <f>HYPERLINK("http://mirror.ff7data.com.ar/ff7/data/battle/battle.lgp/avbw.png","View Picture")</f>
        <v>View Picture</v>
      </c>
      <c r="H282" s="75"/>
      <c r="I282" s="74"/>
      <c r="J282" s="74"/>
      <c r="K282" s="74"/>
    </row>
    <row r="283">
      <c r="A283" s="21"/>
      <c r="B283" s="119" t="s">
        <v>5989</v>
      </c>
      <c r="C283" s="120" t="s">
        <v>4240</v>
      </c>
      <c r="D283" s="33" t="s">
        <v>5714</v>
      </c>
      <c r="E283" s="51" t="s">
        <v>122</v>
      </c>
      <c r="F283" s="121" t="s">
        <v>3025</v>
      </c>
      <c r="G283" s="122"/>
      <c r="H283" s="46" t="s">
        <v>3002</v>
      </c>
      <c r="I283" s="74"/>
      <c r="J283" s="74"/>
      <c r="K283" s="74"/>
    </row>
    <row r="284">
      <c r="A284" s="21"/>
      <c r="B284" s="119" t="s">
        <v>5992</v>
      </c>
      <c r="C284" s="120" t="s">
        <v>5993</v>
      </c>
      <c r="D284" s="33" t="s">
        <v>5995</v>
      </c>
      <c r="E284" s="51" t="s">
        <v>125</v>
      </c>
      <c r="F284" s="121" t="s">
        <v>2971</v>
      </c>
      <c r="G284" s="98" t="str">
        <f>HYPERLINK("http://mirror.ff7data.com.ar/ff7/data/battle/battle.lgp/awaa.png","View Picture")</f>
        <v>View Picture</v>
      </c>
      <c r="H284" s="75"/>
      <c r="I284" s="74"/>
      <c r="J284" s="74"/>
      <c r="K284" s="74"/>
    </row>
    <row r="285">
      <c r="A285" s="21"/>
      <c r="B285" s="119" t="s">
        <v>6003</v>
      </c>
      <c r="C285" s="120" t="s">
        <v>6004</v>
      </c>
      <c r="D285" s="33" t="s">
        <v>6006</v>
      </c>
      <c r="E285" s="51" t="s">
        <v>125</v>
      </c>
      <c r="F285" s="121" t="s">
        <v>2993</v>
      </c>
      <c r="G285" s="122"/>
      <c r="H285" s="46" t="s">
        <v>3002</v>
      </c>
      <c r="I285" s="74"/>
      <c r="J285" s="74"/>
      <c r="K285" s="74"/>
    </row>
    <row r="286">
      <c r="A286" s="21"/>
      <c r="B286" s="119" t="s">
        <v>6009</v>
      </c>
      <c r="C286" s="120" t="s">
        <v>6010</v>
      </c>
      <c r="D286" s="33" t="s">
        <v>6011</v>
      </c>
      <c r="E286" s="51" t="s">
        <v>125</v>
      </c>
      <c r="F286" s="121" t="s">
        <v>3009</v>
      </c>
      <c r="G286" s="98" t="str">
        <f>HYPERLINK("http://mirror.ff7data.com.ar/ff7/data/battle/battle.lgp/awam.png","View Picture")</f>
        <v>View Picture</v>
      </c>
      <c r="H286" s="75"/>
      <c r="I286" s="74"/>
      <c r="J286" s="74"/>
      <c r="K286" s="74"/>
    </row>
    <row r="287">
      <c r="A287" s="21"/>
      <c r="B287" s="119" t="s">
        <v>6017</v>
      </c>
      <c r="C287" s="120" t="s">
        <v>6018</v>
      </c>
      <c r="D287" s="33" t="s">
        <v>6019</v>
      </c>
      <c r="E287" s="51" t="s">
        <v>125</v>
      </c>
      <c r="F287" s="121" t="s">
        <v>3009</v>
      </c>
      <c r="G287" s="98" t="str">
        <f>HYPERLINK("http://mirror.ff7data.com.ar/ff7/data/battle/battle.lgp/awan.png","View Picture")</f>
        <v>View Picture</v>
      </c>
      <c r="H287" s="75"/>
      <c r="I287" s="74"/>
      <c r="J287" s="74"/>
      <c r="K287" s="74"/>
    </row>
    <row r="288">
      <c r="A288" s="21"/>
      <c r="B288" s="119" t="s">
        <v>6027</v>
      </c>
      <c r="C288" s="120" t="s">
        <v>6029</v>
      </c>
      <c r="D288" s="33" t="s">
        <v>6030</v>
      </c>
      <c r="E288" s="51" t="s">
        <v>125</v>
      </c>
      <c r="F288" s="121" t="s">
        <v>3009</v>
      </c>
      <c r="G288" s="98" t="str">
        <f>HYPERLINK("http://mirror.ff7data.com.ar/ff7/data/battle/battle.lgp/awap.png","View Picture")</f>
        <v>View Picture</v>
      </c>
      <c r="H288" s="75"/>
      <c r="I288" s="74"/>
      <c r="J288" s="74"/>
      <c r="K288" s="74"/>
    </row>
    <row r="289">
      <c r="A289" s="21"/>
      <c r="B289" s="119" t="s">
        <v>6039</v>
      </c>
      <c r="C289" s="120" t="s">
        <v>3465</v>
      </c>
      <c r="D289" s="33" t="s">
        <v>6041</v>
      </c>
      <c r="E289" s="51" t="s">
        <v>125</v>
      </c>
      <c r="F289" s="121" t="s">
        <v>3009</v>
      </c>
      <c r="G289" s="98" t="str">
        <f>HYPERLINK("http://mirror.ff7data.com.ar/ff7/data/battle/battle.lgp/awaq.png","View Picture")</f>
        <v>View Picture</v>
      </c>
      <c r="H289" s="75"/>
      <c r="I289" s="74"/>
      <c r="J289" s="74"/>
      <c r="K289" s="74"/>
    </row>
    <row r="290">
      <c r="A290" s="21"/>
      <c r="B290" s="119" t="s">
        <v>6048</v>
      </c>
      <c r="C290" s="120" t="s">
        <v>4841</v>
      </c>
      <c r="D290" s="33" t="s">
        <v>6050</v>
      </c>
      <c r="E290" s="51" t="s">
        <v>125</v>
      </c>
      <c r="F290" s="121" t="s">
        <v>3009</v>
      </c>
      <c r="G290" s="98" t="str">
        <f>HYPERLINK("http://mirror.ff7data.com.ar/ff7/data/battle/battle.lgp/awar.png","View Picture")</f>
        <v>View Picture</v>
      </c>
      <c r="H290" s="75"/>
      <c r="I290" s="74"/>
      <c r="J290" s="74"/>
      <c r="K290" s="74"/>
    </row>
    <row r="291">
      <c r="A291" s="21"/>
      <c r="B291" s="119" t="s">
        <v>6056</v>
      </c>
      <c r="C291" s="120" t="s">
        <v>4357</v>
      </c>
      <c r="D291" s="33" t="s">
        <v>6057</v>
      </c>
      <c r="E291" s="51" t="s">
        <v>125</v>
      </c>
      <c r="F291" s="121" t="s">
        <v>3009</v>
      </c>
      <c r="G291" s="98" t="str">
        <f>HYPERLINK("http://mirror.ff7data.com.ar/ff7/data/battle/battle.lgp/awat.png","View Picture")</f>
        <v>View Picture</v>
      </c>
      <c r="H291" s="75"/>
      <c r="I291" s="74"/>
      <c r="J291" s="74"/>
      <c r="K291" s="74"/>
    </row>
    <row r="292">
      <c r="A292" s="21"/>
      <c r="B292" s="119" t="s">
        <v>6063</v>
      </c>
      <c r="C292" s="120" t="s">
        <v>6029</v>
      </c>
      <c r="D292" s="33" t="s">
        <v>6065</v>
      </c>
      <c r="E292" s="51" t="s">
        <v>125</v>
      </c>
      <c r="F292" s="121" t="s">
        <v>3009</v>
      </c>
      <c r="G292" s="98" t="str">
        <f>HYPERLINK("http://mirror.ff7data.com.ar/ff7/data/battle/battle.lgp/awaw.png","View Picture")</f>
        <v>View Picture</v>
      </c>
      <c r="H292" s="75"/>
      <c r="I292" s="74"/>
      <c r="J292" s="74"/>
      <c r="K292" s="74"/>
    </row>
    <row r="293">
      <c r="A293" s="21"/>
      <c r="B293" s="119" t="s">
        <v>6075</v>
      </c>
      <c r="C293" s="120" t="s">
        <v>3465</v>
      </c>
      <c r="D293" s="33" t="s">
        <v>6076</v>
      </c>
      <c r="E293" s="51" t="s">
        <v>125</v>
      </c>
      <c r="F293" s="121" t="s">
        <v>3009</v>
      </c>
      <c r="G293" s="98" t="str">
        <f>HYPERLINK("http://mirror.ff7data.com.ar/ff7/data/battle/battle.lgp/awax.png","View Picture")</f>
        <v>View Picture</v>
      </c>
      <c r="H293" s="75"/>
      <c r="I293" s="74"/>
      <c r="J293" s="74"/>
      <c r="K293" s="74"/>
    </row>
    <row r="294">
      <c r="A294" s="21"/>
      <c r="B294" s="119" t="s">
        <v>6087</v>
      </c>
      <c r="C294" s="120" t="s">
        <v>4841</v>
      </c>
      <c r="D294" s="33" t="s">
        <v>6088</v>
      </c>
      <c r="E294" s="51" t="s">
        <v>125</v>
      </c>
      <c r="F294" s="121" t="s">
        <v>3009</v>
      </c>
      <c r="G294" s="98" t="str">
        <f>HYPERLINK("http://mirror.ff7data.com.ar/ff7/data/battle/battle.lgp/away.png","View Picture")</f>
        <v>View Picture</v>
      </c>
      <c r="H294" s="75"/>
      <c r="I294" s="74"/>
      <c r="J294" s="74"/>
      <c r="K294" s="74"/>
    </row>
    <row r="295">
      <c r="A295" s="21"/>
      <c r="B295" s="119" t="s">
        <v>6096</v>
      </c>
      <c r="C295" s="120" t="s">
        <v>4357</v>
      </c>
      <c r="D295" s="33" t="s">
        <v>6098</v>
      </c>
      <c r="E295" s="51" t="s">
        <v>125</v>
      </c>
      <c r="F295" s="121" t="s">
        <v>3009</v>
      </c>
      <c r="G295" s="98" t="str">
        <f>HYPERLINK("http://mirror.ff7data.com.ar/ff7/data/battle/battle.lgp/awbb.png","View Picture")</f>
        <v>View Picture</v>
      </c>
      <c r="H295" s="75"/>
      <c r="I295" s="74"/>
      <c r="J295" s="74"/>
      <c r="K295" s="74"/>
    </row>
    <row r="296">
      <c r="A296" s="21"/>
      <c r="B296" s="119" t="s">
        <v>6106</v>
      </c>
      <c r="C296" s="120" t="s">
        <v>3318</v>
      </c>
      <c r="D296" s="33" t="s">
        <v>6108</v>
      </c>
      <c r="E296" s="51" t="s">
        <v>125</v>
      </c>
      <c r="F296" s="121" t="s">
        <v>3009</v>
      </c>
      <c r="G296" s="98" t="str">
        <f>HYPERLINK("http://mirror.ff7data.com.ar/ff7/data/battle/battle.lgp/awbf.png","View Picture")</f>
        <v>View Picture</v>
      </c>
      <c r="H296" s="75"/>
      <c r="I296" s="74"/>
      <c r="J296" s="74"/>
      <c r="K296" s="74"/>
    </row>
    <row r="297">
      <c r="A297" s="21"/>
      <c r="B297" s="119" t="s">
        <v>6115</v>
      </c>
      <c r="C297" s="120" t="s">
        <v>4396</v>
      </c>
      <c r="D297" s="33" t="s">
        <v>6108</v>
      </c>
      <c r="E297" s="51" t="s">
        <v>125</v>
      </c>
      <c r="F297" s="121" t="s">
        <v>3009</v>
      </c>
      <c r="G297" s="98" t="str">
        <f>HYPERLINK("http://mirror.ff7data.com.ar/ff7/data/battle/battle.lgp/awbg.png","View Picture")</f>
        <v>View Picture</v>
      </c>
      <c r="H297" s="75"/>
      <c r="I297" s="74"/>
      <c r="J297" s="74"/>
      <c r="K297" s="74"/>
    </row>
    <row r="298">
      <c r="A298" s="21"/>
      <c r="B298" s="119" t="s">
        <v>6124</v>
      </c>
      <c r="C298" s="120" t="s">
        <v>4396</v>
      </c>
      <c r="D298" s="33" t="s">
        <v>6108</v>
      </c>
      <c r="E298" s="51" t="s">
        <v>125</v>
      </c>
      <c r="F298" s="121" t="s">
        <v>3009</v>
      </c>
      <c r="G298" s="98" t="str">
        <f>HYPERLINK("http://mirror.ff7data.com.ar/ff7/data/battle/battle.lgp/awbh.png","View Picture")</f>
        <v>View Picture</v>
      </c>
      <c r="H298" s="75"/>
      <c r="I298" s="74"/>
      <c r="J298" s="74"/>
      <c r="K298" s="74"/>
    </row>
    <row r="299">
      <c r="A299" s="21"/>
      <c r="B299" s="119" t="s">
        <v>6133</v>
      </c>
      <c r="C299" s="120" t="s">
        <v>4396</v>
      </c>
      <c r="D299" s="33" t="s">
        <v>6108</v>
      </c>
      <c r="E299" s="51" t="s">
        <v>125</v>
      </c>
      <c r="F299" s="121" t="s">
        <v>3009</v>
      </c>
      <c r="G299" s="98" t="str">
        <f>HYPERLINK("http://mirror.ff7data.com.ar/ff7/data/battle/battle.lgp/awbi.png","View Picture")</f>
        <v>View Picture</v>
      </c>
      <c r="H299" s="75"/>
      <c r="I299" s="74"/>
      <c r="J299" s="74"/>
      <c r="K299" s="74"/>
    </row>
    <row r="300">
      <c r="A300" s="21"/>
      <c r="B300" s="119" t="s">
        <v>6142</v>
      </c>
      <c r="C300" s="120" t="s">
        <v>4396</v>
      </c>
      <c r="D300" s="33" t="s">
        <v>6108</v>
      </c>
      <c r="E300" s="51" t="s">
        <v>125</v>
      </c>
      <c r="F300" s="121" t="s">
        <v>3009</v>
      </c>
      <c r="G300" s="98" t="str">
        <f>HYPERLINK("http://mirror.ff7data.com.ar/ff7/data/battle/battle.lgp/awbj.png","View Picture")</f>
        <v>View Picture</v>
      </c>
      <c r="H300" s="75"/>
      <c r="I300" s="74"/>
      <c r="J300" s="74"/>
      <c r="K300" s="74"/>
    </row>
    <row r="301">
      <c r="A301" s="21"/>
      <c r="B301" s="119" t="s">
        <v>6149</v>
      </c>
      <c r="C301" s="120" t="s">
        <v>4396</v>
      </c>
      <c r="D301" s="33" t="s">
        <v>6108</v>
      </c>
      <c r="E301" s="51" t="s">
        <v>125</v>
      </c>
      <c r="F301" s="121" t="s">
        <v>3009</v>
      </c>
      <c r="G301" s="98" t="str">
        <f>HYPERLINK("http://mirror.ff7data.com.ar/ff7/data/battle/battle.lgp/awbk.png","View Picture")</f>
        <v>View Picture</v>
      </c>
      <c r="H301" s="75"/>
      <c r="I301" s="74"/>
      <c r="J301" s="74"/>
      <c r="K301" s="74"/>
    </row>
    <row r="302">
      <c r="A302" s="21"/>
      <c r="B302" s="119" t="s">
        <v>6157</v>
      </c>
      <c r="C302" s="120" t="s">
        <v>4396</v>
      </c>
      <c r="D302" s="33" t="s">
        <v>6108</v>
      </c>
      <c r="E302" s="51" t="s">
        <v>125</v>
      </c>
      <c r="F302" s="121" t="s">
        <v>3009</v>
      </c>
      <c r="G302" s="98" t="str">
        <f>HYPERLINK("http://mirror.ff7data.com.ar/ff7/data/battle/battle.lgp/awbl.png","View Picture")</f>
        <v>View Picture</v>
      </c>
      <c r="H302" s="75"/>
      <c r="I302" s="74"/>
      <c r="J302" s="74"/>
      <c r="K302" s="74"/>
    </row>
    <row r="303">
      <c r="A303" s="21"/>
      <c r="B303" s="119" t="s">
        <v>6172</v>
      </c>
      <c r="C303" s="120" t="s">
        <v>3519</v>
      </c>
      <c r="D303" s="33" t="s">
        <v>6174</v>
      </c>
      <c r="E303" s="51" t="s">
        <v>125</v>
      </c>
      <c r="F303" s="121" t="s">
        <v>3009</v>
      </c>
      <c r="G303" s="98" t="str">
        <f>HYPERLINK("http://mirror.ff7data.com.ar/ff7/data/battle/battle.lgp/awbm.png","View Picture")</f>
        <v>View Picture</v>
      </c>
      <c r="H303" s="75"/>
      <c r="I303" s="74"/>
      <c r="J303" s="74"/>
      <c r="K303" s="74"/>
    </row>
    <row r="304">
      <c r="A304" s="21"/>
      <c r="B304" s="119" t="s">
        <v>6183</v>
      </c>
      <c r="C304" s="120" t="s">
        <v>3768</v>
      </c>
      <c r="D304" s="33" t="s">
        <v>6185</v>
      </c>
      <c r="E304" s="51" t="s">
        <v>125</v>
      </c>
      <c r="F304" s="121" t="s">
        <v>3009</v>
      </c>
      <c r="G304" s="98" t="str">
        <f>HYPERLINK("http://mirror.ff7data.com.ar/ff7/data/battle/battle.lgp/awbp.png","View Picture")</f>
        <v>View Picture</v>
      </c>
      <c r="H304" s="75"/>
      <c r="I304" s="74"/>
      <c r="J304" s="74"/>
      <c r="K304" s="74"/>
    </row>
    <row r="305">
      <c r="A305" s="21"/>
      <c r="B305" s="119" t="s">
        <v>6195</v>
      </c>
      <c r="C305" s="120" t="s">
        <v>6029</v>
      </c>
      <c r="D305" s="33" t="s">
        <v>6198</v>
      </c>
      <c r="E305" s="51" t="s">
        <v>125</v>
      </c>
      <c r="F305" s="121" t="s">
        <v>3009</v>
      </c>
      <c r="G305" s="98" t="str">
        <f>HYPERLINK("http://mirror.ff7data.com.ar/ff7/data/battle/battle.lgp/awbq.png","View Picture")</f>
        <v>View Picture</v>
      </c>
      <c r="H305" s="75"/>
      <c r="I305" s="74"/>
      <c r="J305" s="74"/>
      <c r="K305" s="74"/>
    </row>
    <row r="306">
      <c r="A306" s="21"/>
      <c r="B306" s="119" t="s">
        <v>6207</v>
      </c>
      <c r="C306" s="120" t="s">
        <v>3768</v>
      </c>
      <c r="D306" s="33" t="s">
        <v>6208</v>
      </c>
      <c r="E306" s="51" t="s">
        <v>125</v>
      </c>
      <c r="F306" s="121" t="s">
        <v>3009</v>
      </c>
      <c r="G306" s="98" t="str">
        <f>HYPERLINK("http://mirror.ff7data.com.ar/ff7/data/battle/battle.lgp/awbs.png","View Picture")</f>
        <v>View Picture</v>
      </c>
      <c r="H306" s="75"/>
      <c r="I306" s="74"/>
      <c r="J306" s="74"/>
      <c r="K306" s="74"/>
    </row>
    <row r="307">
      <c r="A307" s="21"/>
      <c r="B307" s="119" t="s">
        <v>6217</v>
      </c>
      <c r="C307" s="120" t="s">
        <v>4476</v>
      </c>
      <c r="D307" s="33" t="s">
        <v>6219</v>
      </c>
      <c r="E307" s="51" t="s">
        <v>125</v>
      </c>
      <c r="F307" s="121" t="s">
        <v>3009</v>
      </c>
      <c r="G307" s="98" t="str">
        <f>HYPERLINK("http://mirror.ff7data.com.ar/ff7/data/battle/battle.lgp/awbt.png","View Picture")</f>
        <v>View Picture</v>
      </c>
      <c r="H307" s="75"/>
      <c r="I307" s="74"/>
      <c r="J307" s="74"/>
      <c r="K307" s="74"/>
    </row>
    <row r="308">
      <c r="A308" s="21"/>
      <c r="B308" s="119" t="s">
        <v>6235</v>
      </c>
      <c r="C308" s="120" t="s">
        <v>3768</v>
      </c>
      <c r="D308" s="33" t="s">
        <v>6237</v>
      </c>
      <c r="E308" s="51" t="s">
        <v>125</v>
      </c>
      <c r="F308" s="121" t="s">
        <v>3009</v>
      </c>
      <c r="G308" s="98" t="str">
        <f>HYPERLINK("http://mirror.ff7data.com.ar/ff7/data/battle/battle.lgp/awbv.png","View Picture")</f>
        <v>View Picture</v>
      </c>
      <c r="H308" s="75"/>
      <c r="I308" s="74"/>
      <c r="J308" s="74"/>
      <c r="K308" s="74"/>
    </row>
    <row r="309">
      <c r="A309" s="21"/>
      <c r="B309" s="119" t="s">
        <v>6246</v>
      </c>
      <c r="C309" s="120" t="s">
        <v>4476</v>
      </c>
      <c r="D309" s="33" t="s">
        <v>6248</v>
      </c>
      <c r="E309" s="51" t="s">
        <v>125</v>
      </c>
      <c r="F309" s="121" t="s">
        <v>3009</v>
      </c>
      <c r="G309" s="98" t="str">
        <f>HYPERLINK("http://mirror.ff7data.com.ar/ff7/data/battle/battle.lgp/awbw.png","View Picture")</f>
        <v>View Picture</v>
      </c>
      <c r="H309" s="75"/>
      <c r="I309" s="74"/>
      <c r="J309" s="74"/>
      <c r="K309" s="74"/>
    </row>
    <row r="310">
      <c r="A310" s="21"/>
      <c r="B310" s="119" t="s">
        <v>6259</v>
      </c>
      <c r="C310" s="120" t="s">
        <v>3671</v>
      </c>
      <c r="D310" s="33" t="s">
        <v>6262</v>
      </c>
      <c r="E310" s="51" t="s">
        <v>125</v>
      </c>
      <c r="F310" s="121" t="s">
        <v>3009</v>
      </c>
      <c r="G310" s="98" t="str">
        <f>HYPERLINK("http://mirror.ff7data.com.ar/ff7/data/battle/battle.lgp/awby.png","View Picture")</f>
        <v>View Picture</v>
      </c>
      <c r="H310" s="75"/>
      <c r="I310" s="74"/>
      <c r="J310" s="74"/>
      <c r="K310" s="74"/>
    </row>
    <row r="311">
      <c r="A311" s="21"/>
      <c r="B311" s="119" t="s">
        <v>6273</v>
      </c>
      <c r="C311" s="120" t="s">
        <v>4476</v>
      </c>
      <c r="D311" s="33" t="s">
        <v>6274</v>
      </c>
      <c r="E311" s="51" t="s">
        <v>125</v>
      </c>
      <c r="F311" s="121" t="s">
        <v>3009</v>
      </c>
      <c r="G311" s="98" t="str">
        <f>HYPERLINK("http://mirror.ff7data.com.ar/ff7/data/battle/battle.lgp/awbz.png","View Picture")</f>
        <v>View Picture</v>
      </c>
      <c r="H311" s="75"/>
      <c r="I311" s="74"/>
      <c r="J311" s="74"/>
      <c r="K311" s="74"/>
    </row>
    <row r="312">
      <c r="A312" s="21"/>
      <c r="B312" s="119" t="s">
        <v>6286</v>
      </c>
      <c r="C312" s="120" t="s">
        <v>3768</v>
      </c>
      <c r="D312" s="33" t="s">
        <v>6288</v>
      </c>
      <c r="E312" s="51" t="s">
        <v>125</v>
      </c>
      <c r="F312" s="121" t="s">
        <v>3009</v>
      </c>
      <c r="G312" s="98" t="str">
        <f>HYPERLINK("http://mirror.ff7data.com.ar/ff7/data/battle/battle.lgp/awcb.png","View Picture")</f>
        <v>View Picture</v>
      </c>
      <c r="H312" s="75"/>
      <c r="I312" s="74"/>
      <c r="J312" s="74"/>
      <c r="K312" s="74"/>
    </row>
    <row r="313">
      <c r="A313" s="21"/>
      <c r="B313" s="119" t="s">
        <v>6298</v>
      </c>
      <c r="C313" s="120" t="s">
        <v>4476</v>
      </c>
      <c r="D313" s="33" t="s">
        <v>6301</v>
      </c>
      <c r="E313" s="51" t="s">
        <v>125</v>
      </c>
      <c r="F313" s="121" t="s">
        <v>3009</v>
      </c>
      <c r="G313" s="98" t="str">
        <f>HYPERLINK("http://mirror.ff7data.com.ar/ff7/data/battle/battle.lgp/awcc.png","View Picture")</f>
        <v>View Picture</v>
      </c>
      <c r="H313" s="75"/>
      <c r="I313" s="74"/>
      <c r="J313" s="74"/>
      <c r="K313" s="74"/>
    </row>
    <row r="314">
      <c r="A314" s="21"/>
      <c r="B314" s="119" t="s">
        <v>6310</v>
      </c>
      <c r="C314" s="120" t="s">
        <v>3768</v>
      </c>
      <c r="D314" s="33" t="s">
        <v>6312</v>
      </c>
      <c r="E314" s="51" t="s">
        <v>125</v>
      </c>
      <c r="F314" s="121" t="s">
        <v>3009</v>
      </c>
      <c r="G314" s="98" t="str">
        <f>HYPERLINK("http://mirror.ff7data.com.ar/ff7/data/battle/battle.lgp/awce.png","View Picture")</f>
        <v>View Picture</v>
      </c>
      <c r="H314" s="75"/>
      <c r="I314" s="74"/>
      <c r="J314" s="74"/>
      <c r="K314" s="74"/>
    </row>
    <row r="315">
      <c r="A315" s="21"/>
      <c r="B315" s="119" t="s">
        <v>6321</v>
      </c>
      <c r="C315" s="120" t="s">
        <v>4476</v>
      </c>
      <c r="D315" s="33" t="s">
        <v>6324</v>
      </c>
      <c r="E315" s="51" t="s">
        <v>125</v>
      </c>
      <c r="F315" s="121" t="s">
        <v>3009</v>
      </c>
      <c r="G315" s="98" t="str">
        <f>HYPERLINK("http://mirror.ff7data.com.ar/ff7/data/battle/battle.lgp/awcf.png","View Picture")</f>
        <v>View Picture</v>
      </c>
      <c r="H315" s="75"/>
      <c r="I315" s="74"/>
      <c r="J315" s="74"/>
      <c r="K315" s="74"/>
    </row>
    <row r="316">
      <c r="A316" s="21"/>
      <c r="B316" s="119" t="s">
        <v>6334</v>
      </c>
      <c r="C316" s="120" t="s">
        <v>3552</v>
      </c>
      <c r="D316" s="33" t="s">
        <v>6006</v>
      </c>
      <c r="E316" s="51" t="s">
        <v>125</v>
      </c>
      <c r="F316" s="121" t="s">
        <v>3025</v>
      </c>
      <c r="G316" s="122"/>
      <c r="H316" s="46" t="s">
        <v>3002</v>
      </c>
      <c r="I316" s="74"/>
      <c r="J316" s="74"/>
      <c r="K316" s="74"/>
    </row>
    <row r="317">
      <c r="A317" s="21"/>
      <c r="B317" s="119" t="s">
        <v>6338</v>
      </c>
      <c r="C317" s="120" t="s">
        <v>2989</v>
      </c>
      <c r="D317" s="33" t="s">
        <v>6340</v>
      </c>
      <c r="E317" s="51" t="s">
        <v>129</v>
      </c>
      <c r="F317" s="121" t="s">
        <v>2971</v>
      </c>
      <c r="G317" s="98" t="str">
        <f>HYPERLINK("http://mirror.ff7data.com.ar/ff7/data/battle/battle.lgp/axaa.png","View Picture")</f>
        <v>View Picture</v>
      </c>
      <c r="H317" s="75"/>
      <c r="I317" s="74"/>
      <c r="J317" s="74"/>
      <c r="K317" s="74"/>
    </row>
    <row r="318">
      <c r="A318" s="21"/>
      <c r="B318" s="119" t="s">
        <v>6353</v>
      </c>
      <c r="C318" s="120" t="s">
        <v>5222</v>
      </c>
      <c r="D318" s="33" t="s">
        <v>6355</v>
      </c>
      <c r="E318" s="51" t="s">
        <v>129</v>
      </c>
      <c r="F318" s="121" t="s">
        <v>2993</v>
      </c>
      <c r="G318" s="122"/>
      <c r="H318" s="46" t="s">
        <v>3002</v>
      </c>
      <c r="I318" s="74"/>
      <c r="J318" s="74"/>
      <c r="K318" s="74"/>
    </row>
    <row r="319">
      <c r="A319" s="21"/>
      <c r="B319" s="119" t="s">
        <v>6360</v>
      </c>
      <c r="C319" s="120" t="s">
        <v>3343</v>
      </c>
      <c r="D319" s="33" t="s">
        <v>6361</v>
      </c>
      <c r="E319" s="51" t="s">
        <v>129</v>
      </c>
      <c r="F319" s="121" t="s">
        <v>3009</v>
      </c>
      <c r="G319" s="98" t="str">
        <f>HYPERLINK("http://mirror.ff7data.com.ar/ff7/data/battle/battle.lgp/axam.png","View Picture")</f>
        <v>View Picture</v>
      </c>
      <c r="H319" s="75"/>
      <c r="I319" s="74"/>
      <c r="J319" s="74"/>
      <c r="K319" s="74"/>
    </row>
    <row r="320">
      <c r="A320" s="21"/>
      <c r="B320" s="119" t="s">
        <v>6371</v>
      </c>
      <c r="C320" s="120" t="s">
        <v>3370</v>
      </c>
      <c r="D320" s="33" t="s">
        <v>6373</v>
      </c>
      <c r="E320" s="51" t="s">
        <v>129</v>
      </c>
      <c r="F320" s="121" t="s">
        <v>3009</v>
      </c>
      <c r="G320" s="98" t="str">
        <f>HYPERLINK("http://mirror.ff7data.com.ar/ff7/data/battle/battle.lgp/axao.png","View Picture")</f>
        <v>View Picture</v>
      </c>
      <c r="H320" s="75"/>
      <c r="I320" s="74"/>
      <c r="J320" s="74"/>
      <c r="K320" s="74"/>
    </row>
    <row r="321">
      <c r="A321" s="21"/>
      <c r="B321" s="119" t="s">
        <v>6381</v>
      </c>
      <c r="C321" s="120" t="s">
        <v>4288</v>
      </c>
      <c r="D321" s="33" t="s">
        <v>6382</v>
      </c>
      <c r="E321" s="51" t="s">
        <v>129</v>
      </c>
      <c r="F321" s="121" t="s">
        <v>3009</v>
      </c>
      <c r="G321" s="98" t="str">
        <f>HYPERLINK("http://mirror.ff7data.com.ar/ff7/data/battle/battle.lgp/axaq.png","View Picture")</f>
        <v>View Picture</v>
      </c>
      <c r="H321" s="75"/>
      <c r="I321" s="74"/>
      <c r="J321" s="74"/>
      <c r="K321" s="74"/>
    </row>
    <row r="322">
      <c r="A322" s="21"/>
      <c r="B322" s="119" t="s">
        <v>6385</v>
      </c>
      <c r="C322" s="120" t="s">
        <v>4264</v>
      </c>
      <c r="D322" s="33" t="s">
        <v>6387</v>
      </c>
      <c r="E322" s="51" t="s">
        <v>129</v>
      </c>
      <c r="F322" s="121" t="s">
        <v>3009</v>
      </c>
      <c r="G322" s="98" t="str">
        <f>HYPERLINK("http://mirror.ff7data.com.ar/ff7/data/battle/battle.lgp/axas.png","View Picture")</f>
        <v>View Picture</v>
      </c>
      <c r="H322" s="75"/>
      <c r="I322" s="74"/>
      <c r="J322" s="74"/>
      <c r="K322" s="74"/>
    </row>
    <row r="323">
      <c r="A323" s="21"/>
      <c r="B323" s="119" t="s">
        <v>6390</v>
      </c>
      <c r="C323" s="120" t="s">
        <v>6391</v>
      </c>
      <c r="D323" s="33" t="s">
        <v>6387</v>
      </c>
      <c r="E323" s="51" t="s">
        <v>129</v>
      </c>
      <c r="F323" s="121" t="s">
        <v>3009</v>
      </c>
      <c r="G323" s="98" t="str">
        <f>HYPERLINK("http://mirror.ff7data.com.ar/ff7/data/battle/battle.lgp/axat.png","View Picture")</f>
        <v>View Picture</v>
      </c>
      <c r="H323" s="75"/>
      <c r="I323" s="74"/>
      <c r="J323" s="74"/>
      <c r="K323" s="74"/>
    </row>
    <row r="324">
      <c r="A324" s="21"/>
      <c r="B324" s="119" t="s">
        <v>6400</v>
      </c>
      <c r="C324" s="120" t="s">
        <v>4264</v>
      </c>
      <c r="D324" s="33" t="s">
        <v>6402</v>
      </c>
      <c r="E324" s="51" t="s">
        <v>129</v>
      </c>
      <c r="F324" s="121" t="s">
        <v>3009</v>
      </c>
      <c r="G324" s="98" t="str">
        <f>HYPERLINK("http://mirror.ff7data.com.ar/ff7/data/battle/battle.lgp/axav.png","View Picture")</f>
        <v>View Picture</v>
      </c>
      <c r="H324" s="75"/>
      <c r="I324" s="74"/>
      <c r="J324" s="74"/>
      <c r="K324" s="74"/>
    </row>
    <row r="325">
      <c r="A325" s="21"/>
      <c r="B325" s="119" t="s">
        <v>6412</v>
      </c>
      <c r="C325" s="120" t="s">
        <v>6391</v>
      </c>
      <c r="D325" s="33" t="s">
        <v>6402</v>
      </c>
      <c r="E325" s="51" t="s">
        <v>129</v>
      </c>
      <c r="F325" s="121" t="s">
        <v>3009</v>
      </c>
      <c r="G325" s="98" t="str">
        <f>HYPERLINK("http://mirror.ff7data.com.ar/ff7/data/battle/battle.lgp/axaw.png","View Picture")</f>
        <v>View Picture</v>
      </c>
      <c r="H325" s="75"/>
      <c r="I325" s="74"/>
      <c r="J325" s="74"/>
      <c r="K325" s="74"/>
    </row>
    <row r="326">
      <c r="A326" s="21"/>
      <c r="B326" s="119" t="s">
        <v>6423</v>
      </c>
      <c r="C326" s="120" t="s">
        <v>4288</v>
      </c>
      <c r="D326" s="33" t="s">
        <v>6426</v>
      </c>
      <c r="E326" s="51" t="s">
        <v>129</v>
      </c>
      <c r="F326" s="121" t="s">
        <v>3009</v>
      </c>
      <c r="G326" s="98" t="str">
        <f>HYPERLINK("http://mirror.ff7data.com.ar/ff7/data/battle/battle.lgp/axay.png","View Picture")</f>
        <v>View Picture</v>
      </c>
      <c r="H326" s="75"/>
      <c r="I326" s="74"/>
      <c r="J326" s="74"/>
      <c r="K326" s="74"/>
    </row>
    <row r="327">
      <c r="A327" s="21"/>
      <c r="B327" s="119" t="s">
        <v>6435</v>
      </c>
      <c r="C327" s="120" t="s">
        <v>4732</v>
      </c>
      <c r="D327" s="33" t="s">
        <v>6437</v>
      </c>
      <c r="E327" s="51" t="s">
        <v>129</v>
      </c>
      <c r="F327" s="121" t="s">
        <v>3009</v>
      </c>
      <c r="G327" s="98" t="str">
        <f>HYPERLINK("http://mirror.ff7data.com.ar/ff7/data/battle/battle.lgp/axaz.png","View Picture")</f>
        <v>View Picture</v>
      </c>
      <c r="H327" s="75"/>
      <c r="I327" s="74"/>
      <c r="J327" s="74"/>
      <c r="K327" s="74"/>
    </row>
    <row r="328">
      <c r="A328" s="21"/>
      <c r="B328" s="119" t="s">
        <v>6447</v>
      </c>
      <c r="C328" s="120" t="s">
        <v>3768</v>
      </c>
      <c r="D328" s="33" t="s">
        <v>6449</v>
      </c>
      <c r="E328" s="51" t="s">
        <v>129</v>
      </c>
      <c r="F328" s="121" t="s">
        <v>3009</v>
      </c>
      <c r="G328" s="98" t="str">
        <f>HYPERLINK("http://mirror.ff7data.com.ar/ff7/data/battle/battle.lgp/axba.png","View Picture")</f>
        <v>View Picture</v>
      </c>
      <c r="H328" s="75"/>
      <c r="I328" s="74"/>
      <c r="J328" s="74"/>
      <c r="K328" s="74"/>
    </row>
    <row r="329">
      <c r="A329" s="21"/>
      <c r="B329" s="119" t="s">
        <v>6459</v>
      </c>
      <c r="C329" s="120" t="s">
        <v>4288</v>
      </c>
      <c r="D329" s="33" t="s">
        <v>6461</v>
      </c>
      <c r="E329" s="51" t="s">
        <v>129</v>
      </c>
      <c r="F329" s="121" t="s">
        <v>3009</v>
      </c>
      <c r="G329" s="98" t="str">
        <f>HYPERLINK("http://mirror.ff7data.com.ar/ff7/data/battle/battle.lgp/axbc.png","View Picture")</f>
        <v>View Picture</v>
      </c>
      <c r="H329" s="75"/>
      <c r="I329" s="74"/>
      <c r="J329" s="74"/>
      <c r="K329" s="74"/>
    </row>
    <row r="330">
      <c r="A330" s="21"/>
      <c r="B330" s="119" t="s">
        <v>6471</v>
      </c>
      <c r="C330" s="120" t="s">
        <v>4732</v>
      </c>
      <c r="D330" s="33" t="s">
        <v>6473</v>
      </c>
      <c r="E330" s="51" t="s">
        <v>129</v>
      </c>
      <c r="F330" s="121" t="s">
        <v>3009</v>
      </c>
      <c r="G330" s="98" t="str">
        <f>HYPERLINK("http://mirror.ff7data.com.ar/ff7/data/battle/battle.lgp/axbd.png","View Picture")</f>
        <v>View Picture</v>
      </c>
      <c r="H330" s="75"/>
      <c r="I330" s="74"/>
      <c r="J330" s="74"/>
      <c r="K330" s="74"/>
    </row>
    <row r="331">
      <c r="A331" s="21"/>
      <c r="B331" s="119" t="s">
        <v>6484</v>
      </c>
      <c r="C331" s="120" t="s">
        <v>3370</v>
      </c>
      <c r="D331" s="33" t="s">
        <v>6486</v>
      </c>
      <c r="E331" s="51" t="s">
        <v>129</v>
      </c>
      <c r="F331" s="121" t="s">
        <v>3009</v>
      </c>
      <c r="G331" s="98" t="str">
        <f>HYPERLINK("http://mirror.ff7data.com.ar/ff7/data/battle/battle.lgp/axbe.png","View Picture")</f>
        <v>View Picture</v>
      </c>
      <c r="H331" s="75"/>
      <c r="I331" s="74"/>
      <c r="J331" s="74"/>
      <c r="K331" s="74"/>
    </row>
    <row r="332">
      <c r="A332" s="21"/>
      <c r="B332" s="119" t="s">
        <v>6496</v>
      </c>
      <c r="C332" s="120" t="s">
        <v>5203</v>
      </c>
      <c r="D332" s="33" t="s">
        <v>6498</v>
      </c>
      <c r="E332" s="51" t="s">
        <v>129</v>
      </c>
      <c r="F332" s="121" t="s">
        <v>3009</v>
      </c>
      <c r="G332" s="98" t="str">
        <f>HYPERLINK("http://mirror.ff7data.com.ar/ff7/data/battle/battle.lgp/axbf.png","View Picture")</f>
        <v>View Picture</v>
      </c>
      <c r="H332" s="75"/>
      <c r="I332" s="74"/>
      <c r="J332" s="74"/>
      <c r="K332" s="74"/>
    </row>
    <row r="333">
      <c r="A333" s="21"/>
      <c r="B333" s="119" t="s">
        <v>6514</v>
      </c>
      <c r="C333" s="120" t="s">
        <v>6515</v>
      </c>
      <c r="D333" s="33" t="s">
        <v>6517</v>
      </c>
      <c r="E333" s="51" t="s">
        <v>129</v>
      </c>
      <c r="F333" s="121" t="s">
        <v>3009</v>
      </c>
      <c r="G333" s="98" t="str">
        <f>HYPERLINK("http://mirror.ff7data.com.ar/ff7/data/battle/battle.lgp/axbh.png","View Picture")</f>
        <v>View Picture</v>
      </c>
      <c r="H333" s="75"/>
      <c r="I333" s="74"/>
      <c r="J333" s="74"/>
      <c r="K333" s="74"/>
    </row>
    <row r="334">
      <c r="A334" s="21"/>
      <c r="B334" s="119" t="s">
        <v>6526</v>
      </c>
      <c r="C334" s="120" t="s">
        <v>6515</v>
      </c>
      <c r="D334" s="33" t="s">
        <v>6517</v>
      </c>
      <c r="E334" s="51" t="s">
        <v>129</v>
      </c>
      <c r="F334" s="121" t="s">
        <v>3009</v>
      </c>
      <c r="G334" s="98" t="str">
        <f>HYPERLINK("http://mirror.ff7data.com.ar/ff7/data/battle/battle.lgp/axbi.png","View Picture")</f>
        <v>View Picture</v>
      </c>
      <c r="H334" s="75"/>
      <c r="I334" s="74"/>
      <c r="J334" s="74"/>
      <c r="K334" s="74"/>
    </row>
    <row r="335">
      <c r="A335" s="21"/>
      <c r="B335" s="119" t="s">
        <v>6538</v>
      </c>
      <c r="C335" s="120" t="s">
        <v>6515</v>
      </c>
      <c r="D335" s="33" t="s">
        <v>6517</v>
      </c>
      <c r="E335" s="51" t="s">
        <v>129</v>
      </c>
      <c r="F335" s="121" t="s">
        <v>3009</v>
      </c>
      <c r="G335" s="98" t="str">
        <f>HYPERLINK("http://mirror.ff7data.com.ar/ff7/data/battle/battle.lgp/axbj.png","View Picture")</f>
        <v>View Picture</v>
      </c>
      <c r="H335" s="75"/>
      <c r="I335" s="74"/>
      <c r="J335" s="74"/>
      <c r="K335" s="74"/>
    </row>
    <row r="336">
      <c r="A336" s="21"/>
      <c r="B336" s="119" t="s">
        <v>6548</v>
      </c>
      <c r="C336" s="120" t="s">
        <v>6515</v>
      </c>
      <c r="D336" s="33" t="s">
        <v>6517</v>
      </c>
      <c r="E336" s="51" t="s">
        <v>129</v>
      </c>
      <c r="F336" s="121" t="s">
        <v>3009</v>
      </c>
      <c r="G336" s="98" t="str">
        <f>HYPERLINK("http://mirror.ff7data.com.ar/ff7/data/battle/battle.lgp/axbk.png","View Picture")</f>
        <v>View Picture</v>
      </c>
      <c r="H336" s="75"/>
      <c r="I336" s="74"/>
      <c r="J336" s="74"/>
      <c r="K336" s="74"/>
    </row>
    <row r="337">
      <c r="A337" s="21"/>
      <c r="B337" s="119" t="s">
        <v>6557</v>
      </c>
      <c r="C337" s="120" t="s">
        <v>6515</v>
      </c>
      <c r="D337" s="33" t="s">
        <v>6517</v>
      </c>
      <c r="E337" s="51" t="s">
        <v>129</v>
      </c>
      <c r="F337" s="121" t="s">
        <v>3009</v>
      </c>
      <c r="G337" s="98" t="str">
        <f>HYPERLINK("http://mirror.ff7data.com.ar/ff7/data/battle/battle.lgp/axbl.png","View Picture")</f>
        <v>View Picture</v>
      </c>
      <c r="H337" s="75"/>
      <c r="I337" s="74"/>
      <c r="J337" s="74"/>
      <c r="K337" s="74"/>
    </row>
    <row r="338">
      <c r="A338" s="21"/>
      <c r="B338" s="119" t="s">
        <v>6567</v>
      </c>
      <c r="C338" s="120" t="s">
        <v>6515</v>
      </c>
      <c r="D338" s="33" t="s">
        <v>6517</v>
      </c>
      <c r="E338" s="51" t="s">
        <v>129</v>
      </c>
      <c r="F338" s="121" t="s">
        <v>3009</v>
      </c>
      <c r="G338" s="98" t="str">
        <f>HYPERLINK("http://mirror.ff7data.com.ar/ff7/data/battle/battle.lgp/axbm.png","View Picture")</f>
        <v>View Picture</v>
      </c>
      <c r="H338" s="75"/>
      <c r="I338" s="74"/>
      <c r="J338" s="74"/>
      <c r="K338" s="74"/>
    </row>
    <row r="339">
      <c r="A339" s="21"/>
      <c r="B339" s="119" t="s">
        <v>6577</v>
      </c>
      <c r="C339" s="120" t="s">
        <v>6515</v>
      </c>
      <c r="D339" s="33" t="s">
        <v>6517</v>
      </c>
      <c r="E339" s="51" t="s">
        <v>129</v>
      </c>
      <c r="F339" s="121" t="s">
        <v>3009</v>
      </c>
      <c r="G339" s="98" t="str">
        <f>HYPERLINK("http://mirror.ff7data.com.ar/ff7/data/battle/battle.lgp/axbn.png","View Picture")</f>
        <v>View Picture</v>
      </c>
      <c r="H339" s="75"/>
      <c r="I339" s="74"/>
      <c r="J339" s="74"/>
      <c r="K339" s="74"/>
    </row>
    <row r="340">
      <c r="A340" s="21"/>
      <c r="B340" s="119" t="s">
        <v>6588</v>
      </c>
      <c r="C340" s="120" t="s">
        <v>6515</v>
      </c>
      <c r="D340" s="33" t="s">
        <v>6517</v>
      </c>
      <c r="E340" s="51" t="s">
        <v>129</v>
      </c>
      <c r="F340" s="121" t="s">
        <v>3009</v>
      </c>
      <c r="G340" s="98" t="str">
        <f>HYPERLINK("http://mirror.ff7data.com.ar/ff7/data/battle/battle.lgp/axbo.png","View Picture")</f>
        <v>View Picture</v>
      </c>
      <c r="H340" s="75"/>
      <c r="I340" s="74"/>
      <c r="J340" s="74"/>
      <c r="K340" s="74"/>
    </row>
    <row r="341">
      <c r="A341" s="21"/>
      <c r="B341" s="119" t="s">
        <v>6598</v>
      </c>
      <c r="C341" s="120" t="s">
        <v>4372</v>
      </c>
      <c r="D341" s="33" t="s">
        <v>6600</v>
      </c>
      <c r="E341" s="51" t="s">
        <v>129</v>
      </c>
      <c r="F341" s="121" t="s">
        <v>3009</v>
      </c>
      <c r="G341" s="98" t="str">
        <f>HYPERLINK("http://mirror.ff7data.com.ar/ff7/data/battle/battle.lgp/axbp.png","View Picture")</f>
        <v>View Picture</v>
      </c>
      <c r="H341" s="75"/>
      <c r="I341" s="74"/>
      <c r="J341" s="74"/>
      <c r="K341" s="74"/>
    </row>
    <row r="342">
      <c r="A342" s="21"/>
      <c r="B342" s="119" t="s">
        <v>6605</v>
      </c>
      <c r="C342" s="120" t="s">
        <v>3465</v>
      </c>
      <c r="D342" s="33" t="s">
        <v>6355</v>
      </c>
      <c r="E342" s="51" t="s">
        <v>129</v>
      </c>
      <c r="F342" s="121" t="s">
        <v>3025</v>
      </c>
      <c r="G342" s="122"/>
      <c r="H342" s="46" t="s">
        <v>3002</v>
      </c>
      <c r="I342" s="74"/>
      <c r="J342" s="74"/>
      <c r="K342" s="74"/>
    </row>
    <row r="343">
      <c r="A343" s="21"/>
      <c r="B343" s="119" t="s">
        <v>6610</v>
      </c>
      <c r="C343" s="120" t="s">
        <v>6611</v>
      </c>
      <c r="D343" s="33" t="s">
        <v>6612</v>
      </c>
      <c r="E343" s="51" t="s">
        <v>133</v>
      </c>
      <c r="F343" s="121" t="s">
        <v>2971</v>
      </c>
      <c r="G343" s="98" t="str">
        <f>HYPERLINK("http://mirror.ff7data.com.ar/ff7/data/battle/battle.lgp/ayaa.png","View Picture")</f>
        <v>View Picture</v>
      </c>
      <c r="H343" s="75"/>
      <c r="I343" s="74"/>
      <c r="J343" s="74"/>
      <c r="K343" s="74"/>
    </row>
    <row r="344">
      <c r="A344" s="21"/>
      <c r="B344" s="119" t="s">
        <v>6622</v>
      </c>
      <c r="C344" s="120" t="s">
        <v>4209</v>
      </c>
      <c r="D344" s="33" t="s">
        <v>6624</v>
      </c>
      <c r="E344" s="51" t="s">
        <v>133</v>
      </c>
      <c r="F344" s="121" t="s">
        <v>2993</v>
      </c>
      <c r="G344" s="122"/>
      <c r="H344" s="46" t="s">
        <v>3002</v>
      </c>
      <c r="I344" s="74"/>
      <c r="J344" s="74"/>
      <c r="K344" s="74"/>
    </row>
    <row r="345">
      <c r="A345" s="21"/>
      <c r="B345" s="119" t="s">
        <v>6629</v>
      </c>
      <c r="C345" s="120" t="s">
        <v>4439</v>
      </c>
      <c r="D345" s="33" t="s">
        <v>6633</v>
      </c>
      <c r="E345" s="51" t="s">
        <v>133</v>
      </c>
      <c r="F345" s="121" t="s">
        <v>3009</v>
      </c>
      <c r="G345" s="98" t="str">
        <f>HYPERLINK("http://mirror.ff7data.com.ar/ff7/data/battle/battle.lgp/ayam.png","View Picture")</f>
        <v>View Picture</v>
      </c>
      <c r="H345" s="75"/>
      <c r="I345" s="74"/>
      <c r="J345" s="74"/>
      <c r="K345" s="74"/>
    </row>
    <row r="346">
      <c r="A346" s="21"/>
      <c r="B346" s="119" t="s">
        <v>6642</v>
      </c>
      <c r="C346" s="120" t="s">
        <v>4439</v>
      </c>
      <c r="D346" s="33" t="s">
        <v>6633</v>
      </c>
      <c r="E346" s="51" t="s">
        <v>133</v>
      </c>
      <c r="F346" s="121" t="s">
        <v>3009</v>
      </c>
      <c r="G346" s="98" t="str">
        <f>HYPERLINK("http://mirror.ff7data.com.ar/ff7/data/battle/battle.lgp/ayan.png","View Picture")</f>
        <v>View Picture</v>
      </c>
      <c r="H346" s="75"/>
      <c r="I346" s="74"/>
      <c r="J346" s="74"/>
      <c r="K346" s="74"/>
    </row>
    <row r="347">
      <c r="A347" s="21"/>
      <c r="B347" s="119" t="s">
        <v>6653</v>
      </c>
      <c r="C347" s="120" t="s">
        <v>3875</v>
      </c>
      <c r="D347" s="33" t="s">
        <v>6655</v>
      </c>
      <c r="E347" s="51" t="s">
        <v>133</v>
      </c>
      <c r="F347" s="121" t="s">
        <v>3009</v>
      </c>
      <c r="G347" s="98" t="str">
        <f>HYPERLINK("http://mirror.ff7data.com.ar/ff7/data/battle/battle.lgp/ayao.png","View Picture")</f>
        <v>View Picture</v>
      </c>
      <c r="H347" s="75"/>
      <c r="I347" s="74"/>
      <c r="J347" s="74"/>
      <c r="K347" s="74"/>
    </row>
    <row r="348">
      <c r="A348" s="21"/>
      <c r="B348" s="119" t="s">
        <v>6665</v>
      </c>
      <c r="C348" s="120" t="s">
        <v>6667</v>
      </c>
      <c r="D348" s="33" t="s">
        <v>6668</v>
      </c>
      <c r="E348" s="51" t="s">
        <v>133</v>
      </c>
      <c r="F348" s="121" t="s">
        <v>3009</v>
      </c>
      <c r="G348" s="98" t="str">
        <f>HYPERLINK("http://mirror.ff7data.com.ar/ff7/data/battle/battle.lgp/ayas.png","View Picture")</f>
        <v>View Picture</v>
      </c>
      <c r="H348" s="75"/>
      <c r="I348" s="74"/>
      <c r="J348" s="74"/>
      <c r="K348" s="74"/>
    </row>
    <row r="349">
      <c r="A349" s="21"/>
      <c r="B349" s="119" t="s">
        <v>6678</v>
      </c>
      <c r="C349" s="120" t="s">
        <v>6679</v>
      </c>
      <c r="D349" s="33" t="s">
        <v>6681</v>
      </c>
      <c r="E349" s="51" t="s">
        <v>133</v>
      </c>
      <c r="F349" s="121" t="s">
        <v>3009</v>
      </c>
      <c r="G349" s="98" t="str">
        <f>HYPERLINK("http://mirror.ff7data.com.ar/ff7/data/battle/battle.lgp/ayau.png","View Picture")</f>
        <v>View Picture</v>
      </c>
      <c r="H349" s="75"/>
      <c r="I349" s="74"/>
      <c r="J349" s="74"/>
      <c r="K349" s="74"/>
    </row>
    <row r="350">
      <c r="A350" s="21"/>
      <c r="B350" s="119" t="s">
        <v>6690</v>
      </c>
      <c r="C350" s="120" t="s">
        <v>6679</v>
      </c>
      <c r="D350" s="33" t="s">
        <v>6692</v>
      </c>
      <c r="E350" s="51" t="s">
        <v>133</v>
      </c>
      <c r="F350" s="121" t="s">
        <v>3009</v>
      </c>
      <c r="G350" s="98" t="str">
        <f>HYPERLINK("http://mirror.ff7data.com.ar/ff7/data/battle/battle.lgp/ayaw.png","View Picture")</f>
        <v>View Picture</v>
      </c>
      <c r="H350" s="75"/>
      <c r="I350" s="74"/>
      <c r="J350" s="74"/>
      <c r="K350" s="74"/>
    </row>
    <row r="351">
      <c r="A351" s="21"/>
      <c r="B351" s="119" t="s">
        <v>6703</v>
      </c>
      <c r="C351" s="120" t="s">
        <v>5891</v>
      </c>
      <c r="D351" s="33" t="s">
        <v>6706</v>
      </c>
      <c r="E351" s="51" t="s">
        <v>133</v>
      </c>
      <c r="F351" s="121" t="s">
        <v>3009</v>
      </c>
      <c r="G351" s="98" t="str">
        <f>HYPERLINK("http://mirror.ff7data.com.ar/ff7/data/battle/battle.lgp/ayay.png","View Picture")</f>
        <v>View Picture</v>
      </c>
      <c r="H351" s="75"/>
      <c r="I351" s="74"/>
      <c r="J351" s="74"/>
      <c r="K351" s="74"/>
    </row>
    <row r="352">
      <c r="A352" s="21"/>
      <c r="B352" s="119" t="s">
        <v>6717</v>
      </c>
      <c r="C352" s="120" t="s">
        <v>3343</v>
      </c>
      <c r="D352" s="33" t="s">
        <v>6719</v>
      </c>
      <c r="E352" s="51" t="s">
        <v>133</v>
      </c>
      <c r="F352" s="121" t="s">
        <v>3009</v>
      </c>
      <c r="G352" s="98" t="str">
        <f>HYPERLINK("http://mirror.ff7data.com.ar/ff7/data/battle/battle.lgp/ayaz.png","View Picture")</f>
        <v>View Picture</v>
      </c>
      <c r="H352" s="75"/>
      <c r="I352" s="74"/>
      <c r="J352" s="74"/>
      <c r="K352" s="74"/>
    </row>
    <row r="353">
      <c r="A353" s="21"/>
      <c r="B353" s="119" t="s">
        <v>6728</v>
      </c>
      <c r="C353" s="120" t="s">
        <v>4264</v>
      </c>
      <c r="D353" s="33" t="s">
        <v>6730</v>
      </c>
      <c r="E353" s="51" t="s">
        <v>133</v>
      </c>
      <c r="F353" s="121" t="s">
        <v>3009</v>
      </c>
      <c r="G353" s="98" t="str">
        <f>HYPERLINK("http://mirror.ff7data.com.ar/ff7/data/battle/battle.lgp/aybb.png","View Picture")</f>
        <v>View Picture</v>
      </c>
      <c r="H353" s="75"/>
      <c r="I353" s="74"/>
      <c r="J353" s="74"/>
      <c r="K353" s="74"/>
    </row>
    <row r="354">
      <c r="A354" s="21"/>
      <c r="B354" s="119" t="s">
        <v>6741</v>
      </c>
      <c r="C354" s="120" t="s">
        <v>4288</v>
      </c>
      <c r="D354" s="33" t="s">
        <v>6730</v>
      </c>
      <c r="E354" s="51" t="s">
        <v>133</v>
      </c>
      <c r="F354" s="121" t="s">
        <v>3009</v>
      </c>
      <c r="G354" s="98" t="str">
        <f>HYPERLINK("http://mirror.ff7data.com.ar/ff7/data/battle/battle.lgp/aybc.png","View Picture")</f>
        <v>View Picture</v>
      </c>
      <c r="H354" s="75"/>
      <c r="I354" s="74"/>
      <c r="J354" s="74"/>
      <c r="K354" s="74"/>
    </row>
    <row r="355">
      <c r="A355" s="21"/>
      <c r="B355" s="119" t="s">
        <v>6756</v>
      </c>
      <c r="C355" s="120" t="s">
        <v>4732</v>
      </c>
      <c r="D355" s="33" t="s">
        <v>6758</v>
      </c>
      <c r="E355" s="51" t="s">
        <v>133</v>
      </c>
      <c r="F355" s="121" t="s">
        <v>3009</v>
      </c>
      <c r="G355" s="98" t="str">
        <f>HYPERLINK("http://mirror.ff7data.com.ar/ff7/data/battle/battle.lgp/aybd.png","View Picture")</f>
        <v>View Picture</v>
      </c>
      <c r="H355" s="75"/>
      <c r="I355" s="74"/>
      <c r="J355" s="74"/>
      <c r="K355" s="74"/>
    </row>
    <row r="356">
      <c r="A356" s="21"/>
      <c r="B356" s="119" t="s">
        <v>6767</v>
      </c>
      <c r="C356" s="120" t="s">
        <v>6769</v>
      </c>
      <c r="D356" s="33" t="s">
        <v>6771</v>
      </c>
      <c r="E356" s="51" t="s">
        <v>133</v>
      </c>
      <c r="F356" s="121" t="s">
        <v>3009</v>
      </c>
      <c r="G356" s="98" t="str">
        <f>HYPERLINK("http://mirror.ff7data.com.ar/ff7/data/battle/battle.lgp/aybe.png","View Picture")</f>
        <v>View Picture</v>
      </c>
      <c r="H356" s="75"/>
      <c r="I356" s="74"/>
      <c r="J356" s="74"/>
      <c r="K356" s="74"/>
    </row>
    <row r="357">
      <c r="A357" s="21"/>
      <c r="B357" s="119" t="s">
        <v>6781</v>
      </c>
      <c r="C357" s="120" t="s">
        <v>6029</v>
      </c>
      <c r="D357" s="33" t="s">
        <v>6624</v>
      </c>
      <c r="E357" s="51" t="s">
        <v>133</v>
      </c>
      <c r="F357" s="121" t="s">
        <v>3025</v>
      </c>
      <c r="G357" s="122"/>
      <c r="H357" s="46" t="s">
        <v>3002</v>
      </c>
      <c r="I357" s="74"/>
      <c r="J357" s="74"/>
      <c r="K357" s="74"/>
    </row>
    <row r="358">
      <c r="A358" s="21"/>
      <c r="B358" s="119" t="s">
        <v>6787</v>
      </c>
      <c r="C358" s="120" t="s">
        <v>6789</v>
      </c>
      <c r="D358" s="33" t="s">
        <v>6790</v>
      </c>
      <c r="E358" s="51" t="s">
        <v>138</v>
      </c>
      <c r="F358" s="121" t="s">
        <v>2971</v>
      </c>
      <c r="G358" s="98" t="str">
        <f>HYPERLINK("http://mirror.ff7data.com.ar/ff7/data/battle/battle.lgp/azaa.png","View Picture")</f>
        <v>View Picture</v>
      </c>
      <c r="H358" s="75"/>
      <c r="I358" s="74"/>
      <c r="J358" s="74"/>
      <c r="K358" s="74"/>
    </row>
    <row r="359">
      <c r="A359" s="21"/>
      <c r="B359" s="119" t="s">
        <v>6801</v>
      </c>
      <c r="C359" s="120" t="s">
        <v>6802</v>
      </c>
      <c r="D359" s="33" t="s">
        <v>6803</v>
      </c>
      <c r="E359" s="51" t="s">
        <v>138</v>
      </c>
      <c r="F359" s="121" t="s">
        <v>2993</v>
      </c>
      <c r="G359" s="122"/>
      <c r="H359" s="46" t="s">
        <v>3002</v>
      </c>
      <c r="I359" s="74"/>
      <c r="J359" s="74"/>
      <c r="K359" s="74"/>
    </row>
    <row r="360">
      <c r="A360" s="21"/>
      <c r="B360" s="119" t="s">
        <v>6806</v>
      </c>
      <c r="C360" s="120" t="s">
        <v>3658</v>
      </c>
      <c r="D360" s="33" t="s">
        <v>6808</v>
      </c>
      <c r="E360" s="51" t="s">
        <v>138</v>
      </c>
      <c r="F360" s="121" t="s">
        <v>3009</v>
      </c>
      <c r="G360" s="98" t="str">
        <f>HYPERLINK("http://mirror.ff7data.com.ar/ff7/data/battle/battle.lgp/azam.png","View Picture")</f>
        <v>View Picture</v>
      </c>
      <c r="H360" s="75"/>
      <c r="I360" s="74"/>
      <c r="J360" s="74"/>
      <c r="K360" s="74"/>
    </row>
    <row r="361">
      <c r="A361" s="21"/>
      <c r="B361" s="119" t="s">
        <v>6814</v>
      </c>
      <c r="C361" s="120" t="s">
        <v>3658</v>
      </c>
      <c r="D361" s="33" t="s">
        <v>6816</v>
      </c>
      <c r="E361" s="51" t="s">
        <v>138</v>
      </c>
      <c r="F361" s="121" t="s">
        <v>3009</v>
      </c>
      <c r="G361" s="98" t="str">
        <f>HYPERLINK("http://mirror.ff7data.com.ar/ff7/data/battle/battle.lgp/azan.png","View Picture")</f>
        <v>View Picture</v>
      </c>
      <c r="H361" s="75"/>
      <c r="I361" s="74"/>
      <c r="J361" s="74"/>
      <c r="K361" s="74"/>
    </row>
    <row r="362">
      <c r="A362" s="21"/>
      <c r="B362" s="119" t="s">
        <v>6829</v>
      </c>
      <c r="C362" s="120" t="s">
        <v>6830</v>
      </c>
      <c r="D362" s="33" t="s">
        <v>6831</v>
      </c>
      <c r="E362" s="51" t="s">
        <v>138</v>
      </c>
      <c r="F362" s="121" t="s">
        <v>3009</v>
      </c>
      <c r="G362" s="98" t="str">
        <f>HYPERLINK("http://mirror.ff7data.com.ar/ff7/data/battle/battle.lgp/azap.png","View Picture")</f>
        <v>View Picture</v>
      </c>
      <c r="H362" s="75"/>
      <c r="I362" s="74"/>
      <c r="J362" s="74"/>
      <c r="K362" s="74"/>
    </row>
    <row r="363">
      <c r="A363" s="21"/>
      <c r="B363" s="119" t="s">
        <v>6842</v>
      </c>
      <c r="C363" s="120" t="s">
        <v>3007</v>
      </c>
      <c r="D363" s="33" t="s">
        <v>6844</v>
      </c>
      <c r="E363" s="51" t="s">
        <v>138</v>
      </c>
      <c r="F363" s="121" t="s">
        <v>3009</v>
      </c>
      <c r="G363" s="98" t="str">
        <f>HYPERLINK("http://mirror.ff7data.com.ar/ff7/data/battle/battle.lgp/azar.png","View Picture")</f>
        <v>View Picture</v>
      </c>
      <c r="H363" s="75"/>
      <c r="I363" s="74"/>
      <c r="J363" s="74"/>
      <c r="K363" s="74"/>
    </row>
    <row r="364">
      <c r="A364" s="21"/>
      <c r="B364" s="119" t="s">
        <v>6853</v>
      </c>
      <c r="C364" s="120" t="s">
        <v>3007</v>
      </c>
      <c r="D364" s="33" t="s">
        <v>6855</v>
      </c>
      <c r="E364" s="51" t="s">
        <v>138</v>
      </c>
      <c r="F364" s="121" t="s">
        <v>3009</v>
      </c>
      <c r="G364" s="98" t="str">
        <f>HYPERLINK("http://mirror.ff7data.com.ar/ff7/data/battle/battle.lgp/azat.png","View Picture")</f>
        <v>View Picture</v>
      </c>
      <c r="H364" s="75"/>
      <c r="I364" s="74"/>
      <c r="J364" s="74"/>
      <c r="K364" s="74"/>
    </row>
    <row r="365">
      <c r="A365" s="21"/>
      <c r="B365" s="119" t="s">
        <v>6865</v>
      </c>
      <c r="C365" s="120" t="s">
        <v>3007</v>
      </c>
      <c r="D365" s="33" t="s">
        <v>6868</v>
      </c>
      <c r="E365" s="51" t="s">
        <v>138</v>
      </c>
      <c r="F365" s="121" t="s">
        <v>3009</v>
      </c>
      <c r="G365" s="98" t="str">
        <f>HYPERLINK("http://mirror.ff7data.com.ar/ff7/data/battle/battle.lgp/azav.png","View Picture")</f>
        <v>View Picture</v>
      </c>
      <c r="H365" s="75"/>
      <c r="I365" s="74"/>
      <c r="J365" s="74"/>
      <c r="K365" s="74"/>
    </row>
    <row r="366">
      <c r="A366" s="21"/>
      <c r="B366" s="119" t="s">
        <v>6874</v>
      </c>
      <c r="C366" s="120" t="s">
        <v>3007</v>
      </c>
      <c r="D366" s="33" t="s">
        <v>6877</v>
      </c>
      <c r="E366" s="51" t="s">
        <v>138</v>
      </c>
      <c r="F366" s="121" t="s">
        <v>3009</v>
      </c>
      <c r="G366" s="98" t="str">
        <f>HYPERLINK("http://mirror.ff7data.com.ar/ff7/data/battle/battle.lgp/azax.png","View Picture")</f>
        <v>View Picture</v>
      </c>
      <c r="H366" s="75"/>
      <c r="I366" s="74"/>
      <c r="J366" s="74"/>
      <c r="K366" s="74"/>
    </row>
    <row r="367">
      <c r="A367" s="21"/>
      <c r="B367" s="119" t="s">
        <v>6890</v>
      </c>
      <c r="C367" s="120" t="s">
        <v>3007</v>
      </c>
      <c r="D367" s="33" t="s">
        <v>6892</v>
      </c>
      <c r="E367" s="51" t="s">
        <v>138</v>
      </c>
      <c r="F367" s="121" t="s">
        <v>3009</v>
      </c>
      <c r="G367" s="98" t="str">
        <f>HYPERLINK("http://mirror.ff7data.com.ar/ff7/data/battle/battle.lgp/azaz.png","View Picture")</f>
        <v>View Picture</v>
      </c>
      <c r="H367" s="75"/>
      <c r="I367" s="74"/>
      <c r="J367" s="74"/>
      <c r="K367" s="74"/>
    </row>
    <row r="368">
      <c r="A368" s="21"/>
      <c r="B368" s="119" t="s">
        <v>6904</v>
      </c>
      <c r="C368" s="120" t="s">
        <v>3007</v>
      </c>
      <c r="D368" s="33" t="s">
        <v>6906</v>
      </c>
      <c r="E368" s="51" t="s">
        <v>138</v>
      </c>
      <c r="F368" s="121" t="s">
        <v>3009</v>
      </c>
      <c r="G368" s="98" t="str">
        <f>HYPERLINK("http://mirror.ff7data.com.ar/ff7/data/battle/battle.lgp/azbb.png","View Picture")</f>
        <v>View Picture</v>
      </c>
      <c r="H368" s="75"/>
      <c r="I368" s="74"/>
      <c r="J368" s="74"/>
      <c r="K368" s="74"/>
    </row>
    <row r="369">
      <c r="A369" s="21"/>
      <c r="B369" s="119" t="s">
        <v>6918</v>
      </c>
      <c r="C369" s="120" t="s">
        <v>3007</v>
      </c>
      <c r="D369" s="33" t="s">
        <v>6919</v>
      </c>
      <c r="E369" s="51" t="s">
        <v>138</v>
      </c>
      <c r="F369" s="121" t="s">
        <v>3009</v>
      </c>
      <c r="G369" s="98" t="str">
        <f>HYPERLINK("http://mirror.ff7data.com.ar/ff7/data/battle/battle.lgp/azbd.png","View Picture")</f>
        <v>View Picture</v>
      </c>
      <c r="H369" s="75"/>
      <c r="I369" s="74"/>
      <c r="J369" s="74"/>
      <c r="K369" s="74"/>
    </row>
    <row r="370">
      <c r="A370" s="21"/>
      <c r="B370" s="119" t="s">
        <v>6929</v>
      </c>
      <c r="C370" s="120" t="s">
        <v>3007</v>
      </c>
      <c r="D370" s="33" t="s">
        <v>6931</v>
      </c>
      <c r="E370" s="51" t="s">
        <v>138</v>
      </c>
      <c r="F370" s="121" t="s">
        <v>3009</v>
      </c>
      <c r="G370" s="98" t="str">
        <f>HYPERLINK("http://mirror.ff7data.com.ar/ff7/data/battle/battle.lgp/azbf.png","View Picture")</f>
        <v>View Picture</v>
      </c>
      <c r="H370" s="75"/>
      <c r="I370" s="74"/>
      <c r="J370" s="74"/>
      <c r="K370" s="74"/>
    </row>
    <row r="371">
      <c r="A371" s="21"/>
      <c r="B371" s="119" t="s">
        <v>6940</v>
      </c>
      <c r="C371" s="120" t="s">
        <v>3007</v>
      </c>
      <c r="D371" s="33" t="s">
        <v>6941</v>
      </c>
      <c r="E371" s="51" t="s">
        <v>138</v>
      </c>
      <c r="F371" s="121" t="s">
        <v>3009</v>
      </c>
      <c r="G371" s="98" t="str">
        <f>HYPERLINK("http://mirror.ff7data.com.ar/ff7/data/battle/battle.lgp/azbh.png","View Picture")</f>
        <v>View Picture</v>
      </c>
      <c r="H371" s="75"/>
      <c r="I371" s="74"/>
      <c r="J371" s="74"/>
      <c r="K371" s="74"/>
    </row>
    <row r="372">
      <c r="A372" s="21"/>
      <c r="B372" s="119" t="s">
        <v>6950</v>
      </c>
      <c r="C372" s="120" t="s">
        <v>3007</v>
      </c>
      <c r="D372" s="33" t="s">
        <v>6951</v>
      </c>
      <c r="E372" s="51" t="s">
        <v>138</v>
      </c>
      <c r="F372" s="121" t="s">
        <v>3009</v>
      </c>
      <c r="G372" s="98" t="str">
        <f>HYPERLINK("http://mirror.ff7data.com.ar/ff7/data/battle/battle.lgp/azbj.png","View Picture")</f>
        <v>View Picture</v>
      </c>
      <c r="H372" s="75"/>
      <c r="I372" s="74"/>
      <c r="J372" s="74"/>
      <c r="K372" s="74"/>
    </row>
    <row r="373">
      <c r="A373" s="21"/>
      <c r="B373" s="119" t="s">
        <v>6963</v>
      </c>
      <c r="C373" s="120" t="s">
        <v>3007</v>
      </c>
      <c r="D373" s="33" t="s">
        <v>6965</v>
      </c>
      <c r="E373" s="51" t="s">
        <v>138</v>
      </c>
      <c r="F373" s="121" t="s">
        <v>3009</v>
      </c>
      <c r="G373" s="98" t="str">
        <f>HYPERLINK("http://mirror.ff7data.com.ar/ff7/data/battle/battle.lgp/azbl.png","View Picture")</f>
        <v>View Picture</v>
      </c>
      <c r="H373" s="75"/>
      <c r="I373" s="74"/>
      <c r="J373" s="74"/>
      <c r="K373" s="74"/>
    </row>
    <row r="374">
      <c r="A374" s="21"/>
      <c r="B374" s="119" t="s">
        <v>6974</v>
      </c>
      <c r="C374" s="120" t="s">
        <v>4264</v>
      </c>
      <c r="D374" s="33" t="s">
        <v>6976</v>
      </c>
      <c r="E374" s="51" t="s">
        <v>138</v>
      </c>
      <c r="F374" s="121" t="s">
        <v>3009</v>
      </c>
      <c r="G374" s="98" t="str">
        <f>HYPERLINK("http://mirror.ff7data.com.ar/ff7/data/battle/battle.lgp/azbn.png","View Picture")</f>
        <v>View Picture</v>
      </c>
      <c r="H374" s="75"/>
      <c r="I374" s="74"/>
      <c r="J374" s="74"/>
      <c r="K374" s="74"/>
    </row>
    <row r="375">
      <c r="A375" s="21"/>
      <c r="B375" s="119" t="s">
        <v>6983</v>
      </c>
      <c r="C375" s="120" t="s">
        <v>4185</v>
      </c>
      <c r="D375" s="33" t="s">
        <v>6976</v>
      </c>
      <c r="E375" s="51" t="s">
        <v>138</v>
      </c>
      <c r="F375" s="121" t="s">
        <v>3009</v>
      </c>
      <c r="G375" s="98" t="str">
        <f>HYPERLINK("http://mirror.ff7data.com.ar/ff7/data/battle/battle.lgp/azbo.png","View Picture")</f>
        <v>View Picture</v>
      </c>
      <c r="H375" s="75"/>
      <c r="I375" s="74"/>
      <c r="J375" s="74"/>
      <c r="K375" s="74"/>
    </row>
    <row r="376">
      <c r="A376" s="21"/>
      <c r="B376" s="119" t="s">
        <v>6986</v>
      </c>
      <c r="C376" s="120" t="s">
        <v>4288</v>
      </c>
      <c r="D376" s="33" t="s">
        <v>6987</v>
      </c>
      <c r="E376" s="51" t="s">
        <v>138</v>
      </c>
      <c r="F376" s="121" t="s">
        <v>3009</v>
      </c>
      <c r="G376" s="98" t="str">
        <f>HYPERLINK("http://mirror.ff7data.com.ar/ff7/data/battle/battle.lgp/azbp.png","View Picture")</f>
        <v>View Picture</v>
      </c>
      <c r="H376" s="75"/>
      <c r="I376" s="74"/>
      <c r="J376" s="74"/>
      <c r="K376" s="74"/>
    </row>
    <row r="377">
      <c r="A377" s="21"/>
      <c r="B377" s="119" t="s">
        <v>6988</v>
      </c>
      <c r="C377" s="120" t="s">
        <v>4264</v>
      </c>
      <c r="D377" s="33" t="s">
        <v>6989</v>
      </c>
      <c r="E377" s="51" t="s">
        <v>138</v>
      </c>
      <c r="F377" s="121" t="s">
        <v>3009</v>
      </c>
      <c r="G377" s="98" t="str">
        <f>HYPERLINK("http://mirror.ff7data.com.ar/ff7/data/battle/battle.lgp/azbr.png","View Picture")</f>
        <v>View Picture</v>
      </c>
      <c r="H377" s="75"/>
      <c r="I377" s="74"/>
      <c r="J377" s="74"/>
      <c r="K377" s="74"/>
    </row>
    <row r="378">
      <c r="A378" s="21"/>
      <c r="B378" s="119" t="s">
        <v>6992</v>
      </c>
      <c r="C378" s="120" t="s">
        <v>4476</v>
      </c>
      <c r="D378" s="33" t="s">
        <v>6989</v>
      </c>
      <c r="E378" s="51" t="s">
        <v>138</v>
      </c>
      <c r="F378" s="121" t="s">
        <v>3009</v>
      </c>
      <c r="G378" s="98" t="str">
        <f>HYPERLINK("http://mirror.ff7data.com.ar/ff7/data/battle/battle.lgp/azbs.png","View Picture")</f>
        <v>View Picture</v>
      </c>
      <c r="H378" s="75"/>
      <c r="I378" s="74"/>
      <c r="J378" s="74"/>
      <c r="K378" s="74"/>
    </row>
    <row r="379">
      <c r="A379" s="21"/>
      <c r="B379" s="119" t="s">
        <v>7000</v>
      </c>
      <c r="C379" s="120" t="s">
        <v>4288</v>
      </c>
      <c r="D379" s="33" t="s">
        <v>7002</v>
      </c>
      <c r="E379" s="51" t="s">
        <v>138</v>
      </c>
      <c r="F379" s="121" t="s">
        <v>3009</v>
      </c>
      <c r="G379" s="98" t="str">
        <f>HYPERLINK("http://mirror.ff7data.com.ar/ff7/data/battle/battle.lgp/azbt.png","View Picture")</f>
        <v>View Picture</v>
      </c>
      <c r="H379" s="75"/>
      <c r="I379" s="74"/>
      <c r="J379" s="74"/>
      <c r="K379" s="74"/>
    </row>
    <row r="380">
      <c r="A380" s="21"/>
      <c r="B380" s="119" t="s">
        <v>7008</v>
      </c>
      <c r="C380" s="120" t="s">
        <v>6029</v>
      </c>
      <c r="D380" s="33" t="s">
        <v>7009</v>
      </c>
      <c r="E380" s="51" t="s">
        <v>138</v>
      </c>
      <c r="F380" s="121" t="s">
        <v>3009</v>
      </c>
      <c r="G380" s="98" t="str">
        <f>HYPERLINK("http://mirror.ff7data.com.ar/ff7/data/battle/battle.lgp/azbu.png","View Picture")</f>
        <v>View Picture</v>
      </c>
      <c r="H380" s="75"/>
      <c r="I380" s="74"/>
      <c r="J380" s="74"/>
      <c r="K380" s="74"/>
    </row>
    <row r="381">
      <c r="A381" s="21"/>
      <c r="B381" s="119" t="s">
        <v>7015</v>
      </c>
      <c r="C381" s="120" t="s">
        <v>4565</v>
      </c>
      <c r="D381" s="33" t="s">
        <v>7009</v>
      </c>
      <c r="E381" s="51" t="s">
        <v>138</v>
      </c>
      <c r="F381" s="121" t="s">
        <v>3009</v>
      </c>
      <c r="G381" s="98" t="str">
        <f>HYPERLINK("http://mirror.ff7data.com.ar/ff7/data/battle/battle.lgp/azbv.png","View Picture")</f>
        <v>View Picture</v>
      </c>
      <c r="H381" s="75"/>
      <c r="I381" s="74"/>
      <c r="J381" s="74"/>
      <c r="K381" s="74"/>
    </row>
    <row r="382">
      <c r="A382" s="21"/>
      <c r="B382" s="119" t="s">
        <v>7018</v>
      </c>
      <c r="C382" s="120" t="s">
        <v>4565</v>
      </c>
      <c r="D382" s="33" t="s">
        <v>7009</v>
      </c>
      <c r="E382" s="51" t="s">
        <v>138</v>
      </c>
      <c r="F382" s="121" t="s">
        <v>3009</v>
      </c>
      <c r="G382" s="98" t="str">
        <f>HYPERLINK("http://mirror.ff7data.com.ar/ff7/data/battle/battle.lgp/azbw.png","View Picture")</f>
        <v>View Picture</v>
      </c>
      <c r="H382" s="75"/>
      <c r="I382" s="74"/>
      <c r="J382" s="74"/>
      <c r="K382" s="74"/>
    </row>
    <row r="383">
      <c r="A383" s="21"/>
      <c r="B383" s="119" t="s">
        <v>7020</v>
      </c>
      <c r="C383" s="120" t="s">
        <v>4565</v>
      </c>
      <c r="D383" s="33" t="s">
        <v>7009</v>
      </c>
      <c r="E383" s="51" t="s">
        <v>138</v>
      </c>
      <c r="F383" s="121" t="s">
        <v>3009</v>
      </c>
      <c r="G383" s="98" t="str">
        <f>HYPERLINK("http://mirror.ff7data.com.ar/ff7/data/battle/battle.lgp/azbx.png","View Picture")</f>
        <v>View Picture</v>
      </c>
      <c r="H383" s="75"/>
      <c r="I383" s="74"/>
      <c r="J383" s="74"/>
      <c r="K383" s="74"/>
    </row>
    <row r="384">
      <c r="A384" s="21"/>
      <c r="B384" s="119" t="s">
        <v>7028</v>
      </c>
      <c r="C384" s="120" t="s">
        <v>4565</v>
      </c>
      <c r="D384" s="33" t="s">
        <v>7009</v>
      </c>
      <c r="E384" s="51" t="s">
        <v>138</v>
      </c>
      <c r="F384" s="121" t="s">
        <v>3009</v>
      </c>
      <c r="G384" s="98" t="str">
        <f>HYPERLINK("http://mirror.ff7data.com.ar/ff7/data/battle/battle.lgp/azby.png","View Picture")</f>
        <v>View Picture</v>
      </c>
      <c r="H384" s="75"/>
      <c r="I384" s="74"/>
      <c r="J384" s="74"/>
      <c r="K384" s="74"/>
    </row>
    <row r="385">
      <c r="A385" s="21"/>
      <c r="B385" s="119" t="s">
        <v>7035</v>
      </c>
      <c r="C385" s="120" t="s">
        <v>4719</v>
      </c>
      <c r="D385" s="33" t="s">
        <v>7037</v>
      </c>
      <c r="E385" s="51" t="s">
        <v>138</v>
      </c>
      <c r="F385" s="121" t="s">
        <v>3009</v>
      </c>
      <c r="G385" s="98" t="str">
        <f>HYPERLINK("http://mirror.ff7data.com.ar/ff7/data/battle/battle.lgp/azbz.png","View Picture")</f>
        <v>View Picture</v>
      </c>
      <c r="H385" s="75"/>
      <c r="I385" s="74"/>
      <c r="J385" s="74"/>
      <c r="K385" s="74"/>
    </row>
    <row r="386">
      <c r="A386" s="21"/>
      <c r="B386" s="119" t="s">
        <v>7041</v>
      </c>
      <c r="C386" s="120" t="s">
        <v>4264</v>
      </c>
      <c r="D386" s="33" t="s">
        <v>7042</v>
      </c>
      <c r="E386" s="51" t="s">
        <v>138</v>
      </c>
      <c r="F386" s="121" t="s">
        <v>3009</v>
      </c>
      <c r="G386" s="98" t="str">
        <f>HYPERLINK("http://mirror.ff7data.com.ar/ff7/data/battle/battle.lgp/azcb.png","View Picture")</f>
        <v>View Picture</v>
      </c>
      <c r="H386" s="75"/>
      <c r="I386" s="74"/>
      <c r="J386" s="74"/>
      <c r="K386" s="74"/>
    </row>
    <row r="387">
      <c r="A387" s="21"/>
      <c r="B387" s="119" t="s">
        <v>7046</v>
      </c>
      <c r="C387" s="120" t="s">
        <v>4476</v>
      </c>
      <c r="D387" s="33" t="s">
        <v>7042</v>
      </c>
      <c r="E387" s="51" t="s">
        <v>138</v>
      </c>
      <c r="F387" s="121" t="s">
        <v>3009</v>
      </c>
      <c r="G387" s="98" t="str">
        <f>HYPERLINK("http://mirror.ff7data.com.ar/ff7/data/battle/battle.lgp/azcc.png","View Picture")</f>
        <v>View Picture</v>
      </c>
      <c r="H387" s="75"/>
      <c r="I387" s="74"/>
      <c r="J387" s="74"/>
      <c r="K387" s="74"/>
    </row>
    <row r="388">
      <c r="A388" s="21"/>
      <c r="B388" s="119" t="s">
        <v>7048</v>
      </c>
      <c r="C388" s="120" t="s">
        <v>4288</v>
      </c>
      <c r="D388" s="33" t="s">
        <v>7050</v>
      </c>
      <c r="E388" s="51" t="s">
        <v>138</v>
      </c>
      <c r="F388" s="121" t="s">
        <v>3009</v>
      </c>
      <c r="G388" s="98" t="str">
        <f>HYPERLINK("http://mirror.ff7data.com.ar/ff7/data/battle/battle.lgp/azcd.png","View Picture")</f>
        <v>View Picture</v>
      </c>
      <c r="H388" s="75"/>
      <c r="I388" s="74"/>
      <c r="J388" s="74"/>
      <c r="K388" s="74"/>
    </row>
    <row r="389">
      <c r="A389" s="21"/>
      <c r="B389" s="119" t="s">
        <v>7052</v>
      </c>
      <c r="C389" s="120" t="s">
        <v>4264</v>
      </c>
      <c r="D389" s="33" t="s">
        <v>7053</v>
      </c>
      <c r="E389" s="51" t="s">
        <v>138</v>
      </c>
      <c r="F389" s="121" t="s">
        <v>3009</v>
      </c>
      <c r="G389" s="98" t="str">
        <f>HYPERLINK("http://mirror.ff7data.com.ar/ff7/data/battle/battle.lgp/azcf.png","View Picture")</f>
        <v>View Picture</v>
      </c>
      <c r="H389" s="75"/>
      <c r="I389" s="74"/>
      <c r="J389" s="74"/>
      <c r="K389" s="74"/>
    </row>
    <row r="390">
      <c r="A390" s="21"/>
      <c r="B390" s="119" t="s">
        <v>7055</v>
      </c>
      <c r="C390" s="120" t="s">
        <v>4476</v>
      </c>
      <c r="D390" s="33" t="s">
        <v>7053</v>
      </c>
      <c r="E390" s="51" t="s">
        <v>138</v>
      </c>
      <c r="F390" s="121" t="s">
        <v>3009</v>
      </c>
      <c r="G390" s="98" t="str">
        <f>HYPERLINK("http://mirror.ff7data.com.ar/ff7/data/battle/battle.lgp/azcg.png","View Picture")</f>
        <v>View Picture</v>
      </c>
      <c r="H390" s="75"/>
      <c r="I390" s="74"/>
      <c r="J390" s="74"/>
      <c r="K390" s="74"/>
    </row>
    <row r="391">
      <c r="A391" s="21"/>
      <c r="B391" s="119" t="s">
        <v>7058</v>
      </c>
      <c r="C391" s="120" t="s">
        <v>4288</v>
      </c>
      <c r="D391" s="33" t="s">
        <v>7059</v>
      </c>
      <c r="E391" s="51" t="s">
        <v>138</v>
      </c>
      <c r="F391" s="121" t="s">
        <v>3009</v>
      </c>
      <c r="G391" s="98" t="str">
        <f>HYPERLINK("http://mirror.ff7data.com.ar/ff7/data/battle/battle.lgp/azch.png","View Picture")</f>
        <v>View Picture</v>
      </c>
      <c r="H391" s="75"/>
      <c r="I391" s="74"/>
      <c r="J391" s="74"/>
      <c r="K391" s="74"/>
    </row>
    <row r="392">
      <c r="A392" s="21"/>
      <c r="B392" s="119" t="s">
        <v>7061</v>
      </c>
      <c r="C392" s="120" t="s">
        <v>7062</v>
      </c>
      <c r="D392" s="33" t="s">
        <v>6803</v>
      </c>
      <c r="E392" s="51" t="s">
        <v>138</v>
      </c>
      <c r="F392" s="121" t="s">
        <v>3025</v>
      </c>
      <c r="G392" s="122"/>
      <c r="H392" s="46" t="s">
        <v>3002</v>
      </c>
      <c r="I392" s="74"/>
      <c r="J392" s="74"/>
      <c r="K392" s="74"/>
    </row>
    <row r="393">
      <c r="A393" s="84"/>
      <c r="B393" s="119" t="s">
        <v>7066</v>
      </c>
      <c r="C393" s="120" t="s">
        <v>4096</v>
      </c>
      <c r="D393" s="33" t="s">
        <v>7067</v>
      </c>
      <c r="E393" s="51" t="s">
        <v>143</v>
      </c>
      <c r="F393" s="121" t="s">
        <v>2971</v>
      </c>
      <c r="G393" s="98" t="str">
        <f>HYPERLINK("http://mirror.ff7data.com.ar/ff7/data/battle/battle.lgp/baaa.png","View Picture")</f>
        <v>View Picture</v>
      </c>
      <c r="H393" s="75"/>
      <c r="I393" s="74"/>
      <c r="J393" s="74"/>
      <c r="K393" s="74"/>
    </row>
    <row r="394">
      <c r="A394" s="84"/>
      <c r="B394" s="119" t="s">
        <v>7069</v>
      </c>
      <c r="C394" s="120" t="s">
        <v>4209</v>
      </c>
      <c r="D394" s="33" t="s">
        <v>7070</v>
      </c>
      <c r="E394" s="51" t="s">
        <v>143</v>
      </c>
      <c r="F394" s="121" t="s">
        <v>2993</v>
      </c>
      <c r="G394" s="122"/>
      <c r="H394" s="46" t="s">
        <v>3002</v>
      </c>
      <c r="I394" s="74"/>
      <c r="J394" s="74"/>
      <c r="K394" s="74"/>
    </row>
    <row r="395">
      <c r="A395" s="84"/>
      <c r="B395" s="119" t="s">
        <v>7072</v>
      </c>
      <c r="C395" s="120" t="s">
        <v>3343</v>
      </c>
      <c r="D395" s="33" t="s">
        <v>7074</v>
      </c>
      <c r="E395" s="51" t="s">
        <v>143</v>
      </c>
      <c r="F395" s="121" t="s">
        <v>3009</v>
      </c>
      <c r="G395" s="98" t="str">
        <f>HYPERLINK("http://mirror.ff7data.com.ar/ff7/data/battle/battle.lgp/baan.png","View Picture")</f>
        <v>View Picture</v>
      </c>
      <c r="H395" s="75"/>
      <c r="I395" s="74"/>
      <c r="J395" s="74"/>
      <c r="K395" s="74"/>
    </row>
    <row r="396">
      <c r="A396" s="84"/>
      <c r="B396" s="119" t="s">
        <v>7077</v>
      </c>
      <c r="C396" s="120" t="s">
        <v>3481</v>
      </c>
      <c r="D396" s="33" t="s">
        <v>7078</v>
      </c>
      <c r="E396" s="51" t="s">
        <v>143</v>
      </c>
      <c r="F396" s="121" t="s">
        <v>3009</v>
      </c>
      <c r="G396" s="98" t="str">
        <f>HYPERLINK("http://mirror.ff7data.com.ar/ff7/data/battle/battle.lgp/baao.png","View Picture")</f>
        <v>View Picture</v>
      </c>
      <c r="H396" s="75"/>
      <c r="I396" s="74"/>
      <c r="J396" s="74"/>
      <c r="K396" s="74"/>
    </row>
    <row r="397">
      <c r="A397" s="84"/>
      <c r="B397" s="119" t="s">
        <v>7080</v>
      </c>
      <c r="C397" s="120" t="s">
        <v>7081</v>
      </c>
      <c r="D397" s="33" t="s">
        <v>7082</v>
      </c>
      <c r="E397" s="51" t="s">
        <v>143</v>
      </c>
      <c r="F397" s="121" t="s">
        <v>3009</v>
      </c>
      <c r="G397" s="98" t="str">
        <f>HYPERLINK("http://mirror.ff7data.com.ar/ff7/data/battle/battle.lgp/baap.png","View Picture")</f>
        <v>View Picture</v>
      </c>
      <c r="H397" s="75"/>
      <c r="I397" s="74"/>
      <c r="J397" s="74"/>
      <c r="K397" s="74"/>
    </row>
    <row r="398">
      <c r="A398" s="84"/>
      <c r="B398" s="119" t="s">
        <v>7085</v>
      </c>
      <c r="C398" s="120" t="s">
        <v>4217</v>
      </c>
      <c r="D398" s="33" t="s">
        <v>7086</v>
      </c>
      <c r="E398" s="51" t="s">
        <v>143</v>
      </c>
      <c r="F398" s="121" t="s">
        <v>3009</v>
      </c>
      <c r="G398" s="98" t="str">
        <f>HYPERLINK("http://mirror.ff7data.com.ar/ff7/data/battle/battle.lgp/baaq.png","View Picture")</f>
        <v>View Picture</v>
      </c>
      <c r="H398" s="75"/>
      <c r="I398" s="74"/>
      <c r="J398" s="74"/>
      <c r="K398" s="74"/>
    </row>
    <row r="399">
      <c r="A399" s="84"/>
      <c r="B399" s="119" t="s">
        <v>7088</v>
      </c>
      <c r="C399" s="120" t="s">
        <v>5891</v>
      </c>
      <c r="D399" s="33" t="s">
        <v>7086</v>
      </c>
      <c r="E399" s="51" t="s">
        <v>143</v>
      </c>
      <c r="F399" s="121" t="s">
        <v>3009</v>
      </c>
      <c r="G399" s="98" t="str">
        <f>HYPERLINK("http://mirror.ff7data.com.ar/ff7/data/battle/battle.lgp/baar.png","View Picture")</f>
        <v>View Picture</v>
      </c>
      <c r="H399" s="75"/>
      <c r="I399" s="74"/>
      <c r="J399" s="74"/>
      <c r="K399" s="74"/>
    </row>
    <row r="400">
      <c r="A400" s="84"/>
      <c r="B400" s="119" t="s">
        <v>7091</v>
      </c>
      <c r="C400" s="120" t="s">
        <v>4719</v>
      </c>
      <c r="D400" s="33" t="s">
        <v>7086</v>
      </c>
      <c r="E400" s="51" t="s">
        <v>143</v>
      </c>
      <c r="F400" s="121" t="s">
        <v>3009</v>
      </c>
      <c r="G400" s="98" t="str">
        <f>HYPERLINK("http://mirror.ff7data.com.ar/ff7/data/battle/battle.lgp/baas.png","View Picture")</f>
        <v>View Picture</v>
      </c>
      <c r="H400" s="75"/>
      <c r="I400" s="74"/>
      <c r="J400" s="74"/>
      <c r="K400" s="74"/>
    </row>
    <row r="401">
      <c r="A401" s="84"/>
      <c r="B401" s="119" t="s">
        <v>7093</v>
      </c>
      <c r="C401" s="120" t="s">
        <v>4217</v>
      </c>
      <c r="D401" s="33" t="s">
        <v>7086</v>
      </c>
      <c r="E401" s="51" t="s">
        <v>143</v>
      </c>
      <c r="F401" s="121" t="s">
        <v>3009</v>
      </c>
      <c r="G401" s="98" t="str">
        <f>HYPERLINK("http://mirror.ff7data.com.ar/ff7/data/battle/battle.lgp/baat.png","View Picture")</f>
        <v>View Picture</v>
      </c>
      <c r="H401" s="75"/>
      <c r="I401" s="74"/>
      <c r="J401" s="74"/>
      <c r="K401" s="74"/>
    </row>
    <row r="402">
      <c r="A402" s="84"/>
      <c r="B402" s="119" t="s">
        <v>7097</v>
      </c>
      <c r="C402" s="120" t="s">
        <v>4476</v>
      </c>
      <c r="D402" s="33" t="s">
        <v>7070</v>
      </c>
      <c r="E402" s="51" t="s">
        <v>143</v>
      </c>
      <c r="F402" s="121" t="s">
        <v>3025</v>
      </c>
      <c r="G402" s="122"/>
      <c r="H402" s="46" t="s">
        <v>3002</v>
      </c>
      <c r="I402" s="74"/>
      <c r="J402" s="74"/>
      <c r="K402" s="74"/>
    </row>
    <row r="403">
      <c r="A403" s="21"/>
      <c r="B403" s="119" t="s">
        <v>7098</v>
      </c>
      <c r="C403" s="120" t="s">
        <v>4096</v>
      </c>
      <c r="D403" s="33" t="s">
        <v>7099</v>
      </c>
      <c r="E403" s="51" t="s">
        <v>179</v>
      </c>
      <c r="F403" s="121" t="s">
        <v>2971</v>
      </c>
      <c r="G403" s="98" t="str">
        <f>HYPERLINK("http://mirror.ff7data.com.ar/ff7/data/battle/battle.lgp/bbaa.png","View Picture")</f>
        <v>View Picture</v>
      </c>
      <c r="H403" s="75"/>
      <c r="I403" s="74"/>
      <c r="J403" s="74"/>
      <c r="K403" s="74"/>
    </row>
    <row r="404">
      <c r="A404" s="21"/>
      <c r="B404" s="119" t="s">
        <v>7102</v>
      </c>
      <c r="C404" s="120" t="s">
        <v>3906</v>
      </c>
      <c r="D404" s="33" t="s">
        <v>7103</v>
      </c>
      <c r="E404" s="51" t="s">
        <v>179</v>
      </c>
      <c r="F404" s="121" t="s">
        <v>2993</v>
      </c>
      <c r="G404" s="122"/>
      <c r="H404" s="46" t="s">
        <v>3002</v>
      </c>
      <c r="I404" s="74"/>
      <c r="J404" s="74"/>
      <c r="K404" s="74"/>
    </row>
    <row r="405">
      <c r="A405" s="21"/>
      <c r="B405" s="119" t="s">
        <v>7104</v>
      </c>
      <c r="C405" s="120" t="s">
        <v>3768</v>
      </c>
      <c r="D405" s="33" t="s">
        <v>7103</v>
      </c>
      <c r="E405" s="51" t="s">
        <v>179</v>
      </c>
      <c r="F405" s="121" t="s">
        <v>3009</v>
      </c>
      <c r="G405" s="98" t="str">
        <f>HYPERLINK("http://mirror.ff7data.com.ar/ff7/data/battle/battle.lgp/bbam.png","View Picture")</f>
        <v>View Picture</v>
      </c>
      <c r="H405" s="75"/>
      <c r="I405" s="74"/>
      <c r="J405" s="74"/>
      <c r="K405" s="74"/>
    </row>
    <row r="406">
      <c r="A406" s="21"/>
      <c r="B406" s="119" t="s">
        <v>7106</v>
      </c>
      <c r="C406" s="120" t="s">
        <v>5203</v>
      </c>
      <c r="D406" s="33" t="s">
        <v>7103</v>
      </c>
      <c r="E406" s="51" t="s">
        <v>179</v>
      </c>
      <c r="F406" s="121" t="s">
        <v>3009</v>
      </c>
      <c r="G406" s="98" t="str">
        <f>HYPERLINK("http://mirror.ff7data.com.ar/ff7/data/battle/battle.lgp/bban.png","View Picture")</f>
        <v>View Picture</v>
      </c>
      <c r="H406" s="75"/>
      <c r="I406" s="74"/>
      <c r="J406" s="74"/>
      <c r="K406" s="74"/>
    </row>
    <row r="407">
      <c r="A407" s="21"/>
      <c r="B407" s="119" t="s">
        <v>7110</v>
      </c>
      <c r="C407" s="120" t="s">
        <v>3842</v>
      </c>
      <c r="D407" s="33" t="s">
        <v>7103</v>
      </c>
      <c r="E407" s="51" t="s">
        <v>179</v>
      </c>
      <c r="F407" s="121" t="s">
        <v>3009</v>
      </c>
      <c r="G407" s="98" t="str">
        <f>HYPERLINK("http://mirror.ff7data.com.ar/ff7/data/battle/battle.lgp/bbaq.png","View Picture")</f>
        <v>View Picture</v>
      </c>
      <c r="H407" s="75"/>
      <c r="I407" s="74"/>
      <c r="J407" s="74"/>
      <c r="K407" s="74"/>
    </row>
    <row r="408">
      <c r="A408" s="21"/>
      <c r="B408" s="119" t="s">
        <v>7113</v>
      </c>
      <c r="C408" s="120" t="s">
        <v>7115</v>
      </c>
      <c r="D408" s="33" t="s">
        <v>7103</v>
      </c>
      <c r="E408" s="51" t="s">
        <v>179</v>
      </c>
      <c r="F408" s="121" t="s">
        <v>3009</v>
      </c>
      <c r="G408" s="98" t="str">
        <f>HYPERLINK("http://mirror.ff7data.com.ar/ff7/data/battle/battle.lgp/bbar.png","View Picture")</f>
        <v>View Picture</v>
      </c>
      <c r="H408" s="75"/>
      <c r="I408" s="74"/>
      <c r="J408" s="74"/>
      <c r="K408" s="74"/>
    </row>
    <row r="409">
      <c r="A409" s="21"/>
      <c r="B409" s="119" t="s">
        <v>7119</v>
      </c>
      <c r="C409" s="120" t="s">
        <v>3842</v>
      </c>
      <c r="D409" s="33" t="s">
        <v>7103</v>
      </c>
      <c r="E409" s="51" t="s">
        <v>179</v>
      </c>
      <c r="F409" s="121" t="s">
        <v>3009</v>
      </c>
      <c r="G409" s="98" t="str">
        <f>HYPERLINK("http://mirror.ff7data.com.ar/ff7/data/battle/battle.lgp/bbat.png","View Picture")</f>
        <v>View Picture</v>
      </c>
      <c r="H409" s="75"/>
      <c r="I409" s="74"/>
      <c r="J409" s="74"/>
      <c r="K409" s="74"/>
    </row>
    <row r="410">
      <c r="A410" s="21"/>
      <c r="B410" s="119" t="s">
        <v>7121</v>
      </c>
      <c r="C410" s="120" t="s">
        <v>5419</v>
      </c>
      <c r="D410" s="33" t="s">
        <v>7103</v>
      </c>
      <c r="E410" s="51" t="s">
        <v>179</v>
      </c>
      <c r="F410" s="121" t="s">
        <v>3025</v>
      </c>
      <c r="G410" s="122"/>
      <c r="H410" s="46" t="s">
        <v>3002</v>
      </c>
      <c r="I410" s="74"/>
      <c r="J410" s="74"/>
      <c r="K410" s="74"/>
    </row>
    <row r="411">
      <c r="A411" s="21"/>
      <c r="B411" s="119" t="s">
        <v>7122</v>
      </c>
      <c r="C411" s="120" t="s">
        <v>3980</v>
      </c>
      <c r="D411" s="33" t="s">
        <v>7123</v>
      </c>
      <c r="E411" s="51" t="s">
        <v>182</v>
      </c>
      <c r="F411" s="121" t="s">
        <v>2971</v>
      </c>
      <c r="G411" s="98" t="str">
        <f>HYPERLINK("http://mirror.ff7data.com.ar/ff7/data/battle/battle.lgp/bcaa.png","View Picture")</f>
        <v>View Picture</v>
      </c>
      <c r="H411" s="75"/>
      <c r="I411" s="74"/>
      <c r="J411" s="74"/>
      <c r="K411" s="74"/>
    </row>
    <row r="412">
      <c r="A412" s="21"/>
      <c r="B412" s="119" t="s">
        <v>7125</v>
      </c>
      <c r="C412" s="120" t="s">
        <v>5222</v>
      </c>
      <c r="D412" s="33" t="s">
        <v>7126</v>
      </c>
      <c r="E412" s="51" t="s">
        <v>182</v>
      </c>
      <c r="F412" s="121" t="s">
        <v>2993</v>
      </c>
      <c r="G412" s="122"/>
      <c r="H412" s="46" t="s">
        <v>3002</v>
      </c>
      <c r="I412" s="74"/>
      <c r="J412" s="74"/>
      <c r="K412" s="74"/>
    </row>
    <row r="413">
      <c r="A413" s="21"/>
      <c r="B413" s="119" t="s">
        <v>7128</v>
      </c>
      <c r="C413" s="120" t="s">
        <v>7129</v>
      </c>
      <c r="D413" s="33" t="s">
        <v>7126</v>
      </c>
      <c r="E413" s="51" t="s">
        <v>182</v>
      </c>
      <c r="F413" s="121" t="s">
        <v>3009</v>
      </c>
      <c r="G413" s="98" t="str">
        <f>HYPERLINK("http://mirror.ff7data.com.ar/ff7/data/battle/battle.lgp/bcan.png","View Picture")</f>
        <v>View Picture</v>
      </c>
      <c r="H413" s="75"/>
      <c r="I413" s="74"/>
      <c r="J413" s="74"/>
      <c r="K413" s="74"/>
    </row>
    <row r="414">
      <c r="A414" s="21"/>
      <c r="B414" s="119" t="s">
        <v>7132</v>
      </c>
      <c r="C414" s="120" t="s">
        <v>3318</v>
      </c>
      <c r="D414" s="33" t="s">
        <v>7126</v>
      </c>
      <c r="E414" s="51" t="s">
        <v>182</v>
      </c>
      <c r="F414" s="121" t="s">
        <v>3009</v>
      </c>
      <c r="G414" s="98" t="str">
        <f>HYPERLINK("http://mirror.ff7data.com.ar/ff7/data/battle/battle.lgp/bcao.png","View Picture")</f>
        <v>View Picture</v>
      </c>
      <c r="H414" s="75"/>
      <c r="I414" s="74"/>
      <c r="J414" s="74"/>
      <c r="K414" s="74"/>
    </row>
    <row r="415">
      <c r="A415" s="21"/>
      <c r="B415" s="119" t="s">
        <v>7137</v>
      </c>
      <c r="C415" s="120" t="s">
        <v>4476</v>
      </c>
      <c r="D415" s="33" t="s">
        <v>7126</v>
      </c>
      <c r="E415" s="51" t="s">
        <v>182</v>
      </c>
      <c r="F415" s="121" t="s">
        <v>3009</v>
      </c>
      <c r="G415" s="98" t="str">
        <f>HYPERLINK("http://mirror.ff7data.com.ar/ff7/data/battle/battle.lgp/bcar.png","View Picture")</f>
        <v>View Picture</v>
      </c>
      <c r="H415" s="75"/>
      <c r="I415" s="74"/>
      <c r="J415" s="74"/>
      <c r="K415" s="74"/>
    </row>
    <row r="416">
      <c r="A416" s="21"/>
      <c r="B416" s="119" t="s">
        <v>7147</v>
      </c>
      <c r="C416" s="120" t="s">
        <v>7148</v>
      </c>
      <c r="D416" s="33" t="s">
        <v>7126</v>
      </c>
      <c r="E416" s="51" t="s">
        <v>182</v>
      </c>
      <c r="F416" s="121" t="s">
        <v>3009</v>
      </c>
      <c r="G416" s="98" t="str">
        <f>HYPERLINK("http://mirror.ff7data.com.ar/ff7/data/battle/battle.lgp/bcas.png","View Picture")</f>
        <v>View Picture</v>
      </c>
      <c r="H416" s="75"/>
      <c r="I416" s="74"/>
      <c r="J416" s="74"/>
      <c r="K416" s="74"/>
    </row>
    <row r="417">
      <c r="A417" s="21"/>
      <c r="B417" s="119" t="s">
        <v>7151</v>
      </c>
      <c r="C417" s="120" t="s">
        <v>5891</v>
      </c>
      <c r="D417" s="33" t="s">
        <v>7126</v>
      </c>
      <c r="E417" s="51" t="s">
        <v>182</v>
      </c>
      <c r="F417" s="121" t="s">
        <v>3009</v>
      </c>
      <c r="G417" s="98" t="str">
        <f>HYPERLINK("http://mirror.ff7data.com.ar/ff7/data/battle/battle.lgp/bcat.png","View Picture")</f>
        <v>View Picture</v>
      </c>
      <c r="H417" s="75"/>
      <c r="I417" s="74"/>
      <c r="J417" s="74"/>
      <c r="K417" s="74"/>
    </row>
    <row r="418">
      <c r="A418" s="21"/>
      <c r="B418" s="119" t="s">
        <v>7156</v>
      </c>
      <c r="C418" s="120" t="s">
        <v>4476</v>
      </c>
      <c r="D418" s="33" t="s">
        <v>7126</v>
      </c>
      <c r="E418" s="51" t="s">
        <v>182</v>
      </c>
      <c r="F418" s="121" t="s">
        <v>3009</v>
      </c>
      <c r="G418" s="98" t="str">
        <f>HYPERLINK("http://mirror.ff7data.com.ar/ff7/data/battle/battle.lgp/bcaw.png","View Picture")</f>
        <v>View Picture</v>
      </c>
      <c r="H418" s="75"/>
      <c r="I418" s="74"/>
      <c r="J418" s="74"/>
      <c r="K418" s="74"/>
    </row>
    <row r="419">
      <c r="A419" s="21"/>
      <c r="B419" s="119" t="s">
        <v>7159</v>
      </c>
      <c r="C419" s="120" t="s">
        <v>7148</v>
      </c>
      <c r="D419" s="33" t="s">
        <v>7126</v>
      </c>
      <c r="E419" s="51" t="s">
        <v>182</v>
      </c>
      <c r="F419" s="121" t="s">
        <v>3009</v>
      </c>
      <c r="G419" s="98" t="str">
        <f>HYPERLINK("http://mirror.ff7data.com.ar/ff7/data/battle/battle.lgp/bcax.png","View Picture")</f>
        <v>View Picture</v>
      </c>
      <c r="H419" s="75"/>
      <c r="I419" s="74"/>
      <c r="J419" s="74"/>
      <c r="K419" s="74"/>
    </row>
    <row r="420">
      <c r="A420" s="21"/>
      <c r="B420" s="119" t="s">
        <v>7164</v>
      </c>
      <c r="C420" s="120" t="s">
        <v>7165</v>
      </c>
      <c r="D420" s="33" t="s">
        <v>7126</v>
      </c>
      <c r="E420" s="51" t="s">
        <v>182</v>
      </c>
      <c r="F420" s="121" t="s">
        <v>3009</v>
      </c>
      <c r="G420" s="98" t="str">
        <f>HYPERLINK("http://mirror.ff7data.com.ar/ff7/data/battle/battle.lgp/bcay.png","View Picture")</f>
        <v>View Picture</v>
      </c>
      <c r="H420" s="75"/>
      <c r="I420" s="74"/>
      <c r="J420" s="74"/>
      <c r="K420" s="74"/>
    </row>
    <row r="421">
      <c r="A421" s="21"/>
      <c r="B421" s="119" t="s">
        <v>7171</v>
      </c>
      <c r="C421" s="120" t="s">
        <v>4288</v>
      </c>
      <c r="D421" s="33" t="s">
        <v>7126</v>
      </c>
      <c r="E421" s="51" t="s">
        <v>182</v>
      </c>
      <c r="F421" s="121" t="s">
        <v>3009</v>
      </c>
      <c r="G421" s="98" t="str">
        <f>HYPERLINK("http://mirror.ff7data.com.ar/ff7/data/battle/battle.lgp/bcba.png","View Picture")</f>
        <v>View Picture</v>
      </c>
      <c r="H421" s="75"/>
      <c r="I421" s="74"/>
      <c r="J421" s="74"/>
      <c r="K421" s="74"/>
    </row>
    <row r="422">
      <c r="A422" s="21"/>
      <c r="B422" s="119" t="s">
        <v>7179</v>
      </c>
      <c r="C422" s="120" t="s">
        <v>4883</v>
      </c>
      <c r="D422" s="33" t="s">
        <v>7126</v>
      </c>
      <c r="E422" s="51" t="s">
        <v>182</v>
      </c>
      <c r="F422" s="121" t="s">
        <v>3009</v>
      </c>
      <c r="G422" s="98" t="str">
        <f>HYPERLINK("http://mirror.ff7data.com.ar/ff7/data/battle/battle.lgp/bcbb.png","View Picture")</f>
        <v>View Picture</v>
      </c>
      <c r="H422" s="75"/>
      <c r="I422" s="74"/>
      <c r="J422" s="74"/>
      <c r="K422" s="74"/>
    </row>
    <row r="423">
      <c r="A423" s="21"/>
      <c r="B423" s="119" t="s">
        <v>7189</v>
      </c>
      <c r="C423" s="120" t="s">
        <v>4476</v>
      </c>
      <c r="D423" s="33" t="s">
        <v>7126</v>
      </c>
      <c r="E423" s="51" t="s">
        <v>182</v>
      </c>
      <c r="F423" s="121" t="s">
        <v>3009</v>
      </c>
      <c r="G423" s="98" t="str">
        <f>HYPERLINK("http://mirror.ff7data.com.ar/ff7/data/battle/battle.lgp/bcbc.png","View Picture")</f>
        <v>View Picture</v>
      </c>
      <c r="H423" s="75"/>
      <c r="I423" s="74"/>
      <c r="J423" s="74"/>
      <c r="K423" s="74"/>
    </row>
    <row r="424">
      <c r="A424" s="21"/>
      <c r="B424" s="119" t="s">
        <v>7192</v>
      </c>
      <c r="C424" s="120" t="s">
        <v>7165</v>
      </c>
      <c r="D424" s="33" t="s">
        <v>7126</v>
      </c>
      <c r="E424" s="51" t="s">
        <v>182</v>
      </c>
      <c r="F424" s="121" t="s">
        <v>3009</v>
      </c>
      <c r="G424" s="98" t="str">
        <f>HYPERLINK("http://mirror.ff7data.com.ar/ff7/data/battle/battle.lgp/bcbd.png","View Picture")</f>
        <v>View Picture</v>
      </c>
      <c r="H424" s="75"/>
      <c r="I424" s="74"/>
      <c r="J424" s="74"/>
      <c r="K424" s="74"/>
    </row>
    <row r="425">
      <c r="A425" s="21"/>
      <c r="B425" s="119" t="s">
        <v>7201</v>
      </c>
      <c r="C425" s="120" t="s">
        <v>4288</v>
      </c>
      <c r="D425" s="33" t="s">
        <v>7126</v>
      </c>
      <c r="E425" s="51" t="s">
        <v>182</v>
      </c>
      <c r="F425" s="121" t="s">
        <v>3009</v>
      </c>
      <c r="G425" s="98" t="str">
        <f>HYPERLINK("http://mirror.ff7data.com.ar/ff7/data/battle/battle.lgp/bcbf.png","View Picture")</f>
        <v>View Picture</v>
      </c>
      <c r="H425" s="75"/>
      <c r="I425" s="74"/>
      <c r="J425" s="74"/>
      <c r="K425" s="74"/>
    </row>
    <row r="426">
      <c r="A426" s="21"/>
      <c r="B426" s="119" t="s">
        <v>7211</v>
      </c>
      <c r="C426" s="120" t="s">
        <v>4883</v>
      </c>
      <c r="D426" s="33" t="s">
        <v>7126</v>
      </c>
      <c r="E426" s="51" t="s">
        <v>182</v>
      </c>
      <c r="F426" s="121" t="s">
        <v>3009</v>
      </c>
      <c r="G426" s="98" t="str">
        <f>HYPERLINK("http://mirror.ff7data.com.ar/ff7/data/battle/battle.lgp/bcbg.png","View Picture")</f>
        <v>View Picture</v>
      </c>
      <c r="H426" s="75"/>
      <c r="I426" s="74"/>
      <c r="J426" s="74"/>
      <c r="K426" s="74"/>
    </row>
    <row r="427">
      <c r="A427" s="21"/>
      <c r="B427" s="119" t="s">
        <v>7220</v>
      </c>
      <c r="C427" s="120" t="s">
        <v>4439</v>
      </c>
      <c r="D427" s="33" t="s">
        <v>7126</v>
      </c>
      <c r="E427" s="51" t="s">
        <v>182</v>
      </c>
      <c r="F427" s="121" t="s">
        <v>3009</v>
      </c>
      <c r="G427" s="98" t="str">
        <f>HYPERLINK("http://mirror.ff7data.com.ar/ff7/data/battle/battle.lgp/bcbh.png","View Picture")</f>
        <v>View Picture</v>
      </c>
      <c r="H427" s="75"/>
      <c r="I427" s="74"/>
      <c r="J427" s="74"/>
      <c r="K427" s="74"/>
    </row>
    <row r="428">
      <c r="A428" s="21"/>
      <c r="B428" s="119" t="s">
        <v>7229</v>
      </c>
      <c r="C428" s="120" t="s">
        <v>3842</v>
      </c>
      <c r="D428" s="33" t="s">
        <v>7126</v>
      </c>
      <c r="E428" s="51" t="s">
        <v>182</v>
      </c>
      <c r="F428" s="121" t="s">
        <v>3009</v>
      </c>
      <c r="G428" s="98" t="str">
        <f>HYPERLINK("http://mirror.ff7data.com.ar/ff7/data/battle/battle.lgp/bcbi.png","View Picture")</f>
        <v>View Picture</v>
      </c>
      <c r="H428" s="75"/>
      <c r="I428" s="74"/>
      <c r="J428" s="74"/>
      <c r="K428" s="74"/>
    </row>
    <row r="429">
      <c r="A429" s="21"/>
      <c r="B429" s="119" t="s">
        <v>7238</v>
      </c>
      <c r="C429" s="120" t="s">
        <v>5203</v>
      </c>
      <c r="D429" s="33" t="s">
        <v>7126</v>
      </c>
      <c r="E429" s="51" t="s">
        <v>182</v>
      </c>
      <c r="F429" s="121" t="s">
        <v>3025</v>
      </c>
      <c r="G429" s="122"/>
      <c r="H429" s="46" t="s">
        <v>3002</v>
      </c>
      <c r="I429" s="74"/>
      <c r="J429" s="74"/>
      <c r="K429" s="74"/>
    </row>
    <row r="430">
      <c r="A430" s="21"/>
      <c r="B430" s="119" t="s">
        <v>7241</v>
      </c>
      <c r="C430" s="120" t="s">
        <v>6611</v>
      </c>
      <c r="D430" s="33" t="s">
        <v>7243</v>
      </c>
      <c r="E430" s="51" t="s">
        <v>185</v>
      </c>
      <c r="F430" s="121" t="s">
        <v>2971</v>
      </c>
      <c r="G430" s="98" t="str">
        <f>HYPERLINK("http://mirror.ff7data.com.ar/ff7/data/battle/battle.lgp/bdaa.png","View Picture")</f>
        <v>View Picture</v>
      </c>
      <c r="H430" s="75"/>
      <c r="I430" s="74"/>
      <c r="J430" s="74"/>
      <c r="K430" s="74"/>
    </row>
    <row r="431">
      <c r="A431" s="21"/>
      <c r="B431" s="119" t="s">
        <v>7252</v>
      </c>
      <c r="C431" s="120" t="s">
        <v>5222</v>
      </c>
      <c r="D431" s="33" t="s">
        <v>7254</v>
      </c>
      <c r="E431" s="51" t="s">
        <v>185</v>
      </c>
      <c r="F431" s="121" t="s">
        <v>2993</v>
      </c>
      <c r="G431" s="122"/>
      <c r="H431" s="46" t="s">
        <v>3002</v>
      </c>
      <c r="I431" s="74"/>
      <c r="J431" s="74"/>
      <c r="K431" s="74"/>
    </row>
    <row r="432">
      <c r="A432" s="21"/>
      <c r="B432" s="119" t="s">
        <v>7257</v>
      </c>
      <c r="C432" s="120" t="s">
        <v>7258</v>
      </c>
      <c r="D432" s="33" t="s">
        <v>7254</v>
      </c>
      <c r="E432" s="51" t="s">
        <v>185</v>
      </c>
      <c r="F432" s="121" t="s">
        <v>3009</v>
      </c>
      <c r="G432" s="98" t="str">
        <f>HYPERLINK("http://mirror.ff7data.com.ar/ff7/data/battle/battle.lgp/bdam.png","View Picture")</f>
        <v>View Picture</v>
      </c>
      <c r="H432" s="75"/>
      <c r="I432" s="74"/>
      <c r="J432" s="74"/>
      <c r="K432" s="74"/>
    </row>
    <row r="433">
      <c r="A433" s="21"/>
      <c r="B433" s="119" t="s">
        <v>7268</v>
      </c>
      <c r="C433" s="120" t="s">
        <v>7270</v>
      </c>
      <c r="D433" s="33" t="s">
        <v>7254</v>
      </c>
      <c r="E433" s="51" t="s">
        <v>185</v>
      </c>
      <c r="F433" s="121" t="s">
        <v>3009</v>
      </c>
      <c r="G433" s="98" t="str">
        <f>HYPERLINK("http://mirror.ff7data.com.ar/ff7/data/battle/battle.lgp/bdan.png","View Picture")</f>
        <v>View Picture</v>
      </c>
      <c r="H433" s="75"/>
      <c r="I433" s="74"/>
      <c r="J433" s="74"/>
      <c r="K433" s="74"/>
    </row>
    <row r="434">
      <c r="A434" s="21"/>
      <c r="B434" s="119" t="s">
        <v>7278</v>
      </c>
      <c r="C434" s="120" t="s">
        <v>3465</v>
      </c>
      <c r="D434" s="33" t="s">
        <v>7254</v>
      </c>
      <c r="E434" s="51" t="s">
        <v>185</v>
      </c>
      <c r="F434" s="121" t="s">
        <v>3009</v>
      </c>
      <c r="G434" s="98" t="str">
        <f>HYPERLINK("http://mirror.ff7data.com.ar/ff7/data/battle/battle.lgp/bdao.png","View Picture")</f>
        <v>View Picture</v>
      </c>
      <c r="H434" s="75"/>
      <c r="I434" s="74"/>
      <c r="J434" s="74"/>
      <c r="K434" s="74"/>
    </row>
    <row r="435">
      <c r="A435" s="21"/>
      <c r="B435" s="119" t="s">
        <v>7290</v>
      </c>
      <c r="C435" s="120" t="s">
        <v>4439</v>
      </c>
      <c r="D435" s="33" t="s">
        <v>7254</v>
      </c>
      <c r="E435" s="51" t="s">
        <v>185</v>
      </c>
      <c r="F435" s="121" t="s">
        <v>3009</v>
      </c>
      <c r="G435" s="98" t="str">
        <f>HYPERLINK("http://mirror.ff7data.com.ar/ff7/data/battle/battle.lgp/bdas.png","View Picture")</f>
        <v>View Picture</v>
      </c>
      <c r="H435" s="75"/>
      <c r="I435" s="74"/>
      <c r="J435" s="74"/>
      <c r="K435" s="74"/>
    </row>
    <row r="436">
      <c r="A436" s="21"/>
      <c r="B436" s="119" t="s">
        <v>7299</v>
      </c>
      <c r="C436" s="120" t="s">
        <v>7301</v>
      </c>
      <c r="D436" s="33" t="s">
        <v>7254</v>
      </c>
      <c r="E436" s="51" t="s">
        <v>185</v>
      </c>
      <c r="F436" s="121" t="s">
        <v>3009</v>
      </c>
      <c r="G436" s="98" t="str">
        <f>HYPERLINK("http://mirror.ff7data.com.ar/ff7/data/battle/battle.lgp/bdat.png","View Picture")</f>
        <v>View Picture</v>
      </c>
      <c r="H436" s="75"/>
      <c r="I436" s="74"/>
      <c r="J436" s="74"/>
      <c r="K436" s="74"/>
    </row>
    <row r="437">
      <c r="A437" s="21"/>
      <c r="B437" s="119" t="s">
        <v>7311</v>
      </c>
      <c r="C437" s="120" t="s">
        <v>3370</v>
      </c>
      <c r="D437" s="33" t="s">
        <v>7254</v>
      </c>
      <c r="E437" s="51" t="s">
        <v>185</v>
      </c>
      <c r="F437" s="121" t="s">
        <v>3009</v>
      </c>
      <c r="G437" s="98" t="str">
        <f>HYPERLINK("http://mirror.ff7data.com.ar/ff7/data/battle/battle.lgp/bdau.png","View Picture")</f>
        <v>View Picture</v>
      </c>
      <c r="H437" s="75"/>
      <c r="I437" s="74"/>
      <c r="J437" s="74"/>
      <c r="K437" s="74"/>
    </row>
    <row r="438">
      <c r="A438" s="21"/>
      <c r="B438" s="119" t="s">
        <v>7321</v>
      </c>
      <c r="C438" s="120" t="s">
        <v>7322</v>
      </c>
      <c r="D438" s="33" t="s">
        <v>7254</v>
      </c>
      <c r="E438" s="51" t="s">
        <v>185</v>
      </c>
      <c r="F438" s="121" t="s">
        <v>3009</v>
      </c>
      <c r="G438" s="98" t="str">
        <f>HYPERLINK("http://mirror.ff7data.com.ar/ff7/data/battle/battle.lgp/bdaw.png","View Picture")</f>
        <v>View Picture</v>
      </c>
      <c r="H438" s="75"/>
      <c r="I438" s="74"/>
      <c r="J438" s="74"/>
      <c r="K438" s="74"/>
    </row>
    <row r="439">
      <c r="A439" s="21"/>
      <c r="B439" s="119" t="s">
        <v>7331</v>
      </c>
      <c r="C439" s="120" t="s">
        <v>7165</v>
      </c>
      <c r="D439" s="33" t="s">
        <v>7254</v>
      </c>
      <c r="E439" s="51" t="s">
        <v>185</v>
      </c>
      <c r="F439" s="121" t="s">
        <v>3009</v>
      </c>
      <c r="G439" s="98" t="str">
        <f>HYPERLINK("http://mirror.ff7data.com.ar/ff7/data/battle/battle.lgp/bday.png","View Picture")</f>
        <v>View Picture</v>
      </c>
      <c r="H439" s="75"/>
      <c r="I439" s="74"/>
      <c r="J439" s="74"/>
      <c r="K439" s="74"/>
    </row>
    <row r="440">
      <c r="A440" s="21"/>
      <c r="B440" s="119" t="s">
        <v>7338</v>
      </c>
      <c r="C440" s="120" t="s">
        <v>6029</v>
      </c>
      <c r="D440" s="33" t="s">
        <v>7254</v>
      </c>
      <c r="E440" s="51" t="s">
        <v>185</v>
      </c>
      <c r="F440" s="121" t="s">
        <v>3009</v>
      </c>
      <c r="G440" s="98" t="str">
        <f>HYPERLINK("http://mirror.ff7data.com.ar/ff7/data/battle/battle.lgp/bdaz.png","View Picture")</f>
        <v>View Picture</v>
      </c>
      <c r="H440" s="75"/>
      <c r="I440" s="74"/>
      <c r="J440" s="74"/>
      <c r="K440" s="74"/>
    </row>
    <row r="441">
      <c r="A441" s="21"/>
      <c r="B441" s="119" t="s">
        <v>7344</v>
      </c>
      <c r="C441" s="120" t="s">
        <v>4185</v>
      </c>
      <c r="D441" s="33" t="s">
        <v>7254</v>
      </c>
      <c r="E441" s="51" t="s">
        <v>185</v>
      </c>
      <c r="F441" s="121" t="s">
        <v>3009</v>
      </c>
      <c r="G441" s="98" t="str">
        <f>HYPERLINK("http://mirror.ff7data.com.ar/ff7/data/battle/battle.lgp/bdba.png","View Picture")</f>
        <v>View Picture</v>
      </c>
      <c r="H441" s="75"/>
      <c r="I441" s="74"/>
      <c r="J441" s="74"/>
      <c r="K441" s="74"/>
    </row>
    <row r="442">
      <c r="A442" s="21"/>
      <c r="B442" s="119" t="s">
        <v>7346</v>
      </c>
      <c r="C442" s="120" t="s">
        <v>3749</v>
      </c>
      <c r="D442" s="33" t="s">
        <v>7254</v>
      </c>
      <c r="E442" s="51" t="s">
        <v>185</v>
      </c>
      <c r="F442" s="121" t="s">
        <v>3009</v>
      </c>
      <c r="G442" s="98" t="str">
        <f>HYPERLINK("http://mirror.ff7data.com.ar/ff7/data/battle/battle.lgp/bdbc.png","View Picture")</f>
        <v>View Picture</v>
      </c>
      <c r="H442" s="75"/>
      <c r="I442" s="74"/>
      <c r="J442" s="74"/>
      <c r="K442" s="74"/>
    </row>
    <row r="443">
      <c r="A443" s="21"/>
      <c r="B443" s="119" t="s">
        <v>7348</v>
      </c>
      <c r="C443" s="120" t="s">
        <v>4185</v>
      </c>
      <c r="D443" s="33" t="s">
        <v>7254</v>
      </c>
      <c r="E443" s="51" t="s">
        <v>185</v>
      </c>
      <c r="F443" s="121" t="s">
        <v>3009</v>
      </c>
      <c r="G443" s="98" t="str">
        <f>HYPERLINK("http://mirror.ff7data.com.ar/ff7/data/battle/battle.lgp/bdbd.png","View Picture")</f>
        <v>View Picture</v>
      </c>
      <c r="H443" s="75"/>
      <c r="I443" s="74"/>
      <c r="J443" s="74"/>
      <c r="K443" s="74"/>
    </row>
    <row r="444">
      <c r="A444" s="21"/>
      <c r="B444" s="119" t="s">
        <v>7350</v>
      </c>
      <c r="C444" s="120" t="s">
        <v>4732</v>
      </c>
      <c r="D444" s="33" t="s">
        <v>7254</v>
      </c>
      <c r="E444" s="51" t="s">
        <v>185</v>
      </c>
      <c r="F444" s="121" t="s">
        <v>3009</v>
      </c>
      <c r="G444" s="98" t="str">
        <f>HYPERLINK("http://mirror.ff7data.com.ar/ff7/data/battle/battle.lgp/bdbe.png","View Picture")</f>
        <v>View Picture</v>
      </c>
      <c r="H444" s="75"/>
      <c r="I444" s="74"/>
      <c r="J444" s="74"/>
      <c r="K444" s="74"/>
    </row>
    <row r="445">
      <c r="A445" s="21"/>
      <c r="B445" s="119" t="s">
        <v>7358</v>
      </c>
      <c r="C445" s="120" t="s">
        <v>3412</v>
      </c>
      <c r="D445" s="33" t="s">
        <v>7254</v>
      </c>
      <c r="E445" s="51" t="s">
        <v>185</v>
      </c>
      <c r="F445" s="121" t="s">
        <v>3025</v>
      </c>
      <c r="G445" s="122"/>
      <c r="H445" s="46" t="s">
        <v>3002</v>
      </c>
      <c r="I445" s="74"/>
      <c r="J445" s="74"/>
      <c r="K445" s="74"/>
    </row>
    <row r="446">
      <c r="A446" s="21"/>
      <c r="B446" s="119" t="s">
        <v>7362</v>
      </c>
      <c r="C446" s="120" t="s">
        <v>3299</v>
      </c>
      <c r="D446" s="33" t="s">
        <v>7365</v>
      </c>
      <c r="E446" s="51" t="s">
        <v>188</v>
      </c>
      <c r="F446" s="121" t="s">
        <v>2971</v>
      </c>
      <c r="G446" s="98" t="str">
        <f>HYPERLINK("http://mirror.ff7data.com.ar/ff7/data/battle/battle.lgp/beaa.png","View Picture")</f>
        <v>View Picture</v>
      </c>
      <c r="H446" s="46" t="s">
        <v>7372</v>
      </c>
      <c r="I446" s="74"/>
      <c r="J446" s="74"/>
      <c r="K446" s="74"/>
    </row>
    <row r="447">
      <c r="A447" s="21"/>
      <c r="B447" s="119" t="s">
        <v>7373</v>
      </c>
      <c r="C447" s="120" t="s">
        <v>7375</v>
      </c>
      <c r="D447" s="33" t="s">
        <v>7376</v>
      </c>
      <c r="E447" s="51" t="s">
        <v>188</v>
      </c>
      <c r="F447" s="121" t="s">
        <v>2993</v>
      </c>
      <c r="G447" s="122"/>
      <c r="H447" s="46" t="s">
        <v>3002</v>
      </c>
      <c r="I447" s="74"/>
      <c r="J447" s="74"/>
      <c r="K447" s="74"/>
    </row>
    <row r="448">
      <c r="A448" s="21"/>
      <c r="B448" s="119" t="s">
        <v>7378</v>
      </c>
      <c r="C448" s="120" t="s">
        <v>3997</v>
      </c>
      <c r="D448" s="33" t="s">
        <v>7379</v>
      </c>
      <c r="E448" s="51" t="s">
        <v>188</v>
      </c>
      <c r="F448" s="121" t="s">
        <v>1348</v>
      </c>
      <c r="G448" s="98" t="str">
        <f>HYPERLINK("http://mirror.ff7data.com.ar/ff7/data/battle/battle.lgp/beac.png","View Picture")</f>
        <v>View Picture</v>
      </c>
      <c r="H448" s="75"/>
      <c r="I448" s="74"/>
      <c r="J448" s="74"/>
      <c r="K448" s="74"/>
    </row>
    <row r="449">
      <c r="A449" s="21"/>
      <c r="B449" s="119" t="s">
        <v>7383</v>
      </c>
      <c r="C449" s="120" t="s">
        <v>3671</v>
      </c>
      <c r="D449" s="33" t="s">
        <v>7384</v>
      </c>
      <c r="E449" s="51" t="s">
        <v>188</v>
      </c>
      <c r="F449" s="121" t="s">
        <v>1348</v>
      </c>
      <c r="G449" s="98" t="str">
        <f>HYPERLINK("http://mirror.ff7data.com.ar/ff7/data/battle/battle.lgp/bead.png","View Picture")</f>
        <v>View Picture</v>
      </c>
      <c r="H449" s="75"/>
      <c r="I449" s="74"/>
      <c r="J449" s="74"/>
      <c r="K449" s="74"/>
    </row>
    <row r="450">
      <c r="A450" s="21"/>
      <c r="B450" s="119" t="s">
        <v>7390</v>
      </c>
      <c r="C450" s="120" t="s">
        <v>3552</v>
      </c>
      <c r="D450" s="33" t="s">
        <v>7391</v>
      </c>
      <c r="E450" s="51" t="s">
        <v>188</v>
      </c>
      <c r="F450" s="121" t="s">
        <v>1348</v>
      </c>
      <c r="G450" s="98" t="str">
        <f>HYPERLINK("http://mirror.ff7data.com.ar/ff7/data/battle/battle.lgp/beae.png","View Picture")</f>
        <v>View Picture</v>
      </c>
      <c r="H450" s="75"/>
      <c r="I450" s="74"/>
      <c r="J450" s="74"/>
      <c r="K450" s="74"/>
    </row>
    <row r="451">
      <c r="A451" s="21"/>
      <c r="B451" s="119" t="s">
        <v>7393</v>
      </c>
      <c r="C451" s="120" t="s">
        <v>4372</v>
      </c>
      <c r="D451" s="33" t="s">
        <v>7376</v>
      </c>
      <c r="E451" s="51" t="s">
        <v>188</v>
      </c>
      <c r="F451" s="121" t="s">
        <v>3009</v>
      </c>
      <c r="G451" s="98" t="str">
        <f>HYPERLINK("http://mirror.ff7data.com.ar/ff7/data/battle/battle.lgp/beam.png","View Picture")</f>
        <v>View Picture</v>
      </c>
      <c r="H451" s="75"/>
      <c r="I451" s="74"/>
      <c r="J451" s="74"/>
      <c r="K451" s="74"/>
    </row>
    <row r="452">
      <c r="A452" s="21"/>
      <c r="B452" s="119" t="s">
        <v>7400</v>
      </c>
      <c r="C452" s="120" t="s">
        <v>3723</v>
      </c>
      <c r="D452" s="33" t="s">
        <v>7376</v>
      </c>
      <c r="E452" s="51" t="s">
        <v>188</v>
      </c>
      <c r="F452" s="121" t="s">
        <v>3009</v>
      </c>
      <c r="G452" s="98" t="str">
        <f>HYPERLINK("http://mirror.ff7data.com.ar/ff7/data/battle/battle.lgp/bean.png","View Picture")</f>
        <v>View Picture</v>
      </c>
      <c r="H452" s="75"/>
      <c r="I452" s="74"/>
      <c r="J452" s="74"/>
      <c r="K452" s="74"/>
    </row>
    <row r="453">
      <c r="A453" s="21"/>
      <c r="B453" s="119" t="s">
        <v>7403</v>
      </c>
      <c r="C453" s="120" t="s">
        <v>4228</v>
      </c>
      <c r="D453" s="33" t="s">
        <v>7376</v>
      </c>
      <c r="E453" s="51" t="s">
        <v>188</v>
      </c>
      <c r="F453" s="121" t="s">
        <v>3009</v>
      </c>
      <c r="G453" s="98" t="str">
        <f>HYPERLINK("http://mirror.ff7data.com.ar/ff7/data/battle/battle.lgp/beao.png","View Picture")</f>
        <v>View Picture</v>
      </c>
      <c r="H453" s="75"/>
      <c r="I453" s="74"/>
      <c r="J453" s="74"/>
      <c r="K453" s="74"/>
    </row>
    <row r="454">
      <c r="A454" s="21"/>
      <c r="B454" s="119" t="s">
        <v>7411</v>
      </c>
      <c r="C454" s="120" t="s">
        <v>4057</v>
      </c>
      <c r="D454" s="33" t="s">
        <v>7376</v>
      </c>
      <c r="E454" s="51" t="s">
        <v>188</v>
      </c>
      <c r="F454" s="121" t="s">
        <v>3009</v>
      </c>
      <c r="G454" s="98" t="str">
        <f>HYPERLINK("http://mirror.ff7data.com.ar/ff7/data/battle/battle.lgp/bear.png","View Picture")</f>
        <v>View Picture</v>
      </c>
      <c r="H454" s="75"/>
      <c r="I454" s="74"/>
      <c r="J454" s="74"/>
      <c r="K454" s="74"/>
    </row>
    <row r="455">
      <c r="A455" s="21"/>
      <c r="B455" s="119" t="s">
        <v>7420</v>
      </c>
      <c r="C455" s="120" t="s">
        <v>4252</v>
      </c>
      <c r="D455" s="33" t="s">
        <v>7376</v>
      </c>
      <c r="E455" s="51" t="s">
        <v>188</v>
      </c>
      <c r="F455" s="121" t="s">
        <v>3009</v>
      </c>
      <c r="G455" s="98" t="str">
        <f>HYPERLINK("http://mirror.ff7data.com.ar/ff7/data/battle/battle.lgp/beas.png","View Picture")</f>
        <v>View Picture</v>
      </c>
      <c r="H455" s="75"/>
      <c r="I455" s="74"/>
      <c r="J455" s="74"/>
      <c r="K455" s="74"/>
    </row>
    <row r="456">
      <c r="A456" s="21"/>
      <c r="B456" s="119" t="s">
        <v>7431</v>
      </c>
      <c r="C456" s="120" t="s">
        <v>5356</v>
      </c>
      <c r="D456" s="33" t="s">
        <v>7376</v>
      </c>
      <c r="E456" s="51" t="s">
        <v>188</v>
      </c>
      <c r="F456" s="121" t="s">
        <v>3009</v>
      </c>
      <c r="G456" s="98" t="str">
        <f>HYPERLINK("http://mirror.ff7data.com.ar/ff7/data/battle/battle.lgp/beau.png","View Picture")</f>
        <v>View Picture</v>
      </c>
      <c r="H456" s="75"/>
      <c r="I456" s="74"/>
      <c r="J456" s="74"/>
      <c r="K456" s="74"/>
    </row>
    <row r="457">
      <c r="A457" s="21"/>
      <c r="B457" s="119" t="s">
        <v>7433</v>
      </c>
      <c r="C457" s="120" t="s">
        <v>5356</v>
      </c>
      <c r="D457" s="33" t="s">
        <v>7376</v>
      </c>
      <c r="E457" s="51" t="s">
        <v>188</v>
      </c>
      <c r="F457" s="121" t="s">
        <v>3009</v>
      </c>
      <c r="G457" s="98" t="str">
        <f>HYPERLINK("http://mirror.ff7data.com.ar/ff7/data/battle/battle.lgp/beaw.png","View Picture")</f>
        <v>View Picture</v>
      </c>
      <c r="H457" s="75"/>
      <c r="I457" s="74"/>
      <c r="J457" s="74"/>
      <c r="K457" s="74"/>
    </row>
    <row r="458">
      <c r="A458" s="21"/>
      <c r="B458" s="119" t="s">
        <v>7435</v>
      </c>
      <c r="C458" s="120" t="s">
        <v>5356</v>
      </c>
      <c r="D458" s="33" t="s">
        <v>7376</v>
      </c>
      <c r="E458" s="51" t="s">
        <v>188</v>
      </c>
      <c r="F458" s="121" t="s">
        <v>3009</v>
      </c>
      <c r="G458" s="98" t="str">
        <f>HYPERLINK("http://mirror.ff7data.com.ar/ff7/data/battle/battle.lgp/beay.png","View Picture")</f>
        <v>View Picture</v>
      </c>
      <c r="H458" s="75"/>
      <c r="I458" s="74"/>
      <c r="J458" s="74"/>
      <c r="K458" s="74"/>
    </row>
    <row r="459">
      <c r="A459" s="21"/>
      <c r="B459" s="119" t="s">
        <v>7437</v>
      </c>
      <c r="C459" s="120" t="s">
        <v>5356</v>
      </c>
      <c r="D459" s="33" t="s">
        <v>7376</v>
      </c>
      <c r="E459" s="51" t="s">
        <v>188</v>
      </c>
      <c r="F459" s="121" t="s">
        <v>3009</v>
      </c>
      <c r="G459" s="98" t="str">
        <f>HYPERLINK("http://mirror.ff7data.com.ar/ff7/data/battle/battle.lgp/beba.png","View Picture")</f>
        <v>View Picture</v>
      </c>
      <c r="H459" s="75"/>
      <c r="I459" s="74"/>
      <c r="J459" s="74"/>
      <c r="K459" s="74"/>
    </row>
    <row r="460">
      <c r="A460" s="21"/>
      <c r="B460" s="119" t="s">
        <v>7439</v>
      </c>
      <c r="C460" s="120" t="s">
        <v>5419</v>
      </c>
      <c r="D460" s="33" t="s">
        <v>7376</v>
      </c>
      <c r="E460" s="51" t="s">
        <v>188</v>
      </c>
      <c r="F460" s="121" t="s">
        <v>3009</v>
      </c>
      <c r="G460" s="98" t="str">
        <f>HYPERLINK("http://mirror.ff7data.com.ar/ff7/data/battle/battle.lgp/bebd.png","View Picture")</f>
        <v>View Picture</v>
      </c>
      <c r="H460" s="75"/>
      <c r="I460" s="74"/>
      <c r="J460" s="74"/>
      <c r="K460" s="74"/>
    </row>
    <row r="461">
      <c r="A461" s="21"/>
      <c r="B461" s="119" t="s">
        <v>7442</v>
      </c>
      <c r="C461" s="120" t="s">
        <v>4252</v>
      </c>
      <c r="D461" s="33" t="s">
        <v>7376</v>
      </c>
      <c r="E461" s="51" t="s">
        <v>188</v>
      </c>
      <c r="F461" s="121" t="s">
        <v>3009</v>
      </c>
      <c r="G461" s="98" t="str">
        <f>HYPERLINK("http://mirror.ff7data.com.ar/ff7/data/battle/battle.lgp/bebe.png","View Picture")</f>
        <v>View Picture</v>
      </c>
      <c r="H461" s="75"/>
      <c r="I461" s="74"/>
      <c r="J461" s="74"/>
      <c r="K461" s="74"/>
    </row>
    <row r="462">
      <c r="A462" s="21"/>
      <c r="B462" s="119" t="s">
        <v>7444</v>
      </c>
      <c r="C462" s="120" t="s">
        <v>5356</v>
      </c>
      <c r="D462" s="33" t="s">
        <v>7376</v>
      </c>
      <c r="E462" s="51" t="s">
        <v>188</v>
      </c>
      <c r="F462" s="121" t="s">
        <v>3009</v>
      </c>
      <c r="G462" s="98" t="str">
        <f>HYPERLINK("http://mirror.ff7data.com.ar/ff7/data/battle/battle.lgp/bebg.png","View Picture")</f>
        <v>View Picture</v>
      </c>
      <c r="H462" s="75"/>
      <c r="I462" s="74"/>
      <c r="J462" s="74"/>
      <c r="K462" s="74"/>
    </row>
    <row r="463">
      <c r="A463" s="21"/>
      <c r="B463" s="119" t="s">
        <v>7446</v>
      </c>
      <c r="C463" s="120" t="s">
        <v>5356</v>
      </c>
      <c r="D463" s="33" t="s">
        <v>7376</v>
      </c>
      <c r="E463" s="51" t="s">
        <v>188</v>
      </c>
      <c r="F463" s="121" t="s">
        <v>3009</v>
      </c>
      <c r="G463" s="98" t="str">
        <f>HYPERLINK("http://mirror.ff7data.com.ar/ff7/data/battle/battle.lgp/bebi.png","View Picture")</f>
        <v>View Picture</v>
      </c>
      <c r="H463" s="75"/>
      <c r="I463" s="74"/>
      <c r="J463" s="74"/>
      <c r="K463" s="74"/>
    </row>
    <row r="464">
      <c r="A464" s="21"/>
      <c r="B464" s="119" t="s">
        <v>7449</v>
      </c>
      <c r="C464" s="120" t="s">
        <v>5356</v>
      </c>
      <c r="D464" s="33" t="s">
        <v>7376</v>
      </c>
      <c r="E464" s="51" t="s">
        <v>188</v>
      </c>
      <c r="F464" s="121" t="s">
        <v>3009</v>
      </c>
      <c r="G464" s="98" t="str">
        <f>HYPERLINK("http://mirror.ff7data.com.ar/ff7/data/battle/battle.lgp/bebk.png","View Picture")</f>
        <v>View Picture</v>
      </c>
      <c r="H464" s="75"/>
      <c r="I464" s="74"/>
      <c r="J464" s="74"/>
      <c r="K464" s="74"/>
    </row>
    <row r="465">
      <c r="A465" s="21"/>
      <c r="B465" s="119" t="s">
        <v>7451</v>
      </c>
      <c r="C465" s="120" t="s">
        <v>5356</v>
      </c>
      <c r="D465" s="33" t="s">
        <v>7376</v>
      </c>
      <c r="E465" s="51" t="s">
        <v>188</v>
      </c>
      <c r="F465" s="121" t="s">
        <v>3009</v>
      </c>
      <c r="G465" s="98" t="str">
        <f>HYPERLINK("http://mirror.ff7data.com.ar/ff7/data/battle/battle.lgp/bebm.png","View Picture")</f>
        <v>View Picture</v>
      </c>
      <c r="H465" s="75"/>
      <c r="I465" s="74"/>
      <c r="J465" s="74"/>
      <c r="K465" s="74"/>
    </row>
    <row r="466">
      <c r="A466" s="21"/>
      <c r="B466" s="119" t="s">
        <v>7455</v>
      </c>
      <c r="C466" s="120" t="s">
        <v>4264</v>
      </c>
      <c r="D466" s="33" t="s">
        <v>7376</v>
      </c>
      <c r="E466" s="51" t="s">
        <v>188</v>
      </c>
      <c r="F466" s="121" t="s">
        <v>3009</v>
      </c>
      <c r="G466" s="98" t="str">
        <f>HYPERLINK("http://mirror.ff7data.com.ar/ff7/data/battle/battle.lgp/bebo.png","View Picture")</f>
        <v>View Picture</v>
      </c>
      <c r="H466" s="75"/>
      <c r="I466" s="74"/>
      <c r="J466" s="74"/>
      <c r="K466" s="74"/>
    </row>
    <row r="467">
      <c r="A467" s="21"/>
      <c r="B467" s="119" t="s">
        <v>7457</v>
      </c>
      <c r="C467" s="120" t="s">
        <v>4185</v>
      </c>
      <c r="D467" s="33" t="s">
        <v>7376</v>
      </c>
      <c r="E467" s="51" t="s">
        <v>188</v>
      </c>
      <c r="F467" s="121" t="s">
        <v>3009</v>
      </c>
      <c r="G467" s="98" t="str">
        <f>HYPERLINK("http://mirror.ff7data.com.ar/ff7/data/battle/battle.lgp/bebp.png","View Picture")</f>
        <v>View Picture</v>
      </c>
      <c r="H467" s="75"/>
      <c r="I467" s="74"/>
      <c r="J467" s="74"/>
      <c r="K467" s="74"/>
    </row>
    <row r="468">
      <c r="A468" s="21"/>
      <c r="B468" s="119" t="s">
        <v>7459</v>
      </c>
      <c r="C468" s="120" t="s">
        <v>3648</v>
      </c>
      <c r="D468" s="33" t="s">
        <v>7376</v>
      </c>
      <c r="E468" s="51" t="s">
        <v>188</v>
      </c>
      <c r="F468" s="121" t="s">
        <v>3009</v>
      </c>
      <c r="G468" s="98" t="str">
        <f>HYPERLINK("http://mirror.ff7data.com.ar/ff7/data/battle/battle.lgp/bebq.png","View Picture")</f>
        <v>View Picture</v>
      </c>
      <c r="H468" s="75"/>
      <c r="I468" s="74"/>
      <c r="J468" s="74"/>
      <c r="K468" s="74"/>
    </row>
    <row r="469">
      <c r="A469" s="21"/>
      <c r="B469" s="119" t="s">
        <v>7461</v>
      </c>
      <c r="C469" s="120" t="s">
        <v>4264</v>
      </c>
      <c r="D469" s="33" t="s">
        <v>7376</v>
      </c>
      <c r="E469" s="51" t="s">
        <v>188</v>
      </c>
      <c r="F469" s="121" t="s">
        <v>3009</v>
      </c>
      <c r="G469" s="98" t="str">
        <f>HYPERLINK("http://mirror.ff7data.com.ar/ff7/data/battle/battle.lgp/bebs.png","View Picture")</f>
        <v>View Picture</v>
      </c>
      <c r="H469" s="75"/>
      <c r="I469" s="74"/>
      <c r="J469" s="74"/>
      <c r="K469" s="74"/>
    </row>
    <row r="470">
      <c r="A470" s="21"/>
      <c r="B470" s="119" t="s">
        <v>7463</v>
      </c>
      <c r="C470" s="120" t="s">
        <v>4185</v>
      </c>
      <c r="D470" s="33" t="s">
        <v>7376</v>
      </c>
      <c r="E470" s="51" t="s">
        <v>188</v>
      </c>
      <c r="F470" s="121" t="s">
        <v>3009</v>
      </c>
      <c r="G470" s="98" t="str">
        <f>HYPERLINK("http://mirror.ff7data.com.ar/ff7/data/battle/battle.lgp/bebt.png","View Picture")</f>
        <v>View Picture</v>
      </c>
      <c r="H470" s="75"/>
      <c r="I470" s="74"/>
      <c r="J470" s="74"/>
      <c r="K470" s="74"/>
    </row>
    <row r="471">
      <c r="A471" s="21"/>
      <c r="B471" s="119" t="s">
        <v>7465</v>
      </c>
      <c r="C471" s="120" t="s">
        <v>4396</v>
      </c>
      <c r="D471" s="33" t="s">
        <v>7376</v>
      </c>
      <c r="E471" s="51" t="s">
        <v>188</v>
      </c>
      <c r="F471" s="121" t="s">
        <v>3009</v>
      </c>
      <c r="G471" s="98" t="str">
        <f>HYPERLINK("http://mirror.ff7data.com.ar/ff7/data/battle/battle.lgp/bebu.png","View Picture")</f>
        <v>View Picture</v>
      </c>
      <c r="H471" s="75"/>
      <c r="I471" s="74"/>
      <c r="J471" s="74"/>
      <c r="K471" s="74"/>
    </row>
    <row r="472">
      <c r="A472" s="21"/>
      <c r="B472" s="119" t="s">
        <v>7469</v>
      </c>
      <c r="C472" s="120" t="s">
        <v>7471</v>
      </c>
      <c r="D472" s="33" t="s">
        <v>7376</v>
      </c>
      <c r="E472" s="51" t="s">
        <v>188</v>
      </c>
      <c r="F472" s="121" t="s">
        <v>3025</v>
      </c>
      <c r="G472" s="122"/>
      <c r="H472" s="46" t="s">
        <v>3002</v>
      </c>
      <c r="I472" s="74"/>
      <c r="J472" s="74"/>
      <c r="K472" s="74"/>
    </row>
    <row r="473">
      <c r="A473" s="21"/>
      <c r="B473" s="119" t="s">
        <v>7474</v>
      </c>
      <c r="C473" s="120" t="s">
        <v>4456</v>
      </c>
      <c r="D473" s="33" t="s">
        <v>7476</v>
      </c>
      <c r="E473" s="51" t="s">
        <v>191</v>
      </c>
      <c r="F473" s="121" t="s">
        <v>2971</v>
      </c>
      <c r="G473" s="98" t="str">
        <f>HYPERLINK("http://mirror.ff7data.com.ar/ff7/data/battle/battle.lgp/bfaa.png","View Picture")</f>
        <v>View Picture</v>
      </c>
      <c r="H473" s="46" t="s">
        <v>7483</v>
      </c>
      <c r="I473" s="74"/>
      <c r="J473" s="74"/>
      <c r="K473" s="74"/>
    </row>
    <row r="474">
      <c r="A474" s="21"/>
      <c r="B474" s="119" t="s">
        <v>7485</v>
      </c>
      <c r="C474" s="120" t="s">
        <v>7486</v>
      </c>
      <c r="D474" s="33" t="s">
        <v>7487</v>
      </c>
      <c r="E474" s="51" t="s">
        <v>191</v>
      </c>
      <c r="F474" s="121" t="s">
        <v>2993</v>
      </c>
      <c r="G474" s="122"/>
      <c r="H474" s="46" t="s">
        <v>3002</v>
      </c>
      <c r="I474" s="74"/>
      <c r="J474" s="74"/>
      <c r="K474" s="74"/>
    </row>
    <row r="475">
      <c r="A475" s="21"/>
      <c r="B475" s="119" t="s">
        <v>7488</v>
      </c>
      <c r="C475" s="120" t="s">
        <v>4476</v>
      </c>
      <c r="D475" s="33" t="s">
        <v>7487</v>
      </c>
      <c r="E475" s="51" t="s">
        <v>191</v>
      </c>
      <c r="F475" s="121" t="s">
        <v>3009</v>
      </c>
      <c r="G475" s="98" t="str">
        <f>HYPERLINK("http://mirror.ff7data.com.ar/ff7/data/battle/battle.lgp/bfam.png","View Picture")</f>
        <v>View Picture</v>
      </c>
      <c r="H475" s="75"/>
      <c r="I475" s="74"/>
      <c r="J475" s="74"/>
      <c r="K475" s="74"/>
    </row>
    <row r="476">
      <c r="A476" s="21"/>
      <c r="B476" s="119" t="s">
        <v>7491</v>
      </c>
      <c r="C476" s="120" t="s">
        <v>4057</v>
      </c>
      <c r="D476" s="33" t="s">
        <v>7487</v>
      </c>
      <c r="E476" s="51" t="s">
        <v>191</v>
      </c>
      <c r="F476" s="121" t="s">
        <v>3009</v>
      </c>
      <c r="G476" s="98" t="str">
        <f>HYPERLINK("http://mirror.ff7data.com.ar/ff7/data/battle/battle.lgp/bfan.png","View Picture")</f>
        <v>View Picture</v>
      </c>
      <c r="H476" s="75"/>
      <c r="I476" s="74"/>
      <c r="J476" s="74"/>
      <c r="K476" s="74"/>
    </row>
    <row r="477">
      <c r="A477" s="21"/>
      <c r="B477" s="119" t="s">
        <v>7494</v>
      </c>
      <c r="C477" s="120" t="s">
        <v>4476</v>
      </c>
      <c r="D477" s="33" t="s">
        <v>7487</v>
      </c>
      <c r="E477" s="51" t="s">
        <v>191</v>
      </c>
      <c r="F477" s="121" t="s">
        <v>3009</v>
      </c>
      <c r="G477" s="98" t="str">
        <f>HYPERLINK("http://mirror.ff7data.com.ar/ff7/data/battle/battle.lgp/bfao.png","View Picture")</f>
        <v>View Picture</v>
      </c>
      <c r="H477" s="75"/>
      <c r="I477" s="74"/>
      <c r="J477" s="74"/>
      <c r="K477" s="74"/>
    </row>
    <row r="478">
      <c r="A478" s="21"/>
      <c r="B478" s="119" t="s">
        <v>7498</v>
      </c>
      <c r="C478" s="120" t="s">
        <v>3842</v>
      </c>
      <c r="D478" s="33" t="s">
        <v>7487</v>
      </c>
      <c r="E478" s="51" t="s">
        <v>191</v>
      </c>
      <c r="F478" s="121" t="s">
        <v>3009</v>
      </c>
      <c r="G478" s="98" t="str">
        <f>HYPERLINK("http://mirror.ff7data.com.ar/ff7/data/battle/battle.lgp/bfap.png","View Picture")</f>
        <v>View Picture</v>
      </c>
      <c r="H478" s="75"/>
      <c r="I478" s="74"/>
      <c r="J478" s="74"/>
      <c r="K478" s="74"/>
    </row>
    <row r="479">
      <c r="A479" s="21"/>
      <c r="B479" s="119" t="s">
        <v>7500</v>
      </c>
      <c r="C479" s="120" t="s">
        <v>7501</v>
      </c>
      <c r="D479" s="33" t="s">
        <v>7487</v>
      </c>
      <c r="E479" s="51" t="s">
        <v>191</v>
      </c>
      <c r="F479" s="121" t="s">
        <v>3009</v>
      </c>
      <c r="G479" s="98" t="str">
        <f>HYPERLINK("http://mirror.ff7data.com.ar/ff7/data/battle/battle.lgp/bfaq.png","View Picture")</f>
        <v>View Picture</v>
      </c>
      <c r="H479" s="75"/>
      <c r="I479" s="74"/>
      <c r="J479" s="74"/>
      <c r="K479" s="74"/>
    </row>
    <row r="480">
      <c r="A480" s="21"/>
      <c r="B480" s="119" t="s">
        <v>7504</v>
      </c>
      <c r="C480" s="120" t="s">
        <v>4217</v>
      </c>
      <c r="D480" s="33" t="s">
        <v>7487</v>
      </c>
      <c r="E480" s="51" t="s">
        <v>191</v>
      </c>
      <c r="F480" s="121" t="s">
        <v>3009</v>
      </c>
      <c r="G480" s="98" t="str">
        <f>HYPERLINK("http://mirror.ff7data.com.ar/ff7/data/battle/battle.lgp/bfar.png","View Picture")</f>
        <v>View Picture</v>
      </c>
      <c r="H480" s="75"/>
      <c r="I480" s="74"/>
      <c r="J480" s="74"/>
      <c r="K480" s="74"/>
    </row>
    <row r="481">
      <c r="A481" s="21"/>
      <c r="B481" s="119" t="s">
        <v>7507</v>
      </c>
      <c r="C481" s="120" t="s">
        <v>4541</v>
      </c>
      <c r="D481" s="33" t="s">
        <v>7487</v>
      </c>
      <c r="E481" s="51" t="s">
        <v>191</v>
      </c>
      <c r="F481" s="121" t="s">
        <v>3009</v>
      </c>
      <c r="G481" s="98" t="str">
        <f>HYPERLINK("http://mirror.ff7data.com.ar/ff7/data/battle/battle.lgp/bfat.png","View Picture")</f>
        <v>View Picture</v>
      </c>
      <c r="H481" s="75"/>
      <c r="I481" s="74"/>
      <c r="J481" s="74"/>
      <c r="K481" s="74"/>
    </row>
    <row r="482">
      <c r="A482" s="21"/>
      <c r="B482" s="119" t="s">
        <v>7510</v>
      </c>
      <c r="C482" s="120" t="s">
        <v>4554</v>
      </c>
      <c r="D482" s="33" t="s">
        <v>7487</v>
      </c>
      <c r="E482" s="51" t="s">
        <v>191</v>
      </c>
      <c r="F482" s="121" t="s">
        <v>3009</v>
      </c>
      <c r="G482" s="98" t="str">
        <f>HYPERLINK("http://mirror.ff7data.com.ar/ff7/data/battle/battle.lgp/bfau.png","View Picture")</f>
        <v>View Picture</v>
      </c>
      <c r="H482" s="75"/>
      <c r="I482" s="74"/>
      <c r="J482" s="74"/>
      <c r="K482" s="74"/>
    </row>
    <row r="483">
      <c r="A483" s="21"/>
      <c r="B483" s="119" t="s">
        <v>7513</v>
      </c>
      <c r="C483" s="120" t="s">
        <v>4565</v>
      </c>
      <c r="D483" s="33" t="s">
        <v>7487</v>
      </c>
      <c r="E483" s="51" t="s">
        <v>191</v>
      </c>
      <c r="F483" s="121" t="s">
        <v>3009</v>
      </c>
      <c r="G483" s="98" t="str">
        <f>HYPERLINK("http://mirror.ff7data.com.ar/ff7/data/battle/battle.lgp/bfav.png","View Picture")</f>
        <v>View Picture</v>
      </c>
      <c r="H483" s="75"/>
      <c r="I483" s="74"/>
      <c r="J483" s="74"/>
      <c r="K483" s="74"/>
    </row>
    <row r="484">
      <c r="A484" s="21"/>
      <c r="B484" s="119" t="s">
        <v>7516</v>
      </c>
      <c r="C484" s="120" t="s">
        <v>4565</v>
      </c>
      <c r="D484" s="33" t="s">
        <v>7487</v>
      </c>
      <c r="E484" s="51" t="s">
        <v>191</v>
      </c>
      <c r="F484" s="121" t="s">
        <v>3009</v>
      </c>
      <c r="G484" s="98" t="str">
        <f>HYPERLINK("http://mirror.ff7data.com.ar/ff7/data/battle/battle.lgp/bfaw.png","View Picture")</f>
        <v>View Picture</v>
      </c>
      <c r="H484" s="75"/>
      <c r="I484" s="74"/>
      <c r="J484" s="74"/>
      <c r="K484" s="74"/>
    </row>
    <row r="485">
      <c r="A485" s="21"/>
      <c r="B485" s="119" t="s">
        <v>7519</v>
      </c>
      <c r="C485" s="120" t="s">
        <v>4565</v>
      </c>
      <c r="D485" s="33" t="s">
        <v>7487</v>
      </c>
      <c r="E485" s="51" t="s">
        <v>191</v>
      </c>
      <c r="F485" s="121" t="s">
        <v>3009</v>
      </c>
      <c r="G485" s="98" t="str">
        <f>HYPERLINK("http://mirror.ff7data.com.ar/ff7/data/battle/battle.lgp/bfax.png","View Picture")</f>
        <v>View Picture</v>
      </c>
      <c r="H485" s="75"/>
      <c r="I485" s="74"/>
      <c r="J485" s="74"/>
      <c r="K485" s="74"/>
    </row>
    <row r="486">
      <c r="A486" s="21"/>
      <c r="B486" s="119" t="s">
        <v>7524</v>
      </c>
      <c r="C486" s="120" t="s">
        <v>4601</v>
      </c>
      <c r="D486" s="33" t="s">
        <v>7487</v>
      </c>
      <c r="E486" s="51" t="s">
        <v>191</v>
      </c>
      <c r="F486" s="121" t="s">
        <v>3009</v>
      </c>
      <c r="G486" s="98" t="str">
        <f>HYPERLINK("http://mirror.ff7data.com.ar/ff7/data/battle/battle.lgp/bfay.png","View Picture")</f>
        <v>View Picture</v>
      </c>
      <c r="H486" s="75"/>
      <c r="I486" s="74"/>
      <c r="J486" s="74"/>
      <c r="K486" s="74"/>
    </row>
    <row r="487">
      <c r="A487" s="21"/>
      <c r="B487" s="119" t="s">
        <v>7528</v>
      </c>
      <c r="C487" s="120" t="s">
        <v>3007</v>
      </c>
      <c r="D487" s="33" t="s">
        <v>7487</v>
      </c>
      <c r="E487" s="51" t="s">
        <v>191</v>
      </c>
      <c r="F487" s="121" t="s">
        <v>3009</v>
      </c>
      <c r="G487" s="98" t="str">
        <f>HYPERLINK("http://mirror.ff7data.com.ar/ff7/data/battle/battle.lgp/bfaz.png","View Picture")</f>
        <v>View Picture</v>
      </c>
      <c r="H487" s="75"/>
      <c r="I487" s="74"/>
      <c r="J487" s="74"/>
      <c r="K487" s="74"/>
    </row>
    <row r="488">
      <c r="A488" s="21"/>
      <c r="B488" s="119" t="s">
        <v>7531</v>
      </c>
      <c r="C488" s="120" t="s">
        <v>4264</v>
      </c>
      <c r="D488" s="33" t="s">
        <v>7487</v>
      </c>
      <c r="E488" s="51" t="s">
        <v>191</v>
      </c>
      <c r="F488" s="121" t="s">
        <v>3009</v>
      </c>
      <c r="G488" s="98" t="str">
        <f>HYPERLINK("http://mirror.ff7data.com.ar/ff7/data/battle/battle.lgp/bfbb.png","View Picture")</f>
        <v>View Picture</v>
      </c>
      <c r="H488" s="75"/>
      <c r="I488" s="74"/>
      <c r="J488" s="74"/>
      <c r="K488" s="74"/>
    </row>
    <row r="489">
      <c r="A489" s="21"/>
      <c r="B489" s="119" t="s">
        <v>7533</v>
      </c>
      <c r="C489" s="120" t="s">
        <v>4476</v>
      </c>
      <c r="D489" s="33" t="s">
        <v>7487</v>
      </c>
      <c r="E489" s="51" t="s">
        <v>191</v>
      </c>
      <c r="F489" s="121" t="s">
        <v>3009</v>
      </c>
      <c r="G489" s="98" t="str">
        <f>HYPERLINK("http://mirror.ff7data.com.ar/ff7/data/battle/battle.lgp/bfbc.png","View Picture")</f>
        <v>View Picture</v>
      </c>
      <c r="H489" s="75"/>
      <c r="I489" s="74"/>
      <c r="J489" s="74"/>
      <c r="K489" s="74"/>
    </row>
    <row r="490">
      <c r="A490" s="21"/>
      <c r="B490" s="119" t="s">
        <v>7536</v>
      </c>
      <c r="C490" s="120" t="s">
        <v>4646</v>
      </c>
      <c r="D490" s="33" t="s">
        <v>7487</v>
      </c>
      <c r="E490" s="51" t="s">
        <v>191</v>
      </c>
      <c r="F490" s="121" t="s">
        <v>3009</v>
      </c>
      <c r="G490" s="98" t="str">
        <f>HYPERLINK("http://mirror.ff7data.com.ar/ff7/data/battle/battle.lgp/bfbd.png","View Picture")</f>
        <v>View Picture</v>
      </c>
      <c r="H490" s="75"/>
      <c r="I490" s="74"/>
      <c r="J490" s="74"/>
      <c r="K490" s="74"/>
    </row>
    <row r="491">
      <c r="A491" s="21"/>
      <c r="B491" s="119" t="s">
        <v>7539</v>
      </c>
      <c r="C491" s="120" t="s">
        <v>4658</v>
      </c>
      <c r="D491" s="33" t="s">
        <v>7487</v>
      </c>
      <c r="E491" s="51" t="s">
        <v>191</v>
      </c>
      <c r="F491" s="121" t="s">
        <v>3009</v>
      </c>
      <c r="G491" s="98" t="str">
        <f>HYPERLINK("http://mirror.ff7data.com.ar/ff7/data/battle/battle.lgp/bfbe.png","View Picture")</f>
        <v>View Picture</v>
      </c>
      <c r="H491" s="75"/>
      <c r="I491" s="74"/>
      <c r="J491" s="74"/>
      <c r="K491" s="74"/>
    </row>
    <row r="492">
      <c r="A492" s="21"/>
      <c r="B492" s="119" t="s">
        <v>7543</v>
      </c>
      <c r="C492" s="120" t="s">
        <v>4264</v>
      </c>
      <c r="D492" s="33" t="s">
        <v>7487</v>
      </c>
      <c r="E492" s="51" t="s">
        <v>191</v>
      </c>
      <c r="F492" s="121" t="s">
        <v>3009</v>
      </c>
      <c r="G492" s="98" t="str">
        <f>HYPERLINK("http://mirror.ff7data.com.ar/ff7/data/battle/battle.lgp/bfbg.png","View Picture")</f>
        <v>View Picture</v>
      </c>
      <c r="H492" s="75"/>
      <c r="I492" s="74"/>
      <c r="J492" s="74"/>
      <c r="K492" s="74"/>
    </row>
    <row r="493">
      <c r="A493" s="21"/>
      <c r="B493" s="119" t="s">
        <v>7546</v>
      </c>
      <c r="C493" s="120" t="s">
        <v>4372</v>
      </c>
      <c r="D493" s="33" t="s">
        <v>7487</v>
      </c>
      <c r="E493" s="51" t="s">
        <v>191</v>
      </c>
      <c r="F493" s="121" t="s">
        <v>3009</v>
      </c>
      <c r="G493" s="98" t="str">
        <f>HYPERLINK("http://mirror.ff7data.com.ar/ff7/data/battle/battle.lgp/bfbh.png","View Picture")</f>
        <v>View Picture</v>
      </c>
      <c r="H493" s="75"/>
      <c r="I493" s="74"/>
      <c r="J493" s="74"/>
      <c r="K493" s="74"/>
    </row>
    <row r="494">
      <c r="A494" s="21"/>
      <c r="B494" s="119" t="s">
        <v>7550</v>
      </c>
      <c r="C494" s="120" t="s">
        <v>4696</v>
      </c>
      <c r="D494" s="33" t="s">
        <v>7487</v>
      </c>
      <c r="E494" s="51" t="s">
        <v>191</v>
      </c>
      <c r="F494" s="121" t="s">
        <v>3009</v>
      </c>
      <c r="G494" s="98" t="str">
        <f>HYPERLINK("http://mirror.ff7data.com.ar/ff7/data/battle/battle.lgp/bfbi.png","View Picture")</f>
        <v>View Picture</v>
      </c>
      <c r="H494" s="75"/>
      <c r="I494" s="74"/>
      <c r="J494" s="74"/>
      <c r="K494" s="74"/>
    </row>
    <row r="495">
      <c r="A495" s="21"/>
      <c r="B495" s="119" t="s">
        <v>7553</v>
      </c>
      <c r="C495" s="120" t="s">
        <v>4707</v>
      </c>
      <c r="D495" s="33" t="s">
        <v>7487</v>
      </c>
      <c r="E495" s="51" t="s">
        <v>191</v>
      </c>
      <c r="F495" s="121" t="s">
        <v>3009</v>
      </c>
      <c r="G495" s="98" t="str">
        <f>HYPERLINK("http://mirror.ff7data.com.ar/ff7/data/battle/battle.lgp/bfbj.png","View Picture")</f>
        <v>View Picture</v>
      </c>
      <c r="H495" s="75"/>
      <c r="I495" s="74"/>
      <c r="J495" s="74"/>
      <c r="K495" s="74"/>
    </row>
    <row r="496">
      <c r="A496" s="21"/>
      <c r="B496" s="119" t="s">
        <v>7556</v>
      </c>
      <c r="C496" s="120" t="s">
        <v>4719</v>
      </c>
      <c r="D496" s="33" t="s">
        <v>7487</v>
      </c>
      <c r="E496" s="51" t="s">
        <v>191</v>
      </c>
      <c r="F496" s="121" t="s">
        <v>3009</v>
      </c>
      <c r="G496" s="98" t="str">
        <f>HYPERLINK("http://mirror.ff7data.com.ar/ff7/data/battle/battle.lgp/bfbk.png","View Picture")</f>
        <v>View Picture</v>
      </c>
      <c r="H496" s="75"/>
      <c r="I496" s="74"/>
      <c r="J496" s="74"/>
      <c r="K496" s="74"/>
    </row>
    <row r="497">
      <c r="A497" s="21"/>
      <c r="B497" s="119" t="s">
        <v>7560</v>
      </c>
      <c r="C497" s="120" t="s">
        <v>4732</v>
      </c>
      <c r="D497" s="33" t="s">
        <v>7487</v>
      </c>
      <c r="E497" s="51" t="s">
        <v>191</v>
      </c>
      <c r="F497" s="121" t="s">
        <v>3009</v>
      </c>
      <c r="G497" s="98" t="str">
        <f>HYPERLINK("http://mirror.ff7data.com.ar/ff7/data/battle/battle.lgp/bfbm.png","View Picture")</f>
        <v>View Picture</v>
      </c>
      <c r="H497" s="75"/>
      <c r="I497" s="74"/>
      <c r="J497" s="74"/>
      <c r="K497" s="74"/>
    </row>
    <row r="498">
      <c r="A498" s="21"/>
      <c r="B498" s="119" t="s">
        <v>7563</v>
      </c>
      <c r="C498" s="120" t="s">
        <v>4747</v>
      </c>
      <c r="D498" s="33" t="s">
        <v>7487</v>
      </c>
      <c r="E498" s="51" t="s">
        <v>191</v>
      </c>
      <c r="F498" s="121" t="s">
        <v>3009</v>
      </c>
      <c r="G498" s="98" t="str">
        <f>HYPERLINK("http://mirror.ff7data.com.ar/ff7/data/battle/battle.lgp/bfbn.png","View Picture")</f>
        <v>View Picture</v>
      </c>
      <c r="H498" s="75"/>
      <c r="I498" s="74"/>
      <c r="J498" s="74"/>
      <c r="K498" s="74"/>
    </row>
    <row r="499">
      <c r="A499" s="21"/>
      <c r="B499" s="119" t="s">
        <v>7566</v>
      </c>
      <c r="C499" s="120" t="s">
        <v>4185</v>
      </c>
      <c r="D499" s="33" t="s">
        <v>7487</v>
      </c>
      <c r="E499" s="51" t="s">
        <v>191</v>
      </c>
      <c r="F499" s="121" t="s">
        <v>3009</v>
      </c>
      <c r="G499" s="98" t="str">
        <f>HYPERLINK("http://mirror.ff7data.com.ar/ff7/data/battle/battle.lgp/bfbo.png","View Picture")</f>
        <v>View Picture</v>
      </c>
      <c r="H499" s="75"/>
      <c r="I499" s="74"/>
      <c r="J499" s="74"/>
      <c r="K499" s="74"/>
    </row>
    <row r="500">
      <c r="A500" s="21"/>
      <c r="B500" s="119" t="s">
        <v>7571</v>
      </c>
      <c r="C500" s="120" t="s">
        <v>4696</v>
      </c>
      <c r="D500" s="33" t="s">
        <v>7487</v>
      </c>
      <c r="E500" s="51" t="s">
        <v>191</v>
      </c>
      <c r="F500" s="121" t="s">
        <v>3009</v>
      </c>
      <c r="G500" s="98" t="str">
        <f>HYPERLINK("http://mirror.ff7data.com.ar/ff7/data/battle/battle.lgp/bfbp.png","View Picture")</f>
        <v>View Picture</v>
      </c>
      <c r="H500" s="75"/>
      <c r="I500" s="74"/>
      <c r="J500" s="74"/>
      <c r="K500" s="74"/>
    </row>
    <row r="501">
      <c r="A501" s="21"/>
      <c r="B501" s="119" t="s">
        <v>7574</v>
      </c>
      <c r="C501" s="120" t="s">
        <v>4658</v>
      </c>
      <c r="D501" s="33" t="s">
        <v>7487</v>
      </c>
      <c r="E501" s="51" t="s">
        <v>191</v>
      </c>
      <c r="F501" s="121" t="s">
        <v>3009</v>
      </c>
      <c r="G501" s="98" t="str">
        <f>HYPERLINK("http://mirror.ff7data.com.ar/ff7/data/battle/battle.lgp/bfbq.png","View Picture")</f>
        <v>View Picture</v>
      </c>
      <c r="H501" s="75"/>
      <c r="I501" s="74"/>
      <c r="J501" s="74"/>
      <c r="K501" s="74"/>
    </row>
    <row r="502">
      <c r="A502" s="21"/>
      <c r="B502" s="119" t="s">
        <v>7577</v>
      </c>
      <c r="C502" s="120" t="s">
        <v>4439</v>
      </c>
      <c r="D502" s="33" t="s">
        <v>7487</v>
      </c>
      <c r="E502" s="51" t="s">
        <v>191</v>
      </c>
      <c r="F502" s="121" t="s">
        <v>3009</v>
      </c>
      <c r="G502" s="98" t="str">
        <f>HYPERLINK("http://mirror.ff7data.com.ar/ff7/data/battle/battle.lgp/bfbs.png","View Picture")</f>
        <v>View Picture</v>
      </c>
      <c r="H502" s="75"/>
      <c r="I502" s="74"/>
      <c r="J502" s="74"/>
      <c r="K502" s="74"/>
    </row>
    <row r="503">
      <c r="A503" s="21"/>
      <c r="B503" s="119" t="s">
        <v>7581</v>
      </c>
      <c r="C503" s="120" t="s">
        <v>4747</v>
      </c>
      <c r="D503" s="33" t="s">
        <v>7487</v>
      </c>
      <c r="E503" s="51" t="s">
        <v>191</v>
      </c>
      <c r="F503" s="121" t="s">
        <v>3009</v>
      </c>
      <c r="G503" s="98" t="str">
        <f>HYPERLINK("http://mirror.ff7data.com.ar/ff7/data/battle/battle.lgp/bfbt.png","View Picture")</f>
        <v>View Picture</v>
      </c>
      <c r="H503" s="75"/>
      <c r="I503" s="74"/>
      <c r="J503" s="74"/>
      <c r="K503" s="74"/>
    </row>
    <row r="504">
      <c r="A504" s="21"/>
      <c r="B504" s="119" t="s">
        <v>7584</v>
      </c>
      <c r="C504" s="120" t="s">
        <v>4185</v>
      </c>
      <c r="D504" s="33" t="s">
        <v>7487</v>
      </c>
      <c r="E504" s="51" t="s">
        <v>191</v>
      </c>
      <c r="F504" s="121" t="s">
        <v>3009</v>
      </c>
      <c r="G504" s="98" t="str">
        <f>HYPERLINK("http://mirror.ff7data.com.ar/ff7/data/battle/battle.lgp/bfbu.png","View Picture")</f>
        <v>View Picture</v>
      </c>
      <c r="H504" s="75"/>
      <c r="I504" s="74"/>
      <c r="J504" s="74"/>
      <c r="K504" s="74"/>
    </row>
    <row r="505">
      <c r="A505" s="21"/>
      <c r="B505" s="119" t="s">
        <v>7589</v>
      </c>
      <c r="C505" s="120" t="s">
        <v>4646</v>
      </c>
      <c r="D505" s="33" t="s">
        <v>7487</v>
      </c>
      <c r="E505" s="51" t="s">
        <v>191</v>
      </c>
      <c r="F505" s="121" t="s">
        <v>3009</v>
      </c>
      <c r="G505" s="98" t="str">
        <f>HYPERLINK("http://mirror.ff7data.com.ar/ff7/data/battle/battle.lgp/bfbv.png","View Picture")</f>
        <v>View Picture</v>
      </c>
      <c r="H505" s="75"/>
      <c r="I505" s="74"/>
      <c r="J505" s="74"/>
      <c r="K505" s="74"/>
    </row>
    <row r="506">
      <c r="A506" s="21"/>
      <c r="B506" s="119" t="s">
        <v>7592</v>
      </c>
      <c r="C506" s="120" t="s">
        <v>4658</v>
      </c>
      <c r="D506" s="33" t="s">
        <v>7487</v>
      </c>
      <c r="E506" s="51" t="s">
        <v>191</v>
      </c>
      <c r="F506" s="121" t="s">
        <v>3009</v>
      </c>
      <c r="G506" s="98" t="str">
        <f>HYPERLINK("http://mirror.ff7data.com.ar/ff7/data/battle/battle.lgp/bfbw.png","View Picture")</f>
        <v>View Picture</v>
      </c>
      <c r="H506" s="75"/>
      <c r="I506" s="74"/>
      <c r="J506" s="74"/>
      <c r="K506" s="74"/>
    </row>
    <row r="507">
      <c r="A507" s="21"/>
      <c r="B507" s="119" t="s">
        <v>7597</v>
      </c>
      <c r="C507" s="120" t="s">
        <v>4841</v>
      </c>
      <c r="D507" s="33" t="s">
        <v>7487</v>
      </c>
      <c r="E507" s="51" t="s">
        <v>191</v>
      </c>
      <c r="F507" s="121" t="s">
        <v>3025</v>
      </c>
      <c r="G507" s="122"/>
      <c r="H507" s="46" t="s">
        <v>3002</v>
      </c>
      <c r="I507" s="74"/>
      <c r="J507" s="74"/>
      <c r="K507" s="74"/>
    </row>
    <row r="508">
      <c r="A508" s="21"/>
      <c r="B508" s="119" t="s">
        <v>7599</v>
      </c>
      <c r="C508" s="120" t="s">
        <v>7600</v>
      </c>
      <c r="D508" s="33" t="s">
        <v>7601</v>
      </c>
      <c r="E508" s="51" t="s">
        <v>195</v>
      </c>
      <c r="F508" s="121" t="s">
        <v>2971</v>
      </c>
      <c r="G508" s="98" t="str">
        <f>HYPERLINK("http://mirror.ff7data.com.ar/ff7/data/battle/battle.lgp/bgaa.png","View Picture")</f>
        <v>View Picture</v>
      </c>
      <c r="H508" s="75"/>
      <c r="I508" s="74"/>
      <c r="J508" s="74"/>
      <c r="K508" s="74"/>
    </row>
    <row r="509">
      <c r="A509" s="21"/>
      <c r="B509" s="119" t="s">
        <v>7605</v>
      </c>
      <c r="C509" s="120" t="s">
        <v>7606</v>
      </c>
      <c r="D509" s="33" t="s">
        <v>7607</v>
      </c>
      <c r="E509" s="51" t="s">
        <v>195</v>
      </c>
      <c r="F509" s="121" t="s">
        <v>2993</v>
      </c>
      <c r="G509" s="122"/>
      <c r="H509" s="46" t="s">
        <v>3002</v>
      </c>
      <c r="I509" s="74"/>
      <c r="J509" s="74"/>
      <c r="K509" s="74"/>
    </row>
    <row r="510">
      <c r="A510" s="21"/>
      <c r="B510" s="119" t="s">
        <v>7611</v>
      </c>
      <c r="C510" s="120" t="s">
        <v>4288</v>
      </c>
      <c r="D510" s="33" t="s">
        <v>7607</v>
      </c>
      <c r="E510" s="51" t="s">
        <v>195</v>
      </c>
      <c r="F510" s="121" t="s">
        <v>3009</v>
      </c>
      <c r="G510" s="98" t="str">
        <f>HYPERLINK("http://mirror.ff7data.com.ar/ff7/data/battle/battle.lgp/bgam.png","View Picture")</f>
        <v>View Picture</v>
      </c>
      <c r="H510" s="75"/>
      <c r="I510" s="74"/>
      <c r="J510" s="74"/>
      <c r="K510" s="74"/>
    </row>
    <row r="511">
      <c r="A511" s="21"/>
      <c r="B511" s="119" t="s">
        <v>7624</v>
      </c>
      <c r="C511" s="120" t="s">
        <v>7148</v>
      </c>
      <c r="D511" s="33" t="s">
        <v>7607</v>
      </c>
      <c r="E511" s="51" t="s">
        <v>195</v>
      </c>
      <c r="F511" s="121" t="s">
        <v>3009</v>
      </c>
      <c r="G511" s="98" t="str">
        <f>HYPERLINK("http://mirror.ff7data.com.ar/ff7/data/battle/battle.lgp/bgan.png","View Picture")</f>
        <v>View Picture</v>
      </c>
      <c r="H511" s="75"/>
      <c r="I511" s="74"/>
      <c r="J511" s="74"/>
      <c r="K511" s="74"/>
    </row>
    <row r="512">
      <c r="A512" s="21"/>
      <c r="B512" s="119" t="s">
        <v>7634</v>
      </c>
      <c r="C512" s="120" t="s">
        <v>4396</v>
      </c>
      <c r="D512" s="33" t="s">
        <v>7607</v>
      </c>
      <c r="E512" s="51" t="s">
        <v>195</v>
      </c>
      <c r="F512" s="121" t="s">
        <v>3009</v>
      </c>
      <c r="G512" s="98" t="str">
        <f>HYPERLINK("http://mirror.ff7data.com.ar/ff7/data/battle/battle.lgp/bgao.png","View Picture")</f>
        <v>View Picture</v>
      </c>
      <c r="H512" s="75"/>
      <c r="I512" s="74"/>
      <c r="J512" s="74"/>
      <c r="K512" s="74"/>
    </row>
    <row r="513">
      <c r="A513" s="21"/>
      <c r="B513" s="119" t="s">
        <v>7646</v>
      </c>
      <c r="C513" s="120" t="s">
        <v>3853</v>
      </c>
      <c r="D513" s="33" t="s">
        <v>7607</v>
      </c>
      <c r="E513" s="51" t="s">
        <v>195</v>
      </c>
      <c r="F513" s="121" t="s">
        <v>3009</v>
      </c>
      <c r="G513" s="98" t="str">
        <f>HYPERLINK("http://mirror.ff7data.com.ar/ff7/data/battle/battle.lgp/bgap.png","View Picture")</f>
        <v>View Picture</v>
      </c>
      <c r="H513" s="75"/>
      <c r="I513" s="74"/>
      <c r="J513" s="74"/>
      <c r="K513" s="74"/>
    </row>
    <row r="514">
      <c r="A514" s="21"/>
      <c r="B514" s="119" t="s">
        <v>7659</v>
      </c>
      <c r="C514" s="120" t="s">
        <v>4228</v>
      </c>
      <c r="D514" s="33" t="s">
        <v>7607</v>
      </c>
      <c r="E514" s="51" t="s">
        <v>195</v>
      </c>
      <c r="F514" s="121" t="s">
        <v>3009</v>
      </c>
      <c r="G514" s="98" t="str">
        <f>HYPERLINK("http://mirror.ff7data.com.ar/ff7/data/battle/battle.lgp/bgat.png","View Picture")</f>
        <v>View Picture</v>
      </c>
      <c r="H514" s="75"/>
      <c r="I514" s="74"/>
      <c r="J514" s="74"/>
      <c r="K514" s="74"/>
    </row>
    <row r="515">
      <c r="A515" s="21"/>
      <c r="B515" s="119" t="s">
        <v>7669</v>
      </c>
      <c r="C515" s="120" t="s">
        <v>4288</v>
      </c>
      <c r="D515" s="33" t="s">
        <v>7607</v>
      </c>
      <c r="E515" s="51" t="s">
        <v>195</v>
      </c>
      <c r="F515" s="121" t="s">
        <v>3009</v>
      </c>
      <c r="G515" s="98" t="str">
        <f>HYPERLINK("http://mirror.ff7data.com.ar/ff7/data/battle/battle.lgp/bgav.png","View Picture")</f>
        <v>View Picture</v>
      </c>
      <c r="H515" s="75"/>
      <c r="I515" s="74"/>
      <c r="J515" s="74"/>
      <c r="K515" s="74"/>
    </row>
    <row r="516">
      <c r="A516" s="21"/>
      <c r="B516" s="119" t="s">
        <v>7677</v>
      </c>
      <c r="C516" s="120" t="s">
        <v>4288</v>
      </c>
      <c r="D516" s="33" t="s">
        <v>7607</v>
      </c>
      <c r="E516" s="51" t="s">
        <v>195</v>
      </c>
      <c r="F516" s="121" t="s">
        <v>3009</v>
      </c>
      <c r="G516" s="98" t="str">
        <f>HYPERLINK("http://mirror.ff7data.com.ar/ff7/data/battle/battle.lgp/bgaw.png","View Picture")</f>
        <v>View Picture</v>
      </c>
      <c r="H516" s="75"/>
      <c r="I516" s="74"/>
      <c r="J516" s="74"/>
      <c r="K516" s="74"/>
    </row>
    <row r="517">
      <c r="A517" s="21"/>
      <c r="B517" s="119" t="s">
        <v>7691</v>
      </c>
      <c r="C517" s="120" t="s">
        <v>4264</v>
      </c>
      <c r="D517" s="33" t="s">
        <v>7607</v>
      </c>
      <c r="E517" s="51" t="s">
        <v>195</v>
      </c>
      <c r="F517" s="121" t="s">
        <v>3009</v>
      </c>
      <c r="G517" s="98" t="str">
        <f>HYPERLINK("http://mirror.ff7data.com.ar/ff7/data/battle/battle.lgp/bgax.png","View Picture")</f>
        <v>View Picture</v>
      </c>
      <c r="H517" s="75"/>
      <c r="I517" s="74"/>
      <c r="J517" s="74"/>
      <c r="K517" s="74"/>
    </row>
    <row r="518">
      <c r="A518" s="21"/>
      <c r="B518" s="119" t="s">
        <v>7708</v>
      </c>
      <c r="C518" s="120" t="s">
        <v>4264</v>
      </c>
      <c r="D518" s="33" t="s">
        <v>7607</v>
      </c>
      <c r="E518" s="51" t="s">
        <v>195</v>
      </c>
      <c r="F518" s="121" t="s">
        <v>3009</v>
      </c>
      <c r="G518" s="98" t="str">
        <f>HYPERLINK("http://mirror.ff7data.com.ar/ff7/data/battle/battle.lgp/bgay.png","View Picture")</f>
        <v>View Picture</v>
      </c>
      <c r="H518" s="75"/>
      <c r="I518" s="74"/>
      <c r="J518" s="74"/>
      <c r="K518" s="74"/>
    </row>
    <row r="519">
      <c r="A519" s="21"/>
      <c r="B519" s="119" t="s">
        <v>7720</v>
      </c>
      <c r="C519" s="120" t="s">
        <v>4288</v>
      </c>
      <c r="D519" s="33" t="s">
        <v>7607</v>
      </c>
      <c r="E519" s="51" t="s">
        <v>195</v>
      </c>
      <c r="F519" s="121" t="s">
        <v>3009</v>
      </c>
      <c r="G519" s="98" t="str">
        <f>HYPERLINK("http://mirror.ff7data.com.ar/ff7/data/battle/battle.lgp/bgaz.png","View Picture")</f>
        <v>View Picture</v>
      </c>
      <c r="H519" s="75"/>
      <c r="I519" s="74"/>
      <c r="J519" s="74"/>
      <c r="K519" s="74"/>
    </row>
    <row r="520">
      <c r="A520" s="21"/>
      <c r="B520" s="119" t="s">
        <v>7732</v>
      </c>
      <c r="C520" s="120" t="s">
        <v>4288</v>
      </c>
      <c r="D520" s="33" t="s">
        <v>7607</v>
      </c>
      <c r="E520" s="51" t="s">
        <v>195</v>
      </c>
      <c r="F520" s="121" t="s">
        <v>3025</v>
      </c>
      <c r="G520" s="122"/>
      <c r="H520" s="46" t="s">
        <v>3002</v>
      </c>
      <c r="I520" s="74"/>
      <c r="J520" s="74"/>
      <c r="K520" s="74"/>
    </row>
    <row r="521">
      <c r="A521" s="21"/>
      <c r="B521" s="119" t="s">
        <v>7740</v>
      </c>
      <c r="C521" s="120" t="s">
        <v>6789</v>
      </c>
      <c r="D521" s="33" t="s">
        <v>7743</v>
      </c>
      <c r="E521" s="51" t="s">
        <v>199</v>
      </c>
      <c r="F521" s="121" t="s">
        <v>2971</v>
      </c>
      <c r="G521" s="98" t="str">
        <f>HYPERLINK("http://mirror.ff7data.com.ar/ff7/data/battle/battle.lgp/bhaa.png","View Picture")</f>
        <v>View Picture</v>
      </c>
      <c r="H521" s="75"/>
      <c r="I521" s="74"/>
      <c r="J521" s="74"/>
      <c r="K521" s="74"/>
    </row>
    <row r="522">
      <c r="A522" s="21"/>
      <c r="B522" s="119" t="s">
        <v>7754</v>
      </c>
      <c r="C522" s="120" t="s">
        <v>7756</v>
      </c>
      <c r="D522" s="33" t="s">
        <v>7757</v>
      </c>
      <c r="E522" s="51" t="s">
        <v>199</v>
      </c>
      <c r="F522" s="121" t="s">
        <v>2993</v>
      </c>
      <c r="G522" s="122"/>
      <c r="H522" s="46" t="s">
        <v>3002</v>
      </c>
      <c r="I522" s="74"/>
      <c r="J522" s="74"/>
      <c r="K522" s="74"/>
    </row>
    <row r="523">
      <c r="A523" s="21"/>
      <c r="B523" s="119" t="s">
        <v>7761</v>
      </c>
      <c r="C523" s="120" t="s">
        <v>7762</v>
      </c>
      <c r="D523" s="33" t="s">
        <v>7757</v>
      </c>
      <c r="E523" s="51" t="s">
        <v>199</v>
      </c>
      <c r="F523" s="121" t="s">
        <v>3009</v>
      </c>
      <c r="G523" s="98" t="str">
        <f>HYPERLINK("http://mirror.ff7data.com.ar/ff7/data/battle/battle.lgp/bhan.png","View Picture")</f>
        <v>View Picture</v>
      </c>
      <c r="H523" s="75"/>
      <c r="I523" s="74"/>
      <c r="J523" s="74"/>
      <c r="K523" s="74"/>
    </row>
    <row r="524">
      <c r="A524" s="21"/>
      <c r="B524" s="119" t="s">
        <v>7774</v>
      </c>
      <c r="C524" s="120" t="s">
        <v>6010</v>
      </c>
      <c r="D524" s="33" t="s">
        <v>7757</v>
      </c>
      <c r="E524" s="51" t="s">
        <v>199</v>
      </c>
      <c r="F524" s="121" t="s">
        <v>3009</v>
      </c>
      <c r="G524" s="98" t="str">
        <f>HYPERLINK("http://mirror.ff7data.com.ar/ff7/data/battle/battle.lgp/bhao.png","View Picture")</f>
        <v>View Picture</v>
      </c>
      <c r="H524" s="75"/>
      <c r="I524" s="74"/>
      <c r="J524" s="74"/>
      <c r="K524" s="74"/>
    </row>
    <row r="525">
      <c r="A525" s="21"/>
      <c r="B525" s="119" t="s">
        <v>7783</v>
      </c>
      <c r="C525" s="120" t="s">
        <v>3626</v>
      </c>
      <c r="D525" s="33" t="s">
        <v>7757</v>
      </c>
      <c r="E525" s="51" t="s">
        <v>199</v>
      </c>
      <c r="F525" s="121" t="s">
        <v>3009</v>
      </c>
      <c r="G525" s="98" t="str">
        <f>HYPERLINK("http://mirror.ff7data.com.ar/ff7/data/battle/battle.lgp/bhap.png","View Picture")</f>
        <v>View Picture</v>
      </c>
      <c r="H525" s="75"/>
      <c r="I525" s="74"/>
      <c r="J525" s="74"/>
      <c r="K525" s="74"/>
    </row>
    <row r="526">
      <c r="A526" s="21"/>
      <c r="B526" s="119" t="s">
        <v>7794</v>
      </c>
      <c r="C526" s="120" t="s">
        <v>7129</v>
      </c>
      <c r="D526" s="33" t="s">
        <v>7757</v>
      </c>
      <c r="E526" s="51" t="s">
        <v>199</v>
      </c>
      <c r="F526" s="121" t="s">
        <v>3009</v>
      </c>
      <c r="G526" s="98" t="str">
        <f>HYPERLINK("http://mirror.ff7data.com.ar/ff7/data/battle/battle.lgp/bhar.png","View Picture")</f>
        <v>View Picture</v>
      </c>
      <c r="H526" s="75"/>
      <c r="I526" s="74"/>
      <c r="J526" s="74"/>
      <c r="K526" s="74"/>
    </row>
    <row r="527">
      <c r="A527" s="21"/>
      <c r="B527" s="119" t="s">
        <v>7801</v>
      </c>
      <c r="C527" s="120" t="s">
        <v>5891</v>
      </c>
      <c r="D527" s="33" t="s">
        <v>7757</v>
      </c>
      <c r="E527" s="51" t="s">
        <v>199</v>
      </c>
      <c r="F527" s="121" t="s">
        <v>3009</v>
      </c>
      <c r="G527" s="98" t="str">
        <f>HYPERLINK("http://mirror.ff7data.com.ar/ff7/data/battle/battle.lgp/bhas.png","View Picture")</f>
        <v>View Picture</v>
      </c>
      <c r="H527" s="75"/>
      <c r="I527" s="74"/>
      <c r="J527" s="74"/>
      <c r="K527" s="74"/>
    </row>
    <row r="528">
      <c r="A528" s="21"/>
      <c r="B528" s="119" t="s">
        <v>7807</v>
      </c>
      <c r="C528" s="120" t="s">
        <v>3749</v>
      </c>
      <c r="D528" s="33" t="s">
        <v>7757</v>
      </c>
      <c r="E528" s="51" t="s">
        <v>199</v>
      </c>
      <c r="F528" s="121" t="s">
        <v>3009</v>
      </c>
      <c r="G528" s="98" t="str">
        <f>HYPERLINK("http://mirror.ff7data.com.ar/ff7/data/battle/battle.lgp/bhau.png","View Picture")</f>
        <v>View Picture</v>
      </c>
      <c r="H528" s="75"/>
      <c r="I528" s="74"/>
      <c r="J528" s="74"/>
      <c r="K528" s="74"/>
    </row>
    <row r="529">
      <c r="A529" s="21"/>
      <c r="B529" s="119" t="s">
        <v>7820</v>
      </c>
      <c r="C529" s="120" t="s">
        <v>3658</v>
      </c>
      <c r="D529" s="33" t="s">
        <v>7757</v>
      </c>
      <c r="E529" s="51" t="s">
        <v>199</v>
      </c>
      <c r="F529" s="121" t="s">
        <v>3009</v>
      </c>
      <c r="G529" s="98" t="str">
        <f>HYPERLINK("http://mirror.ff7data.com.ar/ff7/data/battle/battle.lgp/bhav.png","View Picture")</f>
        <v>View Picture</v>
      </c>
      <c r="H529" s="75"/>
      <c r="I529" s="74"/>
      <c r="J529" s="74"/>
      <c r="K529" s="74"/>
    </row>
    <row r="530">
      <c r="A530" s="21"/>
      <c r="B530" s="119" t="s">
        <v>7830</v>
      </c>
      <c r="C530" s="120" t="s">
        <v>3842</v>
      </c>
      <c r="D530" s="33" t="s">
        <v>7757</v>
      </c>
      <c r="E530" s="51" t="s">
        <v>199</v>
      </c>
      <c r="F530" s="121" t="s">
        <v>3009</v>
      </c>
      <c r="G530" s="98" t="str">
        <f>HYPERLINK("http://mirror.ff7data.com.ar/ff7/data/battle/battle.lgp/bhaw.png","View Picture")</f>
        <v>View Picture</v>
      </c>
      <c r="H530" s="75"/>
      <c r="I530" s="74"/>
      <c r="J530" s="74"/>
      <c r="K530" s="74"/>
    </row>
    <row r="531">
      <c r="A531" s="21"/>
      <c r="B531" s="119" t="s">
        <v>7838</v>
      </c>
      <c r="C531" s="120" t="s">
        <v>4264</v>
      </c>
      <c r="D531" s="33" t="s">
        <v>7757</v>
      </c>
      <c r="E531" s="51" t="s">
        <v>199</v>
      </c>
      <c r="F531" s="121" t="s">
        <v>3009</v>
      </c>
      <c r="G531" s="98" t="str">
        <f>HYPERLINK("http://mirror.ff7data.com.ar/ff7/data/battle/battle.lgp/bhax.png","View Picture")</f>
        <v>View Picture</v>
      </c>
      <c r="H531" s="75"/>
      <c r="I531" s="74"/>
      <c r="J531" s="74"/>
      <c r="K531" s="74"/>
    </row>
    <row r="532">
      <c r="A532" s="21"/>
      <c r="B532" s="119" t="s">
        <v>7847</v>
      </c>
      <c r="C532" s="120" t="s">
        <v>3842</v>
      </c>
      <c r="D532" s="33" t="s">
        <v>7757</v>
      </c>
      <c r="E532" s="51" t="s">
        <v>199</v>
      </c>
      <c r="F532" s="121" t="s">
        <v>3009</v>
      </c>
      <c r="G532" s="98" t="str">
        <f>HYPERLINK("http://mirror.ff7data.com.ar/ff7/data/battle/battle.lgp/bhaz.png","View Picture")</f>
        <v>View Picture</v>
      </c>
      <c r="H532" s="75"/>
      <c r="I532" s="74"/>
      <c r="J532" s="74"/>
      <c r="K532" s="74"/>
    </row>
    <row r="533">
      <c r="A533" s="21"/>
      <c r="B533" s="119" t="s">
        <v>7855</v>
      </c>
      <c r="C533" s="120" t="s">
        <v>4264</v>
      </c>
      <c r="D533" s="33" t="s">
        <v>7757</v>
      </c>
      <c r="E533" s="51" t="s">
        <v>199</v>
      </c>
      <c r="F533" s="121" t="s">
        <v>3009</v>
      </c>
      <c r="G533" s="98" t="str">
        <f>HYPERLINK("http://mirror.ff7data.com.ar/ff7/data/battle/battle.lgp/bhba.png","View Picture")</f>
        <v>View Picture</v>
      </c>
      <c r="H533" s="75"/>
      <c r="I533" s="74"/>
      <c r="J533" s="74"/>
      <c r="K533" s="74"/>
    </row>
    <row r="534">
      <c r="A534" s="21"/>
      <c r="B534" s="119" t="s">
        <v>7863</v>
      </c>
      <c r="C534" s="120" t="s">
        <v>4217</v>
      </c>
      <c r="D534" s="33" t="s">
        <v>7757</v>
      </c>
      <c r="E534" s="51" t="s">
        <v>199</v>
      </c>
      <c r="F534" s="121" t="s">
        <v>3009</v>
      </c>
      <c r="G534" s="98" t="str">
        <f>HYPERLINK("http://mirror.ff7data.com.ar/ff7/data/battle/battle.lgp/bhbc.png","View Picture")</f>
        <v>View Picture</v>
      </c>
      <c r="H534" s="75"/>
      <c r="I534" s="74"/>
      <c r="J534" s="74"/>
      <c r="K534" s="74"/>
    </row>
    <row r="535">
      <c r="A535" s="21"/>
      <c r="B535" s="119" t="s">
        <v>7869</v>
      </c>
      <c r="C535" s="120" t="s">
        <v>7871</v>
      </c>
      <c r="D535" s="33" t="s">
        <v>7757</v>
      </c>
      <c r="E535" s="51" t="s">
        <v>199</v>
      </c>
      <c r="F535" s="121" t="s">
        <v>3009</v>
      </c>
      <c r="G535" s="98" t="str">
        <f>HYPERLINK("http://mirror.ff7data.com.ar/ff7/data/battle/battle.lgp/bhbe.png","View Picture")</f>
        <v>View Picture</v>
      </c>
      <c r="H535" s="75"/>
      <c r="I535" s="74"/>
      <c r="J535" s="74"/>
      <c r="K535" s="74"/>
    </row>
    <row r="536">
      <c r="A536" s="21"/>
      <c r="B536" s="119" t="s">
        <v>7877</v>
      </c>
      <c r="C536" s="120" t="s">
        <v>4264</v>
      </c>
      <c r="D536" s="33" t="s">
        <v>7757</v>
      </c>
      <c r="E536" s="51" t="s">
        <v>199</v>
      </c>
      <c r="F536" s="121" t="s">
        <v>3009</v>
      </c>
      <c r="G536" s="98" t="str">
        <f>HYPERLINK("http://mirror.ff7data.com.ar/ff7/data/battle/battle.lgp/bhbf.png","View Picture")</f>
        <v>View Picture</v>
      </c>
      <c r="H536" s="75"/>
      <c r="I536" s="74"/>
      <c r="J536" s="74"/>
      <c r="K536" s="74"/>
    </row>
    <row r="537">
      <c r="A537" s="21"/>
      <c r="B537" s="119" t="s">
        <v>7884</v>
      </c>
      <c r="C537" s="120" t="s">
        <v>4217</v>
      </c>
      <c r="D537" s="33" t="s">
        <v>7757</v>
      </c>
      <c r="E537" s="51" t="s">
        <v>199</v>
      </c>
      <c r="F537" s="121" t="s">
        <v>3009</v>
      </c>
      <c r="G537" s="98" t="str">
        <f>HYPERLINK("http://mirror.ff7data.com.ar/ff7/data/battle/battle.lgp/bhbh.png","View Picture")</f>
        <v>View Picture</v>
      </c>
      <c r="H537" s="75"/>
      <c r="I537" s="74"/>
      <c r="J537" s="74"/>
      <c r="K537" s="74"/>
    </row>
    <row r="538">
      <c r="A538" s="21"/>
      <c r="B538" s="119" t="s">
        <v>7892</v>
      </c>
      <c r="C538" s="120" t="s">
        <v>7894</v>
      </c>
      <c r="D538" s="33" t="s">
        <v>7757</v>
      </c>
      <c r="E538" s="51" t="s">
        <v>199</v>
      </c>
      <c r="F538" s="121" t="s">
        <v>3009</v>
      </c>
      <c r="G538" s="98" t="str">
        <f>HYPERLINK("http://mirror.ff7data.com.ar/ff7/data/battle/battle.lgp/bhbj.png","View Picture")</f>
        <v>View Picture</v>
      </c>
      <c r="H538" s="75"/>
      <c r="I538" s="74"/>
      <c r="J538" s="74"/>
      <c r="K538" s="74"/>
    </row>
    <row r="539">
      <c r="A539" s="21"/>
      <c r="B539" s="119" t="s">
        <v>7903</v>
      </c>
      <c r="C539" s="120" t="s">
        <v>4396</v>
      </c>
      <c r="D539" s="33" t="s">
        <v>7757</v>
      </c>
      <c r="E539" s="51" t="s">
        <v>199</v>
      </c>
      <c r="F539" s="121" t="s">
        <v>3009</v>
      </c>
      <c r="G539" s="98" t="str">
        <f>HYPERLINK("http://mirror.ff7data.com.ar/ff7/data/battle/battle.lgp/bhbk.png","View Picture")</f>
        <v>View Picture</v>
      </c>
      <c r="H539" s="75"/>
      <c r="I539" s="74"/>
      <c r="J539" s="74"/>
      <c r="K539" s="74"/>
    </row>
    <row r="540">
      <c r="A540" s="21"/>
      <c r="B540" s="119" t="s">
        <v>7913</v>
      </c>
      <c r="C540" s="120" t="s">
        <v>3749</v>
      </c>
      <c r="D540" s="33" t="s">
        <v>7757</v>
      </c>
      <c r="E540" s="51" t="s">
        <v>199</v>
      </c>
      <c r="F540" s="121" t="s">
        <v>3009</v>
      </c>
      <c r="G540" s="98" t="str">
        <f>HYPERLINK("http://mirror.ff7data.com.ar/ff7/data/battle/battle.lgp/bhbm.png","View Picture")</f>
        <v>View Picture</v>
      </c>
      <c r="H540" s="75"/>
      <c r="I540" s="74"/>
      <c r="J540" s="74"/>
      <c r="K540" s="74"/>
    </row>
    <row r="541">
      <c r="A541" s="21"/>
      <c r="B541" s="119" t="s">
        <v>7921</v>
      </c>
      <c r="C541" s="120" t="s">
        <v>3658</v>
      </c>
      <c r="D541" s="33" t="s">
        <v>7757</v>
      </c>
      <c r="E541" s="51" t="s">
        <v>199</v>
      </c>
      <c r="F541" s="121" t="s">
        <v>3009</v>
      </c>
      <c r="G541" s="98" t="str">
        <f>HYPERLINK("http://mirror.ff7data.com.ar/ff7/data/battle/battle.lgp/bhbn.png","View Picture")</f>
        <v>View Picture</v>
      </c>
      <c r="H541" s="75"/>
      <c r="I541" s="74"/>
      <c r="J541" s="74"/>
      <c r="K541" s="74"/>
    </row>
    <row r="542">
      <c r="A542" s="21"/>
      <c r="B542" s="119" t="s">
        <v>7929</v>
      </c>
      <c r="C542" s="120" t="s">
        <v>3842</v>
      </c>
      <c r="D542" s="33" t="s">
        <v>7757</v>
      </c>
      <c r="E542" s="51" t="s">
        <v>199</v>
      </c>
      <c r="F542" s="121" t="s">
        <v>3009</v>
      </c>
      <c r="G542" s="98" t="str">
        <f>HYPERLINK("http://mirror.ff7data.com.ar/ff7/data/battle/battle.lgp/bhbo.png","View Picture")</f>
        <v>View Picture</v>
      </c>
      <c r="H542" s="75"/>
      <c r="I542" s="74"/>
      <c r="J542" s="74"/>
      <c r="K542" s="74"/>
    </row>
    <row r="543">
      <c r="A543" s="21"/>
      <c r="B543" s="119" t="s">
        <v>7939</v>
      </c>
      <c r="C543" s="120" t="s">
        <v>4264</v>
      </c>
      <c r="D543" s="33" t="s">
        <v>7757</v>
      </c>
      <c r="E543" s="51" t="s">
        <v>199</v>
      </c>
      <c r="F543" s="121" t="s">
        <v>3009</v>
      </c>
      <c r="G543" s="98" t="str">
        <f>HYPERLINK("http://mirror.ff7data.com.ar/ff7/data/battle/battle.lgp/bhbp.png","View Picture")</f>
        <v>View Picture</v>
      </c>
      <c r="H543" s="75"/>
      <c r="I543" s="74"/>
      <c r="J543" s="74"/>
      <c r="K543" s="74"/>
    </row>
    <row r="544">
      <c r="A544" s="21"/>
      <c r="B544" s="119" t="s">
        <v>7946</v>
      </c>
      <c r="C544" s="120" t="s">
        <v>3842</v>
      </c>
      <c r="D544" s="33" t="s">
        <v>7757</v>
      </c>
      <c r="E544" s="51" t="s">
        <v>199</v>
      </c>
      <c r="F544" s="121" t="s">
        <v>3009</v>
      </c>
      <c r="G544" s="98" t="str">
        <f>HYPERLINK("http://mirror.ff7data.com.ar/ff7/data/battle/battle.lgp/bhbr.png","View Picture")</f>
        <v>View Picture</v>
      </c>
      <c r="H544" s="75"/>
      <c r="I544" s="74"/>
      <c r="J544" s="74"/>
      <c r="K544" s="74"/>
    </row>
    <row r="545">
      <c r="A545" s="21"/>
      <c r="B545" s="119" t="s">
        <v>7955</v>
      </c>
      <c r="C545" s="120" t="s">
        <v>4264</v>
      </c>
      <c r="D545" s="33" t="s">
        <v>7757</v>
      </c>
      <c r="E545" s="51" t="s">
        <v>199</v>
      </c>
      <c r="F545" s="121" t="s">
        <v>3009</v>
      </c>
      <c r="G545" s="98" t="str">
        <f>HYPERLINK("http://mirror.ff7data.com.ar/ff7/data/battle/battle.lgp/bhbs.png","View Picture")</f>
        <v>View Picture</v>
      </c>
      <c r="H545" s="75"/>
      <c r="I545" s="74"/>
      <c r="J545" s="74"/>
      <c r="K545" s="74"/>
    </row>
    <row r="546">
      <c r="A546" s="21"/>
      <c r="B546" s="119" t="s">
        <v>7963</v>
      </c>
      <c r="C546" s="120" t="s">
        <v>4217</v>
      </c>
      <c r="D546" s="33" t="s">
        <v>7757</v>
      </c>
      <c r="E546" s="51" t="s">
        <v>199</v>
      </c>
      <c r="F546" s="121" t="s">
        <v>3009</v>
      </c>
      <c r="G546" s="98" t="str">
        <f>HYPERLINK("http://mirror.ff7data.com.ar/ff7/data/battle/battle.lgp/bhbu.png","View Picture")</f>
        <v>View Picture</v>
      </c>
      <c r="H546" s="75"/>
      <c r="I546" s="74"/>
      <c r="J546" s="74"/>
      <c r="K546" s="74"/>
    </row>
    <row r="547">
      <c r="A547" s="21"/>
      <c r="B547" s="119" t="s">
        <v>7972</v>
      </c>
      <c r="C547" s="120" t="s">
        <v>7871</v>
      </c>
      <c r="D547" s="33" t="s">
        <v>7757</v>
      </c>
      <c r="E547" s="51" t="s">
        <v>199</v>
      </c>
      <c r="F547" s="121" t="s">
        <v>3009</v>
      </c>
      <c r="G547" s="98" t="str">
        <f>HYPERLINK("http://mirror.ff7data.com.ar/ff7/data/battle/battle.lgp/bhbw.png","View Picture")</f>
        <v>View Picture</v>
      </c>
      <c r="H547" s="75"/>
      <c r="I547" s="74"/>
      <c r="J547" s="74"/>
      <c r="K547" s="74"/>
    </row>
    <row r="548">
      <c r="A548" s="21"/>
      <c r="B548" s="119" t="s">
        <v>7981</v>
      </c>
      <c r="C548" s="120" t="s">
        <v>4264</v>
      </c>
      <c r="D548" s="33" t="s">
        <v>7757</v>
      </c>
      <c r="E548" s="51" t="s">
        <v>199</v>
      </c>
      <c r="F548" s="121" t="s">
        <v>3009</v>
      </c>
      <c r="G548" s="98" t="str">
        <f>HYPERLINK("http://mirror.ff7data.com.ar/ff7/data/battle/battle.lgp/bhbx.png","View Picture")</f>
        <v>View Picture</v>
      </c>
      <c r="H548" s="75"/>
      <c r="I548" s="74"/>
      <c r="J548" s="74"/>
      <c r="K548" s="74"/>
    </row>
    <row r="549">
      <c r="A549" s="21"/>
      <c r="B549" s="119" t="s">
        <v>7989</v>
      </c>
      <c r="C549" s="120" t="s">
        <v>4217</v>
      </c>
      <c r="D549" s="33" t="s">
        <v>7757</v>
      </c>
      <c r="E549" s="51" t="s">
        <v>199</v>
      </c>
      <c r="F549" s="121" t="s">
        <v>3009</v>
      </c>
      <c r="G549" s="98" t="str">
        <f>HYPERLINK("http://mirror.ff7data.com.ar/ff7/data/battle/battle.lgp/bhbz.png","View Picture")</f>
        <v>View Picture</v>
      </c>
      <c r="H549" s="75"/>
      <c r="I549" s="74"/>
      <c r="J549" s="74"/>
      <c r="K549" s="74"/>
    </row>
    <row r="550">
      <c r="A550" s="21"/>
      <c r="B550" s="119" t="s">
        <v>7999</v>
      </c>
      <c r="C550" s="120" t="s">
        <v>3330</v>
      </c>
      <c r="D550" s="33" t="s">
        <v>7757</v>
      </c>
      <c r="E550" s="51" t="s">
        <v>199</v>
      </c>
      <c r="F550" s="121" t="s">
        <v>3025</v>
      </c>
      <c r="G550" s="122"/>
      <c r="H550" s="46" t="s">
        <v>3002</v>
      </c>
      <c r="I550" s="74"/>
      <c r="J550" s="74"/>
      <c r="K550" s="74"/>
    </row>
    <row r="551">
      <c r="A551" s="21"/>
      <c r="B551" s="119" t="s">
        <v>8003</v>
      </c>
      <c r="C551" s="120" t="s">
        <v>8004</v>
      </c>
      <c r="D551" s="33" t="s">
        <v>8006</v>
      </c>
      <c r="E551" s="51" t="s">
        <v>207</v>
      </c>
      <c r="F551" s="121" t="s">
        <v>2971</v>
      </c>
      <c r="G551" s="98" t="str">
        <f>HYPERLINK("http://mirror.ff7data.com.ar/ff7/data/battle/battle.lgp/biaa.png","View Picture")</f>
        <v>View Picture</v>
      </c>
      <c r="H551" s="75"/>
      <c r="I551" s="74"/>
      <c r="J551" s="74"/>
      <c r="K551" s="74"/>
    </row>
    <row r="552">
      <c r="A552" s="21"/>
      <c r="B552" s="119" t="s">
        <v>8015</v>
      </c>
      <c r="C552" s="120" t="s">
        <v>8016</v>
      </c>
      <c r="D552" s="33" t="s">
        <v>8018</v>
      </c>
      <c r="E552" s="51" t="s">
        <v>207</v>
      </c>
      <c r="F552" s="121" t="s">
        <v>2993</v>
      </c>
      <c r="G552" s="122"/>
      <c r="H552" s="46" t="s">
        <v>3002</v>
      </c>
      <c r="I552" s="74"/>
      <c r="J552" s="74"/>
      <c r="K552" s="74"/>
    </row>
    <row r="553">
      <c r="A553" s="21"/>
      <c r="B553" s="119" t="s">
        <v>8021</v>
      </c>
      <c r="C553" s="120" t="s">
        <v>7165</v>
      </c>
      <c r="D553" s="33" t="s">
        <v>8018</v>
      </c>
      <c r="E553" s="51" t="s">
        <v>207</v>
      </c>
      <c r="F553" s="121" t="s">
        <v>3009</v>
      </c>
      <c r="G553" s="98" t="str">
        <f>HYPERLINK("http://mirror.ff7data.com.ar/ff7/data/battle/battle.lgp/biam.png","View Picture")</f>
        <v>View Picture</v>
      </c>
      <c r="H553" s="75"/>
      <c r="I553" s="74"/>
      <c r="J553" s="74"/>
      <c r="K553" s="74"/>
    </row>
    <row r="554">
      <c r="A554" s="21"/>
      <c r="B554" s="119" t="s">
        <v>8031</v>
      </c>
      <c r="C554" s="120" t="s">
        <v>4057</v>
      </c>
      <c r="D554" s="33" t="s">
        <v>8018</v>
      </c>
      <c r="E554" s="51" t="s">
        <v>207</v>
      </c>
      <c r="F554" s="121" t="s">
        <v>3009</v>
      </c>
      <c r="G554" s="98" t="str">
        <f>HYPERLINK("http://mirror.ff7data.com.ar/ff7/data/battle/battle.lgp/bian.png","View Picture")</f>
        <v>View Picture</v>
      </c>
      <c r="H554" s="75"/>
      <c r="I554" s="74"/>
      <c r="J554" s="74"/>
      <c r="K554" s="74"/>
    </row>
    <row r="555">
      <c r="A555" s="21"/>
      <c r="B555" s="119" t="s">
        <v>8044</v>
      </c>
      <c r="C555" s="120" t="s">
        <v>3465</v>
      </c>
      <c r="D555" s="33" t="s">
        <v>8018</v>
      </c>
      <c r="E555" s="51" t="s">
        <v>207</v>
      </c>
      <c r="F555" s="121" t="s">
        <v>3009</v>
      </c>
      <c r="G555" s="98" t="str">
        <f>HYPERLINK("http://mirror.ff7data.com.ar/ff7/data/battle/battle.lgp/biao.png","View Picture")</f>
        <v>View Picture</v>
      </c>
      <c r="H555" s="75"/>
      <c r="I555" s="74"/>
      <c r="J555" s="74"/>
      <c r="K555" s="74"/>
    </row>
    <row r="556">
      <c r="A556" s="21"/>
      <c r="B556" s="119" t="s">
        <v>8053</v>
      </c>
      <c r="C556" s="120" t="s">
        <v>3494</v>
      </c>
      <c r="D556" s="33" t="s">
        <v>8018</v>
      </c>
      <c r="E556" s="51" t="s">
        <v>207</v>
      </c>
      <c r="F556" s="121" t="s">
        <v>3009</v>
      </c>
      <c r="G556" s="98" t="str">
        <f>HYPERLINK("http://mirror.ff7data.com.ar/ff7/data/battle/battle.lgp/biap.png","View Picture")</f>
        <v>View Picture</v>
      </c>
      <c r="H556" s="75"/>
      <c r="I556" s="74"/>
      <c r="J556" s="74"/>
      <c r="K556" s="74"/>
    </row>
    <row r="557">
      <c r="A557" s="21"/>
      <c r="B557" s="119" t="s">
        <v>8062</v>
      </c>
      <c r="C557" s="120" t="s">
        <v>8063</v>
      </c>
      <c r="D557" s="33" t="s">
        <v>8018</v>
      </c>
      <c r="E557" s="51" t="s">
        <v>207</v>
      </c>
      <c r="F557" s="121" t="s">
        <v>3009</v>
      </c>
      <c r="G557" s="98" t="str">
        <f>HYPERLINK("http://mirror.ff7data.com.ar/ff7/data/battle/battle.lgp/biaq.png","View Picture")</f>
        <v>View Picture</v>
      </c>
      <c r="H557" s="75"/>
      <c r="I557" s="74"/>
      <c r="J557" s="74"/>
      <c r="K557" s="74"/>
    </row>
    <row r="558">
      <c r="A558" s="21"/>
      <c r="B558" s="119" t="s">
        <v>8070</v>
      </c>
      <c r="C558" s="120" t="s">
        <v>4476</v>
      </c>
      <c r="D558" s="33" t="s">
        <v>8018</v>
      </c>
      <c r="E558" s="51" t="s">
        <v>207</v>
      </c>
      <c r="F558" s="121" t="s">
        <v>3009</v>
      </c>
      <c r="G558" s="98" t="str">
        <f>HYPERLINK("http://mirror.ff7data.com.ar/ff7/data/battle/battle.lgp/bias.png","View Picture")</f>
        <v>View Picture</v>
      </c>
      <c r="H558" s="75"/>
      <c r="I558" s="74"/>
      <c r="J558" s="74"/>
      <c r="K558" s="74"/>
    </row>
    <row r="559">
      <c r="A559" s="21"/>
      <c r="B559" s="119" t="s">
        <v>8080</v>
      </c>
      <c r="C559" s="120" t="s">
        <v>4719</v>
      </c>
      <c r="D559" s="33" t="s">
        <v>8018</v>
      </c>
      <c r="E559" s="51" t="s">
        <v>207</v>
      </c>
      <c r="F559" s="121" t="s">
        <v>3009</v>
      </c>
      <c r="G559" s="98" t="str">
        <f>HYPERLINK("http://mirror.ff7data.com.ar/ff7/data/battle/battle.lgp/biav.png","View Picture")</f>
        <v>View Picture</v>
      </c>
      <c r="H559" s="75"/>
      <c r="I559" s="74"/>
      <c r="J559" s="74"/>
      <c r="K559" s="74"/>
    </row>
    <row r="560">
      <c r="A560" s="21"/>
      <c r="B560" s="119" t="s">
        <v>8090</v>
      </c>
      <c r="C560" s="120" t="s">
        <v>4732</v>
      </c>
      <c r="D560" s="33" t="s">
        <v>8018</v>
      </c>
      <c r="E560" s="51" t="s">
        <v>207</v>
      </c>
      <c r="F560" s="121" t="s">
        <v>3009</v>
      </c>
      <c r="G560" s="98" t="str">
        <f>HYPERLINK("http://mirror.ff7data.com.ar/ff7/data/battle/battle.lgp/biaw.png","View Picture")</f>
        <v>View Picture</v>
      </c>
      <c r="H560" s="75"/>
      <c r="I560" s="74"/>
      <c r="J560" s="74"/>
      <c r="K560" s="74"/>
    </row>
    <row r="561">
      <c r="A561" s="21"/>
      <c r="B561" s="119" t="s">
        <v>8098</v>
      </c>
      <c r="C561" s="120" t="s">
        <v>6029</v>
      </c>
      <c r="D561" s="33" t="s">
        <v>8018</v>
      </c>
      <c r="E561" s="51" t="s">
        <v>207</v>
      </c>
      <c r="F561" s="121" t="s">
        <v>3009</v>
      </c>
      <c r="G561" s="98" t="str">
        <f>HYPERLINK("http://mirror.ff7data.com.ar/ff7/data/battle/battle.lgp/biax.png","View Picture")</f>
        <v>View Picture</v>
      </c>
      <c r="H561" s="75"/>
      <c r="I561" s="74"/>
      <c r="J561" s="74"/>
      <c r="K561" s="74"/>
    </row>
    <row r="562">
      <c r="A562" s="21"/>
      <c r="B562" s="119" t="s">
        <v>8106</v>
      </c>
      <c r="C562" s="120" t="s">
        <v>4264</v>
      </c>
      <c r="D562" s="33" t="s">
        <v>8018</v>
      </c>
      <c r="E562" s="51" t="s">
        <v>207</v>
      </c>
      <c r="F562" s="121" t="s">
        <v>3009</v>
      </c>
      <c r="G562" s="98" t="str">
        <f>HYPERLINK("http://mirror.ff7data.com.ar/ff7/data/battle/battle.lgp/biaz.png","View Picture")</f>
        <v>View Picture</v>
      </c>
      <c r="H562" s="75"/>
      <c r="I562" s="74"/>
      <c r="J562" s="74"/>
      <c r="K562" s="74"/>
    </row>
    <row r="563">
      <c r="A563" s="21"/>
      <c r="B563" s="119" t="s">
        <v>8115</v>
      </c>
      <c r="C563" s="120" t="s">
        <v>4372</v>
      </c>
      <c r="D563" s="33" t="s">
        <v>8018</v>
      </c>
      <c r="E563" s="51" t="s">
        <v>207</v>
      </c>
      <c r="F563" s="121" t="s">
        <v>3009</v>
      </c>
      <c r="G563" s="98" t="str">
        <f>HYPERLINK("http://mirror.ff7data.com.ar/ff7/data/battle/battle.lgp/bibb.png","View Picture")</f>
        <v>View Picture</v>
      </c>
      <c r="H563" s="75"/>
      <c r="I563" s="74"/>
      <c r="J563" s="74"/>
      <c r="K563" s="74"/>
    </row>
    <row r="564">
      <c r="A564" s="21"/>
      <c r="B564" s="119" t="s">
        <v>8122</v>
      </c>
      <c r="C564" s="120" t="s">
        <v>4372</v>
      </c>
      <c r="D564" s="33" t="s">
        <v>8018</v>
      </c>
      <c r="E564" s="51" t="s">
        <v>207</v>
      </c>
      <c r="F564" s="121" t="s">
        <v>3009</v>
      </c>
      <c r="G564" s="98" t="str">
        <f>HYPERLINK("http://mirror.ff7data.com.ar/ff7/data/battle/battle.lgp/bibd.png","View Picture")</f>
        <v>View Picture</v>
      </c>
      <c r="H564" s="75"/>
      <c r="I564" s="74"/>
      <c r="J564" s="74"/>
      <c r="K564" s="74"/>
    </row>
    <row r="565">
      <c r="A565" s="21"/>
      <c r="B565" s="119" t="s">
        <v>8130</v>
      </c>
      <c r="C565" s="120" t="s">
        <v>4719</v>
      </c>
      <c r="D565" s="33" t="s">
        <v>8018</v>
      </c>
      <c r="E565" s="51" t="s">
        <v>207</v>
      </c>
      <c r="F565" s="121" t="s">
        <v>3009</v>
      </c>
      <c r="G565" s="98" t="str">
        <f>HYPERLINK("http://mirror.ff7data.com.ar/ff7/data/battle/battle.lgp/bibg.png","View Picture")</f>
        <v>View Picture</v>
      </c>
      <c r="H565" s="75"/>
      <c r="I565" s="74"/>
      <c r="J565" s="74"/>
      <c r="K565" s="74"/>
    </row>
    <row r="566">
      <c r="A566" s="21"/>
      <c r="B566" s="119" t="s">
        <v>8136</v>
      </c>
      <c r="C566" s="120" t="s">
        <v>4732</v>
      </c>
      <c r="D566" s="33" t="s">
        <v>8018</v>
      </c>
      <c r="E566" s="51" t="s">
        <v>207</v>
      </c>
      <c r="F566" s="121" t="s">
        <v>3009</v>
      </c>
      <c r="G566" s="98" t="str">
        <f>HYPERLINK("http://mirror.ff7data.com.ar/ff7/data/battle/battle.lgp/bibh.png","View Picture")</f>
        <v>View Picture</v>
      </c>
      <c r="H566" s="75"/>
      <c r="I566" s="74"/>
      <c r="J566" s="74"/>
      <c r="K566" s="74"/>
    </row>
    <row r="567">
      <c r="A567" s="21"/>
      <c r="B567" s="119" t="s">
        <v>8143</v>
      </c>
      <c r="C567" s="120" t="s">
        <v>6029</v>
      </c>
      <c r="D567" s="33" t="s">
        <v>8018</v>
      </c>
      <c r="E567" s="51" t="s">
        <v>207</v>
      </c>
      <c r="F567" s="121" t="s">
        <v>3009</v>
      </c>
      <c r="G567" s="98" t="str">
        <f>HYPERLINK("http://mirror.ff7data.com.ar/ff7/data/battle/battle.lgp/bibi.png","View Picture")</f>
        <v>View Picture</v>
      </c>
      <c r="H567" s="75"/>
      <c r="I567" s="74"/>
      <c r="J567" s="74"/>
      <c r="K567" s="74"/>
    </row>
    <row r="568">
      <c r="A568" s="21"/>
      <c r="B568" s="119" t="s">
        <v>8154</v>
      </c>
      <c r="C568" s="120" t="s">
        <v>4264</v>
      </c>
      <c r="D568" s="33" t="s">
        <v>8018</v>
      </c>
      <c r="E568" s="51" t="s">
        <v>207</v>
      </c>
      <c r="F568" s="121" t="s">
        <v>3009</v>
      </c>
      <c r="G568" s="98" t="str">
        <f>HYPERLINK("http://mirror.ff7data.com.ar/ff7/data/battle/battle.lgp/bibk.png","View Picture")</f>
        <v>View Picture</v>
      </c>
      <c r="H568" s="75"/>
      <c r="I568" s="74"/>
      <c r="J568" s="74"/>
      <c r="K568" s="74"/>
    </row>
    <row r="569">
      <c r="A569" s="21"/>
      <c r="B569" s="119" t="s">
        <v>8163</v>
      </c>
      <c r="C569" s="120" t="s">
        <v>4372</v>
      </c>
      <c r="D569" s="33" t="s">
        <v>8018</v>
      </c>
      <c r="E569" s="51" t="s">
        <v>207</v>
      </c>
      <c r="F569" s="121" t="s">
        <v>3009</v>
      </c>
      <c r="G569" s="98" t="str">
        <f>HYPERLINK("http://mirror.ff7data.com.ar/ff7/data/battle/battle.lgp/bibm.png","View Picture")</f>
        <v>View Picture</v>
      </c>
      <c r="H569" s="75"/>
      <c r="I569" s="74"/>
      <c r="J569" s="74"/>
      <c r="K569" s="74"/>
    </row>
    <row r="570">
      <c r="A570" s="21"/>
      <c r="B570" s="119" t="s">
        <v>8171</v>
      </c>
      <c r="C570" s="120" t="s">
        <v>4372</v>
      </c>
      <c r="D570" s="33" t="s">
        <v>8018</v>
      </c>
      <c r="E570" s="51" t="s">
        <v>207</v>
      </c>
      <c r="F570" s="121" t="s">
        <v>3009</v>
      </c>
      <c r="G570" s="98" t="str">
        <f>HYPERLINK("http://mirror.ff7data.com.ar/ff7/data/battle/battle.lgp/bibo.png","View Picture")</f>
        <v>View Picture</v>
      </c>
      <c r="H570" s="75"/>
      <c r="I570" s="74"/>
      <c r="J570" s="74"/>
      <c r="K570" s="74"/>
    </row>
    <row r="571">
      <c r="A571" s="21"/>
      <c r="B571" s="119" t="s">
        <v>8178</v>
      </c>
      <c r="C571" s="120" t="s">
        <v>4372</v>
      </c>
      <c r="D571" s="33" t="s">
        <v>8018</v>
      </c>
      <c r="E571" s="51" t="s">
        <v>207</v>
      </c>
      <c r="F571" s="121" t="s">
        <v>3009</v>
      </c>
      <c r="G571" s="98" t="str">
        <f>HYPERLINK("http://mirror.ff7data.com.ar/ff7/data/battle/battle.lgp/bibq.png","View Picture")</f>
        <v>View Picture</v>
      </c>
      <c r="H571" s="75"/>
      <c r="I571" s="74"/>
      <c r="J571" s="74"/>
      <c r="K571" s="74"/>
    </row>
    <row r="572">
      <c r="A572" s="21"/>
      <c r="B572" s="119" t="s">
        <v>8185</v>
      </c>
      <c r="C572" s="120" t="s">
        <v>4372</v>
      </c>
      <c r="D572" s="33" t="s">
        <v>8018</v>
      </c>
      <c r="E572" s="51" t="s">
        <v>207</v>
      </c>
      <c r="F572" s="121" t="s">
        <v>3009</v>
      </c>
      <c r="G572" s="98" t="str">
        <f>HYPERLINK("http://mirror.ff7data.com.ar/ff7/data/battle/battle.lgp/bibr.png","View Picture")</f>
        <v>View Picture</v>
      </c>
      <c r="H572" s="75"/>
      <c r="I572" s="74"/>
      <c r="J572" s="74"/>
      <c r="K572" s="74"/>
    </row>
    <row r="573">
      <c r="A573" s="21"/>
      <c r="B573" s="119" t="s">
        <v>8195</v>
      </c>
      <c r="C573" s="120" t="s">
        <v>4372</v>
      </c>
      <c r="D573" s="33" t="s">
        <v>8018</v>
      </c>
      <c r="E573" s="51" t="s">
        <v>207</v>
      </c>
      <c r="F573" s="121" t="s">
        <v>3009</v>
      </c>
      <c r="G573" s="98" t="str">
        <f>HYPERLINK("http://mirror.ff7data.com.ar/ff7/data/battle/battle.lgp/bibs.png","View Picture")</f>
        <v>View Picture</v>
      </c>
      <c r="H573" s="75"/>
      <c r="I573" s="74"/>
      <c r="J573" s="74"/>
      <c r="K573" s="74"/>
    </row>
    <row r="574">
      <c r="A574" s="21"/>
      <c r="B574" s="119" t="s">
        <v>8201</v>
      </c>
      <c r="C574" s="120" t="s">
        <v>4185</v>
      </c>
      <c r="D574" s="33" t="s">
        <v>8018</v>
      </c>
      <c r="E574" s="51" t="s">
        <v>207</v>
      </c>
      <c r="F574" s="121" t="s">
        <v>3009</v>
      </c>
      <c r="G574" s="98" t="str">
        <f>HYPERLINK("http://mirror.ff7data.com.ar/ff7/data/battle/battle.lgp/bibt.png","View Picture")</f>
        <v>View Picture</v>
      </c>
      <c r="H574" s="75"/>
      <c r="I574" s="74"/>
      <c r="J574" s="74"/>
      <c r="K574" s="74"/>
    </row>
    <row r="575">
      <c r="A575" s="21"/>
      <c r="B575" s="119" t="s">
        <v>8208</v>
      </c>
      <c r="C575" s="120" t="s">
        <v>4372</v>
      </c>
      <c r="D575" s="33" t="s">
        <v>8018</v>
      </c>
      <c r="E575" s="51" t="s">
        <v>207</v>
      </c>
      <c r="F575" s="121" t="s">
        <v>3009</v>
      </c>
      <c r="G575" s="98" t="str">
        <f>HYPERLINK("http://mirror.ff7data.com.ar/ff7/data/battle/battle.lgp/bibv.png","View Picture")</f>
        <v>View Picture</v>
      </c>
      <c r="H575" s="75"/>
      <c r="I575" s="74"/>
      <c r="J575" s="74"/>
      <c r="K575" s="74"/>
    </row>
    <row r="576">
      <c r="A576" s="21"/>
      <c r="B576" s="119" t="s">
        <v>8215</v>
      </c>
      <c r="C576" s="120" t="s">
        <v>4372</v>
      </c>
      <c r="D576" s="33" t="s">
        <v>8018</v>
      </c>
      <c r="E576" s="51" t="s">
        <v>207</v>
      </c>
      <c r="F576" s="121" t="s">
        <v>3009</v>
      </c>
      <c r="G576" s="98" t="str">
        <f>HYPERLINK("http://mirror.ff7data.com.ar/ff7/data/battle/battle.lgp/bibw.png","View Picture")</f>
        <v>View Picture</v>
      </c>
      <c r="H576" s="75"/>
      <c r="I576" s="74"/>
      <c r="J576" s="74"/>
      <c r="K576" s="74"/>
    </row>
    <row r="577">
      <c r="A577" s="21"/>
      <c r="B577" s="119" t="s">
        <v>8222</v>
      </c>
      <c r="C577" s="120" t="s">
        <v>4372</v>
      </c>
      <c r="D577" s="33" t="s">
        <v>8018</v>
      </c>
      <c r="E577" s="51" t="s">
        <v>207</v>
      </c>
      <c r="F577" s="121" t="s">
        <v>3009</v>
      </c>
      <c r="G577" s="98" t="str">
        <f>HYPERLINK("http://mirror.ff7data.com.ar/ff7/data/battle/battle.lgp/bibx.png","View Picture")</f>
        <v>View Picture</v>
      </c>
      <c r="H577" s="75"/>
      <c r="I577" s="74"/>
      <c r="J577" s="74"/>
      <c r="K577" s="74"/>
    </row>
    <row r="578">
      <c r="A578" s="21"/>
      <c r="B578" s="119" t="s">
        <v>8230</v>
      </c>
      <c r="C578" s="120" t="s">
        <v>4185</v>
      </c>
      <c r="D578" s="33" t="s">
        <v>8018</v>
      </c>
      <c r="E578" s="51" t="s">
        <v>207</v>
      </c>
      <c r="F578" s="121" t="s">
        <v>3009</v>
      </c>
      <c r="G578" s="98" t="str">
        <f>HYPERLINK("http://mirror.ff7data.com.ar/ff7/data/battle/battle.lgp/biby.png","View Picture")</f>
        <v>View Picture</v>
      </c>
      <c r="H578" s="75"/>
      <c r="I578" s="74"/>
      <c r="J578" s="74"/>
      <c r="K578" s="74"/>
    </row>
    <row r="579">
      <c r="A579" s="21"/>
      <c r="B579" s="119" t="s">
        <v>8237</v>
      </c>
      <c r="C579" s="120" t="s">
        <v>3573</v>
      </c>
      <c r="D579" s="33" t="s">
        <v>8018</v>
      </c>
      <c r="E579" s="51" t="s">
        <v>207</v>
      </c>
      <c r="F579" s="121" t="s">
        <v>3025</v>
      </c>
      <c r="G579" s="122"/>
      <c r="H579" s="46" t="s">
        <v>3002</v>
      </c>
      <c r="I579" s="74"/>
      <c r="J579" s="74"/>
      <c r="K579" s="74"/>
    </row>
    <row r="580">
      <c r="A580" s="21"/>
      <c r="B580" s="119" t="s">
        <v>8240</v>
      </c>
      <c r="C580" s="120" t="s">
        <v>8241</v>
      </c>
      <c r="D580" s="33" t="s">
        <v>8242</v>
      </c>
      <c r="E580" s="51" t="s">
        <v>210</v>
      </c>
      <c r="F580" s="121" t="s">
        <v>2971</v>
      </c>
      <c r="G580" s="98" t="str">
        <f>HYPERLINK("http://mirror.ff7data.com.ar/ff7/data/battle/battle.lgp/bjaa.png","View Picture")</f>
        <v>View Picture</v>
      </c>
      <c r="H580" s="75"/>
      <c r="I580" s="74"/>
      <c r="J580" s="74"/>
      <c r="K580" s="74"/>
    </row>
    <row r="581">
      <c r="A581" s="21"/>
      <c r="B581" s="119" t="s">
        <v>8248</v>
      </c>
      <c r="C581" s="120" t="s">
        <v>4209</v>
      </c>
      <c r="D581" s="33" t="s">
        <v>8250</v>
      </c>
      <c r="E581" s="51" t="s">
        <v>210</v>
      </c>
      <c r="F581" s="121" t="s">
        <v>2993</v>
      </c>
      <c r="G581" s="122"/>
      <c r="H581" s="46" t="s">
        <v>3002</v>
      </c>
      <c r="I581" s="74"/>
      <c r="J581" s="74"/>
      <c r="K581" s="74"/>
    </row>
    <row r="582">
      <c r="A582" s="21"/>
      <c r="B582" s="119" t="s">
        <v>8253</v>
      </c>
      <c r="C582" s="120" t="s">
        <v>7871</v>
      </c>
      <c r="D582" s="33" t="s">
        <v>8250</v>
      </c>
      <c r="E582" s="51" t="s">
        <v>210</v>
      </c>
      <c r="F582" s="121" t="s">
        <v>3009</v>
      </c>
      <c r="G582" s="98" t="str">
        <f>HYPERLINK("http://mirror.ff7data.com.ar/ff7/data/battle/battle.lgp/bjam.png","View Picture")</f>
        <v>View Picture</v>
      </c>
      <c r="H582" s="75"/>
      <c r="I582" s="74"/>
      <c r="J582" s="74"/>
      <c r="K582" s="74"/>
    </row>
    <row r="583">
      <c r="A583" s="21"/>
      <c r="B583" s="119" t="s">
        <v>8260</v>
      </c>
      <c r="C583" s="120" t="s">
        <v>8261</v>
      </c>
      <c r="D583" s="33" t="s">
        <v>8250</v>
      </c>
      <c r="E583" s="51" t="s">
        <v>210</v>
      </c>
      <c r="F583" s="121" t="s">
        <v>3009</v>
      </c>
      <c r="G583" s="98" t="str">
        <f>HYPERLINK("http://mirror.ff7data.com.ar/ff7/data/battle/battle.lgp/bjan.png","View Picture")</f>
        <v>View Picture</v>
      </c>
      <c r="H583" s="75"/>
      <c r="I583" s="74"/>
      <c r="J583" s="74"/>
      <c r="K583" s="74"/>
    </row>
    <row r="584">
      <c r="A584" s="21"/>
      <c r="B584" s="119" t="s">
        <v>8268</v>
      </c>
      <c r="C584" s="120" t="s">
        <v>4228</v>
      </c>
      <c r="D584" s="33" t="s">
        <v>8250</v>
      </c>
      <c r="E584" s="51" t="s">
        <v>210</v>
      </c>
      <c r="F584" s="121" t="s">
        <v>3009</v>
      </c>
      <c r="G584" s="98" t="str">
        <f>HYPERLINK("http://mirror.ff7data.com.ar/ff7/data/battle/battle.lgp/bjao.png","View Picture")</f>
        <v>View Picture</v>
      </c>
      <c r="H584" s="75"/>
      <c r="I584" s="74"/>
      <c r="J584" s="74"/>
      <c r="K584" s="74"/>
    </row>
    <row r="585">
      <c r="A585" s="21"/>
      <c r="B585" s="119" t="s">
        <v>8275</v>
      </c>
      <c r="C585" s="120" t="s">
        <v>4719</v>
      </c>
      <c r="D585" s="33" t="s">
        <v>8250</v>
      </c>
      <c r="E585" s="51" t="s">
        <v>210</v>
      </c>
      <c r="F585" s="121" t="s">
        <v>3009</v>
      </c>
      <c r="G585" s="98" t="str">
        <f>HYPERLINK("http://mirror.ff7data.com.ar/ff7/data/battle/battle.lgp/bjar.png","View Picture")</f>
        <v>View Picture</v>
      </c>
      <c r="H585" s="75"/>
      <c r="I585" s="74"/>
      <c r="J585" s="74"/>
      <c r="K585" s="74"/>
    </row>
    <row r="586">
      <c r="A586" s="21"/>
      <c r="B586" s="119" t="s">
        <v>8283</v>
      </c>
      <c r="C586" s="120" t="s">
        <v>4476</v>
      </c>
      <c r="D586" s="33" t="s">
        <v>8250</v>
      </c>
      <c r="E586" s="51" t="s">
        <v>210</v>
      </c>
      <c r="F586" s="121" t="s">
        <v>3009</v>
      </c>
      <c r="G586" s="98" t="str">
        <f>HYPERLINK("http://mirror.ff7data.com.ar/ff7/data/battle/battle.lgp/bjas.png","View Picture")</f>
        <v>View Picture</v>
      </c>
      <c r="H586" s="75"/>
      <c r="I586" s="74"/>
      <c r="J586" s="74"/>
      <c r="K586" s="74"/>
    </row>
    <row r="587">
      <c r="A587" s="21"/>
      <c r="B587" s="119" t="s">
        <v>8290</v>
      </c>
      <c r="C587" s="120" t="s">
        <v>3648</v>
      </c>
      <c r="D587" s="33" t="s">
        <v>8250</v>
      </c>
      <c r="E587" s="51" t="s">
        <v>210</v>
      </c>
      <c r="F587" s="121" t="s">
        <v>3009</v>
      </c>
      <c r="G587" s="98" t="str">
        <f>HYPERLINK("http://mirror.ff7data.com.ar/ff7/data/battle/battle.lgp/bjat.png","View Picture")</f>
        <v>View Picture</v>
      </c>
      <c r="H587" s="75"/>
      <c r="I587" s="74"/>
      <c r="J587" s="74"/>
      <c r="K587" s="74"/>
    </row>
    <row r="588">
      <c r="A588" s="21"/>
      <c r="B588" s="119" t="s">
        <v>8295</v>
      </c>
      <c r="C588" s="120" t="s">
        <v>4719</v>
      </c>
      <c r="D588" s="33" t="s">
        <v>8250</v>
      </c>
      <c r="E588" s="51" t="s">
        <v>210</v>
      </c>
      <c r="F588" s="121" t="s">
        <v>3009</v>
      </c>
      <c r="G588" s="98" t="str">
        <f>HYPERLINK("http://mirror.ff7data.com.ar/ff7/data/battle/battle.lgp/bjaw.png","View Picture")</f>
        <v>View Picture</v>
      </c>
      <c r="H588" s="75"/>
      <c r="I588" s="74"/>
      <c r="J588" s="74"/>
      <c r="K588" s="74"/>
    </row>
    <row r="589">
      <c r="A589" s="21"/>
      <c r="B589" s="119" t="s">
        <v>8303</v>
      </c>
      <c r="C589" s="120" t="s">
        <v>4476</v>
      </c>
      <c r="D589" s="33" t="s">
        <v>8250</v>
      </c>
      <c r="E589" s="51" t="s">
        <v>210</v>
      </c>
      <c r="F589" s="121" t="s">
        <v>3009</v>
      </c>
      <c r="G589" s="98" t="str">
        <f>HYPERLINK("http://mirror.ff7data.com.ar/ff7/data/battle/battle.lgp/bjax.png","View Picture")</f>
        <v>View Picture</v>
      </c>
      <c r="H589" s="75"/>
      <c r="I589" s="74"/>
      <c r="J589" s="74"/>
      <c r="K589" s="74"/>
    </row>
    <row r="590">
      <c r="A590" s="21"/>
      <c r="B590" s="119" t="s">
        <v>8309</v>
      </c>
      <c r="C590" s="120" t="s">
        <v>3648</v>
      </c>
      <c r="D590" s="33" t="s">
        <v>8250</v>
      </c>
      <c r="E590" s="51" t="s">
        <v>210</v>
      </c>
      <c r="F590" s="121" t="s">
        <v>3009</v>
      </c>
      <c r="G590" s="98" t="str">
        <f>HYPERLINK("http://mirror.ff7data.com.ar/ff7/data/battle/battle.lgp/bjay.png","View Picture")</f>
        <v>View Picture</v>
      </c>
      <c r="H590" s="75"/>
      <c r="I590" s="74"/>
      <c r="J590" s="74"/>
      <c r="K590" s="74"/>
    </row>
    <row r="591">
      <c r="A591" s="21"/>
      <c r="B591" s="119" t="s">
        <v>8318</v>
      </c>
      <c r="C591" s="120" t="s">
        <v>3614</v>
      </c>
      <c r="D591" s="33" t="s">
        <v>8250</v>
      </c>
      <c r="E591" s="51" t="s">
        <v>210</v>
      </c>
      <c r="F591" s="121" t="s">
        <v>3009</v>
      </c>
      <c r="G591" s="98" t="str">
        <f>HYPERLINK("http://mirror.ff7data.com.ar/ff7/data/battle/battle.lgp/bjaz.png","View Picture")</f>
        <v>View Picture</v>
      </c>
      <c r="H591" s="75"/>
      <c r="I591" s="74"/>
      <c r="J591" s="74"/>
      <c r="K591" s="74"/>
    </row>
    <row r="592">
      <c r="A592" s="21"/>
      <c r="B592" s="119" t="s">
        <v>8323</v>
      </c>
      <c r="C592" s="120" t="s">
        <v>4439</v>
      </c>
      <c r="D592" s="33" t="s">
        <v>8250</v>
      </c>
      <c r="E592" s="51" t="s">
        <v>210</v>
      </c>
      <c r="F592" s="121" t="s">
        <v>3009</v>
      </c>
      <c r="G592" s="98" t="str">
        <f>HYPERLINK("http://mirror.ff7data.com.ar/ff7/data/battle/battle.lgp/bjbd.png","View Picture")</f>
        <v>View Picture</v>
      </c>
      <c r="H592" s="75"/>
      <c r="I592" s="74"/>
      <c r="J592" s="74"/>
      <c r="K592" s="74"/>
    </row>
    <row r="593">
      <c r="A593" s="21"/>
      <c r="B593" s="119" t="s">
        <v>8330</v>
      </c>
      <c r="C593" s="120" t="s">
        <v>4185</v>
      </c>
      <c r="D593" s="33" t="s">
        <v>8250</v>
      </c>
      <c r="E593" s="51" t="s">
        <v>210</v>
      </c>
      <c r="F593" s="121" t="s">
        <v>3009</v>
      </c>
      <c r="G593" s="98" t="str">
        <f>HYPERLINK("http://mirror.ff7data.com.ar/ff7/data/battle/battle.lgp/bjbe.png","View Picture")</f>
        <v>View Picture</v>
      </c>
      <c r="H593" s="75"/>
      <c r="I593" s="74"/>
      <c r="J593" s="74"/>
      <c r="K593" s="74"/>
    </row>
    <row r="594">
      <c r="A594" s="21"/>
      <c r="B594" s="119" t="s">
        <v>8336</v>
      </c>
      <c r="C594" s="120" t="s">
        <v>6029</v>
      </c>
      <c r="D594" s="33" t="s">
        <v>8250</v>
      </c>
      <c r="E594" s="51" t="s">
        <v>210</v>
      </c>
      <c r="F594" s="121" t="s">
        <v>3009</v>
      </c>
      <c r="G594" s="98" t="str">
        <f>HYPERLINK("http://mirror.ff7data.com.ar/ff7/data/battle/battle.lgp/bjbf.png","View Picture")</f>
        <v>View Picture</v>
      </c>
      <c r="H594" s="75"/>
      <c r="I594" s="74"/>
      <c r="J594" s="74"/>
      <c r="K594" s="74"/>
    </row>
    <row r="595">
      <c r="A595" s="21"/>
      <c r="B595" s="119" t="s">
        <v>8343</v>
      </c>
      <c r="C595" s="120" t="s">
        <v>4476</v>
      </c>
      <c r="D595" s="33" t="s">
        <v>8250</v>
      </c>
      <c r="E595" s="51" t="s">
        <v>210</v>
      </c>
      <c r="F595" s="121" t="s">
        <v>3009</v>
      </c>
      <c r="G595" s="98" t="str">
        <f>HYPERLINK("http://mirror.ff7data.com.ar/ff7/data/battle/battle.lgp/bjbg.png","View Picture")</f>
        <v>View Picture</v>
      </c>
      <c r="H595" s="75"/>
      <c r="I595" s="74"/>
      <c r="J595" s="74"/>
      <c r="K595" s="74"/>
    </row>
    <row r="596">
      <c r="A596" s="21"/>
      <c r="B596" s="119" t="s">
        <v>8351</v>
      </c>
      <c r="C596" s="120" t="s">
        <v>4185</v>
      </c>
      <c r="D596" s="33" t="s">
        <v>8250</v>
      </c>
      <c r="E596" s="51" t="s">
        <v>210</v>
      </c>
      <c r="F596" s="121" t="s">
        <v>3009</v>
      </c>
      <c r="G596" s="98" t="str">
        <f>HYPERLINK("http://mirror.ff7data.com.ar/ff7/data/battle/battle.lgp/bjbi.png","View Picture")</f>
        <v>View Picture</v>
      </c>
      <c r="H596" s="75"/>
      <c r="I596" s="74"/>
      <c r="J596" s="74"/>
      <c r="K596" s="74"/>
    </row>
    <row r="597">
      <c r="A597" s="21"/>
      <c r="B597" s="119" t="s">
        <v>8355</v>
      </c>
      <c r="C597" s="120" t="s">
        <v>4185</v>
      </c>
      <c r="D597" s="33" t="s">
        <v>8250</v>
      </c>
      <c r="E597" s="51" t="s">
        <v>210</v>
      </c>
      <c r="F597" s="121" t="s">
        <v>3009</v>
      </c>
      <c r="G597" s="98" t="str">
        <f>HYPERLINK("http://mirror.ff7data.com.ar/ff7/data/battle/battle.lgp/bjbj.png","View Picture")</f>
        <v>View Picture</v>
      </c>
      <c r="H597" s="75"/>
      <c r="I597" s="74"/>
      <c r="J597" s="74"/>
      <c r="K597" s="74"/>
    </row>
    <row r="598">
      <c r="A598" s="21"/>
      <c r="B598" s="119" t="s">
        <v>8361</v>
      </c>
      <c r="C598" s="120" t="s">
        <v>6029</v>
      </c>
      <c r="D598" s="33" t="s">
        <v>8250</v>
      </c>
      <c r="E598" s="51" t="s">
        <v>210</v>
      </c>
      <c r="F598" s="121" t="s">
        <v>3009</v>
      </c>
      <c r="G598" s="98" t="str">
        <f>HYPERLINK("http://mirror.ff7data.com.ar/ff7/data/battle/battle.lgp/bjbk.png","View Picture")</f>
        <v>View Picture</v>
      </c>
      <c r="H598" s="75"/>
      <c r="I598" s="74"/>
      <c r="J598" s="74"/>
      <c r="K598" s="74"/>
    </row>
    <row r="599">
      <c r="A599" s="21"/>
      <c r="B599" s="119" t="s">
        <v>8366</v>
      </c>
      <c r="C599" s="120" t="s">
        <v>4185</v>
      </c>
      <c r="D599" s="33" t="s">
        <v>8250</v>
      </c>
      <c r="E599" s="51" t="s">
        <v>210</v>
      </c>
      <c r="F599" s="121" t="s">
        <v>3009</v>
      </c>
      <c r="G599" s="98" t="str">
        <f>HYPERLINK("http://mirror.ff7data.com.ar/ff7/data/battle/battle.lgp/bjbl.png","View Picture")</f>
        <v>View Picture</v>
      </c>
      <c r="H599" s="75"/>
      <c r="I599" s="74"/>
      <c r="J599" s="74"/>
      <c r="K599" s="74"/>
    </row>
    <row r="600">
      <c r="A600" s="21"/>
      <c r="B600" s="119" t="s">
        <v>8375</v>
      </c>
      <c r="C600" s="120" t="s">
        <v>8376</v>
      </c>
      <c r="D600" s="33" t="s">
        <v>8250</v>
      </c>
      <c r="E600" s="51" t="s">
        <v>210</v>
      </c>
      <c r="F600" s="121" t="s">
        <v>3025</v>
      </c>
      <c r="G600" s="122"/>
      <c r="H600" s="46" t="s">
        <v>3002</v>
      </c>
      <c r="I600" s="74"/>
      <c r="J600" s="74"/>
      <c r="K600" s="74"/>
    </row>
    <row r="601">
      <c r="A601" s="21"/>
      <c r="B601" s="119" t="s">
        <v>8379</v>
      </c>
      <c r="C601" s="120" t="s">
        <v>8241</v>
      </c>
      <c r="D601" s="33" t="s">
        <v>8380</v>
      </c>
      <c r="E601" s="51" t="s">
        <v>213</v>
      </c>
      <c r="F601" s="121" t="s">
        <v>2971</v>
      </c>
      <c r="G601" s="98" t="str">
        <f>HYPERLINK("http://mirror.ff7data.com.ar/ff7/data/battle/battle.lgp/bkaa.png","View Picture")</f>
        <v>View Picture</v>
      </c>
      <c r="H601" s="75"/>
      <c r="I601" s="74"/>
      <c r="J601" s="74"/>
      <c r="K601" s="74"/>
    </row>
    <row r="602">
      <c r="A602" s="21"/>
      <c r="B602" s="119" t="s">
        <v>8389</v>
      </c>
      <c r="C602" s="120" t="s">
        <v>4209</v>
      </c>
      <c r="D602" s="33" t="s">
        <v>8390</v>
      </c>
      <c r="E602" s="51" t="s">
        <v>213</v>
      </c>
      <c r="F602" s="121" t="s">
        <v>2993</v>
      </c>
      <c r="G602" s="122"/>
      <c r="H602" s="46" t="s">
        <v>3002</v>
      </c>
      <c r="I602" s="74"/>
      <c r="J602" s="74"/>
      <c r="K602" s="74"/>
    </row>
    <row r="603">
      <c r="A603" s="21"/>
      <c r="B603" s="119" t="s">
        <v>8395</v>
      </c>
      <c r="C603" s="120" t="s">
        <v>7871</v>
      </c>
      <c r="D603" s="33" t="s">
        <v>8390</v>
      </c>
      <c r="E603" s="51" t="s">
        <v>213</v>
      </c>
      <c r="F603" s="121" t="s">
        <v>3009</v>
      </c>
      <c r="G603" s="98" t="str">
        <f>HYPERLINK("http://mirror.ff7data.com.ar/ff7/data/battle/battle.lgp/bkam.png","View Picture")</f>
        <v>View Picture</v>
      </c>
      <c r="H603" s="75"/>
      <c r="I603" s="74"/>
      <c r="J603" s="74"/>
      <c r="K603" s="74"/>
    </row>
    <row r="604">
      <c r="A604" s="21"/>
      <c r="B604" s="119" t="s">
        <v>8401</v>
      </c>
      <c r="C604" s="120" t="s">
        <v>8261</v>
      </c>
      <c r="D604" s="33" t="s">
        <v>8390</v>
      </c>
      <c r="E604" s="51" t="s">
        <v>213</v>
      </c>
      <c r="F604" s="121" t="s">
        <v>3009</v>
      </c>
      <c r="G604" s="98" t="str">
        <f>HYPERLINK("http://mirror.ff7data.com.ar/ff7/data/battle/battle.lgp/bkan.png","View Picture")</f>
        <v>View Picture</v>
      </c>
      <c r="H604" s="75"/>
      <c r="I604" s="74"/>
      <c r="J604" s="74"/>
      <c r="K604" s="74"/>
    </row>
    <row r="605">
      <c r="A605" s="21"/>
      <c r="B605" s="119" t="s">
        <v>8409</v>
      </c>
      <c r="C605" s="120" t="s">
        <v>4228</v>
      </c>
      <c r="D605" s="33" t="s">
        <v>8390</v>
      </c>
      <c r="E605" s="51" t="s">
        <v>213</v>
      </c>
      <c r="F605" s="121" t="s">
        <v>3009</v>
      </c>
      <c r="G605" s="98" t="str">
        <f>HYPERLINK("http://mirror.ff7data.com.ar/ff7/data/battle/battle.lgp/bkao.png","View Picture")</f>
        <v>View Picture</v>
      </c>
      <c r="H605" s="75"/>
      <c r="I605" s="74"/>
      <c r="J605" s="74"/>
      <c r="K605" s="74"/>
    </row>
    <row r="606">
      <c r="A606" s="21"/>
      <c r="B606" s="119" t="s">
        <v>8416</v>
      </c>
      <c r="C606" s="120" t="s">
        <v>4719</v>
      </c>
      <c r="D606" s="33" t="s">
        <v>8390</v>
      </c>
      <c r="E606" s="51" t="s">
        <v>213</v>
      </c>
      <c r="F606" s="121" t="s">
        <v>3009</v>
      </c>
      <c r="G606" s="98" t="str">
        <f>HYPERLINK("http://mirror.ff7data.com.ar/ff7/data/battle/battle.lgp/bkar.png","View Picture")</f>
        <v>View Picture</v>
      </c>
      <c r="H606" s="75"/>
      <c r="I606" s="74"/>
      <c r="J606" s="74"/>
      <c r="K606" s="74"/>
    </row>
    <row r="607">
      <c r="A607" s="21"/>
      <c r="B607" s="119" t="s">
        <v>8425</v>
      </c>
      <c r="C607" s="120" t="s">
        <v>4476</v>
      </c>
      <c r="D607" s="33" t="s">
        <v>8390</v>
      </c>
      <c r="E607" s="51" t="s">
        <v>213</v>
      </c>
      <c r="F607" s="121" t="s">
        <v>3009</v>
      </c>
      <c r="G607" s="98" t="str">
        <f>HYPERLINK("http://mirror.ff7data.com.ar/ff7/data/battle/battle.lgp/bkas.png","View Picture")</f>
        <v>View Picture</v>
      </c>
      <c r="H607" s="75"/>
      <c r="I607" s="74"/>
      <c r="J607" s="74"/>
      <c r="K607" s="74"/>
    </row>
    <row r="608">
      <c r="A608" s="21"/>
      <c r="B608" s="119" t="s">
        <v>8436</v>
      </c>
      <c r="C608" s="120" t="s">
        <v>3648</v>
      </c>
      <c r="D608" s="33" t="s">
        <v>8390</v>
      </c>
      <c r="E608" s="51" t="s">
        <v>213</v>
      </c>
      <c r="F608" s="121" t="s">
        <v>3009</v>
      </c>
      <c r="G608" s="98" t="str">
        <f>HYPERLINK("http://mirror.ff7data.com.ar/ff7/data/battle/battle.lgp/bkat.png","View Picture")</f>
        <v>View Picture</v>
      </c>
      <c r="H608" s="75"/>
      <c r="I608" s="74"/>
      <c r="J608" s="74"/>
      <c r="K608" s="74"/>
    </row>
    <row r="609">
      <c r="A609" s="21"/>
      <c r="B609" s="119" t="s">
        <v>8443</v>
      </c>
      <c r="C609" s="120" t="s">
        <v>4719</v>
      </c>
      <c r="D609" s="33" t="s">
        <v>8390</v>
      </c>
      <c r="E609" s="51" t="s">
        <v>213</v>
      </c>
      <c r="F609" s="121" t="s">
        <v>3009</v>
      </c>
      <c r="G609" s="98" t="str">
        <f>HYPERLINK("http://mirror.ff7data.com.ar/ff7/data/battle/battle.lgp/bkaw.png","View Picture")</f>
        <v>View Picture</v>
      </c>
      <c r="H609" s="75"/>
      <c r="I609" s="74"/>
      <c r="J609" s="74"/>
      <c r="K609" s="74"/>
    </row>
    <row r="610">
      <c r="A610" s="21"/>
      <c r="B610" s="119" t="s">
        <v>8450</v>
      </c>
      <c r="C610" s="120" t="s">
        <v>4476</v>
      </c>
      <c r="D610" s="33" t="s">
        <v>8390</v>
      </c>
      <c r="E610" s="51" t="s">
        <v>213</v>
      </c>
      <c r="F610" s="121" t="s">
        <v>3009</v>
      </c>
      <c r="G610" s="98" t="str">
        <f>HYPERLINK("http://mirror.ff7data.com.ar/ff7/data/battle/battle.lgp/bkax.png","View Picture")</f>
        <v>View Picture</v>
      </c>
      <c r="H610" s="75"/>
      <c r="I610" s="74"/>
      <c r="J610" s="74"/>
      <c r="K610" s="74"/>
    </row>
    <row r="611">
      <c r="A611" s="21"/>
      <c r="B611" s="119" t="s">
        <v>8458</v>
      </c>
      <c r="C611" s="120" t="s">
        <v>3648</v>
      </c>
      <c r="D611" s="33" t="s">
        <v>8390</v>
      </c>
      <c r="E611" s="51" t="s">
        <v>213</v>
      </c>
      <c r="F611" s="121" t="s">
        <v>3009</v>
      </c>
      <c r="G611" s="98" t="str">
        <f>HYPERLINK("http://mirror.ff7data.com.ar/ff7/data/battle/battle.lgp/bkay.png","View Picture")</f>
        <v>View Picture</v>
      </c>
      <c r="H611" s="75"/>
      <c r="I611" s="74"/>
      <c r="J611" s="74"/>
      <c r="K611" s="74"/>
    </row>
    <row r="612">
      <c r="A612" s="21"/>
      <c r="B612" s="119" t="s">
        <v>8462</v>
      </c>
      <c r="C612" s="120" t="s">
        <v>3614</v>
      </c>
      <c r="D612" s="33" t="s">
        <v>8390</v>
      </c>
      <c r="E612" s="51" t="s">
        <v>213</v>
      </c>
      <c r="F612" s="121" t="s">
        <v>3009</v>
      </c>
      <c r="G612" s="98" t="str">
        <f>HYPERLINK("http://mirror.ff7data.com.ar/ff7/data/battle/battle.lgp/bkaz.png","View Picture")</f>
        <v>View Picture</v>
      </c>
      <c r="H612" s="75"/>
      <c r="I612" s="74"/>
      <c r="J612" s="74"/>
      <c r="K612" s="74"/>
    </row>
    <row r="613">
      <c r="A613" s="21"/>
      <c r="B613" s="119" t="s">
        <v>8470</v>
      </c>
      <c r="C613" s="120" t="s">
        <v>4439</v>
      </c>
      <c r="D613" s="33" t="s">
        <v>8390</v>
      </c>
      <c r="E613" s="51" t="s">
        <v>213</v>
      </c>
      <c r="F613" s="121" t="s">
        <v>3009</v>
      </c>
      <c r="G613" s="98" t="str">
        <f>HYPERLINK("http://mirror.ff7data.com.ar/ff7/data/battle/battle.lgp/bkbd.png","View Picture")</f>
        <v>View Picture</v>
      </c>
      <c r="H613" s="75"/>
      <c r="I613" s="74"/>
      <c r="J613" s="74"/>
      <c r="K613" s="74"/>
    </row>
    <row r="614">
      <c r="A614" s="21"/>
      <c r="B614" s="119" t="s">
        <v>8479</v>
      </c>
      <c r="C614" s="120" t="s">
        <v>4185</v>
      </c>
      <c r="D614" s="33" t="s">
        <v>8390</v>
      </c>
      <c r="E614" s="51" t="s">
        <v>213</v>
      </c>
      <c r="F614" s="121" t="s">
        <v>3009</v>
      </c>
      <c r="G614" s="98" t="str">
        <f>HYPERLINK("http://mirror.ff7data.com.ar/ff7/data/battle/battle.lgp/bkbe.png","View Picture")</f>
        <v>View Picture</v>
      </c>
      <c r="H614" s="75"/>
      <c r="I614" s="74"/>
      <c r="J614" s="74"/>
      <c r="K614" s="74"/>
    </row>
    <row r="615">
      <c r="A615" s="21"/>
      <c r="B615" s="119" t="s">
        <v>8486</v>
      </c>
      <c r="C615" s="120" t="s">
        <v>6029</v>
      </c>
      <c r="D615" s="33" t="s">
        <v>8390</v>
      </c>
      <c r="E615" s="51" t="s">
        <v>213</v>
      </c>
      <c r="F615" s="121" t="s">
        <v>3009</v>
      </c>
      <c r="G615" s="98" t="str">
        <f>HYPERLINK("http://mirror.ff7data.com.ar/ff7/data/battle/battle.lgp/bkbf.png","View Picture")</f>
        <v>View Picture</v>
      </c>
      <c r="H615" s="75"/>
      <c r="I615" s="74"/>
      <c r="J615" s="74"/>
      <c r="K615" s="74"/>
    </row>
    <row r="616">
      <c r="A616" s="21"/>
      <c r="B616" s="119" t="s">
        <v>8490</v>
      </c>
      <c r="C616" s="120" t="s">
        <v>4476</v>
      </c>
      <c r="D616" s="33" t="s">
        <v>8390</v>
      </c>
      <c r="E616" s="51" t="s">
        <v>213</v>
      </c>
      <c r="F616" s="121" t="s">
        <v>3009</v>
      </c>
      <c r="G616" s="98" t="str">
        <f>HYPERLINK("http://mirror.ff7data.com.ar/ff7/data/battle/battle.lgp/bkbg.png","View Picture")</f>
        <v>View Picture</v>
      </c>
      <c r="H616" s="75"/>
      <c r="I616" s="74"/>
      <c r="J616" s="74"/>
      <c r="K616" s="74"/>
    </row>
    <row r="617">
      <c r="A617" s="21"/>
      <c r="B617" s="119" t="s">
        <v>8498</v>
      </c>
      <c r="C617" s="120" t="s">
        <v>4185</v>
      </c>
      <c r="D617" s="33" t="s">
        <v>8390</v>
      </c>
      <c r="E617" s="51" t="s">
        <v>213</v>
      </c>
      <c r="F617" s="121" t="s">
        <v>3009</v>
      </c>
      <c r="G617" s="98" t="str">
        <f>HYPERLINK("http://mirror.ff7data.com.ar/ff7/data/battle/battle.lgp/bkbi.png","View Picture")</f>
        <v>View Picture</v>
      </c>
      <c r="H617" s="75"/>
      <c r="I617" s="74"/>
      <c r="J617" s="74"/>
      <c r="K617" s="74"/>
    </row>
    <row r="618">
      <c r="A618" s="21"/>
      <c r="B618" s="119" t="s">
        <v>8505</v>
      </c>
      <c r="C618" s="120" t="s">
        <v>4185</v>
      </c>
      <c r="D618" s="33" t="s">
        <v>8390</v>
      </c>
      <c r="E618" s="51" t="s">
        <v>213</v>
      </c>
      <c r="F618" s="121" t="s">
        <v>3009</v>
      </c>
      <c r="G618" s="98" t="str">
        <f>HYPERLINK("http://mirror.ff7data.com.ar/ff7/data/battle/battle.lgp/bkbj.png","View Picture")</f>
        <v>View Picture</v>
      </c>
      <c r="H618" s="75"/>
      <c r="I618" s="74"/>
      <c r="J618" s="74"/>
      <c r="K618" s="74"/>
    </row>
    <row r="619">
      <c r="A619" s="21"/>
      <c r="B619" s="119" t="s">
        <v>8512</v>
      </c>
      <c r="C619" s="120" t="s">
        <v>6029</v>
      </c>
      <c r="D619" s="33" t="s">
        <v>8390</v>
      </c>
      <c r="E619" s="51" t="s">
        <v>213</v>
      </c>
      <c r="F619" s="121" t="s">
        <v>3009</v>
      </c>
      <c r="G619" s="98" t="str">
        <f>HYPERLINK("http://mirror.ff7data.com.ar/ff7/data/battle/battle.lgp/bkbk.png","View Picture")</f>
        <v>View Picture</v>
      </c>
      <c r="H619" s="75"/>
      <c r="I619" s="74"/>
      <c r="J619" s="74"/>
      <c r="K619" s="74"/>
    </row>
    <row r="620">
      <c r="A620" s="21"/>
      <c r="B620" s="119" t="s">
        <v>8519</v>
      </c>
      <c r="C620" s="120" t="s">
        <v>4185</v>
      </c>
      <c r="D620" s="33" t="s">
        <v>8390</v>
      </c>
      <c r="E620" s="51" t="s">
        <v>213</v>
      </c>
      <c r="F620" s="121" t="s">
        <v>3009</v>
      </c>
      <c r="G620" s="98" t="str">
        <f>HYPERLINK("http://mirror.ff7data.com.ar/ff7/data/battle/battle.lgp/bkbl.png","View Picture")</f>
        <v>View Picture</v>
      </c>
      <c r="H620" s="75"/>
      <c r="I620" s="74"/>
      <c r="J620" s="74"/>
      <c r="K620" s="74"/>
    </row>
    <row r="621">
      <c r="A621" s="21"/>
      <c r="B621" s="119" t="s">
        <v>8524</v>
      </c>
      <c r="C621" s="120" t="s">
        <v>8376</v>
      </c>
      <c r="D621" s="33" t="s">
        <v>8390</v>
      </c>
      <c r="E621" s="51" t="s">
        <v>213</v>
      </c>
      <c r="F621" s="121" t="s">
        <v>3025</v>
      </c>
      <c r="G621" s="122"/>
      <c r="H621" s="46" t="s">
        <v>3002</v>
      </c>
      <c r="I621" s="74"/>
      <c r="J621" s="74"/>
      <c r="K621" s="74"/>
    </row>
    <row r="622">
      <c r="A622" s="21"/>
      <c r="B622" s="119" t="s">
        <v>8528</v>
      </c>
      <c r="C622" s="120" t="s">
        <v>5993</v>
      </c>
      <c r="D622" s="33" t="s">
        <v>8530</v>
      </c>
      <c r="E622" s="51" t="s">
        <v>216</v>
      </c>
      <c r="F622" s="121" t="s">
        <v>2971</v>
      </c>
      <c r="G622" s="98" t="str">
        <f>HYPERLINK("http://mirror.ff7data.com.ar/ff7/data/battle/battle.lgp/blaa.png","View Picture")</f>
        <v>View Picture</v>
      </c>
      <c r="H622" s="75"/>
      <c r="I622" s="74"/>
      <c r="J622" s="74"/>
      <c r="K622" s="74"/>
    </row>
    <row r="623">
      <c r="A623" s="21"/>
      <c r="B623" s="119" t="s">
        <v>8537</v>
      </c>
      <c r="C623" s="120" t="s">
        <v>8538</v>
      </c>
      <c r="D623" s="33" t="s">
        <v>8530</v>
      </c>
      <c r="E623" s="51" t="s">
        <v>216</v>
      </c>
      <c r="F623" s="121" t="s">
        <v>2993</v>
      </c>
      <c r="G623" s="122"/>
      <c r="H623" s="46" t="s">
        <v>3002</v>
      </c>
      <c r="I623" s="74"/>
      <c r="J623" s="74"/>
      <c r="K623" s="74"/>
    </row>
    <row r="624">
      <c r="A624" s="21"/>
      <c r="B624" s="119" t="s">
        <v>8541</v>
      </c>
      <c r="C624" s="120" t="s">
        <v>3445</v>
      </c>
      <c r="D624" s="33" t="s">
        <v>8530</v>
      </c>
      <c r="E624" s="51" t="s">
        <v>216</v>
      </c>
      <c r="F624" s="121" t="s">
        <v>3009</v>
      </c>
      <c r="G624" s="98" t="str">
        <f>HYPERLINK("http://mirror.ff7data.com.ar/ff7/data/battle/battle.lgp/blam.png","View Picture")</f>
        <v>View Picture</v>
      </c>
      <c r="H624" s="75"/>
      <c r="I624" s="74"/>
      <c r="J624" s="74"/>
      <c r="K624" s="74"/>
    </row>
    <row r="625">
      <c r="A625" s="21"/>
      <c r="B625" s="119" t="s">
        <v>8548</v>
      </c>
      <c r="C625" s="120" t="s">
        <v>8550</v>
      </c>
      <c r="D625" s="33" t="s">
        <v>8530</v>
      </c>
      <c r="E625" s="51" t="s">
        <v>216</v>
      </c>
      <c r="F625" s="121" t="s">
        <v>3009</v>
      </c>
      <c r="G625" s="98" t="str">
        <f>HYPERLINK("http://mirror.ff7data.com.ar/ff7/data/battle/battle.lgp/blao.png","View Picture")</f>
        <v>View Picture</v>
      </c>
      <c r="H625" s="75"/>
      <c r="I625" s="74"/>
      <c r="J625" s="74"/>
      <c r="K625" s="74"/>
    </row>
    <row r="626">
      <c r="A626" s="21"/>
      <c r="B626" s="119" t="s">
        <v>8557</v>
      </c>
      <c r="C626" s="120" t="s">
        <v>3399</v>
      </c>
      <c r="D626" s="33" t="s">
        <v>8530</v>
      </c>
      <c r="E626" s="51" t="s">
        <v>216</v>
      </c>
      <c r="F626" s="121" t="s">
        <v>3009</v>
      </c>
      <c r="G626" s="98" t="str">
        <f>HYPERLINK("http://mirror.ff7data.com.ar/ff7/data/battle/battle.lgp/blap.png","View Picture")</f>
        <v>View Picture</v>
      </c>
      <c r="H626" s="75"/>
      <c r="I626" s="74"/>
      <c r="J626" s="74"/>
      <c r="K626" s="74"/>
    </row>
    <row r="627">
      <c r="A627" s="21"/>
      <c r="B627" s="119" t="s">
        <v>8564</v>
      </c>
      <c r="C627" s="120" t="s">
        <v>7301</v>
      </c>
      <c r="D627" s="33" t="s">
        <v>8530</v>
      </c>
      <c r="E627" s="51" t="s">
        <v>216</v>
      </c>
      <c r="F627" s="121" t="s">
        <v>3009</v>
      </c>
      <c r="G627" s="98" t="str">
        <f>HYPERLINK("http://mirror.ff7data.com.ar/ff7/data/battle/battle.lgp/blar.png","View Picture")</f>
        <v>View Picture</v>
      </c>
      <c r="H627" s="75"/>
      <c r="I627" s="74"/>
      <c r="J627" s="74"/>
      <c r="K627" s="74"/>
    </row>
    <row r="628">
      <c r="A628" s="21"/>
      <c r="B628" s="119" t="s">
        <v>8573</v>
      </c>
      <c r="C628" s="120" t="s">
        <v>4185</v>
      </c>
      <c r="D628" s="33" t="s">
        <v>8530</v>
      </c>
      <c r="E628" s="51" t="s">
        <v>216</v>
      </c>
      <c r="F628" s="121" t="s">
        <v>3009</v>
      </c>
      <c r="G628" s="98" t="str">
        <f>HYPERLINK("http://mirror.ff7data.com.ar/ff7/data/battle/battle.lgp/blas.png","View Picture")</f>
        <v>View Picture</v>
      </c>
      <c r="H628" s="75"/>
      <c r="I628" s="74"/>
      <c r="J628" s="74"/>
      <c r="K628" s="74"/>
    </row>
    <row r="629">
      <c r="A629" s="21"/>
      <c r="B629" s="119" t="s">
        <v>8582</v>
      </c>
      <c r="C629" s="120" t="s">
        <v>4185</v>
      </c>
      <c r="D629" s="33" t="s">
        <v>8530</v>
      </c>
      <c r="E629" s="51" t="s">
        <v>216</v>
      </c>
      <c r="F629" s="121" t="s">
        <v>3009</v>
      </c>
      <c r="G629" s="98" t="str">
        <f>HYPERLINK("http://mirror.ff7data.com.ar/ff7/data/battle/battle.lgp/blat.png","View Picture")</f>
        <v>View Picture</v>
      </c>
      <c r="H629" s="75"/>
      <c r="I629" s="74"/>
      <c r="J629" s="74"/>
      <c r="K629" s="74"/>
    </row>
    <row r="630">
      <c r="A630" s="21"/>
      <c r="B630" s="119" t="s">
        <v>8593</v>
      </c>
      <c r="C630" s="120" t="s">
        <v>4719</v>
      </c>
      <c r="D630" s="33" t="s">
        <v>8530</v>
      </c>
      <c r="E630" s="51" t="s">
        <v>216</v>
      </c>
      <c r="F630" s="121" t="s">
        <v>3009</v>
      </c>
      <c r="G630" s="98" t="str">
        <f>HYPERLINK("http://mirror.ff7data.com.ar/ff7/data/battle/battle.lgp/blau.png","View Picture")</f>
        <v>View Picture</v>
      </c>
      <c r="H630" s="75"/>
      <c r="I630" s="74"/>
      <c r="J630" s="74"/>
      <c r="K630" s="74"/>
    </row>
    <row r="631">
      <c r="A631" s="21"/>
      <c r="B631" s="119" t="s">
        <v>8603</v>
      </c>
      <c r="C631" s="120" t="s">
        <v>7148</v>
      </c>
      <c r="D631" s="33" t="s">
        <v>8530</v>
      </c>
      <c r="E631" s="51" t="s">
        <v>216</v>
      </c>
      <c r="F631" s="121" t="s">
        <v>3009</v>
      </c>
      <c r="G631" s="98" t="str">
        <f>HYPERLINK("http://mirror.ff7data.com.ar/ff7/data/battle/battle.lgp/blav.png","View Picture")</f>
        <v>View Picture</v>
      </c>
      <c r="H631" s="75"/>
      <c r="I631" s="74"/>
      <c r="J631" s="74"/>
      <c r="K631" s="74"/>
    </row>
    <row r="632">
      <c r="A632" s="21"/>
      <c r="B632" s="119" t="s">
        <v>8612</v>
      </c>
      <c r="C632" s="120" t="s">
        <v>7148</v>
      </c>
      <c r="D632" s="33" t="s">
        <v>8530</v>
      </c>
      <c r="E632" s="51" t="s">
        <v>216</v>
      </c>
      <c r="F632" s="121" t="s">
        <v>3009</v>
      </c>
      <c r="G632" s="98" t="str">
        <f>HYPERLINK("http://mirror.ff7data.com.ar/ff7/data/battle/battle.lgp/blaw.png","View Picture")</f>
        <v>View Picture</v>
      </c>
      <c r="H632" s="75"/>
      <c r="I632" s="74"/>
      <c r="J632" s="74"/>
      <c r="K632" s="74"/>
    </row>
    <row r="633">
      <c r="A633" s="21"/>
      <c r="B633" s="119" t="s">
        <v>8621</v>
      </c>
      <c r="C633" s="120" t="s">
        <v>7148</v>
      </c>
      <c r="D633" s="33" t="s">
        <v>8530</v>
      </c>
      <c r="E633" s="51" t="s">
        <v>216</v>
      </c>
      <c r="F633" s="121" t="s">
        <v>3009</v>
      </c>
      <c r="G633" s="98" t="str">
        <f>HYPERLINK("http://mirror.ff7data.com.ar/ff7/data/battle/battle.lgp/blax.png","View Picture")</f>
        <v>View Picture</v>
      </c>
      <c r="H633" s="75"/>
      <c r="I633" s="74"/>
      <c r="J633" s="74"/>
      <c r="K633" s="74"/>
    </row>
    <row r="634">
      <c r="A634" s="21"/>
      <c r="B634" s="119" t="s">
        <v>8633</v>
      </c>
      <c r="C634" s="120" t="s">
        <v>4732</v>
      </c>
      <c r="D634" s="33" t="s">
        <v>8530</v>
      </c>
      <c r="E634" s="51" t="s">
        <v>216</v>
      </c>
      <c r="F634" s="121" t="s">
        <v>3009</v>
      </c>
      <c r="G634" s="98" t="str">
        <f>HYPERLINK("http://mirror.ff7data.com.ar/ff7/data/battle/battle.lgp/blay.png","View Picture")</f>
        <v>View Picture</v>
      </c>
      <c r="H634" s="75"/>
      <c r="I634" s="74"/>
      <c r="J634" s="74"/>
      <c r="K634" s="74"/>
    </row>
    <row r="635">
      <c r="A635" s="21"/>
      <c r="B635" s="119" t="s">
        <v>8641</v>
      </c>
      <c r="C635" s="120" t="s">
        <v>7301</v>
      </c>
      <c r="D635" s="33" t="s">
        <v>8530</v>
      </c>
      <c r="E635" s="51" t="s">
        <v>216</v>
      </c>
      <c r="F635" s="121" t="s">
        <v>3009</v>
      </c>
      <c r="G635" s="98" t="str">
        <f>HYPERLINK("http://mirror.ff7data.com.ar/ff7/data/battle/battle.lgp/blbb.png","View Picture")</f>
        <v>View Picture</v>
      </c>
      <c r="H635" s="75"/>
      <c r="I635" s="74"/>
      <c r="J635" s="74"/>
      <c r="K635" s="74"/>
    </row>
    <row r="636">
      <c r="A636" s="21"/>
      <c r="B636" s="119" t="s">
        <v>8647</v>
      </c>
      <c r="C636" s="120" t="s">
        <v>8649</v>
      </c>
      <c r="D636" s="33" t="s">
        <v>8530</v>
      </c>
      <c r="E636" s="51" t="s">
        <v>216</v>
      </c>
      <c r="F636" s="121" t="s">
        <v>3009</v>
      </c>
      <c r="G636" s="98" t="str">
        <f>HYPERLINK("http://mirror.ff7data.com.ar/ff7/data/battle/battle.lgp/blbc.png","View Picture")</f>
        <v>View Picture</v>
      </c>
      <c r="H636" s="75"/>
      <c r="I636" s="74"/>
      <c r="J636" s="74"/>
      <c r="K636" s="74"/>
    </row>
    <row r="637">
      <c r="A637" s="21"/>
      <c r="B637" s="119" t="s">
        <v>8659</v>
      </c>
      <c r="C637" s="120" t="s">
        <v>6830</v>
      </c>
      <c r="D637" s="33" t="s">
        <v>8530</v>
      </c>
      <c r="E637" s="51" t="s">
        <v>216</v>
      </c>
      <c r="F637" s="121" t="s">
        <v>3009</v>
      </c>
      <c r="G637" s="98" t="str">
        <f>HYPERLINK("http://mirror.ff7data.com.ar/ff7/data/battle/battle.lgp/blbd.png","View Picture")</f>
        <v>View Picture</v>
      </c>
      <c r="H637" s="75"/>
      <c r="I637" s="74"/>
      <c r="J637" s="74"/>
      <c r="K637" s="74"/>
    </row>
    <row r="638">
      <c r="A638" s="21"/>
      <c r="B638" s="119" t="s">
        <v>8668</v>
      </c>
      <c r="C638" s="120" t="s">
        <v>3749</v>
      </c>
      <c r="D638" s="33" t="s">
        <v>8530</v>
      </c>
      <c r="E638" s="51" t="s">
        <v>216</v>
      </c>
      <c r="F638" s="121" t="s">
        <v>3009</v>
      </c>
      <c r="G638" s="98" t="str">
        <f>HYPERLINK("http://mirror.ff7data.com.ar/ff7/data/battle/battle.lgp/blbf.png","View Picture")</f>
        <v>View Picture</v>
      </c>
      <c r="H638" s="75"/>
      <c r="I638" s="74"/>
      <c r="J638" s="74"/>
      <c r="K638" s="74"/>
    </row>
    <row r="639">
      <c r="A639" s="21"/>
      <c r="B639" s="119" t="s">
        <v>8678</v>
      </c>
      <c r="C639" s="120" t="s">
        <v>3749</v>
      </c>
      <c r="D639" s="33" t="s">
        <v>8530</v>
      </c>
      <c r="E639" s="51" t="s">
        <v>216</v>
      </c>
      <c r="F639" s="121" t="s">
        <v>3009</v>
      </c>
      <c r="G639" s="98" t="str">
        <f>HYPERLINK("http://mirror.ff7data.com.ar/ff7/data/battle/battle.lgp/blbg.png","View Picture")</f>
        <v>View Picture</v>
      </c>
      <c r="H639" s="75"/>
      <c r="I639" s="74"/>
      <c r="J639" s="74"/>
      <c r="K639" s="74"/>
    </row>
    <row r="640">
      <c r="A640" s="21"/>
      <c r="B640" s="119" t="s">
        <v>8687</v>
      </c>
      <c r="C640" s="120" t="s">
        <v>3749</v>
      </c>
      <c r="D640" s="33" t="s">
        <v>8530</v>
      </c>
      <c r="E640" s="51" t="s">
        <v>216</v>
      </c>
      <c r="F640" s="121" t="s">
        <v>3009</v>
      </c>
      <c r="G640" s="98" t="str">
        <f>HYPERLINK("http://mirror.ff7data.com.ar/ff7/data/battle/battle.lgp/blbh.png","View Picture")</f>
        <v>View Picture</v>
      </c>
      <c r="H640" s="75"/>
      <c r="I640" s="74"/>
      <c r="J640" s="74"/>
      <c r="K640" s="74"/>
    </row>
    <row r="641">
      <c r="A641" s="21"/>
      <c r="B641" s="119" t="s">
        <v>8696</v>
      </c>
      <c r="C641" s="120" t="s">
        <v>3355</v>
      </c>
      <c r="D641" s="33" t="s">
        <v>8530</v>
      </c>
      <c r="E641" s="51" t="s">
        <v>216</v>
      </c>
      <c r="F641" s="121" t="s">
        <v>3009</v>
      </c>
      <c r="G641" s="98" t="str">
        <f>HYPERLINK("http://mirror.ff7data.com.ar/ff7/data/battle/battle.lgp/blbk.png","View Picture")</f>
        <v>View Picture</v>
      </c>
      <c r="H641" s="75"/>
      <c r="I641" s="74"/>
      <c r="J641" s="74"/>
      <c r="K641" s="74"/>
    </row>
    <row r="642">
      <c r="A642" s="21"/>
      <c r="B642" s="119" t="s">
        <v>8704</v>
      </c>
      <c r="C642" s="120" t="s">
        <v>8649</v>
      </c>
      <c r="D642" s="33" t="s">
        <v>8530</v>
      </c>
      <c r="E642" s="51" t="s">
        <v>216</v>
      </c>
      <c r="F642" s="121" t="s">
        <v>3009</v>
      </c>
      <c r="G642" s="98" t="str">
        <f>HYPERLINK("http://mirror.ff7data.com.ar/ff7/data/battle/battle.lgp/blbl.png","View Picture")</f>
        <v>View Picture</v>
      </c>
      <c r="H642" s="75"/>
      <c r="I642" s="74"/>
      <c r="J642" s="74"/>
      <c r="K642" s="74"/>
    </row>
    <row r="643">
      <c r="A643" s="21"/>
      <c r="B643" s="119" t="s">
        <v>8712</v>
      </c>
      <c r="C643" s="120" t="s">
        <v>6830</v>
      </c>
      <c r="D643" s="33" t="s">
        <v>8530</v>
      </c>
      <c r="E643" s="51" t="s">
        <v>216</v>
      </c>
      <c r="F643" s="121" t="s">
        <v>3009</v>
      </c>
      <c r="G643" s="98" t="str">
        <f>HYPERLINK("http://mirror.ff7data.com.ar/ff7/data/battle/battle.lgp/blbm.png","View Picture")</f>
        <v>View Picture</v>
      </c>
      <c r="H643" s="75"/>
      <c r="I643" s="74"/>
      <c r="J643" s="74"/>
      <c r="K643" s="74"/>
    </row>
    <row r="644">
      <c r="A644" s="21"/>
      <c r="B644" s="119" t="s">
        <v>8721</v>
      </c>
      <c r="C644" s="120" t="s">
        <v>3749</v>
      </c>
      <c r="D644" s="33" t="s">
        <v>8530</v>
      </c>
      <c r="E644" s="51" t="s">
        <v>216</v>
      </c>
      <c r="F644" s="121" t="s">
        <v>3009</v>
      </c>
      <c r="G644" s="98" t="str">
        <f>HYPERLINK("http://mirror.ff7data.com.ar/ff7/data/battle/battle.lgp/blbo.png","View Picture")</f>
        <v>View Picture</v>
      </c>
      <c r="H644" s="75"/>
      <c r="I644" s="74"/>
      <c r="J644" s="74"/>
      <c r="K644" s="74"/>
    </row>
    <row r="645">
      <c r="A645" s="21"/>
      <c r="B645" s="119" t="s">
        <v>8731</v>
      </c>
      <c r="C645" s="120" t="s">
        <v>3749</v>
      </c>
      <c r="D645" s="33" t="s">
        <v>8530</v>
      </c>
      <c r="E645" s="51" t="s">
        <v>216</v>
      </c>
      <c r="F645" s="121" t="s">
        <v>3009</v>
      </c>
      <c r="G645" s="98" t="str">
        <f>HYPERLINK("http://mirror.ff7data.com.ar/ff7/data/battle/battle.lgp/blbp.png","View Picture")</f>
        <v>View Picture</v>
      </c>
      <c r="H645" s="75"/>
      <c r="I645" s="74"/>
      <c r="J645" s="74"/>
      <c r="K645" s="74"/>
    </row>
    <row r="646">
      <c r="A646" s="21"/>
      <c r="B646" s="119" t="s">
        <v>8741</v>
      </c>
      <c r="C646" s="120" t="s">
        <v>3749</v>
      </c>
      <c r="D646" s="33" t="s">
        <v>8530</v>
      </c>
      <c r="E646" s="51" t="s">
        <v>216</v>
      </c>
      <c r="F646" s="121" t="s">
        <v>3009</v>
      </c>
      <c r="G646" s="98" t="str">
        <f>HYPERLINK("http://mirror.ff7data.com.ar/ff7/data/battle/battle.lgp/blbq.png","View Picture")</f>
        <v>View Picture</v>
      </c>
      <c r="H646" s="75"/>
      <c r="I646" s="74"/>
      <c r="J646" s="74"/>
      <c r="K646" s="74"/>
    </row>
    <row r="647">
      <c r="A647" s="21"/>
      <c r="B647" s="119" t="s">
        <v>8751</v>
      </c>
      <c r="C647" s="120" t="s">
        <v>7165</v>
      </c>
      <c r="D647" s="33" t="s">
        <v>8530</v>
      </c>
      <c r="E647" s="51" t="s">
        <v>216</v>
      </c>
      <c r="F647" s="121" t="s">
        <v>3009</v>
      </c>
      <c r="G647" s="98" t="str">
        <f>HYPERLINK("http://mirror.ff7data.com.ar/ff7/data/battle/battle.lgp/blbt.png","View Picture")</f>
        <v>View Picture</v>
      </c>
      <c r="H647" s="75"/>
      <c r="I647" s="74"/>
      <c r="J647" s="74"/>
      <c r="K647" s="74"/>
    </row>
    <row r="648">
      <c r="A648" s="21"/>
      <c r="B648" s="119" t="s">
        <v>8757</v>
      </c>
      <c r="C648" s="120" t="s">
        <v>4719</v>
      </c>
      <c r="D648" s="33" t="s">
        <v>8530</v>
      </c>
      <c r="E648" s="51" t="s">
        <v>216</v>
      </c>
      <c r="F648" s="121" t="s">
        <v>3009</v>
      </c>
      <c r="G648" s="98" t="str">
        <f>HYPERLINK("http://mirror.ff7data.com.ar/ff7/data/battle/battle.lgp/blbu.png","View Picture")</f>
        <v>View Picture</v>
      </c>
      <c r="H648" s="75"/>
      <c r="I648" s="74"/>
      <c r="J648" s="74"/>
      <c r="K648" s="74"/>
    </row>
    <row r="649">
      <c r="A649" s="21"/>
      <c r="B649" s="119" t="s">
        <v>8767</v>
      </c>
      <c r="C649" s="120" t="s">
        <v>4396</v>
      </c>
      <c r="D649" s="33" t="s">
        <v>8530</v>
      </c>
      <c r="E649" s="51" t="s">
        <v>216</v>
      </c>
      <c r="F649" s="121" t="s">
        <v>3009</v>
      </c>
      <c r="G649" s="98" t="str">
        <f>HYPERLINK("http://mirror.ff7data.com.ar/ff7/data/battle/battle.lgp/blbv.png","View Picture")</f>
        <v>View Picture</v>
      </c>
      <c r="H649" s="75"/>
      <c r="I649" s="74"/>
      <c r="J649" s="74"/>
      <c r="K649" s="74"/>
    </row>
    <row r="650">
      <c r="A650" s="21"/>
      <c r="B650" s="119" t="s">
        <v>8775</v>
      </c>
      <c r="C650" s="120" t="s">
        <v>4357</v>
      </c>
      <c r="D650" s="33" t="s">
        <v>8530</v>
      </c>
      <c r="E650" s="51" t="s">
        <v>216</v>
      </c>
      <c r="F650" s="121" t="s">
        <v>3009</v>
      </c>
      <c r="G650" s="98" t="str">
        <f>HYPERLINK("http://mirror.ff7data.com.ar/ff7/data/battle/battle.lgp/blby.png","View Picture")</f>
        <v>View Picture</v>
      </c>
      <c r="H650" s="75"/>
      <c r="I650" s="74"/>
      <c r="J650" s="74"/>
      <c r="K650" s="74"/>
    </row>
    <row r="651">
      <c r="A651" s="21"/>
      <c r="B651" s="119" t="s">
        <v>8782</v>
      </c>
      <c r="C651" s="120" t="s">
        <v>4719</v>
      </c>
      <c r="D651" s="33" t="s">
        <v>8530</v>
      </c>
      <c r="E651" s="51" t="s">
        <v>216</v>
      </c>
      <c r="F651" s="121" t="s">
        <v>3009</v>
      </c>
      <c r="G651" s="98" t="str">
        <f>HYPERLINK("http://mirror.ff7data.com.ar/ff7/data/battle/battle.lgp/blbz.png","View Picture")</f>
        <v>View Picture</v>
      </c>
      <c r="H651" s="75"/>
      <c r="I651" s="74"/>
      <c r="J651" s="74"/>
      <c r="K651" s="74"/>
    </row>
    <row r="652">
      <c r="A652" s="21"/>
      <c r="B652" s="119" t="s">
        <v>8791</v>
      </c>
      <c r="C652" s="120" t="s">
        <v>4396</v>
      </c>
      <c r="D652" s="33" t="s">
        <v>8530</v>
      </c>
      <c r="E652" s="51" t="s">
        <v>216</v>
      </c>
      <c r="F652" s="121" t="s">
        <v>3009</v>
      </c>
      <c r="G652" s="98" t="str">
        <f>HYPERLINK("http://mirror.ff7data.com.ar/ff7/data/battle/battle.lgp/blca.png","View Picture")</f>
        <v>View Picture</v>
      </c>
      <c r="H652" s="75"/>
      <c r="I652" s="74"/>
      <c r="J652" s="74"/>
      <c r="K652" s="74"/>
    </row>
    <row r="653">
      <c r="A653" s="21"/>
      <c r="B653" s="119" t="s">
        <v>8798</v>
      </c>
      <c r="C653" s="120" t="s">
        <v>5419</v>
      </c>
      <c r="D653" s="33" t="s">
        <v>8530</v>
      </c>
      <c r="E653" s="51" t="s">
        <v>216</v>
      </c>
      <c r="F653" s="121" t="s">
        <v>3009</v>
      </c>
      <c r="G653" s="98" t="str">
        <f>HYPERLINK("http://mirror.ff7data.com.ar/ff7/data/battle/battle.lgp/blcb.png","View Picture")</f>
        <v>View Picture</v>
      </c>
      <c r="H653" s="75"/>
      <c r="I653" s="74"/>
      <c r="J653" s="74"/>
      <c r="K653" s="74"/>
    </row>
    <row r="654">
      <c r="A654" s="21"/>
      <c r="B654" s="119" t="s">
        <v>8807</v>
      </c>
      <c r="C654" s="120" t="s">
        <v>4057</v>
      </c>
      <c r="D654" s="33" t="s">
        <v>8530</v>
      </c>
      <c r="E654" s="51" t="s">
        <v>216</v>
      </c>
      <c r="F654" s="121" t="s">
        <v>3009</v>
      </c>
      <c r="G654" s="98" t="str">
        <f>HYPERLINK("http://mirror.ff7data.com.ar/ff7/data/battle/battle.lgp/blcc.png","View Picture")</f>
        <v>View Picture</v>
      </c>
      <c r="H654" s="75"/>
      <c r="I654" s="74"/>
      <c r="J654" s="74"/>
      <c r="K654" s="74"/>
    </row>
    <row r="655">
      <c r="A655" s="21"/>
      <c r="B655" s="119" t="s">
        <v>8817</v>
      </c>
      <c r="C655" s="120" t="s">
        <v>4372</v>
      </c>
      <c r="D655" s="33" t="s">
        <v>8530</v>
      </c>
      <c r="E655" s="51" t="s">
        <v>216</v>
      </c>
      <c r="F655" s="121" t="s">
        <v>3009</v>
      </c>
      <c r="G655" s="98" t="str">
        <f>HYPERLINK("http://mirror.ff7data.com.ar/ff7/data/battle/battle.lgp/blcd.png","View Picture")</f>
        <v>View Picture</v>
      </c>
      <c r="H655" s="75"/>
      <c r="I655" s="74"/>
      <c r="J655" s="74"/>
      <c r="K655" s="74"/>
    </row>
    <row r="656">
      <c r="A656" s="21"/>
      <c r="B656" s="119" t="s">
        <v>8823</v>
      </c>
      <c r="C656" s="120" t="s">
        <v>3614</v>
      </c>
      <c r="D656" s="33" t="s">
        <v>8530</v>
      </c>
      <c r="E656" s="51" t="s">
        <v>216</v>
      </c>
      <c r="F656" s="121" t="s">
        <v>3009</v>
      </c>
      <c r="G656" s="98" t="str">
        <f>HYPERLINK("http://mirror.ff7data.com.ar/ff7/data/battle/battle.lgp/blce.png","View Picture")</f>
        <v>View Picture</v>
      </c>
      <c r="H656" s="75"/>
      <c r="I656" s="74"/>
      <c r="J656" s="74"/>
      <c r="K656" s="74"/>
    </row>
    <row r="657">
      <c r="A657" s="21"/>
      <c r="B657" s="119" t="s">
        <v>8833</v>
      </c>
      <c r="C657" s="120" t="s">
        <v>7165</v>
      </c>
      <c r="D657" s="33" t="s">
        <v>8530</v>
      </c>
      <c r="E657" s="51" t="s">
        <v>216</v>
      </c>
      <c r="F657" s="121" t="s">
        <v>3009</v>
      </c>
      <c r="G657" s="98" t="str">
        <f>HYPERLINK("http://mirror.ff7data.com.ar/ff7/data/battle/battle.lgp/blcf.png","View Picture")</f>
        <v>View Picture</v>
      </c>
      <c r="H657" s="75"/>
      <c r="I657" s="74"/>
      <c r="J657" s="74"/>
      <c r="K657" s="74"/>
    </row>
    <row r="658">
      <c r="A658" s="21"/>
      <c r="B658" s="119" t="s">
        <v>8839</v>
      </c>
      <c r="C658" s="120" t="s">
        <v>4012</v>
      </c>
      <c r="D658" s="33" t="s">
        <v>8530</v>
      </c>
      <c r="E658" s="51" t="s">
        <v>216</v>
      </c>
      <c r="F658" s="121" t="s">
        <v>3025</v>
      </c>
      <c r="G658" s="122"/>
      <c r="H658" s="46" t="s">
        <v>3002</v>
      </c>
      <c r="I658" s="74"/>
      <c r="J658" s="74"/>
      <c r="K658" s="74"/>
    </row>
    <row r="659">
      <c r="A659" s="21"/>
      <c r="B659" s="119" t="s">
        <v>8842</v>
      </c>
      <c r="C659" s="120" t="s">
        <v>8845</v>
      </c>
      <c r="D659" s="33" t="s">
        <v>8847</v>
      </c>
      <c r="E659" s="51" t="s">
        <v>219</v>
      </c>
      <c r="F659" s="121" t="s">
        <v>2971</v>
      </c>
      <c r="G659" s="98" t="str">
        <f>HYPERLINK("http://mirror.ff7data.com.ar/ff7/data/battle/battle.lgp/bmaa.png","View Picture")</f>
        <v>View Picture</v>
      </c>
      <c r="H659" s="75"/>
      <c r="I659" s="74"/>
      <c r="J659" s="74"/>
      <c r="K659" s="74"/>
    </row>
    <row r="660">
      <c r="A660" s="21"/>
      <c r="B660" s="119" t="s">
        <v>8856</v>
      </c>
      <c r="C660" s="120" t="s">
        <v>4209</v>
      </c>
      <c r="D660" s="33" t="s">
        <v>8857</v>
      </c>
      <c r="E660" s="51" t="s">
        <v>219</v>
      </c>
      <c r="F660" s="121" t="s">
        <v>2993</v>
      </c>
      <c r="G660" s="122"/>
      <c r="H660" s="46" t="s">
        <v>3002</v>
      </c>
      <c r="I660" s="74"/>
      <c r="J660" s="74"/>
      <c r="K660" s="74"/>
    </row>
    <row r="661">
      <c r="A661" s="21"/>
      <c r="B661" s="119" t="s">
        <v>8863</v>
      </c>
      <c r="C661" s="120" t="s">
        <v>3552</v>
      </c>
      <c r="D661" s="33" t="s">
        <v>8864</v>
      </c>
      <c r="E661" s="51" t="s">
        <v>219</v>
      </c>
      <c r="F661" s="121" t="s">
        <v>1348</v>
      </c>
      <c r="G661" s="98" t="str">
        <f>HYPERLINK("http://mirror.ff7data.com.ar/ff7/data/battle/battle.lgp/bmac.png","View Picture")</f>
        <v>View Picture</v>
      </c>
      <c r="H661" s="75"/>
      <c r="I661" s="74"/>
      <c r="J661" s="74"/>
      <c r="K661" s="74"/>
    </row>
    <row r="662">
      <c r="A662" s="21"/>
      <c r="B662" s="119" t="s">
        <v>8871</v>
      </c>
      <c r="C662" s="120" t="s">
        <v>4191</v>
      </c>
      <c r="D662" s="33" t="s">
        <v>8864</v>
      </c>
      <c r="E662" s="51" t="s">
        <v>219</v>
      </c>
      <c r="F662" s="121" t="s">
        <v>1348</v>
      </c>
      <c r="G662" s="98" t="str">
        <f>HYPERLINK("http://mirror.ff7data.com.ar/ff7/data/battle/battle.lgp/bmad.png","View Picture")</f>
        <v>View Picture</v>
      </c>
      <c r="H662" s="75"/>
      <c r="I662" s="74"/>
      <c r="J662" s="74"/>
      <c r="K662" s="74"/>
    </row>
    <row r="663">
      <c r="A663" s="21"/>
      <c r="B663" s="119" t="s">
        <v>8880</v>
      </c>
      <c r="C663" s="120" t="s">
        <v>7062</v>
      </c>
      <c r="D663" s="33" t="s">
        <v>8857</v>
      </c>
      <c r="E663" s="51" t="s">
        <v>219</v>
      </c>
      <c r="F663" s="121" t="s">
        <v>3009</v>
      </c>
      <c r="G663" s="98" t="str">
        <f>HYPERLINK("http://mirror.ff7data.com.ar/ff7/data/battle/battle.lgp/bmam.png","View Picture")</f>
        <v>View Picture</v>
      </c>
      <c r="H663" s="75"/>
      <c r="I663" s="74"/>
      <c r="J663" s="74"/>
      <c r="K663" s="74"/>
    </row>
    <row r="664">
      <c r="A664" s="21"/>
      <c r="B664" s="119" t="s">
        <v>8889</v>
      </c>
      <c r="C664" s="120" t="s">
        <v>4264</v>
      </c>
      <c r="D664" s="33" t="s">
        <v>8857</v>
      </c>
      <c r="E664" s="51" t="s">
        <v>219</v>
      </c>
      <c r="F664" s="121" t="s">
        <v>3009</v>
      </c>
      <c r="G664" s="98" t="str">
        <f>HYPERLINK("http://mirror.ff7data.com.ar/ff7/data/battle/battle.lgp/bmao.png","View Picture")</f>
        <v>View Picture</v>
      </c>
      <c r="H664" s="75"/>
      <c r="I664" s="74"/>
      <c r="J664" s="74"/>
      <c r="K664" s="74"/>
    </row>
    <row r="665">
      <c r="A665" s="21"/>
      <c r="B665" s="119" t="s">
        <v>8897</v>
      </c>
      <c r="C665" s="120" t="s">
        <v>4719</v>
      </c>
      <c r="D665" s="33" t="s">
        <v>8857</v>
      </c>
      <c r="E665" s="51" t="s">
        <v>219</v>
      </c>
      <c r="F665" s="121" t="s">
        <v>3009</v>
      </c>
      <c r="G665" s="98" t="str">
        <f>HYPERLINK("http://mirror.ff7data.com.ar/ff7/data/battle/battle.lgp/bmap.png","View Picture")</f>
        <v>View Picture</v>
      </c>
      <c r="H665" s="75"/>
      <c r="I665" s="74"/>
      <c r="J665" s="74"/>
      <c r="K665" s="74"/>
    </row>
    <row r="666">
      <c r="A666" s="21"/>
      <c r="B666" s="119" t="s">
        <v>8907</v>
      </c>
      <c r="C666" s="120" t="s">
        <v>3658</v>
      </c>
      <c r="D666" s="33" t="s">
        <v>8857</v>
      </c>
      <c r="E666" s="51" t="s">
        <v>219</v>
      </c>
      <c r="F666" s="121" t="s">
        <v>3009</v>
      </c>
      <c r="G666" s="98" t="str">
        <f>HYPERLINK("http://mirror.ff7data.com.ar/ff7/data/battle/battle.lgp/bmaq.png","View Picture")</f>
        <v>View Picture</v>
      </c>
      <c r="H666" s="75"/>
      <c r="I666" s="74"/>
      <c r="J666" s="74"/>
      <c r="K666" s="74"/>
    </row>
    <row r="667">
      <c r="A667" s="21"/>
      <c r="B667" s="119" t="s">
        <v>8916</v>
      </c>
      <c r="C667" s="120" t="s">
        <v>3494</v>
      </c>
      <c r="D667" s="33" t="s">
        <v>8857</v>
      </c>
      <c r="E667" s="51" t="s">
        <v>219</v>
      </c>
      <c r="F667" s="121" t="s">
        <v>3009</v>
      </c>
      <c r="G667" s="98" t="str">
        <f>HYPERLINK("http://mirror.ff7data.com.ar/ff7/data/battle/battle.lgp/bmas.png","View Picture")</f>
        <v>View Picture</v>
      </c>
      <c r="H667" s="75"/>
      <c r="I667" s="74"/>
      <c r="J667" s="74"/>
      <c r="K667" s="74"/>
    </row>
    <row r="668">
      <c r="A668" s="21"/>
      <c r="B668" s="119" t="s">
        <v>8922</v>
      </c>
      <c r="C668" s="120" t="s">
        <v>8923</v>
      </c>
      <c r="D668" s="33" t="s">
        <v>8857</v>
      </c>
      <c r="E668" s="51" t="s">
        <v>219</v>
      </c>
      <c r="F668" s="121" t="s">
        <v>3009</v>
      </c>
      <c r="G668" s="98" t="str">
        <f>HYPERLINK("http://mirror.ff7data.com.ar/ff7/data/battle/battle.lgp/bmat.png","View Picture")</f>
        <v>View Picture</v>
      </c>
      <c r="H668" s="75"/>
      <c r="I668" s="74"/>
      <c r="J668" s="74"/>
      <c r="K668" s="74"/>
    </row>
    <row r="669">
      <c r="A669" s="21"/>
      <c r="B669" s="119" t="s">
        <v>8931</v>
      </c>
      <c r="C669" s="120" t="s">
        <v>4264</v>
      </c>
      <c r="D669" s="33" t="s">
        <v>8857</v>
      </c>
      <c r="E669" s="51" t="s">
        <v>219</v>
      </c>
      <c r="F669" s="121" t="s">
        <v>3009</v>
      </c>
      <c r="G669" s="98" t="str">
        <f>HYPERLINK("http://mirror.ff7data.com.ar/ff7/data/battle/battle.lgp/bmav.png","View Picture")</f>
        <v>View Picture</v>
      </c>
      <c r="H669" s="75"/>
      <c r="I669" s="74"/>
      <c r="J669" s="74"/>
      <c r="K669" s="74"/>
    </row>
    <row r="670">
      <c r="A670" s="21"/>
      <c r="B670" s="119" t="s">
        <v>8937</v>
      </c>
      <c r="C670" s="120" t="s">
        <v>4719</v>
      </c>
      <c r="D670" s="33" t="s">
        <v>8857</v>
      </c>
      <c r="E670" s="51" t="s">
        <v>219</v>
      </c>
      <c r="F670" s="121" t="s">
        <v>3009</v>
      </c>
      <c r="G670" s="98" t="str">
        <f>HYPERLINK("http://mirror.ff7data.com.ar/ff7/data/battle/battle.lgp/bmaw.png","View Picture")</f>
        <v>View Picture</v>
      </c>
      <c r="H670" s="75"/>
      <c r="I670" s="74"/>
      <c r="J670" s="74"/>
      <c r="K670" s="74"/>
    </row>
    <row r="671">
      <c r="A671" s="21"/>
      <c r="B671" s="119" t="s">
        <v>8945</v>
      </c>
      <c r="C671" s="120" t="s">
        <v>3842</v>
      </c>
      <c r="D671" s="33" t="s">
        <v>8857</v>
      </c>
      <c r="E671" s="51" t="s">
        <v>219</v>
      </c>
      <c r="F671" s="121" t="s">
        <v>3009</v>
      </c>
      <c r="G671" s="98" t="str">
        <f>HYPERLINK("http://mirror.ff7data.com.ar/ff7/data/battle/battle.lgp/bmax.png","View Picture")</f>
        <v>View Picture</v>
      </c>
      <c r="H671" s="75"/>
      <c r="I671" s="74"/>
      <c r="J671" s="74"/>
      <c r="K671" s="74"/>
    </row>
    <row r="672">
      <c r="A672" s="21"/>
      <c r="B672" s="119" t="s">
        <v>8953</v>
      </c>
      <c r="C672" s="120" t="s">
        <v>4217</v>
      </c>
      <c r="D672" s="33" t="s">
        <v>8857</v>
      </c>
      <c r="E672" s="51" t="s">
        <v>219</v>
      </c>
      <c r="F672" s="121" t="s">
        <v>3009</v>
      </c>
      <c r="G672" s="98" t="str">
        <f>HYPERLINK("http://mirror.ff7data.com.ar/ff7/data/battle/battle.lgp/bmay.png","View Picture")</f>
        <v>View Picture</v>
      </c>
      <c r="H672" s="75"/>
      <c r="I672" s="74"/>
      <c r="J672" s="74"/>
      <c r="K672" s="74"/>
    </row>
    <row r="673">
      <c r="A673" s="21"/>
      <c r="B673" s="119" t="s">
        <v>8962</v>
      </c>
      <c r="C673" s="120" t="s">
        <v>4732</v>
      </c>
      <c r="D673" s="33" t="s">
        <v>8857</v>
      </c>
      <c r="E673" s="51" t="s">
        <v>219</v>
      </c>
      <c r="F673" s="121" t="s">
        <v>3009</v>
      </c>
      <c r="G673" s="98" t="str">
        <f>HYPERLINK("http://mirror.ff7data.com.ar/ff7/data/battle/battle.lgp/bmba.png","View Picture")</f>
        <v>View Picture</v>
      </c>
      <c r="H673" s="75"/>
      <c r="I673" s="74"/>
      <c r="J673" s="74"/>
      <c r="K673" s="74"/>
    </row>
    <row r="674">
      <c r="A674" s="21"/>
      <c r="B674" s="119" t="s">
        <v>8970</v>
      </c>
      <c r="C674" s="120" t="s">
        <v>4185</v>
      </c>
      <c r="D674" s="33" t="s">
        <v>8857</v>
      </c>
      <c r="E674" s="51" t="s">
        <v>219</v>
      </c>
      <c r="F674" s="121" t="s">
        <v>3009</v>
      </c>
      <c r="G674" s="98" t="str">
        <f>HYPERLINK("http://mirror.ff7data.com.ar/ff7/data/battle/battle.lgp/bmbb.png","View Picture")</f>
        <v>View Picture</v>
      </c>
      <c r="H674" s="75"/>
      <c r="I674" s="74"/>
      <c r="J674" s="74"/>
      <c r="K674" s="74"/>
    </row>
    <row r="675">
      <c r="A675" s="21"/>
      <c r="B675" s="119" t="s">
        <v>8978</v>
      </c>
      <c r="C675" s="120" t="s">
        <v>4252</v>
      </c>
      <c r="D675" s="33" t="s">
        <v>8857</v>
      </c>
      <c r="E675" s="51" t="s">
        <v>219</v>
      </c>
      <c r="F675" s="121" t="s">
        <v>3009</v>
      </c>
      <c r="G675" s="98" t="str">
        <f>HYPERLINK("http://mirror.ff7data.com.ar/ff7/data/battle/battle.lgp/bmbc.png","View Picture")</f>
        <v>View Picture</v>
      </c>
      <c r="H675" s="75"/>
      <c r="I675" s="74"/>
      <c r="J675" s="74"/>
      <c r="K675" s="74"/>
    </row>
    <row r="676">
      <c r="A676" s="21"/>
      <c r="B676" s="119" t="s">
        <v>8988</v>
      </c>
      <c r="C676" s="120" t="s">
        <v>4926</v>
      </c>
      <c r="D676" s="33" t="s">
        <v>8857</v>
      </c>
      <c r="E676" s="51" t="s">
        <v>219</v>
      </c>
      <c r="F676" s="121" t="s">
        <v>3009</v>
      </c>
      <c r="G676" s="98" t="str">
        <f>HYPERLINK("http://mirror.ff7data.com.ar/ff7/data/battle/battle.lgp/bmbe.png","View Picture")</f>
        <v>View Picture</v>
      </c>
      <c r="H676" s="75"/>
      <c r="I676" s="74"/>
      <c r="J676" s="74"/>
      <c r="K676" s="74"/>
    </row>
    <row r="677">
      <c r="A677" s="21"/>
      <c r="B677" s="119" t="s">
        <v>8995</v>
      </c>
      <c r="C677" s="120" t="s">
        <v>4926</v>
      </c>
      <c r="D677" s="33" t="s">
        <v>8857</v>
      </c>
      <c r="E677" s="51" t="s">
        <v>219</v>
      </c>
      <c r="F677" s="121" t="s">
        <v>3009</v>
      </c>
      <c r="G677" s="98" t="str">
        <f>HYPERLINK("http://mirror.ff7data.com.ar/ff7/data/battle/battle.lgp/bmbf.png","View Picture")</f>
        <v>View Picture</v>
      </c>
      <c r="H677" s="75"/>
      <c r="I677" s="74"/>
      <c r="J677" s="74"/>
      <c r="K677" s="74"/>
    </row>
    <row r="678">
      <c r="A678" s="21"/>
      <c r="B678" s="119" t="s">
        <v>9005</v>
      </c>
      <c r="C678" s="120" t="s">
        <v>7148</v>
      </c>
      <c r="D678" s="33" t="s">
        <v>8857</v>
      </c>
      <c r="E678" s="51" t="s">
        <v>219</v>
      </c>
      <c r="F678" s="121" t="s">
        <v>3009</v>
      </c>
      <c r="G678" s="98" t="str">
        <f>HYPERLINK("http://mirror.ff7data.com.ar/ff7/data/battle/battle.lgp/bmbg.png","View Picture")</f>
        <v>View Picture</v>
      </c>
      <c r="H678" s="75"/>
      <c r="I678" s="74"/>
      <c r="J678" s="74"/>
      <c r="K678" s="74"/>
    </row>
    <row r="679">
      <c r="A679" s="21"/>
      <c r="B679" s="119" t="s">
        <v>9012</v>
      </c>
      <c r="C679" s="120" t="s">
        <v>4732</v>
      </c>
      <c r="D679" s="33" t="s">
        <v>8857</v>
      </c>
      <c r="E679" s="51" t="s">
        <v>219</v>
      </c>
      <c r="F679" s="121" t="s">
        <v>3009</v>
      </c>
      <c r="G679" s="98" t="str">
        <f>HYPERLINK("http://mirror.ff7data.com.ar/ff7/data/battle/battle.lgp/bmbi.png","View Picture")</f>
        <v>View Picture</v>
      </c>
      <c r="H679" s="75"/>
      <c r="I679" s="74"/>
      <c r="J679" s="74"/>
      <c r="K679" s="74"/>
    </row>
    <row r="680">
      <c r="A680" s="21"/>
      <c r="B680" s="119" t="s">
        <v>9020</v>
      </c>
      <c r="C680" s="120" t="s">
        <v>4185</v>
      </c>
      <c r="D680" s="33" t="s">
        <v>8857</v>
      </c>
      <c r="E680" s="51" t="s">
        <v>219</v>
      </c>
      <c r="F680" s="121" t="s">
        <v>3009</v>
      </c>
      <c r="G680" s="98" t="str">
        <f>HYPERLINK("http://mirror.ff7data.com.ar/ff7/data/battle/battle.lgp/bmbj.png","View Picture")</f>
        <v>View Picture</v>
      </c>
      <c r="H680" s="75"/>
      <c r="I680" s="74"/>
      <c r="J680" s="74"/>
      <c r="K680" s="74"/>
    </row>
    <row r="681">
      <c r="A681" s="21"/>
      <c r="B681" s="119" t="s">
        <v>9029</v>
      </c>
      <c r="C681" s="120" t="s">
        <v>4217</v>
      </c>
      <c r="D681" s="33" t="s">
        <v>8857</v>
      </c>
      <c r="E681" s="51" t="s">
        <v>219</v>
      </c>
      <c r="F681" s="121" t="s">
        <v>3009</v>
      </c>
      <c r="G681" s="98" t="str">
        <f>HYPERLINK("http://mirror.ff7data.com.ar/ff7/data/battle/battle.lgp/bmbk.png","View Picture")</f>
        <v>View Picture</v>
      </c>
      <c r="H681" s="75"/>
      <c r="I681" s="74"/>
      <c r="J681" s="74"/>
      <c r="K681" s="74"/>
    </row>
    <row r="682">
      <c r="A682" s="21"/>
      <c r="B682" s="119" t="s">
        <v>9039</v>
      </c>
      <c r="C682" s="120" t="s">
        <v>9041</v>
      </c>
      <c r="D682" s="33" t="s">
        <v>8857</v>
      </c>
      <c r="E682" s="51" t="s">
        <v>219</v>
      </c>
      <c r="F682" s="121" t="s">
        <v>3025</v>
      </c>
      <c r="G682" s="122"/>
      <c r="H682" s="46" t="s">
        <v>3002</v>
      </c>
      <c r="I682" s="74"/>
      <c r="J682" s="74"/>
      <c r="K682" s="74"/>
    </row>
    <row r="683">
      <c r="A683" s="21"/>
      <c r="B683" s="119" t="s">
        <v>9046</v>
      </c>
      <c r="C683" s="120" t="s">
        <v>4456</v>
      </c>
      <c r="D683" s="33" t="s">
        <v>9048</v>
      </c>
      <c r="E683" s="51" t="s">
        <v>222</v>
      </c>
      <c r="F683" s="121" t="s">
        <v>2971</v>
      </c>
      <c r="G683" s="98" t="str">
        <f>HYPERLINK("http://mirror.ff7data.com.ar/ff7/data/battle/battle.lgp/bnaa.png","View Picture")</f>
        <v>View Picture</v>
      </c>
      <c r="H683" s="75"/>
      <c r="I683" s="74"/>
      <c r="J683" s="74"/>
      <c r="K683" s="74"/>
    </row>
    <row r="684">
      <c r="A684" s="21"/>
      <c r="B684" s="119" t="s">
        <v>9057</v>
      </c>
      <c r="C684" s="120" t="s">
        <v>5222</v>
      </c>
      <c r="D684" s="33" t="s">
        <v>9059</v>
      </c>
      <c r="E684" s="51" t="s">
        <v>222</v>
      </c>
      <c r="F684" s="121" t="s">
        <v>2993</v>
      </c>
      <c r="G684" s="122"/>
      <c r="H684" s="46" t="s">
        <v>3002</v>
      </c>
      <c r="I684" s="74"/>
      <c r="J684" s="74"/>
      <c r="K684" s="74"/>
    </row>
    <row r="685">
      <c r="A685" s="21"/>
      <c r="B685" s="119" t="s">
        <v>9063</v>
      </c>
      <c r="C685" s="120" t="s">
        <v>5762</v>
      </c>
      <c r="D685" s="33" t="s">
        <v>9059</v>
      </c>
      <c r="E685" s="51" t="s">
        <v>222</v>
      </c>
      <c r="F685" s="121" t="s">
        <v>3009</v>
      </c>
      <c r="G685" s="98" t="str">
        <f>HYPERLINK("http://mirror.ff7data.com.ar/ff7/data/battle/battle.lgp/bnam.png","View Picture")</f>
        <v>View Picture</v>
      </c>
      <c r="H685" s="75"/>
      <c r="I685" s="74"/>
      <c r="J685" s="74"/>
      <c r="K685" s="74"/>
    </row>
    <row r="686">
      <c r="A686" s="21"/>
      <c r="B686" s="119" t="s">
        <v>9070</v>
      </c>
      <c r="C686" s="120" t="s">
        <v>4057</v>
      </c>
      <c r="D686" s="33" t="s">
        <v>9059</v>
      </c>
      <c r="E686" s="51" t="s">
        <v>222</v>
      </c>
      <c r="F686" s="121" t="s">
        <v>3009</v>
      </c>
      <c r="G686" s="98" t="str">
        <f>HYPERLINK("http://mirror.ff7data.com.ar/ff7/data/battle/battle.lgp/bnap.png","View Picture")</f>
        <v>View Picture</v>
      </c>
      <c r="H686" s="75"/>
      <c r="I686" s="74"/>
      <c r="J686" s="74"/>
      <c r="K686" s="74"/>
    </row>
    <row r="687">
      <c r="A687" s="21"/>
      <c r="B687" s="119" t="s">
        <v>9078</v>
      </c>
      <c r="C687" s="120" t="s">
        <v>4719</v>
      </c>
      <c r="D687" s="33" t="s">
        <v>9059</v>
      </c>
      <c r="E687" s="51" t="s">
        <v>222</v>
      </c>
      <c r="F687" s="121" t="s">
        <v>3009</v>
      </c>
      <c r="G687" s="98" t="str">
        <f>HYPERLINK("http://mirror.ff7data.com.ar/ff7/data/battle/battle.lgp/bnar.png","View Picture")</f>
        <v>View Picture</v>
      </c>
      <c r="H687" s="75"/>
      <c r="I687" s="74"/>
      <c r="J687" s="74"/>
      <c r="K687" s="74"/>
    </row>
    <row r="688">
      <c r="A688" s="21"/>
      <c r="B688" s="119" t="s">
        <v>9087</v>
      </c>
      <c r="C688" s="120" t="s">
        <v>4719</v>
      </c>
      <c r="D688" s="33" t="s">
        <v>9059</v>
      </c>
      <c r="E688" s="51" t="s">
        <v>222</v>
      </c>
      <c r="F688" s="121" t="s">
        <v>3009</v>
      </c>
      <c r="G688" s="98" t="str">
        <f>HYPERLINK("http://mirror.ff7data.com.ar/ff7/data/battle/battle.lgp/bnas.png","View Picture")</f>
        <v>View Picture</v>
      </c>
      <c r="H688" s="75"/>
      <c r="I688" s="74"/>
      <c r="J688" s="74"/>
      <c r="K688" s="74"/>
    </row>
    <row r="689">
      <c r="A689" s="21"/>
      <c r="B689" s="119" t="s">
        <v>9095</v>
      </c>
      <c r="C689" s="120" t="s">
        <v>4696</v>
      </c>
      <c r="D689" s="33" t="s">
        <v>9059</v>
      </c>
      <c r="E689" s="51" t="s">
        <v>222</v>
      </c>
      <c r="F689" s="121" t="s">
        <v>3009</v>
      </c>
      <c r="G689" s="98" t="str">
        <f>HYPERLINK("http://mirror.ff7data.com.ar/ff7/data/battle/battle.lgp/bnau.png","View Picture")</f>
        <v>View Picture</v>
      </c>
      <c r="H689" s="75"/>
      <c r="I689" s="74"/>
      <c r="J689" s="74"/>
      <c r="K689" s="74"/>
    </row>
    <row r="690">
      <c r="A690" s="21"/>
      <c r="B690" s="119" t="s">
        <v>9101</v>
      </c>
      <c r="C690" s="120" t="s">
        <v>4439</v>
      </c>
      <c r="D690" s="33" t="s">
        <v>9059</v>
      </c>
      <c r="E690" s="51" t="s">
        <v>222</v>
      </c>
      <c r="F690" s="121" t="s">
        <v>3009</v>
      </c>
      <c r="G690" s="98" t="str">
        <f>HYPERLINK("http://mirror.ff7data.com.ar/ff7/data/battle/battle.lgp/bnav.png","View Picture")</f>
        <v>View Picture</v>
      </c>
      <c r="H690" s="75"/>
      <c r="I690" s="74"/>
      <c r="J690" s="74"/>
      <c r="K690" s="74"/>
    </row>
    <row r="691">
      <c r="A691" s="21"/>
      <c r="B691" s="119" t="s">
        <v>9110</v>
      </c>
      <c r="C691" s="120" t="s">
        <v>9112</v>
      </c>
      <c r="D691" s="33" t="s">
        <v>9059</v>
      </c>
      <c r="E691" s="51" t="s">
        <v>222</v>
      </c>
      <c r="F691" s="121" t="s">
        <v>3009</v>
      </c>
      <c r="G691" s="98" t="str">
        <f>HYPERLINK("http://mirror.ff7data.com.ar/ff7/data/battle/battle.lgp/bnaw.png","View Picture")</f>
        <v>View Picture</v>
      </c>
      <c r="H691" s="75"/>
      <c r="I691" s="74"/>
      <c r="J691" s="74"/>
      <c r="K691" s="74"/>
    </row>
    <row r="692">
      <c r="A692" s="21"/>
      <c r="B692" s="119" t="s">
        <v>9121</v>
      </c>
      <c r="C692" s="120" t="s">
        <v>9123</v>
      </c>
      <c r="D692" s="33" t="s">
        <v>9059</v>
      </c>
      <c r="E692" s="51" t="s">
        <v>222</v>
      </c>
      <c r="F692" s="121" t="s">
        <v>3009</v>
      </c>
      <c r="G692" s="98" t="str">
        <f>HYPERLINK("http://mirror.ff7data.com.ar/ff7/data/battle/battle.lgp/bnay.png","View Picture")</f>
        <v>View Picture</v>
      </c>
      <c r="H692" s="75"/>
      <c r="I692" s="74"/>
      <c r="J692" s="74"/>
      <c r="K692" s="74"/>
    </row>
    <row r="693">
      <c r="A693" s="21"/>
      <c r="B693" s="119" t="s">
        <v>9132</v>
      </c>
      <c r="C693" s="120" t="s">
        <v>9134</v>
      </c>
      <c r="D693" s="33" t="s">
        <v>9059</v>
      </c>
      <c r="E693" s="51" t="s">
        <v>222</v>
      </c>
      <c r="F693" s="121" t="s">
        <v>3009</v>
      </c>
      <c r="G693" s="98" t="str">
        <f>HYPERLINK("http://mirror.ff7data.com.ar/ff7/data/battle/battle.lgp/bnaz.png","View Picture")</f>
        <v>View Picture</v>
      </c>
      <c r="H693" s="75"/>
      <c r="I693" s="74"/>
      <c r="J693" s="74"/>
      <c r="K693" s="74"/>
    </row>
    <row r="694">
      <c r="A694" s="21"/>
      <c r="B694" s="119" t="s">
        <v>9139</v>
      </c>
      <c r="C694" s="120" t="s">
        <v>6029</v>
      </c>
      <c r="D694" s="33" t="s">
        <v>9059</v>
      </c>
      <c r="E694" s="51" t="s">
        <v>222</v>
      </c>
      <c r="F694" s="121" t="s">
        <v>3009</v>
      </c>
      <c r="G694" s="98" t="str">
        <f>HYPERLINK("http://mirror.ff7data.com.ar/ff7/data/battle/battle.lgp/bnba.png","View Picture")</f>
        <v>View Picture</v>
      </c>
      <c r="H694" s="75"/>
      <c r="I694" s="74"/>
      <c r="J694" s="74"/>
      <c r="K694" s="74"/>
    </row>
    <row r="695">
      <c r="A695" s="21"/>
      <c r="B695" s="119" t="s">
        <v>9147</v>
      </c>
      <c r="C695" s="120" t="s">
        <v>4883</v>
      </c>
      <c r="D695" s="33" t="s">
        <v>9059</v>
      </c>
      <c r="E695" s="51" t="s">
        <v>222</v>
      </c>
      <c r="F695" s="121" t="s">
        <v>3009</v>
      </c>
      <c r="G695" s="98" t="str">
        <f>HYPERLINK("http://mirror.ff7data.com.ar/ff7/data/battle/battle.lgp/bnbb.png","View Picture")</f>
        <v>View Picture</v>
      </c>
      <c r="H695" s="75"/>
      <c r="I695" s="74"/>
      <c r="J695" s="74"/>
      <c r="K695" s="74"/>
    </row>
    <row r="696">
      <c r="A696" s="21"/>
      <c r="B696" s="119" t="s">
        <v>9153</v>
      </c>
      <c r="C696" s="120" t="s">
        <v>9159</v>
      </c>
      <c r="D696" s="33" t="s">
        <v>9059</v>
      </c>
      <c r="E696" s="51" t="s">
        <v>222</v>
      </c>
      <c r="F696" s="121" t="s">
        <v>3009</v>
      </c>
      <c r="G696" s="98" t="str">
        <f>HYPERLINK("http://mirror.ff7data.com.ar/ff7/data/battle/battle.lgp/bnbd.png","View Picture")</f>
        <v>View Picture</v>
      </c>
      <c r="H696" s="75"/>
      <c r="I696" s="74"/>
      <c r="J696" s="74"/>
      <c r="K696" s="74"/>
    </row>
    <row r="697">
      <c r="A697" s="21"/>
      <c r="B697" s="119" t="s">
        <v>9167</v>
      </c>
      <c r="C697" s="120" t="s">
        <v>6515</v>
      </c>
      <c r="D697" s="33" t="s">
        <v>9059</v>
      </c>
      <c r="E697" s="51" t="s">
        <v>222</v>
      </c>
      <c r="F697" s="121" t="s">
        <v>3009</v>
      </c>
      <c r="G697" s="98" t="str">
        <f>HYPERLINK("http://mirror.ff7data.com.ar/ff7/data/battle/battle.lgp/bnbe.png","View Picture")</f>
        <v>View Picture</v>
      </c>
      <c r="H697" s="75"/>
      <c r="I697" s="74"/>
      <c r="J697" s="74"/>
      <c r="K697" s="74"/>
    </row>
    <row r="698">
      <c r="A698" s="21"/>
      <c r="B698" s="119" t="s">
        <v>9175</v>
      </c>
      <c r="C698" s="120" t="s">
        <v>4372</v>
      </c>
      <c r="D698" s="33" t="s">
        <v>9059</v>
      </c>
      <c r="E698" s="51" t="s">
        <v>222</v>
      </c>
      <c r="F698" s="121" t="s">
        <v>3009</v>
      </c>
      <c r="G698" s="98" t="str">
        <f>HYPERLINK("http://mirror.ff7data.com.ar/ff7/data/battle/battle.lgp/bnbf.png","View Picture")</f>
        <v>View Picture</v>
      </c>
      <c r="H698" s="75"/>
      <c r="I698" s="74"/>
      <c r="J698" s="74"/>
      <c r="K698" s="74"/>
    </row>
    <row r="699">
      <c r="A699" s="21"/>
      <c r="B699" s="119" t="s">
        <v>9183</v>
      </c>
      <c r="C699" s="120" t="s">
        <v>4883</v>
      </c>
      <c r="D699" s="33" t="s">
        <v>9059</v>
      </c>
      <c r="E699" s="51" t="s">
        <v>222</v>
      </c>
      <c r="F699" s="121" t="s">
        <v>3009</v>
      </c>
      <c r="G699" s="98" t="str">
        <f>HYPERLINK("http://mirror.ff7data.com.ar/ff7/data/battle/battle.lgp/bnbg.png","View Picture")</f>
        <v>View Picture</v>
      </c>
      <c r="H699" s="75"/>
      <c r="I699" s="74"/>
      <c r="J699" s="74"/>
      <c r="K699" s="74"/>
    </row>
    <row r="700">
      <c r="A700" s="21"/>
      <c r="B700" s="119" t="s">
        <v>9193</v>
      </c>
      <c r="C700" s="120" t="s">
        <v>4696</v>
      </c>
      <c r="D700" s="33" t="s">
        <v>9059</v>
      </c>
      <c r="E700" s="51" t="s">
        <v>222</v>
      </c>
      <c r="F700" s="121" t="s">
        <v>3009</v>
      </c>
      <c r="G700" s="98" t="str">
        <f>HYPERLINK("http://mirror.ff7data.com.ar/ff7/data/battle/battle.lgp/bnbi.png","View Picture")</f>
        <v>View Picture</v>
      </c>
      <c r="H700" s="75"/>
      <c r="I700" s="74"/>
      <c r="J700" s="74"/>
      <c r="K700" s="74"/>
    </row>
    <row r="701">
      <c r="A701" s="21"/>
      <c r="B701" s="119" t="s">
        <v>9201</v>
      </c>
      <c r="C701" s="120" t="s">
        <v>4439</v>
      </c>
      <c r="D701" s="33" t="s">
        <v>9059</v>
      </c>
      <c r="E701" s="51" t="s">
        <v>222</v>
      </c>
      <c r="F701" s="121" t="s">
        <v>3009</v>
      </c>
      <c r="G701" s="98" t="str">
        <f>HYPERLINK("http://mirror.ff7data.com.ar/ff7/data/battle/battle.lgp/bnbj.png","View Picture")</f>
        <v>View Picture</v>
      </c>
      <c r="H701" s="75"/>
      <c r="I701" s="74"/>
      <c r="J701" s="74"/>
      <c r="K701" s="74"/>
    </row>
    <row r="702">
      <c r="A702" s="21"/>
      <c r="B702" s="119" t="s">
        <v>9209</v>
      </c>
      <c r="C702" s="120" t="s">
        <v>9112</v>
      </c>
      <c r="D702" s="33" t="s">
        <v>9059</v>
      </c>
      <c r="E702" s="51" t="s">
        <v>222</v>
      </c>
      <c r="F702" s="121" t="s">
        <v>3009</v>
      </c>
      <c r="G702" s="98" t="str">
        <f>HYPERLINK("http://mirror.ff7data.com.ar/ff7/data/battle/battle.lgp/bnbk.png","View Picture")</f>
        <v>View Picture</v>
      </c>
      <c r="H702" s="75"/>
      <c r="I702" s="74"/>
      <c r="J702" s="74"/>
      <c r="K702" s="74"/>
    </row>
    <row r="703">
      <c r="A703" s="21"/>
      <c r="B703" s="119" t="s">
        <v>9216</v>
      </c>
      <c r="C703" s="120" t="s">
        <v>6029</v>
      </c>
      <c r="D703" s="33" t="s">
        <v>9059</v>
      </c>
      <c r="E703" s="51" t="s">
        <v>222</v>
      </c>
      <c r="F703" s="121" t="s">
        <v>3009</v>
      </c>
      <c r="G703" s="98" t="str">
        <f>HYPERLINK("http://mirror.ff7data.com.ar/ff7/data/battle/battle.lgp/bnbm.png","View Picture")</f>
        <v>View Picture</v>
      </c>
      <c r="H703" s="75"/>
      <c r="I703" s="74"/>
      <c r="J703" s="74"/>
      <c r="K703" s="74"/>
    </row>
    <row r="704">
      <c r="A704" s="21"/>
      <c r="B704" s="119" t="s">
        <v>9225</v>
      </c>
      <c r="C704" s="120" t="s">
        <v>4288</v>
      </c>
      <c r="D704" s="33" t="s">
        <v>9059</v>
      </c>
      <c r="E704" s="51" t="s">
        <v>222</v>
      </c>
      <c r="F704" s="121" t="s">
        <v>3009</v>
      </c>
      <c r="G704" s="98" t="str">
        <f>HYPERLINK("http://mirror.ff7data.com.ar/ff7/data/battle/battle.lgp/bnbn.png","View Picture")</f>
        <v>View Picture</v>
      </c>
      <c r="H704" s="75"/>
      <c r="I704" s="74"/>
      <c r="J704" s="74"/>
      <c r="K704" s="74"/>
    </row>
    <row r="705">
      <c r="A705" s="21"/>
      <c r="B705" s="119" t="s">
        <v>9232</v>
      </c>
      <c r="C705" s="120" t="s">
        <v>6029</v>
      </c>
      <c r="D705" s="33" t="s">
        <v>9059</v>
      </c>
      <c r="E705" s="51" t="s">
        <v>222</v>
      </c>
      <c r="F705" s="121" t="s">
        <v>3009</v>
      </c>
      <c r="G705" s="98" t="str">
        <f>HYPERLINK("http://mirror.ff7data.com.ar/ff7/data/battle/battle.lgp/bnbp.png","View Picture")</f>
        <v>View Picture</v>
      </c>
      <c r="H705" s="75"/>
      <c r="I705" s="74"/>
      <c r="J705" s="74"/>
      <c r="K705" s="74"/>
    </row>
    <row r="706">
      <c r="A706" s="21"/>
      <c r="B706" s="119" t="s">
        <v>9241</v>
      </c>
      <c r="C706" s="120" t="s">
        <v>4288</v>
      </c>
      <c r="D706" s="33" t="s">
        <v>9059</v>
      </c>
      <c r="E706" s="51" t="s">
        <v>222</v>
      </c>
      <c r="F706" s="121" t="s">
        <v>3009</v>
      </c>
      <c r="G706" s="98" t="str">
        <f>HYPERLINK("http://mirror.ff7data.com.ar/ff7/data/battle/battle.lgp/bnbq.png","View Picture")</f>
        <v>View Picture</v>
      </c>
      <c r="H706" s="75"/>
      <c r="I706" s="74"/>
      <c r="J706" s="74"/>
      <c r="K706" s="74"/>
    </row>
    <row r="707">
      <c r="A707" s="21"/>
      <c r="B707" s="119" t="s">
        <v>9249</v>
      </c>
      <c r="C707" s="120" t="s">
        <v>6029</v>
      </c>
      <c r="D707" s="33" t="s">
        <v>9059</v>
      </c>
      <c r="E707" s="51" t="s">
        <v>222</v>
      </c>
      <c r="F707" s="121" t="s">
        <v>3009</v>
      </c>
      <c r="G707" s="98" t="str">
        <f>HYPERLINK("http://mirror.ff7data.com.ar/ff7/data/battle/battle.lgp/bnbs.png","View Picture")</f>
        <v>View Picture</v>
      </c>
      <c r="H707" s="75"/>
      <c r="I707" s="74"/>
      <c r="J707" s="74"/>
      <c r="K707" s="74"/>
    </row>
    <row r="708">
      <c r="A708" s="21"/>
      <c r="B708" s="119" t="s">
        <v>9259</v>
      </c>
      <c r="C708" s="120" t="s">
        <v>4288</v>
      </c>
      <c r="D708" s="33" t="s">
        <v>9059</v>
      </c>
      <c r="E708" s="51" t="s">
        <v>222</v>
      </c>
      <c r="F708" s="121" t="s">
        <v>3009</v>
      </c>
      <c r="G708" s="98" t="str">
        <f>HYPERLINK("http://mirror.ff7data.com.ar/ff7/data/battle/battle.lgp/bnbt.png","View Picture")</f>
        <v>View Picture</v>
      </c>
      <c r="H708" s="75"/>
      <c r="I708" s="74"/>
      <c r="J708" s="74"/>
      <c r="K708" s="74"/>
    </row>
    <row r="709">
      <c r="A709" s="21"/>
      <c r="B709" s="119" t="s">
        <v>9267</v>
      </c>
      <c r="C709" s="120" t="s">
        <v>6029</v>
      </c>
      <c r="D709" s="33" t="s">
        <v>9059</v>
      </c>
      <c r="E709" s="51" t="s">
        <v>222</v>
      </c>
      <c r="F709" s="121" t="s">
        <v>3009</v>
      </c>
      <c r="G709" s="98" t="str">
        <f>HYPERLINK("http://mirror.ff7data.com.ar/ff7/data/battle/battle.lgp/bnbv.png","View Picture")</f>
        <v>View Picture</v>
      </c>
      <c r="H709" s="75"/>
      <c r="I709" s="74"/>
      <c r="J709" s="74"/>
      <c r="K709" s="74"/>
    </row>
    <row r="710">
      <c r="A710" s="21"/>
      <c r="B710" s="119" t="s">
        <v>9280</v>
      </c>
      <c r="C710" s="120" t="s">
        <v>4288</v>
      </c>
      <c r="D710" s="33" t="s">
        <v>9059</v>
      </c>
      <c r="E710" s="51" t="s">
        <v>222</v>
      </c>
      <c r="F710" s="121" t="s">
        <v>3009</v>
      </c>
      <c r="G710" s="98" t="str">
        <f>HYPERLINK("http://mirror.ff7data.com.ar/ff7/data/battle/battle.lgp/bnbw.png","View Picture")</f>
        <v>View Picture</v>
      </c>
      <c r="H710" s="75"/>
      <c r="I710" s="74"/>
      <c r="J710" s="74"/>
      <c r="K710" s="74"/>
    </row>
    <row r="711">
      <c r="A711" s="21"/>
      <c r="B711" s="119" t="s">
        <v>9289</v>
      </c>
      <c r="C711" s="120" t="s">
        <v>9290</v>
      </c>
      <c r="D711" s="33" t="s">
        <v>9059</v>
      </c>
      <c r="E711" s="51" t="s">
        <v>222</v>
      </c>
      <c r="F711" s="121" t="s">
        <v>3025</v>
      </c>
      <c r="G711" s="122"/>
      <c r="H711" s="46" t="s">
        <v>3002</v>
      </c>
      <c r="I711" s="74"/>
      <c r="J711" s="74"/>
      <c r="K711" s="74"/>
    </row>
    <row r="712">
      <c r="A712" s="21"/>
      <c r="B712" s="119" t="s">
        <v>9292</v>
      </c>
      <c r="C712" s="120" t="s">
        <v>4468</v>
      </c>
      <c r="D712" s="33" t="s">
        <v>9293</v>
      </c>
      <c r="E712" s="51" t="s">
        <v>226</v>
      </c>
      <c r="F712" s="121" t="s">
        <v>2971</v>
      </c>
      <c r="G712" s="98" t="str">
        <f>HYPERLINK("http://mirror.ff7data.com.ar/ff7/data/battle/battle.lgp/boaa.png","View Picture")</f>
        <v>View Picture</v>
      </c>
      <c r="H712" s="75"/>
      <c r="I712" s="74"/>
      <c r="J712" s="74"/>
      <c r="K712" s="74"/>
    </row>
    <row r="713">
      <c r="A713" s="21"/>
      <c r="B713" s="119" t="s">
        <v>9295</v>
      </c>
      <c r="C713" s="120" t="s">
        <v>7375</v>
      </c>
      <c r="D713" s="33" t="s">
        <v>9296</v>
      </c>
      <c r="E713" s="51" t="s">
        <v>226</v>
      </c>
      <c r="F713" s="121" t="s">
        <v>2993</v>
      </c>
      <c r="G713" s="122"/>
      <c r="H713" s="46" t="s">
        <v>3002</v>
      </c>
      <c r="I713" s="74"/>
      <c r="J713" s="74"/>
      <c r="K713" s="74"/>
    </row>
    <row r="714">
      <c r="A714" s="21"/>
      <c r="B714" s="119" t="s">
        <v>9298</v>
      </c>
      <c r="C714" s="120" t="s">
        <v>3768</v>
      </c>
      <c r="D714" s="33" t="s">
        <v>9296</v>
      </c>
      <c r="E714" s="51" t="s">
        <v>226</v>
      </c>
      <c r="F714" s="121" t="s">
        <v>3009</v>
      </c>
      <c r="G714" s="98" t="str">
        <f>HYPERLINK("http://mirror.ff7data.com.ar/ff7/data/battle/battle.lgp/boam.png","View Picture")</f>
        <v>View Picture</v>
      </c>
      <c r="H714" s="75"/>
      <c r="I714" s="74"/>
      <c r="J714" s="74"/>
      <c r="K714" s="74"/>
    </row>
    <row r="715">
      <c r="A715" s="21"/>
      <c r="B715" s="119" t="s">
        <v>9301</v>
      </c>
      <c r="C715" s="120" t="s">
        <v>3343</v>
      </c>
      <c r="D715" s="33" t="s">
        <v>9296</v>
      </c>
      <c r="E715" s="51" t="s">
        <v>226</v>
      </c>
      <c r="F715" s="121" t="s">
        <v>3009</v>
      </c>
      <c r="G715" s="98" t="str">
        <f>HYPERLINK("http://mirror.ff7data.com.ar/ff7/data/battle/battle.lgp/boan.png","View Picture")</f>
        <v>View Picture</v>
      </c>
      <c r="H715" s="75"/>
      <c r="I715" s="74"/>
      <c r="J715" s="74"/>
      <c r="K715" s="74"/>
    </row>
    <row r="716">
      <c r="A716" s="21"/>
      <c r="B716" s="119" t="s">
        <v>9304</v>
      </c>
      <c r="C716" s="120" t="s">
        <v>4719</v>
      </c>
      <c r="D716" s="33" t="s">
        <v>9296</v>
      </c>
      <c r="E716" s="51" t="s">
        <v>226</v>
      </c>
      <c r="F716" s="121" t="s">
        <v>3009</v>
      </c>
      <c r="G716" s="98" t="str">
        <f>HYPERLINK("http://mirror.ff7data.com.ar/ff7/data/battle/battle.lgp/boao.png","View Picture")</f>
        <v>View Picture</v>
      </c>
      <c r="H716" s="75"/>
      <c r="I716" s="74"/>
      <c r="J716" s="74"/>
      <c r="K716" s="74"/>
    </row>
    <row r="717">
      <c r="A717" s="21"/>
      <c r="B717" s="119" t="s">
        <v>9319</v>
      </c>
      <c r="C717" s="120" t="s">
        <v>4264</v>
      </c>
      <c r="D717" s="33" t="s">
        <v>9296</v>
      </c>
      <c r="E717" s="51" t="s">
        <v>226</v>
      </c>
      <c r="F717" s="121" t="s">
        <v>3009</v>
      </c>
      <c r="G717" s="98" t="str">
        <f>HYPERLINK("http://mirror.ff7data.com.ar/ff7/data/battle/battle.lgp/boaq.png","View Picture")</f>
        <v>View Picture</v>
      </c>
      <c r="H717" s="75"/>
      <c r="I717" s="74"/>
      <c r="J717" s="74"/>
      <c r="K717" s="74"/>
    </row>
    <row r="718">
      <c r="A718" s="21"/>
      <c r="B718" s="119" t="s">
        <v>9331</v>
      </c>
      <c r="C718" s="120" t="s">
        <v>4439</v>
      </c>
      <c r="D718" s="33" t="s">
        <v>9296</v>
      </c>
      <c r="E718" s="51" t="s">
        <v>226</v>
      </c>
      <c r="F718" s="121" t="s">
        <v>3009</v>
      </c>
      <c r="G718" s="98" t="str">
        <f>HYPERLINK("http://mirror.ff7data.com.ar/ff7/data/battle/battle.lgp/boar.png","View Picture")</f>
        <v>View Picture</v>
      </c>
      <c r="H718" s="75"/>
      <c r="I718" s="74"/>
      <c r="J718" s="74"/>
      <c r="K718" s="74"/>
    </row>
    <row r="719">
      <c r="A719" s="21"/>
      <c r="B719" s="119" t="s">
        <v>9342</v>
      </c>
      <c r="C719" s="120" t="s">
        <v>4264</v>
      </c>
      <c r="D719" s="33" t="s">
        <v>9296</v>
      </c>
      <c r="E719" s="51" t="s">
        <v>226</v>
      </c>
      <c r="F719" s="121" t="s">
        <v>3009</v>
      </c>
      <c r="G719" s="98" t="str">
        <f>HYPERLINK("http://mirror.ff7data.com.ar/ff7/data/battle/battle.lgp/boas.png","View Picture")</f>
        <v>View Picture</v>
      </c>
      <c r="H719" s="75"/>
      <c r="I719" s="74"/>
      <c r="J719" s="74"/>
      <c r="K719" s="74"/>
    </row>
    <row r="720">
      <c r="A720" s="21"/>
      <c r="B720" s="119" t="s">
        <v>9356</v>
      </c>
      <c r="C720" s="120" t="s">
        <v>4288</v>
      </c>
      <c r="D720" s="33" t="s">
        <v>9296</v>
      </c>
      <c r="E720" s="51" t="s">
        <v>226</v>
      </c>
      <c r="F720" s="121" t="s">
        <v>3009</v>
      </c>
      <c r="G720" s="98" t="str">
        <f>HYPERLINK("http://mirror.ff7data.com.ar/ff7/data/battle/battle.lgp/boat.png","View Picture")</f>
        <v>View Picture</v>
      </c>
      <c r="H720" s="75"/>
      <c r="I720" s="74"/>
      <c r="J720" s="74"/>
      <c r="K720" s="74"/>
    </row>
    <row r="721">
      <c r="A721" s="21"/>
      <c r="B721" s="119" t="s">
        <v>9372</v>
      </c>
      <c r="C721" s="120" t="s">
        <v>4264</v>
      </c>
      <c r="D721" s="33" t="s">
        <v>9296</v>
      </c>
      <c r="E721" s="51" t="s">
        <v>226</v>
      </c>
      <c r="F721" s="121" t="s">
        <v>3009</v>
      </c>
      <c r="G721" s="98" t="str">
        <f>HYPERLINK("http://mirror.ff7data.com.ar/ff7/data/battle/battle.lgp/boav.png","View Picture")</f>
        <v>View Picture</v>
      </c>
      <c r="H721" s="75"/>
      <c r="I721" s="74"/>
      <c r="J721" s="74"/>
      <c r="K721" s="74"/>
    </row>
    <row r="722">
      <c r="A722" s="21"/>
      <c r="B722" s="119" t="s">
        <v>9386</v>
      </c>
      <c r="C722" s="120" t="s">
        <v>4439</v>
      </c>
      <c r="D722" s="33" t="s">
        <v>9296</v>
      </c>
      <c r="E722" s="51" t="s">
        <v>226</v>
      </c>
      <c r="F722" s="121" t="s">
        <v>3009</v>
      </c>
      <c r="G722" s="98" t="str">
        <f>HYPERLINK("http://mirror.ff7data.com.ar/ff7/data/battle/battle.lgp/boaw.png","View Picture")</f>
        <v>View Picture</v>
      </c>
      <c r="H722" s="75"/>
      <c r="I722" s="74"/>
      <c r="J722" s="74"/>
      <c r="K722" s="74"/>
    </row>
    <row r="723">
      <c r="A723" s="21"/>
      <c r="B723" s="119" t="s">
        <v>9404</v>
      </c>
      <c r="C723" s="120" t="s">
        <v>4264</v>
      </c>
      <c r="D723" s="33" t="s">
        <v>9296</v>
      </c>
      <c r="E723" s="51" t="s">
        <v>226</v>
      </c>
      <c r="F723" s="121" t="s">
        <v>3009</v>
      </c>
      <c r="G723" s="98" t="str">
        <f>HYPERLINK("http://mirror.ff7data.com.ar/ff7/data/battle/battle.lgp/boax.png","View Picture")</f>
        <v>View Picture</v>
      </c>
      <c r="H723" s="75"/>
      <c r="I723" s="74"/>
      <c r="J723" s="74"/>
      <c r="K723" s="74"/>
    </row>
    <row r="724">
      <c r="A724" s="21"/>
      <c r="B724" s="119" t="s">
        <v>9419</v>
      </c>
      <c r="C724" s="120" t="s">
        <v>4288</v>
      </c>
      <c r="D724" s="33" t="s">
        <v>9296</v>
      </c>
      <c r="E724" s="51" t="s">
        <v>226</v>
      </c>
      <c r="F724" s="121" t="s">
        <v>3009</v>
      </c>
      <c r="G724" s="98" t="str">
        <f>HYPERLINK("http://mirror.ff7data.com.ar/ff7/data/battle/battle.lgp/boay.png","View Picture")</f>
        <v>View Picture</v>
      </c>
      <c r="H724" s="75"/>
      <c r="I724" s="74"/>
      <c r="J724" s="74"/>
      <c r="K724" s="74"/>
    </row>
    <row r="725">
      <c r="A725" s="21"/>
      <c r="B725" s="119" t="s">
        <v>9426</v>
      </c>
      <c r="C725" s="120" t="s">
        <v>4732</v>
      </c>
      <c r="D725" s="33" t="s">
        <v>9296</v>
      </c>
      <c r="E725" s="51" t="s">
        <v>226</v>
      </c>
      <c r="F725" s="121" t="s">
        <v>3009</v>
      </c>
      <c r="G725" s="98" t="str">
        <f>HYPERLINK("http://mirror.ff7data.com.ar/ff7/data/battle/battle.lgp/boaz.png","View Picture")</f>
        <v>View Picture</v>
      </c>
      <c r="H725" s="75"/>
      <c r="I725" s="74"/>
      <c r="J725" s="74"/>
      <c r="K725" s="74"/>
    </row>
    <row r="726">
      <c r="A726" s="21"/>
      <c r="B726" s="119" t="s">
        <v>9439</v>
      </c>
      <c r="C726" s="120" t="s">
        <v>9441</v>
      </c>
      <c r="D726" s="33" t="s">
        <v>9296</v>
      </c>
      <c r="E726" s="51" t="s">
        <v>226</v>
      </c>
      <c r="F726" s="121" t="s">
        <v>3009</v>
      </c>
      <c r="G726" s="98" t="str">
        <f>HYPERLINK("http://mirror.ff7data.com.ar/ff7/data/battle/battle.lgp/boba.png","View Picture")</f>
        <v>View Picture</v>
      </c>
      <c r="H726" s="75"/>
      <c r="I726" s="74"/>
      <c r="J726" s="74"/>
      <c r="K726" s="74"/>
    </row>
    <row r="727">
      <c r="A727" s="21"/>
      <c r="B727" s="119" t="s">
        <v>9452</v>
      </c>
      <c r="C727" s="120" t="s">
        <v>9454</v>
      </c>
      <c r="D727" s="33" t="s">
        <v>9296</v>
      </c>
      <c r="E727" s="51" t="s">
        <v>226</v>
      </c>
      <c r="F727" s="121" t="s">
        <v>3009</v>
      </c>
      <c r="G727" s="98" t="str">
        <f>HYPERLINK("http://mirror.ff7data.com.ar/ff7/data/battle/battle.lgp/bobb.png","View Picture")</f>
        <v>View Picture</v>
      </c>
      <c r="H727" s="75"/>
      <c r="I727" s="74"/>
      <c r="J727" s="74"/>
      <c r="K727" s="74"/>
    </row>
    <row r="728">
      <c r="A728" s="21"/>
      <c r="B728" s="119" t="s">
        <v>9460</v>
      </c>
      <c r="C728" s="120" t="s">
        <v>3519</v>
      </c>
      <c r="D728" s="33" t="s">
        <v>9296</v>
      </c>
      <c r="E728" s="51" t="s">
        <v>226</v>
      </c>
      <c r="F728" s="121" t="s">
        <v>3009</v>
      </c>
      <c r="G728" s="98" t="str">
        <f>HYPERLINK("http://mirror.ff7data.com.ar/ff7/data/battle/battle.lgp/bobc.png","View Picture")</f>
        <v>View Picture</v>
      </c>
      <c r="H728" s="75"/>
      <c r="I728" s="74"/>
      <c r="J728" s="74"/>
      <c r="K728" s="74"/>
    </row>
    <row r="729">
      <c r="A729" s="21"/>
      <c r="B729" s="119" t="s">
        <v>9470</v>
      </c>
      <c r="C729" s="120" t="s">
        <v>3853</v>
      </c>
      <c r="D729" s="33" t="s">
        <v>9296</v>
      </c>
      <c r="E729" s="51" t="s">
        <v>226</v>
      </c>
      <c r="F729" s="121" t="s">
        <v>3009</v>
      </c>
      <c r="G729" s="98" t="str">
        <f>HYPERLINK("http://mirror.ff7data.com.ar/ff7/data/battle/battle.lgp/bobd.png","View Picture")</f>
        <v>View Picture</v>
      </c>
      <c r="H729" s="75"/>
      <c r="I729" s="74"/>
      <c r="J729" s="74"/>
      <c r="K729" s="74"/>
    </row>
    <row r="730">
      <c r="A730" s="21"/>
      <c r="B730" s="119" t="s">
        <v>9479</v>
      </c>
      <c r="C730" s="120" t="s">
        <v>7871</v>
      </c>
      <c r="D730" s="33" t="s">
        <v>9296</v>
      </c>
      <c r="E730" s="51" t="s">
        <v>226</v>
      </c>
      <c r="F730" s="121" t="s">
        <v>3009</v>
      </c>
      <c r="G730" s="98" t="str">
        <f>HYPERLINK("http://mirror.ff7data.com.ar/ff7/data/battle/battle.lgp/bobf.png","View Picture")</f>
        <v>View Picture</v>
      </c>
      <c r="H730" s="75"/>
      <c r="I730" s="74"/>
      <c r="J730" s="74"/>
      <c r="K730" s="74"/>
    </row>
    <row r="731">
      <c r="A731" s="21"/>
      <c r="B731" s="119" t="s">
        <v>9488</v>
      </c>
      <c r="C731" s="120" t="s">
        <v>3505</v>
      </c>
      <c r="D731" s="33" t="s">
        <v>9296</v>
      </c>
      <c r="E731" s="51" t="s">
        <v>226</v>
      </c>
      <c r="F731" s="121" t="s">
        <v>3009</v>
      </c>
      <c r="G731" s="98" t="str">
        <f>HYPERLINK("http://mirror.ff7data.com.ar/ff7/data/battle/battle.lgp/bobg.png","View Picture")</f>
        <v>View Picture</v>
      </c>
      <c r="H731" s="75"/>
      <c r="I731" s="74"/>
      <c r="J731" s="74"/>
      <c r="K731" s="74"/>
    </row>
    <row r="732">
      <c r="A732" s="21"/>
      <c r="B732" s="119" t="s">
        <v>9494</v>
      </c>
      <c r="C732" s="120" t="s">
        <v>4732</v>
      </c>
      <c r="D732" s="33" t="s">
        <v>9296</v>
      </c>
      <c r="E732" s="51" t="s">
        <v>226</v>
      </c>
      <c r="F732" s="121" t="s">
        <v>3009</v>
      </c>
      <c r="G732" s="98" t="str">
        <f>HYPERLINK("http://mirror.ff7data.com.ar/ff7/data/battle/battle.lgp/bobi.png","View Picture")</f>
        <v>View Picture</v>
      </c>
      <c r="H732" s="75"/>
      <c r="I732" s="74"/>
      <c r="J732" s="74"/>
      <c r="K732" s="74"/>
    </row>
    <row r="733">
      <c r="A733" s="21"/>
      <c r="B733" s="119" t="s">
        <v>9500</v>
      </c>
      <c r="C733" s="120" t="s">
        <v>4057</v>
      </c>
      <c r="D733" s="33" t="s">
        <v>9296</v>
      </c>
      <c r="E733" s="51" t="s">
        <v>226</v>
      </c>
      <c r="F733" s="121" t="s">
        <v>3009</v>
      </c>
      <c r="G733" s="98" t="str">
        <f>HYPERLINK("http://mirror.ff7data.com.ar/ff7/data/battle/battle.lgp/bobl.png","View Picture")</f>
        <v>View Picture</v>
      </c>
      <c r="H733" s="75"/>
      <c r="I733" s="74"/>
      <c r="J733" s="74"/>
      <c r="K733" s="74"/>
    </row>
    <row r="734">
      <c r="A734" s="21"/>
      <c r="B734" s="119" t="s">
        <v>9508</v>
      </c>
      <c r="C734" s="120" t="s">
        <v>6029</v>
      </c>
      <c r="D734" s="33" t="s">
        <v>9296</v>
      </c>
      <c r="E734" s="51" t="s">
        <v>226</v>
      </c>
      <c r="F734" s="121" t="s">
        <v>3009</v>
      </c>
      <c r="G734" s="98" t="str">
        <f>HYPERLINK("http://mirror.ff7data.com.ar/ff7/data/battle/battle.lgp/bobm.png","View Picture")</f>
        <v>View Picture</v>
      </c>
      <c r="H734" s="75"/>
      <c r="I734" s="74"/>
      <c r="J734" s="74"/>
      <c r="K734" s="74"/>
    </row>
    <row r="735">
      <c r="A735" s="21"/>
      <c r="B735" s="119" t="s">
        <v>9514</v>
      </c>
      <c r="C735" s="120" t="s">
        <v>4264</v>
      </c>
      <c r="D735" s="33" t="s">
        <v>9296</v>
      </c>
      <c r="E735" s="51" t="s">
        <v>226</v>
      </c>
      <c r="F735" s="121" t="s">
        <v>3009</v>
      </c>
      <c r="G735" s="98" t="str">
        <f>HYPERLINK("http://mirror.ff7data.com.ar/ff7/data/battle/battle.lgp/bobn.png","View Picture")</f>
        <v>View Picture</v>
      </c>
      <c r="H735" s="75"/>
      <c r="I735" s="74"/>
      <c r="J735" s="74"/>
      <c r="K735" s="74"/>
    </row>
    <row r="736">
      <c r="A736" s="21"/>
      <c r="B736" s="119" t="s">
        <v>9521</v>
      </c>
      <c r="C736" s="120" t="s">
        <v>4719</v>
      </c>
      <c r="D736" s="33" t="s">
        <v>9296</v>
      </c>
      <c r="E736" s="51" t="s">
        <v>226</v>
      </c>
      <c r="F736" s="121" t="s">
        <v>3009</v>
      </c>
      <c r="G736" s="98" t="str">
        <f>HYPERLINK("http://mirror.ff7data.com.ar/ff7/data/battle/battle.lgp/bobo.png","View Picture")</f>
        <v>View Picture</v>
      </c>
      <c r="H736" s="75"/>
      <c r="I736" s="74"/>
      <c r="J736" s="74"/>
      <c r="K736" s="74"/>
    </row>
    <row r="737">
      <c r="A737" s="21"/>
      <c r="B737" s="119" t="s">
        <v>9528</v>
      </c>
      <c r="C737" s="120" t="s">
        <v>4719</v>
      </c>
      <c r="D737" s="33" t="s">
        <v>9296</v>
      </c>
      <c r="E737" s="51" t="s">
        <v>226</v>
      </c>
      <c r="F737" s="121" t="s">
        <v>3009</v>
      </c>
      <c r="G737" s="98" t="str">
        <f>HYPERLINK("http://mirror.ff7data.com.ar/ff7/data/battle/battle.lgp/bobq.png","View Picture")</f>
        <v>View Picture</v>
      </c>
      <c r="H737" s="75"/>
      <c r="I737" s="74"/>
      <c r="J737" s="74"/>
      <c r="K737" s="74"/>
    </row>
    <row r="738">
      <c r="A738" s="21"/>
      <c r="B738" s="119" t="s">
        <v>9537</v>
      </c>
      <c r="C738" s="120" t="s">
        <v>4476</v>
      </c>
      <c r="D738" s="33" t="s">
        <v>9296</v>
      </c>
      <c r="E738" s="51" t="s">
        <v>226</v>
      </c>
      <c r="F738" s="121" t="s">
        <v>3009</v>
      </c>
      <c r="G738" s="98" t="str">
        <f>HYPERLINK("http://mirror.ff7data.com.ar/ff7/data/battle/battle.lgp/bobr.png","View Picture")</f>
        <v>View Picture</v>
      </c>
      <c r="H738" s="75"/>
      <c r="I738" s="74"/>
      <c r="J738" s="74"/>
      <c r="K738" s="74"/>
    </row>
    <row r="739">
      <c r="A739" s="21"/>
      <c r="B739" s="119" t="s">
        <v>9542</v>
      </c>
      <c r="C739" s="120" t="s">
        <v>4264</v>
      </c>
      <c r="D739" s="33" t="s">
        <v>9296</v>
      </c>
      <c r="E739" s="51" t="s">
        <v>226</v>
      </c>
      <c r="F739" s="121" t="s">
        <v>3009</v>
      </c>
      <c r="G739" s="98" t="str">
        <f>HYPERLINK("http://mirror.ff7data.com.ar/ff7/data/battle/battle.lgp/bobs.png","View Picture")</f>
        <v>View Picture</v>
      </c>
      <c r="H739" s="75"/>
      <c r="I739" s="74"/>
      <c r="J739" s="74"/>
      <c r="K739" s="74"/>
    </row>
    <row r="740">
      <c r="A740" s="21"/>
      <c r="B740" s="119" t="s">
        <v>9549</v>
      </c>
      <c r="C740" s="120" t="s">
        <v>4372</v>
      </c>
      <c r="D740" s="33" t="s">
        <v>9296</v>
      </c>
      <c r="E740" s="51" t="s">
        <v>226</v>
      </c>
      <c r="F740" s="121" t="s">
        <v>3009</v>
      </c>
      <c r="G740" s="98" t="str">
        <f>HYPERLINK("http://mirror.ff7data.com.ar/ff7/data/battle/battle.lgp/bobt.png","View Picture")</f>
        <v>View Picture</v>
      </c>
      <c r="H740" s="75"/>
      <c r="I740" s="74"/>
      <c r="J740" s="74"/>
      <c r="K740" s="74"/>
    </row>
    <row r="741">
      <c r="A741" s="21"/>
      <c r="B741" s="119" t="s">
        <v>9555</v>
      </c>
      <c r="C741" s="120" t="s">
        <v>3671</v>
      </c>
      <c r="D741" s="33" t="s">
        <v>9296</v>
      </c>
      <c r="E741" s="51" t="s">
        <v>226</v>
      </c>
      <c r="F741" s="121" t="s">
        <v>3009</v>
      </c>
      <c r="G741" s="98" t="str">
        <f>HYPERLINK("http://mirror.ff7data.com.ar/ff7/data/battle/battle.lgp/bobu.png","View Picture")</f>
        <v>View Picture</v>
      </c>
      <c r="H741" s="75"/>
      <c r="I741" s="74"/>
      <c r="J741" s="74"/>
      <c r="K741" s="74"/>
    </row>
    <row r="742">
      <c r="A742" s="21"/>
      <c r="B742" s="119" t="s">
        <v>9563</v>
      </c>
      <c r="C742" s="120" t="s">
        <v>7501</v>
      </c>
      <c r="D742" s="33" t="s">
        <v>9296</v>
      </c>
      <c r="E742" s="51" t="s">
        <v>226</v>
      </c>
      <c r="F742" s="121" t="s">
        <v>3009</v>
      </c>
      <c r="G742" s="98" t="str">
        <f>HYPERLINK("http://mirror.ff7data.com.ar/ff7/data/battle/battle.lgp/bobv.png","View Picture")</f>
        <v>View Picture</v>
      </c>
      <c r="H742" s="75"/>
      <c r="I742" s="74"/>
      <c r="J742" s="74"/>
      <c r="K742" s="74"/>
    </row>
    <row r="743">
      <c r="A743" s="21"/>
      <c r="B743" s="119" t="s">
        <v>9569</v>
      </c>
      <c r="C743" s="120" t="s">
        <v>9571</v>
      </c>
      <c r="D743" s="33" t="s">
        <v>9296</v>
      </c>
      <c r="E743" s="51" t="s">
        <v>226</v>
      </c>
      <c r="F743" s="121" t="s">
        <v>3025</v>
      </c>
      <c r="G743" s="122"/>
      <c r="H743" s="46" t="s">
        <v>3002</v>
      </c>
      <c r="I743" s="74"/>
      <c r="J743" s="74"/>
      <c r="K743" s="74"/>
    </row>
    <row r="744">
      <c r="A744" s="21"/>
      <c r="B744" s="119" t="s">
        <v>9576</v>
      </c>
      <c r="C744" s="120" t="s">
        <v>6802</v>
      </c>
      <c r="D744" s="33" t="s">
        <v>9578</v>
      </c>
      <c r="E744" s="51" t="s">
        <v>230</v>
      </c>
      <c r="F744" s="121" t="s">
        <v>2971</v>
      </c>
      <c r="G744" s="98" t="str">
        <f>HYPERLINK("http://mirror.ff7data.com.ar/ff7/data/battle/battle.lgp/bpaa.png","View Picture")</f>
        <v>View Picture</v>
      </c>
      <c r="H744" s="75"/>
      <c r="I744" s="74"/>
      <c r="J744" s="74"/>
      <c r="K744" s="74"/>
    </row>
    <row r="745">
      <c r="A745" s="21"/>
      <c r="B745" s="119" t="s">
        <v>9585</v>
      </c>
      <c r="C745" s="120" t="s">
        <v>5222</v>
      </c>
      <c r="D745" s="33" t="s">
        <v>9586</v>
      </c>
      <c r="E745" s="51" t="s">
        <v>230</v>
      </c>
      <c r="F745" s="121" t="s">
        <v>2993</v>
      </c>
      <c r="G745" s="122"/>
      <c r="H745" s="46" t="s">
        <v>3002</v>
      </c>
      <c r="I745" s="74"/>
      <c r="J745" s="74"/>
      <c r="K745" s="74"/>
    </row>
    <row r="746">
      <c r="A746" s="21"/>
      <c r="B746" s="119" t="s">
        <v>9590</v>
      </c>
      <c r="C746" s="120" t="s">
        <v>3519</v>
      </c>
      <c r="D746" s="33" t="s">
        <v>9586</v>
      </c>
      <c r="E746" s="51" t="s">
        <v>230</v>
      </c>
      <c r="F746" s="121" t="s">
        <v>3009</v>
      </c>
      <c r="G746" s="98" t="str">
        <f>HYPERLINK("http://mirror.ff7data.com.ar/ff7/data/battle/battle.lgp/bpam.png","View Picture")</f>
        <v>View Picture</v>
      </c>
      <c r="H746" s="75"/>
      <c r="I746" s="74"/>
      <c r="J746" s="74"/>
      <c r="K746" s="74"/>
    </row>
    <row r="747">
      <c r="A747" s="21"/>
      <c r="B747" s="119" t="s">
        <v>9599</v>
      </c>
      <c r="C747" s="120" t="s">
        <v>9600</v>
      </c>
      <c r="D747" s="33" t="s">
        <v>9586</v>
      </c>
      <c r="E747" s="51" t="s">
        <v>230</v>
      </c>
      <c r="F747" s="121" t="s">
        <v>3009</v>
      </c>
      <c r="G747" s="98" t="str">
        <f>HYPERLINK("http://mirror.ff7data.com.ar/ff7/data/battle/battle.lgp/bpan.png","View Picture")</f>
        <v>View Picture</v>
      </c>
      <c r="H747" s="75"/>
      <c r="I747" s="74"/>
      <c r="J747" s="74"/>
      <c r="K747" s="74"/>
    </row>
    <row r="748">
      <c r="A748" s="21"/>
      <c r="B748" s="119" t="s">
        <v>9609</v>
      </c>
      <c r="C748" s="120" t="s">
        <v>4719</v>
      </c>
      <c r="D748" s="33" t="s">
        <v>9586</v>
      </c>
      <c r="E748" s="51" t="s">
        <v>230</v>
      </c>
      <c r="F748" s="121" t="s">
        <v>3009</v>
      </c>
      <c r="G748" s="98" t="str">
        <f>HYPERLINK("http://mirror.ff7data.com.ar/ff7/data/battle/battle.lgp/bpap.png","View Picture")</f>
        <v>View Picture</v>
      </c>
      <c r="H748" s="75"/>
      <c r="I748" s="74"/>
      <c r="J748" s="74"/>
      <c r="K748" s="74"/>
    </row>
    <row r="749">
      <c r="A749" s="21"/>
      <c r="B749" s="119" t="s">
        <v>9616</v>
      </c>
      <c r="C749" s="120" t="s">
        <v>5891</v>
      </c>
      <c r="D749" s="33" t="s">
        <v>9586</v>
      </c>
      <c r="E749" s="51" t="s">
        <v>230</v>
      </c>
      <c r="F749" s="121" t="s">
        <v>3009</v>
      </c>
      <c r="G749" s="98" t="str">
        <f>HYPERLINK("http://mirror.ff7data.com.ar/ff7/data/battle/battle.lgp/bpaq.png","View Picture")</f>
        <v>View Picture</v>
      </c>
      <c r="H749" s="75"/>
      <c r="I749" s="74"/>
      <c r="J749" s="74"/>
      <c r="K749" s="74"/>
    </row>
    <row r="750">
      <c r="A750" s="21"/>
      <c r="B750" s="119" t="s">
        <v>9624</v>
      </c>
      <c r="C750" s="120" t="s">
        <v>4288</v>
      </c>
      <c r="D750" s="33" t="s">
        <v>9586</v>
      </c>
      <c r="E750" s="51" t="s">
        <v>230</v>
      </c>
      <c r="F750" s="121" t="s">
        <v>3009</v>
      </c>
      <c r="G750" s="98" t="str">
        <f>HYPERLINK("http://mirror.ff7data.com.ar/ff7/data/battle/battle.lgp/bpar.png","View Picture")</f>
        <v>View Picture</v>
      </c>
      <c r="H750" s="75"/>
      <c r="I750" s="74"/>
      <c r="J750" s="74"/>
      <c r="K750" s="74"/>
    </row>
    <row r="751">
      <c r="A751" s="21"/>
      <c r="B751" s="119" t="s">
        <v>9630</v>
      </c>
      <c r="C751" s="120" t="s">
        <v>4357</v>
      </c>
      <c r="D751" s="33" t="s">
        <v>9586</v>
      </c>
      <c r="E751" s="51" t="s">
        <v>230</v>
      </c>
      <c r="F751" s="121" t="s">
        <v>3009</v>
      </c>
      <c r="G751" s="98" t="str">
        <f>HYPERLINK("http://mirror.ff7data.com.ar/ff7/data/battle/battle.lgp/bpas.png","View Picture")</f>
        <v>View Picture</v>
      </c>
      <c r="H751" s="75"/>
      <c r="I751" s="74"/>
      <c r="J751" s="74"/>
      <c r="K751" s="74"/>
    </row>
    <row r="752">
      <c r="A752" s="21"/>
      <c r="B752" s="119" t="s">
        <v>9641</v>
      </c>
      <c r="C752" s="120" t="s">
        <v>9642</v>
      </c>
      <c r="D752" s="33" t="s">
        <v>9586</v>
      </c>
      <c r="E752" s="51" t="s">
        <v>230</v>
      </c>
      <c r="F752" s="121" t="s">
        <v>3009</v>
      </c>
      <c r="G752" s="98" t="str">
        <f>HYPERLINK("http://mirror.ff7data.com.ar/ff7/data/battle/battle.lgp/bpau.png","View Picture")</f>
        <v>View Picture</v>
      </c>
      <c r="H752" s="75"/>
      <c r="I752" s="74"/>
      <c r="J752" s="74"/>
      <c r="K752" s="74"/>
    </row>
    <row r="753">
      <c r="A753" s="21"/>
      <c r="B753" s="119" t="s">
        <v>9647</v>
      </c>
      <c r="C753" s="120" t="s">
        <v>4264</v>
      </c>
      <c r="D753" s="33" t="s">
        <v>9586</v>
      </c>
      <c r="E753" s="51" t="s">
        <v>230</v>
      </c>
      <c r="F753" s="121" t="s">
        <v>3009</v>
      </c>
      <c r="G753" s="98" t="str">
        <f>HYPERLINK("http://mirror.ff7data.com.ar/ff7/data/battle/battle.lgp/bpaw.png","View Picture")</f>
        <v>View Picture</v>
      </c>
      <c r="H753" s="75"/>
      <c r="I753" s="74"/>
      <c r="J753" s="74"/>
      <c r="K753" s="74"/>
    </row>
    <row r="754">
      <c r="A754" s="21"/>
      <c r="B754" s="119" t="s">
        <v>9654</v>
      </c>
      <c r="C754" s="120" t="s">
        <v>4288</v>
      </c>
      <c r="D754" s="33" t="s">
        <v>9586</v>
      </c>
      <c r="E754" s="51" t="s">
        <v>230</v>
      </c>
      <c r="F754" s="121" t="s">
        <v>3009</v>
      </c>
      <c r="G754" s="98" t="str">
        <f>HYPERLINK("http://mirror.ff7data.com.ar/ff7/data/battle/battle.lgp/bpax.png","View Picture")</f>
        <v>View Picture</v>
      </c>
      <c r="H754" s="75"/>
      <c r="I754" s="74"/>
      <c r="J754" s="74"/>
      <c r="K754" s="74"/>
    </row>
    <row r="755">
      <c r="A755" s="21"/>
      <c r="B755" s="119" t="s">
        <v>9660</v>
      </c>
      <c r="C755" s="120" t="s">
        <v>4719</v>
      </c>
      <c r="D755" s="33" t="s">
        <v>9586</v>
      </c>
      <c r="E755" s="51" t="s">
        <v>230</v>
      </c>
      <c r="F755" s="121" t="s">
        <v>3009</v>
      </c>
      <c r="G755" s="98" t="str">
        <f>HYPERLINK("http://mirror.ff7data.com.ar/ff7/data/battle/battle.lgp/bpaz.png","View Picture")</f>
        <v>View Picture</v>
      </c>
      <c r="H755" s="75"/>
      <c r="I755" s="74"/>
      <c r="J755" s="74"/>
      <c r="K755" s="74"/>
    </row>
    <row r="756">
      <c r="A756" s="21"/>
      <c r="B756" s="119" t="s">
        <v>9669</v>
      </c>
      <c r="C756" s="120" t="s">
        <v>5891</v>
      </c>
      <c r="D756" s="33" t="s">
        <v>9586</v>
      </c>
      <c r="E756" s="51" t="s">
        <v>230</v>
      </c>
      <c r="F756" s="121" t="s">
        <v>3009</v>
      </c>
      <c r="G756" s="98" t="str">
        <f>HYPERLINK("http://mirror.ff7data.com.ar/ff7/data/battle/battle.lgp/bpba.png","View Picture")</f>
        <v>View Picture</v>
      </c>
      <c r="H756" s="75"/>
      <c r="I756" s="74"/>
      <c r="J756" s="74"/>
      <c r="K756" s="74"/>
    </row>
    <row r="757">
      <c r="A757" s="21"/>
      <c r="B757" s="119" t="s">
        <v>9677</v>
      </c>
      <c r="C757" s="120" t="s">
        <v>4288</v>
      </c>
      <c r="D757" s="33" t="s">
        <v>9586</v>
      </c>
      <c r="E757" s="51" t="s">
        <v>230</v>
      </c>
      <c r="F757" s="121" t="s">
        <v>3009</v>
      </c>
      <c r="G757" s="98" t="str">
        <f>HYPERLINK("http://mirror.ff7data.com.ar/ff7/data/battle/battle.lgp/bpbb.png","View Picture")</f>
        <v>View Picture</v>
      </c>
      <c r="H757" s="75"/>
      <c r="I757" s="74"/>
      <c r="J757" s="74"/>
      <c r="K757" s="74"/>
    </row>
    <row r="758">
      <c r="A758" s="21"/>
      <c r="B758" s="119" t="s">
        <v>9685</v>
      </c>
      <c r="C758" s="120" t="s">
        <v>4357</v>
      </c>
      <c r="D758" s="33" t="s">
        <v>9586</v>
      </c>
      <c r="E758" s="51" t="s">
        <v>230</v>
      </c>
      <c r="F758" s="121" t="s">
        <v>3009</v>
      </c>
      <c r="G758" s="98" t="str">
        <f>HYPERLINK("http://mirror.ff7data.com.ar/ff7/data/battle/battle.lgp/bpbc.png","View Picture")</f>
        <v>View Picture</v>
      </c>
      <c r="H758" s="75"/>
      <c r="I758" s="74"/>
      <c r="J758" s="74"/>
      <c r="K758" s="74"/>
    </row>
    <row r="759">
      <c r="A759" s="21"/>
      <c r="B759" s="119" t="s">
        <v>9692</v>
      </c>
      <c r="C759" s="120" t="s">
        <v>9642</v>
      </c>
      <c r="D759" s="33" t="s">
        <v>9586</v>
      </c>
      <c r="E759" s="51" t="s">
        <v>230</v>
      </c>
      <c r="F759" s="121" t="s">
        <v>3009</v>
      </c>
      <c r="G759" s="98" t="str">
        <f>HYPERLINK("http://mirror.ff7data.com.ar/ff7/data/battle/battle.lgp/bpbe.png","View Picture")</f>
        <v>View Picture</v>
      </c>
      <c r="H759" s="75"/>
      <c r="I759" s="74"/>
      <c r="J759" s="74"/>
      <c r="K759" s="74"/>
    </row>
    <row r="760">
      <c r="A760" s="21"/>
      <c r="B760" s="119" t="s">
        <v>9702</v>
      </c>
      <c r="C760" s="120" t="s">
        <v>4264</v>
      </c>
      <c r="D760" s="33" t="s">
        <v>9586</v>
      </c>
      <c r="E760" s="51" t="s">
        <v>230</v>
      </c>
      <c r="F760" s="121" t="s">
        <v>3009</v>
      </c>
      <c r="G760" s="98" t="str">
        <f>HYPERLINK("http://mirror.ff7data.com.ar/ff7/data/battle/battle.lgp/bpbg.png","View Picture")</f>
        <v>View Picture</v>
      </c>
      <c r="H760" s="75"/>
      <c r="I760" s="74"/>
      <c r="J760" s="74"/>
      <c r="K760" s="74"/>
    </row>
    <row r="761">
      <c r="A761" s="21"/>
      <c r="B761" s="119" t="s">
        <v>9710</v>
      </c>
      <c r="C761" s="120" t="s">
        <v>4288</v>
      </c>
      <c r="D761" s="33" t="s">
        <v>9586</v>
      </c>
      <c r="E761" s="51" t="s">
        <v>230</v>
      </c>
      <c r="F761" s="121" t="s">
        <v>3009</v>
      </c>
      <c r="G761" s="98" t="str">
        <f>HYPERLINK("http://mirror.ff7data.com.ar/ff7/data/battle/battle.lgp/bpbh.png","View Picture")</f>
        <v>View Picture</v>
      </c>
      <c r="H761" s="75"/>
      <c r="I761" s="74"/>
      <c r="J761" s="74"/>
      <c r="K761" s="74"/>
    </row>
    <row r="762">
      <c r="A762" s="21"/>
      <c r="B762" s="119" t="s">
        <v>9719</v>
      </c>
      <c r="C762" s="120" t="s">
        <v>7148</v>
      </c>
      <c r="D762" s="33" t="s">
        <v>9586</v>
      </c>
      <c r="E762" s="51" t="s">
        <v>230</v>
      </c>
      <c r="F762" s="121" t="s">
        <v>3009</v>
      </c>
      <c r="G762" s="98" t="str">
        <f>HYPERLINK("http://mirror.ff7data.com.ar/ff7/data/battle/battle.lgp/bpbi.png","View Picture")</f>
        <v>View Picture</v>
      </c>
      <c r="H762" s="75"/>
      <c r="I762" s="74"/>
      <c r="J762" s="74"/>
      <c r="K762" s="74"/>
    </row>
    <row r="763">
      <c r="A763" s="21"/>
      <c r="B763" s="119" t="s">
        <v>9725</v>
      </c>
      <c r="C763" s="120" t="s">
        <v>7148</v>
      </c>
      <c r="D763" s="33" t="s">
        <v>9586</v>
      </c>
      <c r="E763" s="51" t="s">
        <v>230</v>
      </c>
      <c r="F763" s="121" t="s">
        <v>3009</v>
      </c>
      <c r="G763" s="98" t="str">
        <f>HYPERLINK("http://mirror.ff7data.com.ar/ff7/data/battle/battle.lgp/bpbj.png","View Picture")</f>
        <v>View Picture</v>
      </c>
      <c r="H763" s="75"/>
      <c r="I763" s="74"/>
      <c r="J763" s="74"/>
      <c r="K763" s="74"/>
    </row>
    <row r="764">
      <c r="A764" s="21"/>
      <c r="B764" s="119" t="s">
        <v>9734</v>
      </c>
      <c r="C764" s="120" t="s">
        <v>7148</v>
      </c>
      <c r="D764" s="33" t="s">
        <v>9586</v>
      </c>
      <c r="E764" s="51" t="s">
        <v>230</v>
      </c>
      <c r="F764" s="121" t="s">
        <v>3009</v>
      </c>
      <c r="G764" s="98" t="str">
        <f>HYPERLINK("http://mirror.ff7data.com.ar/ff7/data/battle/battle.lgp/bpbk.png","View Picture")</f>
        <v>View Picture</v>
      </c>
      <c r="H764" s="75"/>
      <c r="I764" s="74"/>
      <c r="J764" s="74"/>
      <c r="K764" s="74"/>
    </row>
    <row r="765">
      <c r="A765" s="21"/>
      <c r="B765" s="119" t="s">
        <v>9741</v>
      </c>
      <c r="C765" s="120" t="s">
        <v>7148</v>
      </c>
      <c r="D765" s="33" t="s">
        <v>9586</v>
      </c>
      <c r="E765" s="51" t="s">
        <v>230</v>
      </c>
      <c r="F765" s="121" t="s">
        <v>3009</v>
      </c>
      <c r="G765" s="98" t="str">
        <f>HYPERLINK("http://mirror.ff7data.com.ar/ff7/data/battle/battle.lgp/bpbl.png","View Picture")</f>
        <v>View Picture</v>
      </c>
      <c r="H765" s="75"/>
      <c r="I765" s="74"/>
      <c r="J765" s="74"/>
      <c r="K765" s="74"/>
    </row>
    <row r="766">
      <c r="A766" s="21"/>
      <c r="B766" s="119" t="s">
        <v>9749</v>
      </c>
      <c r="C766" s="120" t="s">
        <v>7148</v>
      </c>
      <c r="D766" s="33" t="s">
        <v>9586</v>
      </c>
      <c r="E766" s="51" t="s">
        <v>230</v>
      </c>
      <c r="F766" s="121" t="s">
        <v>3009</v>
      </c>
      <c r="G766" s="98" t="str">
        <f>HYPERLINK("http://mirror.ff7data.com.ar/ff7/data/battle/battle.lgp/bpbm.png","View Picture")</f>
        <v>View Picture</v>
      </c>
      <c r="H766" s="75"/>
      <c r="I766" s="74"/>
      <c r="J766" s="74"/>
      <c r="K766" s="74"/>
    </row>
    <row r="767">
      <c r="A767" s="21"/>
      <c r="B767" s="119" t="s">
        <v>9762</v>
      </c>
      <c r="C767" s="120" t="s">
        <v>7148</v>
      </c>
      <c r="D767" s="33" t="s">
        <v>9586</v>
      </c>
      <c r="E767" s="51" t="s">
        <v>230</v>
      </c>
      <c r="F767" s="121" t="s">
        <v>3009</v>
      </c>
      <c r="G767" s="98" t="str">
        <f>HYPERLINK("http://mirror.ff7data.com.ar/ff7/data/battle/battle.lgp/bpbn.png","View Picture")</f>
        <v>View Picture</v>
      </c>
      <c r="H767" s="75"/>
      <c r="I767" s="74"/>
      <c r="J767" s="74"/>
      <c r="K767" s="74"/>
    </row>
    <row r="768">
      <c r="A768" s="21"/>
      <c r="B768" s="119" t="s">
        <v>9768</v>
      </c>
      <c r="C768" s="120" t="s">
        <v>3007</v>
      </c>
      <c r="D768" s="33" t="s">
        <v>9586</v>
      </c>
      <c r="E768" s="51" t="s">
        <v>230</v>
      </c>
      <c r="F768" s="121" t="s">
        <v>3009</v>
      </c>
      <c r="G768" s="98" t="str">
        <f>HYPERLINK("http://mirror.ff7data.com.ar/ff7/data/battle/battle.lgp/bpbo.png","View Picture")</f>
        <v>View Picture</v>
      </c>
      <c r="H768" s="75"/>
      <c r="I768" s="74"/>
      <c r="J768" s="74"/>
      <c r="K768" s="74"/>
    </row>
    <row r="769">
      <c r="A769" s="21"/>
      <c r="B769" s="119" t="s">
        <v>9776</v>
      </c>
      <c r="C769" s="120" t="s">
        <v>9600</v>
      </c>
      <c r="D769" s="33" t="s">
        <v>9586</v>
      </c>
      <c r="E769" s="51" t="s">
        <v>230</v>
      </c>
      <c r="F769" s="121" t="s">
        <v>3025</v>
      </c>
      <c r="G769" s="122"/>
      <c r="H769" s="46" t="s">
        <v>3002</v>
      </c>
      <c r="I769" s="74"/>
      <c r="J769" s="74"/>
      <c r="K769" s="74"/>
    </row>
    <row r="770">
      <c r="A770" s="21"/>
      <c r="B770" s="119" t="s">
        <v>9779</v>
      </c>
      <c r="C770" s="120" t="s">
        <v>4196</v>
      </c>
      <c r="D770" s="33" t="s">
        <v>9780</v>
      </c>
      <c r="E770" s="51" t="s">
        <v>236</v>
      </c>
      <c r="F770" s="121" t="s">
        <v>2971</v>
      </c>
      <c r="G770" s="98" t="str">
        <f>HYPERLINK("http://mirror.ff7data.com.ar/ff7/data/battle/battle.lgp/bqaa.png","View Picture")</f>
        <v>View Picture</v>
      </c>
      <c r="H770" s="75"/>
      <c r="I770" s="74"/>
      <c r="J770" s="74"/>
      <c r="K770" s="74"/>
    </row>
    <row r="771">
      <c r="A771" s="21"/>
      <c r="B771" s="119" t="s">
        <v>9788</v>
      </c>
      <c r="C771" s="120" t="s">
        <v>9790</v>
      </c>
      <c r="D771" s="33" t="s">
        <v>9791</v>
      </c>
      <c r="E771" s="51" t="s">
        <v>236</v>
      </c>
      <c r="F771" s="121" t="s">
        <v>2993</v>
      </c>
      <c r="G771" s="122"/>
      <c r="H771" s="46" t="s">
        <v>3002</v>
      </c>
      <c r="I771" s="74"/>
      <c r="J771" s="74"/>
      <c r="K771" s="74"/>
    </row>
    <row r="772">
      <c r="A772" s="21"/>
      <c r="B772" s="119" t="s">
        <v>9795</v>
      </c>
      <c r="C772" s="120" t="s">
        <v>3842</v>
      </c>
      <c r="D772" s="33" t="s">
        <v>9791</v>
      </c>
      <c r="E772" s="51" t="s">
        <v>236</v>
      </c>
      <c r="F772" s="121" t="s">
        <v>3009</v>
      </c>
      <c r="G772" s="98" t="str">
        <f>HYPERLINK("http://mirror.ff7data.com.ar/ff7/data/battle/battle.lgp/bqam.png","View Picture")</f>
        <v>View Picture</v>
      </c>
      <c r="H772" s="75"/>
      <c r="I772" s="74"/>
      <c r="J772" s="74"/>
      <c r="K772" s="74"/>
    </row>
    <row r="773">
      <c r="A773" s="21"/>
      <c r="B773" s="119" t="s">
        <v>9803</v>
      </c>
      <c r="C773" s="120" t="s">
        <v>7894</v>
      </c>
      <c r="D773" s="33" t="s">
        <v>9791</v>
      </c>
      <c r="E773" s="51" t="s">
        <v>236</v>
      </c>
      <c r="F773" s="121" t="s">
        <v>3009</v>
      </c>
      <c r="G773" s="98" t="str">
        <f>HYPERLINK("http://mirror.ff7data.com.ar/ff7/data/battle/battle.lgp/bqan.png","View Picture")</f>
        <v>View Picture</v>
      </c>
      <c r="H773" s="75"/>
      <c r="I773" s="74"/>
      <c r="J773" s="74"/>
      <c r="K773" s="74"/>
    </row>
    <row r="774">
      <c r="A774" s="21"/>
      <c r="B774" s="119" t="s">
        <v>9812</v>
      </c>
      <c r="C774" s="120" t="s">
        <v>3723</v>
      </c>
      <c r="D774" s="33" t="s">
        <v>9791</v>
      </c>
      <c r="E774" s="51" t="s">
        <v>236</v>
      </c>
      <c r="F774" s="121" t="s">
        <v>3009</v>
      </c>
      <c r="G774" s="98" t="str">
        <f>HYPERLINK("http://mirror.ff7data.com.ar/ff7/data/battle/battle.lgp/bqap.png","View Picture")</f>
        <v>View Picture</v>
      </c>
      <c r="H774" s="75"/>
      <c r="I774" s="74"/>
      <c r="J774" s="74"/>
      <c r="K774" s="74"/>
    </row>
    <row r="775">
      <c r="A775" s="21"/>
      <c r="B775" s="119" t="s">
        <v>9819</v>
      </c>
      <c r="C775" s="120" t="s">
        <v>3343</v>
      </c>
      <c r="D775" s="33" t="s">
        <v>9791</v>
      </c>
      <c r="E775" s="51" t="s">
        <v>236</v>
      </c>
      <c r="F775" s="121" t="s">
        <v>3009</v>
      </c>
      <c r="G775" s="98" t="str">
        <f>HYPERLINK("http://mirror.ff7data.com.ar/ff7/data/battle/battle.lgp/bqar.png","View Picture")</f>
        <v>View Picture</v>
      </c>
      <c r="H775" s="75"/>
      <c r="I775" s="74"/>
      <c r="J775" s="74"/>
      <c r="K775" s="74"/>
    </row>
    <row r="776">
      <c r="A776" s="21"/>
      <c r="B776" s="119" t="s">
        <v>9825</v>
      </c>
      <c r="C776" s="120" t="s">
        <v>4732</v>
      </c>
      <c r="D776" s="33" t="s">
        <v>9791</v>
      </c>
      <c r="E776" s="51" t="s">
        <v>236</v>
      </c>
      <c r="F776" s="121" t="s">
        <v>3009</v>
      </c>
      <c r="G776" s="98" t="str">
        <f>HYPERLINK("http://mirror.ff7data.com.ar/ff7/data/battle/battle.lgp/bqat.png","View Picture")</f>
        <v>View Picture</v>
      </c>
      <c r="H776" s="75"/>
      <c r="I776" s="74"/>
      <c r="J776" s="74"/>
      <c r="K776" s="74"/>
    </row>
    <row r="777">
      <c r="A777" s="21"/>
      <c r="B777" s="119" t="s">
        <v>9835</v>
      </c>
      <c r="C777" s="120" t="s">
        <v>4288</v>
      </c>
      <c r="D777" s="33" t="s">
        <v>9791</v>
      </c>
      <c r="E777" s="51" t="s">
        <v>236</v>
      </c>
      <c r="F777" s="121" t="s">
        <v>3009</v>
      </c>
      <c r="G777" s="98" t="str">
        <f>HYPERLINK("http://mirror.ff7data.com.ar/ff7/data/battle/battle.lgp/bqau.png","View Picture")</f>
        <v>View Picture</v>
      </c>
      <c r="H777" s="75"/>
      <c r="I777" s="74"/>
      <c r="J777" s="74"/>
      <c r="K777" s="74"/>
    </row>
    <row r="778">
      <c r="A778" s="21"/>
      <c r="B778" s="119" t="s">
        <v>9845</v>
      </c>
      <c r="C778" s="120" t="s">
        <v>6029</v>
      </c>
      <c r="D778" s="33" t="s">
        <v>9791</v>
      </c>
      <c r="E778" s="51" t="s">
        <v>236</v>
      </c>
      <c r="F778" s="121" t="s">
        <v>3009</v>
      </c>
      <c r="G778" s="98" t="str">
        <f>HYPERLINK("http://mirror.ff7data.com.ar/ff7/data/battle/battle.lgp/bqav.png","View Picture")</f>
        <v>View Picture</v>
      </c>
      <c r="H778" s="75"/>
      <c r="I778" s="74"/>
      <c r="J778" s="74"/>
      <c r="K778" s="74"/>
    </row>
    <row r="779">
      <c r="A779" s="21"/>
      <c r="B779" s="119" t="s">
        <v>9855</v>
      </c>
      <c r="C779" s="120" t="s">
        <v>4185</v>
      </c>
      <c r="D779" s="33" t="s">
        <v>9791</v>
      </c>
      <c r="E779" s="51" t="s">
        <v>236</v>
      </c>
      <c r="F779" s="121" t="s">
        <v>3009</v>
      </c>
      <c r="G779" s="98" t="str">
        <f>HYPERLINK("http://mirror.ff7data.com.ar/ff7/data/battle/battle.lgp/bqax.png","View Picture")</f>
        <v>View Picture</v>
      </c>
      <c r="H779" s="75"/>
      <c r="I779" s="74"/>
      <c r="J779" s="74"/>
      <c r="K779" s="74"/>
    </row>
    <row r="780">
      <c r="A780" s="21"/>
      <c r="B780" s="119" t="s">
        <v>9865</v>
      </c>
      <c r="C780" s="120" t="s">
        <v>4658</v>
      </c>
      <c r="D780" s="33" t="s">
        <v>9791</v>
      </c>
      <c r="E780" s="51" t="s">
        <v>236</v>
      </c>
      <c r="F780" s="121" t="s">
        <v>3009</v>
      </c>
      <c r="G780" s="98" t="str">
        <f>HYPERLINK("http://mirror.ff7data.com.ar/ff7/data/battle/battle.lgp/bqay.png","View Picture")</f>
        <v>View Picture</v>
      </c>
      <c r="H780" s="75"/>
      <c r="I780" s="74"/>
      <c r="J780" s="74"/>
      <c r="K780" s="74"/>
    </row>
    <row r="781">
      <c r="A781" s="21"/>
      <c r="B781" s="119" t="s">
        <v>9876</v>
      </c>
      <c r="C781" s="120" t="s">
        <v>4476</v>
      </c>
      <c r="D781" s="33" t="s">
        <v>9791</v>
      </c>
      <c r="E781" s="51" t="s">
        <v>236</v>
      </c>
      <c r="F781" s="121" t="s">
        <v>3009</v>
      </c>
      <c r="G781" s="98" t="str">
        <f>HYPERLINK("http://mirror.ff7data.com.ar/ff7/data/battle/battle.lgp/bqaz.png","View Picture")</f>
        <v>View Picture</v>
      </c>
      <c r="H781" s="75"/>
      <c r="I781" s="74"/>
      <c r="J781" s="74"/>
      <c r="K781" s="74"/>
    </row>
    <row r="782">
      <c r="A782" s="21"/>
      <c r="B782" s="119" t="s">
        <v>9884</v>
      </c>
      <c r="C782" s="120" t="s">
        <v>4732</v>
      </c>
      <c r="D782" s="33" t="s">
        <v>9791</v>
      </c>
      <c r="E782" s="51" t="s">
        <v>236</v>
      </c>
      <c r="F782" s="121" t="s">
        <v>3009</v>
      </c>
      <c r="G782" s="98" t="str">
        <f>HYPERLINK("http://mirror.ff7data.com.ar/ff7/data/battle/battle.lgp/bqbb.png","View Picture")</f>
        <v>View Picture</v>
      </c>
      <c r="H782" s="75"/>
      <c r="I782" s="74"/>
      <c r="J782" s="74"/>
      <c r="K782" s="74"/>
    </row>
    <row r="783">
      <c r="A783" s="21"/>
      <c r="B783" s="119" t="s">
        <v>9891</v>
      </c>
      <c r="C783" s="120" t="s">
        <v>4658</v>
      </c>
      <c r="D783" s="33" t="s">
        <v>9791</v>
      </c>
      <c r="E783" s="51" t="s">
        <v>236</v>
      </c>
      <c r="F783" s="121" t="s">
        <v>3009</v>
      </c>
      <c r="G783" s="98" t="str">
        <f>HYPERLINK("http://mirror.ff7data.com.ar/ff7/data/battle/battle.lgp/bqbd.png","View Picture")</f>
        <v>View Picture</v>
      </c>
      <c r="H783" s="75"/>
      <c r="I783" s="74"/>
      <c r="J783" s="74"/>
      <c r="K783" s="74"/>
    </row>
    <row r="784">
      <c r="A784" s="21"/>
      <c r="B784" s="119" t="s">
        <v>9900</v>
      </c>
      <c r="C784" s="120" t="s">
        <v>6029</v>
      </c>
      <c r="D784" s="33" t="s">
        <v>9791</v>
      </c>
      <c r="E784" s="51" t="s">
        <v>236</v>
      </c>
      <c r="F784" s="121" t="s">
        <v>3009</v>
      </c>
      <c r="G784" s="98" t="str">
        <f>HYPERLINK("http://mirror.ff7data.com.ar/ff7/data/battle/battle.lgp/bqbe.png","View Picture")</f>
        <v>View Picture</v>
      </c>
      <c r="H784" s="75"/>
      <c r="I784" s="74"/>
      <c r="J784" s="74"/>
      <c r="K784" s="74"/>
    </row>
    <row r="785">
      <c r="A785" s="21"/>
      <c r="B785" s="119" t="s">
        <v>9909</v>
      </c>
      <c r="C785" s="120" t="s">
        <v>4732</v>
      </c>
      <c r="D785" s="33" t="s">
        <v>9791</v>
      </c>
      <c r="E785" s="51" t="s">
        <v>236</v>
      </c>
      <c r="F785" s="121" t="s">
        <v>3009</v>
      </c>
      <c r="G785" s="98" t="str">
        <f>HYPERLINK("http://mirror.ff7data.com.ar/ff7/data/battle/battle.lgp/bqbg.png","View Picture")</f>
        <v>View Picture</v>
      </c>
      <c r="H785" s="75"/>
      <c r="I785" s="74"/>
      <c r="J785" s="74"/>
      <c r="K785" s="74"/>
    </row>
    <row r="786">
      <c r="A786" s="21"/>
      <c r="B786" s="119" t="s">
        <v>9916</v>
      </c>
      <c r="C786" s="120" t="s">
        <v>4707</v>
      </c>
      <c r="D786" s="33" t="s">
        <v>9791</v>
      </c>
      <c r="E786" s="51" t="s">
        <v>236</v>
      </c>
      <c r="F786" s="121" t="s">
        <v>3009</v>
      </c>
      <c r="G786" s="98" t="str">
        <f>HYPERLINK("http://mirror.ff7data.com.ar/ff7/data/battle/battle.lgp/bqbi.png","View Picture")</f>
        <v>View Picture</v>
      </c>
      <c r="H786" s="75"/>
      <c r="I786" s="74"/>
      <c r="J786" s="74"/>
      <c r="K786" s="74"/>
    </row>
    <row r="787">
      <c r="A787" s="21"/>
      <c r="B787" s="119" t="s">
        <v>9926</v>
      </c>
      <c r="C787" s="120" t="s">
        <v>4719</v>
      </c>
      <c r="D787" s="33" t="s">
        <v>9791</v>
      </c>
      <c r="E787" s="51" t="s">
        <v>236</v>
      </c>
      <c r="F787" s="121" t="s">
        <v>3009</v>
      </c>
      <c r="G787" s="98" t="str">
        <f>HYPERLINK("http://mirror.ff7data.com.ar/ff7/data/battle/battle.lgp/bqbj.png","View Picture")</f>
        <v>View Picture</v>
      </c>
      <c r="H787" s="75"/>
      <c r="I787" s="74"/>
      <c r="J787" s="74"/>
      <c r="K787" s="74"/>
    </row>
    <row r="788">
      <c r="A788" s="21"/>
      <c r="B788" s="119" t="s">
        <v>9938</v>
      </c>
      <c r="C788" s="120" t="s">
        <v>7148</v>
      </c>
      <c r="D788" s="33" t="s">
        <v>9791</v>
      </c>
      <c r="E788" s="51" t="s">
        <v>236</v>
      </c>
      <c r="F788" s="121" t="s">
        <v>3009</v>
      </c>
      <c r="G788" s="98" t="str">
        <f>HYPERLINK("http://mirror.ff7data.com.ar/ff7/data/battle/battle.lgp/bqbk.png","View Picture")</f>
        <v>View Picture</v>
      </c>
      <c r="H788" s="75"/>
      <c r="I788" s="74"/>
      <c r="J788" s="74"/>
      <c r="K788" s="74"/>
    </row>
    <row r="789">
      <c r="A789" s="21"/>
      <c r="B789" s="119" t="s">
        <v>9948</v>
      </c>
      <c r="C789" s="120" t="s">
        <v>4439</v>
      </c>
      <c r="D789" s="33" t="s">
        <v>9791</v>
      </c>
      <c r="E789" s="51" t="s">
        <v>236</v>
      </c>
      <c r="F789" s="121" t="s">
        <v>3009</v>
      </c>
      <c r="G789" s="98" t="str">
        <f>HYPERLINK("http://mirror.ff7data.com.ar/ff7/data/battle/battle.lgp/bqbl.png","View Picture")</f>
        <v>View Picture</v>
      </c>
      <c r="H789" s="75"/>
      <c r="I789" s="74"/>
      <c r="J789" s="74"/>
      <c r="K789" s="74"/>
    </row>
    <row r="790">
      <c r="A790" s="21"/>
      <c r="B790" s="119" t="s">
        <v>9956</v>
      </c>
      <c r="C790" s="120" t="s">
        <v>5419</v>
      </c>
      <c r="D790" s="33" t="s">
        <v>9791</v>
      </c>
      <c r="E790" s="51" t="s">
        <v>236</v>
      </c>
      <c r="F790" s="121" t="s">
        <v>3009</v>
      </c>
      <c r="G790" s="98" t="str">
        <f>HYPERLINK("http://mirror.ff7data.com.ar/ff7/data/battle/battle.lgp/bqbm.png","View Picture")</f>
        <v>View Picture</v>
      </c>
      <c r="H790" s="75"/>
      <c r="I790" s="74"/>
      <c r="J790" s="74"/>
      <c r="K790" s="74"/>
    </row>
    <row r="791">
      <c r="A791" s="21"/>
      <c r="B791" s="119" t="s">
        <v>9966</v>
      </c>
      <c r="C791" s="120" t="s">
        <v>7301</v>
      </c>
      <c r="D791" s="33" t="s">
        <v>9791</v>
      </c>
      <c r="E791" s="51" t="s">
        <v>236</v>
      </c>
      <c r="F791" s="121" t="s">
        <v>3025</v>
      </c>
      <c r="G791" s="122"/>
      <c r="H791" s="46" t="s">
        <v>3002</v>
      </c>
      <c r="I791" s="74"/>
      <c r="J791" s="74"/>
      <c r="K791" s="74"/>
    </row>
    <row r="792">
      <c r="A792" s="21"/>
      <c r="B792" s="119" t="s">
        <v>9972</v>
      </c>
      <c r="C792" s="120" t="s">
        <v>9973</v>
      </c>
      <c r="D792" s="33" t="s">
        <v>9974</v>
      </c>
      <c r="E792" s="51" t="s">
        <v>242</v>
      </c>
      <c r="F792" s="121" t="s">
        <v>2971</v>
      </c>
      <c r="G792" s="98" t="str">
        <f>HYPERLINK("http://mirror.ff7data.com.ar/ff7/data/battle/battle.lgp/braa.png","View Picture")</f>
        <v>View Picture</v>
      </c>
      <c r="H792" s="75"/>
      <c r="I792" s="74"/>
      <c r="J792" s="74"/>
      <c r="K792" s="74"/>
    </row>
    <row r="793">
      <c r="A793" s="21"/>
      <c r="B793" s="119" t="s">
        <v>9977</v>
      </c>
      <c r="C793" s="120" t="s">
        <v>3906</v>
      </c>
      <c r="D793" s="33" t="s">
        <v>9979</v>
      </c>
      <c r="E793" s="51" t="s">
        <v>242</v>
      </c>
      <c r="F793" s="121" t="s">
        <v>2993</v>
      </c>
      <c r="G793" s="122"/>
      <c r="H793" s="46" t="s">
        <v>3002</v>
      </c>
      <c r="I793" s="74"/>
      <c r="J793" s="74"/>
      <c r="K793" s="74"/>
    </row>
    <row r="794">
      <c r="A794" s="21"/>
      <c r="B794" s="119" t="s">
        <v>9982</v>
      </c>
      <c r="C794" s="120" t="s">
        <v>6029</v>
      </c>
      <c r="D794" s="33" t="s">
        <v>9979</v>
      </c>
      <c r="E794" s="51" t="s">
        <v>242</v>
      </c>
      <c r="F794" s="121" t="s">
        <v>3009</v>
      </c>
      <c r="G794" s="98" t="str">
        <f>HYPERLINK("http://mirror.ff7data.com.ar/ff7/data/battle/battle.lgp/bram.png","View Picture")</f>
        <v>View Picture</v>
      </c>
      <c r="H794" s="75"/>
      <c r="I794" s="74"/>
      <c r="J794" s="74"/>
      <c r="K794" s="74"/>
    </row>
    <row r="795">
      <c r="A795" s="21"/>
      <c r="B795" s="119" t="s">
        <v>9990</v>
      </c>
      <c r="C795" s="120" t="s">
        <v>6029</v>
      </c>
      <c r="D795" s="33" t="s">
        <v>9979</v>
      </c>
      <c r="E795" s="51" t="s">
        <v>242</v>
      </c>
      <c r="F795" s="121" t="s">
        <v>3009</v>
      </c>
      <c r="G795" s="98" t="str">
        <f>HYPERLINK("http://mirror.ff7data.com.ar/ff7/data/battle/battle.lgp/bran.png","View Picture")</f>
        <v>View Picture</v>
      </c>
      <c r="H795" s="75"/>
      <c r="I795" s="74"/>
      <c r="J795" s="74"/>
      <c r="K795" s="74"/>
    </row>
    <row r="796">
      <c r="A796" s="21"/>
      <c r="B796" s="119" t="s">
        <v>9997</v>
      </c>
      <c r="C796" s="120" t="s">
        <v>4357</v>
      </c>
      <c r="D796" s="33" t="s">
        <v>9979</v>
      </c>
      <c r="E796" s="51" t="s">
        <v>242</v>
      </c>
      <c r="F796" s="121" t="s">
        <v>3009</v>
      </c>
      <c r="G796" s="98" t="str">
        <f>HYPERLINK("http://mirror.ff7data.com.ar/ff7/data/battle/battle.lgp/brao.png","View Picture")</f>
        <v>View Picture</v>
      </c>
      <c r="H796" s="75"/>
      <c r="I796" s="74"/>
      <c r="J796" s="74"/>
      <c r="K796" s="74"/>
    </row>
    <row r="797">
      <c r="A797" s="21"/>
      <c r="B797" s="119" t="s">
        <v>10007</v>
      </c>
      <c r="C797" s="120" t="s">
        <v>4439</v>
      </c>
      <c r="D797" s="33" t="s">
        <v>9979</v>
      </c>
      <c r="E797" s="51" t="s">
        <v>242</v>
      </c>
      <c r="F797" s="121" t="s">
        <v>3009</v>
      </c>
      <c r="G797" s="98" t="str">
        <f>HYPERLINK("http://mirror.ff7data.com.ar/ff7/data/battle/battle.lgp/brap.png","View Picture")</f>
        <v>View Picture</v>
      </c>
      <c r="H797" s="75"/>
      <c r="I797" s="74"/>
      <c r="J797" s="74"/>
      <c r="K797" s="74"/>
    </row>
    <row r="798">
      <c r="A798" s="21"/>
      <c r="B798" s="119" t="s">
        <v>10014</v>
      </c>
      <c r="C798" s="120" t="s">
        <v>4185</v>
      </c>
      <c r="D798" s="33" t="s">
        <v>9979</v>
      </c>
      <c r="E798" s="51" t="s">
        <v>242</v>
      </c>
      <c r="F798" s="121" t="s">
        <v>3009</v>
      </c>
      <c r="G798" s="98" t="str">
        <f>HYPERLINK("http://mirror.ff7data.com.ar/ff7/data/battle/battle.lgp/braq.png","View Picture")</f>
        <v>View Picture</v>
      </c>
      <c r="H798" s="75"/>
      <c r="I798" s="74"/>
      <c r="J798" s="74"/>
      <c r="K798" s="74"/>
    </row>
    <row r="799">
      <c r="A799" s="21"/>
      <c r="B799" s="119" t="s">
        <v>10019</v>
      </c>
      <c r="C799" s="120" t="s">
        <v>4057</v>
      </c>
      <c r="D799" s="33" t="s">
        <v>9979</v>
      </c>
      <c r="E799" s="51" t="s">
        <v>242</v>
      </c>
      <c r="F799" s="121" t="s">
        <v>3009</v>
      </c>
      <c r="G799" s="98" t="str">
        <f>HYPERLINK("http://mirror.ff7data.com.ar/ff7/data/battle/battle.lgp/brar.png","View Picture")</f>
        <v>View Picture</v>
      </c>
      <c r="H799" s="75"/>
      <c r="I799" s="74"/>
      <c r="J799" s="74"/>
      <c r="K799" s="74"/>
    </row>
    <row r="800">
      <c r="A800" s="21"/>
      <c r="B800" s="119" t="s">
        <v>10026</v>
      </c>
      <c r="C800" s="120" t="s">
        <v>3412</v>
      </c>
      <c r="D800" s="33" t="s">
        <v>9979</v>
      </c>
      <c r="E800" s="51" t="s">
        <v>242</v>
      </c>
      <c r="F800" s="121" t="s">
        <v>3009</v>
      </c>
      <c r="G800" s="98" t="str">
        <f>HYPERLINK("http://mirror.ff7data.com.ar/ff7/data/battle/battle.lgp/brat.png","View Picture")</f>
        <v>View Picture</v>
      </c>
      <c r="H800" s="75"/>
      <c r="I800" s="74"/>
      <c r="J800" s="74"/>
      <c r="K800" s="74"/>
    </row>
    <row r="801">
      <c r="A801" s="21"/>
      <c r="B801" s="119" t="s">
        <v>10034</v>
      </c>
      <c r="C801" s="120" t="s">
        <v>9600</v>
      </c>
      <c r="D801" s="33" t="s">
        <v>9979</v>
      </c>
      <c r="E801" s="51" t="s">
        <v>242</v>
      </c>
      <c r="F801" s="121" t="s">
        <v>3009</v>
      </c>
      <c r="G801" s="98" t="str">
        <f>HYPERLINK("http://mirror.ff7data.com.ar/ff7/data/battle/battle.lgp/brau.png","View Picture")</f>
        <v>View Picture</v>
      </c>
      <c r="H801" s="75"/>
      <c r="I801" s="74"/>
      <c r="J801" s="74"/>
      <c r="K801" s="74"/>
    </row>
    <row r="802">
      <c r="A802" s="21"/>
      <c r="B802" s="119" t="s">
        <v>10042</v>
      </c>
      <c r="C802" s="120" t="s">
        <v>4357</v>
      </c>
      <c r="D802" s="33" t="s">
        <v>9979</v>
      </c>
      <c r="E802" s="51" t="s">
        <v>242</v>
      </c>
      <c r="F802" s="121" t="s">
        <v>3009</v>
      </c>
      <c r="G802" s="98" t="str">
        <f>HYPERLINK("http://mirror.ff7data.com.ar/ff7/data/battle/battle.lgp/braw.png","View Picture")</f>
        <v>View Picture</v>
      </c>
      <c r="H802" s="75"/>
      <c r="I802" s="74"/>
      <c r="J802" s="74"/>
      <c r="K802" s="74"/>
    </row>
    <row r="803">
      <c r="A803" s="21"/>
      <c r="B803" s="119" t="s">
        <v>10049</v>
      </c>
      <c r="C803" s="120" t="s">
        <v>4185</v>
      </c>
      <c r="D803" s="33" t="s">
        <v>9979</v>
      </c>
      <c r="E803" s="51" t="s">
        <v>242</v>
      </c>
      <c r="F803" s="121" t="s">
        <v>3009</v>
      </c>
      <c r="G803" s="98" t="str">
        <f>HYPERLINK("http://mirror.ff7data.com.ar/ff7/data/battle/battle.lgp/brax.png","View Picture")</f>
        <v>View Picture</v>
      </c>
      <c r="H803" s="75"/>
      <c r="I803" s="74"/>
      <c r="J803" s="74"/>
      <c r="K803" s="74"/>
    </row>
    <row r="804">
      <c r="A804" s="21"/>
      <c r="B804" s="119" t="s">
        <v>10055</v>
      </c>
      <c r="C804" s="120" t="s">
        <v>4396</v>
      </c>
      <c r="D804" s="33" t="s">
        <v>9979</v>
      </c>
      <c r="E804" s="51" t="s">
        <v>242</v>
      </c>
      <c r="F804" s="121" t="s">
        <v>3009</v>
      </c>
      <c r="G804" s="98" t="str">
        <f>HYPERLINK("http://mirror.ff7data.com.ar/ff7/data/battle/battle.lgp/braz.png","View Picture")</f>
        <v>View Picture</v>
      </c>
      <c r="H804" s="75"/>
      <c r="I804" s="74"/>
      <c r="J804" s="74"/>
      <c r="K804" s="74"/>
    </row>
    <row r="805">
      <c r="A805" s="21"/>
      <c r="B805" s="119" t="s">
        <v>10061</v>
      </c>
      <c r="C805" s="120" t="s">
        <v>4719</v>
      </c>
      <c r="D805" s="33" t="s">
        <v>9979</v>
      </c>
      <c r="E805" s="51" t="s">
        <v>242</v>
      </c>
      <c r="F805" s="121" t="s">
        <v>3009</v>
      </c>
      <c r="G805" s="98" t="str">
        <f>HYPERLINK("http://mirror.ff7data.com.ar/ff7/data/battle/battle.lgp/brba.png","View Picture")</f>
        <v>View Picture</v>
      </c>
      <c r="H805" s="75"/>
      <c r="I805" s="74"/>
      <c r="J805" s="74"/>
      <c r="K805" s="74"/>
    </row>
    <row r="806">
      <c r="A806" s="21"/>
      <c r="B806" s="119" t="s">
        <v>10067</v>
      </c>
      <c r="C806" s="120" t="s">
        <v>7165</v>
      </c>
      <c r="D806" s="33" t="s">
        <v>9979</v>
      </c>
      <c r="E806" s="51" t="s">
        <v>242</v>
      </c>
      <c r="F806" s="121" t="s">
        <v>3009</v>
      </c>
      <c r="G806" s="98" t="str">
        <f>HYPERLINK("http://mirror.ff7data.com.ar/ff7/data/battle/battle.lgp/brbd.png","View Picture")</f>
        <v>View Picture</v>
      </c>
      <c r="H806" s="75"/>
      <c r="I806" s="74"/>
      <c r="J806" s="74"/>
      <c r="K806" s="74"/>
    </row>
    <row r="807">
      <c r="A807" s="21"/>
      <c r="B807" s="119" t="s">
        <v>10073</v>
      </c>
      <c r="C807" s="120" t="s">
        <v>4185</v>
      </c>
      <c r="D807" s="33" t="s">
        <v>9979</v>
      </c>
      <c r="E807" s="51" t="s">
        <v>242</v>
      </c>
      <c r="F807" s="121" t="s">
        <v>3009</v>
      </c>
      <c r="G807" s="98" t="str">
        <f>HYPERLINK("http://mirror.ff7data.com.ar/ff7/data/battle/battle.lgp/brbe.png","View Picture")</f>
        <v>View Picture</v>
      </c>
      <c r="H807" s="75"/>
      <c r="I807" s="74"/>
      <c r="J807" s="74"/>
      <c r="K807" s="74"/>
    </row>
    <row r="808">
      <c r="A808" s="21"/>
      <c r="B808" s="119" t="s">
        <v>10077</v>
      </c>
      <c r="C808" s="120" t="s">
        <v>10078</v>
      </c>
      <c r="D808" s="33" t="s">
        <v>9979</v>
      </c>
      <c r="E808" s="51" t="s">
        <v>242</v>
      </c>
      <c r="F808" s="121" t="s">
        <v>3009</v>
      </c>
      <c r="G808" s="98" t="str">
        <f>HYPERLINK("http://mirror.ff7data.com.ar/ff7/data/battle/battle.lgp/brbg.png","View Picture")</f>
        <v>View Picture</v>
      </c>
      <c r="H808" s="75"/>
      <c r="I808" s="74"/>
      <c r="J808" s="74"/>
      <c r="K808" s="74"/>
    </row>
    <row r="809">
      <c r="A809" s="21"/>
      <c r="B809" s="119" t="s">
        <v>10085</v>
      </c>
      <c r="C809" s="120" t="s">
        <v>4057</v>
      </c>
      <c r="D809" s="33" t="s">
        <v>9979</v>
      </c>
      <c r="E809" s="51" t="s">
        <v>242</v>
      </c>
      <c r="F809" s="121" t="s">
        <v>3009</v>
      </c>
      <c r="G809" s="98" t="str">
        <f>HYPERLINK("http://mirror.ff7data.com.ar/ff7/data/battle/battle.lgp/brbh.png","View Picture")</f>
        <v>View Picture</v>
      </c>
      <c r="H809" s="75"/>
      <c r="I809" s="74"/>
      <c r="J809" s="74"/>
      <c r="K809" s="74"/>
    </row>
    <row r="810">
      <c r="A810" s="21"/>
      <c r="B810" s="119" t="s">
        <v>10091</v>
      </c>
      <c r="C810" s="120" t="s">
        <v>4476</v>
      </c>
      <c r="D810" s="33" t="s">
        <v>9979</v>
      </c>
      <c r="E810" s="51" t="s">
        <v>242</v>
      </c>
      <c r="F810" s="121" t="s">
        <v>3009</v>
      </c>
      <c r="G810" s="98" t="str">
        <f>HYPERLINK("http://mirror.ff7data.com.ar/ff7/data/battle/battle.lgp/brbl.png","View Picture")</f>
        <v>View Picture</v>
      </c>
      <c r="H810" s="75"/>
      <c r="I810" s="74"/>
      <c r="J810" s="74"/>
      <c r="K810" s="74"/>
    </row>
    <row r="811">
      <c r="A811" s="21"/>
      <c r="B811" s="119" t="s">
        <v>10100</v>
      </c>
      <c r="C811" s="120" t="s">
        <v>4185</v>
      </c>
      <c r="D811" s="33" t="s">
        <v>9979</v>
      </c>
      <c r="E811" s="51" t="s">
        <v>242</v>
      </c>
      <c r="F811" s="121" t="s">
        <v>3009</v>
      </c>
      <c r="G811" s="98" t="str">
        <f>HYPERLINK("http://mirror.ff7data.com.ar/ff7/data/battle/battle.lgp/brbm.png","View Picture")</f>
        <v>View Picture</v>
      </c>
      <c r="H811" s="75"/>
      <c r="I811" s="74"/>
      <c r="J811" s="74"/>
      <c r="K811" s="74"/>
    </row>
    <row r="812">
      <c r="A812" s="21"/>
      <c r="B812" s="119" t="s">
        <v>10105</v>
      </c>
      <c r="C812" s="120" t="s">
        <v>4439</v>
      </c>
      <c r="D812" s="33" t="s">
        <v>9979</v>
      </c>
      <c r="E812" s="51" t="s">
        <v>242</v>
      </c>
      <c r="F812" s="121" t="s">
        <v>3009</v>
      </c>
      <c r="G812" s="98" t="str">
        <f>HYPERLINK("http://mirror.ff7data.com.ar/ff7/data/battle/battle.lgp/brbn.png","View Picture")</f>
        <v>View Picture</v>
      </c>
      <c r="H812" s="75"/>
      <c r="I812" s="74"/>
      <c r="J812" s="74"/>
      <c r="K812" s="74"/>
    </row>
    <row r="813">
      <c r="A813" s="21"/>
      <c r="B813" s="119" t="s">
        <v>10111</v>
      </c>
      <c r="C813" s="120" t="s">
        <v>4288</v>
      </c>
      <c r="D813" s="33" t="s">
        <v>9979</v>
      </c>
      <c r="E813" s="51" t="s">
        <v>242</v>
      </c>
      <c r="F813" s="121" t="s">
        <v>3009</v>
      </c>
      <c r="G813" s="98" t="str">
        <f>HYPERLINK("http://mirror.ff7data.com.ar/ff7/data/battle/battle.lgp/brbp.png","View Picture")</f>
        <v>View Picture</v>
      </c>
      <c r="H813" s="75"/>
      <c r="I813" s="74"/>
      <c r="J813" s="74"/>
      <c r="K813" s="74"/>
    </row>
    <row r="814">
      <c r="A814" s="21"/>
      <c r="B814" s="119" t="s">
        <v>10117</v>
      </c>
      <c r="C814" s="120" t="s">
        <v>4288</v>
      </c>
      <c r="D814" s="33" t="s">
        <v>9979</v>
      </c>
      <c r="E814" s="51" t="s">
        <v>242</v>
      </c>
      <c r="F814" s="121" t="s">
        <v>3009</v>
      </c>
      <c r="G814" s="98" t="str">
        <f>HYPERLINK("http://mirror.ff7data.com.ar/ff7/data/battle/battle.lgp/brbq.png","View Picture")</f>
        <v>View Picture</v>
      </c>
      <c r="H814" s="75"/>
      <c r="I814" s="74"/>
      <c r="J814" s="74"/>
      <c r="K814" s="74"/>
    </row>
    <row r="815">
      <c r="A815" s="21"/>
      <c r="B815" s="119" t="s">
        <v>10124</v>
      </c>
      <c r="C815" s="120" t="s">
        <v>4264</v>
      </c>
      <c r="D815" s="33" t="s">
        <v>9979</v>
      </c>
      <c r="E815" s="51" t="s">
        <v>242</v>
      </c>
      <c r="F815" s="121" t="s">
        <v>3009</v>
      </c>
      <c r="G815" s="98" t="str">
        <f>HYPERLINK("http://mirror.ff7data.com.ar/ff7/data/battle/battle.lgp/brbr.png","View Picture")</f>
        <v>View Picture</v>
      </c>
      <c r="H815" s="75"/>
      <c r="I815" s="74"/>
      <c r="J815" s="74"/>
      <c r="K815" s="74"/>
    </row>
    <row r="816">
      <c r="A816" s="21"/>
      <c r="B816" s="119" t="s">
        <v>10129</v>
      </c>
      <c r="C816" s="120" t="s">
        <v>4288</v>
      </c>
      <c r="D816" s="33" t="s">
        <v>9979</v>
      </c>
      <c r="E816" s="51" t="s">
        <v>242</v>
      </c>
      <c r="F816" s="121" t="s">
        <v>3009</v>
      </c>
      <c r="G816" s="98" t="str">
        <f>HYPERLINK("http://mirror.ff7data.com.ar/ff7/data/battle/battle.lgp/brbs.png","View Picture")</f>
        <v>View Picture</v>
      </c>
      <c r="H816" s="75"/>
      <c r="I816" s="74"/>
      <c r="J816" s="74"/>
      <c r="K816" s="74"/>
    </row>
    <row r="817">
      <c r="A817" s="21"/>
      <c r="B817" s="119" t="s">
        <v>10135</v>
      </c>
      <c r="C817" s="120" t="s">
        <v>4288</v>
      </c>
      <c r="D817" s="33" t="s">
        <v>9979</v>
      </c>
      <c r="E817" s="51" t="s">
        <v>242</v>
      </c>
      <c r="F817" s="121" t="s">
        <v>3009</v>
      </c>
      <c r="G817" s="98" t="str">
        <f>HYPERLINK("http://mirror.ff7data.com.ar/ff7/data/battle/battle.lgp/brbt.png","View Picture")</f>
        <v>View Picture</v>
      </c>
      <c r="H817" s="75"/>
      <c r="I817" s="74"/>
      <c r="J817" s="74"/>
      <c r="K817" s="74"/>
    </row>
    <row r="818">
      <c r="A818" s="21"/>
      <c r="B818" s="119" t="s">
        <v>10141</v>
      </c>
      <c r="C818" s="120" t="s">
        <v>3658</v>
      </c>
      <c r="D818" s="33" t="s">
        <v>9979</v>
      </c>
      <c r="E818" s="51" t="s">
        <v>242</v>
      </c>
      <c r="F818" s="121" t="s">
        <v>3009</v>
      </c>
      <c r="G818" s="98" t="str">
        <f>HYPERLINK("http://mirror.ff7data.com.ar/ff7/data/battle/battle.lgp/brbu.png","View Picture")</f>
        <v>View Picture</v>
      </c>
      <c r="H818" s="75"/>
      <c r="I818" s="74"/>
      <c r="J818" s="74"/>
      <c r="K818" s="74"/>
    </row>
    <row r="819">
      <c r="A819" s="21"/>
      <c r="B819" s="119" t="s">
        <v>10153</v>
      </c>
      <c r="C819" s="120" t="s">
        <v>4185</v>
      </c>
      <c r="D819" s="33" t="s">
        <v>9979</v>
      </c>
      <c r="E819" s="51" t="s">
        <v>242</v>
      </c>
      <c r="F819" s="121" t="s">
        <v>3009</v>
      </c>
      <c r="G819" s="98" t="str">
        <f>HYPERLINK("http://mirror.ff7data.com.ar/ff7/data/battle/battle.lgp/brbx.png","View Picture")</f>
        <v>View Picture</v>
      </c>
      <c r="H819" s="75"/>
      <c r="I819" s="74"/>
      <c r="J819" s="74"/>
      <c r="K819" s="74"/>
    </row>
    <row r="820">
      <c r="A820" s="21"/>
      <c r="B820" s="119" t="s">
        <v>10161</v>
      </c>
      <c r="C820" s="120" t="s">
        <v>4185</v>
      </c>
      <c r="D820" s="33" t="s">
        <v>9979</v>
      </c>
      <c r="E820" s="51" t="s">
        <v>242</v>
      </c>
      <c r="F820" s="121" t="s">
        <v>3009</v>
      </c>
      <c r="G820" s="98" t="str">
        <f>HYPERLINK("http://mirror.ff7data.com.ar/ff7/data/battle/battle.lgp/brby.png","View Picture")</f>
        <v>View Picture</v>
      </c>
      <c r="H820" s="75"/>
      <c r="I820" s="74"/>
      <c r="J820" s="74"/>
      <c r="K820" s="74"/>
    </row>
    <row r="821">
      <c r="A821" s="21"/>
      <c r="B821" s="119" t="s">
        <v>10168</v>
      </c>
      <c r="C821" s="120" t="s">
        <v>4439</v>
      </c>
      <c r="D821" s="33" t="s">
        <v>9979</v>
      </c>
      <c r="E821" s="51" t="s">
        <v>242</v>
      </c>
      <c r="F821" s="121" t="s">
        <v>3009</v>
      </c>
      <c r="G821" s="98" t="str">
        <f>HYPERLINK("http://mirror.ff7data.com.ar/ff7/data/battle/battle.lgp/brbz.png","View Picture")</f>
        <v>View Picture</v>
      </c>
      <c r="H821" s="75"/>
      <c r="I821" s="74"/>
      <c r="J821" s="74"/>
      <c r="K821" s="74"/>
    </row>
    <row r="822">
      <c r="A822" s="21"/>
      <c r="B822" s="119" t="s">
        <v>10175</v>
      </c>
      <c r="C822" s="120" t="s">
        <v>7129</v>
      </c>
      <c r="D822" s="33" t="s">
        <v>9979</v>
      </c>
      <c r="E822" s="51" t="s">
        <v>242</v>
      </c>
      <c r="F822" s="121" t="s">
        <v>3025</v>
      </c>
      <c r="G822" s="122"/>
      <c r="H822" s="46" t="s">
        <v>3002</v>
      </c>
      <c r="I822" s="74"/>
      <c r="J822" s="74"/>
      <c r="K822" s="74"/>
    </row>
    <row r="823">
      <c r="A823" s="21"/>
      <c r="B823" s="119" t="s">
        <v>10178</v>
      </c>
      <c r="C823" s="120" t="s">
        <v>10179</v>
      </c>
      <c r="D823" s="33" t="s">
        <v>10181</v>
      </c>
      <c r="E823" s="51" t="s">
        <v>247</v>
      </c>
      <c r="F823" s="121" t="s">
        <v>2971</v>
      </c>
      <c r="G823" s="98" t="str">
        <f>HYPERLINK("http://mirror.ff7data.com.ar/ff7/data/battle/battle.lgp/bsaa.png","View Picture")</f>
        <v>View Picture</v>
      </c>
      <c r="H823" s="75"/>
      <c r="I823" s="74"/>
      <c r="J823" s="74"/>
      <c r="K823" s="74"/>
    </row>
    <row r="824">
      <c r="A824" s="21"/>
      <c r="B824" s="119" t="s">
        <v>10188</v>
      </c>
      <c r="C824" s="120" t="s">
        <v>7375</v>
      </c>
      <c r="D824" s="33" t="s">
        <v>10191</v>
      </c>
      <c r="E824" s="51" t="s">
        <v>247</v>
      </c>
      <c r="F824" s="121" t="s">
        <v>2993</v>
      </c>
      <c r="G824" s="122"/>
      <c r="H824" s="46" t="s">
        <v>3002</v>
      </c>
      <c r="I824" s="74"/>
      <c r="J824" s="74"/>
      <c r="K824" s="74"/>
    </row>
    <row r="825">
      <c r="A825" s="21"/>
      <c r="B825" s="119" t="s">
        <v>10193</v>
      </c>
      <c r="C825" s="120" t="s">
        <v>10195</v>
      </c>
      <c r="D825" s="33" t="s">
        <v>10191</v>
      </c>
      <c r="E825" s="51" t="s">
        <v>247</v>
      </c>
      <c r="F825" s="121" t="s">
        <v>3009</v>
      </c>
      <c r="G825" s="98" t="str">
        <f>HYPERLINK("http://mirror.ff7data.com.ar/ff7/data/battle/battle.lgp/bsam.png","View Picture")</f>
        <v>View Picture</v>
      </c>
      <c r="H825" s="75"/>
      <c r="I825" s="74"/>
      <c r="J825" s="74"/>
      <c r="K825" s="74"/>
    </row>
    <row r="826">
      <c r="A826" s="21"/>
      <c r="B826" s="119" t="s">
        <v>10202</v>
      </c>
      <c r="C826" s="120" t="s">
        <v>4841</v>
      </c>
      <c r="D826" s="33" t="s">
        <v>10191</v>
      </c>
      <c r="E826" s="51" t="s">
        <v>247</v>
      </c>
      <c r="F826" s="121" t="s">
        <v>3009</v>
      </c>
      <c r="G826" s="98" t="str">
        <f>HYPERLINK("http://mirror.ff7data.com.ar/ff7/data/battle/battle.lgp/bsap.png","View Picture")</f>
        <v>View Picture</v>
      </c>
      <c r="H826" s="75"/>
      <c r="I826" s="74"/>
      <c r="J826" s="74"/>
      <c r="K826" s="74"/>
    </row>
    <row r="827">
      <c r="A827" s="21"/>
      <c r="B827" s="119" t="s">
        <v>10211</v>
      </c>
      <c r="C827" s="120" t="s">
        <v>10212</v>
      </c>
      <c r="D827" s="33" t="s">
        <v>10191</v>
      </c>
      <c r="E827" s="51" t="s">
        <v>247</v>
      </c>
      <c r="F827" s="121" t="s">
        <v>3025</v>
      </c>
      <c r="G827" s="122"/>
      <c r="H827" s="46" t="s">
        <v>3002</v>
      </c>
      <c r="I827" s="74"/>
      <c r="J827" s="74"/>
      <c r="K827" s="74"/>
    </row>
    <row r="828">
      <c r="A828" s="21"/>
      <c r="B828" s="119" t="s">
        <v>10216</v>
      </c>
      <c r="C828" s="120" t="s">
        <v>10217</v>
      </c>
      <c r="D828" s="33" t="s">
        <v>10218</v>
      </c>
      <c r="E828" s="51" t="s">
        <v>252</v>
      </c>
      <c r="F828" s="121" t="s">
        <v>2971</v>
      </c>
      <c r="G828" s="98" t="str">
        <f>HYPERLINK("http://mirror.ff7data.com.ar/ff7/data/battle/battle.lgp/btaa.png","View Picture")</f>
        <v>View Picture</v>
      </c>
      <c r="H828" s="75"/>
      <c r="I828" s="74"/>
      <c r="J828" s="74"/>
      <c r="K828" s="74"/>
    </row>
    <row r="829">
      <c r="A829" s="21"/>
      <c r="B829" s="119" t="s">
        <v>10227</v>
      </c>
      <c r="C829" s="120" t="s">
        <v>8016</v>
      </c>
      <c r="D829" s="33" t="s">
        <v>10229</v>
      </c>
      <c r="E829" s="51" t="s">
        <v>252</v>
      </c>
      <c r="F829" s="121" t="s">
        <v>2993</v>
      </c>
      <c r="G829" s="122"/>
      <c r="H829" s="46" t="s">
        <v>3002</v>
      </c>
      <c r="I829" s="74"/>
      <c r="J829" s="74"/>
      <c r="K829" s="74"/>
    </row>
    <row r="830">
      <c r="A830" s="21"/>
      <c r="B830" s="119" t="s">
        <v>10232</v>
      </c>
      <c r="C830" s="120" t="s">
        <v>4122</v>
      </c>
      <c r="D830" s="33" t="s">
        <v>10229</v>
      </c>
      <c r="E830" s="51" t="s">
        <v>252</v>
      </c>
      <c r="F830" s="121" t="s">
        <v>3009</v>
      </c>
      <c r="G830" s="98" t="str">
        <f>HYPERLINK("http://mirror.ff7data.com.ar/ff7/data/battle/battle.lgp/btan.png","View Picture")</f>
        <v>View Picture</v>
      </c>
      <c r="H830" s="75"/>
      <c r="I830" s="74"/>
      <c r="J830" s="74"/>
      <c r="K830" s="74"/>
    </row>
    <row r="831">
      <c r="A831" s="21"/>
      <c r="B831" s="119" t="s">
        <v>10241</v>
      </c>
      <c r="C831" s="120" t="s">
        <v>3318</v>
      </c>
      <c r="D831" s="33" t="s">
        <v>10229</v>
      </c>
      <c r="E831" s="51" t="s">
        <v>252</v>
      </c>
      <c r="F831" s="121" t="s">
        <v>3009</v>
      </c>
      <c r="G831" s="98" t="str">
        <f>HYPERLINK("http://mirror.ff7data.com.ar/ff7/data/battle/battle.lgp/btar.png","View Picture")</f>
        <v>View Picture</v>
      </c>
      <c r="H831" s="75"/>
      <c r="I831" s="74"/>
      <c r="J831" s="74"/>
      <c r="K831" s="74"/>
    </row>
    <row r="832">
      <c r="A832" s="21"/>
      <c r="B832" s="119" t="s">
        <v>10250</v>
      </c>
      <c r="C832" s="120" t="s">
        <v>4122</v>
      </c>
      <c r="D832" s="33" t="s">
        <v>10229</v>
      </c>
      <c r="E832" s="51" t="s">
        <v>252</v>
      </c>
      <c r="F832" s="121" t="s">
        <v>3009</v>
      </c>
      <c r="G832" s="98" t="str">
        <f>HYPERLINK("http://mirror.ff7data.com.ar/ff7/data/battle/battle.lgp/btat.png","View Picture")</f>
        <v>View Picture</v>
      </c>
      <c r="H832" s="75"/>
      <c r="I832" s="74"/>
      <c r="J832" s="74"/>
      <c r="K832" s="74"/>
    </row>
    <row r="833">
      <c r="A833" s="21"/>
      <c r="B833" s="119" t="s">
        <v>10257</v>
      </c>
      <c r="C833" s="120" t="s">
        <v>3768</v>
      </c>
      <c r="D833" s="33" t="s">
        <v>10229</v>
      </c>
      <c r="E833" s="51" t="s">
        <v>252</v>
      </c>
      <c r="F833" s="121" t="s">
        <v>3009</v>
      </c>
      <c r="G833" s="98" t="str">
        <f>HYPERLINK("http://mirror.ff7data.com.ar/ff7/data/battle/battle.lgp/btax.png","View Picture")</f>
        <v>View Picture</v>
      </c>
      <c r="H833" s="75"/>
      <c r="I833" s="74"/>
      <c r="J833" s="74"/>
      <c r="K833" s="74"/>
    </row>
    <row r="834">
      <c r="A834" s="21"/>
      <c r="B834" s="119" t="s">
        <v>10265</v>
      </c>
      <c r="C834" s="120" t="s">
        <v>4396</v>
      </c>
      <c r="D834" s="33" t="s">
        <v>10229</v>
      </c>
      <c r="E834" s="51" t="s">
        <v>252</v>
      </c>
      <c r="F834" s="121" t="s">
        <v>3009</v>
      </c>
      <c r="G834" s="98" t="str">
        <f>HYPERLINK("http://mirror.ff7data.com.ar/ff7/data/battle/battle.lgp/btay.png","View Picture")</f>
        <v>View Picture</v>
      </c>
      <c r="H834" s="75"/>
      <c r="I834" s="74"/>
      <c r="J834" s="74"/>
      <c r="K834" s="74"/>
    </row>
    <row r="835">
      <c r="A835" s="21"/>
      <c r="B835" s="119" t="s">
        <v>10273</v>
      </c>
      <c r="C835" s="120" t="s">
        <v>4439</v>
      </c>
      <c r="D835" s="33" t="s">
        <v>10229</v>
      </c>
      <c r="E835" s="51" t="s">
        <v>252</v>
      </c>
      <c r="F835" s="121" t="s">
        <v>3009</v>
      </c>
      <c r="G835" s="98" t="str">
        <f>HYPERLINK("http://mirror.ff7data.com.ar/ff7/data/battle/battle.lgp/btaz.png","View Picture")</f>
        <v>View Picture</v>
      </c>
      <c r="H835" s="75"/>
      <c r="I835" s="74"/>
      <c r="J835" s="74"/>
      <c r="K835" s="74"/>
    </row>
    <row r="836">
      <c r="A836" s="21"/>
      <c r="B836" s="119" t="s">
        <v>10280</v>
      </c>
      <c r="C836" s="120" t="s">
        <v>4476</v>
      </c>
      <c r="D836" s="33" t="s">
        <v>10229</v>
      </c>
      <c r="E836" s="51" t="s">
        <v>252</v>
      </c>
      <c r="F836" s="121" t="s">
        <v>3009</v>
      </c>
      <c r="G836" s="98" t="str">
        <f>HYPERLINK("http://mirror.ff7data.com.ar/ff7/data/battle/battle.lgp/btbb.png","View Picture")</f>
        <v>View Picture</v>
      </c>
      <c r="H836" s="75"/>
      <c r="I836" s="74"/>
      <c r="J836" s="74"/>
      <c r="K836" s="74"/>
    </row>
    <row r="837">
      <c r="A837" s="21"/>
      <c r="B837" s="119" t="s">
        <v>10290</v>
      </c>
      <c r="C837" s="120" t="s">
        <v>4185</v>
      </c>
      <c r="D837" s="33" t="s">
        <v>10229</v>
      </c>
      <c r="E837" s="51" t="s">
        <v>252</v>
      </c>
      <c r="F837" s="121" t="s">
        <v>3009</v>
      </c>
      <c r="G837" s="98" t="str">
        <f>HYPERLINK("http://mirror.ff7data.com.ar/ff7/data/battle/battle.lgp/btbc.png","View Picture")</f>
        <v>View Picture</v>
      </c>
      <c r="H837" s="75"/>
      <c r="I837" s="74"/>
      <c r="J837" s="74"/>
      <c r="K837" s="74"/>
    </row>
    <row r="838">
      <c r="A838" s="21"/>
      <c r="B838" s="119" t="s">
        <v>10298</v>
      </c>
      <c r="C838" s="120" t="s">
        <v>4601</v>
      </c>
      <c r="D838" s="33" t="s">
        <v>10229</v>
      </c>
      <c r="E838" s="51" t="s">
        <v>252</v>
      </c>
      <c r="F838" s="121" t="s">
        <v>3009</v>
      </c>
      <c r="G838" s="98" t="str">
        <f>HYPERLINK("http://mirror.ff7data.com.ar/ff7/data/battle/battle.lgp/btbd.png","View Picture")</f>
        <v>View Picture</v>
      </c>
      <c r="H838" s="75"/>
      <c r="I838" s="74"/>
      <c r="J838" s="74"/>
      <c r="K838" s="74"/>
    </row>
    <row r="839">
      <c r="A839" s="21"/>
      <c r="B839" s="119" t="s">
        <v>10309</v>
      </c>
      <c r="C839" s="120" t="s">
        <v>3614</v>
      </c>
      <c r="D839" s="33" t="s">
        <v>10229</v>
      </c>
      <c r="E839" s="51" t="s">
        <v>252</v>
      </c>
      <c r="F839" s="121" t="s">
        <v>3009</v>
      </c>
      <c r="G839" s="98" t="str">
        <f>HYPERLINK("http://mirror.ff7data.com.ar/ff7/data/battle/battle.lgp/btbf.png","View Picture")</f>
        <v>View Picture</v>
      </c>
      <c r="H839" s="75"/>
      <c r="I839" s="74"/>
      <c r="J839" s="74"/>
      <c r="K839" s="74"/>
    </row>
    <row r="840">
      <c r="A840" s="21"/>
      <c r="B840" s="119" t="s">
        <v>10316</v>
      </c>
      <c r="C840" s="120" t="s">
        <v>4057</v>
      </c>
      <c r="D840" s="33" t="s">
        <v>10229</v>
      </c>
      <c r="E840" s="51" t="s">
        <v>252</v>
      </c>
      <c r="F840" s="121" t="s">
        <v>3009</v>
      </c>
      <c r="G840" s="98" t="str">
        <f>HYPERLINK("http://mirror.ff7data.com.ar/ff7/data/battle/battle.lgp/btbg.png","View Picture")</f>
        <v>View Picture</v>
      </c>
      <c r="H840" s="75"/>
      <c r="I840" s="74"/>
      <c r="J840" s="74"/>
      <c r="K840" s="74"/>
    </row>
    <row r="841">
      <c r="A841" s="21"/>
      <c r="B841" s="119" t="s">
        <v>10324</v>
      </c>
      <c r="C841" s="120" t="s">
        <v>7148</v>
      </c>
      <c r="D841" s="33" t="s">
        <v>10229</v>
      </c>
      <c r="E841" s="51" t="s">
        <v>252</v>
      </c>
      <c r="F841" s="121" t="s">
        <v>3009</v>
      </c>
      <c r="G841" s="98" t="str">
        <f>HYPERLINK("http://mirror.ff7data.com.ar/ff7/data/battle/battle.lgp/btbi.png","View Picture")</f>
        <v>View Picture</v>
      </c>
      <c r="H841" s="75"/>
      <c r="I841" s="74"/>
      <c r="J841" s="74"/>
      <c r="K841" s="74"/>
    </row>
    <row r="842">
      <c r="A842" s="21"/>
      <c r="B842" s="119" t="s">
        <v>10333</v>
      </c>
      <c r="C842" s="120" t="s">
        <v>5419</v>
      </c>
      <c r="D842" s="33" t="s">
        <v>10229</v>
      </c>
      <c r="E842" s="51" t="s">
        <v>252</v>
      </c>
      <c r="F842" s="121" t="s">
        <v>3009</v>
      </c>
      <c r="G842" s="98" t="str">
        <f>HYPERLINK("http://mirror.ff7data.com.ar/ff7/data/battle/battle.lgp/btbj.png","View Picture")</f>
        <v>View Picture</v>
      </c>
      <c r="H842" s="75"/>
      <c r="I842" s="74"/>
      <c r="J842" s="74"/>
      <c r="K842" s="74"/>
    </row>
    <row r="843">
      <c r="A843" s="21"/>
      <c r="B843" s="119" t="s">
        <v>10340</v>
      </c>
      <c r="C843" s="120" t="s">
        <v>3658</v>
      </c>
      <c r="D843" s="33" t="s">
        <v>10229</v>
      </c>
      <c r="E843" s="51" t="s">
        <v>252</v>
      </c>
      <c r="F843" s="121" t="s">
        <v>3009</v>
      </c>
      <c r="G843" s="98" t="str">
        <f>HYPERLINK("http://mirror.ff7data.com.ar/ff7/data/battle/battle.lgp/btbk.png","View Picture")</f>
        <v>View Picture</v>
      </c>
      <c r="H843" s="75"/>
      <c r="I843" s="74"/>
      <c r="J843" s="74"/>
      <c r="K843" s="74"/>
    </row>
    <row r="844">
      <c r="A844" s="21"/>
      <c r="B844" s="119" t="s">
        <v>10348</v>
      </c>
      <c r="C844" s="120" t="s">
        <v>4288</v>
      </c>
      <c r="D844" s="33" t="s">
        <v>10229</v>
      </c>
      <c r="E844" s="51" t="s">
        <v>252</v>
      </c>
      <c r="F844" s="121" t="s">
        <v>3009</v>
      </c>
      <c r="G844" s="98" t="str">
        <f>HYPERLINK("http://mirror.ff7data.com.ar/ff7/data/battle/battle.lgp/btbm.png","View Picture")</f>
        <v>View Picture</v>
      </c>
      <c r="H844" s="75"/>
      <c r="I844" s="74"/>
      <c r="J844" s="74"/>
      <c r="K844" s="74"/>
    </row>
    <row r="845">
      <c r="A845" s="21"/>
      <c r="B845" s="119" t="s">
        <v>10355</v>
      </c>
      <c r="C845" s="120" t="s">
        <v>5419</v>
      </c>
      <c r="D845" s="33" t="s">
        <v>10229</v>
      </c>
      <c r="E845" s="51" t="s">
        <v>252</v>
      </c>
      <c r="F845" s="121" t="s">
        <v>3009</v>
      </c>
      <c r="G845" s="98" t="str">
        <f>HYPERLINK("http://mirror.ff7data.com.ar/ff7/data/battle/battle.lgp/btbn.png","View Picture")</f>
        <v>View Picture</v>
      </c>
      <c r="H845" s="75"/>
      <c r="I845" s="74"/>
      <c r="J845" s="74"/>
      <c r="K845" s="74"/>
    </row>
    <row r="846">
      <c r="A846" s="21"/>
      <c r="B846" s="119" t="s">
        <v>10364</v>
      </c>
      <c r="C846" s="120" t="s">
        <v>3671</v>
      </c>
      <c r="D846" s="33" t="s">
        <v>10229</v>
      </c>
      <c r="E846" s="51" t="s">
        <v>252</v>
      </c>
      <c r="F846" s="121" t="s">
        <v>3009</v>
      </c>
      <c r="G846" s="98" t="str">
        <f>HYPERLINK("http://mirror.ff7data.com.ar/ff7/data/battle/battle.lgp/btbo.png","View Picture")</f>
        <v>View Picture</v>
      </c>
      <c r="H846" s="75"/>
      <c r="I846" s="74"/>
      <c r="J846" s="74"/>
      <c r="K846" s="74"/>
    </row>
    <row r="847">
      <c r="A847" s="21"/>
      <c r="B847" s="119" t="s">
        <v>10373</v>
      </c>
      <c r="C847" s="120" t="s">
        <v>4396</v>
      </c>
      <c r="D847" s="33" t="s">
        <v>10229</v>
      </c>
      <c r="E847" s="51" t="s">
        <v>252</v>
      </c>
      <c r="F847" s="121" t="s">
        <v>3009</v>
      </c>
      <c r="G847" s="98" t="str">
        <f>HYPERLINK("http://mirror.ff7data.com.ar/ff7/data/battle/battle.lgp/btbq.png","View Picture")</f>
        <v>View Picture</v>
      </c>
      <c r="H847" s="75"/>
      <c r="I847" s="74"/>
      <c r="J847" s="74"/>
      <c r="K847" s="74"/>
    </row>
    <row r="848">
      <c r="A848" s="21"/>
      <c r="B848" s="119" t="s">
        <v>10382</v>
      </c>
      <c r="C848" s="120" t="s">
        <v>5967</v>
      </c>
      <c r="D848" s="33" t="s">
        <v>10229</v>
      </c>
      <c r="E848" s="51" t="s">
        <v>252</v>
      </c>
      <c r="F848" s="121" t="s">
        <v>3009</v>
      </c>
      <c r="G848" s="98" t="str">
        <f>HYPERLINK("http://mirror.ff7data.com.ar/ff7/data/battle/battle.lgp/btbr.png","View Picture")</f>
        <v>View Picture</v>
      </c>
      <c r="H848" s="75"/>
      <c r="I848" s="74"/>
      <c r="J848" s="74"/>
      <c r="K848" s="74"/>
    </row>
    <row r="849">
      <c r="A849" s="21"/>
      <c r="B849" s="119" t="s">
        <v>10389</v>
      </c>
      <c r="C849" s="120" t="s">
        <v>7894</v>
      </c>
      <c r="D849" s="33" t="s">
        <v>10229</v>
      </c>
      <c r="E849" s="51" t="s">
        <v>252</v>
      </c>
      <c r="F849" s="121" t="s">
        <v>3009</v>
      </c>
      <c r="G849" s="98" t="str">
        <f>HYPERLINK("http://mirror.ff7data.com.ar/ff7/data/battle/battle.lgp/btbt.png","View Picture")</f>
        <v>View Picture</v>
      </c>
      <c r="H849" s="75"/>
      <c r="I849" s="74"/>
      <c r="J849" s="74"/>
      <c r="K849" s="74"/>
    </row>
    <row r="850">
      <c r="A850" s="21"/>
      <c r="B850" s="119" t="s">
        <v>10392</v>
      </c>
      <c r="C850" s="120" t="s">
        <v>3614</v>
      </c>
      <c r="D850" s="33" t="s">
        <v>10229</v>
      </c>
      <c r="E850" s="51" t="s">
        <v>252</v>
      </c>
      <c r="F850" s="121" t="s">
        <v>3009</v>
      </c>
      <c r="G850" s="98" t="str">
        <f>HYPERLINK("http://mirror.ff7data.com.ar/ff7/data/battle/battle.lgp/btbv.png","View Picture")</f>
        <v>View Picture</v>
      </c>
      <c r="H850" s="75"/>
      <c r="I850" s="74"/>
      <c r="J850" s="74"/>
      <c r="K850" s="74"/>
    </row>
    <row r="851">
      <c r="A851" s="21"/>
      <c r="B851" s="119" t="s">
        <v>10400</v>
      </c>
      <c r="C851" s="120" t="s">
        <v>3648</v>
      </c>
      <c r="D851" s="33" t="s">
        <v>10229</v>
      </c>
      <c r="E851" s="51" t="s">
        <v>252</v>
      </c>
      <c r="F851" s="121" t="s">
        <v>3009</v>
      </c>
      <c r="G851" s="98" t="str">
        <f>HYPERLINK("http://mirror.ff7data.com.ar/ff7/data/battle/battle.lgp/btbw.png","View Picture")</f>
        <v>View Picture</v>
      </c>
      <c r="H851" s="75"/>
      <c r="I851" s="74"/>
      <c r="J851" s="74"/>
      <c r="K851" s="74"/>
    </row>
    <row r="852">
      <c r="A852" s="21"/>
      <c r="B852" s="119" t="s">
        <v>10410</v>
      </c>
      <c r="C852" s="120" t="s">
        <v>4288</v>
      </c>
      <c r="D852" s="33" t="s">
        <v>10229</v>
      </c>
      <c r="E852" s="51" t="s">
        <v>252</v>
      </c>
      <c r="F852" s="121" t="s">
        <v>3009</v>
      </c>
      <c r="G852" s="98" t="str">
        <f>HYPERLINK("http://mirror.ff7data.com.ar/ff7/data/battle/battle.lgp/btbx.png","View Picture")</f>
        <v>View Picture</v>
      </c>
      <c r="H852" s="75"/>
      <c r="I852" s="74"/>
      <c r="J852" s="74"/>
      <c r="K852" s="74"/>
    </row>
    <row r="853">
      <c r="A853" s="21"/>
      <c r="B853" s="119" t="s">
        <v>10416</v>
      </c>
      <c r="C853" s="120" t="s">
        <v>4217</v>
      </c>
      <c r="D853" s="33" t="s">
        <v>10229</v>
      </c>
      <c r="E853" s="51" t="s">
        <v>252</v>
      </c>
      <c r="F853" s="121" t="s">
        <v>3009</v>
      </c>
      <c r="G853" s="98" t="str">
        <f>HYPERLINK("http://mirror.ff7data.com.ar/ff7/data/battle/battle.lgp/btbz.png","View Picture")</f>
        <v>View Picture</v>
      </c>
      <c r="H853" s="75"/>
      <c r="I853" s="74"/>
      <c r="J853" s="74"/>
      <c r="K853" s="74"/>
    </row>
    <row r="854">
      <c r="A854" s="21"/>
      <c r="B854" s="119" t="s">
        <v>10427</v>
      </c>
      <c r="C854" s="120" t="s">
        <v>4288</v>
      </c>
      <c r="D854" s="33" t="s">
        <v>10229</v>
      </c>
      <c r="E854" s="51" t="s">
        <v>252</v>
      </c>
      <c r="F854" s="121" t="s">
        <v>3009</v>
      </c>
      <c r="G854" s="98" t="str">
        <f>HYPERLINK("http://mirror.ff7data.com.ar/ff7/data/battle/battle.lgp/btca.png","View Picture")</f>
        <v>View Picture</v>
      </c>
      <c r="H854" s="75"/>
      <c r="I854" s="74"/>
      <c r="J854" s="74"/>
      <c r="K854" s="74"/>
    </row>
    <row r="855">
      <c r="A855" s="21"/>
      <c r="B855" s="119" t="s">
        <v>10431</v>
      </c>
      <c r="C855" s="120" t="s">
        <v>7148</v>
      </c>
      <c r="D855" s="33" t="s">
        <v>10229</v>
      </c>
      <c r="E855" s="51" t="s">
        <v>252</v>
      </c>
      <c r="F855" s="121" t="s">
        <v>3009</v>
      </c>
      <c r="G855" s="98" t="str">
        <f>HYPERLINK("http://mirror.ff7data.com.ar/ff7/data/battle/battle.lgp/btcb.png","View Picture")</f>
        <v>View Picture</v>
      </c>
      <c r="H855" s="75"/>
      <c r="I855" s="74"/>
      <c r="J855" s="74"/>
      <c r="K855" s="74"/>
    </row>
    <row r="856">
      <c r="A856" s="21"/>
      <c r="B856" s="119" t="s">
        <v>10440</v>
      </c>
      <c r="C856" s="120" t="s">
        <v>4228</v>
      </c>
      <c r="D856" s="33" t="s">
        <v>10229</v>
      </c>
      <c r="E856" s="51" t="s">
        <v>252</v>
      </c>
      <c r="F856" s="121" t="s">
        <v>3009</v>
      </c>
      <c r="G856" s="98" t="str">
        <f>HYPERLINK("http://mirror.ff7data.com.ar/ff7/data/battle/battle.lgp/btcd.png","View Picture")</f>
        <v>View Picture</v>
      </c>
      <c r="H856" s="75"/>
      <c r="I856" s="74"/>
      <c r="J856" s="74"/>
      <c r="K856" s="74"/>
    </row>
    <row r="857">
      <c r="A857" s="21"/>
      <c r="B857" s="119" t="s">
        <v>10445</v>
      </c>
      <c r="C857" s="120" t="s">
        <v>7471</v>
      </c>
      <c r="D857" s="33" t="s">
        <v>10229</v>
      </c>
      <c r="E857" s="51" t="s">
        <v>252</v>
      </c>
      <c r="F857" s="121" t="s">
        <v>3025</v>
      </c>
      <c r="G857" s="122"/>
      <c r="H857" s="46" t="s">
        <v>3002</v>
      </c>
      <c r="I857" s="74"/>
      <c r="J857" s="74"/>
      <c r="K857" s="74"/>
    </row>
    <row r="858">
      <c r="A858" s="21"/>
      <c r="B858" s="119" t="s">
        <v>10449</v>
      </c>
      <c r="C858" s="120" t="s">
        <v>3980</v>
      </c>
      <c r="D858" s="33" t="s">
        <v>10451</v>
      </c>
      <c r="E858" s="51" t="s">
        <v>256</v>
      </c>
      <c r="F858" s="121" t="s">
        <v>2971</v>
      </c>
      <c r="G858" s="98" t="str">
        <f>HYPERLINK("http://mirror.ff7data.com.ar/ff7/data/battle/battle.lgp/buaa.png","View Picture")</f>
        <v>View Picture</v>
      </c>
      <c r="H858" s="75"/>
      <c r="I858" s="74"/>
      <c r="J858" s="74"/>
      <c r="K858" s="74"/>
    </row>
    <row r="859">
      <c r="A859" s="21"/>
      <c r="B859" s="119" t="s">
        <v>10459</v>
      </c>
      <c r="C859" s="120" t="s">
        <v>7375</v>
      </c>
      <c r="D859" s="33" t="s">
        <v>10461</v>
      </c>
      <c r="E859" s="51" t="s">
        <v>256</v>
      </c>
      <c r="F859" s="121" t="s">
        <v>2993</v>
      </c>
      <c r="G859" s="122"/>
      <c r="H859" s="46" t="s">
        <v>3002</v>
      </c>
      <c r="I859" s="74"/>
      <c r="J859" s="74"/>
      <c r="K859" s="74"/>
    </row>
    <row r="860">
      <c r="A860" s="21"/>
      <c r="B860" s="119" t="s">
        <v>10464</v>
      </c>
      <c r="C860" s="120" t="s">
        <v>4439</v>
      </c>
      <c r="D860" s="33" t="s">
        <v>10461</v>
      </c>
      <c r="E860" s="51" t="s">
        <v>256</v>
      </c>
      <c r="F860" s="121" t="s">
        <v>3009</v>
      </c>
      <c r="G860" s="98" t="str">
        <f>HYPERLINK("http://mirror.ff7data.com.ar/ff7/data/battle/battle.lgp/buam.png","View Picture")</f>
        <v>View Picture</v>
      </c>
      <c r="H860" s="75"/>
      <c r="I860" s="74"/>
      <c r="J860" s="74"/>
      <c r="K860" s="74"/>
    </row>
    <row r="861">
      <c r="A861" s="21"/>
      <c r="B861" s="119" t="s">
        <v>10474</v>
      </c>
      <c r="C861" s="120" t="s">
        <v>3648</v>
      </c>
      <c r="D861" s="33" t="s">
        <v>10461</v>
      </c>
      <c r="E861" s="51" t="s">
        <v>256</v>
      </c>
      <c r="F861" s="121" t="s">
        <v>3009</v>
      </c>
      <c r="G861" s="98" t="str">
        <f>HYPERLINK("http://mirror.ff7data.com.ar/ff7/data/battle/battle.lgp/buao.png","View Picture")</f>
        <v>View Picture</v>
      </c>
      <c r="H861" s="75"/>
      <c r="I861" s="74"/>
      <c r="J861" s="74"/>
      <c r="K861" s="74"/>
    </row>
    <row r="862">
      <c r="A862" s="21"/>
      <c r="B862" s="119" t="s">
        <v>10485</v>
      </c>
      <c r="C862" s="120" t="s">
        <v>7165</v>
      </c>
      <c r="D862" s="33" t="s">
        <v>10461</v>
      </c>
      <c r="E862" s="51" t="s">
        <v>256</v>
      </c>
      <c r="F862" s="121" t="s">
        <v>3009</v>
      </c>
      <c r="G862" s="98" t="str">
        <f>HYPERLINK("http://mirror.ff7data.com.ar/ff7/data/battle/battle.lgp/buap.png","View Picture")</f>
        <v>View Picture</v>
      </c>
      <c r="H862" s="75"/>
      <c r="I862" s="74"/>
      <c r="J862" s="74"/>
      <c r="K862" s="74"/>
    </row>
    <row r="863">
      <c r="A863" s="21"/>
      <c r="B863" s="119" t="s">
        <v>10499</v>
      </c>
      <c r="C863" s="120" t="s">
        <v>4372</v>
      </c>
      <c r="D863" s="33" t="s">
        <v>10461</v>
      </c>
      <c r="E863" s="51" t="s">
        <v>256</v>
      </c>
      <c r="F863" s="121" t="s">
        <v>3009</v>
      </c>
      <c r="G863" s="98" t="str">
        <f>HYPERLINK("http://mirror.ff7data.com.ar/ff7/data/battle/battle.lgp/buaq.png","View Picture")</f>
        <v>View Picture</v>
      </c>
      <c r="H863" s="75"/>
      <c r="I863" s="74"/>
      <c r="J863" s="74"/>
      <c r="K863" s="74"/>
    </row>
    <row r="864">
      <c r="A864" s="21"/>
      <c r="B864" s="119" t="s">
        <v>10509</v>
      </c>
      <c r="C864" s="120" t="s">
        <v>4264</v>
      </c>
      <c r="D864" s="33" t="s">
        <v>10461</v>
      </c>
      <c r="E864" s="51" t="s">
        <v>256</v>
      </c>
      <c r="F864" s="121" t="s">
        <v>3009</v>
      </c>
      <c r="G864" s="98" t="str">
        <f>HYPERLINK("http://mirror.ff7data.com.ar/ff7/data/battle/battle.lgp/buar.png","View Picture")</f>
        <v>View Picture</v>
      </c>
      <c r="H864" s="75"/>
      <c r="I864" s="74"/>
      <c r="J864" s="74"/>
      <c r="K864" s="74"/>
    </row>
    <row r="865">
      <c r="A865" s="21"/>
      <c r="B865" s="119" t="s">
        <v>10518</v>
      </c>
      <c r="C865" s="120" t="s">
        <v>3648</v>
      </c>
      <c r="D865" s="33" t="s">
        <v>10461</v>
      </c>
      <c r="E865" s="51" t="s">
        <v>256</v>
      </c>
      <c r="F865" s="121" t="s">
        <v>3009</v>
      </c>
      <c r="G865" s="98" t="str">
        <f>HYPERLINK("http://mirror.ff7data.com.ar/ff7/data/battle/battle.lgp/buat.png","View Picture")</f>
        <v>View Picture</v>
      </c>
      <c r="H865" s="75"/>
      <c r="I865" s="74"/>
      <c r="J865" s="74"/>
      <c r="K865" s="74"/>
    </row>
    <row r="866">
      <c r="A866" s="21"/>
      <c r="B866" s="119" t="s">
        <v>10529</v>
      </c>
      <c r="C866" s="120" t="s">
        <v>4357</v>
      </c>
      <c r="D866" s="33" t="s">
        <v>10461</v>
      </c>
      <c r="E866" s="51" t="s">
        <v>256</v>
      </c>
      <c r="F866" s="121" t="s">
        <v>3009</v>
      </c>
      <c r="G866" s="98" t="str">
        <f>HYPERLINK("http://mirror.ff7data.com.ar/ff7/data/battle/battle.lgp/buau.png","View Picture")</f>
        <v>View Picture</v>
      </c>
      <c r="H866" s="75"/>
      <c r="I866" s="74"/>
      <c r="J866" s="74"/>
      <c r="K866" s="74"/>
    </row>
    <row r="867">
      <c r="A867" s="21"/>
      <c r="B867" s="119" t="s">
        <v>10538</v>
      </c>
      <c r="C867" s="120" t="s">
        <v>4372</v>
      </c>
      <c r="D867" s="33" t="s">
        <v>10461</v>
      </c>
      <c r="E867" s="51" t="s">
        <v>256</v>
      </c>
      <c r="F867" s="121" t="s">
        <v>3009</v>
      </c>
      <c r="G867" s="98" t="str">
        <f>HYPERLINK("http://mirror.ff7data.com.ar/ff7/data/battle/battle.lgp/buav.png","View Picture")</f>
        <v>View Picture</v>
      </c>
      <c r="H867" s="75"/>
      <c r="I867" s="74"/>
      <c r="J867" s="74"/>
      <c r="K867" s="74"/>
    </row>
    <row r="868">
      <c r="A868" s="21"/>
      <c r="B868" s="119" t="s">
        <v>10551</v>
      </c>
      <c r="C868" s="120" t="s">
        <v>4264</v>
      </c>
      <c r="D868" s="33" t="s">
        <v>10461</v>
      </c>
      <c r="E868" s="51" t="s">
        <v>256</v>
      </c>
      <c r="F868" s="121" t="s">
        <v>3009</v>
      </c>
      <c r="G868" s="98" t="str">
        <f>HYPERLINK("http://mirror.ff7data.com.ar/ff7/data/battle/battle.lgp/buaw.png","View Picture")</f>
        <v>View Picture</v>
      </c>
      <c r="H868" s="75"/>
      <c r="I868" s="74"/>
      <c r="J868" s="74"/>
      <c r="K868" s="74"/>
    </row>
    <row r="869">
      <c r="A869" s="21"/>
      <c r="B869" s="119" t="s">
        <v>10560</v>
      </c>
      <c r="C869" s="120" t="s">
        <v>4185</v>
      </c>
      <c r="D869" s="33" t="s">
        <v>10461</v>
      </c>
      <c r="E869" s="51" t="s">
        <v>256</v>
      </c>
      <c r="F869" s="121" t="s">
        <v>3009</v>
      </c>
      <c r="G869" s="98" t="str">
        <f>HYPERLINK("http://mirror.ff7data.com.ar/ff7/data/battle/battle.lgp/buax.png","View Picture")</f>
        <v>View Picture</v>
      </c>
      <c r="H869" s="75"/>
      <c r="I869" s="74"/>
      <c r="J869" s="74"/>
      <c r="K869" s="74"/>
    </row>
    <row r="870">
      <c r="A870" s="21"/>
      <c r="B870" s="119" t="s">
        <v>10574</v>
      </c>
      <c r="C870" s="120" t="s">
        <v>4167</v>
      </c>
      <c r="D870" s="33" t="s">
        <v>10461</v>
      </c>
      <c r="E870" s="51" t="s">
        <v>256</v>
      </c>
      <c r="F870" s="121" t="s">
        <v>3009</v>
      </c>
      <c r="G870" s="98" t="str">
        <f>HYPERLINK("http://mirror.ff7data.com.ar/ff7/data/battle/battle.lgp/buay.png","View Picture")</f>
        <v>View Picture</v>
      </c>
      <c r="H870" s="75"/>
      <c r="I870" s="74"/>
      <c r="J870" s="74"/>
      <c r="K870" s="74"/>
    </row>
    <row r="871">
      <c r="A871" s="21"/>
      <c r="B871" s="119" t="s">
        <v>10586</v>
      </c>
      <c r="C871" s="120" t="s">
        <v>4217</v>
      </c>
      <c r="D871" s="33" t="s">
        <v>10461</v>
      </c>
      <c r="E871" s="51" t="s">
        <v>256</v>
      </c>
      <c r="F871" s="121" t="s">
        <v>3009</v>
      </c>
      <c r="G871" s="98" t="str">
        <f>HYPERLINK("http://mirror.ff7data.com.ar/ff7/data/battle/battle.lgp/bubb.png","View Picture")</f>
        <v>View Picture</v>
      </c>
      <c r="H871" s="75"/>
      <c r="I871" s="74"/>
      <c r="J871" s="74"/>
      <c r="K871" s="74"/>
    </row>
    <row r="872">
      <c r="A872" s="21"/>
      <c r="B872" s="119" t="s">
        <v>10600</v>
      </c>
      <c r="C872" s="120" t="s">
        <v>9600</v>
      </c>
      <c r="D872" s="33" t="s">
        <v>10461</v>
      </c>
      <c r="E872" s="51" t="s">
        <v>256</v>
      </c>
      <c r="F872" s="121" t="s">
        <v>3009</v>
      </c>
      <c r="G872" s="98" t="str">
        <f>HYPERLINK("http://mirror.ff7data.com.ar/ff7/data/battle/battle.lgp/bubc.png","View Picture")</f>
        <v>View Picture</v>
      </c>
      <c r="H872" s="75"/>
      <c r="I872" s="74"/>
      <c r="J872" s="74"/>
      <c r="K872" s="74"/>
    </row>
    <row r="873">
      <c r="A873" s="21"/>
      <c r="B873" s="119" t="s">
        <v>10613</v>
      </c>
      <c r="C873" s="120" t="s">
        <v>4217</v>
      </c>
      <c r="D873" s="33" t="s">
        <v>10461</v>
      </c>
      <c r="E873" s="51" t="s">
        <v>256</v>
      </c>
      <c r="F873" s="121" t="s">
        <v>3009</v>
      </c>
      <c r="G873" s="98" t="str">
        <f>HYPERLINK("http://mirror.ff7data.com.ar/ff7/data/battle/battle.lgp/bubd.png","View Picture")</f>
        <v>View Picture</v>
      </c>
      <c r="H873" s="75"/>
      <c r="I873" s="74"/>
      <c r="J873" s="74"/>
      <c r="K873" s="74"/>
    </row>
    <row r="874">
      <c r="A874" s="21"/>
      <c r="B874" s="119" t="s">
        <v>10621</v>
      </c>
      <c r="C874" s="120" t="s">
        <v>4217</v>
      </c>
      <c r="D874" s="33" t="s">
        <v>10461</v>
      </c>
      <c r="E874" s="51" t="s">
        <v>256</v>
      </c>
      <c r="F874" s="121" t="s">
        <v>3009</v>
      </c>
      <c r="G874" s="98" t="str">
        <f>HYPERLINK("http://mirror.ff7data.com.ar/ff7/data/battle/battle.lgp/bubg.png","View Picture")</f>
        <v>View Picture</v>
      </c>
      <c r="H874" s="75"/>
      <c r="I874" s="74"/>
      <c r="J874" s="74"/>
      <c r="K874" s="74"/>
    </row>
    <row r="875">
      <c r="A875" s="21"/>
      <c r="B875" s="119" t="s">
        <v>10633</v>
      </c>
      <c r="C875" s="120" t="s">
        <v>9600</v>
      </c>
      <c r="D875" s="33" t="s">
        <v>10461</v>
      </c>
      <c r="E875" s="51" t="s">
        <v>256</v>
      </c>
      <c r="F875" s="121" t="s">
        <v>3009</v>
      </c>
      <c r="G875" s="98" t="str">
        <f>HYPERLINK("http://mirror.ff7data.com.ar/ff7/data/battle/battle.lgp/bubh.png","View Picture")</f>
        <v>View Picture</v>
      </c>
      <c r="H875" s="75"/>
      <c r="I875" s="74"/>
      <c r="J875" s="74"/>
      <c r="K875" s="74"/>
    </row>
    <row r="876">
      <c r="A876" s="21"/>
      <c r="B876" s="119" t="s">
        <v>10644</v>
      </c>
      <c r="C876" s="120" t="s">
        <v>4719</v>
      </c>
      <c r="D876" s="33" t="s">
        <v>10461</v>
      </c>
      <c r="E876" s="51" t="s">
        <v>256</v>
      </c>
      <c r="F876" s="121" t="s">
        <v>3009</v>
      </c>
      <c r="G876" s="98" t="str">
        <f>HYPERLINK("http://mirror.ff7data.com.ar/ff7/data/battle/battle.lgp/bubi.png","View Picture")</f>
        <v>View Picture</v>
      </c>
      <c r="H876" s="75"/>
      <c r="I876" s="74"/>
      <c r="J876" s="74"/>
      <c r="K876" s="74"/>
    </row>
    <row r="877">
      <c r="A877" s="21"/>
      <c r="B877" s="119" t="s">
        <v>10656</v>
      </c>
      <c r="C877" s="120" t="s">
        <v>3505</v>
      </c>
      <c r="D877" s="33" t="s">
        <v>10461</v>
      </c>
      <c r="E877" s="51" t="s">
        <v>256</v>
      </c>
      <c r="F877" s="121" t="s">
        <v>3025</v>
      </c>
      <c r="G877" s="122"/>
      <c r="H877" s="46" t="s">
        <v>3002</v>
      </c>
      <c r="I877" s="74"/>
      <c r="J877" s="74"/>
      <c r="K877" s="74"/>
    </row>
    <row r="878">
      <c r="A878" s="21"/>
      <c r="B878" s="119" t="s">
        <v>10661</v>
      </c>
      <c r="C878" s="120" t="s">
        <v>4196</v>
      </c>
      <c r="D878" s="33" t="s">
        <v>10665</v>
      </c>
      <c r="E878" s="51" t="s">
        <v>260</v>
      </c>
      <c r="F878" s="121" t="s">
        <v>2971</v>
      </c>
      <c r="G878" s="98" t="str">
        <f>HYPERLINK("http://mirror.ff7data.com.ar/ff7/data/battle/battle.lgp/bvaa.png","View Picture")</f>
        <v>View Picture</v>
      </c>
      <c r="H878" s="75"/>
      <c r="I878" s="74"/>
      <c r="J878" s="74"/>
      <c r="K878" s="74"/>
    </row>
    <row r="879">
      <c r="A879" s="21"/>
      <c r="B879" s="119" t="s">
        <v>10677</v>
      </c>
      <c r="C879" s="120" t="s">
        <v>9790</v>
      </c>
      <c r="D879" s="33" t="s">
        <v>10680</v>
      </c>
      <c r="E879" s="51" t="s">
        <v>260</v>
      </c>
      <c r="F879" s="121" t="s">
        <v>2993</v>
      </c>
      <c r="G879" s="122"/>
      <c r="H879" s="46" t="s">
        <v>3002</v>
      </c>
      <c r="I879" s="74"/>
      <c r="J879" s="74"/>
      <c r="K879" s="74"/>
    </row>
    <row r="880">
      <c r="A880" s="21"/>
      <c r="B880" s="119" t="s">
        <v>10683</v>
      </c>
      <c r="C880" s="120" t="s">
        <v>4439</v>
      </c>
      <c r="D880" s="33" t="s">
        <v>10680</v>
      </c>
      <c r="E880" s="51" t="s">
        <v>260</v>
      </c>
      <c r="F880" s="121" t="s">
        <v>3009</v>
      </c>
      <c r="G880" s="98" t="str">
        <f>HYPERLINK("http://mirror.ff7data.com.ar/ff7/data/battle/battle.lgp/bvam.png","View Picture")</f>
        <v>View Picture</v>
      </c>
      <c r="H880" s="75"/>
      <c r="I880" s="74"/>
      <c r="J880" s="74"/>
      <c r="K880" s="74"/>
    </row>
    <row r="881">
      <c r="A881" s="21"/>
      <c r="B881" s="119" t="s">
        <v>10692</v>
      </c>
      <c r="C881" s="120" t="s">
        <v>3648</v>
      </c>
      <c r="D881" s="33" t="s">
        <v>10680</v>
      </c>
      <c r="E881" s="51" t="s">
        <v>260</v>
      </c>
      <c r="F881" s="121" t="s">
        <v>3009</v>
      </c>
      <c r="G881" s="98" t="str">
        <f>HYPERLINK("http://mirror.ff7data.com.ar/ff7/data/battle/battle.lgp/bvao.png","View Picture")</f>
        <v>View Picture</v>
      </c>
      <c r="H881" s="75"/>
      <c r="I881" s="74"/>
      <c r="J881" s="74"/>
      <c r="K881" s="74"/>
    </row>
    <row r="882">
      <c r="A882" s="21"/>
      <c r="B882" s="119" t="s">
        <v>10702</v>
      </c>
      <c r="C882" s="120" t="s">
        <v>4357</v>
      </c>
      <c r="D882" s="33" t="s">
        <v>10680</v>
      </c>
      <c r="E882" s="51" t="s">
        <v>260</v>
      </c>
      <c r="F882" s="121" t="s">
        <v>3009</v>
      </c>
      <c r="G882" s="98" t="str">
        <f>HYPERLINK("http://mirror.ff7data.com.ar/ff7/data/battle/battle.lgp/bvap.png","View Picture")</f>
        <v>View Picture</v>
      </c>
      <c r="H882" s="75"/>
      <c r="I882" s="74"/>
      <c r="J882" s="74"/>
      <c r="K882" s="74"/>
    </row>
    <row r="883">
      <c r="A883" s="21"/>
      <c r="B883" s="119" t="s">
        <v>10712</v>
      </c>
      <c r="C883" s="120" t="s">
        <v>4372</v>
      </c>
      <c r="D883" s="33" t="s">
        <v>10680</v>
      </c>
      <c r="E883" s="51" t="s">
        <v>260</v>
      </c>
      <c r="F883" s="121" t="s">
        <v>3009</v>
      </c>
      <c r="G883" s="98" t="str">
        <f>HYPERLINK("http://mirror.ff7data.com.ar/ff7/data/battle/battle.lgp/bvaq.png","View Picture")</f>
        <v>View Picture</v>
      </c>
      <c r="H883" s="75"/>
      <c r="I883" s="74"/>
      <c r="J883" s="74"/>
      <c r="K883" s="74"/>
    </row>
    <row r="884">
      <c r="A884" s="21"/>
      <c r="B884" s="119" t="s">
        <v>10744</v>
      </c>
      <c r="C884" s="120" t="s">
        <v>4264</v>
      </c>
      <c r="D884" s="33" t="s">
        <v>10680</v>
      </c>
      <c r="E884" s="51" t="s">
        <v>260</v>
      </c>
      <c r="F884" s="121" t="s">
        <v>3009</v>
      </c>
      <c r="G884" s="98" t="str">
        <f>HYPERLINK("http://mirror.ff7data.com.ar/ff7/data/battle/battle.lgp/bvar.png","View Picture")</f>
        <v>View Picture</v>
      </c>
      <c r="H884" s="75"/>
      <c r="I884" s="74"/>
      <c r="J884" s="74"/>
      <c r="K884" s="74"/>
    </row>
    <row r="885">
      <c r="A885" s="21"/>
      <c r="B885" s="119" t="s">
        <v>10755</v>
      </c>
      <c r="C885" s="120" t="s">
        <v>3648</v>
      </c>
      <c r="D885" s="33" t="s">
        <v>10680</v>
      </c>
      <c r="E885" s="51" t="s">
        <v>260</v>
      </c>
      <c r="F885" s="121" t="s">
        <v>3009</v>
      </c>
      <c r="G885" s="98" t="str">
        <f>HYPERLINK("http://mirror.ff7data.com.ar/ff7/data/battle/battle.lgp/bvat.png","View Picture")</f>
        <v>View Picture</v>
      </c>
      <c r="H885" s="75"/>
      <c r="I885" s="74"/>
      <c r="J885" s="74"/>
      <c r="K885" s="74"/>
    </row>
    <row r="886">
      <c r="A886" s="21"/>
      <c r="B886" s="119" t="s">
        <v>10767</v>
      </c>
      <c r="C886" s="120" t="s">
        <v>4357</v>
      </c>
      <c r="D886" s="33" t="s">
        <v>10680</v>
      </c>
      <c r="E886" s="51" t="s">
        <v>260</v>
      </c>
      <c r="F886" s="121" t="s">
        <v>3009</v>
      </c>
      <c r="G886" s="98" t="str">
        <f>HYPERLINK("http://mirror.ff7data.com.ar/ff7/data/battle/battle.lgp/bvau.png","View Picture")</f>
        <v>View Picture</v>
      </c>
      <c r="H886" s="75"/>
      <c r="I886" s="74"/>
      <c r="J886" s="74"/>
      <c r="K886" s="74"/>
    </row>
    <row r="887">
      <c r="A887" s="21"/>
      <c r="B887" s="119" t="s">
        <v>10775</v>
      </c>
      <c r="C887" s="120" t="s">
        <v>4372</v>
      </c>
      <c r="D887" s="33" t="s">
        <v>10680</v>
      </c>
      <c r="E887" s="51" t="s">
        <v>260</v>
      </c>
      <c r="F887" s="121" t="s">
        <v>3009</v>
      </c>
      <c r="G887" s="98" t="str">
        <f>HYPERLINK("http://mirror.ff7data.com.ar/ff7/data/battle/battle.lgp/bvav.png","View Picture")</f>
        <v>View Picture</v>
      </c>
      <c r="H887" s="75"/>
      <c r="I887" s="74"/>
      <c r="J887" s="74"/>
      <c r="K887" s="74"/>
    </row>
    <row r="888">
      <c r="A888" s="21"/>
      <c r="B888" s="119" t="s">
        <v>10787</v>
      </c>
      <c r="C888" s="120" t="s">
        <v>4264</v>
      </c>
      <c r="D888" s="33" t="s">
        <v>10680</v>
      </c>
      <c r="E888" s="51" t="s">
        <v>260</v>
      </c>
      <c r="F888" s="121" t="s">
        <v>3009</v>
      </c>
      <c r="G888" s="98" t="str">
        <f>HYPERLINK("http://mirror.ff7data.com.ar/ff7/data/battle/battle.lgp/bvaw.png","View Picture")</f>
        <v>View Picture</v>
      </c>
      <c r="H888" s="75"/>
      <c r="I888" s="74"/>
      <c r="J888" s="74"/>
      <c r="K888" s="74"/>
    </row>
    <row r="889">
      <c r="A889" s="21"/>
      <c r="B889" s="119" t="s">
        <v>10800</v>
      </c>
      <c r="C889" s="120" t="s">
        <v>4476</v>
      </c>
      <c r="D889" s="33" t="s">
        <v>10680</v>
      </c>
      <c r="E889" s="51" t="s">
        <v>260</v>
      </c>
      <c r="F889" s="121" t="s">
        <v>3009</v>
      </c>
      <c r="G889" s="98" t="str">
        <f>HYPERLINK("http://mirror.ff7data.com.ar/ff7/data/battle/battle.lgp/bvax.png","View Picture")</f>
        <v>View Picture</v>
      </c>
      <c r="H889" s="75"/>
      <c r="I889" s="74"/>
      <c r="J889" s="74"/>
      <c r="K889" s="74"/>
    </row>
    <row r="890">
      <c r="A890" s="21"/>
      <c r="B890" s="119" t="s">
        <v>10820</v>
      </c>
      <c r="C890" s="120" t="s">
        <v>4167</v>
      </c>
      <c r="D890" s="33" t="s">
        <v>10680</v>
      </c>
      <c r="E890" s="51" t="s">
        <v>260</v>
      </c>
      <c r="F890" s="121" t="s">
        <v>3009</v>
      </c>
      <c r="G890" s="98" t="str">
        <f>HYPERLINK("http://mirror.ff7data.com.ar/ff7/data/battle/battle.lgp/bvay.png","View Picture")</f>
        <v>View Picture</v>
      </c>
      <c r="H890" s="75"/>
      <c r="I890" s="74"/>
      <c r="J890" s="74"/>
      <c r="K890" s="74"/>
    </row>
    <row r="891">
      <c r="A891" s="21"/>
      <c r="B891" s="119" t="s">
        <v>10835</v>
      </c>
      <c r="C891" s="120" t="s">
        <v>10078</v>
      </c>
      <c r="D891" s="33" t="s">
        <v>10680</v>
      </c>
      <c r="E891" s="51" t="s">
        <v>260</v>
      </c>
      <c r="F891" s="121" t="s">
        <v>3009</v>
      </c>
      <c r="G891" s="98" t="str">
        <f>HYPERLINK("http://mirror.ff7data.com.ar/ff7/data/battle/battle.lgp/bvbb.png","View Picture")</f>
        <v>View Picture</v>
      </c>
      <c r="H891" s="75"/>
      <c r="I891" s="74"/>
      <c r="J891" s="74"/>
      <c r="K891" s="74"/>
    </row>
    <row r="892">
      <c r="A892" s="21"/>
      <c r="B892" s="119" t="s">
        <v>10850</v>
      </c>
      <c r="C892" s="120" t="s">
        <v>7894</v>
      </c>
      <c r="D892" s="33" t="s">
        <v>10680</v>
      </c>
      <c r="E892" s="51" t="s">
        <v>260</v>
      </c>
      <c r="F892" s="121" t="s">
        <v>3009</v>
      </c>
      <c r="G892" s="98" t="str">
        <f>HYPERLINK("http://mirror.ff7data.com.ar/ff7/data/battle/battle.lgp/bvbc.png","View Picture")</f>
        <v>View Picture</v>
      </c>
      <c r="H892" s="75"/>
      <c r="I892" s="74"/>
      <c r="J892" s="74"/>
      <c r="K892" s="74"/>
    </row>
    <row r="893">
      <c r="A893" s="21"/>
      <c r="B893" s="119" t="s">
        <v>10861</v>
      </c>
      <c r="C893" s="120" t="s">
        <v>5891</v>
      </c>
      <c r="D893" s="33" t="s">
        <v>10680</v>
      </c>
      <c r="E893" s="51" t="s">
        <v>260</v>
      </c>
      <c r="F893" s="121" t="s">
        <v>3009</v>
      </c>
      <c r="G893" s="98" t="str">
        <f>HYPERLINK("http://mirror.ff7data.com.ar/ff7/data/battle/battle.lgp/bvbd.png","View Picture")</f>
        <v>View Picture</v>
      </c>
      <c r="H893" s="75"/>
      <c r="I893" s="74"/>
      <c r="J893" s="74"/>
      <c r="K893" s="74"/>
    </row>
    <row r="894">
      <c r="A894" s="21"/>
      <c r="B894" s="119" t="s">
        <v>10869</v>
      </c>
      <c r="C894" s="120" t="s">
        <v>4217</v>
      </c>
      <c r="D894" s="33" t="s">
        <v>10680</v>
      </c>
      <c r="E894" s="51" t="s">
        <v>260</v>
      </c>
      <c r="F894" s="121" t="s">
        <v>3009</v>
      </c>
      <c r="G894" s="98" t="str">
        <f>HYPERLINK("http://mirror.ff7data.com.ar/ff7/data/battle/battle.lgp/bvbg.png","View Picture")</f>
        <v>View Picture</v>
      </c>
      <c r="H894" s="75"/>
      <c r="I894" s="74"/>
      <c r="J894" s="74"/>
      <c r="K894" s="74"/>
    </row>
    <row r="895">
      <c r="A895" s="21"/>
      <c r="B895" s="119" t="s">
        <v>10880</v>
      </c>
      <c r="C895" s="120" t="s">
        <v>6830</v>
      </c>
      <c r="D895" s="33" t="s">
        <v>10680</v>
      </c>
      <c r="E895" s="51" t="s">
        <v>260</v>
      </c>
      <c r="F895" s="121" t="s">
        <v>3009</v>
      </c>
      <c r="G895" s="98" t="str">
        <f>HYPERLINK("http://mirror.ff7data.com.ar/ff7/data/battle/battle.lgp/bvbh.png","View Picture")</f>
        <v>View Picture</v>
      </c>
      <c r="H895" s="75"/>
      <c r="I895" s="74"/>
      <c r="J895" s="74"/>
      <c r="K895" s="74"/>
    </row>
    <row r="896">
      <c r="A896" s="21"/>
      <c r="B896" s="119" t="s">
        <v>10886</v>
      </c>
      <c r="C896" s="120" t="s">
        <v>4264</v>
      </c>
      <c r="D896" s="33" t="s">
        <v>10680</v>
      </c>
      <c r="E896" s="51" t="s">
        <v>260</v>
      </c>
      <c r="F896" s="121" t="s">
        <v>3009</v>
      </c>
      <c r="G896" s="98" t="str">
        <f>HYPERLINK("http://mirror.ff7data.com.ar/ff7/data/battle/battle.lgp/bvbi.png","View Picture")</f>
        <v>View Picture</v>
      </c>
      <c r="H896" s="75"/>
      <c r="I896" s="74"/>
      <c r="J896" s="74"/>
      <c r="K896" s="74"/>
    </row>
    <row r="897">
      <c r="A897" s="21"/>
      <c r="B897" s="119" t="s">
        <v>10898</v>
      </c>
      <c r="C897" s="120" t="s">
        <v>10899</v>
      </c>
      <c r="D897" s="33" t="s">
        <v>10680</v>
      </c>
      <c r="E897" s="51" t="s">
        <v>260</v>
      </c>
      <c r="F897" s="121" t="s">
        <v>3009</v>
      </c>
      <c r="G897" s="98" t="str">
        <f>HYPERLINK("http://mirror.ff7data.com.ar/ff7/data/battle/battle.lgp/bvbk.png","View Picture")</f>
        <v>View Picture</v>
      </c>
      <c r="H897" s="75"/>
      <c r="I897" s="74"/>
      <c r="J897" s="74"/>
      <c r="K897" s="74"/>
    </row>
    <row r="898">
      <c r="A898" s="21"/>
      <c r="B898" s="119" t="s">
        <v>10908</v>
      </c>
      <c r="C898" s="120" t="s">
        <v>10899</v>
      </c>
      <c r="D898" s="33" t="s">
        <v>10680</v>
      </c>
      <c r="E898" s="51" t="s">
        <v>260</v>
      </c>
      <c r="F898" s="121" t="s">
        <v>3009</v>
      </c>
      <c r="G898" s="98" t="str">
        <f>HYPERLINK("http://mirror.ff7data.com.ar/ff7/data/battle/battle.lgp/bvbm.png","View Picture")</f>
        <v>View Picture</v>
      </c>
      <c r="H898" s="75"/>
      <c r="I898" s="74"/>
      <c r="J898" s="74"/>
      <c r="K898" s="74"/>
    </row>
    <row r="899">
      <c r="A899" s="21"/>
      <c r="B899" s="119" t="s">
        <v>10917</v>
      </c>
      <c r="C899" s="120" t="s">
        <v>3370</v>
      </c>
      <c r="D899" s="33" t="s">
        <v>10680</v>
      </c>
      <c r="E899" s="51" t="s">
        <v>260</v>
      </c>
      <c r="F899" s="121" t="s">
        <v>3025</v>
      </c>
      <c r="G899" s="122"/>
      <c r="H899" s="46" t="s">
        <v>3002</v>
      </c>
      <c r="I899" s="74"/>
      <c r="J899" s="74"/>
      <c r="K899" s="74"/>
    </row>
    <row r="900">
      <c r="A900" s="82"/>
      <c r="B900" s="119" t="s">
        <v>10924</v>
      </c>
      <c r="C900" s="120" t="s">
        <v>4846</v>
      </c>
      <c r="D900" s="33" t="s">
        <v>10926</v>
      </c>
      <c r="E900" s="51" t="s">
        <v>264</v>
      </c>
      <c r="F900" s="121" t="s">
        <v>2971</v>
      </c>
      <c r="G900" s="98" t="str">
        <f>HYPERLINK("http://mirror.ff7data.com.ar/ff7/data/battle/battle.lgp/bwaa.png","View Picture")</f>
        <v>View Picture</v>
      </c>
      <c r="H900" s="46" t="s">
        <v>10933</v>
      </c>
      <c r="I900" s="74"/>
      <c r="J900" s="74"/>
      <c r="K900" s="74"/>
    </row>
    <row r="901">
      <c r="A901" s="55"/>
      <c r="B901" s="119" t="s">
        <v>10936</v>
      </c>
      <c r="C901" s="120" t="s">
        <v>3991</v>
      </c>
      <c r="D901" s="33" t="s">
        <v>10938</v>
      </c>
      <c r="E901" s="51" t="s">
        <v>264</v>
      </c>
      <c r="F901" s="121" t="s">
        <v>2993</v>
      </c>
      <c r="G901" s="122"/>
      <c r="H901" s="46" t="s">
        <v>3002</v>
      </c>
      <c r="I901" s="74"/>
      <c r="J901" s="74"/>
      <c r="K901" s="74"/>
    </row>
    <row r="902">
      <c r="A902" s="40"/>
      <c r="B902" s="119" t="s">
        <v>10943</v>
      </c>
      <c r="C902" s="120" t="s">
        <v>4191</v>
      </c>
      <c r="D902" s="33" t="s">
        <v>10945</v>
      </c>
      <c r="E902" s="51" t="s">
        <v>264</v>
      </c>
      <c r="F902" s="121" t="s">
        <v>1348</v>
      </c>
      <c r="G902" s="98" t="str">
        <f>HYPERLINK("http://mirror.ff7data.com.ar/ff7/data/battle/battle.lgp/bwac.png","View Picture")</f>
        <v>View Picture</v>
      </c>
      <c r="H902" s="75"/>
      <c r="I902" s="74"/>
      <c r="J902" s="74"/>
      <c r="K902" s="74"/>
    </row>
    <row r="903">
      <c r="A903" s="82"/>
      <c r="B903" s="119" t="s">
        <v>10954</v>
      </c>
      <c r="C903" s="120" t="s">
        <v>10955</v>
      </c>
      <c r="D903" s="33" t="s">
        <v>10957</v>
      </c>
      <c r="E903" s="51" t="s">
        <v>264</v>
      </c>
      <c r="F903" s="121" t="s">
        <v>3009</v>
      </c>
      <c r="G903" s="98" t="str">
        <f>HYPERLINK("http://mirror.ff7data.com.ar/ff7/data/battle/battle.lgp/bwam.png","View Picture")</f>
        <v>View Picture</v>
      </c>
      <c r="H903" s="75"/>
      <c r="I903" s="74"/>
      <c r="J903" s="74"/>
      <c r="K903" s="74"/>
    </row>
    <row r="904">
      <c r="A904" s="82"/>
      <c r="B904" s="119" t="s">
        <v>10968</v>
      </c>
      <c r="C904" s="120" t="s">
        <v>6018</v>
      </c>
      <c r="D904" s="33" t="s">
        <v>10970</v>
      </c>
      <c r="E904" s="51" t="s">
        <v>264</v>
      </c>
      <c r="F904" s="121" t="s">
        <v>3009</v>
      </c>
      <c r="G904" s="98" t="str">
        <f>HYPERLINK("http://mirror.ff7data.com.ar/ff7/data/battle/battle.lgp/bwan.png","View Picture")</f>
        <v>View Picture</v>
      </c>
      <c r="H904" s="75"/>
      <c r="I904" s="74"/>
      <c r="J904" s="74"/>
      <c r="K904" s="74"/>
    </row>
    <row r="905">
      <c r="A905" s="21"/>
      <c r="B905" s="119" t="s">
        <v>10980</v>
      </c>
      <c r="C905" s="120" t="s">
        <v>7148</v>
      </c>
      <c r="D905" s="33" t="s">
        <v>10983</v>
      </c>
      <c r="E905" s="51" t="s">
        <v>264</v>
      </c>
      <c r="F905" s="121" t="s">
        <v>3009</v>
      </c>
      <c r="G905" s="98" t="str">
        <f>HYPERLINK("http://mirror.ff7data.com.ar/ff7/data/battle/battle.lgp/bwap.png","View Picture")</f>
        <v>View Picture</v>
      </c>
      <c r="H905" s="75"/>
      <c r="I905" s="74"/>
      <c r="J905" s="74"/>
      <c r="K905" s="74"/>
    </row>
    <row r="906">
      <c r="A906" s="21"/>
      <c r="B906" s="119" t="s">
        <v>10991</v>
      </c>
      <c r="C906" s="120" t="s">
        <v>7148</v>
      </c>
      <c r="D906" s="33" t="s">
        <v>10983</v>
      </c>
      <c r="E906" s="51" t="s">
        <v>264</v>
      </c>
      <c r="F906" s="121" t="s">
        <v>3009</v>
      </c>
      <c r="G906" s="98" t="str">
        <f>HYPERLINK("http://mirror.ff7data.com.ar/ff7/data/battle/battle.lgp/bwaq.png","View Picture")</f>
        <v>View Picture</v>
      </c>
      <c r="H906" s="75"/>
      <c r="I906" s="74"/>
      <c r="J906" s="74"/>
      <c r="K906" s="74"/>
    </row>
    <row r="907">
      <c r="A907" s="21"/>
      <c r="B907" s="119" t="s">
        <v>11000</v>
      </c>
      <c r="C907" s="120" t="s">
        <v>3007</v>
      </c>
      <c r="D907" s="33" t="s">
        <v>10983</v>
      </c>
      <c r="E907" s="51" t="s">
        <v>264</v>
      </c>
      <c r="F907" s="121" t="s">
        <v>3009</v>
      </c>
      <c r="G907" s="98" t="str">
        <f>HYPERLINK("http://mirror.ff7data.com.ar/ff7/data/battle/battle.lgp/bwar.png","View Picture")</f>
        <v>View Picture</v>
      </c>
      <c r="H907" s="75"/>
      <c r="I907" s="74"/>
      <c r="J907" s="74"/>
      <c r="K907" s="74"/>
    </row>
    <row r="908">
      <c r="A908" s="82"/>
      <c r="B908" s="119" t="s">
        <v>11009</v>
      </c>
      <c r="C908" s="120" t="s">
        <v>7301</v>
      </c>
      <c r="D908" s="33" t="s">
        <v>11011</v>
      </c>
      <c r="E908" s="51" t="s">
        <v>264</v>
      </c>
      <c r="F908" s="121" t="s">
        <v>3009</v>
      </c>
      <c r="G908" s="98" t="str">
        <f>HYPERLINK("http://mirror.ff7data.com.ar/ff7/data/battle/battle.lgp/bwas.png","View Picture")</f>
        <v>View Picture</v>
      </c>
      <c r="H908" s="75"/>
      <c r="I908" s="74"/>
      <c r="J908" s="74"/>
      <c r="K908" s="74"/>
    </row>
    <row r="909">
      <c r="A909" s="21"/>
      <c r="B909" s="119" t="s">
        <v>11020</v>
      </c>
      <c r="C909" s="120" t="s">
        <v>4185</v>
      </c>
      <c r="D909" s="33" t="s">
        <v>11022</v>
      </c>
      <c r="E909" s="51" t="s">
        <v>264</v>
      </c>
      <c r="F909" s="121" t="s">
        <v>3009</v>
      </c>
      <c r="G909" s="98" t="str">
        <f>HYPERLINK("http://mirror.ff7data.com.ar/ff7/data/battle/battle.lgp/bwau.png","View Picture")</f>
        <v>View Picture</v>
      </c>
      <c r="H909" s="75"/>
      <c r="I909" s="74"/>
      <c r="J909" s="74"/>
      <c r="K909" s="74"/>
    </row>
    <row r="910">
      <c r="A910" s="21"/>
      <c r="B910" s="119" t="s">
        <v>11031</v>
      </c>
      <c r="C910" s="120" t="s">
        <v>4057</v>
      </c>
      <c r="D910" s="33" t="s">
        <v>11034</v>
      </c>
      <c r="E910" s="51" t="s">
        <v>264</v>
      </c>
      <c r="F910" s="121" t="s">
        <v>3009</v>
      </c>
      <c r="G910" s="98" t="str">
        <f>HYPERLINK("http://mirror.ff7data.com.ar/ff7/data/battle/battle.lgp/bwav.png","View Picture")</f>
        <v>View Picture</v>
      </c>
      <c r="H910" s="75"/>
      <c r="I910" s="74"/>
      <c r="J910" s="74"/>
      <c r="K910" s="74"/>
    </row>
    <row r="911">
      <c r="A911" s="21"/>
      <c r="B911" s="119" t="s">
        <v>11041</v>
      </c>
      <c r="C911" s="120" t="s">
        <v>4185</v>
      </c>
      <c r="D911" s="33" t="s">
        <v>11042</v>
      </c>
      <c r="E911" s="51" t="s">
        <v>264</v>
      </c>
      <c r="F911" s="121" t="s">
        <v>3009</v>
      </c>
      <c r="G911" s="98" t="str">
        <f>HYPERLINK("http://mirror.ff7data.com.ar/ff7/data/battle/battle.lgp/bwaw.png","View Picture")</f>
        <v>View Picture</v>
      </c>
      <c r="H911" s="75"/>
      <c r="I911" s="74"/>
      <c r="J911" s="74"/>
      <c r="K911" s="74"/>
    </row>
    <row r="912">
      <c r="A912" s="21"/>
      <c r="B912" s="119" t="s">
        <v>11053</v>
      </c>
      <c r="C912" s="120" t="s">
        <v>4732</v>
      </c>
      <c r="D912" s="33" t="s">
        <v>11054</v>
      </c>
      <c r="E912" s="51" t="s">
        <v>264</v>
      </c>
      <c r="F912" s="121" t="s">
        <v>3009</v>
      </c>
      <c r="G912" s="98" t="str">
        <f>HYPERLINK("http://mirror.ff7data.com.ar/ff7/data/battle/battle.lgp/bway.png","View Picture")</f>
        <v>View Picture</v>
      </c>
      <c r="H912" s="75"/>
      <c r="I912" s="74"/>
      <c r="J912" s="74"/>
      <c r="K912" s="74"/>
    </row>
    <row r="913">
      <c r="A913" s="21"/>
      <c r="B913" s="119" t="s">
        <v>11063</v>
      </c>
      <c r="C913" s="120" t="s">
        <v>4185</v>
      </c>
      <c r="D913" s="33" t="s">
        <v>11022</v>
      </c>
      <c r="E913" s="51" t="s">
        <v>264</v>
      </c>
      <c r="F913" s="121" t="s">
        <v>3009</v>
      </c>
      <c r="G913" s="98" t="str">
        <f>HYPERLINK("http://mirror.ff7data.com.ar/ff7/data/battle/battle.lgp/bwba.png","View Picture")</f>
        <v>View Picture</v>
      </c>
      <c r="H913" s="75"/>
      <c r="I913" s="74"/>
      <c r="J913" s="74"/>
      <c r="K913" s="74"/>
    </row>
    <row r="914">
      <c r="A914" s="21"/>
      <c r="B914" s="119" t="s">
        <v>11071</v>
      </c>
      <c r="C914" s="120" t="s">
        <v>4719</v>
      </c>
      <c r="D914" s="33" t="s">
        <v>11034</v>
      </c>
      <c r="E914" s="51" t="s">
        <v>264</v>
      </c>
      <c r="F914" s="121" t="s">
        <v>3009</v>
      </c>
      <c r="G914" s="98" t="str">
        <f>HYPERLINK("http://mirror.ff7data.com.ar/ff7/data/battle/battle.lgp/bwbb.png","View Picture")</f>
        <v>View Picture</v>
      </c>
      <c r="H914" s="75"/>
      <c r="I914" s="74"/>
      <c r="J914" s="74"/>
      <c r="K914" s="74"/>
    </row>
    <row r="915">
      <c r="A915" s="21"/>
      <c r="B915" s="119" t="s">
        <v>11081</v>
      </c>
      <c r="C915" s="120" t="s">
        <v>4185</v>
      </c>
      <c r="D915" s="33" t="s">
        <v>11042</v>
      </c>
      <c r="E915" s="51" t="s">
        <v>264</v>
      </c>
      <c r="F915" s="121" t="s">
        <v>3009</v>
      </c>
      <c r="G915" s="98" t="str">
        <f>HYPERLINK("http://mirror.ff7data.com.ar/ff7/data/battle/battle.lgp/bwbc.png","View Picture")</f>
        <v>View Picture</v>
      </c>
      <c r="H915" s="75"/>
      <c r="I915" s="74"/>
      <c r="J915" s="74"/>
      <c r="K915" s="74"/>
    </row>
    <row r="916">
      <c r="A916" s="21"/>
      <c r="B916" s="119" t="s">
        <v>11090</v>
      </c>
      <c r="C916" s="120" t="s">
        <v>4732</v>
      </c>
      <c r="D916" s="33" t="s">
        <v>11054</v>
      </c>
      <c r="E916" s="51" t="s">
        <v>264</v>
      </c>
      <c r="F916" s="121" t="s">
        <v>3009</v>
      </c>
      <c r="G916" s="98" t="str">
        <f>HYPERLINK("http://mirror.ff7data.com.ar/ff7/data/battle/battle.lgp/bwbe.png","View Picture")</f>
        <v>View Picture</v>
      </c>
      <c r="H916" s="75"/>
      <c r="I916" s="74"/>
      <c r="J916" s="74"/>
      <c r="K916" s="74"/>
    </row>
    <row r="917">
      <c r="A917" s="21"/>
      <c r="B917" s="119" t="s">
        <v>11100</v>
      </c>
      <c r="C917" s="120" t="s">
        <v>4476</v>
      </c>
      <c r="D917" s="33" t="s">
        <v>11101</v>
      </c>
      <c r="E917" s="51" t="s">
        <v>264</v>
      </c>
      <c r="F917" s="121" t="s">
        <v>3009</v>
      </c>
      <c r="G917" s="98" t="str">
        <f>HYPERLINK("http://mirror.ff7data.com.ar/ff7/data/battle/battle.lgp/bwbh.png","View Picture")</f>
        <v>View Picture</v>
      </c>
      <c r="H917" s="75"/>
      <c r="I917" s="74"/>
      <c r="J917" s="74"/>
      <c r="K917" s="74"/>
    </row>
    <row r="918">
      <c r="A918" s="21"/>
      <c r="B918" s="119" t="s">
        <v>11111</v>
      </c>
      <c r="C918" s="120" t="s">
        <v>11112</v>
      </c>
      <c r="D918" s="33" t="s">
        <v>11114</v>
      </c>
      <c r="E918" s="51" t="s">
        <v>264</v>
      </c>
      <c r="F918" s="121" t="s">
        <v>3009</v>
      </c>
      <c r="G918" s="98" t="str">
        <f>HYPERLINK("http://mirror.ff7data.com.ar/ff7/data/battle/battle.lgp/bwbi.png","View Picture")</f>
        <v>View Picture</v>
      </c>
      <c r="H918" s="75"/>
      <c r="I918" s="74"/>
      <c r="J918" s="74"/>
      <c r="K918" s="74"/>
    </row>
    <row r="919">
      <c r="A919" s="82"/>
      <c r="B919" s="119" t="s">
        <v>11120</v>
      </c>
      <c r="C919" s="120" t="s">
        <v>4252</v>
      </c>
      <c r="D919" s="33" t="s">
        <v>11122</v>
      </c>
      <c r="E919" s="51" t="s">
        <v>264</v>
      </c>
      <c r="F919" s="121" t="s">
        <v>3009</v>
      </c>
      <c r="G919" s="98" t="str">
        <f>HYPERLINK("http://mirror.ff7data.com.ar/ff7/data/battle/battle.lgp/bwbj.png","View Picture")</f>
        <v>View Picture</v>
      </c>
      <c r="H919" s="75"/>
      <c r="I919" s="74"/>
      <c r="J919" s="74"/>
      <c r="K919" s="74"/>
    </row>
    <row r="920">
      <c r="A920" s="21"/>
      <c r="B920" s="119" t="s">
        <v>11131</v>
      </c>
      <c r="C920" s="120" t="s">
        <v>4185</v>
      </c>
      <c r="D920" s="33" t="s">
        <v>11101</v>
      </c>
      <c r="E920" s="51" t="s">
        <v>264</v>
      </c>
      <c r="F920" s="121" t="s">
        <v>3009</v>
      </c>
      <c r="G920" s="98" t="str">
        <f>HYPERLINK("http://mirror.ff7data.com.ar/ff7/data/battle/battle.lgp/bwbm.png","View Picture")</f>
        <v>View Picture</v>
      </c>
      <c r="H920" s="75"/>
      <c r="I920" s="74"/>
      <c r="J920" s="74"/>
      <c r="K920" s="74"/>
    </row>
    <row r="921">
      <c r="A921" s="21"/>
      <c r="B921" s="119" t="s">
        <v>11139</v>
      </c>
      <c r="C921" s="120" t="s">
        <v>4288</v>
      </c>
      <c r="D921" s="33" t="s">
        <v>11114</v>
      </c>
      <c r="E921" s="51" t="s">
        <v>264</v>
      </c>
      <c r="F921" s="121" t="s">
        <v>3009</v>
      </c>
      <c r="G921" s="98" t="str">
        <f>HYPERLINK("http://mirror.ff7data.com.ar/ff7/data/battle/battle.lgp/bwbn.png","View Picture")</f>
        <v>View Picture</v>
      </c>
      <c r="H921" s="75"/>
      <c r="I921" s="74"/>
      <c r="J921" s="74"/>
      <c r="K921" s="74"/>
    </row>
    <row r="922">
      <c r="A922" s="82"/>
      <c r="B922" s="119" t="s">
        <v>11149</v>
      </c>
      <c r="C922" s="120" t="s">
        <v>4252</v>
      </c>
      <c r="D922" s="33" t="s">
        <v>11151</v>
      </c>
      <c r="E922" s="51" t="s">
        <v>264</v>
      </c>
      <c r="F922" s="121" t="s">
        <v>3009</v>
      </c>
      <c r="G922" s="98" t="str">
        <f>HYPERLINK("http://mirror.ff7data.com.ar/ff7/data/battle/battle.lgp/bwbo.png","View Picture")</f>
        <v>View Picture</v>
      </c>
      <c r="H922" s="75"/>
      <c r="I922" s="74"/>
      <c r="J922" s="74"/>
      <c r="K922" s="74"/>
    </row>
    <row r="923">
      <c r="A923" s="82"/>
      <c r="B923" s="119" t="s">
        <v>11158</v>
      </c>
      <c r="C923" s="120" t="s">
        <v>4252</v>
      </c>
      <c r="D923" s="33" t="s">
        <v>11161</v>
      </c>
      <c r="E923" s="51" t="s">
        <v>264</v>
      </c>
      <c r="F923" s="121" t="s">
        <v>3009</v>
      </c>
      <c r="G923" s="98" t="str">
        <f>HYPERLINK("http://mirror.ff7data.com.ar/ff7/data/battle/battle.lgp/bwbq.png","View Picture")</f>
        <v>View Picture</v>
      </c>
      <c r="H923" s="75"/>
      <c r="I923" s="74"/>
      <c r="J923" s="74"/>
      <c r="K923" s="74"/>
    </row>
    <row r="924">
      <c r="A924" s="55"/>
      <c r="B924" s="119" t="s">
        <v>11168</v>
      </c>
      <c r="C924" s="120" t="s">
        <v>4228</v>
      </c>
      <c r="D924" s="33" t="s">
        <v>10938</v>
      </c>
      <c r="E924" s="51" t="s">
        <v>264</v>
      </c>
      <c r="F924" s="121" t="s">
        <v>3025</v>
      </c>
      <c r="G924" s="122"/>
      <c r="H924" s="46" t="s">
        <v>3002</v>
      </c>
      <c r="I924" s="74"/>
      <c r="J924" s="74"/>
      <c r="K924" s="74"/>
    </row>
    <row r="925">
      <c r="A925" s="21"/>
      <c r="B925" s="119" t="s">
        <v>11174</v>
      </c>
      <c r="C925" s="120" t="s">
        <v>2959</v>
      </c>
      <c r="D925" s="33" t="s">
        <v>11176</v>
      </c>
      <c r="E925" s="51" t="s">
        <v>267</v>
      </c>
      <c r="F925" s="121" t="s">
        <v>2971</v>
      </c>
      <c r="G925" s="98" t="str">
        <f>HYPERLINK("http://mirror.ff7data.com.ar/ff7/data/battle/battle.lgp/bxaa.png","View Picture")</f>
        <v>View Picture</v>
      </c>
      <c r="H925" s="75"/>
      <c r="I925" s="74"/>
      <c r="J925" s="74"/>
      <c r="K925" s="74"/>
    </row>
    <row r="926">
      <c r="A926" s="21"/>
      <c r="B926" s="119" t="s">
        <v>11191</v>
      </c>
      <c r="C926" s="120" t="s">
        <v>2989</v>
      </c>
      <c r="D926" s="33" t="s">
        <v>11192</v>
      </c>
      <c r="E926" s="51" t="s">
        <v>267</v>
      </c>
      <c r="F926" s="121" t="s">
        <v>2993</v>
      </c>
      <c r="G926" s="122"/>
      <c r="H926" s="46" t="s">
        <v>3002</v>
      </c>
      <c r="I926" s="74"/>
      <c r="J926" s="74"/>
      <c r="K926" s="74"/>
    </row>
    <row r="927">
      <c r="A927" s="21"/>
      <c r="B927" s="119" t="s">
        <v>11195</v>
      </c>
      <c r="C927" s="120" t="s">
        <v>3007</v>
      </c>
      <c r="D927" s="33" t="s">
        <v>11192</v>
      </c>
      <c r="E927" s="51" t="s">
        <v>267</v>
      </c>
      <c r="F927" s="121" t="s">
        <v>3009</v>
      </c>
      <c r="G927" s="98" t="str">
        <f>HYPERLINK("http://mirror.ff7data.com.ar/ff7/data/battle/battle.lgp/bxam.png","View Picture")</f>
        <v>View Picture</v>
      </c>
      <c r="H927" s="75"/>
      <c r="I927" s="74"/>
      <c r="J927" s="74"/>
      <c r="K927" s="74"/>
    </row>
    <row r="928">
      <c r="A928" s="21"/>
      <c r="B928" s="119" t="s">
        <v>11202</v>
      </c>
      <c r="C928" s="120" t="s">
        <v>3020</v>
      </c>
      <c r="D928" s="33" t="s">
        <v>11192</v>
      </c>
      <c r="E928" s="51" t="s">
        <v>267</v>
      </c>
      <c r="F928" s="121" t="s">
        <v>3025</v>
      </c>
      <c r="G928" s="122"/>
      <c r="H928" s="46" t="s">
        <v>3002</v>
      </c>
      <c r="I928" s="74"/>
      <c r="J928" s="74"/>
      <c r="K928" s="74"/>
    </row>
    <row r="929">
      <c r="A929" s="21"/>
      <c r="B929" s="119" t="s">
        <v>11206</v>
      </c>
      <c r="C929" s="120" t="s">
        <v>11208</v>
      </c>
      <c r="D929" s="33" t="s">
        <v>11209</v>
      </c>
      <c r="E929" s="51" t="s">
        <v>270</v>
      </c>
      <c r="F929" s="121" t="s">
        <v>2971</v>
      </c>
      <c r="G929" s="98" t="str">
        <f>HYPERLINK("http://mirror.ff7data.com.ar/ff7/data/battle/battle.lgp/byaa.png","View Picture")</f>
        <v>View Picture</v>
      </c>
      <c r="H929" s="75"/>
      <c r="I929" s="74"/>
      <c r="J929" s="74"/>
      <c r="K929" s="74"/>
    </row>
    <row r="930">
      <c r="A930" s="21"/>
      <c r="B930" s="119" t="s">
        <v>11215</v>
      </c>
      <c r="C930" s="120" t="s">
        <v>8538</v>
      </c>
      <c r="D930" s="33" t="s">
        <v>11217</v>
      </c>
      <c r="E930" s="51" t="s">
        <v>270</v>
      </c>
      <c r="F930" s="121" t="s">
        <v>2993</v>
      </c>
      <c r="G930" s="122"/>
      <c r="H930" s="46" t="s">
        <v>3002</v>
      </c>
      <c r="I930" s="74"/>
      <c r="J930" s="74"/>
      <c r="K930" s="74"/>
    </row>
    <row r="931">
      <c r="A931" s="21"/>
      <c r="B931" s="119" t="s">
        <v>11221</v>
      </c>
      <c r="C931" s="120" t="s">
        <v>3671</v>
      </c>
      <c r="D931" s="33" t="s">
        <v>11223</v>
      </c>
      <c r="E931" s="51" t="s">
        <v>270</v>
      </c>
      <c r="F931" s="121" t="s">
        <v>1348</v>
      </c>
      <c r="G931" s="98" t="str">
        <f>HYPERLINK("http://mirror.ff7data.com.ar/ff7/data/battle/battle.lgp/byac.png","View Picture")</f>
        <v>View Picture</v>
      </c>
      <c r="H931" s="75"/>
      <c r="I931" s="74"/>
      <c r="J931" s="74"/>
      <c r="K931" s="74"/>
    </row>
    <row r="932">
      <c r="A932" s="21"/>
      <c r="B932" s="119" t="s">
        <v>11229</v>
      </c>
      <c r="C932" s="120" t="s">
        <v>11230</v>
      </c>
      <c r="D932" s="33" t="s">
        <v>11217</v>
      </c>
      <c r="E932" s="51" t="s">
        <v>270</v>
      </c>
      <c r="F932" s="121" t="s">
        <v>3009</v>
      </c>
      <c r="G932" s="98" t="str">
        <f>HYPERLINK("http://mirror.ff7data.com.ar/ff7/data/battle/battle.lgp/byam.png","View Picture")</f>
        <v>View Picture</v>
      </c>
      <c r="H932" s="75"/>
      <c r="I932" s="74"/>
      <c r="J932" s="74"/>
      <c r="K932" s="74"/>
    </row>
    <row r="933">
      <c r="A933" s="21"/>
      <c r="B933" s="119" t="s">
        <v>11236</v>
      </c>
      <c r="C933" s="120" t="s">
        <v>4732</v>
      </c>
      <c r="D933" s="33" t="s">
        <v>11217</v>
      </c>
      <c r="E933" s="51" t="s">
        <v>270</v>
      </c>
      <c r="F933" s="121" t="s">
        <v>3009</v>
      </c>
      <c r="G933" s="98" t="str">
        <f>HYPERLINK("http://mirror.ff7data.com.ar/ff7/data/battle/battle.lgp/byao.png","View Picture")</f>
        <v>View Picture</v>
      </c>
      <c r="H933" s="75"/>
      <c r="I933" s="74"/>
      <c r="J933" s="74"/>
      <c r="K933" s="74"/>
    </row>
    <row r="934">
      <c r="A934" s="21"/>
      <c r="B934" s="119" t="s">
        <v>11244</v>
      </c>
      <c r="C934" s="120" t="s">
        <v>4732</v>
      </c>
      <c r="D934" s="33" t="s">
        <v>11217</v>
      </c>
      <c r="E934" s="51" t="s">
        <v>270</v>
      </c>
      <c r="F934" s="121" t="s">
        <v>3009</v>
      </c>
      <c r="G934" s="98" t="str">
        <f>HYPERLINK("http://mirror.ff7data.com.ar/ff7/data/battle/battle.lgp/byaq.png","View Picture")</f>
        <v>View Picture</v>
      </c>
      <c r="H934" s="75"/>
      <c r="I934" s="74"/>
      <c r="J934" s="74"/>
      <c r="K934" s="74"/>
    </row>
    <row r="935">
      <c r="A935" s="21"/>
      <c r="B935" s="119" t="s">
        <v>11248</v>
      </c>
      <c r="C935" s="120" t="s">
        <v>3658</v>
      </c>
      <c r="D935" s="33" t="s">
        <v>11217</v>
      </c>
      <c r="E935" s="51" t="s">
        <v>270</v>
      </c>
      <c r="F935" s="121" t="s">
        <v>3009</v>
      </c>
      <c r="G935" s="98" t="str">
        <f>HYPERLINK("http://mirror.ff7data.com.ar/ff7/data/battle/battle.lgp/byas.png","View Picture")</f>
        <v>View Picture</v>
      </c>
      <c r="H935" s="75"/>
      <c r="I935" s="74"/>
      <c r="J935" s="74"/>
      <c r="K935" s="74"/>
    </row>
    <row r="936">
      <c r="A936" s="21"/>
      <c r="B936" s="119" t="s">
        <v>11254</v>
      </c>
      <c r="C936" s="120" t="s">
        <v>3434</v>
      </c>
      <c r="D936" s="33" t="s">
        <v>11217</v>
      </c>
      <c r="E936" s="51" t="s">
        <v>270</v>
      </c>
      <c r="F936" s="121" t="s">
        <v>3009</v>
      </c>
      <c r="G936" s="98" t="str">
        <f>HYPERLINK("http://mirror.ff7data.com.ar/ff7/data/battle/battle.lgp/byau.png","View Picture")</f>
        <v>View Picture</v>
      </c>
      <c r="H936" s="75"/>
      <c r="I936" s="74"/>
      <c r="J936" s="74"/>
      <c r="K936" s="74"/>
    </row>
    <row r="937">
      <c r="A937" s="21"/>
      <c r="B937" s="119" t="s">
        <v>11260</v>
      </c>
      <c r="C937" s="120" t="s">
        <v>11261</v>
      </c>
      <c r="D937" s="33" t="s">
        <v>11217</v>
      </c>
      <c r="E937" s="51" t="s">
        <v>270</v>
      </c>
      <c r="F937" s="121" t="s">
        <v>3009</v>
      </c>
      <c r="G937" s="98" t="str">
        <f>HYPERLINK("http://mirror.ff7data.com.ar/ff7/data/battle/battle.lgp/byaw.png","View Picture")</f>
        <v>View Picture</v>
      </c>
      <c r="H937" s="75"/>
      <c r="I937" s="74"/>
      <c r="J937" s="74"/>
      <c r="K937" s="74"/>
    </row>
    <row r="938">
      <c r="A938" s="21"/>
      <c r="B938" s="119" t="s">
        <v>11270</v>
      </c>
      <c r="C938" s="120" t="s">
        <v>8649</v>
      </c>
      <c r="D938" s="33" t="s">
        <v>11217</v>
      </c>
      <c r="E938" s="51" t="s">
        <v>270</v>
      </c>
      <c r="F938" s="121" t="s">
        <v>3009</v>
      </c>
      <c r="G938" s="98" t="str">
        <f>HYPERLINK("http://mirror.ff7data.com.ar/ff7/data/battle/battle.lgp/byba.png","View Picture")</f>
        <v>View Picture</v>
      </c>
      <c r="H938" s="75"/>
      <c r="I938" s="74"/>
      <c r="J938" s="74"/>
      <c r="K938" s="74"/>
    </row>
    <row r="939">
      <c r="A939" s="21"/>
      <c r="B939" s="119" t="s">
        <v>11278</v>
      </c>
      <c r="C939" s="120" t="s">
        <v>11280</v>
      </c>
      <c r="D939" s="33" t="s">
        <v>11217</v>
      </c>
      <c r="E939" s="51" t="s">
        <v>270</v>
      </c>
      <c r="F939" s="121" t="s">
        <v>3025</v>
      </c>
      <c r="G939" s="122"/>
      <c r="H939" s="46" t="s">
        <v>3002</v>
      </c>
      <c r="I939" s="74"/>
      <c r="J939" s="74"/>
      <c r="K939" s="74"/>
    </row>
    <row r="940" ht="22.5" customHeight="1">
      <c r="A940" s="21"/>
      <c r="B940" s="119" t="s">
        <v>11284</v>
      </c>
      <c r="C940" s="120" t="s">
        <v>7600</v>
      </c>
      <c r="D940" s="33" t="s">
        <v>11286</v>
      </c>
      <c r="E940" s="51" t="s">
        <v>273</v>
      </c>
      <c r="F940" s="121" t="s">
        <v>2971</v>
      </c>
      <c r="G940" s="98" t="str">
        <f>HYPERLINK("http://mirror.ff7data.com.ar/ff7/data/battle/battle.lgp/bzaa.png","View Picture")</f>
        <v>View Picture</v>
      </c>
      <c r="H940" s="46" t="s">
        <v>11294</v>
      </c>
      <c r="I940" s="74"/>
      <c r="J940" s="74"/>
      <c r="K940" s="74"/>
    </row>
    <row r="941">
      <c r="A941" s="21"/>
      <c r="B941" s="119" t="s">
        <v>11296</v>
      </c>
      <c r="C941" s="120" t="s">
        <v>7606</v>
      </c>
      <c r="D941" s="33" t="s">
        <v>11298</v>
      </c>
      <c r="E941" s="51" t="s">
        <v>273</v>
      </c>
      <c r="F941" s="121" t="s">
        <v>2993</v>
      </c>
      <c r="G941" s="122"/>
      <c r="H941" s="46" t="s">
        <v>3002</v>
      </c>
      <c r="I941" s="74"/>
      <c r="J941" s="74"/>
      <c r="K941" s="74"/>
    </row>
    <row r="942">
      <c r="A942" s="21"/>
      <c r="B942" s="119" t="s">
        <v>11302</v>
      </c>
      <c r="C942" s="120" t="s">
        <v>4288</v>
      </c>
      <c r="D942" s="33" t="s">
        <v>11298</v>
      </c>
      <c r="E942" s="51" t="s">
        <v>273</v>
      </c>
      <c r="F942" s="121" t="s">
        <v>3009</v>
      </c>
      <c r="G942" s="98" t="str">
        <f>HYPERLINK("http://mirror.ff7data.com.ar/ff7/data/battle/battle.lgp/bzam.png","View Picture")</f>
        <v>View Picture</v>
      </c>
      <c r="H942" s="75"/>
      <c r="I942" s="74"/>
      <c r="J942" s="74"/>
      <c r="K942" s="74"/>
    </row>
    <row r="943">
      <c r="A943" s="21"/>
      <c r="B943" s="119" t="s">
        <v>11307</v>
      </c>
      <c r="C943" s="120" t="s">
        <v>7148</v>
      </c>
      <c r="D943" s="33" t="s">
        <v>11298</v>
      </c>
      <c r="E943" s="51" t="s">
        <v>273</v>
      </c>
      <c r="F943" s="121" t="s">
        <v>3009</v>
      </c>
      <c r="G943" s="98" t="str">
        <f>HYPERLINK("http://mirror.ff7data.com.ar/ff7/data/battle/battle.lgp/bzan.png","View Picture")</f>
        <v>View Picture</v>
      </c>
      <c r="H943" s="75"/>
      <c r="I943" s="74"/>
      <c r="J943" s="74"/>
      <c r="K943" s="74"/>
    </row>
    <row r="944">
      <c r="A944" s="21"/>
      <c r="B944" s="119" t="s">
        <v>11315</v>
      </c>
      <c r="C944" s="120" t="s">
        <v>4396</v>
      </c>
      <c r="D944" s="33" t="s">
        <v>11298</v>
      </c>
      <c r="E944" s="51" t="s">
        <v>273</v>
      </c>
      <c r="F944" s="121" t="s">
        <v>3009</v>
      </c>
      <c r="G944" s="98" t="str">
        <f>HYPERLINK("http://mirror.ff7data.com.ar/ff7/data/battle/battle.lgp/bzao.png","View Picture")</f>
        <v>View Picture</v>
      </c>
      <c r="H944" s="75"/>
      <c r="I944" s="74"/>
      <c r="J944" s="74"/>
      <c r="K944" s="74"/>
    </row>
    <row r="945">
      <c r="A945" s="21"/>
      <c r="B945" s="119" t="s">
        <v>11323</v>
      </c>
      <c r="C945" s="120" t="s">
        <v>3875</v>
      </c>
      <c r="D945" s="33" t="s">
        <v>11298</v>
      </c>
      <c r="E945" s="51" t="s">
        <v>273</v>
      </c>
      <c r="F945" s="121" t="s">
        <v>3009</v>
      </c>
      <c r="G945" s="98" t="str">
        <f>HYPERLINK("http://mirror.ff7data.com.ar/ff7/data/battle/battle.lgp/bzap.png","View Picture")</f>
        <v>View Picture</v>
      </c>
      <c r="H945" s="75"/>
      <c r="I945" s="74"/>
      <c r="J945" s="74"/>
      <c r="K945" s="74"/>
    </row>
    <row r="946">
      <c r="A946" s="21"/>
      <c r="B946" s="119" t="s">
        <v>11329</v>
      </c>
      <c r="C946" s="120" t="s">
        <v>4228</v>
      </c>
      <c r="D946" s="33" t="s">
        <v>11298</v>
      </c>
      <c r="E946" s="51" t="s">
        <v>273</v>
      </c>
      <c r="F946" s="121" t="s">
        <v>3009</v>
      </c>
      <c r="G946" s="98" t="str">
        <f>HYPERLINK("http://mirror.ff7data.com.ar/ff7/data/battle/battle.lgp/bzat.png","View Picture")</f>
        <v>View Picture</v>
      </c>
      <c r="H946" s="75"/>
      <c r="I946" s="74"/>
      <c r="J946" s="74"/>
      <c r="K946" s="74"/>
    </row>
    <row r="947">
      <c r="A947" s="21"/>
      <c r="B947" s="119" t="s">
        <v>11337</v>
      </c>
      <c r="C947" s="120" t="s">
        <v>4288</v>
      </c>
      <c r="D947" s="33" t="s">
        <v>11298</v>
      </c>
      <c r="E947" s="51" t="s">
        <v>273</v>
      </c>
      <c r="F947" s="121" t="s">
        <v>3009</v>
      </c>
      <c r="G947" s="98" t="str">
        <f>HYPERLINK("http://mirror.ff7data.com.ar/ff7/data/battle/battle.lgp/bzav.png","View Picture")</f>
        <v>View Picture</v>
      </c>
      <c r="H947" s="75"/>
      <c r="I947" s="74"/>
      <c r="J947" s="74"/>
      <c r="K947" s="74"/>
    </row>
    <row r="948">
      <c r="A948" s="21"/>
      <c r="B948" s="119" t="s">
        <v>11345</v>
      </c>
      <c r="C948" s="120" t="s">
        <v>4288</v>
      </c>
      <c r="D948" s="33" t="s">
        <v>11298</v>
      </c>
      <c r="E948" s="51" t="s">
        <v>273</v>
      </c>
      <c r="F948" s="121" t="s">
        <v>3009</v>
      </c>
      <c r="G948" s="98" t="str">
        <f>HYPERLINK("http://mirror.ff7data.com.ar/ff7/data/battle/battle.lgp/bzaw.png","View Picture")</f>
        <v>View Picture</v>
      </c>
      <c r="H948" s="75"/>
      <c r="I948" s="74"/>
      <c r="J948" s="74"/>
      <c r="K948" s="74"/>
    </row>
    <row r="949">
      <c r="A949" s="21"/>
      <c r="B949" s="119" t="s">
        <v>11354</v>
      </c>
      <c r="C949" s="120" t="s">
        <v>4264</v>
      </c>
      <c r="D949" s="33" t="s">
        <v>11298</v>
      </c>
      <c r="E949" s="51" t="s">
        <v>273</v>
      </c>
      <c r="F949" s="121" t="s">
        <v>3009</v>
      </c>
      <c r="G949" s="98" t="str">
        <f>HYPERLINK("http://mirror.ff7data.com.ar/ff7/data/battle/battle.lgp/bzax.png","View Picture")</f>
        <v>View Picture</v>
      </c>
      <c r="H949" s="75"/>
      <c r="I949" s="74"/>
      <c r="J949" s="74"/>
      <c r="K949" s="74"/>
    </row>
    <row r="950">
      <c r="A950" s="21"/>
      <c r="B950" s="119" t="s">
        <v>11362</v>
      </c>
      <c r="C950" s="120" t="s">
        <v>4264</v>
      </c>
      <c r="D950" s="33" t="s">
        <v>11298</v>
      </c>
      <c r="E950" s="51" t="s">
        <v>273</v>
      </c>
      <c r="F950" s="121" t="s">
        <v>3009</v>
      </c>
      <c r="G950" s="98" t="str">
        <f>HYPERLINK("http://mirror.ff7data.com.ar/ff7/data/battle/battle.lgp/bzay.png","View Picture")</f>
        <v>View Picture</v>
      </c>
      <c r="H950" s="75"/>
      <c r="I950" s="74"/>
      <c r="J950" s="74"/>
      <c r="K950" s="74"/>
    </row>
    <row r="951">
      <c r="A951" s="21"/>
      <c r="B951" s="119" t="s">
        <v>11372</v>
      </c>
      <c r="C951" s="120" t="s">
        <v>4288</v>
      </c>
      <c r="D951" s="33" t="s">
        <v>11298</v>
      </c>
      <c r="E951" s="51" t="s">
        <v>273</v>
      </c>
      <c r="F951" s="121" t="s">
        <v>3009</v>
      </c>
      <c r="G951" s="98" t="str">
        <f>HYPERLINK("http://mirror.ff7data.com.ar/ff7/data/battle/battle.lgp/bzaz.png","View Picture")</f>
        <v>View Picture</v>
      </c>
      <c r="H951" s="75"/>
      <c r="I951" s="74"/>
      <c r="J951" s="74"/>
      <c r="K951" s="74"/>
    </row>
    <row r="952">
      <c r="A952" s="21"/>
      <c r="B952" s="119" t="s">
        <v>11382</v>
      </c>
      <c r="C952" s="120" t="s">
        <v>3658</v>
      </c>
      <c r="D952" s="33" t="s">
        <v>11298</v>
      </c>
      <c r="E952" s="51" t="s">
        <v>273</v>
      </c>
      <c r="F952" s="121" t="s">
        <v>3025</v>
      </c>
      <c r="G952" s="122"/>
      <c r="H952" s="46" t="s">
        <v>3002</v>
      </c>
      <c r="I952" s="74"/>
      <c r="J952" s="74"/>
      <c r="K952" s="74"/>
    </row>
    <row r="953">
      <c r="A953" s="21"/>
      <c r="B953" s="119" t="s">
        <v>11385</v>
      </c>
      <c r="C953" s="120" t="s">
        <v>3980</v>
      </c>
      <c r="D953" s="33" t="s">
        <v>11387</v>
      </c>
      <c r="E953" s="51" t="s">
        <v>276</v>
      </c>
      <c r="F953" s="121" t="s">
        <v>2971</v>
      </c>
      <c r="G953" s="98" t="str">
        <f>HYPERLINK("http://mirror.ff7data.com.ar/ff7/data/battle/battle.lgp/caaa.png","View Picture")</f>
        <v>View Picture</v>
      </c>
      <c r="H953" s="46" t="s">
        <v>11400</v>
      </c>
      <c r="I953" s="74"/>
      <c r="J953" s="74"/>
      <c r="K953" s="74"/>
    </row>
    <row r="954">
      <c r="A954" s="21"/>
      <c r="B954" s="119" t="s">
        <v>11402</v>
      </c>
      <c r="C954" s="120" t="s">
        <v>4209</v>
      </c>
      <c r="D954" s="33" t="s">
        <v>11403</v>
      </c>
      <c r="E954" s="51" t="s">
        <v>276</v>
      </c>
      <c r="F954" s="121" t="s">
        <v>2993</v>
      </c>
      <c r="G954" s="122"/>
      <c r="H954" s="46" t="s">
        <v>3002</v>
      </c>
      <c r="I954" s="74"/>
      <c r="J954" s="74"/>
      <c r="K954" s="74"/>
    </row>
    <row r="955">
      <c r="A955" s="21"/>
      <c r="B955" s="119" t="s">
        <v>11406</v>
      </c>
      <c r="C955" s="120" t="s">
        <v>4707</v>
      </c>
      <c r="D955" s="33" t="s">
        <v>11403</v>
      </c>
      <c r="E955" s="51" t="s">
        <v>276</v>
      </c>
      <c r="F955" s="121" t="s">
        <v>3009</v>
      </c>
      <c r="G955" s="98" t="str">
        <f>HYPERLINK("http://mirror.ff7data.com.ar/ff7/data/battle/battle.lgp/caam.png","View Picture")</f>
        <v>View Picture</v>
      </c>
      <c r="H955" s="75"/>
      <c r="I955" s="74"/>
      <c r="J955" s="74"/>
      <c r="K955" s="74"/>
    </row>
    <row r="956">
      <c r="A956" s="21"/>
      <c r="B956" s="119" t="s">
        <v>11413</v>
      </c>
      <c r="C956" s="120" t="s">
        <v>4719</v>
      </c>
      <c r="D956" s="33" t="s">
        <v>11403</v>
      </c>
      <c r="E956" s="51" t="s">
        <v>276</v>
      </c>
      <c r="F956" s="121" t="s">
        <v>3009</v>
      </c>
      <c r="G956" s="98" t="str">
        <f>HYPERLINK("http://mirror.ff7data.com.ar/ff7/data/battle/battle.lgp/caan.png","View Picture")</f>
        <v>View Picture</v>
      </c>
      <c r="H956" s="75"/>
      <c r="I956" s="74"/>
      <c r="J956" s="74"/>
      <c r="K956" s="74"/>
    </row>
    <row r="957">
      <c r="A957" s="21"/>
      <c r="B957" s="119" t="s">
        <v>11422</v>
      </c>
      <c r="C957" s="120" t="s">
        <v>4732</v>
      </c>
      <c r="D957" s="33" t="s">
        <v>11403</v>
      </c>
      <c r="E957" s="51" t="s">
        <v>276</v>
      </c>
      <c r="F957" s="121" t="s">
        <v>3009</v>
      </c>
      <c r="G957" s="98" t="str">
        <f>HYPERLINK("http://mirror.ff7data.com.ar/ff7/data/battle/battle.lgp/caao.png","View Picture")</f>
        <v>View Picture</v>
      </c>
      <c r="H957" s="75"/>
      <c r="I957" s="74"/>
      <c r="J957" s="74"/>
      <c r="K957" s="74"/>
    </row>
    <row r="958">
      <c r="A958" s="21"/>
      <c r="B958" s="119" t="s">
        <v>11427</v>
      </c>
      <c r="C958" s="120" t="s">
        <v>3573</v>
      </c>
      <c r="D958" s="33" t="s">
        <v>11403</v>
      </c>
      <c r="E958" s="51" t="s">
        <v>276</v>
      </c>
      <c r="F958" s="121" t="s">
        <v>3009</v>
      </c>
      <c r="G958" s="98" t="str">
        <f>HYPERLINK("http://mirror.ff7data.com.ar/ff7/data/battle/battle.lgp/caaq.png","View Picture")</f>
        <v>View Picture</v>
      </c>
      <c r="H958" s="75"/>
      <c r="I958" s="74"/>
      <c r="J958" s="74"/>
      <c r="K958" s="74"/>
    </row>
    <row r="959">
      <c r="A959" s="21"/>
      <c r="B959" s="119" t="s">
        <v>11436</v>
      </c>
      <c r="C959" s="120" t="s">
        <v>4372</v>
      </c>
      <c r="D959" s="33" t="s">
        <v>11403</v>
      </c>
      <c r="E959" s="51" t="s">
        <v>276</v>
      </c>
      <c r="F959" s="121" t="s">
        <v>3009</v>
      </c>
      <c r="G959" s="98" t="str">
        <f>HYPERLINK("http://mirror.ff7data.com.ar/ff7/data/battle/battle.lgp/caau.png","View Picture")</f>
        <v>View Picture</v>
      </c>
      <c r="H959" s="75"/>
      <c r="I959" s="74"/>
      <c r="J959" s="74"/>
      <c r="K959" s="74"/>
    </row>
    <row r="960">
      <c r="A960" s="21"/>
      <c r="B960" s="119" t="s">
        <v>11449</v>
      </c>
      <c r="C960" s="120" t="s">
        <v>5657</v>
      </c>
      <c r="D960" s="33" t="s">
        <v>11403</v>
      </c>
      <c r="E960" s="51" t="s">
        <v>276</v>
      </c>
      <c r="F960" s="121" t="s">
        <v>3009</v>
      </c>
      <c r="G960" s="98" t="str">
        <f>HYPERLINK("http://mirror.ff7data.com.ar/ff7/data/battle/battle.lgp/caaw.png","View Picture")</f>
        <v>View Picture</v>
      </c>
      <c r="H960" s="75"/>
      <c r="I960" s="74"/>
      <c r="J960" s="74"/>
      <c r="K960" s="74"/>
    </row>
    <row r="961">
      <c r="A961" s="21"/>
      <c r="B961" s="119" t="s">
        <v>11457</v>
      </c>
      <c r="C961" s="120" t="s">
        <v>4565</v>
      </c>
      <c r="D961" s="33" t="s">
        <v>11403</v>
      </c>
      <c r="E961" s="51" t="s">
        <v>276</v>
      </c>
      <c r="F961" s="121" t="s">
        <v>3009</v>
      </c>
      <c r="G961" s="98" t="str">
        <f>HYPERLINK("http://mirror.ff7data.com.ar/ff7/data/battle/battle.lgp/caay.png","View Picture")</f>
        <v>View Picture</v>
      </c>
      <c r="H961" s="75"/>
      <c r="I961" s="74"/>
      <c r="J961" s="74"/>
      <c r="K961" s="74"/>
    </row>
    <row r="962">
      <c r="A962" s="21"/>
      <c r="B962" s="119" t="s">
        <v>11466</v>
      </c>
      <c r="C962" s="120" t="s">
        <v>3658</v>
      </c>
      <c r="D962" s="33" t="s">
        <v>11403</v>
      </c>
      <c r="E962" s="51" t="s">
        <v>276</v>
      </c>
      <c r="F962" s="121" t="s">
        <v>3009</v>
      </c>
      <c r="G962" s="98" t="str">
        <f>HYPERLINK("http://mirror.ff7data.com.ar/ff7/data/battle/battle.lgp/cabc.png","View Picture")</f>
        <v>View Picture</v>
      </c>
      <c r="H962" s="75"/>
      <c r="I962" s="74"/>
      <c r="J962" s="74"/>
      <c r="K962" s="74"/>
    </row>
    <row r="963">
      <c r="A963" s="21"/>
      <c r="B963" s="119" t="s">
        <v>11473</v>
      </c>
      <c r="C963" s="120" t="s">
        <v>3658</v>
      </c>
      <c r="D963" s="33" t="s">
        <v>11403</v>
      </c>
      <c r="E963" s="51" t="s">
        <v>276</v>
      </c>
      <c r="F963" s="121" t="s">
        <v>3009</v>
      </c>
      <c r="G963" s="98" t="str">
        <f>HYPERLINK("http://mirror.ff7data.com.ar/ff7/data/battle/battle.lgp/cabf.png","View Picture")</f>
        <v>View Picture</v>
      </c>
      <c r="H963" s="75"/>
      <c r="I963" s="74"/>
      <c r="J963" s="74"/>
      <c r="K963" s="74"/>
    </row>
    <row r="964">
      <c r="A964" s="21"/>
      <c r="B964" s="119" t="s">
        <v>11480</v>
      </c>
      <c r="C964" s="120" t="s">
        <v>10078</v>
      </c>
      <c r="D964" s="33" t="s">
        <v>11403</v>
      </c>
      <c r="E964" s="51" t="s">
        <v>276</v>
      </c>
      <c r="F964" s="121" t="s">
        <v>3025</v>
      </c>
      <c r="G964" s="122"/>
      <c r="H964" s="46" t="s">
        <v>3002</v>
      </c>
      <c r="I964" s="74"/>
      <c r="J964" s="74"/>
      <c r="K964" s="74"/>
    </row>
    <row r="965">
      <c r="A965" s="21"/>
      <c r="B965" s="119" t="s">
        <v>11483</v>
      </c>
      <c r="C965" s="120" t="s">
        <v>8241</v>
      </c>
      <c r="D965" s="33" t="s">
        <v>11485</v>
      </c>
      <c r="E965" s="51" t="s">
        <v>279</v>
      </c>
      <c r="F965" s="121" t="s">
        <v>2971</v>
      </c>
      <c r="G965" s="98" t="str">
        <f>HYPERLINK("http://mirror.ff7data.com.ar/ff7/data/battle/battle.lgp/cbaa.png","View Picture")</f>
        <v>View Picture</v>
      </c>
      <c r="H965" s="75"/>
      <c r="I965" s="74"/>
      <c r="J965" s="74"/>
      <c r="K965" s="74"/>
    </row>
    <row r="966">
      <c r="A966" s="21"/>
      <c r="B966" s="119" t="s">
        <v>11494</v>
      </c>
      <c r="C966" s="120" t="s">
        <v>3007</v>
      </c>
      <c r="D966" s="33" t="s">
        <v>11497</v>
      </c>
      <c r="E966" s="51" t="s">
        <v>279</v>
      </c>
      <c r="F966" s="121" t="s">
        <v>2993</v>
      </c>
      <c r="G966" s="122"/>
      <c r="H966" s="46" t="s">
        <v>3002</v>
      </c>
      <c r="I966" s="74"/>
      <c r="J966" s="74"/>
      <c r="K966" s="74"/>
    </row>
    <row r="967">
      <c r="A967" s="21"/>
      <c r="B967" s="119" t="s">
        <v>11501</v>
      </c>
      <c r="C967" s="120" t="s">
        <v>4357</v>
      </c>
      <c r="D967" s="33" t="s">
        <v>11497</v>
      </c>
      <c r="E967" s="51" t="s">
        <v>279</v>
      </c>
      <c r="F967" s="121" t="s">
        <v>3009</v>
      </c>
      <c r="G967" s="98" t="str">
        <f>HYPERLINK("http://mirror.ff7data.com.ar/ff7/data/battle/battle.lgp/cbam.png","View Picture")</f>
        <v>View Picture</v>
      </c>
      <c r="H967" s="75"/>
      <c r="I967" s="74"/>
      <c r="J967" s="74"/>
      <c r="K967" s="74"/>
    </row>
    <row r="968">
      <c r="A968" s="21"/>
      <c r="B968" s="119" t="s">
        <v>11511</v>
      </c>
      <c r="C968" s="120" t="s">
        <v>3768</v>
      </c>
      <c r="D968" s="33" t="s">
        <v>11497</v>
      </c>
      <c r="E968" s="51" t="s">
        <v>279</v>
      </c>
      <c r="F968" s="121" t="s">
        <v>3009</v>
      </c>
      <c r="G968" s="98" t="str">
        <f>HYPERLINK("http://mirror.ff7data.com.ar/ff7/data/battle/battle.lgp/cban.png","View Picture")</f>
        <v>View Picture</v>
      </c>
      <c r="H968" s="75"/>
      <c r="I968" s="74"/>
      <c r="J968" s="74"/>
      <c r="K968" s="74"/>
    </row>
    <row r="969">
      <c r="A969" s="21"/>
      <c r="B969" s="119" t="s">
        <v>11522</v>
      </c>
      <c r="C969" s="120" t="s">
        <v>4057</v>
      </c>
      <c r="D969" s="33" t="s">
        <v>11497</v>
      </c>
      <c r="E969" s="51" t="s">
        <v>279</v>
      </c>
      <c r="F969" s="121" t="s">
        <v>3009</v>
      </c>
      <c r="G969" s="98" t="str">
        <f>HYPERLINK("http://mirror.ff7data.com.ar/ff7/data/battle/battle.lgp/cbao.png","View Picture")</f>
        <v>View Picture</v>
      </c>
      <c r="H969" s="75"/>
      <c r="I969" s="74"/>
      <c r="J969" s="74"/>
      <c r="K969" s="74"/>
    </row>
    <row r="970">
      <c r="A970" s="21"/>
      <c r="B970" s="119" t="s">
        <v>11528</v>
      </c>
      <c r="C970" s="120" t="s">
        <v>4732</v>
      </c>
      <c r="D970" s="33" t="s">
        <v>11497</v>
      </c>
      <c r="E970" s="51" t="s">
        <v>279</v>
      </c>
      <c r="F970" s="121" t="s">
        <v>3009</v>
      </c>
      <c r="G970" s="98" t="str">
        <f>HYPERLINK("http://mirror.ff7data.com.ar/ff7/data/battle/battle.lgp/cbap.png","View Picture")</f>
        <v>View Picture</v>
      </c>
      <c r="H970" s="75"/>
      <c r="I970" s="74"/>
      <c r="J970" s="74"/>
      <c r="K970" s="74"/>
    </row>
    <row r="971">
      <c r="A971" s="21"/>
      <c r="B971" s="119" t="s">
        <v>11536</v>
      </c>
      <c r="C971" s="120" t="s">
        <v>8550</v>
      </c>
      <c r="D971" s="33" t="s">
        <v>11497</v>
      </c>
      <c r="E971" s="51" t="s">
        <v>279</v>
      </c>
      <c r="F971" s="121" t="s">
        <v>3009</v>
      </c>
      <c r="G971" s="98" t="str">
        <f>HYPERLINK("http://mirror.ff7data.com.ar/ff7/data/battle/battle.lgp/cbaq.png","View Picture")</f>
        <v>View Picture</v>
      </c>
      <c r="H971" s="75"/>
      <c r="I971" s="74"/>
      <c r="J971" s="74"/>
      <c r="K971" s="74"/>
    </row>
    <row r="972">
      <c r="A972" s="21"/>
      <c r="B972" s="119" t="s">
        <v>11544</v>
      </c>
      <c r="C972" s="120" t="s">
        <v>4288</v>
      </c>
      <c r="D972" s="33" t="s">
        <v>11497</v>
      </c>
      <c r="E972" s="51" t="s">
        <v>279</v>
      </c>
      <c r="F972" s="121" t="s">
        <v>3009</v>
      </c>
      <c r="G972" s="98" t="str">
        <f>HYPERLINK("http://mirror.ff7data.com.ar/ff7/data/battle/battle.lgp/cbas.png","View Picture")</f>
        <v>View Picture</v>
      </c>
      <c r="H972" s="75"/>
      <c r="I972" s="74"/>
      <c r="J972" s="74"/>
      <c r="K972" s="74"/>
    </row>
    <row r="973">
      <c r="A973" s="21"/>
      <c r="B973" s="119" t="s">
        <v>11552</v>
      </c>
      <c r="C973" s="120" t="s">
        <v>10078</v>
      </c>
      <c r="D973" s="33" t="s">
        <v>11497</v>
      </c>
      <c r="E973" s="51" t="s">
        <v>279</v>
      </c>
      <c r="F973" s="121" t="s">
        <v>3009</v>
      </c>
      <c r="G973" s="98" t="str">
        <f>HYPERLINK("http://mirror.ff7data.com.ar/ff7/data/battle/battle.lgp/cbat.png","View Picture")</f>
        <v>View Picture</v>
      </c>
      <c r="H973" s="75"/>
      <c r="I973" s="74"/>
      <c r="J973" s="74"/>
      <c r="K973" s="74"/>
    </row>
    <row r="974">
      <c r="A974" s="21"/>
      <c r="B974" s="119" t="s">
        <v>11561</v>
      </c>
      <c r="C974" s="120" t="s">
        <v>3445</v>
      </c>
      <c r="D974" s="33" t="s">
        <v>11497</v>
      </c>
      <c r="E974" s="51" t="s">
        <v>279</v>
      </c>
      <c r="F974" s="121" t="s">
        <v>3009</v>
      </c>
      <c r="G974" s="98" t="str">
        <f>HYPERLINK("http://mirror.ff7data.com.ar/ff7/data/battle/battle.lgp/cbau.png","View Picture")</f>
        <v>View Picture</v>
      </c>
      <c r="H974" s="75"/>
      <c r="I974" s="74"/>
      <c r="J974" s="74"/>
      <c r="K974" s="74"/>
    </row>
    <row r="975">
      <c r="A975" s="21"/>
      <c r="B975" s="119" t="s">
        <v>11573</v>
      </c>
      <c r="C975" s="120" t="s">
        <v>4439</v>
      </c>
      <c r="D975" s="33" t="s">
        <v>11497</v>
      </c>
      <c r="E975" s="51" t="s">
        <v>279</v>
      </c>
      <c r="F975" s="121" t="s">
        <v>3009</v>
      </c>
      <c r="G975" s="98" t="str">
        <f>HYPERLINK("http://mirror.ff7data.com.ar/ff7/data/battle/battle.lgp/cbav.png","View Picture")</f>
        <v>View Picture</v>
      </c>
      <c r="H975" s="75"/>
      <c r="I975" s="74"/>
      <c r="J975" s="74"/>
      <c r="K975" s="74"/>
    </row>
    <row r="976">
      <c r="A976" s="21"/>
      <c r="B976" s="119" t="s">
        <v>11585</v>
      </c>
      <c r="C976" s="120" t="s">
        <v>4185</v>
      </c>
      <c r="D976" s="33" t="s">
        <v>11497</v>
      </c>
      <c r="E976" s="51" t="s">
        <v>279</v>
      </c>
      <c r="F976" s="121" t="s">
        <v>3009</v>
      </c>
      <c r="G976" s="98" t="str">
        <f>HYPERLINK("http://mirror.ff7data.com.ar/ff7/data/battle/battle.lgp/cbaw.png","View Picture")</f>
        <v>View Picture</v>
      </c>
      <c r="H976" s="75"/>
      <c r="I976" s="74"/>
      <c r="J976" s="74"/>
      <c r="K976" s="74"/>
    </row>
    <row r="977">
      <c r="A977" s="21"/>
      <c r="B977" s="119" t="s">
        <v>11595</v>
      </c>
      <c r="C977" s="120" t="s">
        <v>4707</v>
      </c>
      <c r="D977" s="33" t="s">
        <v>11497</v>
      </c>
      <c r="E977" s="51" t="s">
        <v>279</v>
      </c>
      <c r="F977" s="121" t="s">
        <v>3009</v>
      </c>
      <c r="G977" s="98" t="str">
        <f>HYPERLINK("http://mirror.ff7data.com.ar/ff7/data/battle/battle.lgp/cbay.png","View Picture")</f>
        <v>View Picture</v>
      </c>
      <c r="H977" s="75"/>
      <c r="I977" s="74"/>
      <c r="J977" s="74"/>
      <c r="K977" s="74"/>
    </row>
    <row r="978">
      <c r="A978" s="21"/>
      <c r="B978" s="119" t="s">
        <v>11608</v>
      </c>
      <c r="C978" s="120" t="s">
        <v>4732</v>
      </c>
      <c r="D978" s="33" t="s">
        <v>11497</v>
      </c>
      <c r="E978" s="51" t="s">
        <v>279</v>
      </c>
      <c r="F978" s="121" t="s">
        <v>3009</v>
      </c>
      <c r="G978" s="98" t="str">
        <f>HYPERLINK("http://mirror.ff7data.com.ar/ff7/data/battle/battle.lgp/cbaz.png","View Picture")</f>
        <v>View Picture</v>
      </c>
      <c r="H978" s="75"/>
      <c r="I978" s="74"/>
      <c r="J978" s="74"/>
      <c r="K978" s="74"/>
    </row>
    <row r="979">
      <c r="A979" s="21"/>
      <c r="B979" s="119" t="s">
        <v>11619</v>
      </c>
      <c r="C979" s="120" t="s">
        <v>4439</v>
      </c>
      <c r="D979" s="33" t="s">
        <v>11497</v>
      </c>
      <c r="E979" s="51" t="s">
        <v>279</v>
      </c>
      <c r="F979" s="121" t="s">
        <v>3009</v>
      </c>
      <c r="G979" s="98" t="str">
        <f>HYPERLINK("http://mirror.ff7data.com.ar/ff7/data/battle/battle.lgp/cbba.png","View Picture")</f>
        <v>View Picture</v>
      </c>
      <c r="H979" s="75"/>
      <c r="I979" s="74"/>
      <c r="J979" s="74"/>
      <c r="K979" s="74"/>
    </row>
    <row r="980">
      <c r="A980" s="21"/>
      <c r="B980" s="119" t="s">
        <v>11631</v>
      </c>
      <c r="C980" s="120" t="s">
        <v>4288</v>
      </c>
      <c r="D980" s="33" t="s">
        <v>11497</v>
      </c>
      <c r="E980" s="51" t="s">
        <v>279</v>
      </c>
      <c r="F980" s="121" t="s">
        <v>3009</v>
      </c>
      <c r="G980" s="98" t="str">
        <f>HYPERLINK("http://mirror.ff7data.com.ar/ff7/data/battle/battle.lgp/cbbc.png","View Picture")</f>
        <v>View Picture</v>
      </c>
      <c r="H980" s="75"/>
      <c r="I980" s="74"/>
      <c r="J980" s="74"/>
      <c r="K980" s="74"/>
    </row>
    <row r="981">
      <c r="A981" s="21"/>
      <c r="B981" s="119" t="s">
        <v>11639</v>
      </c>
      <c r="C981" s="120" t="s">
        <v>10078</v>
      </c>
      <c r="D981" s="33" t="s">
        <v>11497</v>
      </c>
      <c r="E981" s="51" t="s">
        <v>279</v>
      </c>
      <c r="F981" s="121" t="s">
        <v>3009</v>
      </c>
      <c r="G981" s="98" t="str">
        <f>HYPERLINK("http://mirror.ff7data.com.ar/ff7/data/battle/battle.lgp/cbbd.png","View Picture")</f>
        <v>View Picture</v>
      </c>
      <c r="H981" s="75"/>
      <c r="I981" s="74"/>
      <c r="J981" s="74"/>
      <c r="K981" s="74"/>
    </row>
    <row r="982">
      <c r="A982" s="21"/>
      <c r="B982" s="119" t="s">
        <v>11647</v>
      </c>
      <c r="C982" s="120" t="s">
        <v>3412</v>
      </c>
      <c r="D982" s="33" t="s">
        <v>11497</v>
      </c>
      <c r="E982" s="51" t="s">
        <v>279</v>
      </c>
      <c r="F982" s="121" t="s">
        <v>3009</v>
      </c>
      <c r="G982" s="98" t="str">
        <f>HYPERLINK("http://mirror.ff7data.com.ar/ff7/data/battle/battle.lgp/cbbe.png","View Picture")</f>
        <v>View Picture</v>
      </c>
      <c r="H982" s="75"/>
      <c r="I982" s="74"/>
      <c r="J982" s="74"/>
      <c r="K982" s="74"/>
    </row>
    <row r="983">
      <c r="A983" s="21"/>
      <c r="B983" s="119" t="s">
        <v>11657</v>
      </c>
      <c r="C983" s="120" t="s">
        <v>4439</v>
      </c>
      <c r="D983" s="33" t="s">
        <v>11497</v>
      </c>
      <c r="E983" s="51" t="s">
        <v>279</v>
      </c>
      <c r="F983" s="121" t="s">
        <v>3009</v>
      </c>
      <c r="G983" s="98" t="str">
        <f>HYPERLINK("http://mirror.ff7data.com.ar/ff7/data/battle/battle.lgp/cbbf.png","View Picture")</f>
        <v>View Picture</v>
      </c>
      <c r="H983" s="75"/>
      <c r="I983" s="74"/>
      <c r="J983" s="74"/>
      <c r="K983" s="74"/>
    </row>
    <row r="984">
      <c r="A984" s="21"/>
      <c r="B984" s="119" t="s">
        <v>11676</v>
      </c>
      <c r="C984" s="120" t="s">
        <v>4185</v>
      </c>
      <c r="D984" s="33" t="s">
        <v>11497</v>
      </c>
      <c r="E984" s="51" t="s">
        <v>279</v>
      </c>
      <c r="F984" s="121" t="s">
        <v>3009</v>
      </c>
      <c r="G984" s="98" t="str">
        <f>HYPERLINK("http://mirror.ff7data.com.ar/ff7/data/battle/battle.lgp/cbbg.png","View Picture")</f>
        <v>View Picture</v>
      </c>
      <c r="H984" s="75"/>
      <c r="I984" s="74"/>
      <c r="J984" s="74"/>
      <c r="K984" s="74"/>
    </row>
    <row r="985">
      <c r="A985" s="21"/>
      <c r="B985" s="119" t="s">
        <v>11690</v>
      </c>
      <c r="C985" s="120" t="s">
        <v>9041</v>
      </c>
      <c r="D985" s="33" t="s">
        <v>11497</v>
      </c>
      <c r="E985" s="51" t="s">
        <v>279</v>
      </c>
      <c r="F985" s="121" t="s">
        <v>3009</v>
      </c>
      <c r="G985" s="98" t="str">
        <f>HYPERLINK("http://mirror.ff7data.com.ar/ff7/data/battle/battle.lgp/cbbh.png","View Picture")</f>
        <v>View Picture</v>
      </c>
      <c r="H985" s="75"/>
      <c r="I985" s="74"/>
      <c r="J985" s="74"/>
      <c r="K985" s="74"/>
    </row>
    <row r="986">
      <c r="A986" s="21"/>
      <c r="B986" s="119" t="s">
        <v>11701</v>
      </c>
      <c r="C986" s="120" t="s">
        <v>4057</v>
      </c>
      <c r="D986" s="33" t="s">
        <v>11497</v>
      </c>
      <c r="E986" s="51" t="s">
        <v>279</v>
      </c>
      <c r="F986" s="121" t="s">
        <v>3009</v>
      </c>
      <c r="G986" s="98" t="str">
        <f>HYPERLINK("http://mirror.ff7data.com.ar/ff7/data/battle/battle.lgp/cbbj.png","View Picture")</f>
        <v>View Picture</v>
      </c>
      <c r="H986" s="75"/>
      <c r="I986" s="74"/>
      <c r="J986" s="74"/>
      <c r="K986" s="74"/>
    </row>
    <row r="987">
      <c r="A987" s="21"/>
      <c r="B987" s="119" t="s">
        <v>11707</v>
      </c>
      <c r="C987" s="120" t="s">
        <v>4476</v>
      </c>
      <c r="D987" s="33" t="s">
        <v>11497</v>
      </c>
      <c r="E987" s="51" t="s">
        <v>279</v>
      </c>
      <c r="F987" s="121" t="s">
        <v>3009</v>
      </c>
      <c r="G987" s="98" t="str">
        <f>HYPERLINK("http://mirror.ff7data.com.ar/ff7/data/battle/battle.lgp/cbbl.png","View Picture")</f>
        <v>View Picture</v>
      </c>
      <c r="H987" s="75"/>
      <c r="I987" s="74"/>
      <c r="J987" s="74"/>
      <c r="K987" s="74"/>
    </row>
    <row r="988">
      <c r="A988" s="21"/>
      <c r="B988" s="119" t="s">
        <v>11717</v>
      </c>
      <c r="C988" s="120" t="s">
        <v>3768</v>
      </c>
      <c r="D988" s="33" t="s">
        <v>11497</v>
      </c>
      <c r="E988" s="51" t="s">
        <v>279</v>
      </c>
      <c r="F988" s="121" t="s">
        <v>3025</v>
      </c>
      <c r="G988" s="122"/>
      <c r="H988" s="46" t="s">
        <v>3002</v>
      </c>
      <c r="I988" s="74"/>
      <c r="J988" s="74"/>
      <c r="K988" s="74"/>
    </row>
    <row r="989">
      <c r="A989" s="21"/>
      <c r="B989" s="119" t="s">
        <v>11720</v>
      </c>
      <c r="C989" s="120" t="s">
        <v>11721</v>
      </c>
      <c r="D989" s="33" t="s">
        <v>11722</v>
      </c>
      <c r="E989" s="51" t="s">
        <v>282</v>
      </c>
      <c r="F989" s="121" t="s">
        <v>2971</v>
      </c>
      <c r="G989" s="98" t="str">
        <f>HYPERLINK("http://mirror.ff7data.com.ar/ff7/data/battle/battle.lgp/ccaa.png","View Picture")</f>
        <v>View Picture</v>
      </c>
      <c r="H989" s="46" t="s">
        <v>11729</v>
      </c>
      <c r="I989" s="74"/>
      <c r="J989" s="74"/>
      <c r="K989" s="74"/>
    </row>
    <row r="990">
      <c r="A990" s="21"/>
      <c r="B990" s="119" t="s">
        <v>11731</v>
      </c>
      <c r="C990" s="120" t="s">
        <v>11732</v>
      </c>
      <c r="D990" s="33" t="s">
        <v>11734</v>
      </c>
      <c r="E990" s="51" t="s">
        <v>282</v>
      </c>
      <c r="F990" s="121" t="s">
        <v>2993</v>
      </c>
      <c r="G990" s="122"/>
      <c r="H990" s="46" t="s">
        <v>3002</v>
      </c>
      <c r="I990" s="74"/>
      <c r="J990" s="74"/>
      <c r="K990" s="74"/>
    </row>
    <row r="991">
      <c r="A991" s="21"/>
      <c r="B991" s="119" t="s">
        <v>11737</v>
      </c>
      <c r="C991" s="120" t="s">
        <v>3658</v>
      </c>
      <c r="D991" s="33" t="s">
        <v>11739</v>
      </c>
      <c r="E991" s="51" t="s">
        <v>282</v>
      </c>
      <c r="F991" s="121" t="s">
        <v>3009</v>
      </c>
      <c r="G991" s="98" t="str">
        <f>HYPERLINK("http://mirror.ff7data.com.ar/ff7/data/battle/battle.lgp/ccam.png","View Picture")</f>
        <v>View Picture</v>
      </c>
      <c r="H991" s="75"/>
      <c r="I991" s="74"/>
      <c r="J991" s="74"/>
      <c r="K991" s="74"/>
    </row>
    <row r="992">
      <c r="A992" s="21"/>
      <c r="B992" s="119" t="s">
        <v>11746</v>
      </c>
      <c r="C992" s="120" t="s">
        <v>11747</v>
      </c>
      <c r="D992" s="33" t="s">
        <v>11734</v>
      </c>
      <c r="E992" s="51" t="s">
        <v>282</v>
      </c>
      <c r="F992" s="121" t="s">
        <v>3025</v>
      </c>
      <c r="G992" s="122"/>
      <c r="H992" s="46" t="s">
        <v>3002</v>
      </c>
      <c r="I992" s="74"/>
      <c r="J992" s="74"/>
      <c r="K992" s="74"/>
    </row>
    <row r="993">
      <c r="A993" s="21"/>
      <c r="B993" s="119" t="s">
        <v>11750</v>
      </c>
      <c r="C993" s="120" t="s">
        <v>11751</v>
      </c>
      <c r="D993" s="33" t="s">
        <v>11752</v>
      </c>
      <c r="E993" s="51" t="s">
        <v>285</v>
      </c>
      <c r="F993" s="121" t="s">
        <v>2971</v>
      </c>
      <c r="G993" s="98" t="str">
        <f>HYPERLINK("http://mirror.ff7data.com.ar/ff7/data/battle/battle.lgp/cdaa.png","View Picture")</f>
        <v>View Picture</v>
      </c>
      <c r="H993" s="75"/>
      <c r="I993" s="74"/>
      <c r="J993" s="74"/>
      <c r="K993" s="74"/>
    </row>
    <row r="994">
      <c r="A994" s="21"/>
      <c r="B994" s="119" t="s">
        <v>11759</v>
      </c>
      <c r="C994" s="120" t="s">
        <v>4456</v>
      </c>
      <c r="D994" s="33" t="s">
        <v>11761</v>
      </c>
      <c r="E994" s="51" t="s">
        <v>285</v>
      </c>
      <c r="F994" s="121" t="s">
        <v>2993</v>
      </c>
      <c r="G994" s="122"/>
      <c r="H994" s="46" t="s">
        <v>3002</v>
      </c>
      <c r="I994" s="74"/>
      <c r="J994" s="74"/>
      <c r="K994" s="74"/>
    </row>
    <row r="995">
      <c r="A995" s="21"/>
      <c r="B995" s="119" t="s">
        <v>11764</v>
      </c>
      <c r="C995" s="120" t="s">
        <v>7165</v>
      </c>
      <c r="D995" s="33" t="s">
        <v>11765</v>
      </c>
      <c r="E995" s="51" t="s">
        <v>285</v>
      </c>
      <c r="F995" s="121" t="s">
        <v>1348</v>
      </c>
      <c r="G995" s="98" t="str">
        <f>HYPERLINK("http://mirror.ff7data.com.ar/ff7/data/battle/battle.lgp/cdac.png","View Picture")</f>
        <v>View Picture</v>
      </c>
      <c r="H995" s="75"/>
      <c r="I995" s="74"/>
      <c r="J995" s="74"/>
      <c r="K995" s="74"/>
    </row>
    <row r="996">
      <c r="A996" s="21"/>
      <c r="B996" s="119" t="s">
        <v>11770</v>
      </c>
      <c r="C996" s="120" t="s">
        <v>11771</v>
      </c>
      <c r="D996" s="33" t="s">
        <v>11761</v>
      </c>
      <c r="E996" s="51" t="s">
        <v>285</v>
      </c>
      <c r="F996" s="121" t="s">
        <v>3009</v>
      </c>
      <c r="G996" s="98" t="str">
        <f>HYPERLINK("http://mirror.ff7data.com.ar/ff7/data/battle/battle.lgp/cdam.png","View Picture")</f>
        <v>View Picture</v>
      </c>
      <c r="H996" s="75"/>
      <c r="I996" s="74"/>
      <c r="J996" s="74"/>
      <c r="K996" s="74"/>
    </row>
    <row r="997">
      <c r="A997" s="21"/>
      <c r="B997" s="119" t="s">
        <v>11777</v>
      </c>
      <c r="C997" s="120" t="s">
        <v>11778</v>
      </c>
      <c r="D997" s="33" t="s">
        <v>11761</v>
      </c>
      <c r="E997" s="51" t="s">
        <v>285</v>
      </c>
      <c r="F997" s="121" t="s">
        <v>3009</v>
      </c>
      <c r="G997" s="98" t="str">
        <f>HYPERLINK("http://mirror.ff7data.com.ar/ff7/data/battle/battle.lgp/cdan.png","View Picture")</f>
        <v>View Picture</v>
      </c>
      <c r="H997" s="75"/>
      <c r="I997" s="74"/>
      <c r="J997" s="74"/>
      <c r="K997" s="74"/>
    </row>
    <row r="998">
      <c r="A998" s="21"/>
      <c r="B998" s="119" t="s">
        <v>11783</v>
      </c>
      <c r="C998" s="120" t="s">
        <v>11785</v>
      </c>
      <c r="D998" s="33" t="s">
        <v>11761</v>
      </c>
      <c r="E998" s="51" t="s">
        <v>285</v>
      </c>
      <c r="F998" s="121" t="s">
        <v>3009</v>
      </c>
      <c r="G998" s="98" t="str">
        <f>HYPERLINK("http://mirror.ff7data.com.ar/ff7/data/battle/battle.lgp/cdao.png","View Picture")</f>
        <v>View Picture</v>
      </c>
      <c r="H998" s="75"/>
      <c r="I998" s="74"/>
      <c r="J998" s="74"/>
      <c r="K998" s="74"/>
    </row>
    <row r="999">
      <c r="A999" s="21"/>
      <c r="B999" s="119" t="s">
        <v>11790</v>
      </c>
      <c r="C999" s="120" t="s">
        <v>11785</v>
      </c>
      <c r="D999" s="33" t="s">
        <v>11761</v>
      </c>
      <c r="E999" s="51" t="s">
        <v>285</v>
      </c>
      <c r="F999" s="121" t="s">
        <v>3009</v>
      </c>
      <c r="G999" s="98" t="str">
        <f>HYPERLINK("http://mirror.ff7data.com.ar/ff7/data/battle/battle.lgp/cdap.png","View Picture")</f>
        <v>View Picture</v>
      </c>
      <c r="H999" s="75"/>
      <c r="I999" s="74"/>
      <c r="J999" s="74"/>
      <c r="K999" s="74"/>
    </row>
    <row r="1000">
      <c r="A1000" s="21"/>
      <c r="B1000" s="119" t="s">
        <v>11798</v>
      </c>
      <c r="C1000" s="120" t="s">
        <v>11785</v>
      </c>
      <c r="D1000" s="33" t="s">
        <v>11761</v>
      </c>
      <c r="E1000" s="51" t="s">
        <v>285</v>
      </c>
      <c r="F1000" s="121" t="s">
        <v>3009</v>
      </c>
      <c r="G1000" s="98" t="str">
        <f>HYPERLINK("http://mirror.ff7data.com.ar/ff7/data/battle/battle.lgp/cdaq.png","View Picture")</f>
        <v>View Picture</v>
      </c>
      <c r="H1000" s="75"/>
      <c r="I1000" s="74"/>
      <c r="J1000" s="74"/>
      <c r="K1000" s="74"/>
    </row>
    <row r="1001">
      <c r="A1001" s="21"/>
      <c r="B1001" s="119" t="s">
        <v>11804</v>
      </c>
      <c r="C1001" s="120" t="s">
        <v>11778</v>
      </c>
      <c r="D1001" s="33" t="s">
        <v>11761</v>
      </c>
      <c r="E1001" s="51" t="s">
        <v>285</v>
      </c>
      <c r="F1001" s="121" t="s">
        <v>3009</v>
      </c>
      <c r="G1001" s="98" t="str">
        <f>HYPERLINK("http://mirror.ff7data.com.ar/ff7/data/battle/battle.lgp/cdar.png","View Picture")</f>
        <v>View Picture</v>
      </c>
      <c r="H1001" s="75"/>
      <c r="I1001" s="74"/>
      <c r="J1001" s="74"/>
      <c r="K1001" s="74"/>
    </row>
    <row r="1002">
      <c r="A1002" s="21"/>
      <c r="B1002" s="119" t="s">
        <v>11811</v>
      </c>
      <c r="C1002" s="120" t="s">
        <v>11785</v>
      </c>
      <c r="D1002" s="33" t="s">
        <v>11761</v>
      </c>
      <c r="E1002" s="51" t="s">
        <v>285</v>
      </c>
      <c r="F1002" s="121" t="s">
        <v>3009</v>
      </c>
      <c r="G1002" s="98" t="str">
        <f>HYPERLINK("http://mirror.ff7data.com.ar/ff7/data/battle/battle.lgp/cdas.png","View Picture")</f>
        <v>View Picture</v>
      </c>
      <c r="H1002" s="75"/>
      <c r="I1002" s="74"/>
      <c r="J1002" s="74"/>
      <c r="K1002" s="74"/>
    </row>
    <row r="1003">
      <c r="A1003" s="21"/>
      <c r="B1003" s="119" t="s">
        <v>11817</v>
      </c>
      <c r="C1003" s="120" t="s">
        <v>11785</v>
      </c>
      <c r="D1003" s="33" t="s">
        <v>11761</v>
      </c>
      <c r="E1003" s="51" t="s">
        <v>285</v>
      </c>
      <c r="F1003" s="121" t="s">
        <v>3009</v>
      </c>
      <c r="G1003" s="98" t="str">
        <f>HYPERLINK("http://mirror.ff7data.com.ar/ff7/data/battle/battle.lgp/cdat.png","View Picture")</f>
        <v>View Picture</v>
      </c>
      <c r="H1003" s="75"/>
      <c r="I1003" s="74"/>
      <c r="J1003" s="74"/>
      <c r="K1003" s="74"/>
    </row>
    <row r="1004">
      <c r="A1004" s="21"/>
      <c r="B1004" s="119" t="s">
        <v>11823</v>
      </c>
      <c r="C1004" s="120" t="s">
        <v>11785</v>
      </c>
      <c r="D1004" s="33" t="s">
        <v>11761</v>
      </c>
      <c r="E1004" s="51" t="s">
        <v>285</v>
      </c>
      <c r="F1004" s="121" t="s">
        <v>3009</v>
      </c>
      <c r="G1004" s="98" t="str">
        <f>HYPERLINK("http://mirror.ff7data.com.ar/ff7/data/battle/battle.lgp/cdau.png","View Picture")</f>
        <v>View Picture</v>
      </c>
      <c r="H1004" s="75"/>
      <c r="I1004" s="74"/>
      <c r="J1004" s="74"/>
      <c r="K1004" s="74"/>
    </row>
    <row r="1005">
      <c r="A1005" s="21"/>
      <c r="B1005" s="119" t="s">
        <v>11830</v>
      </c>
      <c r="C1005" s="120" t="s">
        <v>11771</v>
      </c>
      <c r="D1005" s="33" t="s">
        <v>11761</v>
      </c>
      <c r="E1005" s="51" t="s">
        <v>285</v>
      </c>
      <c r="F1005" s="121" t="s">
        <v>3009</v>
      </c>
      <c r="G1005" s="98" t="str">
        <f>HYPERLINK("http://mirror.ff7data.com.ar/ff7/data/battle/battle.lgp/cdav.png","View Picture")</f>
        <v>View Picture</v>
      </c>
      <c r="H1005" s="75"/>
      <c r="I1005" s="74"/>
      <c r="J1005" s="74"/>
      <c r="K1005" s="74"/>
    </row>
    <row r="1006">
      <c r="A1006" s="21"/>
      <c r="B1006" s="119" t="s">
        <v>11839</v>
      </c>
      <c r="C1006" s="120" t="s">
        <v>11785</v>
      </c>
      <c r="D1006" s="33" t="s">
        <v>11761</v>
      </c>
      <c r="E1006" s="51" t="s">
        <v>285</v>
      </c>
      <c r="F1006" s="121" t="s">
        <v>3009</v>
      </c>
      <c r="G1006" s="98" t="str">
        <f>HYPERLINK("http://mirror.ff7data.com.ar/ff7/data/battle/battle.lgp/cdaw.png","View Picture")</f>
        <v>View Picture</v>
      </c>
      <c r="H1006" s="75"/>
      <c r="I1006" s="74"/>
      <c r="J1006" s="74"/>
      <c r="K1006" s="74"/>
    </row>
    <row r="1007">
      <c r="A1007" s="21"/>
      <c r="B1007" s="119" t="s">
        <v>11845</v>
      </c>
      <c r="C1007" s="120" t="s">
        <v>11785</v>
      </c>
      <c r="D1007" s="33" t="s">
        <v>11761</v>
      </c>
      <c r="E1007" s="51" t="s">
        <v>285</v>
      </c>
      <c r="F1007" s="121" t="s">
        <v>3009</v>
      </c>
      <c r="G1007" s="98" t="str">
        <f>HYPERLINK("http://mirror.ff7data.com.ar/ff7/data/battle/battle.lgp/cdax.png","View Picture")</f>
        <v>View Picture</v>
      </c>
      <c r="H1007" s="75"/>
      <c r="I1007" s="74"/>
      <c r="J1007" s="74"/>
      <c r="K1007" s="74"/>
    </row>
    <row r="1008">
      <c r="A1008" s="21"/>
      <c r="B1008" s="119" t="s">
        <v>11854</v>
      </c>
      <c r="C1008" s="120" t="s">
        <v>11785</v>
      </c>
      <c r="D1008" s="33" t="s">
        <v>11761</v>
      </c>
      <c r="E1008" s="51" t="s">
        <v>285</v>
      </c>
      <c r="F1008" s="121" t="s">
        <v>3009</v>
      </c>
      <c r="G1008" s="98" t="str">
        <f>HYPERLINK("http://mirror.ff7data.com.ar/ff7/data/battle/battle.lgp/cday.png","View Picture")</f>
        <v>View Picture</v>
      </c>
      <c r="H1008" s="75"/>
      <c r="I1008" s="74"/>
      <c r="J1008" s="74"/>
      <c r="K1008" s="74"/>
    </row>
    <row r="1009">
      <c r="A1009" s="21"/>
      <c r="B1009" s="119" t="s">
        <v>11861</v>
      </c>
      <c r="C1009" s="120" t="s">
        <v>11785</v>
      </c>
      <c r="D1009" s="33" t="s">
        <v>11761</v>
      </c>
      <c r="E1009" s="51" t="s">
        <v>285</v>
      </c>
      <c r="F1009" s="121" t="s">
        <v>3009</v>
      </c>
      <c r="G1009" s="98" t="str">
        <f>HYPERLINK("http://mirror.ff7data.com.ar/ff7/data/battle/battle.lgp/cdaz.png","View Picture")</f>
        <v>View Picture</v>
      </c>
      <c r="H1009" s="75"/>
      <c r="I1009" s="74"/>
      <c r="J1009" s="74"/>
      <c r="K1009" s="74"/>
    </row>
    <row r="1010">
      <c r="A1010" s="21"/>
      <c r="B1010" s="119" t="s">
        <v>11869</v>
      </c>
      <c r="C1010" s="120" t="s">
        <v>9112</v>
      </c>
      <c r="D1010" s="33" t="s">
        <v>11761</v>
      </c>
      <c r="E1010" s="51" t="s">
        <v>285</v>
      </c>
      <c r="F1010" s="121" t="s">
        <v>3009</v>
      </c>
      <c r="G1010" s="98" t="str">
        <f>HYPERLINK("http://mirror.ff7data.com.ar/ff7/data/battle/battle.lgp/cdba.png","View Picture")</f>
        <v>View Picture</v>
      </c>
      <c r="H1010" s="75"/>
      <c r="I1010" s="74"/>
      <c r="J1010" s="74"/>
      <c r="K1010" s="74"/>
    </row>
    <row r="1011">
      <c r="A1011" s="21"/>
      <c r="B1011" s="119" t="s">
        <v>11877</v>
      </c>
      <c r="C1011" s="120" t="s">
        <v>11785</v>
      </c>
      <c r="D1011" s="33" t="s">
        <v>11761</v>
      </c>
      <c r="E1011" s="51" t="s">
        <v>285</v>
      </c>
      <c r="F1011" s="121" t="s">
        <v>3009</v>
      </c>
      <c r="G1011" s="98" t="str">
        <f>HYPERLINK("http://mirror.ff7data.com.ar/ff7/data/battle/battle.lgp/cdbb.png","View Picture")</f>
        <v>View Picture</v>
      </c>
      <c r="H1011" s="75"/>
      <c r="I1011" s="74"/>
      <c r="J1011" s="74"/>
      <c r="K1011" s="74"/>
    </row>
    <row r="1012">
      <c r="A1012" s="21"/>
      <c r="B1012" s="119" t="s">
        <v>11886</v>
      </c>
      <c r="C1012" s="120" t="s">
        <v>11785</v>
      </c>
      <c r="D1012" s="33" t="s">
        <v>11761</v>
      </c>
      <c r="E1012" s="51" t="s">
        <v>285</v>
      </c>
      <c r="F1012" s="121" t="s">
        <v>3009</v>
      </c>
      <c r="G1012" s="98" t="str">
        <f>HYPERLINK("http://mirror.ff7data.com.ar/ff7/data/battle/battle.lgp/cdbc.png","View Picture")</f>
        <v>View Picture</v>
      </c>
      <c r="H1012" s="75"/>
      <c r="I1012" s="74"/>
      <c r="J1012" s="74"/>
      <c r="K1012" s="74"/>
    </row>
    <row r="1013">
      <c r="A1013" s="21"/>
      <c r="B1013" s="119" t="s">
        <v>11898</v>
      </c>
      <c r="C1013" s="120" t="s">
        <v>11785</v>
      </c>
      <c r="D1013" s="33" t="s">
        <v>11761</v>
      </c>
      <c r="E1013" s="51" t="s">
        <v>285</v>
      </c>
      <c r="F1013" s="121" t="s">
        <v>3009</v>
      </c>
      <c r="G1013" s="98" t="str">
        <f>HYPERLINK("http://mirror.ff7data.com.ar/ff7/data/battle/battle.lgp/cdbd.png","View Picture")</f>
        <v>View Picture</v>
      </c>
      <c r="H1013" s="75"/>
      <c r="I1013" s="74"/>
      <c r="J1013" s="74"/>
      <c r="K1013" s="74"/>
    </row>
    <row r="1014">
      <c r="A1014" s="21"/>
      <c r="B1014" s="119" t="s">
        <v>11907</v>
      </c>
      <c r="C1014" s="120" t="s">
        <v>3723</v>
      </c>
      <c r="D1014" s="33" t="s">
        <v>11761</v>
      </c>
      <c r="E1014" s="51" t="s">
        <v>285</v>
      </c>
      <c r="F1014" s="121" t="s">
        <v>3009</v>
      </c>
      <c r="G1014" s="98" t="str">
        <f>HYPERLINK("http://mirror.ff7data.com.ar/ff7/data/battle/battle.lgp/cdbe.png","View Picture")</f>
        <v>View Picture</v>
      </c>
      <c r="H1014" s="75"/>
      <c r="I1014" s="74"/>
      <c r="J1014" s="74"/>
      <c r="K1014" s="74"/>
    </row>
    <row r="1015">
      <c r="A1015" s="21"/>
      <c r="B1015" s="119" t="s">
        <v>11916</v>
      </c>
      <c r="C1015" s="120" t="s">
        <v>11918</v>
      </c>
      <c r="D1015" s="33" t="s">
        <v>11761</v>
      </c>
      <c r="E1015" s="51" t="s">
        <v>285</v>
      </c>
      <c r="F1015" s="121" t="s">
        <v>3009</v>
      </c>
      <c r="G1015" s="98" t="str">
        <f>HYPERLINK("http://mirror.ff7data.com.ar/ff7/data/battle/battle.lgp/cdbf.png","View Picture")</f>
        <v>View Picture</v>
      </c>
      <c r="H1015" s="75"/>
      <c r="I1015" s="74"/>
      <c r="J1015" s="74"/>
      <c r="K1015" s="74"/>
    </row>
    <row r="1016">
      <c r="A1016" s="21"/>
      <c r="B1016" s="119" t="s">
        <v>11924</v>
      </c>
      <c r="C1016" s="120" t="s">
        <v>4476</v>
      </c>
      <c r="D1016" s="33" t="s">
        <v>11761</v>
      </c>
      <c r="E1016" s="51" t="s">
        <v>285</v>
      </c>
      <c r="F1016" s="121" t="s">
        <v>3009</v>
      </c>
      <c r="G1016" s="98" t="str">
        <f>HYPERLINK("http://mirror.ff7data.com.ar/ff7/data/battle/battle.lgp/cdbh.png","View Picture")</f>
        <v>View Picture</v>
      </c>
      <c r="H1016" s="75"/>
      <c r="I1016" s="74"/>
      <c r="J1016" s="74"/>
      <c r="K1016" s="74"/>
    </row>
    <row r="1017">
      <c r="A1017" s="21"/>
      <c r="B1017" s="119" t="s">
        <v>11931</v>
      </c>
      <c r="C1017" s="120" t="s">
        <v>3875</v>
      </c>
      <c r="D1017" s="33" t="s">
        <v>11761</v>
      </c>
      <c r="E1017" s="51" t="s">
        <v>285</v>
      </c>
      <c r="F1017" s="121" t="s">
        <v>3025</v>
      </c>
      <c r="G1017" s="122"/>
      <c r="H1017" s="46" t="s">
        <v>3002</v>
      </c>
      <c r="I1017" s="74"/>
      <c r="J1017" s="74"/>
      <c r="K1017" s="74"/>
    </row>
    <row r="1018">
      <c r="A1018" s="21"/>
      <c r="B1018" s="119" t="s">
        <v>11933</v>
      </c>
      <c r="C1018" s="120" t="s">
        <v>4196</v>
      </c>
      <c r="D1018" s="33" t="s">
        <v>11935</v>
      </c>
      <c r="E1018" s="51" t="s">
        <v>288</v>
      </c>
      <c r="F1018" s="121" t="s">
        <v>2971</v>
      </c>
      <c r="G1018" s="98" t="str">
        <f>HYPERLINK("http://mirror.ff7data.com.ar/ff7/data/battle/battle.lgp/ceaa.png","View Picture")</f>
        <v>View Picture</v>
      </c>
      <c r="H1018" s="75"/>
      <c r="I1018" s="74"/>
      <c r="J1018" s="74"/>
      <c r="K1018" s="74"/>
    </row>
    <row r="1019">
      <c r="A1019" s="21"/>
      <c r="B1019" s="119" t="s">
        <v>11940</v>
      </c>
      <c r="C1019" s="120" t="s">
        <v>11942</v>
      </c>
      <c r="D1019" s="33" t="s">
        <v>11943</v>
      </c>
      <c r="E1019" s="51" t="s">
        <v>288</v>
      </c>
      <c r="F1019" s="121" t="s">
        <v>2993</v>
      </c>
      <c r="G1019" s="122"/>
      <c r="H1019" s="46" t="s">
        <v>3002</v>
      </c>
      <c r="I1019" s="74"/>
      <c r="J1019" s="74"/>
      <c r="K1019" s="74"/>
    </row>
    <row r="1020">
      <c r="A1020" s="21"/>
      <c r="B1020" s="119" t="s">
        <v>11945</v>
      </c>
      <c r="C1020" s="120" t="s">
        <v>3842</v>
      </c>
      <c r="D1020" s="33" t="s">
        <v>11943</v>
      </c>
      <c r="E1020" s="51" t="s">
        <v>288</v>
      </c>
      <c r="F1020" s="121" t="s">
        <v>3009</v>
      </c>
      <c r="G1020" s="98" t="str">
        <f>HYPERLINK("http://mirror.ff7data.com.ar/ff7/data/battle/battle.lgp/ceam.png","View Picture")</f>
        <v>View Picture</v>
      </c>
      <c r="H1020" s="75"/>
      <c r="I1020" s="74"/>
      <c r="J1020" s="74"/>
      <c r="K1020" s="74"/>
    </row>
    <row r="1021">
      <c r="A1021" s="21"/>
      <c r="B1021" s="119" t="s">
        <v>11953</v>
      </c>
      <c r="C1021" s="120" t="s">
        <v>5925</v>
      </c>
      <c r="D1021" s="33" t="s">
        <v>11943</v>
      </c>
      <c r="E1021" s="51" t="s">
        <v>288</v>
      </c>
      <c r="F1021" s="121" t="s">
        <v>3009</v>
      </c>
      <c r="G1021" s="98" t="str">
        <f>HYPERLINK("http://mirror.ff7data.com.ar/ff7/data/battle/battle.lgp/cean.png","View Picture")</f>
        <v>View Picture</v>
      </c>
      <c r="H1021" s="75"/>
      <c r="I1021" s="74"/>
      <c r="J1021" s="74"/>
      <c r="K1021" s="74"/>
    </row>
    <row r="1022">
      <c r="A1022" s="21"/>
      <c r="B1022" s="119" t="s">
        <v>11960</v>
      </c>
      <c r="C1022" s="120" t="s">
        <v>11962</v>
      </c>
      <c r="D1022" s="33" t="s">
        <v>11943</v>
      </c>
      <c r="E1022" s="51" t="s">
        <v>288</v>
      </c>
      <c r="F1022" s="121" t="s">
        <v>3009</v>
      </c>
      <c r="G1022" s="98" t="str">
        <f>HYPERLINK("http://mirror.ff7data.com.ar/ff7/data/battle/battle.lgp/ceao.png","View Picture")</f>
        <v>View Picture</v>
      </c>
      <c r="H1022" s="75"/>
      <c r="I1022" s="74"/>
      <c r="J1022" s="74"/>
      <c r="K1022" s="74"/>
    </row>
    <row r="1023">
      <c r="A1023" s="21"/>
      <c r="B1023" s="119" t="s">
        <v>11970</v>
      </c>
      <c r="C1023" s="120" t="s">
        <v>10078</v>
      </c>
      <c r="D1023" s="33" t="s">
        <v>11943</v>
      </c>
      <c r="E1023" s="51" t="s">
        <v>288</v>
      </c>
      <c r="F1023" s="121" t="s">
        <v>3009</v>
      </c>
      <c r="G1023" s="98" t="str">
        <f>HYPERLINK("http://mirror.ff7data.com.ar/ff7/data/battle/battle.lgp/cear.png","View Picture")</f>
        <v>View Picture</v>
      </c>
      <c r="H1023" s="75"/>
      <c r="I1023" s="74"/>
      <c r="J1023" s="74"/>
      <c r="K1023" s="74"/>
    </row>
    <row r="1024">
      <c r="A1024" s="21"/>
      <c r="B1024" s="119" t="s">
        <v>11979</v>
      </c>
      <c r="C1024" s="120" t="s">
        <v>4439</v>
      </c>
      <c r="D1024" s="33" t="s">
        <v>11943</v>
      </c>
      <c r="E1024" s="51" t="s">
        <v>288</v>
      </c>
      <c r="F1024" s="121" t="s">
        <v>3009</v>
      </c>
      <c r="G1024" s="98" t="str">
        <f>HYPERLINK("http://mirror.ff7data.com.ar/ff7/data/battle/battle.lgp/ceas.png","View Picture")</f>
        <v>View Picture</v>
      </c>
      <c r="H1024" s="75"/>
      <c r="I1024" s="74"/>
      <c r="J1024" s="74"/>
      <c r="K1024" s="74"/>
    </row>
    <row r="1025">
      <c r="A1025" s="21"/>
      <c r="B1025" s="119" t="s">
        <v>11987</v>
      </c>
      <c r="C1025" s="120" t="s">
        <v>4217</v>
      </c>
      <c r="D1025" s="33" t="s">
        <v>11943</v>
      </c>
      <c r="E1025" s="51" t="s">
        <v>288</v>
      </c>
      <c r="F1025" s="121" t="s">
        <v>3009</v>
      </c>
      <c r="G1025" s="98" t="str">
        <f>HYPERLINK("http://mirror.ff7data.com.ar/ff7/data/battle/battle.lgp/ceat.png","View Picture")</f>
        <v>View Picture</v>
      </c>
      <c r="H1025" s="75"/>
      <c r="I1025" s="74"/>
      <c r="J1025" s="74"/>
      <c r="K1025" s="74"/>
    </row>
    <row r="1026">
      <c r="A1026" s="21"/>
      <c r="B1026" s="119" t="s">
        <v>11995</v>
      </c>
      <c r="C1026" s="120" t="s">
        <v>10078</v>
      </c>
      <c r="D1026" s="33" t="s">
        <v>11943</v>
      </c>
      <c r="E1026" s="51" t="s">
        <v>288</v>
      </c>
      <c r="F1026" s="121" t="s">
        <v>3009</v>
      </c>
      <c r="G1026" s="98" t="str">
        <f>HYPERLINK("http://mirror.ff7data.com.ar/ff7/data/battle/battle.lgp/ceaw.png","View Picture")</f>
        <v>View Picture</v>
      </c>
      <c r="H1026" s="75"/>
      <c r="I1026" s="74"/>
      <c r="J1026" s="74"/>
      <c r="K1026" s="74"/>
    </row>
    <row r="1027">
      <c r="A1027" s="21"/>
      <c r="B1027" s="119" t="s">
        <v>12001</v>
      </c>
      <c r="C1027" s="120" t="s">
        <v>4732</v>
      </c>
      <c r="D1027" s="33" t="s">
        <v>11943</v>
      </c>
      <c r="E1027" s="51" t="s">
        <v>288</v>
      </c>
      <c r="F1027" s="121" t="s">
        <v>3009</v>
      </c>
      <c r="G1027" s="98" t="str">
        <f>HYPERLINK("http://mirror.ff7data.com.ar/ff7/data/battle/battle.lgp/ceax.png","View Picture")</f>
        <v>View Picture</v>
      </c>
      <c r="H1027" s="75"/>
      <c r="I1027" s="74"/>
      <c r="J1027" s="74"/>
      <c r="K1027" s="74"/>
    </row>
    <row r="1028">
      <c r="A1028" s="21"/>
      <c r="B1028" s="119" t="s">
        <v>12008</v>
      </c>
      <c r="C1028" s="120" t="s">
        <v>4217</v>
      </c>
      <c r="D1028" s="33" t="s">
        <v>11943</v>
      </c>
      <c r="E1028" s="51" t="s">
        <v>288</v>
      </c>
      <c r="F1028" s="121" t="s">
        <v>3009</v>
      </c>
      <c r="G1028" s="98" t="str">
        <f>HYPERLINK("http://mirror.ff7data.com.ar/ff7/data/battle/battle.lgp/ceay.png","View Picture")</f>
        <v>View Picture</v>
      </c>
      <c r="H1028" s="75"/>
      <c r="I1028" s="74"/>
      <c r="J1028" s="74"/>
      <c r="K1028" s="74"/>
    </row>
    <row r="1029">
      <c r="A1029" s="21"/>
      <c r="B1029" s="119" t="s">
        <v>12016</v>
      </c>
      <c r="C1029" s="120" t="s">
        <v>4476</v>
      </c>
      <c r="D1029" s="33" t="s">
        <v>11943</v>
      </c>
      <c r="E1029" s="51" t="s">
        <v>288</v>
      </c>
      <c r="F1029" s="121" t="s">
        <v>3009</v>
      </c>
      <c r="G1029" s="98" t="str">
        <f>HYPERLINK("http://mirror.ff7data.com.ar/ff7/data/battle/battle.lgp/ceba.png","View Picture")</f>
        <v>View Picture</v>
      </c>
      <c r="H1029" s="75"/>
      <c r="I1029" s="74"/>
      <c r="J1029" s="74"/>
      <c r="K1029" s="74"/>
    </row>
    <row r="1030">
      <c r="A1030" s="21"/>
      <c r="B1030" s="119" t="s">
        <v>12024</v>
      </c>
      <c r="C1030" s="120" t="s">
        <v>4439</v>
      </c>
      <c r="D1030" s="33" t="s">
        <v>11943</v>
      </c>
      <c r="E1030" s="51" t="s">
        <v>288</v>
      </c>
      <c r="F1030" s="121" t="s">
        <v>3009</v>
      </c>
      <c r="G1030" s="98" t="str">
        <f>HYPERLINK("http://mirror.ff7data.com.ar/ff7/data/battle/battle.lgp/cebc.png","View Picture")</f>
        <v>View Picture</v>
      </c>
      <c r="H1030" s="75"/>
      <c r="I1030" s="74"/>
      <c r="J1030" s="74"/>
      <c r="K1030" s="74"/>
    </row>
    <row r="1031">
      <c r="A1031" s="21"/>
      <c r="B1031" s="119" t="s">
        <v>12034</v>
      </c>
      <c r="C1031" s="120" t="s">
        <v>4217</v>
      </c>
      <c r="D1031" s="33" t="s">
        <v>11943</v>
      </c>
      <c r="E1031" s="51" t="s">
        <v>288</v>
      </c>
      <c r="F1031" s="121" t="s">
        <v>3009</v>
      </c>
      <c r="G1031" s="98" t="str">
        <f>HYPERLINK("http://mirror.ff7data.com.ar/ff7/data/battle/battle.lgp/cebd.png","View Picture")</f>
        <v>View Picture</v>
      </c>
      <c r="H1031" s="75"/>
      <c r="I1031" s="74"/>
      <c r="J1031" s="74"/>
      <c r="K1031" s="74"/>
    </row>
    <row r="1032">
      <c r="A1032" s="21"/>
      <c r="B1032" s="119" t="s">
        <v>12040</v>
      </c>
      <c r="C1032" s="120" t="s">
        <v>6029</v>
      </c>
      <c r="D1032" s="33" t="s">
        <v>11943</v>
      </c>
      <c r="E1032" s="51" t="s">
        <v>288</v>
      </c>
      <c r="F1032" s="121" t="s">
        <v>3009</v>
      </c>
      <c r="G1032" s="98" t="str">
        <f>HYPERLINK("http://mirror.ff7data.com.ar/ff7/data/battle/battle.lgp/cebe.png","View Picture")</f>
        <v>View Picture</v>
      </c>
      <c r="H1032" s="75"/>
      <c r="I1032" s="74"/>
      <c r="J1032" s="74"/>
      <c r="K1032" s="74"/>
    </row>
    <row r="1033">
      <c r="A1033" s="21"/>
      <c r="B1033" s="119" t="s">
        <v>12048</v>
      </c>
      <c r="C1033" s="120" t="s">
        <v>4264</v>
      </c>
      <c r="D1033" s="33" t="s">
        <v>11943</v>
      </c>
      <c r="E1033" s="51" t="s">
        <v>288</v>
      </c>
      <c r="F1033" s="121" t="s">
        <v>3009</v>
      </c>
      <c r="G1033" s="98" t="str">
        <f>HYPERLINK("http://mirror.ff7data.com.ar/ff7/data/battle/battle.lgp/cebg.png","View Picture")</f>
        <v>View Picture</v>
      </c>
      <c r="H1033" s="75"/>
      <c r="I1033" s="74"/>
      <c r="J1033" s="74"/>
      <c r="K1033" s="74"/>
    </row>
    <row r="1034">
      <c r="A1034" s="21"/>
      <c r="B1034" s="119" t="s">
        <v>12054</v>
      </c>
      <c r="C1034" s="120" t="s">
        <v>4185</v>
      </c>
      <c r="D1034" s="33" t="s">
        <v>11943</v>
      </c>
      <c r="E1034" s="51" t="s">
        <v>288</v>
      </c>
      <c r="F1034" s="121" t="s">
        <v>3009</v>
      </c>
      <c r="G1034" s="98" t="str">
        <f>HYPERLINK("http://mirror.ff7data.com.ar/ff7/data/battle/battle.lgp/cebi.png","View Picture")</f>
        <v>View Picture</v>
      </c>
      <c r="H1034" s="75"/>
      <c r="I1034" s="74"/>
      <c r="J1034" s="74"/>
      <c r="K1034" s="74"/>
    </row>
    <row r="1035">
      <c r="A1035" s="21"/>
      <c r="B1035" s="119" t="s">
        <v>12062</v>
      </c>
      <c r="C1035" s="120" t="s">
        <v>4217</v>
      </c>
      <c r="D1035" s="33" t="s">
        <v>11943</v>
      </c>
      <c r="E1035" s="51" t="s">
        <v>288</v>
      </c>
      <c r="F1035" s="121" t="s">
        <v>3009</v>
      </c>
      <c r="G1035" s="98" t="str">
        <f>HYPERLINK("http://mirror.ff7data.com.ar/ff7/data/battle/battle.lgp/cebj.png","View Picture")</f>
        <v>View Picture</v>
      </c>
      <c r="H1035" s="75"/>
      <c r="I1035" s="74"/>
      <c r="J1035" s="74"/>
      <c r="K1035" s="74"/>
    </row>
    <row r="1036">
      <c r="A1036" s="21"/>
      <c r="B1036" s="119" t="s">
        <v>12068</v>
      </c>
      <c r="C1036" s="120" t="s">
        <v>6029</v>
      </c>
      <c r="D1036" s="33" t="s">
        <v>11943</v>
      </c>
      <c r="E1036" s="51" t="s">
        <v>288</v>
      </c>
      <c r="F1036" s="121" t="s">
        <v>3009</v>
      </c>
      <c r="G1036" s="98" t="str">
        <f>HYPERLINK("http://mirror.ff7data.com.ar/ff7/data/battle/battle.lgp/cebk.png","View Picture")</f>
        <v>View Picture</v>
      </c>
      <c r="H1036" s="75"/>
      <c r="I1036" s="74"/>
      <c r="J1036" s="74"/>
      <c r="K1036" s="74"/>
    </row>
    <row r="1037">
      <c r="A1037" s="21"/>
      <c r="B1037" s="119" t="s">
        <v>12079</v>
      </c>
      <c r="C1037" s="120" t="s">
        <v>4264</v>
      </c>
      <c r="D1037" s="33" t="s">
        <v>11943</v>
      </c>
      <c r="E1037" s="51" t="s">
        <v>288</v>
      </c>
      <c r="F1037" s="121" t="s">
        <v>3009</v>
      </c>
      <c r="G1037" s="98" t="str">
        <f>HYPERLINK("http://mirror.ff7data.com.ar/ff7/data/battle/battle.lgp/cebm.png","View Picture")</f>
        <v>View Picture</v>
      </c>
      <c r="H1037" s="75"/>
      <c r="I1037" s="74"/>
      <c r="J1037" s="74"/>
      <c r="K1037" s="74"/>
    </row>
    <row r="1038">
      <c r="A1038" s="21"/>
      <c r="B1038" s="119" t="s">
        <v>12086</v>
      </c>
      <c r="C1038" s="120" t="s">
        <v>3875</v>
      </c>
      <c r="D1038" s="33" t="s">
        <v>11943</v>
      </c>
      <c r="E1038" s="51" t="s">
        <v>288</v>
      </c>
      <c r="F1038" s="121" t="s">
        <v>3025</v>
      </c>
      <c r="G1038" s="122"/>
      <c r="H1038" s="46" t="s">
        <v>3002</v>
      </c>
      <c r="I1038" s="74"/>
      <c r="J1038" s="74"/>
      <c r="K1038" s="74"/>
    </row>
    <row r="1039">
      <c r="A1039" s="21"/>
      <c r="B1039" s="119" t="s">
        <v>12089</v>
      </c>
      <c r="C1039" s="120" t="s">
        <v>12090</v>
      </c>
      <c r="D1039" s="33" t="s">
        <v>12091</v>
      </c>
      <c r="E1039" s="51" t="s">
        <v>291</v>
      </c>
      <c r="F1039" s="121" t="s">
        <v>2971</v>
      </c>
      <c r="G1039" s="98" t="str">
        <f>HYPERLINK("http://mirror.ff7data.com.ar/ff7/data/battle/battle.lgp/cfaa.png","View Picture")</f>
        <v>View Picture</v>
      </c>
      <c r="H1039" s="75"/>
      <c r="I1039" s="74"/>
      <c r="J1039" s="74"/>
      <c r="K1039" s="74"/>
    </row>
    <row r="1040">
      <c r="A1040" s="21"/>
      <c r="B1040" s="119" t="s">
        <v>12098</v>
      </c>
      <c r="C1040" s="120" t="s">
        <v>4109</v>
      </c>
      <c r="D1040" s="33" t="s">
        <v>12100</v>
      </c>
      <c r="E1040" s="51" t="s">
        <v>291</v>
      </c>
      <c r="F1040" s="121" t="s">
        <v>2993</v>
      </c>
      <c r="G1040" s="122"/>
      <c r="H1040" s="46" t="s">
        <v>3002</v>
      </c>
      <c r="I1040" s="74"/>
      <c r="J1040" s="74"/>
      <c r="K1040" s="74"/>
    </row>
    <row r="1041">
      <c r="A1041" s="21"/>
      <c r="B1041" s="119" t="s">
        <v>12105</v>
      </c>
      <c r="C1041" s="120" t="s">
        <v>3370</v>
      </c>
      <c r="D1041" s="33" t="s">
        <v>12100</v>
      </c>
      <c r="E1041" s="51" t="s">
        <v>291</v>
      </c>
      <c r="F1041" s="121" t="s">
        <v>3009</v>
      </c>
      <c r="G1041" s="98" t="str">
        <f>HYPERLINK("http://mirror.ff7data.com.ar/ff7/data/battle/battle.lgp/cfam.png","View Picture")</f>
        <v>View Picture</v>
      </c>
      <c r="H1041" s="75"/>
      <c r="I1041" s="74"/>
      <c r="J1041" s="74"/>
      <c r="K1041" s="74"/>
    </row>
    <row r="1042">
      <c r="A1042" s="21"/>
      <c r="B1042" s="119" t="s">
        <v>12112</v>
      </c>
      <c r="C1042" s="120" t="s">
        <v>6029</v>
      </c>
      <c r="D1042" s="33" t="s">
        <v>12100</v>
      </c>
      <c r="E1042" s="51" t="s">
        <v>291</v>
      </c>
      <c r="F1042" s="121" t="s">
        <v>3009</v>
      </c>
      <c r="G1042" s="98" t="str">
        <f>HYPERLINK("http://mirror.ff7data.com.ar/ff7/data/battle/battle.lgp/cfao.png","View Picture")</f>
        <v>View Picture</v>
      </c>
      <c r="H1042" s="75"/>
      <c r="I1042" s="74"/>
      <c r="J1042" s="74"/>
      <c r="K1042" s="74"/>
    </row>
    <row r="1043">
      <c r="A1043" s="21"/>
      <c r="B1043" s="119" t="s">
        <v>12117</v>
      </c>
      <c r="C1043" s="120" t="s">
        <v>4057</v>
      </c>
      <c r="D1043" s="33" t="s">
        <v>12100</v>
      </c>
      <c r="E1043" s="51" t="s">
        <v>291</v>
      </c>
      <c r="F1043" s="121" t="s">
        <v>3009</v>
      </c>
      <c r="G1043" s="98" t="str">
        <f>HYPERLINK("http://mirror.ff7data.com.ar/ff7/data/battle/battle.lgp/cfap.png","View Picture")</f>
        <v>View Picture</v>
      </c>
      <c r="H1043" s="75"/>
      <c r="I1043" s="74"/>
      <c r="J1043" s="74"/>
      <c r="K1043" s="74"/>
    </row>
    <row r="1044">
      <c r="A1044" s="21"/>
      <c r="B1044" s="119" t="s">
        <v>12122</v>
      </c>
      <c r="C1044" s="120" t="s">
        <v>3768</v>
      </c>
      <c r="D1044" s="33" t="s">
        <v>12100</v>
      </c>
      <c r="E1044" s="51" t="s">
        <v>291</v>
      </c>
      <c r="F1044" s="121" t="s">
        <v>3009</v>
      </c>
      <c r="G1044" s="98" t="str">
        <f>HYPERLINK("http://mirror.ff7data.com.ar/ff7/data/battle/battle.lgp/cfaq.png","View Picture")</f>
        <v>View Picture</v>
      </c>
      <c r="H1044" s="75"/>
      <c r="I1044" s="74"/>
      <c r="J1044" s="74"/>
      <c r="K1044" s="74"/>
    </row>
    <row r="1045">
      <c r="A1045" s="21"/>
      <c r="B1045" s="119" t="s">
        <v>12129</v>
      </c>
      <c r="C1045" s="120" t="s">
        <v>4372</v>
      </c>
      <c r="D1045" s="33" t="s">
        <v>12100</v>
      </c>
      <c r="E1045" s="51" t="s">
        <v>291</v>
      </c>
      <c r="F1045" s="121" t="s">
        <v>3009</v>
      </c>
      <c r="G1045" s="98" t="str">
        <f>HYPERLINK("http://mirror.ff7data.com.ar/ff7/data/battle/battle.lgp/cfas.png","View Picture")</f>
        <v>View Picture</v>
      </c>
      <c r="H1045" s="75"/>
      <c r="I1045" s="74"/>
      <c r="J1045" s="74"/>
      <c r="K1045" s="74"/>
    </row>
    <row r="1046">
      <c r="A1046" s="21"/>
      <c r="B1046" s="119" t="s">
        <v>12135</v>
      </c>
      <c r="C1046" s="120" t="s">
        <v>5419</v>
      </c>
      <c r="D1046" s="33" t="s">
        <v>12100</v>
      </c>
      <c r="E1046" s="51" t="s">
        <v>291</v>
      </c>
      <c r="F1046" s="121" t="s">
        <v>3009</v>
      </c>
      <c r="G1046" s="98" t="str">
        <f>HYPERLINK("http://mirror.ff7data.com.ar/ff7/data/battle/battle.lgp/cfat.png","View Picture")</f>
        <v>View Picture</v>
      </c>
      <c r="H1046" s="75"/>
      <c r="I1046" s="74"/>
      <c r="J1046" s="74"/>
      <c r="K1046" s="74"/>
    </row>
    <row r="1047">
      <c r="A1047" s="21"/>
      <c r="B1047" s="119" t="s">
        <v>12142</v>
      </c>
      <c r="C1047" s="120" t="s">
        <v>3519</v>
      </c>
      <c r="D1047" s="33" t="s">
        <v>12100</v>
      </c>
      <c r="E1047" s="51" t="s">
        <v>291</v>
      </c>
      <c r="F1047" s="121" t="s">
        <v>3009</v>
      </c>
      <c r="G1047" s="98" t="str">
        <f>HYPERLINK("http://mirror.ff7data.com.ar/ff7/data/battle/battle.lgp/cfau.png","View Picture")</f>
        <v>View Picture</v>
      </c>
      <c r="H1047" s="75"/>
      <c r="I1047" s="74"/>
      <c r="J1047" s="74"/>
      <c r="K1047" s="74"/>
    </row>
    <row r="1048">
      <c r="A1048" s="21"/>
      <c r="B1048" s="119" t="s">
        <v>12150</v>
      </c>
      <c r="C1048" s="120" t="s">
        <v>4719</v>
      </c>
      <c r="D1048" s="33" t="s">
        <v>12100</v>
      </c>
      <c r="E1048" s="51" t="s">
        <v>291</v>
      </c>
      <c r="F1048" s="121" t="s">
        <v>3009</v>
      </c>
      <c r="G1048" s="98" t="str">
        <f>HYPERLINK("http://mirror.ff7data.com.ar/ff7/data/battle/battle.lgp/cfav.png","View Picture")</f>
        <v>View Picture</v>
      </c>
      <c r="H1048" s="75"/>
      <c r="I1048" s="74"/>
      <c r="J1048" s="74"/>
      <c r="K1048" s="74"/>
    </row>
    <row r="1049">
      <c r="A1049" s="21"/>
      <c r="B1049" s="119" t="s">
        <v>12158</v>
      </c>
      <c r="C1049" s="120" t="s">
        <v>4167</v>
      </c>
      <c r="D1049" s="33" t="s">
        <v>12100</v>
      </c>
      <c r="E1049" s="51" t="s">
        <v>291</v>
      </c>
      <c r="F1049" s="121" t="s">
        <v>3009</v>
      </c>
      <c r="G1049" s="98" t="str">
        <f>HYPERLINK("http://mirror.ff7data.com.ar/ff7/data/battle/battle.lgp/cfaw.png","View Picture")</f>
        <v>View Picture</v>
      </c>
      <c r="H1049" s="75"/>
      <c r="I1049" s="74"/>
      <c r="J1049" s="74"/>
      <c r="K1049" s="74"/>
    </row>
    <row r="1050">
      <c r="A1050" s="21"/>
      <c r="B1050" s="119" t="s">
        <v>12167</v>
      </c>
      <c r="C1050" s="120" t="s">
        <v>3723</v>
      </c>
      <c r="D1050" s="33" t="s">
        <v>12100</v>
      </c>
      <c r="E1050" s="51" t="s">
        <v>291</v>
      </c>
      <c r="F1050" s="121" t="s">
        <v>3009</v>
      </c>
      <c r="G1050" s="98" t="str">
        <f>HYPERLINK("http://mirror.ff7data.com.ar/ff7/data/battle/battle.lgp/cfaz.png","View Picture")</f>
        <v>View Picture</v>
      </c>
      <c r="H1050" s="75"/>
      <c r="I1050" s="74"/>
      <c r="J1050" s="74"/>
      <c r="K1050" s="74"/>
    </row>
    <row r="1051">
      <c r="A1051" s="21"/>
      <c r="B1051" s="119" t="s">
        <v>12177</v>
      </c>
      <c r="C1051" s="120" t="s">
        <v>4185</v>
      </c>
      <c r="D1051" s="33" t="s">
        <v>12100</v>
      </c>
      <c r="E1051" s="51" t="s">
        <v>291</v>
      </c>
      <c r="F1051" s="121" t="s">
        <v>3009</v>
      </c>
      <c r="G1051" s="98" t="str">
        <f>HYPERLINK("http://mirror.ff7data.com.ar/ff7/data/battle/battle.lgp/cfba.png","View Picture")</f>
        <v>View Picture</v>
      </c>
      <c r="H1051" s="75"/>
      <c r="I1051" s="74"/>
      <c r="J1051" s="74"/>
      <c r="K1051" s="74"/>
    </row>
    <row r="1052">
      <c r="A1052" s="21"/>
      <c r="B1052" s="119" t="s">
        <v>12186</v>
      </c>
      <c r="C1052" s="120" t="s">
        <v>5904</v>
      </c>
      <c r="D1052" s="33" t="s">
        <v>12100</v>
      </c>
      <c r="E1052" s="51" t="s">
        <v>291</v>
      </c>
      <c r="F1052" s="121" t="s">
        <v>3009</v>
      </c>
      <c r="G1052" s="98" t="str">
        <f>HYPERLINK("http://mirror.ff7data.com.ar/ff7/data/battle/battle.lgp/cfbb.png","View Picture")</f>
        <v>View Picture</v>
      </c>
      <c r="H1052" s="75"/>
      <c r="I1052" s="74"/>
      <c r="J1052" s="74"/>
      <c r="K1052" s="74"/>
    </row>
    <row r="1053">
      <c r="A1053" s="21"/>
      <c r="B1053" s="119" t="s">
        <v>12195</v>
      </c>
      <c r="C1053" s="120" t="s">
        <v>3355</v>
      </c>
      <c r="D1053" s="33" t="s">
        <v>12100</v>
      </c>
      <c r="E1053" s="51" t="s">
        <v>291</v>
      </c>
      <c r="F1053" s="121" t="s">
        <v>3009</v>
      </c>
      <c r="G1053" s="98" t="str">
        <f>HYPERLINK("http://mirror.ff7data.com.ar/ff7/data/battle/battle.lgp/cfbe.png","View Picture")</f>
        <v>View Picture</v>
      </c>
      <c r="H1053" s="75"/>
      <c r="I1053" s="74"/>
      <c r="J1053" s="74"/>
      <c r="K1053" s="74"/>
    </row>
    <row r="1054">
      <c r="A1054" s="21"/>
      <c r="B1054" s="119" t="s">
        <v>12203</v>
      </c>
      <c r="C1054" s="120" t="s">
        <v>4185</v>
      </c>
      <c r="D1054" s="33" t="s">
        <v>12100</v>
      </c>
      <c r="E1054" s="51" t="s">
        <v>291</v>
      </c>
      <c r="F1054" s="121" t="s">
        <v>3009</v>
      </c>
      <c r="G1054" s="98" t="str">
        <f>HYPERLINK("http://mirror.ff7data.com.ar/ff7/data/battle/battle.lgp/cfbf.png","View Picture")</f>
        <v>View Picture</v>
      </c>
      <c r="H1054" s="75"/>
      <c r="I1054" s="74"/>
      <c r="J1054" s="74"/>
      <c r="K1054" s="74"/>
    </row>
    <row r="1055">
      <c r="A1055" s="21"/>
      <c r="B1055" s="119" t="s">
        <v>12213</v>
      </c>
      <c r="C1055" s="120" t="s">
        <v>5967</v>
      </c>
      <c r="D1055" s="33" t="s">
        <v>12100</v>
      </c>
      <c r="E1055" s="51" t="s">
        <v>291</v>
      </c>
      <c r="F1055" s="121" t="s">
        <v>3009</v>
      </c>
      <c r="G1055" s="98" t="str">
        <f>HYPERLINK("http://mirror.ff7data.com.ar/ff7/data/battle/battle.lgp/cfbg.png","View Picture")</f>
        <v>View Picture</v>
      </c>
      <c r="H1055" s="75"/>
      <c r="I1055" s="74"/>
      <c r="J1055" s="74"/>
      <c r="K1055" s="74"/>
    </row>
    <row r="1056">
      <c r="A1056" s="21"/>
      <c r="B1056" s="119" t="s">
        <v>12220</v>
      </c>
      <c r="C1056" s="120" t="s">
        <v>3671</v>
      </c>
      <c r="D1056" s="33" t="s">
        <v>12100</v>
      </c>
      <c r="E1056" s="51" t="s">
        <v>291</v>
      </c>
      <c r="F1056" s="121" t="s">
        <v>3025</v>
      </c>
      <c r="G1056" s="122"/>
      <c r="H1056" s="46" t="s">
        <v>3002</v>
      </c>
      <c r="I1056" s="74"/>
      <c r="J1056" s="74"/>
      <c r="K1056" s="74"/>
    </row>
    <row r="1057">
      <c r="A1057" s="21"/>
      <c r="B1057" s="119" t="s">
        <v>12223</v>
      </c>
      <c r="C1057" s="120" t="s">
        <v>12090</v>
      </c>
      <c r="D1057" s="33" t="s">
        <v>12224</v>
      </c>
      <c r="E1057" s="51" t="s">
        <v>294</v>
      </c>
      <c r="F1057" s="121" t="s">
        <v>2971</v>
      </c>
      <c r="G1057" s="98" t="str">
        <f>HYPERLINK("http://mirror.ff7data.com.ar/ff7/data/battle/battle.lgp/cgaa.png","View Picture")</f>
        <v>View Picture</v>
      </c>
      <c r="H1057" s="75"/>
      <c r="I1057" s="74"/>
      <c r="J1057" s="74"/>
      <c r="K1057" s="74"/>
    </row>
    <row r="1058">
      <c r="A1058" s="21"/>
      <c r="B1058" s="119" t="s">
        <v>12230</v>
      </c>
      <c r="C1058" s="120" t="s">
        <v>5724</v>
      </c>
      <c r="D1058" s="33" t="s">
        <v>12232</v>
      </c>
      <c r="E1058" s="51" t="s">
        <v>294</v>
      </c>
      <c r="F1058" s="121" t="s">
        <v>2993</v>
      </c>
      <c r="G1058" s="122"/>
      <c r="H1058" s="46" t="s">
        <v>3002</v>
      </c>
      <c r="I1058" s="74"/>
      <c r="J1058" s="74"/>
      <c r="K1058" s="74"/>
    </row>
    <row r="1059">
      <c r="A1059" s="21"/>
      <c r="B1059" s="119" t="s">
        <v>12234</v>
      </c>
      <c r="C1059" s="120" t="s">
        <v>3749</v>
      </c>
      <c r="D1059" s="33" t="s">
        <v>12232</v>
      </c>
      <c r="E1059" s="51" t="s">
        <v>294</v>
      </c>
      <c r="F1059" s="121" t="s">
        <v>3009</v>
      </c>
      <c r="G1059" s="98" t="str">
        <f>HYPERLINK("http://mirror.ff7data.com.ar/ff7/data/battle/battle.lgp/cgam.png","View Picture")</f>
        <v>View Picture</v>
      </c>
      <c r="H1059" s="75"/>
      <c r="I1059" s="74"/>
      <c r="J1059" s="74"/>
      <c r="K1059" s="74"/>
    </row>
    <row r="1060">
      <c r="A1060" s="21"/>
      <c r="B1060" s="119" t="s">
        <v>12244</v>
      </c>
      <c r="C1060" s="120" t="s">
        <v>4217</v>
      </c>
      <c r="D1060" s="33" t="s">
        <v>12232</v>
      </c>
      <c r="E1060" s="51" t="s">
        <v>294</v>
      </c>
      <c r="F1060" s="121" t="s">
        <v>3009</v>
      </c>
      <c r="G1060" s="98" t="str">
        <f>HYPERLINK("http://mirror.ff7data.com.ar/ff7/data/battle/battle.lgp/cgap.png","View Picture")</f>
        <v>View Picture</v>
      </c>
      <c r="H1060" s="75"/>
      <c r="I1060" s="74"/>
      <c r="J1060" s="74"/>
      <c r="K1060" s="74"/>
    </row>
    <row r="1061">
      <c r="A1061" s="21"/>
      <c r="B1061" s="119" t="s">
        <v>12256</v>
      </c>
      <c r="C1061" s="120" t="s">
        <v>5762</v>
      </c>
      <c r="D1061" s="33" t="s">
        <v>12232</v>
      </c>
      <c r="E1061" s="51" t="s">
        <v>294</v>
      </c>
      <c r="F1061" s="121" t="s">
        <v>3009</v>
      </c>
      <c r="G1061" s="98" t="str">
        <f>HYPERLINK("http://mirror.ff7data.com.ar/ff7/data/battle/battle.lgp/cgaq.png","View Picture")</f>
        <v>View Picture</v>
      </c>
      <c r="H1061" s="75"/>
      <c r="I1061" s="74"/>
      <c r="J1061" s="74"/>
      <c r="K1061" s="74"/>
    </row>
    <row r="1062">
      <c r="A1062" s="21"/>
      <c r="B1062" s="119" t="s">
        <v>12258</v>
      </c>
      <c r="C1062" s="120" t="s">
        <v>4372</v>
      </c>
      <c r="D1062" s="33" t="s">
        <v>12232</v>
      </c>
      <c r="E1062" s="51" t="s">
        <v>294</v>
      </c>
      <c r="F1062" s="121" t="s">
        <v>3009</v>
      </c>
      <c r="G1062" s="98" t="str">
        <f>HYPERLINK("http://mirror.ff7data.com.ar/ff7/data/battle/battle.lgp/cgar.png","View Picture")</f>
        <v>View Picture</v>
      </c>
      <c r="H1062" s="75"/>
      <c r="I1062" s="74"/>
      <c r="J1062" s="74"/>
      <c r="K1062" s="74"/>
    </row>
    <row r="1063">
      <c r="A1063" s="21"/>
      <c r="B1063" s="119" t="s">
        <v>12265</v>
      </c>
      <c r="C1063" s="120" t="s">
        <v>10078</v>
      </c>
      <c r="D1063" s="33" t="s">
        <v>12232</v>
      </c>
      <c r="E1063" s="51" t="s">
        <v>294</v>
      </c>
      <c r="F1063" s="121" t="s">
        <v>3009</v>
      </c>
      <c r="G1063" s="98" t="str">
        <f>HYPERLINK("http://mirror.ff7data.com.ar/ff7/data/battle/battle.lgp/cgau.png","View Picture")</f>
        <v>View Picture</v>
      </c>
      <c r="H1063" s="75"/>
      <c r="I1063" s="74"/>
      <c r="J1063" s="74"/>
      <c r="K1063" s="74"/>
    </row>
    <row r="1064">
      <c r="A1064" s="21"/>
      <c r="B1064" s="119" t="s">
        <v>12274</v>
      </c>
      <c r="C1064" s="120" t="s">
        <v>5762</v>
      </c>
      <c r="D1064" s="33" t="s">
        <v>12232</v>
      </c>
      <c r="E1064" s="51" t="s">
        <v>294</v>
      </c>
      <c r="F1064" s="121" t="s">
        <v>3009</v>
      </c>
      <c r="G1064" s="98" t="str">
        <f>HYPERLINK("http://mirror.ff7data.com.ar/ff7/data/battle/battle.lgp/cgav.png","View Picture")</f>
        <v>View Picture</v>
      </c>
      <c r="H1064" s="75"/>
      <c r="I1064" s="74"/>
      <c r="J1064" s="74"/>
      <c r="K1064" s="74"/>
    </row>
    <row r="1065">
      <c r="A1065" s="21"/>
      <c r="B1065" s="119" t="s">
        <v>12282</v>
      </c>
      <c r="C1065" s="120" t="s">
        <v>4372</v>
      </c>
      <c r="D1065" s="33" t="s">
        <v>12232</v>
      </c>
      <c r="E1065" s="51" t="s">
        <v>294</v>
      </c>
      <c r="F1065" s="121" t="s">
        <v>3009</v>
      </c>
      <c r="G1065" s="98" t="str">
        <f>HYPERLINK("http://mirror.ff7data.com.ar/ff7/data/battle/battle.lgp/cgaw.png","View Picture")</f>
        <v>View Picture</v>
      </c>
      <c r="H1065" s="75"/>
      <c r="I1065" s="74"/>
      <c r="J1065" s="74"/>
      <c r="K1065" s="74"/>
    </row>
    <row r="1066">
      <c r="A1066" s="21"/>
      <c r="B1066" s="119" t="s">
        <v>12289</v>
      </c>
      <c r="C1066" s="120" t="s">
        <v>4252</v>
      </c>
      <c r="D1066" s="33" t="s">
        <v>12232</v>
      </c>
      <c r="E1066" s="51" t="s">
        <v>294</v>
      </c>
      <c r="F1066" s="121" t="s">
        <v>3009</v>
      </c>
      <c r="G1066" s="98" t="str">
        <f>HYPERLINK("http://mirror.ff7data.com.ar/ff7/data/battle/battle.lgp/cgay.png","View Picture")</f>
        <v>View Picture</v>
      </c>
      <c r="H1066" s="75"/>
      <c r="I1066" s="74"/>
      <c r="J1066" s="74"/>
      <c r="K1066" s="74"/>
    </row>
    <row r="1067">
      <c r="A1067" s="21"/>
      <c r="B1067" s="119" t="s">
        <v>12313</v>
      </c>
      <c r="C1067" s="120" t="s">
        <v>7165</v>
      </c>
      <c r="D1067" s="33" t="s">
        <v>12232</v>
      </c>
      <c r="E1067" s="51" t="s">
        <v>294</v>
      </c>
      <c r="F1067" s="121" t="s">
        <v>3009</v>
      </c>
      <c r="G1067" s="98" t="str">
        <f>HYPERLINK("http://mirror.ff7data.com.ar/ff7/data/battle/battle.lgp/cgaz.png","View Picture")</f>
        <v>View Picture</v>
      </c>
      <c r="H1067" s="75"/>
      <c r="I1067" s="74"/>
      <c r="J1067" s="74"/>
      <c r="K1067" s="74"/>
    </row>
    <row r="1068">
      <c r="A1068" s="21"/>
      <c r="B1068" s="119" t="s">
        <v>12327</v>
      </c>
      <c r="C1068" s="120" t="s">
        <v>5203</v>
      </c>
      <c r="D1068" s="33" t="s">
        <v>12232</v>
      </c>
      <c r="E1068" s="51" t="s">
        <v>294</v>
      </c>
      <c r="F1068" s="121" t="s">
        <v>3009</v>
      </c>
      <c r="G1068" s="98" t="str">
        <f>HYPERLINK("http://mirror.ff7data.com.ar/ff7/data/battle/battle.lgp/cgba.png","View Picture")</f>
        <v>View Picture</v>
      </c>
      <c r="H1068" s="75"/>
      <c r="I1068" s="74"/>
      <c r="J1068" s="74"/>
      <c r="K1068" s="74"/>
    </row>
    <row r="1069">
      <c r="A1069" s="21"/>
      <c r="B1069" s="119" t="s">
        <v>12335</v>
      </c>
      <c r="C1069" s="120" t="s">
        <v>7270</v>
      </c>
      <c r="D1069" s="33" t="s">
        <v>12232</v>
      </c>
      <c r="E1069" s="51" t="s">
        <v>294</v>
      </c>
      <c r="F1069" s="121" t="s">
        <v>3009</v>
      </c>
      <c r="G1069" s="98" t="str">
        <f>HYPERLINK("http://mirror.ff7data.com.ar/ff7/data/battle/battle.lgp/cgbc.png","View Picture")</f>
        <v>View Picture</v>
      </c>
      <c r="H1069" s="75"/>
      <c r="I1069" s="74"/>
      <c r="J1069" s="74"/>
      <c r="K1069" s="74"/>
    </row>
    <row r="1070">
      <c r="A1070" s="21"/>
      <c r="B1070" s="119" t="s">
        <v>12339</v>
      </c>
      <c r="C1070" s="120" t="s">
        <v>7165</v>
      </c>
      <c r="D1070" s="33" t="s">
        <v>12232</v>
      </c>
      <c r="E1070" s="51" t="s">
        <v>294</v>
      </c>
      <c r="F1070" s="121" t="s">
        <v>3009</v>
      </c>
      <c r="G1070" s="98" t="str">
        <f>HYPERLINK("http://mirror.ff7data.com.ar/ff7/data/battle/battle.lgp/cgbd.png","View Picture")</f>
        <v>View Picture</v>
      </c>
      <c r="H1070" s="75"/>
      <c r="I1070" s="74"/>
      <c r="J1070" s="74"/>
      <c r="K1070" s="74"/>
    </row>
    <row r="1071">
      <c r="A1071" s="21"/>
      <c r="B1071" s="119" t="s">
        <v>12349</v>
      </c>
      <c r="C1071" s="120" t="s">
        <v>5203</v>
      </c>
      <c r="D1071" s="33" t="s">
        <v>12232</v>
      </c>
      <c r="E1071" s="51" t="s">
        <v>294</v>
      </c>
      <c r="F1071" s="121" t="s">
        <v>3009</v>
      </c>
      <c r="G1071" s="98" t="str">
        <f>HYPERLINK("http://mirror.ff7data.com.ar/ff7/data/battle/battle.lgp/cgbe.png","View Picture")</f>
        <v>View Picture</v>
      </c>
      <c r="H1071" s="75"/>
      <c r="I1071" s="74"/>
      <c r="J1071" s="74"/>
      <c r="K1071" s="74"/>
    </row>
    <row r="1072">
      <c r="A1072" s="21"/>
      <c r="B1072" s="119" t="s">
        <v>12362</v>
      </c>
      <c r="C1072" s="120" t="s">
        <v>5762</v>
      </c>
      <c r="D1072" s="33" t="s">
        <v>12232</v>
      </c>
      <c r="E1072" s="51" t="s">
        <v>294</v>
      </c>
      <c r="F1072" s="121" t="s">
        <v>3009</v>
      </c>
      <c r="G1072" s="98" t="str">
        <f>HYPERLINK("http://mirror.ff7data.com.ar/ff7/data/battle/battle.lgp/cgbf.png","View Picture")</f>
        <v>View Picture</v>
      </c>
      <c r="H1072" s="75"/>
      <c r="I1072" s="74"/>
      <c r="J1072" s="74"/>
      <c r="K1072" s="74"/>
    </row>
    <row r="1073">
      <c r="A1073" s="21"/>
      <c r="B1073" s="119" t="s">
        <v>12370</v>
      </c>
      <c r="C1073" s="120" t="s">
        <v>5904</v>
      </c>
      <c r="D1073" s="33" t="s">
        <v>12232</v>
      </c>
      <c r="E1073" s="51" t="s">
        <v>294</v>
      </c>
      <c r="F1073" s="121" t="s">
        <v>3009</v>
      </c>
      <c r="G1073" s="98" t="str">
        <f>HYPERLINK("http://mirror.ff7data.com.ar/ff7/data/battle/battle.lgp/cgbg.png","View Picture")</f>
        <v>View Picture</v>
      </c>
      <c r="H1073" s="75"/>
      <c r="I1073" s="74"/>
      <c r="J1073" s="74"/>
      <c r="K1073" s="74"/>
    </row>
    <row r="1074">
      <c r="A1074" s="21"/>
      <c r="B1074" s="119" t="s">
        <v>12379</v>
      </c>
      <c r="C1074" s="120" t="s">
        <v>7129</v>
      </c>
      <c r="D1074" s="33" t="s">
        <v>12232</v>
      </c>
      <c r="E1074" s="51" t="s">
        <v>294</v>
      </c>
      <c r="F1074" s="121" t="s">
        <v>3025</v>
      </c>
      <c r="G1074" s="122"/>
      <c r="H1074" s="46" t="s">
        <v>3002</v>
      </c>
      <c r="I1074" s="74"/>
      <c r="J1074" s="74"/>
      <c r="K1074" s="74"/>
    </row>
    <row r="1075">
      <c r="A1075" s="21"/>
      <c r="B1075" s="119" t="s">
        <v>12384</v>
      </c>
      <c r="C1075" s="120" t="s">
        <v>8241</v>
      </c>
      <c r="D1075" s="33" t="s">
        <v>12385</v>
      </c>
      <c r="E1075" s="51" t="s">
        <v>297</v>
      </c>
      <c r="F1075" s="121" t="s">
        <v>2971</v>
      </c>
      <c r="G1075" s="98" t="str">
        <f>HYPERLINK("http://mirror.ff7data.com.ar/ff7/data/battle/battle.lgp/chaa.png","View Picture")</f>
        <v>View Picture</v>
      </c>
      <c r="H1075" s="75"/>
      <c r="I1075" s="74"/>
      <c r="J1075" s="74"/>
      <c r="K1075" s="74"/>
    </row>
    <row r="1076">
      <c r="A1076" s="21"/>
      <c r="B1076" s="119" t="s">
        <v>12393</v>
      </c>
      <c r="C1076" s="120" t="s">
        <v>4209</v>
      </c>
      <c r="D1076" s="33" t="s">
        <v>12395</v>
      </c>
      <c r="E1076" s="51" t="s">
        <v>297</v>
      </c>
      <c r="F1076" s="121" t="s">
        <v>2993</v>
      </c>
      <c r="G1076" s="122"/>
      <c r="H1076" s="46" t="s">
        <v>3002</v>
      </c>
      <c r="I1076" s="74"/>
      <c r="J1076" s="74"/>
      <c r="K1076" s="74"/>
    </row>
    <row r="1077">
      <c r="A1077" s="21"/>
      <c r="B1077" s="119" t="s">
        <v>12398</v>
      </c>
      <c r="C1077" s="120" t="s">
        <v>12399</v>
      </c>
      <c r="D1077" s="33" t="s">
        <v>12395</v>
      </c>
      <c r="E1077" s="51" t="s">
        <v>297</v>
      </c>
      <c r="F1077" s="121" t="s">
        <v>3009</v>
      </c>
      <c r="G1077" s="98" t="str">
        <f>HYPERLINK("http://mirror.ff7data.com.ar/ff7/data/battle/battle.lgp/cham.png","View Picture")</f>
        <v>View Picture</v>
      </c>
      <c r="H1077" s="75"/>
      <c r="I1077" s="74"/>
      <c r="J1077" s="74"/>
      <c r="K1077" s="74"/>
    </row>
    <row r="1078">
      <c r="A1078" s="21"/>
      <c r="B1078" s="119" t="s">
        <v>12406</v>
      </c>
      <c r="C1078" s="120" t="s">
        <v>3768</v>
      </c>
      <c r="D1078" s="33" t="s">
        <v>12395</v>
      </c>
      <c r="E1078" s="51" t="s">
        <v>297</v>
      </c>
      <c r="F1078" s="121" t="s">
        <v>3009</v>
      </c>
      <c r="G1078" s="98" t="str">
        <f>HYPERLINK("http://mirror.ff7data.com.ar/ff7/data/battle/battle.lgp/chao.png","View Picture")</f>
        <v>View Picture</v>
      </c>
      <c r="H1078" s="75"/>
      <c r="I1078" s="74"/>
      <c r="J1078" s="74"/>
      <c r="K1078" s="74"/>
    </row>
    <row r="1079">
      <c r="A1079" s="21"/>
      <c r="B1079" s="119" t="s">
        <v>12416</v>
      </c>
      <c r="C1079" s="120" t="s">
        <v>3768</v>
      </c>
      <c r="D1079" s="33" t="s">
        <v>12395</v>
      </c>
      <c r="E1079" s="51" t="s">
        <v>297</v>
      </c>
      <c r="F1079" s="121" t="s">
        <v>3009</v>
      </c>
      <c r="G1079" s="98" t="str">
        <f>HYPERLINK("http://mirror.ff7data.com.ar/ff7/data/battle/battle.lgp/chaq.png","View Picture")</f>
        <v>View Picture</v>
      </c>
      <c r="H1079" s="75"/>
      <c r="I1079" s="74"/>
      <c r="J1079" s="74"/>
      <c r="K1079" s="74"/>
    </row>
    <row r="1080">
      <c r="A1080" s="21"/>
      <c r="B1080" s="119" t="s">
        <v>12426</v>
      </c>
      <c r="C1080" s="120" t="s">
        <v>5573</v>
      </c>
      <c r="D1080" s="33" t="s">
        <v>12395</v>
      </c>
      <c r="E1080" s="51" t="s">
        <v>297</v>
      </c>
      <c r="F1080" s="121" t="s">
        <v>3009</v>
      </c>
      <c r="G1080" s="98" t="str">
        <f>HYPERLINK("http://mirror.ff7data.com.ar/ff7/data/battle/battle.lgp/chas.png","View Picture")</f>
        <v>View Picture</v>
      </c>
      <c r="H1080" s="75"/>
      <c r="I1080" s="74"/>
      <c r="J1080" s="74"/>
      <c r="K1080" s="74"/>
    </row>
    <row r="1081">
      <c r="A1081" s="21"/>
      <c r="B1081" s="119" t="s">
        <v>12438</v>
      </c>
      <c r="C1081" s="120" t="s">
        <v>3658</v>
      </c>
      <c r="D1081" s="33" t="s">
        <v>12395</v>
      </c>
      <c r="E1081" s="51" t="s">
        <v>297</v>
      </c>
      <c r="F1081" s="121" t="s">
        <v>3009</v>
      </c>
      <c r="G1081" s="98" t="str">
        <f>HYPERLINK("http://mirror.ff7data.com.ar/ff7/data/battle/battle.lgp/chav.png","View Picture")</f>
        <v>View Picture</v>
      </c>
      <c r="H1081" s="75"/>
      <c r="I1081" s="74"/>
      <c r="J1081" s="74"/>
      <c r="K1081" s="74"/>
    </row>
    <row r="1082">
      <c r="A1082" s="21"/>
      <c r="B1082" s="119" t="s">
        <v>12448</v>
      </c>
      <c r="C1082" s="120" t="s">
        <v>4396</v>
      </c>
      <c r="D1082" s="33" t="s">
        <v>12395</v>
      </c>
      <c r="E1082" s="51" t="s">
        <v>297</v>
      </c>
      <c r="F1082" s="121" t="s">
        <v>3009</v>
      </c>
      <c r="G1082" s="98" t="str">
        <f>HYPERLINK("http://mirror.ff7data.com.ar/ff7/data/battle/battle.lgp/chaw.png","View Picture")</f>
        <v>View Picture</v>
      </c>
      <c r="H1082" s="75"/>
      <c r="I1082" s="74"/>
      <c r="J1082" s="74"/>
      <c r="K1082" s="74"/>
    </row>
    <row r="1083">
      <c r="A1083" s="21"/>
      <c r="B1083" s="119" t="s">
        <v>12459</v>
      </c>
      <c r="C1083" s="120" t="s">
        <v>4185</v>
      </c>
      <c r="D1083" s="33" t="s">
        <v>12395</v>
      </c>
      <c r="E1083" s="51" t="s">
        <v>297</v>
      </c>
      <c r="F1083" s="121" t="s">
        <v>3009</v>
      </c>
      <c r="G1083" s="98" t="str">
        <f>HYPERLINK("http://mirror.ff7data.com.ar/ff7/data/battle/battle.lgp/chay.png","View Picture")</f>
        <v>View Picture</v>
      </c>
      <c r="H1083" s="75"/>
      <c r="I1083" s="74"/>
      <c r="J1083" s="74"/>
      <c r="K1083" s="74"/>
    </row>
    <row r="1084">
      <c r="A1084" s="21"/>
      <c r="B1084" s="119" t="s">
        <v>12469</v>
      </c>
      <c r="C1084" s="120" t="s">
        <v>4439</v>
      </c>
      <c r="D1084" s="33" t="s">
        <v>12395</v>
      </c>
      <c r="E1084" s="51" t="s">
        <v>297</v>
      </c>
      <c r="F1084" s="121" t="s">
        <v>3009</v>
      </c>
      <c r="G1084" s="98" t="str">
        <f>HYPERLINK("http://mirror.ff7data.com.ar/ff7/data/battle/battle.lgp/chaz.png","View Picture")</f>
        <v>View Picture</v>
      </c>
      <c r="H1084" s="75"/>
      <c r="I1084" s="74"/>
      <c r="J1084" s="74"/>
      <c r="K1084" s="74"/>
    </row>
    <row r="1085">
      <c r="A1085" s="21"/>
      <c r="B1085" s="119" t="s">
        <v>12480</v>
      </c>
      <c r="C1085" s="120" t="s">
        <v>4439</v>
      </c>
      <c r="D1085" s="33" t="s">
        <v>12395</v>
      </c>
      <c r="E1085" s="51" t="s">
        <v>297</v>
      </c>
      <c r="F1085" s="121" t="s">
        <v>3009</v>
      </c>
      <c r="G1085" s="98" t="str">
        <f>HYPERLINK("http://mirror.ff7data.com.ar/ff7/data/battle/battle.lgp/chba.png","View Picture")</f>
        <v>View Picture</v>
      </c>
      <c r="H1085" s="75"/>
      <c r="I1085" s="74"/>
      <c r="J1085" s="74"/>
      <c r="K1085" s="74"/>
    </row>
    <row r="1086">
      <c r="A1086" s="21"/>
      <c r="B1086" s="119" t="s">
        <v>12492</v>
      </c>
      <c r="C1086" s="120" t="s">
        <v>9642</v>
      </c>
      <c r="D1086" s="33" t="s">
        <v>12395</v>
      </c>
      <c r="E1086" s="51" t="s">
        <v>297</v>
      </c>
      <c r="F1086" s="121" t="s">
        <v>3009</v>
      </c>
      <c r="G1086" s="98" t="str">
        <f>HYPERLINK("http://mirror.ff7data.com.ar/ff7/data/battle/battle.lgp/chbb.png","View Picture")</f>
        <v>View Picture</v>
      </c>
      <c r="H1086" s="75"/>
      <c r="I1086" s="74"/>
      <c r="J1086" s="74"/>
      <c r="K1086" s="74"/>
    </row>
    <row r="1087">
      <c r="A1087" s="21"/>
      <c r="B1087" s="119" t="s">
        <v>12502</v>
      </c>
      <c r="C1087" s="120" t="s">
        <v>3658</v>
      </c>
      <c r="D1087" s="33" t="s">
        <v>12395</v>
      </c>
      <c r="E1087" s="51" t="s">
        <v>297</v>
      </c>
      <c r="F1087" s="121" t="s">
        <v>3009</v>
      </c>
      <c r="G1087" s="98" t="str">
        <f>HYPERLINK("http://mirror.ff7data.com.ar/ff7/data/battle/battle.lgp/chbd.png","View Picture")</f>
        <v>View Picture</v>
      </c>
      <c r="H1087" s="75"/>
      <c r="I1087" s="74"/>
      <c r="J1087" s="74"/>
      <c r="K1087" s="74"/>
    </row>
    <row r="1088">
      <c r="A1088" s="21"/>
      <c r="B1088" s="119" t="s">
        <v>12512</v>
      </c>
      <c r="C1088" s="120" t="s">
        <v>4396</v>
      </c>
      <c r="D1088" s="33" t="s">
        <v>12395</v>
      </c>
      <c r="E1088" s="51" t="s">
        <v>297</v>
      </c>
      <c r="F1088" s="121" t="s">
        <v>3009</v>
      </c>
      <c r="G1088" s="98" t="str">
        <f>HYPERLINK("http://mirror.ff7data.com.ar/ff7/data/battle/battle.lgp/chbe.png","View Picture")</f>
        <v>View Picture</v>
      </c>
      <c r="H1088" s="75"/>
      <c r="I1088" s="74"/>
      <c r="J1088" s="74"/>
      <c r="K1088" s="74"/>
    </row>
    <row r="1089">
      <c r="A1089" s="21"/>
      <c r="B1089" s="119" t="s">
        <v>12522</v>
      </c>
      <c r="C1089" s="120" t="s">
        <v>4185</v>
      </c>
      <c r="D1089" s="33" t="s">
        <v>12395</v>
      </c>
      <c r="E1089" s="51" t="s">
        <v>297</v>
      </c>
      <c r="F1089" s="121" t="s">
        <v>3009</v>
      </c>
      <c r="G1089" s="98" t="str">
        <f>HYPERLINK("http://mirror.ff7data.com.ar/ff7/data/battle/battle.lgp/chbg.png","View Picture")</f>
        <v>View Picture</v>
      </c>
      <c r="H1089" s="75"/>
      <c r="I1089" s="74"/>
      <c r="J1089" s="74"/>
      <c r="K1089" s="74"/>
    </row>
    <row r="1090">
      <c r="A1090" s="21"/>
      <c r="B1090" s="119" t="s">
        <v>12534</v>
      </c>
      <c r="C1090" s="120" t="s">
        <v>4439</v>
      </c>
      <c r="D1090" s="33" t="s">
        <v>12395</v>
      </c>
      <c r="E1090" s="51" t="s">
        <v>297</v>
      </c>
      <c r="F1090" s="121" t="s">
        <v>3009</v>
      </c>
      <c r="G1090" s="98" t="str">
        <f>HYPERLINK("http://mirror.ff7data.com.ar/ff7/data/battle/battle.lgp/chbh.png","View Picture")</f>
        <v>View Picture</v>
      </c>
      <c r="H1090" s="75"/>
      <c r="I1090" s="74"/>
      <c r="J1090" s="74"/>
      <c r="K1090" s="74"/>
    </row>
    <row r="1091">
      <c r="A1091" s="21"/>
      <c r="B1091" s="119" t="s">
        <v>12542</v>
      </c>
      <c r="C1091" s="120" t="s">
        <v>4439</v>
      </c>
      <c r="D1091" s="33" t="s">
        <v>12395</v>
      </c>
      <c r="E1091" s="51" t="s">
        <v>297</v>
      </c>
      <c r="F1091" s="121" t="s">
        <v>3009</v>
      </c>
      <c r="G1091" s="98" t="str">
        <f>HYPERLINK("http://mirror.ff7data.com.ar/ff7/data/battle/battle.lgp/chbi.png","View Picture")</f>
        <v>View Picture</v>
      </c>
      <c r="H1091" s="75"/>
      <c r="I1091" s="74"/>
      <c r="J1091" s="74"/>
      <c r="K1091" s="74"/>
    </row>
    <row r="1092">
      <c r="A1092" s="21"/>
      <c r="B1092" s="119" t="s">
        <v>12544</v>
      </c>
      <c r="C1092" s="120" t="s">
        <v>9642</v>
      </c>
      <c r="D1092" s="33" t="s">
        <v>12395</v>
      </c>
      <c r="E1092" s="51" t="s">
        <v>297</v>
      </c>
      <c r="F1092" s="121" t="s">
        <v>3009</v>
      </c>
      <c r="G1092" s="98" t="str">
        <f>HYPERLINK("http://mirror.ff7data.com.ar/ff7/data/battle/battle.lgp/chbj.png","View Picture")</f>
        <v>View Picture</v>
      </c>
      <c r="H1092" s="75"/>
      <c r="I1092" s="74"/>
      <c r="J1092" s="74"/>
      <c r="K1092" s="74"/>
    </row>
    <row r="1093">
      <c r="A1093" s="21"/>
      <c r="B1093" s="119" t="s">
        <v>12560</v>
      </c>
      <c r="C1093" s="120" t="s">
        <v>4030</v>
      </c>
      <c r="D1093" s="33" t="s">
        <v>12395</v>
      </c>
      <c r="E1093" s="51" t="s">
        <v>297</v>
      </c>
      <c r="F1093" s="121" t="s">
        <v>3009</v>
      </c>
      <c r="G1093" s="98" t="str">
        <f>HYPERLINK("http://mirror.ff7data.com.ar/ff7/data/battle/battle.lgp/chbk.png","View Picture")</f>
        <v>View Picture</v>
      </c>
      <c r="H1093" s="75"/>
      <c r="I1093" s="74"/>
      <c r="J1093" s="74"/>
      <c r="K1093" s="74"/>
    </row>
    <row r="1094">
      <c r="A1094" s="21"/>
      <c r="B1094" s="119" t="s">
        <v>12573</v>
      </c>
      <c r="C1094" s="120" t="s">
        <v>4439</v>
      </c>
      <c r="D1094" s="33" t="s">
        <v>12395</v>
      </c>
      <c r="E1094" s="51" t="s">
        <v>297</v>
      </c>
      <c r="F1094" s="121" t="s">
        <v>3009</v>
      </c>
      <c r="G1094" s="98" t="str">
        <f>HYPERLINK("http://mirror.ff7data.com.ar/ff7/data/battle/battle.lgp/chbl.png","View Picture")</f>
        <v>View Picture</v>
      </c>
      <c r="H1094" s="75"/>
      <c r="I1094" s="74"/>
      <c r="J1094" s="74"/>
      <c r="K1094" s="74"/>
    </row>
    <row r="1095">
      <c r="A1095" s="21"/>
      <c r="B1095" s="119" t="s">
        <v>12589</v>
      </c>
      <c r="C1095" s="120" t="s">
        <v>3519</v>
      </c>
      <c r="D1095" s="33" t="s">
        <v>12395</v>
      </c>
      <c r="E1095" s="51" t="s">
        <v>297</v>
      </c>
      <c r="F1095" s="121" t="s">
        <v>3025</v>
      </c>
      <c r="G1095" s="122"/>
      <c r="H1095" s="46" t="s">
        <v>3002</v>
      </c>
      <c r="I1095" s="74"/>
      <c r="J1095" s="74"/>
      <c r="K1095" s="74"/>
    </row>
    <row r="1096">
      <c r="A1096" s="84"/>
      <c r="B1096" s="119" t="s">
        <v>12597</v>
      </c>
      <c r="C1096" s="120" t="s">
        <v>4196</v>
      </c>
      <c r="D1096" s="33" t="s">
        <v>12600</v>
      </c>
      <c r="E1096" s="51" t="s">
        <v>301</v>
      </c>
      <c r="F1096" s="121" t="s">
        <v>2971</v>
      </c>
      <c r="G1096" s="98" t="str">
        <f>HYPERLINK("http://mirror.ff7data.com.ar/ff7/data/battle/battle.lgp/ciaa.png","View Picture")</f>
        <v>View Picture</v>
      </c>
      <c r="H1096" s="46" t="s">
        <v>12611</v>
      </c>
      <c r="I1096" s="74"/>
      <c r="J1096" s="74"/>
      <c r="K1096" s="74"/>
    </row>
    <row r="1097">
      <c r="A1097" s="84"/>
      <c r="B1097" s="119" t="s">
        <v>12614</v>
      </c>
      <c r="C1097" s="120" t="s">
        <v>12616</v>
      </c>
      <c r="D1097" s="33" t="s">
        <v>12618</v>
      </c>
      <c r="E1097" s="51" t="s">
        <v>301</v>
      </c>
      <c r="F1097" s="121" t="s">
        <v>2993</v>
      </c>
      <c r="G1097" s="122"/>
      <c r="H1097" s="46" t="s">
        <v>3002</v>
      </c>
      <c r="I1097" s="74"/>
      <c r="J1097" s="74"/>
      <c r="K1097" s="74"/>
    </row>
    <row r="1098">
      <c r="A1098" s="84"/>
      <c r="B1098" s="119" t="s">
        <v>12621</v>
      </c>
      <c r="C1098" s="120" t="s">
        <v>4372</v>
      </c>
      <c r="D1098" s="33" t="s">
        <v>12618</v>
      </c>
      <c r="E1098" s="51" t="s">
        <v>301</v>
      </c>
      <c r="F1098" s="121" t="s">
        <v>3009</v>
      </c>
      <c r="G1098" s="98" t="str">
        <f>HYPERLINK("http://mirror.ff7data.com.ar/ff7/data/battle/battle.lgp/ciam.png","View Picture")</f>
        <v>View Picture</v>
      </c>
      <c r="H1098" s="75"/>
      <c r="I1098" s="74"/>
      <c r="J1098" s="74"/>
      <c r="K1098" s="74"/>
    </row>
    <row r="1099">
      <c r="A1099" s="84"/>
      <c r="B1099" s="119" t="s">
        <v>12631</v>
      </c>
      <c r="C1099" s="120" t="s">
        <v>6830</v>
      </c>
      <c r="D1099" s="33" t="s">
        <v>12633</v>
      </c>
      <c r="E1099" s="51" t="s">
        <v>301</v>
      </c>
      <c r="F1099" s="121" t="s">
        <v>3009</v>
      </c>
      <c r="G1099" s="98" t="str">
        <f>HYPERLINK("http://mirror.ff7data.com.ar/ff7/data/battle/battle.lgp/cian.png","View Picture")</f>
        <v>View Picture</v>
      </c>
      <c r="H1099" s="75"/>
      <c r="I1099" s="74"/>
      <c r="J1099" s="74"/>
      <c r="K1099" s="74"/>
    </row>
    <row r="1100">
      <c r="A1100" s="84"/>
      <c r="B1100" s="119" t="s">
        <v>12647</v>
      </c>
      <c r="C1100" s="120" t="s">
        <v>3465</v>
      </c>
      <c r="D1100" s="33" t="s">
        <v>12651</v>
      </c>
      <c r="E1100" s="51" t="s">
        <v>301</v>
      </c>
      <c r="F1100" s="121" t="s">
        <v>3009</v>
      </c>
      <c r="G1100" s="98" t="str">
        <f>HYPERLINK("http://mirror.ff7data.com.ar/ff7/data/battle/battle.lgp/ciao.png","View Picture")</f>
        <v>View Picture</v>
      </c>
      <c r="H1100" s="75"/>
      <c r="I1100" s="74"/>
      <c r="J1100" s="74"/>
      <c r="K1100" s="74"/>
    </row>
    <row r="1101">
      <c r="A1101" s="84"/>
      <c r="B1101" s="119" t="s">
        <v>12657</v>
      </c>
      <c r="C1101" s="120" t="s">
        <v>3842</v>
      </c>
      <c r="D1101" s="33" t="s">
        <v>12618</v>
      </c>
      <c r="E1101" s="51" t="s">
        <v>301</v>
      </c>
      <c r="F1101" s="121" t="s">
        <v>3009</v>
      </c>
      <c r="G1101" s="98" t="str">
        <f>HYPERLINK("http://mirror.ff7data.com.ar/ff7/data/battle/battle.lgp/ciar.png","View Picture")</f>
        <v>View Picture</v>
      </c>
      <c r="H1101" s="75"/>
      <c r="I1101" s="74"/>
      <c r="J1101" s="74"/>
      <c r="K1101" s="74"/>
    </row>
    <row r="1102">
      <c r="A1102" s="84"/>
      <c r="B1102" s="119" t="s">
        <v>12663</v>
      </c>
      <c r="C1102" s="120" t="s">
        <v>4707</v>
      </c>
      <c r="D1102" s="33" t="s">
        <v>12618</v>
      </c>
      <c r="E1102" s="51" t="s">
        <v>301</v>
      </c>
      <c r="F1102" s="121" t="s">
        <v>3009</v>
      </c>
      <c r="G1102" s="98" t="str">
        <f>HYPERLINK("http://mirror.ff7data.com.ar/ff7/data/battle/battle.lgp/cias.png","View Picture")</f>
        <v>View Picture</v>
      </c>
      <c r="H1102" s="75"/>
      <c r="I1102" s="74"/>
      <c r="J1102" s="74"/>
      <c r="K1102" s="74"/>
    </row>
    <row r="1103">
      <c r="A1103" s="84"/>
      <c r="B1103" s="119" t="s">
        <v>12676</v>
      </c>
      <c r="C1103" s="120" t="s">
        <v>3853</v>
      </c>
      <c r="D1103" s="33" t="s">
        <v>12677</v>
      </c>
      <c r="E1103" s="51" t="s">
        <v>301</v>
      </c>
      <c r="F1103" s="121" t="s">
        <v>3009</v>
      </c>
      <c r="G1103" s="98" t="str">
        <f>HYPERLINK("http://mirror.ff7data.com.ar/ff7/data/battle/battle.lgp/ciat.png","View Picture")</f>
        <v>View Picture</v>
      </c>
      <c r="H1103" s="75"/>
      <c r="I1103" s="74"/>
      <c r="J1103" s="74"/>
      <c r="K1103" s="74"/>
    </row>
    <row r="1104">
      <c r="A1104" s="84"/>
      <c r="B1104" s="119" t="s">
        <v>12685</v>
      </c>
      <c r="C1104" s="120" t="s">
        <v>3658</v>
      </c>
      <c r="D1104" s="33" t="s">
        <v>12618</v>
      </c>
      <c r="E1104" s="51" t="s">
        <v>301</v>
      </c>
      <c r="F1104" s="121" t="s">
        <v>3009</v>
      </c>
      <c r="G1104" s="98" t="str">
        <f>HYPERLINK("http://mirror.ff7data.com.ar/ff7/data/battle/battle.lgp/ciay.png","View Picture")</f>
        <v>View Picture</v>
      </c>
      <c r="H1104" s="75"/>
      <c r="I1104" s="74"/>
      <c r="J1104" s="74"/>
      <c r="K1104" s="74"/>
    </row>
    <row r="1105">
      <c r="A1105" s="84"/>
      <c r="B1105" s="119" t="s">
        <v>12693</v>
      </c>
      <c r="C1105" s="120" t="s">
        <v>4707</v>
      </c>
      <c r="D1105" s="33" t="s">
        <v>12618</v>
      </c>
      <c r="E1105" s="51" t="s">
        <v>301</v>
      </c>
      <c r="F1105" s="121" t="s">
        <v>3009</v>
      </c>
      <c r="G1105" s="98" t="str">
        <f>HYPERLINK("http://mirror.ff7data.com.ar/ff7/data/battle/battle.lgp/ciaz.png","View Picture")</f>
        <v>View Picture</v>
      </c>
      <c r="H1105" s="75"/>
      <c r="I1105" s="74"/>
      <c r="J1105" s="74"/>
      <c r="K1105" s="74"/>
    </row>
    <row r="1106">
      <c r="A1106" s="84"/>
      <c r="B1106" s="119" t="s">
        <v>12701</v>
      </c>
      <c r="C1106" s="120" t="s">
        <v>3749</v>
      </c>
      <c r="D1106" s="33" t="s">
        <v>12618</v>
      </c>
      <c r="E1106" s="51" t="s">
        <v>301</v>
      </c>
      <c r="F1106" s="121" t="s">
        <v>3009</v>
      </c>
      <c r="G1106" s="98" t="str">
        <f>HYPERLINK("http://mirror.ff7data.com.ar/ff7/data/battle/battle.lgp/ciba.png","View Picture")</f>
        <v>View Picture</v>
      </c>
      <c r="H1106" s="75"/>
      <c r="I1106" s="74"/>
      <c r="J1106" s="74"/>
      <c r="K1106" s="74"/>
    </row>
    <row r="1107">
      <c r="A1107" s="84"/>
      <c r="B1107" s="119" t="s">
        <v>12711</v>
      </c>
      <c r="C1107" s="120" t="s">
        <v>4057</v>
      </c>
      <c r="D1107" s="33" t="s">
        <v>12618</v>
      </c>
      <c r="E1107" s="51" t="s">
        <v>301</v>
      </c>
      <c r="F1107" s="121" t="s">
        <v>3009</v>
      </c>
      <c r="G1107" s="98" t="str">
        <f>HYPERLINK("http://mirror.ff7data.com.ar/ff7/data/battle/battle.lgp/cibc.png","View Picture")</f>
        <v>View Picture</v>
      </c>
      <c r="H1107" s="75"/>
      <c r="I1107" s="74"/>
      <c r="J1107" s="74"/>
      <c r="K1107" s="74"/>
    </row>
    <row r="1108">
      <c r="A1108" s="84"/>
      <c r="B1108" s="119" t="s">
        <v>12720</v>
      </c>
      <c r="C1108" s="120" t="s">
        <v>4357</v>
      </c>
      <c r="D1108" s="33" t="s">
        <v>12618</v>
      </c>
      <c r="E1108" s="51" t="s">
        <v>301</v>
      </c>
      <c r="F1108" s="121" t="s">
        <v>3009</v>
      </c>
      <c r="G1108" s="98" t="str">
        <f>HYPERLINK("http://mirror.ff7data.com.ar/ff7/data/battle/battle.lgp/cibd.png","View Picture")</f>
        <v>View Picture</v>
      </c>
      <c r="H1108" s="75"/>
      <c r="I1108" s="74"/>
      <c r="J1108" s="74"/>
      <c r="K1108" s="74"/>
    </row>
    <row r="1109">
      <c r="A1109" s="84"/>
      <c r="B1109" s="119" t="s">
        <v>12727</v>
      </c>
      <c r="C1109" s="120" t="s">
        <v>4439</v>
      </c>
      <c r="D1109" s="33" t="s">
        <v>12618</v>
      </c>
      <c r="E1109" s="51" t="s">
        <v>301</v>
      </c>
      <c r="F1109" s="121" t="s">
        <v>3009</v>
      </c>
      <c r="G1109" s="98" t="str">
        <f>HYPERLINK("http://mirror.ff7data.com.ar/ff7/data/battle/battle.lgp/cibe.png","View Picture")</f>
        <v>View Picture</v>
      </c>
      <c r="H1109" s="75"/>
      <c r="I1109" s="74"/>
      <c r="J1109" s="74"/>
      <c r="K1109" s="74"/>
    </row>
    <row r="1110">
      <c r="A1110" s="84"/>
      <c r="B1110" s="119" t="s">
        <v>12736</v>
      </c>
      <c r="C1110" s="120" t="s">
        <v>4288</v>
      </c>
      <c r="D1110" s="33" t="s">
        <v>12618</v>
      </c>
      <c r="E1110" s="51" t="s">
        <v>301</v>
      </c>
      <c r="F1110" s="121" t="s">
        <v>3009</v>
      </c>
      <c r="G1110" s="98" t="str">
        <f>HYPERLINK("http://mirror.ff7data.com.ar/ff7/data/battle/battle.lgp/cibf.png","View Picture")</f>
        <v>View Picture</v>
      </c>
      <c r="H1110" s="75"/>
      <c r="I1110" s="74"/>
      <c r="J1110" s="74"/>
      <c r="K1110" s="74"/>
    </row>
    <row r="1111">
      <c r="A1111" s="84"/>
      <c r="B1111" s="119" t="s">
        <v>12743</v>
      </c>
      <c r="C1111" s="120" t="s">
        <v>5419</v>
      </c>
      <c r="D1111" s="33" t="s">
        <v>12618</v>
      </c>
      <c r="E1111" s="51" t="s">
        <v>301</v>
      </c>
      <c r="F1111" s="121" t="s">
        <v>3009</v>
      </c>
      <c r="G1111" s="98" t="str">
        <f>HYPERLINK("http://mirror.ff7data.com.ar/ff7/data/battle/battle.lgp/cibh.png","View Picture")</f>
        <v>View Picture</v>
      </c>
      <c r="H1111" s="75"/>
      <c r="I1111" s="74"/>
      <c r="J1111" s="74"/>
      <c r="K1111" s="74"/>
    </row>
    <row r="1112">
      <c r="A1112" s="84"/>
      <c r="B1112" s="119" t="s">
        <v>12749</v>
      </c>
      <c r="C1112" s="120" t="s">
        <v>5419</v>
      </c>
      <c r="D1112" s="33" t="s">
        <v>12618</v>
      </c>
      <c r="E1112" s="51" t="s">
        <v>301</v>
      </c>
      <c r="F1112" s="121" t="s">
        <v>3009</v>
      </c>
      <c r="G1112" s="98" t="str">
        <f>HYPERLINK("http://mirror.ff7data.com.ar/ff7/data/battle/battle.lgp/cibi.png","View Picture")</f>
        <v>View Picture</v>
      </c>
      <c r="H1112" s="75"/>
      <c r="I1112" s="74"/>
      <c r="J1112" s="74"/>
      <c r="K1112" s="74"/>
    </row>
    <row r="1113">
      <c r="A1113" s="84"/>
      <c r="B1113" s="119" t="s">
        <v>12755</v>
      </c>
      <c r="C1113" s="120" t="s">
        <v>4439</v>
      </c>
      <c r="D1113" s="33" t="s">
        <v>12618</v>
      </c>
      <c r="E1113" s="51" t="s">
        <v>301</v>
      </c>
      <c r="F1113" s="121" t="s">
        <v>3009</v>
      </c>
      <c r="G1113" s="98" t="str">
        <f>HYPERLINK("http://mirror.ff7data.com.ar/ff7/data/battle/battle.lgp/cibj.png","View Picture")</f>
        <v>View Picture</v>
      </c>
      <c r="H1113" s="75"/>
      <c r="I1113" s="74"/>
      <c r="J1113" s="74"/>
      <c r="K1113" s="74"/>
    </row>
    <row r="1114">
      <c r="A1114" s="84"/>
      <c r="B1114" s="119" t="s">
        <v>12763</v>
      </c>
      <c r="C1114" s="120" t="s">
        <v>4288</v>
      </c>
      <c r="D1114" s="33" t="s">
        <v>12618</v>
      </c>
      <c r="E1114" s="51" t="s">
        <v>301</v>
      </c>
      <c r="F1114" s="121" t="s">
        <v>3009</v>
      </c>
      <c r="G1114" s="98" t="str">
        <f>HYPERLINK("http://mirror.ff7data.com.ar/ff7/data/battle/battle.lgp/cibk.png","View Picture")</f>
        <v>View Picture</v>
      </c>
      <c r="H1114" s="75"/>
      <c r="I1114" s="74"/>
      <c r="J1114" s="74"/>
      <c r="K1114" s="74"/>
    </row>
    <row r="1115">
      <c r="A1115" s="84"/>
      <c r="B1115" s="119" t="s">
        <v>12772</v>
      </c>
      <c r="C1115" s="120" t="s">
        <v>4288</v>
      </c>
      <c r="D1115" s="33" t="s">
        <v>12774</v>
      </c>
      <c r="E1115" s="51" t="s">
        <v>301</v>
      </c>
      <c r="F1115" s="121" t="s">
        <v>3009</v>
      </c>
      <c r="G1115" s="98" t="str">
        <f>HYPERLINK("http://mirror.ff7data.com.ar/ff7/data/battle/battle.lgp/cick.png","View Picture")</f>
        <v>View Picture</v>
      </c>
      <c r="H1115" s="75"/>
      <c r="I1115" s="74"/>
      <c r="J1115" s="74"/>
      <c r="K1115" s="74"/>
    </row>
    <row r="1116">
      <c r="A1116" s="84"/>
      <c r="B1116" s="119" t="s">
        <v>12783</v>
      </c>
      <c r="C1116" s="120" t="s">
        <v>5925</v>
      </c>
      <c r="D1116" s="33" t="s">
        <v>12618</v>
      </c>
      <c r="E1116" s="51" t="s">
        <v>301</v>
      </c>
      <c r="F1116" s="121" t="s">
        <v>3025</v>
      </c>
      <c r="G1116" s="122"/>
      <c r="H1116" s="46" t="s">
        <v>3002</v>
      </c>
      <c r="I1116" s="74"/>
      <c r="J1116" s="74"/>
      <c r="K1116" s="74"/>
    </row>
    <row r="1117">
      <c r="A1117" s="84"/>
      <c r="B1117" s="119" t="s">
        <v>12787</v>
      </c>
      <c r="C1117" s="120" t="s">
        <v>6611</v>
      </c>
      <c r="D1117" s="33" t="s">
        <v>12789</v>
      </c>
      <c r="E1117" s="51" t="s">
        <v>304</v>
      </c>
      <c r="F1117" s="121" t="s">
        <v>2971</v>
      </c>
      <c r="G1117" s="98" t="str">
        <f>HYPERLINK("http://mirror.ff7data.com.ar/ff7/data/battle/battle.lgp/cjaa.png","View Picture")</f>
        <v>View Picture</v>
      </c>
      <c r="H1117" s="75"/>
      <c r="I1117" s="74"/>
      <c r="J1117" s="74"/>
      <c r="K1117" s="74"/>
    </row>
    <row r="1118">
      <c r="A1118" s="84"/>
      <c r="B1118" s="119" t="s">
        <v>12798</v>
      </c>
      <c r="C1118" s="120" t="s">
        <v>7375</v>
      </c>
      <c r="D1118" s="33" t="s">
        <v>12799</v>
      </c>
      <c r="E1118" s="51" t="s">
        <v>304</v>
      </c>
      <c r="F1118" s="121" t="s">
        <v>2993</v>
      </c>
      <c r="G1118" s="122"/>
      <c r="H1118" s="46" t="s">
        <v>3002</v>
      </c>
      <c r="I1118" s="74"/>
      <c r="J1118" s="74"/>
      <c r="K1118" s="74"/>
    </row>
    <row r="1119">
      <c r="A1119" s="84"/>
      <c r="B1119" s="119" t="s">
        <v>12803</v>
      </c>
      <c r="C1119" s="120" t="s">
        <v>4167</v>
      </c>
      <c r="D1119" s="33" t="s">
        <v>12799</v>
      </c>
      <c r="E1119" s="51" t="s">
        <v>304</v>
      </c>
      <c r="F1119" s="121" t="s">
        <v>3009</v>
      </c>
      <c r="G1119" s="98" t="str">
        <f>HYPERLINK("http://mirror.ff7data.com.ar/ff7/data/battle/battle.lgp/cjam.png","View Picture")</f>
        <v>View Picture</v>
      </c>
      <c r="H1119" s="75"/>
      <c r="I1119" s="74"/>
      <c r="J1119" s="74"/>
      <c r="K1119" s="74"/>
    </row>
    <row r="1120">
      <c r="A1120" s="84"/>
      <c r="B1120" s="119" t="s">
        <v>12812</v>
      </c>
      <c r="C1120" s="120" t="s">
        <v>4476</v>
      </c>
      <c r="D1120" s="33" t="s">
        <v>12799</v>
      </c>
      <c r="E1120" s="51" t="s">
        <v>304</v>
      </c>
      <c r="F1120" s="121" t="s">
        <v>3009</v>
      </c>
      <c r="G1120" s="98" t="str">
        <f>HYPERLINK("http://mirror.ff7data.com.ar/ff7/data/battle/battle.lgp/cjao.png","View Picture")</f>
        <v>View Picture</v>
      </c>
      <c r="H1120" s="75"/>
      <c r="I1120" s="74"/>
      <c r="J1120" s="74"/>
      <c r="K1120" s="74"/>
    </row>
    <row r="1121">
      <c r="A1121" s="84"/>
      <c r="B1121" s="119" t="s">
        <v>12824</v>
      </c>
      <c r="C1121" s="120" t="s">
        <v>3749</v>
      </c>
      <c r="D1121" s="33" t="s">
        <v>12799</v>
      </c>
      <c r="E1121" s="51" t="s">
        <v>304</v>
      </c>
      <c r="F1121" s="121" t="s">
        <v>3009</v>
      </c>
      <c r="G1121" s="98" t="str">
        <f>HYPERLINK("http://mirror.ff7data.com.ar/ff7/data/battle/battle.lgp/cjaq.png","View Picture")</f>
        <v>View Picture</v>
      </c>
      <c r="H1121" s="75"/>
      <c r="I1121" s="74"/>
      <c r="J1121" s="74"/>
      <c r="K1121" s="74"/>
    </row>
    <row r="1122">
      <c r="A1122" s="84"/>
      <c r="B1122" s="119" t="s">
        <v>12835</v>
      </c>
      <c r="C1122" s="120" t="s">
        <v>4719</v>
      </c>
      <c r="D1122" s="33" t="s">
        <v>12799</v>
      </c>
      <c r="E1122" s="51" t="s">
        <v>304</v>
      </c>
      <c r="F1122" s="121" t="s">
        <v>3009</v>
      </c>
      <c r="G1122" s="98" t="str">
        <f>HYPERLINK("http://mirror.ff7data.com.ar/ff7/data/battle/battle.lgp/cjar.png","View Picture")</f>
        <v>View Picture</v>
      </c>
      <c r="H1122" s="75"/>
      <c r="I1122" s="74"/>
      <c r="J1122" s="74"/>
      <c r="K1122" s="74"/>
    </row>
    <row r="1123">
      <c r="A1123" s="84"/>
      <c r="B1123" s="119" t="s">
        <v>12843</v>
      </c>
      <c r="C1123" s="120" t="s">
        <v>7270</v>
      </c>
      <c r="D1123" s="33" t="s">
        <v>12799</v>
      </c>
      <c r="E1123" s="51" t="s">
        <v>304</v>
      </c>
      <c r="F1123" s="121" t="s">
        <v>3009</v>
      </c>
      <c r="G1123" s="98" t="str">
        <f>HYPERLINK("http://mirror.ff7data.com.ar/ff7/data/battle/battle.lgp/cjas.png","View Picture")</f>
        <v>View Picture</v>
      </c>
      <c r="H1123" s="75"/>
      <c r="I1123" s="74"/>
      <c r="J1123" s="74"/>
      <c r="K1123" s="74"/>
    </row>
    <row r="1124">
      <c r="A1124" s="84"/>
      <c r="B1124" s="119" t="s">
        <v>12853</v>
      </c>
      <c r="C1124" s="120" t="s">
        <v>7301</v>
      </c>
      <c r="D1124" s="33" t="s">
        <v>12799</v>
      </c>
      <c r="E1124" s="51" t="s">
        <v>304</v>
      </c>
      <c r="F1124" s="121" t="s">
        <v>3009</v>
      </c>
      <c r="G1124" s="98" t="str">
        <f>HYPERLINK("http://mirror.ff7data.com.ar/ff7/data/battle/battle.lgp/cjat.png","View Picture")</f>
        <v>View Picture</v>
      </c>
      <c r="H1124" s="75"/>
      <c r="I1124" s="74"/>
      <c r="J1124" s="74"/>
      <c r="K1124" s="74"/>
    </row>
    <row r="1125">
      <c r="A1125" s="84"/>
      <c r="B1125" s="119" t="s">
        <v>12862</v>
      </c>
      <c r="C1125" s="120" t="s">
        <v>3853</v>
      </c>
      <c r="D1125" s="33" t="s">
        <v>12799</v>
      </c>
      <c r="E1125" s="51" t="s">
        <v>304</v>
      </c>
      <c r="F1125" s="121" t="s">
        <v>3009</v>
      </c>
      <c r="G1125" s="98" t="str">
        <f>HYPERLINK("http://mirror.ff7data.com.ar/ff7/data/battle/battle.lgp/cjax.png","View Picture")</f>
        <v>View Picture</v>
      </c>
      <c r="H1125" s="75"/>
      <c r="I1125" s="74"/>
      <c r="J1125" s="74"/>
      <c r="K1125" s="74"/>
    </row>
    <row r="1126">
      <c r="A1126" s="84"/>
      <c r="B1126" s="119" t="s">
        <v>12873</v>
      </c>
      <c r="C1126" s="120" t="s">
        <v>4476</v>
      </c>
      <c r="D1126" s="33" t="s">
        <v>12799</v>
      </c>
      <c r="E1126" s="51" t="s">
        <v>304</v>
      </c>
      <c r="F1126" s="121" t="s">
        <v>3009</v>
      </c>
      <c r="G1126" s="98" t="str">
        <f>HYPERLINK("http://mirror.ff7data.com.ar/ff7/data/battle/battle.lgp/cjaz.png","View Picture")</f>
        <v>View Picture</v>
      </c>
      <c r="H1126" s="75"/>
      <c r="I1126" s="74"/>
      <c r="J1126" s="74"/>
      <c r="K1126" s="74"/>
    </row>
    <row r="1127">
      <c r="A1127" s="84"/>
      <c r="B1127" s="119" t="s">
        <v>12886</v>
      </c>
      <c r="C1127" s="120" t="s">
        <v>4732</v>
      </c>
      <c r="D1127" s="33" t="s">
        <v>12799</v>
      </c>
      <c r="E1127" s="51" t="s">
        <v>304</v>
      </c>
      <c r="F1127" s="121" t="s">
        <v>3009</v>
      </c>
      <c r="G1127" s="98" t="str">
        <f>HYPERLINK("http://mirror.ff7data.com.ar/ff7/data/battle/battle.lgp/cjba.png","View Picture")</f>
        <v>View Picture</v>
      </c>
      <c r="H1127" s="75"/>
      <c r="I1127" s="74"/>
      <c r="J1127" s="74"/>
      <c r="K1127" s="74"/>
    </row>
    <row r="1128">
      <c r="A1128" s="84"/>
      <c r="B1128" s="119" t="s">
        <v>12899</v>
      </c>
      <c r="C1128" s="120" t="s">
        <v>3343</v>
      </c>
      <c r="D1128" s="33" t="s">
        <v>12799</v>
      </c>
      <c r="E1128" s="51" t="s">
        <v>304</v>
      </c>
      <c r="F1128" s="121" t="s">
        <v>3009</v>
      </c>
      <c r="G1128" s="98" t="str">
        <f>HYPERLINK("http://mirror.ff7data.com.ar/ff7/data/battle/battle.lgp/cjbb.png","View Picture")</f>
        <v>View Picture</v>
      </c>
      <c r="H1128" s="75"/>
      <c r="I1128" s="74"/>
      <c r="J1128" s="74"/>
      <c r="K1128" s="74"/>
    </row>
    <row r="1129">
      <c r="A1129" s="84"/>
      <c r="B1129" s="119" t="s">
        <v>12915</v>
      </c>
      <c r="C1129" s="120" t="s">
        <v>4185</v>
      </c>
      <c r="D1129" s="33" t="s">
        <v>12799</v>
      </c>
      <c r="E1129" s="51" t="s">
        <v>304</v>
      </c>
      <c r="F1129" s="121" t="s">
        <v>3009</v>
      </c>
      <c r="G1129" s="98" t="str">
        <f>HYPERLINK("http://mirror.ff7data.com.ar/ff7/data/battle/battle.lgp/cjbc.png","View Picture")</f>
        <v>View Picture</v>
      </c>
      <c r="H1129" s="75"/>
      <c r="I1129" s="74"/>
      <c r="J1129" s="74"/>
      <c r="K1129" s="74"/>
    </row>
    <row r="1130">
      <c r="A1130" s="84"/>
      <c r="B1130" s="119" t="s">
        <v>12926</v>
      </c>
      <c r="C1130" s="120" t="s">
        <v>3749</v>
      </c>
      <c r="D1130" s="33" t="s">
        <v>12799</v>
      </c>
      <c r="E1130" s="51" t="s">
        <v>304</v>
      </c>
      <c r="F1130" s="121" t="s">
        <v>3009</v>
      </c>
      <c r="G1130" s="98" t="str">
        <f>HYPERLINK("http://mirror.ff7data.com.ar/ff7/data/battle/battle.lgp/cjbe.png","View Picture")</f>
        <v>View Picture</v>
      </c>
      <c r="H1130" s="75"/>
      <c r="I1130" s="74"/>
      <c r="J1130" s="74"/>
      <c r="K1130" s="74"/>
    </row>
    <row r="1131">
      <c r="A1131" s="84"/>
      <c r="B1131" s="119" t="s">
        <v>12935</v>
      </c>
      <c r="C1131" s="120" t="s">
        <v>3519</v>
      </c>
      <c r="D1131" s="33" t="s">
        <v>12799</v>
      </c>
      <c r="E1131" s="51" t="s">
        <v>304</v>
      </c>
      <c r="F1131" s="121" t="s">
        <v>3025</v>
      </c>
      <c r="G1131" s="122"/>
      <c r="H1131" s="46" t="s">
        <v>3002</v>
      </c>
      <c r="I1131" s="74"/>
      <c r="J1131" s="74"/>
      <c r="K1131" s="74"/>
    </row>
    <row r="1132">
      <c r="A1132" s="84"/>
      <c r="B1132" s="119" t="s">
        <v>12939</v>
      </c>
      <c r="C1132" s="120" t="s">
        <v>4846</v>
      </c>
      <c r="D1132" s="33" t="s">
        <v>12941</v>
      </c>
      <c r="E1132" s="51" t="s">
        <v>307</v>
      </c>
      <c r="F1132" s="121" t="s">
        <v>2971</v>
      </c>
      <c r="G1132" s="98" t="str">
        <f>HYPERLINK("http://mirror.ff7data.com.ar/ff7/data/battle/battle.lgp/ckaa.png","View Picture")</f>
        <v>View Picture</v>
      </c>
      <c r="H1132" s="75"/>
      <c r="I1132" s="74"/>
      <c r="J1132" s="74"/>
      <c r="K1132" s="74"/>
    </row>
    <row r="1133">
      <c r="A1133" s="84"/>
      <c r="B1133" s="119" t="s">
        <v>12951</v>
      </c>
      <c r="C1133" s="120" t="s">
        <v>5222</v>
      </c>
      <c r="D1133" s="33" t="s">
        <v>12953</v>
      </c>
      <c r="E1133" s="51" t="s">
        <v>307</v>
      </c>
      <c r="F1133" s="121" t="s">
        <v>2993</v>
      </c>
      <c r="G1133" s="122"/>
      <c r="H1133" s="46" t="s">
        <v>3002</v>
      </c>
      <c r="I1133" s="74"/>
      <c r="J1133" s="74"/>
      <c r="K1133" s="74"/>
    </row>
    <row r="1134">
      <c r="A1134" s="84"/>
      <c r="B1134" s="119" t="s">
        <v>12956</v>
      </c>
      <c r="C1134" s="120" t="s">
        <v>4057</v>
      </c>
      <c r="D1134" s="33" t="s">
        <v>12953</v>
      </c>
      <c r="E1134" s="51" t="s">
        <v>307</v>
      </c>
      <c r="F1134" s="121" t="s">
        <v>3009</v>
      </c>
      <c r="G1134" s="98" t="str">
        <f>HYPERLINK("http://mirror.ff7data.com.ar/ff7/data/battle/battle.lgp/ckam.png","View Picture")</f>
        <v>View Picture</v>
      </c>
      <c r="H1134" s="75"/>
      <c r="I1134" s="74"/>
      <c r="J1134" s="74"/>
      <c r="K1134" s="74"/>
    </row>
    <row r="1135">
      <c r="A1135" s="84"/>
      <c r="B1135" s="119" t="s">
        <v>12967</v>
      </c>
      <c r="C1135" s="120" t="s">
        <v>4252</v>
      </c>
      <c r="D1135" s="33" t="s">
        <v>12953</v>
      </c>
      <c r="E1135" s="51" t="s">
        <v>307</v>
      </c>
      <c r="F1135" s="121" t="s">
        <v>3009</v>
      </c>
      <c r="G1135" s="98" t="str">
        <f>HYPERLINK("http://mirror.ff7data.com.ar/ff7/data/battle/battle.lgp/ckan.png","View Picture")</f>
        <v>View Picture</v>
      </c>
      <c r="H1135" s="75"/>
      <c r="I1135" s="74"/>
      <c r="J1135" s="74"/>
      <c r="K1135" s="74"/>
    </row>
    <row r="1136">
      <c r="A1136" s="84"/>
      <c r="B1136" s="119" t="s">
        <v>12974</v>
      </c>
      <c r="C1136" s="120" t="s">
        <v>3875</v>
      </c>
      <c r="D1136" s="33" t="s">
        <v>12953</v>
      </c>
      <c r="E1136" s="51" t="s">
        <v>307</v>
      </c>
      <c r="F1136" s="121" t="s">
        <v>3009</v>
      </c>
      <c r="G1136" s="98" t="str">
        <f>HYPERLINK("http://mirror.ff7data.com.ar/ff7/data/battle/battle.lgp/ckao.png","View Picture")</f>
        <v>View Picture</v>
      </c>
      <c r="H1136" s="75"/>
      <c r="I1136" s="74"/>
      <c r="J1136" s="74"/>
      <c r="K1136" s="74"/>
    </row>
    <row r="1137">
      <c r="A1137" s="84"/>
      <c r="B1137" s="119" t="s">
        <v>12981</v>
      </c>
      <c r="C1137" s="120" t="s">
        <v>4288</v>
      </c>
      <c r="D1137" s="33" t="s">
        <v>12953</v>
      </c>
      <c r="E1137" s="51" t="s">
        <v>307</v>
      </c>
      <c r="F1137" s="121" t="s">
        <v>3009</v>
      </c>
      <c r="G1137" s="98" t="str">
        <f>HYPERLINK("http://mirror.ff7data.com.ar/ff7/data/battle/battle.lgp/ckaq.png","View Picture")</f>
        <v>View Picture</v>
      </c>
      <c r="H1137" s="75"/>
      <c r="I1137" s="74"/>
      <c r="J1137" s="74"/>
      <c r="K1137" s="74"/>
    </row>
    <row r="1138">
      <c r="A1138" s="84"/>
      <c r="B1138" s="119" t="s">
        <v>12989</v>
      </c>
      <c r="C1138" s="120" t="s">
        <v>4732</v>
      </c>
      <c r="D1138" s="33" t="s">
        <v>12953</v>
      </c>
      <c r="E1138" s="51" t="s">
        <v>307</v>
      </c>
      <c r="F1138" s="121" t="s">
        <v>3009</v>
      </c>
      <c r="G1138" s="98" t="str">
        <f>HYPERLINK("http://mirror.ff7data.com.ar/ff7/data/battle/battle.lgp/ckar.png","View Picture")</f>
        <v>View Picture</v>
      </c>
      <c r="H1138" s="75"/>
      <c r="I1138" s="74"/>
      <c r="J1138" s="74"/>
      <c r="K1138" s="74"/>
    </row>
    <row r="1139">
      <c r="A1139" s="84"/>
      <c r="B1139" s="119" t="s">
        <v>12997</v>
      </c>
      <c r="C1139" s="120" t="s">
        <v>4288</v>
      </c>
      <c r="D1139" s="33" t="s">
        <v>12953</v>
      </c>
      <c r="E1139" s="51" t="s">
        <v>307</v>
      </c>
      <c r="F1139" s="121" t="s">
        <v>3009</v>
      </c>
      <c r="G1139" s="98" t="str">
        <f>HYPERLINK("http://mirror.ff7data.com.ar/ff7/data/battle/battle.lgp/ckat.png","View Picture")</f>
        <v>View Picture</v>
      </c>
      <c r="H1139" s="75"/>
      <c r="I1139" s="74"/>
      <c r="J1139" s="74"/>
      <c r="K1139" s="74"/>
    </row>
    <row r="1140">
      <c r="A1140" s="84"/>
      <c r="B1140" s="119" t="s">
        <v>13003</v>
      </c>
      <c r="C1140" s="120" t="s">
        <v>4732</v>
      </c>
      <c r="D1140" s="33" t="s">
        <v>12953</v>
      </c>
      <c r="E1140" s="51" t="s">
        <v>307</v>
      </c>
      <c r="F1140" s="121" t="s">
        <v>3009</v>
      </c>
      <c r="G1140" s="98" t="str">
        <f>HYPERLINK("http://mirror.ff7data.com.ar/ff7/data/battle/battle.lgp/ckau.png","View Picture")</f>
        <v>View Picture</v>
      </c>
      <c r="H1140" s="75"/>
      <c r="I1140" s="74"/>
      <c r="J1140" s="74"/>
      <c r="K1140" s="74"/>
    </row>
    <row r="1141">
      <c r="A1141" s="84"/>
      <c r="B1141" s="119" t="s">
        <v>13012</v>
      </c>
      <c r="C1141" s="120" t="s">
        <v>4707</v>
      </c>
      <c r="D1141" s="33" t="s">
        <v>12953</v>
      </c>
      <c r="E1141" s="51" t="s">
        <v>307</v>
      </c>
      <c r="F1141" s="121" t="s">
        <v>3009</v>
      </c>
      <c r="G1141" s="98" t="str">
        <f>HYPERLINK("http://mirror.ff7data.com.ar/ff7/data/battle/battle.lgp/ckaw.png","View Picture")</f>
        <v>View Picture</v>
      </c>
      <c r="H1141" s="75"/>
      <c r="I1141" s="74"/>
      <c r="J1141" s="74"/>
      <c r="K1141" s="74"/>
    </row>
    <row r="1142">
      <c r="A1142" s="84"/>
      <c r="B1142" s="119" t="s">
        <v>13020</v>
      </c>
      <c r="C1142" s="120" t="s">
        <v>4288</v>
      </c>
      <c r="D1142" s="33" t="s">
        <v>12953</v>
      </c>
      <c r="E1142" s="51" t="s">
        <v>307</v>
      </c>
      <c r="F1142" s="121" t="s">
        <v>3009</v>
      </c>
      <c r="G1142" s="98" t="str">
        <f>HYPERLINK("http://mirror.ff7data.com.ar/ff7/data/battle/battle.lgp/ckax.png","View Picture")</f>
        <v>View Picture</v>
      </c>
      <c r="H1142" s="75"/>
      <c r="I1142" s="74"/>
      <c r="J1142" s="74"/>
      <c r="K1142" s="74"/>
    </row>
    <row r="1143">
      <c r="A1143" s="84"/>
      <c r="B1143" s="119" t="s">
        <v>13025</v>
      </c>
      <c r="C1143" s="120" t="s">
        <v>7148</v>
      </c>
      <c r="D1143" s="33" t="s">
        <v>12953</v>
      </c>
      <c r="E1143" s="51" t="s">
        <v>307</v>
      </c>
      <c r="F1143" s="121" t="s">
        <v>3009</v>
      </c>
      <c r="G1143" s="98" t="str">
        <f>HYPERLINK("http://mirror.ff7data.com.ar/ff7/data/battle/battle.lgp/ckay.png","View Picture")</f>
        <v>View Picture</v>
      </c>
      <c r="H1143" s="75"/>
      <c r="I1143" s="74"/>
      <c r="J1143" s="74"/>
      <c r="K1143" s="74"/>
    </row>
    <row r="1144">
      <c r="A1144" s="84"/>
      <c r="B1144" s="119" t="s">
        <v>13032</v>
      </c>
      <c r="C1144" s="120" t="s">
        <v>5419</v>
      </c>
      <c r="D1144" s="33" t="s">
        <v>12953</v>
      </c>
      <c r="E1144" s="51" t="s">
        <v>307</v>
      </c>
      <c r="F1144" s="121" t="s">
        <v>3009</v>
      </c>
      <c r="G1144" s="98" t="str">
        <f>HYPERLINK("http://mirror.ff7data.com.ar/ff7/data/battle/battle.lgp/ckaz.png","View Picture")</f>
        <v>View Picture</v>
      </c>
      <c r="H1144" s="75"/>
      <c r="I1144" s="74"/>
      <c r="J1144" s="74"/>
      <c r="K1144" s="74"/>
    </row>
    <row r="1145">
      <c r="A1145" s="84"/>
      <c r="B1145" s="119" t="s">
        <v>13040</v>
      </c>
      <c r="C1145" s="120" t="s">
        <v>4707</v>
      </c>
      <c r="D1145" s="33" t="s">
        <v>12953</v>
      </c>
      <c r="E1145" s="51" t="s">
        <v>307</v>
      </c>
      <c r="F1145" s="121" t="s">
        <v>3009</v>
      </c>
      <c r="G1145" s="98" t="str">
        <f>HYPERLINK("http://mirror.ff7data.com.ar/ff7/data/battle/battle.lgp/ckbb.png","View Picture")</f>
        <v>View Picture</v>
      </c>
      <c r="H1145" s="75"/>
      <c r="I1145" s="74"/>
      <c r="J1145" s="74"/>
      <c r="K1145" s="74"/>
    </row>
    <row r="1146">
      <c r="A1146" s="84"/>
      <c r="B1146" s="119" t="s">
        <v>13048</v>
      </c>
      <c r="C1146" s="120" t="s">
        <v>4288</v>
      </c>
      <c r="D1146" s="33" t="s">
        <v>12953</v>
      </c>
      <c r="E1146" s="51" t="s">
        <v>307</v>
      </c>
      <c r="F1146" s="121" t="s">
        <v>3009</v>
      </c>
      <c r="G1146" s="98" t="str">
        <f>HYPERLINK("http://mirror.ff7data.com.ar/ff7/data/battle/battle.lgp/ckbc.png","View Picture")</f>
        <v>View Picture</v>
      </c>
      <c r="H1146" s="75"/>
      <c r="I1146" s="74"/>
      <c r="J1146" s="74"/>
      <c r="K1146" s="74"/>
    </row>
    <row r="1147">
      <c r="A1147" s="84"/>
      <c r="B1147" s="119" t="s">
        <v>13054</v>
      </c>
      <c r="C1147" s="120" t="s">
        <v>7148</v>
      </c>
      <c r="D1147" s="33" t="s">
        <v>12953</v>
      </c>
      <c r="E1147" s="51" t="s">
        <v>307</v>
      </c>
      <c r="F1147" s="121" t="s">
        <v>3009</v>
      </c>
      <c r="G1147" s="98" t="str">
        <f>HYPERLINK("http://mirror.ff7data.com.ar/ff7/data/battle/battle.lgp/ckbd.png","View Picture")</f>
        <v>View Picture</v>
      </c>
      <c r="H1147" s="75"/>
      <c r="I1147" s="74"/>
      <c r="J1147" s="74"/>
      <c r="K1147" s="74"/>
    </row>
    <row r="1148">
      <c r="A1148" s="84"/>
      <c r="B1148" s="119" t="s">
        <v>13062</v>
      </c>
      <c r="C1148" s="120" t="s">
        <v>5419</v>
      </c>
      <c r="D1148" s="33" t="s">
        <v>12953</v>
      </c>
      <c r="E1148" s="51" t="s">
        <v>307</v>
      </c>
      <c r="F1148" s="121" t="s">
        <v>3009</v>
      </c>
      <c r="G1148" s="98" t="str">
        <f>HYPERLINK("http://mirror.ff7data.com.ar/ff7/data/battle/battle.lgp/ckbe.png","View Picture")</f>
        <v>View Picture</v>
      </c>
      <c r="H1148" s="75"/>
      <c r="I1148" s="74"/>
      <c r="J1148" s="74"/>
      <c r="K1148" s="74"/>
    </row>
    <row r="1149">
      <c r="A1149" s="84"/>
      <c r="B1149" s="119" t="s">
        <v>13071</v>
      </c>
      <c r="C1149" s="120" t="s">
        <v>4264</v>
      </c>
      <c r="D1149" s="33" t="s">
        <v>12953</v>
      </c>
      <c r="E1149" s="51" t="s">
        <v>307</v>
      </c>
      <c r="F1149" s="121" t="s">
        <v>3009</v>
      </c>
      <c r="G1149" s="98" t="str">
        <f>HYPERLINK("http://mirror.ff7data.com.ar/ff7/data/battle/battle.lgp/ckbg.png","View Picture")</f>
        <v>View Picture</v>
      </c>
      <c r="H1149" s="75"/>
      <c r="I1149" s="74"/>
      <c r="J1149" s="74"/>
      <c r="K1149" s="74"/>
    </row>
    <row r="1150">
      <c r="A1150" s="84"/>
      <c r="B1150" s="119" t="s">
        <v>13085</v>
      </c>
      <c r="C1150" s="120" t="s">
        <v>7148</v>
      </c>
      <c r="D1150" s="33" t="s">
        <v>12953</v>
      </c>
      <c r="E1150" s="51" t="s">
        <v>307</v>
      </c>
      <c r="F1150" s="121" t="s">
        <v>3009</v>
      </c>
      <c r="G1150" s="98" t="str">
        <f>HYPERLINK("http://mirror.ff7data.com.ar/ff7/data/battle/battle.lgp/ckbh.png","View Picture")</f>
        <v>View Picture</v>
      </c>
      <c r="H1150" s="75"/>
      <c r="I1150" s="74"/>
      <c r="J1150" s="74"/>
      <c r="K1150" s="74"/>
    </row>
    <row r="1151">
      <c r="A1151" s="84"/>
      <c r="B1151" s="119" t="s">
        <v>13099</v>
      </c>
      <c r="C1151" s="120" t="s">
        <v>7148</v>
      </c>
      <c r="D1151" s="33" t="s">
        <v>12953</v>
      </c>
      <c r="E1151" s="51" t="s">
        <v>307</v>
      </c>
      <c r="F1151" s="121" t="s">
        <v>3009</v>
      </c>
      <c r="G1151" s="98" t="str">
        <f>HYPERLINK("http://mirror.ff7data.com.ar/ff7/data/battle/battle.lgp/ckbi.png","View Picture")</f>
        <v>View Picture</v>
      </c>
      <c r="H1151" s="75"/>
      <c r="I1151" s="74"/>
      <c r="J1151" s="74"/>
      <c r="K1151" s="74"/>
    </row>
    <row r="1152">
      <c r="A1152" s="84"/>
      <c r="B1152" s="119" t="s">
        <v>13113</v>
      </c>
      <c r="C1152" s="120" t="s">
        <v>3842</v>
      </c>
      <c r="D1152" s="33" t="s">
        <v>12953</v>
      </c>
      <c r="E1152" s="51" t="s">
        <v>307</v>
      </c>
      <c r="F1152" s="121" t="s">
        <v>3009</v>
      </c>
      <c r="G1152" s="98" t="str">
        <f>HYPERLINK("http://mirror.ff7data.com.ar/ff7/data/battle/battle.lgp/ckbj.png","View Picture")</f>
        <v>View Picture</v>
      </c>
      <c r="H1152" s="75"/>
      <c r="I1152" s="74"/>
      <c r="J1152" s="74"/>
      <c r="K1152" s="74"/>
    </row>
    <row r="1153">
      <c r="A1153" s="84"/>
      <c r="B1153" s="119" t="s">
        <v>13125</v>
      </c>
      <c r="C1153" s="120" t="s">
        <v>4264</v>
      </c>
      <c r="D1153" s="33" t="s">
        <v>12953</v>
      </c>
      <c r="E1153" s="51" t="s">
        <v>307</v>
      </c>
      <c r="F1153" s="121" t="s">
        <v>3009</v>
      </c>
      <c r="G1153" s="98" t="str">
        <f>HYPERLINK("http://mirror.ff7data.com.ar/ff7/data/battle/battle.lgp/ckbl.png","View Picture")</f>
        <v>View Picture</v>
      </c>
      <c r="H1153" s="75"/>
      <c r="I1153" s="74"/>
      <c r="J1153" s="74"/>
      <c r="K1153" s="74"/>
    </row>
    <row r="1154">
      <c r="A1154" s="84"/>
      <c r="B1154" s="119" t="s">
        <v>13133</v>
      </c>
      <c r="C1154" s="120" t="s">
        <v>7148</v>
      </c>
      <c r="D1154" s="33" t="s">
        <v>12953</v>
      </c>
      <c r="E1154" s="51" t="s">
        <v>307</v>
      </c>
      <c r="F1154" s="121" t="s">
        <v>3009</v>
      </c>
      <c r="G1154" s="98" t="str">
        <f>HYPERLINK("http://mirror.ff7data.com.ar/ff7/data/battle/battle.lgp/ckbm.png","View Picture")</f>
        <v>View Picture</v>
      </c>
      <c r="H1154" s="75"/>
      <c r="I1154" s="74"/>
      <c r="J1154" s="74"/>
      <c r="K1154" s="74"/>
    </row>
    <row r="1155">
      <c r="A1155" s="84"/>
      <c r="B1155" s="119" t="s">
        <v>13145</v>
      </c>
      <c r="C1155" s="120" t="s">
        <v>7148</v>
      </c>
      <c r="D1155" s="33" t="s">
        <v>12953</v>
      </c>
      <c r="E1155" s="51" t="s">
        <v>307</v>
      </c>
      <c r="F1155" s="121" t="s">
        <v>3009</v>
      </c>
      <c r="G1155" s="98" t="str">
        <f>HYPERLINK("http://mirror.ff7data.com.ar/ff7/data/battle/battle.lgp/ckbn.png","View Picture")</f>
        <v>View Picture</v>
      </c>
      <c r="H1155" s="75"/>
      <c r="I1155" s="74"/>
      <c r="J1155" s="74"/>
      <c r="K1155" s="74"/>
    </row>
    <row r="1156">
      <c r="A1156" s="84"/>
      <c r="B1156" s="119" t="s">
        <v>13155</v>
      </c>
      <c r="C1156" s="120" t="s">
        <v>3842</v>
      </c>
      <c r="D1156" s="33" t="s">
        <v>12953</v>
      </c>
      <c r="E1156" s="51" t="s">
        <v>307</v>
      </c>
      <c r="F1156" s="121" t="s">
        <v>3009</v>
      </c>
      <c r="G1156" s="98" t="str">
        <f>HYPERLINK("http://mirror.ff7data.com.ar/ff7/data/battle/battle.lgp/ckbo.png","View Picture")</f>
        <v>View Picture</v>
      </c>
      <c r="H1156" s="75"/>
      <c r="I1156" s="74"/>
      <c r="J1156" s="74"/>
      <c r="K1156" s="74"/>
    </row>
    <row r="1157">
      <c r="A1157" s="84"/>
      <c r="B1157" s="119" t="s">
        <v>13165</v>
      </c>
      <c r="C1157" s="120" t="s">
        <v>7148</v>
      </c>
      <c r="D1157" s="33" t="s">
        <v>12953</v>
      </c>
      <c r="E1157" s="51" t="s">
        <v>307</v>
      </c>
      <c r="F1157" s="121" t="s">
        <v>3009</v>
      </c>
      <c r="G1157" s="98" t="str">
        <f>HYPERLINK("http://mirror.ff7data.com.ar/ff7/data/battle/battle.lgp/ckbp.png","View Picture")</f>
        <v>View Picture</v>
      </c>
      <c r="H1157" s="75"/>
      <c r="I1157" s="74"/>
      <c r="J1157" s="74"/>
      <c r="K1157" s="74"/>
    </row>
    <row r="1158">
      <c r="A1158" s="84"/>
      <c r="B1158" s="119" t="s">
        <v>13173</v>
      </c>
      <c r="C1158" s="120" t="s">
        <v>7148</v>
      </c>
      <c r="D1158" s="33" t="s">
        <v>12953</v>
      </c>
      <c r="E1158" s="51" t="s">
        <v>307</v>
      </c>
      <c r="F1158" s="121" t="s">
        <v>3009</v>
      </c>
      <c r="G1158" s="98" t="str">
        <f>HYPERLINK("http://mirror.ff7data.com.ar/ff7/data/battle/battle.lgp/ckbq.png","View Picture")</f>
        <v>View Picture</v>
      </c>
      <c r="H1158" s="75"/>
      <c r="I1158" s="74"/>
      <c r="J1158" s="74"/>
      <c r="K1158" s="74"/>
    </row>
    <row r="1159">
      <c r="A1159" s="84"/>
      <c r="B1159" s="119" t="s">
        <v>13182</v>
      </c>
      <c r="C1159" s="120" t="s">
        <v>7148</v>
      </c>
      <c r="D1159" s="33" t="s">
        <v>12953</v>
      </c>
      <c r="E1159" s="51" t="s">
        <v>307</v>
      </c>
      <c r="F1159" s="121" t="s">
        <v>3009</v>
      </c>
      <c r="G1159" s="98" t="str">
        <f>HYPERLINK("http://mirror.ff7data.com.ar/ff7/data/battle/battle.lgp/ckbr.png","View Picture")</f>
        <v>View Picture</v>
      </c>
      <c r="H1159" s="75"/>
      <c r="I1159" s="74"/>
      <c r="J1159" s="74"/>
      <c r="K1159" s="74"/>
    </row>
    <row r="1160">
      <c r="A1160" s="84"/>
      <c r="B1160" s="119" t="s">
        <v>13189</v>
      </c>
      <c r="C1160" s="120" t="s">
        <v>7081</v>
      </c>
      <c r="D1160" s="33" t="s">
        <v>12953</v>
      </c>
      <c r="E1160" s="51" t="s">
        <v>307</v>
      </c>
      <c r="F1160" s="121" t="s">
        <v>3025</v>
      </c>
      <c r="G1160" s="122"/>
      <c r="H1160" s="46" t="s">
        <v>3002</v>
      </c>
      <c r="I1160" s="74"/>
      <c r="J1160" s="74"/>
      <c r="K1160" s="74"/>
    </row>
    <row r="1161">
      <c r="A1161" s="84"/>
      <c r="B1161" s="119" t="s">
        <v>13193</v>
      </c>
      <c r="C1161" s="120" t="s">
        <v>4109</v>
      </c>
      <c r="D1161" s="33" t="s">
        <v>13194</v>
      </c>
      <c r="E1161" s="51" t="s">
        <v>310</v>
      </c>
      <c r="F1161" s="121" t="s">
        <v>2971</v>
      </c>
      <c r="G1161" s="98" t="str">
        <f>HYPERLINK("http://mirror.ff7data.com.ar/ff7/data/battle/battle.lgp/claa.png","View Picture")</f>
        <v>View Picture</v>
      </c>
      <c r="H1161" s="75"/>
      <c r="I1161" s="74"/>
      <c r="J1161" s="74"/>
      <c r="K1161" s="74"/>
    </row>
    <row r="1162">
      <c r="A1162" s="84"/>
      <c r="B1162" s="119" t="s">
        <v>13203</v>
      </c>
      <c r="C1162" s="120" t="s">
        <v>7375</v>
      </c>
      <c r="D1162" s="33" t="s">
        <v>13205</v>
      </c>
      <c r="E1162" s="51" t="s">
        <v>310</v>
      </c>
      <c r="F1162" s="121" t="s">
        <v>2993</v>
      </c>
      <c r="G1162" s="122"/>
      <c r="H1162" s="46" t="s">
        <v>3002</v>
      </c>
      <c r="I1162" s="74"/>
      <c r="J1162" s="74"/>
      <c r="K1162" s="74"/>
    </row>
    <row r="1163">
      <c r="A1163" s="84"/>
      <c r="B1163" s="119" t="s">
        <v>13207</v>
      </c>
      <c r="C1163" s="120" t="s">
        <v>4732</v>
      </c>
      <c r="D1163" s="33" t="s">
        <v>13205</v>
      </c>
      <c r="E1163" s="51" t="s">
        <v>310</v>
      </c>
      <c r="F1163" s="121" t="s">
        <v>3009</v>
      </c>
      <c r="G1163" s="98" t="str">
        <f>HYPERLINK("http://mirror.ff7data.com.ar/ff7/data/battle/battle.lgp/clac.png","View Picture")</f>
        <v>View Picture</v>
      </c>
      <c r="H1163" s="75"/>
      <c r="I1163" s="74"/>
      <c r="J1163" s="74"/>
      <c r="K1163" s="74"/>
    </row>
    <row r="1164">
      <c r="A1164" s="84"/>
      <c r="B1164" s="119" t="s">
        <v>13218</v>
      </c>
      <c r="C1164" s="120" t="s">
        <v>4439</v>
      </c>
      <c r="D1164" s="33" t="s">
        <v>13205</v>
      </c>
      <c r="E1164" s="51" t="s">
        <v>310</v>
      </c>
      <c r="F1164" s="121" t="s">
        <v>3009</v>
      </c>
      <c r="G1164" s="98" t="str">
        <f>HYPERLINK("http://mirror.ff7data.com.ar/ff7/data/battle/battle.lgp/clam.png","View Picture")</f>
        <v>View Picture</v>
      </c>
      <c r="H1164" s="75"/>
      <c r="I1164" s="74"/>
      <c r="J1164" s="74"/>
      <c r="K1164" s="74"/>
    </row>
    <row r="1165">
      <c r="A1165" s="84"/>
      <c r="B1165" s="119" t="s">
        <v>13227</v>
      </c>
      <c r="C1165" s="120" t="s">
        <v>4707</v>
      </c>
      <c r="D1165" s="33" t="s">
        <v>13205</v>
      </c>
      <c r="E1165" s="51" t="s">
        <v>310</v>
      </c>
      <c r="F1165" s="121" t="s">
        <v>3009</v>
      </c>
      <c r="G1165" s="98" t="str">
        <f>HYPERLINK("http://mirror.ff7data.com.ar/ff7/data/battle/battle.lgp/clao.png","View Picture")</f>
        <v>View Picture</v>
      </c>
      <c r="H1165" s="75"/>
      <c r="I1165" s="74"/>
      <c r="J1165" s="74"/>
      <c r="K1165" s="74"/>
    </row>
    <row r="1166">
      <c r="A1166" s="84"/>
      <c r="B1166" s="119" t="s">
        <v>13240</v>
      </c>
      <c r="C1166" s="120" t="s">
        <v>4707</v>
      </c>
      <c r="D1166" s="33" t="s">
        <v>13205</v>
      </c>
      <c r="E1166" s="51" t="s">
        <v>310</v>
      </c>
      <c r="F1166" s="121" t="s">
        <v>3009</v>
      </c>
      <c r="G1166" s="98" t="str">
        <f>HYPERLINK("http://mirror.ff7data.com.ar/ff7/data/battle/battle.lgp/clap.png","View Picture")</f>
        <v>View Picture</v>
      </c>
      <c r="H1166" s="75"/>
      <c r="I1166" s="74"/>
      <c r="J1166" s="74"/>
      <c r="K1166" s="74"/>
    </row>
    <row r="1167">
      <c r="A1167" s="84"/>
      <c r="B1167" s="119" t="s">
        <v>13250</v>
      </c>
      <c r="C1167" s="120" t="s">
        <v>7148</v>
      </c>
      <c r="D1167" s="33" t="s">
        <v>13205</v>
      </c>
      <c r="E1167" s="51" t="s">
        <v>310</v>
      </c>
      <c r="F1167" s="121" t="s">
        <v>3009</v>
      </c>
      <c r="G1167" s="98" t="str">
        <f>HYPERLINK("http://mirror.ff7data.com.ar/ff7/data/battle/battle.lgp/claq.png","View Picture")</f>
        <v>View Picture</v>
      </c>
      <c r="H1167" s="75"/>
      <c r="I1167" s="74"/>
      <c r="J1167" s="74"/>
      <c r="K1167" s="74"/>
    </row>
    <row r="1168">
      <c r="A1168" s="84"/>
      <c r="B1168" s="119" t="s">
        <v>13265</v>
      </c>
      <c r="C1168" s="120" t="s">
        <v>3749</v>
      </c>
      <c r="D1168" s="33" t="s">
        <v>13205</v>
      </c>
      <c r="E1168" s="51" t="s">
        <v>310</v>
      </c>
      <c r="F1168" s="121" t="s">
        <v>3009</v>
      </c>
      <c r="G1168" s="98" t="str">
        <f>HYPERLINK("http://mirror.ff7data.com.ar/ff7/data/battle/battle.lgp/clar.png","View Picture")</f>
        <v>View Picture</v>
      </c>
      <c r="H1168" s="75"/>
      <c r="I1168" s="74"/>
      <c r="J1168" s="74"/>
      <c r="K1168" s="74"/>
    </row>
    <row r="1169">
      <c r="A1169" s="84"/>
      <c r="B1169" s="119" t="s">
        <v>13281</v>
      </c>
      <c r="C1169" s="120" t="s">
        <v>4707</v>
      </c>
      <c r="D1169" s="33" t="s">
        <v>13205</v>
      </c>
      <c r="E1169" s="51" t="s">
        <v>310</v>
      </c>
      <c r="F1169" s="121" t="s">
        <v>3009</v>
      </c>
      <c r="G1169" s="98" t="str">
        <f>HYPERLINK("http://mirror.ff7data.com.ar/ff7/data/battle/battle.lgp/clat.png","View Picture")</f>
        <v>View Picture</v>
      </c>
      <c r="H1169" s="75"/>
      <c r="I1169" s="74"/>
      <c r="J1169" s="74"/>
      <c r="K1169" s="74"/>
    </row>
    <row r="1170">
      <c r="A1170" s="84"/>
      <c r="B1170" s="119" t="s">
        <v>13295</v>
      </c>
      <c r="C1170" s="120" t="s">
        <v>4707</v>
      </c>
      <c r="D1170" s="33" t="s">
        <v>13205</v>
      </c>
      <c r="E1170" s="51" t="s">
        <v>310</v>
      </c>
      <c r="F1170" s="121" t="s">
        <v>3009</v>
      </c>
      <c r="G1170" s="98" t="str">
        <f>HYPERLINK("http://mirror.ff7data.com.ar/ff7/data/battle/battle.lgp/clau.png","View Picture")</f>
        <v>View Picture</v>
      </c>
      <c r="H1170" s="75"/>
      <c r="I1170" s="74"/>
      <c r="J1170" s="74"/>
      <c r="K1170" s="74"/>
    </row>
    <row r="1171">
      <c r="A1171" s="84"/>
      <c r="B1171" s="119" t="s">
        <v>13305</v>
      </c>
      <c r="C1171" s="120" t="s">
        <v>7148</v>
      </c>
      <c r="D1171" s="33" t="s">
        <v>13205</v>
      </c>
      <c r="E1171" s="51" t="s">
        <v>310</v>
      </c>
      <c r="F1171" s="121" t="s">
        <v>3009</v>
      </c>
      <c r="G1171" s="98" t="str">
        <f>HYPERLINK("http://mirror.ff7data.com.ar/ff7/data/battle/battle.lgp/clav.png","View Picture")</f>
        <v>View Picture</v>
      </c>
      <c r="H1171" s="75"/>
      <c r="I1171" s="74"/>
      <c r="J1171" s="74"/>
      <c r="K1171" s="74"/>
    </row>
    <row r="1172">
      <c r="A1172" s="84"/>
      <c r="B1172" s="119" t="s">
        <v>13315</v>
      </c>
      <c r="C1172" s="120" t="s">
        <v>3749</v>
      </c>
      <c r="D1172" s="33" t="s">
        <v>13205</v>
      </c>
      <c r="E1172" s="51" t="s">
        <v>310</v>
      </c>
      <c r="F1172" s="121" t="s">
        <v>3009</v>
      </c>
      <c r="G1172" s="98" t="str">
        <f>HYPERLINK("http://mirror.ff7data.com.ar/ff7/data/battle/battle.lgp/claw.png","View Picture")</f>
        <v>View Picture</v>
      </c>
      <c r="H1172" s="75"/>
      <c r="I1172" s="74"/>
      <c r="J1172" s="74"/>
      <c r="K1172" s="74"/>
    </row>
    <row r="1173">
      <c r="A1173" s="84"/>
      <c r="B1173" s="119" t="s">
        <v>13324</v>
      </c>
      <c r="C1173" s="120" t="s">
        <v>4217</v>
      </c>
      <c r="D1173" s="33" t="s">
        <v>13205</v>
      </c>
      <c r="E1173" s="51" t="s">
        <v>310</v>
      </c>
      <c r="F1173" s="121" t="s">
        <v>3009</v>
      </c>
      <c r="G1173" s="98" t="str">
        <f>HYPERLINK("http://mirror.ff7data.com.ar/ff7/data/battle/battle.lgp/clax.png","View Picture")</f>
        <v>View Picture</v>
      </c>
      <c r="H1173" s="75"/>
      <c r="I1173" s="74"/>
      <c r="J1173" s="74"/>
      <c r="K1173" s="74"/>
    </row>
    <row r="1174">
      <c r="A1174" s="84"/>
      <c r="B1174" s="119" t="s">
        <v>13332</v>
      </c>
      <c r="C1174" s="120" t="s">
        <v>3648</v>
      </c>
      <c r="D1174" s="33" t="s">
        <v>13205</v>
      </c>
      <c r="E1174" s="51" t="s">
        <v>310</v>
      </c>
      <c r="F1174" s="121" t="s">
        <v>3009</v>
      </c>
      <c r="G1174" s="98" t="str">
        <f>HYPERLINK("http://mirror.ff7data.com.ar/ff7/data/battle/battle.lgp/clay.png","View Picture")</f>
        <v>View Picture</v>
      </c>
      <c r="H1174" s="75"/>
      <c r="I1174" s="74"/>
      <c r="J1174" s="74"/>
      <c r="K1174" s="74"/>
    </row>
    <row r="1175">
      <c r="A1175" s="84"/>
      <c r="B1175" s="119" t="s">
        <v>13341</v>
      </c>
      <c r="C1175" s="120" t="s">
        <v>3573</v>
      </c>
      <c r="D1175" s="33" t="s">
        <v>13205</v>
      </c>
      <c r="E1175" s="51" t="s">
        <v>310</v>
      </c>
      <c r="F1175" s="121" t="s">
        <v>3009</v>
      </c>
      <c r="G1175" s="98" t="str">
        <f>HYPERLINK("http://mirror.ff7data.com.ar/ff7/data/battle/battle.lgp/claz.png","View Picture")</f>
        <v>View Picture</v>
      </c>
      <c r="H1175" s="75"/>
      <c r="I1175" s="74"/>
      <c r="J1175" s="74"/>
      <c r="K1175" s="74"/>
    </row>
    <row r="1176">
      <c r="A1176" s="84"/>
      <c r="B1176" s="119" t="s">
        <v>13349</v>
      </c>
      <c r="C1176" s="120" t="s">
        <v>3343</v>
      </c>
      <c r="D1176" s="33" t="s">
        <v>13205</v>
      </c>
      <c r="E1176" s="51" t="s">
        <v>310</v>
      </c>
      <c r="F1176" s="121" t="s">
        <v>3009</v>
      </c>
      <c r="G1176" s="98" t="str">
        <f>HYPERLINK("http://mirror.ff7data.com.ar/ff7/data/battle/battle.lgp/clbb.png","View Picture")</f>
        <v>View Picture</v>
      </c>
      <c r="H1176" s="75"/>
      <c r="I1176" s="74"/>
      <c r="J1176" s="74"/>
      <c r="K1176" s="74"/>
    </row>
    <row r="1177">
      <c r="A1177" s="84"/>
      <c r="B1177" s="119" t="s">
        <v>13359</v>
      </c>
      <c r="C1177" s="120" t="s">
        <v>4658</v>
      </c>
      <c r="D1177" s="33" t="s">
        <v>13205</v>
      </c>
      <c r="E1177" s="51" t="s">
        <v>310</v>
      </c>
      <c r="F1177" s="121" t="s">
        <v>3009</v>
      </c>
      <c r="G1177" s="98" t="str">
        <f>HYPERLINK("http://mirror.ff7data.com.ar/ff7/data/battle/battle.lgp/clbd.png","View Picture")</f>
        <v>View Picture</v>
      </c>
      <c r="H1177" s="75"/>
      <c r="I1177" s="74"/>
      <c r="J1177" s="74"/>
      <c r="K1177" s="74"/>
    </row>
    <row r="1178">
      <c r="A1178" s="84"/>
      <c r="B1178" s="119" t="s">
        <v>13367</v>
      </c>
      <c r="C1178" s="120" t="s">
        <v>4185</v>
      </c>
      <c r="D1178" s="33" t="s">
        <v>13205</v>
      </c>
      <c r="E1178" s="51" t="s">
        <v>310</v>
      </c>
      <c r="F1178" s="121" t="s">
        <v>3009</v>
      </c>
      <c r="G1178" s="98" t="str">
        <f>HYPERLINK("http://mirror.ff7data.com.ar/ff7/data/battle/battle.lgp/clbe.png","View Picture")</f>
        <v>View Picture</v>
      </c>
      <c r="H1178" s="75"/>
      <c r="I1178" s="74"/>
      <c r="J1178" s="74"/>
      <c r="K1178" s="74"/>
    </row>
    <row r="1179">
      <c r="A1179" s="84"/>
      <c r="B1179" s="119" t="s">
        <v>13375</v>
      </c>
      <c r="C1179" s="120" t="s">
        <v>4372</v>
      </c>
      <c r="D1179" s="33" t="s">
        <v>13205</v>
      </c>
      <c r="E1179" s="51" t="s">
        <v>310</v>
      </c>
      <c r="F1179" s="121" t="s">
        <v>3009</v>
      </c>
      <c r="G1179" s="98" t="str">
        <f>HYPERLINK("http://mirror.ff7data.com.ar/ff7/data/battle/battle.lgp/clbf.png","View Picture")</f>
        <v>View Picture</v>
      </c>
      <c r="H1179" s="75"/>
      <c r="I1179" s="74"/>
      <c r="J1179" s="74"/>
      <c r="K1179" s="74"/>
    </row>
    <row r="1180">
      <c r="A1180" s="84"/>
      <c r="B1180" s="119" t="s">
        <v>13383</v>
      </c>
      <c r="C1180" s="120" t="s">
        <v>6029</v>
      </c>
      <c r="D1180" s="33" t="s">
        <v>13205</v>
      </c>
      <c r="E1180" s="51" t="s">
        <v>310</v>
      </c>
      <c r="F1180" s="121" t="s">
        <v>3009</v>
      </c>
      <c r="G1180" s="98" t="str">
        <f>HYPERLINK("http://mirror.ff7data.com.ar/ff7/data/battle/battle.lgp/clbh.png","View Picture")</f>
        <v>View Picture</v>
      </c>
      <c r="H1180" s="75"/>
      <c r="I1180" s="74"/>
      <c r="J1180" s="74"/>
      <c r="K1180" s="74"/>
    </row>
    <row r="1181">
      <c r="A1181" s="84"/>
      <c r="B1181" s="119" t="s">
        <v>13393</v>
      </c>
      <c r="C1181" s="120" t="s">
        <v>4707</v>
      </c>
      <c r="D1181" s="33" t="s">
        <v>13205</v>
      </c>
      <c r="E1181" s="51" t="s">
        <v>310</v>
      </c>
      <c r="F1181" s="121" t="s">
        <v>3009</v>
      </c>
      <c r="G1181" s="98" t="str">
        <f>HYPERLINK("http://mirror.ff7data.com.ar/ff7/data/battle/battle.lgp/clbj.png","View Picture")</f>
        <v>View Picture</v>
      </c>
      <c r="H1181" s="75"/>
      <c r="I1181" s="74"/>
      <c r="J1181" s="74"/>
      <c r="K1181" s="74"/>
    </row>
    <row r="1182">
      <c r="A1182" s="84"/>
      <c r="B1182" s="119" t="s">
        <v>13401</v>
      </c>
      <c r="C1182" s="120" t="s">
        <v>4476</v>
      </c>
      <c r="D1182" s="33" t="s">
        <v>13205</v>
      </c>
      <c r="E1182" s="51" t="s">
        <v>310</v>
      </c>
      <c r="F1182" s="121" t="s">
        <v>3009</v>
      </c>
      <c r="G1182" s="98" t="str">
        <f>HYPERLINK("http://mirror.ff7data.com.ar/ff7/data/battle/battle.lgp/clbk.png","View Picture")</f>
        <v>View Picture</v>
      </c>
      <c r="H1182" s="75"/>
      <c r="I1182" s="74"/>
      <c r="J1182" s="74"/>
      <c r="K1182" s="74"/>
    </row>
    <row r="1183">
      <c r="A1183" s="84"/>
      <c r="B1183" s="119" t="s">
        <v>13411</v>
      </c>
      <c r="C1183" s="120" t="s">
        <v>4357</v>
      </c>
      <c r="D1183" s="33" t="s">
        <v>13205</v>
      </c>
      <c r="E1183" s="51" t="s">
        <v>310</v>
      </c>
      <c r="F1183" s="121" t="s">
        <v>3009</v>
      </c>
      <c r="G1183" s="98" t="str">
        <f>HYPERLINK("http://mirror.ff7data.com.ar/ff7/data/battle/battle.lgp/clbl.png","View Picture")</f>
        <v>View Picture</v>
      </c>
      <c r="H1183" s="75"/>
      <c r="I1183" s="74"/>
      <c r="J1183" s="74"/>
      <c r="K1183" s="74"/>
    </row>
    <row r="1184">
      <c r="A1184" s="84"/>
      <c r="B1184" s="119" t="s">
        <v>13417</v>
      </c>
      <c r="C1184" s="120" t="s">
        <v>4057</v>
      </c>
      <c r="D1184" s="33" t="s">
        <v>13205</v>
      </c>
      <c r="E1184" s="51" t="s">
        <v>310</v>
      </c>
      <c r="F1184" s="121" t="s">
        <v>3009</v>
      </c>
      <c r="G1184" s="98" t="str">
        <f>HYPERLINK("http://mirror.ff7data.com.ar/ff7/data/battle/battle.lgp/clbn.png","View Picture")</f>
        <v>View Picture</v>
      </c>
      <c r="H1184" s="75"/>
      <c r="I1184" s="74"/>
      <c r="J1184" s="74"/>
      <c r="K1184" s="74"/>
    </row>
    <row r="1185">
      <c r="A1185" s="84"/>
      <c r="B1185" s="119" t="s">
        <v>13428</v>
      </c>
      <c r="C1185" s="120" t="s">
        <v>7148</v>
      </c>
      <c r="D1185" s="33" t="s">
        <v>13205</v>
      </c>
      <c r="E1185" s="51" t="s">
        <v>310</v>
      </c>
      <c r="F1185" s="121" t="s">
        <v>3009</v>
      </c>
      <c r="G1185" s="98" t="str">
        <f>HYPERLINK("http://mirror.ff7data.com.ar/ff7/data/battle/battle.lgp/clbo.png","View Picture")</f>
        <v>View Picture</v>
      </c>
      <c r="H1185" s="75"/>
      <c r="I1185" s="74"/>
      <c r="J1185" s="74"/>
      <c r="K1185" s="74"/>
    </row>
    <row r="1186">
      <c r="A1186" s="84"/>
      <c r="B1186" s="119" t="s">
        <v>13435</v>
      </c>
      <c r="C1186" s="120" t="s">
        <v>7148</v>
      </c>
      <c r="D1186" s="33" t="s">
        <v>13205</v>
      </c>
      <c r="E1186" s="51" t="s">
        <v>310</v>
      </c>
      <c r="F1186" s="121" t="s">
        <v>3009</v>
      </c>
      <c r="G1186" s="98" t="str">
        <f>HYPERLINK("http://mirror.ff7data.com.ar/ff7/data/battle/battle.lgp/clbp.png","View Picture")</f>
        <v>View Picture</v>
      </c>
      <c r="H1186" s="75"/>
      <c r="I1186" s="74"/>
      <c r="J1186" s="74"/>
      <c r="K1186" s="74"/>
    </row>
    <row r="1187">
      <c r="A1187" s="84"/>
      <c r="B1187" s="119" t="s">
        <v>13442</v>
      </c>
      <c r="C1187" s="120" t="s">
        <v>7148</v>
      </c>
      <c r="D1187" s="33" t="s">
        <v>13205</v>
      </c>
      <c r="E1187" s="51" t="s">
        <v>310</v>
      </c>
      <c r="F1187" s="121" t="s">
        <v>3009</v>
      </c>
      <c r="G1187" s="98" t="str">
        <f>HYPERLINK("http://mirror.ff7data.com.ar/ff7/data/battle/battle.lgp/clbq.png","View Picture")</f>
        <v>View Picture</v>
      </c>
      <c r="H1187" s="75"/>
      <c r="I1187" s="74"/>
      <c r="J1187" s="74"/>
      <c r="K1187" s="74"/>
    </row>
    <row r="1188">
      <c r="A1188" s="84"/>
      <c r="B1188" s="119" t="s">
        <v>13448</v>
      </c>
      <c r="C1188" s="120" t="s">
        <v>5356</v>
      </c>
      <c r="D1188" s="33" t="s">
        <v>13205</v>
      </c>
      <c r="E1188" s="51" t="s">
        <v>310</v>
      </c>
      <c r="F1188" s="121" t="s">
        <v>3009</v>
      </c>
      <c r="G1188" s="98" t="str">
        <f>HYPERLINK("http://mirror.ff7data.com.ar/ff7/data/battle/battle.lgp/clbr.png","View Picture")</f>
        <v>View Picture</v>
      </c>
      <c r="H1188" s="75"/>
      <c r="I1188" s="74"/>
      <c r="J1188" s="74"/>
      <c r="K1188" s="74"/>
    </row>
    <row r="1189">
      <c r="A1189" s="84"/>
      <c r="B1189" s="119" t="s">
        <v>13456</v>
      </c>
      <c r="C1189" s="120" t="s">
        <v>4057</v>
      </c>
      <c r="D1189" s="33" t="s">
        <v>13205</v>
      </c>
      <c r="E1189" s="51" t="s">
        <v>310</v>
      </c>
      <c r="F1189" s="121" t="s">
        <v>3009</v>
      </c>
      <c r="G1189" s="98" t="str">
        <f>HYPERLINK("http://mirror.ff7data.com.ar/ff7/data/battle/battle.lgp/clbs.png","View Picture")</f>
        <v>View Picture</v>
      </c>
      <c r="H1189" s="75"/>
      <c r="I1189" s="74"/>
      <c r="J1189" s="74"/>
      <c r="K1189" s="74"/>
    </row>
    <row r="1190">
      <c r="A1190" s="84"/>
      <c r="B1190" s="119" t="s">
        <v>13464</v>
      </c>
      <c r="C1190" s="120" t="s">
        <v>4841</v>
      </c>
      <c r="D1190" s="33" t="s">
        <v>13205</v>
      </c>
      <c r="E1190" s="51" t="s">
        <v>310</v>
      </c>
      <c r="F1190" s="121" t="s">
        <v>3025</v>
      </c>
      <c r="G1190" s="122"/>
      <c r="H1190" s="46" t="s">
        <v>3002</v>
      </c>
      <c r="I1190" s="74"/>
      <c r="J1190" s="74"/>
      <c r="K1190" s="74"/>
    </row>
    <row r="1191">
      <c r="A1191" s="84"/>
      <c r="B1191" s="119" t="s">
        <v>13467</v>
      </c>
      <c r="C1191" s="120" t="s">
        <v>5993</v>
      </c>
      <c r="D1191" s="33" t="s">
        <v>13468</v>
      </c>
      <c r="E1191" s="51" t="s">
        <v>313</v>
      </c>
      <c r="F1191" s="121" t="s">
        <v>2971</v>
      </c>
      <c r="G1191" s="98" t="str">
        <f>HYPERLINK("http://mirror.ff7data.com.ar/ff7/data/battle/battle.lgp/cmaa.png","View Picture")</f>
        <v>View Picture</v>
      </c>
      <c r="H1191" s="75"/>
      <c r="I1191" s="74"/>
      <c r="J1191" s="74"/>
      <c r="K1191" s="74"/>
    </row>
    <row r="1192">
      <c r="A1192" s="84"/>
      <c r="B1192" s="119" t="s">
        <v>13474</v>
      </c>
      <c r="C1192" s="120" t="s">
        <v>4109</v>
      </c>
      <c r="D1192" s="33" t="s">
        <v>13475</v>
      </c>
      <c r="E1192" s="51" t="s">
        <v>313</v>
      </c>
      <c r="F1192" s="121" t="s">
        <v>2993</v>
      </c>
      <c r="G1192" s="122"/>
      <c r="H1192" s="46" t="s">
        <v>3002</v>
      </c>
      <c r="I1192" s="74"/>
      <c r="J1192" s="74"/>
      <c r="K1192" s="74"/>
    </row>
    <row r="1193">
      <c r="A1193" s="84"/>
      <c r="B1193" s="119" t="s">
        <v>13478</v>
      </c>
      <c r="C1193" s="120" t="s">
        <v>13479</v>
      </c>
      <c r="D1193" s="33" t="s">
        <v>13475</v>
      </c>
      <c r="E1193" s="51" t="s">
        <v>313</v>
      </c>
      <c r="F1193" s="121" t="s">
        <v>3009</v>
      </c>
      <c r="G1193" s="98" t="str">
        <f>HYPERLINK("http://mirror.ff7data.com.ar/ff7/data/battle/battle.lgp/cmam.png","View Picture")</f>
        <v>View Picture</v>
      </c>
      <c r="H1193" s="75"/>
      <c r="I1193" s="74"/>
      <c r="J1193" s="74"/>
      <c r="K1193" s="74"/>
    </row>
    <row r="1194">
      <c r="A1194" s="84"/>
      <c r="B1194" s="119" t="s">
        <v>13488</v>
      </c>
      <c r="C1194" s="120" t="s">
        <v>7148</v>
      </c>
      <c r="D1194" s="33" t="s">
        <v>13475</v>
      </c>
      <c r="E1194" s="51" t="s">
        <v>313</v>
      </c>
      <c r="F1194" s="121" t="s">
        <v>3009</v>
      </c>
      <c r="G1194" s="98" t="str">
        <f>HYPERLINK("http://mirror.ff7data.com.ar/ff7/data/battle/battle.lgp/cmao.png","View Picture")</f>
        <v>View Picture</v>
      </c>
      <c r="H1194" s="75"/>
      <c r="I1194" s="74"/>
      <c r="J1194" s="74"/>
      <c r="K1194" s="74"/>
    </row>
    <row r="1195">
      <c r="A1195" s="84"/>
      <c r="B1195" s="119" t="s">
        <v>13495</v>
      </c>
      <c r="C1195" s="120" t="s">
        <v>7148</v>
      </c>
      <c r="D1195" s="33" t="s">
        <v>13475</v>
      </c>
      <c r="E1195" s="51" t="s">
        <v>313</v>
      </c>
      <c r="F1195" s="121" t="s">
        <v>3009</v>
      </c>
      <c r="G1195" s="98" t="str">
        <f>HYPERLINK("http://mirror.ff7data.com.ar/ff7/data/battle/battle.lgp/cmap.png","View Picture")</f>
        <v>View Picture</v>
      </c>
      <c r="H1195" s="75"/>
      <c r="I1195" s="74"/>
      <c r="J1195" s="74"/>
      <c r="K1195" s="74"/>
    </row>
    <row r="1196">
      <c r="A1196" s="84"/>
      <c r="B1196" s="119" t="s">
        <v>13506</v>
      </c>
      <c r="C1196" s="120" t="s">
        <v>7148</v>
      </c>
      <c r="D1196" s="33" t="s">
        <v>13475</v>
      </c>
      <c r="E1196" s="51" t="s">
        <v>313</v>
      </c>
      <c r="F1196" s="121" t="s">
        <v>3009</v>
      </c>
      <c r="G1196" s="98" t="str">
        <f>HYPERLINK("http://mirror.ff7data.com.ar/ff7/data/battle/battle.lgp/cmaq.png","View Picture")</f>
        <v>View Picture</v>
      </c>
      <c r="H1196" s="75"/>
      <c r="I1196" s="74"/>
      <c r="J1196" s="74"/>
      <c r="K1196" s="74"/>
    </row>
    <row r="1197">
      <c r="A1197" s="84"/>
      <c r="B1197" s="119" t="s">
        <v>13518</v>
      </c>
      <c r="C1197" s="120" t="s">
        <v>6830</v>
      </c>
      <c r="D1197" s="33" t="s">
        <v>13475</v>
      </c>
      <c r="E1197" s="51" t="s">
        <v>313</v>
      </c>
      <c r="F1197" s="121" t="s">
        <v>3009</v>
      </c>
      <c r="G1197" s="98" t="str">
        <f>HYPERLINK("http://mirror.ff7data.com.ar/ff7/data/battle/battle.lgp/cmar.png","View Picture")</f>
        <v>View Picture</v>
      </c>
      <c r="H1197" s="75"/>
      <c r="I1197" s="74"/>
      <c r="J1197" s="74"/>
      <c r="K1197" s="74"/>
    </row>
    <row r="1198">
      <c r="A1198" s="84"/>
      <c r="B1198" s="119" t="s">
        <v>13531</v>
      </c>
      <c r="C1198" s="120" t="s">
        <v>3749</v>
      </c>
      <c r="D1198" s="33" t="s">
        <v>13475</v>
      </c>
      <c r="E1198" s="51" t="s">
        <v>313</v>
      </c>
      <c r="F1198" s="121" t="s">
        <v>3009</v>
      </c>
      <c r="G1198" s="98" t="str">
        <f>HYPERLINK("http://mirror.ff7data.com.ar/ff7/data/battle/battle.lgp/cmat.png","View Picture")</f>
        <v>View Picture</v>
      </c>
      <c r="H1198" s="75"/>
      <c r="I1198" s="74"/>
      <c r="J1198" s="74"/>
      <c r="K1198" s="74"/>
    </row>
    <row r="1199">
      <c r="A1199" s="84"/>
      <c r="B1199" s="119" t="s">
        <v>13546</v>
      </c>
      <c r="C1199" s="120" t="s">
        <v>3519</v>
      </c>
      <c r="D1199" s="33" t="s">
        <v>13475</v>
      </c>
      <c r="E1199" s="51" t="s">
        <v>313</v>
      </c>
      <c r="F1199" s="121" t="s">
        <v>3009</v>
      </c>
      <c r="G1199" s="98" t="str">
        <f>HYPERLINK("http://mirror.ff7data.com.ar/ff7/data/battle/battle.lgp/cmau.png","View Picture")</f>
        <v>View Picture</v>
      </c>
      <c r="H1199" s="75"/>
      <c r="I1199" s="74"/>
      <c r="J1199" s="74"/>
      <c r="K1199" s="74"/>
    </row>
    <row r="1200">
      <c r="A1200" s="84"/>
      <c r="B1200" s="119" t="s">
        <v>13559</v>
      </c>
      <c r="C1200" s="120" t="s">
        <v>7129</v>
      </c>
      <c r="D1200" s="33" t="s">
        <v>13475</v>
      </c>
      <c r="E1200" s="51" t="s">
        <v>313</v>
      </c>
      <c r="F1200" s="121" t="s">
        <v>3009</v>
      </c>
      <c r="G1200" s="98" t="str">
        <f>HYPERLINK("http://mirror.ff7data.com.ar/ff7/data/battle/battle.lgp/cmav.png","View Picture")</f>
        <v>View Picture</v>
      </c>
      <c r="H1200" s="75"/>
      <c r="I1200" s="74"/>
      <c r="J1200" s="74"/>
      <c r="K1200" s="74"/>
    </row>
    <row r="1201">
      <c r="A1201" s="84"/>
      <c r="B1201" s="119" t="s">
        <v>13572</v>
      </c>
      <c r="C1201" s="120" t="s">
        <v>5891</v>
      </c>
      <c r="D1201" s="33" t="s">
        <v>13475</v>
      </c>
      <c r="E1201" s="51" t="s">
        <v>313</v>
      </c>
      <c r="F1201" s="121" t="s">
        <v>3009</v>
      </c>
      <c r="G1201" s="98" t="str">
        <f>HYPERLINK("http://mirror.ff7data.com.ar/ff7/data/battle/battle.lgp/cmax.png","View Picture")</f>
        <v>View Picture</v>
      </c>
      <c r="H1201" s="75"/>
      <c r="I1201" s="74"/>
      <c r="J1201" s="74"/>
      <c r="K1201" s="74"/>
    </row>
    <row r="1202">
      <c r="A1202" s="84"/>
      <c r="B1202" s="119" t="s">
        <v>13585</v>
      </c>
      <c r="C1202" s="120" t="s">
        <v>3519</v>
      </c>
      <c r="D1202" s="33" t="s">
        <v>13475</v>
      </c>
      <c r="E1202" s="51" t="s">
        <v>313</v>
      </c>
      <c r="F1202" s="121" t="s">
        <v>3009</v>
      </c>
      <c r="G1202" s="98" t="str">
        <f>HYPERLINK("http://mirror.ff7data.com.ar/ff7/data/battle/battle.lgp/cmay.png","View Picture")</f>
        <v>View Picture</v>
      </c>
      <c r="H1202" s="75"/>
      <c r="I1202" s="74"/>
      <c r="J1202" s="74"/>
      <c r="K1202" s="74"/>
    </row>
    <row r="1203">
      <c r="A1203" s="84"/>
      <c r="B1203" s="119" t="s">
        <v>13604</v>
      </c>
      <c r="C1203" s="120" t="s">
        <v>7129</v>
      </c>
      <c r="D1203" s="33" t="s">
        <v>13475</v>
      </c>
      <c r="E1203" s="51" t="s">
        <v>313</v>
      </c>
      <c r="F1203" s="121" t="s">
        <v>3009</v>
      </c>
      <c r="G1203" s="98" t="str">
        <f>HYPERLINK("http://mirror.ff7data.com.ar/ff7/data/battle/battle.lgp/cmaz.png","View Picture")</f>
        <v>View Picture</v>
      </c>
      <c r="H1203" s="75"/>
      <c r="I1203" s="74"/>
      <c r="J1203" s="74"/>
      <c r="K1203" s="74"/>
    </row>
    <row r="1204">
      <c r="A1204" s="84"/>
      <c r="B1204" s="119" t="s">
        <v>13618</v>
      </c>
      <c r="C1204" s="120" t="s">
        <v>13619</v>
      </c>
      <c r="D1204" s="33" t="s">
        <v>13475</v>
      </c>
      <c r="E1204" s="51" t="s">
        <v>313</v>
      </c>
      <c r="F1204" s="121" t="s">
        <v>3009</v>
      </c>
      <c r="G1204" s="98" t="str">
        <f>HYPERLINK("http://mirror.ff7data.com.ar/ff7/data/battle/battle.lgp/cmbb.png","View Picture")</f>
        <v>View Picture</v>
      </c>
      <c r="H1204" s="75"/>
      <c r="I1204" s="74"/>
      <c r="J1204" s="74"/>
      <c r="K1204" s="74"/>
    </row>
    <row r="1205">
      <c r="A1205" s="84"/>
      <c r="B1205" s="119" t="s">
        <v>13628</v>
      </c>
      <c r="C1205" s="120" t="s">
        <v>7501</v>
      </c>
      <c r="D1205" s="33" t="s">
        <v>13475</v>
      </c>
      <c r="E1205" s="51" t="s">
        <v>313</v>
      </c>
      <c r="F1205" s="121" t="s">
        <v>3009</v>
      </c>
      <c r="G1205" s="98" t="str">
        <f>HYPERLINK("http://mirror.ff7data.com.ar/ff7/data/battle/battle.lgp/cmbd.png","View Picture")</f>
        <v>View Picture</v>
      </c>
      <c r="H1205" s="75"/>
      <c r="I1205" s="74"/>
      <c r="J1205" s="74"/>
      <c r="K1205" s="74"/>
    </row>
    <row r="1206">
      <c r="A1206" s="84"/>
      <c r="B1206" s="119" t="s">
        <v>13636</v>
      </c>
      <c r="C1206" s="120" t="s">
        <v>5573</v>
      </c>
      <c r="D1206" s="33" t="s">
        <v>13475</v>
      </c>
      <c r="E1206" s="51" t="s">
        <v>313</v>
      </c>
      <c r="F1206" s="121" t="s">
        <v>3009</v>
      </c>
      <c r="G1206" s="98" t="str">
        <f>HYPERLINK("http://mirror.ff7data.com.ar/ff7/data/battle/battle.lgp/cmbe.png","View Picture")</f>
        <v>View Picture</v>
      </c>
      <c r="H1206" s="75"/>
      <c r="I1206" s="74"/>
      <c r="J1206" s="74"/>
      <c r="K1206" s="74"/>
    </row>
    <row r="1207">
      <c r="A1207" s="84"/>
      <c r="B1207" s="119" t="s">
        <v>13644</v>
      </c>
      <c r="C1207" s="120" t="s">
        <v>3007</v>
      </c>
      <c r="D1207" s="33" t="s">
        <v>13475</v>
      </c>
      <c r="E1207" s="51" t="s">
        <v>313</v>
      </c>
      <c r="F1207" s="121" t="s">
        <v>3009</v>
      </c>
      <c r="G1207" s="98" t="str">
        <f>HYPERLINK("http://mirror.ff7data.com.ar/ff7/data/battle/battle.lgp/cmbh.png","View Picture")</f>
        <v>View Picture</v>
      </c>
      <c r="H1207" s="75"/>
      <c r="I1207" s="74"/>
      <c r="J1207" s="74"/>
      <c r="K1207" s="74"/>
    </row>
    <row r="1208">
      <c r="A1208" s="84"/>
      <c r="B1208" s="119" t="s">
        <v>13656</v>
      </c>
      <c r="C1208" s="120" t="s">
        <v>3007</v>
      </c>
      <c r="D1208" s="33" t="s">
        <v>13475</v>
      </c>
      <c r="E1208" s="51" t="s">
        <v>313</v>
      </c>
      <c r="F1208" s="121" t="s">
        <v>3009</v>
      </c>
      <c r="G1208" s="98" t="str">
        <f>HYPERLINK("http://mirror.ff7data.com.ar/ff7/data/battle/battle.lgp/cmbj.png","View Picture")</f>
        <v>View Picture</v>
      </c>
      <c r="H1208" s="75"/>
      <c r="I1208" s="74"/>
      <c r="J1208" s="74"/>
      <c r="K1208" s="74"/>
    </row>
    <row r="1209">
      <c r="A1209" s="84"/>
      <c r="B1209" s="119" t="s">
        <v>13670</v>
      </c>
      <c r="C1209" s="120" t="s">
        <v>3007</v>
      </c>
      <c r="D1209" s="33" t="s">
        <v>13475</v>
      </c>
      <c r="E1209" s="51" t="s">
        <v>313</v>
      </c>
      <c r="F1209" s="121" t="s">
        <v>3009</v>
      </c>
      <c r="G1209" s="98" t="str">
        <f>HYPERLINK("http://mirror.ff7data.com.ar/ff7/data/battle/battle.lgp/cmbm.png","View Picture")</f>
        <v>View Picture</v>
      </c>
      <c r="H1209" s="75"/>
      <c r="I1209" s="74"/>
      <c r="J1209" s="74"/>
      <c r="K1209" s="74"/>
    </row>
    <row r="1210">
      <c r="A1210" s="84"/>
      <c r="B1210" s="119" t="s">
        <v>13681</v>
      </c>
      <c r="C1210" s="120" t="s">
        <v>3007</v>
      </c>
      <c r="D1210" s="33" t="s">
        <v>13475</v>
      </c>
      <c r="E1210" s="51" t="s">
        <v>313</v>
      </c>
      <c r="F1210" s="121" t="s">
        <v>3009</v>
      </c>
      <c r="G1210" s="98" t="str">
        <f>HYPERLINK("http://mirror.ff7data.com.ar/ff7/data/battle/battle.lgp/cmbo.png","View Picture")</f>
        <v>View Picture</v>
      </c>
      <c r="H1210" s="75"/>
      <c r="I1210" s="74"/>
      <c r="J1210" s="74"/>
      <c r="K1210" s="74"/>
    </row>
    <row r="1211">
      <c r="A1211" s="84"/>
      <c r="B1211" s="119" t="s">
        <v>13695</v>
      </c>
      <c r="C1211" s="120" t="s">
        <v>13697</v>
      </c>
      <c r="D1211" s="33" t="s">
        <v>13475</v>
      </c>
      <c r="E1211" s="51" t="s">
        <v>313</v>
      </c>
      <c r="F1211" s="121" t="s">
        <v>3009</v>
      </c>
      <c r="G1211" s="98" t="str">
        <f>HYPERLINK("http://mirror.ff7data.com.ar/ff7/data/battle/battle.lgp/cmbq.png","View Picture")</f>
        <v>View Picture</v>
      </c>
      <c r="H1211" s="75"/>
      <c r="I1211" s="74"/>
      <c r="J1211" s="74"/>
      <c r="K1211" s="74"/>
    </row>
    <row r="1212">
      <c r="A1212" s="84"/>
      <c r="B1212" s="119" t="s">
        <v>13710</v>
      </c>
      <c r="C1212" s="120" t="s">
        <v>3007</v>
      </c>
      <c r="D1212" s="33" t="s">
        <v>13475</v>
      </c>
      <c r="E1212" s="51" t="s">
        <v>313</v>
      </c>
      <c r="F1212" s="121" t="s">
        <v>3009</v>
      </c>
      <c r="G1212" s="98" t="str">
        <f>HYPERLINK("http://mirror.ff7data.com.ar/ff7/data/battle/battle.lgp/cmbs.png","View Picture")</f>
        <v>View Picture</v>
      </c>
      <c r="H1212" s="75"/>
      <c r="I1212" s="74"/>
      <c r="J1212" s="74"/>
      <c r="K1212" s="74"/>
    </row>
    <row r="1213">
      <c r="A1213" s="84"/>
      <c r="B1213" s="119" t="s">
        <v>13723</v>
      </c>
      <c r="C1213" s="120" t="s">
        <v>4719</v>
      </c>
      <c r="D1213" s="33" t="s">
        <v>13475</v>
      </c>
      <c r="E1213" s="51" t="s">
        <v>313</v>
      </c>
      <c r="F1213" s="121" t="s">
        <v>3009</v>
      </c>
      <c r="G1213" s="98" t="str">
        <f>HYPERLINK("http://mirror.ff7data.com.ar/ff7/data/battle/battle.lgp/cmbt.png","View Picture")</f>
        <v>View Picture</v>
      </c>
      <c r="H1213" s="75"/>
      <c r="I1213" s="74"/>
      <c r="J1213" s="74"/>
      <c r="K1213" s="74"/>
    </row>
    <row r="1214">
      <c r="A1214" s="84"/>
      <c r="B1214" s="119" t="s">
        <v>13733</v>
      </c>
      <c r="C1214" s="120" t="s">
        <v>9571</v>
      </c>
      <c r="D1214" s="33" t="s">
        <v>13475</v>
      </c>
      <c r="E1214" s="51" t="s">
        <v>313</v>
      </c>
      <c r="F1214" s="121" t="s">
        <v>3009</v>
      </c>
      <c r="G1214" s="98" t="str">
        <f>HYPERLINK("http://mirror.ff7data.com.ar/ff7/data/battle/battle.lgp/cmbu.png","View Picture")</f>
        <v>View Picture</v>
      </c>
      <c r="H1214" s="75"/>
      <c r="I1214" s="74"/>
      <c r="J1214" s="74"/>
      <c r="K1214" s="74"/>
    </row>
    <row r="1215">
      <c r="A1215" s="84"/>
      <c r="B1215" s="119" t="s">
        <v>13742</v>
      </c>
      <c r="C1215" s="120" t="s">
        <v>5904</v>
      </c>
      <c r="D1215" s="33" t="s">
        <v>13475</v>
      </c>
      <c r="E1215" s="51" t="s">
        <v>313</v>
      </c>
      <c r="F1215" s="121" t="s">
        <v>3009</v>
      </c>
      <c r="G1215" s="98" t="str">
        <f>HYPERLINK("http://mirror.ff7data.com.ar/ff7/data/battle/battle.lgp/cmbv.png","View Picture")</f>
        <v>View Picture</v>
      </c>
      <c r="H1215" s="75"/>
      <c r="I1215" s="74"/>
      <c r="J1215" s="74"/>
      <c r="K1215" s="74"/>
    </row>
    <row r="1216">
      <c r="A1216" s="84"/>
      <c r="B1216" s="119" t="s">
        <v>13749</v>
      </c>
      <c r="C1216" s="120" t="s">
        <v>5419</v>
      </c>
      <c r="D1216" s="33" t="s">
        <v>13475</v>
      </c>
      <c r="E1216" s="51" t="s">
        <v>313</v>
      </c>
      <c r="F1216" s="121" t="s">
        <v>3009</v>
      </c>
      <c r="G1216" s="98" t="str">
        <f>HYPERLINK("http://mirror.ff7data.com.ar/ff7/data/battle/battle.lgp/cmbx.png","View Picture")</f>
        <v>View Picture</v>
      </c>
      <c r="H1216" s="75"/>
      <c r="I1216" s="74"/>
      <c r="J1216" s="74"/>
      <c r="K1216" s="74"/>
    </row>
    <row r="1217">
      <c r="A1217" s="84"/>
      <c r="B1217" s="119" t="s">
        <v>13755</v>
      </c>
      <c r="C1217" s="120" t="s">
        <v>4732</v>
      </c>
      <c r="D1217" s="33" t="s">
        <v>13475</v>
      </c>
      <c r="E1217" s="51" t="s">
        <v>313</v>
      </c>
      <c r="F1217" s="121" t="s">
        <v>3009</v>
      </c>
      <c r="G1217" s="98" t="str">
        <f>HYPERLINK("http://mirror.ff7data.com.ar/ff7/data/battle/battle.lgp/cmby.png","View Picture")</f>
        <v>View Picture</v>
      </c>
      <c r="H1217" s="75"/>
      <c r="I1217" s="74"/>
      <c r="J1217" s="74"/>
      <c r="K1217" s="74"/>
    </row>
    <row r="1218">
      <c r="A1218" s="84"/>
      <c r="B1218" s="119" t="s">
        <v>13762</v>
      </c>
      <c r="C1218" s="120" t="s">
        <v>4264</v>
      </c>
      <c r="D1218" s="33" t="s">
        <v>13475</v>
      </c>
      <c r="E1218" s="51" t="s">
        <v>313</v>
      </c>
      <c r="F1218" s="121" t="s">
        <v>3009</v>
      </c>
      <c r="G1218" s="98" t="str">
        <f>HYPERLINK("http://mirror.ff7data.com.ar/ff7/data/battle/battle.lgp/cmbz.png","View Picture")</f>
        <v>View Picture</v>
      </c>
      <c r="H1218" s="75"/>
      <c r="I1218" s="74"/>
      <c r="J1218" s="74"/>
      <c r="K1218" s="74"/>
    </row>
    <row r="1219">
      <c r="A1219" s="84"/>
      <c r="B1219" s="119" t="s">
        <v>13773</v>
      </c>
      <c r="C1219" s="120" t="s">
        <v>3614</v>
      </c>
      <c r="D1219" s="33" t="s">
        <v>13475</v>
      </c>
      <c r="E1219" s="51" t="s">
        <v>313</v>
      </c>
      <c r="F1219" s="121" t="s">
        <v>3009</v>
      </c>
      <c r="G1219" s="98" t="str">
        <f>HYPERLINK("http://mirror.ff7data.com.ar/ff7/data/battle/battle.lgp/cmcb.png","View Picture")</f>
        <v>View Picture</v>
      </c>
      <c r="H1219" s="75"/>
      <c r="I1219" s="74"/>
      <c r="J1219" s="74"/>
      <c r="K1219" s="74"/>
    </row>
    <row r="1220">
      <c r="A1220" s="84"/>
      <c r="B1220" s="119" t="s">
        <v>13786</v>
      </c>
      <c r="C1220" s="120" t="s">
        <v>5419</v>
      </c>
      <c r="D1220" s="33" t="s">
        <v>13475</v>
      </c>
      <c r="E1220" s="51" t="s">
        <v>313</v>
      </c>
      <c r="F1220" s="121" t="s">
        <v>3009</v>
      </c>
      <c r="G1220" s="98" t="str">
        <f>HYPERLINK("http://mirror.ff7data.com.ar/ff7/data/battle/battle.lgp/cmcd.png","View Picture")</f>
        <v>View Picture</v>
      </c>
      <c r="H1220" s="75"/>
      <c r="I1220" s="74"/>
      <c r="J1220" s="74"/>
      <c r="K1220" s="74"/>
    </row>
    <row r="1221">
      <c r="A1221" s="84"/>
      <c r="B1221" s="119" t="s">
        <v>13795</v>
      </c>
      <c r="C1221" s="120" t="s">
        <v>4732</v>
      </c>
      <c r="D1221" s="33" t="s">
        <v>13475</v>
      </c>
      <c r="E1221" s="51" t="s">
        <v>313</v>
      </c>
      <c r="F1221" s="121" t="s">
        <v>3009</v>
      </c>
      <c r="G1221" s="98" t="str">
        <f>HYPERLINK("http://mirror.ff7data.com.ar/ff7/data/battle/battle.lgp/cmce.png","View Picture")</f>
        <v>View Picture</v>
      </c>
      <c r="H1221" s="75"/>
      <c r="I1221" s="74"/>
      <c r="J1221" s="74"/>
      <c r="K1221" s="74"/>
    </row>
    <row r="1222">
      <c r="A1222" s="84"/>
      <c r="B1222" s="119" t="s">
        <v>13806</v>
      </c>
      <c r="C1222" s="120" t="s">
        <v>4264</v>
      </c>
      <c r="D1222" s="33" t="s">
        <v>13475</v>
      </c>
      <c r="E1222" s="51" t="s">
        <v>313</v>
      </c>
      <c r="F1222" s="121" t="s">
        <v>3009</v>
      </c>
      <c r="G1222" s="98" t="str">
        <f>HYPERLINK("http://mirror.ff7data.com.ar/ff7/data/battle/battle.lgp/cmcf.png","View Picture")</f>
        <v>View Picture</v>
      </c>
      <c r="H1222" s="75"/>
      <c r="I1222" s="74"/>
      <c r="J1222" s="74"/>
      <c r="K1222" s="74"/>
    </row>
    <row r="1223">
      <c r="A1223" s="84"/>
      <c r="B1223" s="119" t="s">
        <v>13818</v>
      </c>
      <c r="C1223" s="120" t="s">
        <v>3573</v>
      </c>
      <c r="D1223" s="33" t="s">
        <v>13475</v>
      </c>
      <c r="E1223" s="51" t="s">
        <v>313</v>
      </c>
      <c r="F1223" s="121" t="s">
        <v>3025</v>
      </c>
      <c r="G1223" s="122"/>
      <c r="H1223" s="46" t="s">
        <v>3002</v>
      </c>
      <c r="I1223" s="74"/>
      <c r="J1223" s="74"/>
      <c r="K1223" s="74"/>
    </row>
    <row r="1224">
      <c r="A1224" s="84"/>
      <c r="B1224" s="119" t="s">
        <v>13822</v>
      </c>
      <c r="C1224" s="120" t="s">
        <v>13823</v>
      </c>
      <c r="D1224" s="33" t="s">
        <v>13825</v>
      </c>
      <c r="E1224" s="51" t="s">
        <v>316</v>
      </c>
      <c r="F1224" s="121" t="s">
        <v>2971</v>
      </c>
      <c r="G1224" s="98" t="str">
        <f>HYPERLINK("http://mirror.ff7data.com.ar/ff7/data/battle/battle.lgp/cnaa.png","View Picture")</f>
        <v>View Picture</v>
      </c>
      <c r="H1224" s="75"/>
      <c r="I1224" s="74"/>
      <c r="J1224" s="74"/>
      <c r="K1224" s="74"/>
    </row>
    <row r="1225">
      <c r="A1225" s="84"/>
      <c r="B1225" s="119" t="s">
        <v>13833</v>
      </c>
      <c r="C1225" s="120" t="s">
        <v>9973</v>
      </c>
      <c r="D1225" s="33" t="s">
        <v>13834</v>
      </c>
      <c r="E1225" s="51" t="s">
        <v>316</v>
      </c>
      <c r="F1225" s="121" t="s">
        <v>2993</v>
      </c>
      <c r="G1225" s="122"/>
      <c r="H1225" s="46" t="s">
        <v>3002</v>
      </c>
      <c r="I1225" s="74"/>
      <c r="J1225" s="74"/>
      <c r="K1225" s="74"/>
    </row>
    <row r="1226">
      <c r="A1226" s="84"/>
      <c r="B1226" s="119" t="s">
        <v>13836</v>
      </c>
      <c r="C1226" s="120" t="s">
        <v>3671</v>
      </c>
      <c r="D1226" s="33" t="s">
        <v>13834</v>
      </c>
      <c r="E1226" s="51" t="s">
        <v>316</v>
      </c>
      <c r="F1226" s="121" t="s">
        <v>3009</v>
      </c>
      <c r="G1226" s="98" t="str">
        <f>HYPERLINK("http://mirror.ff7data.com.ar/ff7/data/battle/battle.lgp/cnam.png","View Picture")</f>
        <v>View Picture</v>
      </c>
      <c r="H1226" s="75"/>
      <c r="I1226" s="74"/>
      <c r="J1226" s="74"/>
      <c r="K1226" s="74"/>
    </row>
    <row r="1227">
      <c r="A1227" s="84"/>
      <c r="B1227" s="119" t="s">
        <v>13843</v>
      </c>
      <c r="C1227" s="120" t="s">
        <v>13844</v>
      </c>
      <c r="D1227" s="33" t="s">
        <v>13834</v>
      </c>
      <c r="E1227" s="51" t="s">
        <v>316</v>
      </c>
      <c r="F1227" s="121" t="s">
        <v>3009</v>
      </c>
      <c r="G1227" s="98" t="str">
        <f>HYPERLINK("http://mirror.ff7data.com.ar/ff7/data/battle/battle.lgp/cnap.png","View Picture")</f>
        <v>View Picture</v>
      </c>
      <c r="H1227" s="75"/>
      <c r="I1227" s="74"/>
      <c r="J1227" s="74"/>
      <c r="K1227" s="74"/>
    </row>
    <row r="1228">
      <c r="A1228" s="84"/>
      <c r="B1228" s="119" t="s">
        <v>13849</v>
      </c>
      <c r="C1228" s="120" t="s">
        <v>13844</v>
      </c>
      <c r="D1228" s="33" t="s">
        <v>13834</v>
      </c>
      <c r="E1228" s="51" t="s">
        <v>316</v>
      </c>
      <c r="F1228" s="121" t="s">
        <v>3009</v>
      </c>
      <c r="G1228" s="98" t="str">
        <f>HYPERLINK("http://mirror.ff7data.com.ar/ff7/data/battle/battle.lgp/cnar.png","View Picture")</f>
        <v>View Picture</v>
      </c>
      <c r="H1228" s="75"/>
      <c r="I1228" s="74"/>
      <c r="J1228" s="74"/>
      <c r="K1228" s="74"/>
    </row>
    <row r="1229">
      <c r="A1229" s="84"/>
      <c r="B1229" s="119" t="s">
        <v>13854</v>
      </c>
      <c r="C1229" s="120" t="s">
        <v>13844</v>
      </c>
      <c r="D1229" s="33" t="s">
        <v>13834</v>
      </c>
      <c r="E1229" s="51" t="s">
        <v>316</v>
      </c>
      <c r="F1229" s="121" t="s">
        <v>3009</v>
      </c>
      <c r="G1229" s="98" t="str">
        <f>HYPERLINK("http://mirror.ff7data.com.ar/ff7/data/battle/battle.lgp/cnat.png","View Picture")</f>
        <v>View Picture</v>
      </c>
      <c r="H1229" s="75"/>
      <c r="I1229" s="74"/>
      <c r="J1229" s="74"/>
      <c r="K1229" s="74"/>
    </row>
    <row r="1230">
      <c r="A1230" s="84"/>
      <c r="B1230" s="119" t="s">
        <v>13860</v>
      </c>
      <c r="C1230" s="120" t="s">
        <v>13844</v>
      </c>
      <c r="D1230" s="33" t="s">
        <v>13834</v>
      </c>
      <c r="E1230" s="51" t="s">
        <v>316</v>
      </c>
      <c r="F1230" s="121" t="s">
        <v>3009</v>
      </c>
      <c r="G1230" s="98" t="str">
        <f>HYPERLINK("http://mirror.ff7data.com.ar/ff7/data/battle/battle.lgp/cnav.png","View Picture")</f>
        <v>View Picture</v>
      </c>
      <c r="H1230" s="75"/>
      <c r="I1230" s="74"/>
      <c r="J1230" s="74"/>
      <c r="K1230" s="74"/>
    </row>
    <row r="1231">
      <c r="A1231" s="84"/>
      <c r="B1231" s="119" t="s">
        <v>13866</v>
      </c>
      <c r="C1231" s="120" t="s">
        <v>4217</v>
      </c>
      <c r="D1231" s="33" t="s">
        <v>13834</v>
      </c>
      <c r="E1231" s="51" t="s">
        <v>316</v>
      </c>
      <c r="F1231" s="121" t="s">
        <v>3025</v>
      </c>
      <c r="G1231" s="122"/>
      <c r="H1231" s="46" t="s">
        <v>3002</v>
      </c>
      <c r="I1231" s="74"/>
      <c r="J1231" s="74"/>
      <c r="K1231" s="74"/>
    </row>
    <row r="1232">
      <c r="A1232" s="84"/>
      <c r="B1232" s="119" t="s">
        <v>13869</v>
      </c>
      <c r="C1232" s="120" t="s">
        <v>6789</v>
      </c>
      <c r="D1232" s="33" t="s">
        <v>13871</v>
      </c>
      <c r="E1232" s="51" t="s">
        <v>320</v>
      </c>
      <c r="F1232" s="121" t="s">
        <v>2971</v>
      </c>
      <c r="G1232" s="98" t="str">
        <f>HYPERLINK("http://mirror.ff7data.com.ar/ff7/data/battle/battle.lgp/coaa.png","View Picture")</f>
        <v>View Picture</v>
      </c>
      <c r="H1232" s="75"/>
      <c r="I1232" s="74"/>
      <c r="J1232" s="74"/>
      <c r="K1232" s="74"/>
    </row>
    <row r="1233">
      <c r="A1233" s="84"/>
      <c r="B1233" s="119" t="s">
        <v>13880</v>
      </c>
      <c r="C1233" s="120" t="s">
        <v>8004</v>
      </c>
      <c r="D1233" s="33" t="s">
        <v>13882</v>
      </c>
      <c r="E1233" s="51" t="s">
        <v>320</v>
      </c>
      <c r="F1233" s="121" t="s">
        <v>2993</v>
      </c>
      <c r="G1233" s="122"/>
      <c r="H1233" s="46" t="s">
        <v>3002</v>
      </c>
      <c r="I1233" s="74"/>
      <c r="J1233" s="74"/>
      <c r="K1233" s="74"/>
    </row>
    <row r="1234">
      <c r="A1234" s="84"/>
      <c r="B1234" s="119" t="s">
        <v>13885</v>
      </c>
      <c r="C1234" s="120" t="s">
        <v>4191</v>
      </c>
      <c r="D1234" s="33" t="s">
        <v>13882</v>
      </c>
      <c r="E1234" s="51" t="s">
        <v>320</v>
      </c>
      <c r="F1234" s="121" t="s">
        <v>3009</v>
      </c>
      <c r="G1234" s="98" t="str">
        <f>HYPERLINK("http://mirror.ff7data.com.ar/ff7/data/battle/battle.lgp/coac.png","View Picture")</f>
        <v>View Picture</v>
      </c>
      <c r="H1234" s="75"/>
      <c r="I1234" s="74"/>
      <c r="J1234" s="74"/>
      <c r="K1234" s="74"/>
    </row>
    <row r="1235">
      <c r="A1235" s="84"/>
      <c r="B1235" s="119" t="s">
        <v>13893</v>
      </c>
      <c r="C1235" s="120" t="s">
        <v>13894</v>
      </c>
      <c r="D1235" s="33" t="s">
        <v>13882</v>
      </c>
      <c r="E1235" s="51" t="s">
        <v>320</v>
      </c>
      <c r="F1235" s="121" t="s">
        <v>3009</v>
      </c>
      <c r="G1235" s="98" t="str">
        <f>HYPERLINK("http://mirror.ff7data.com.ar/ff7/data/battle/battle.lgp/coam.png","View Picture")</f>
        <v>View Picture</v>
      </c>
      <c r="H1235" s="75"/>
      <c r="I1235" s="74"/>
      <c r="J1235" s="74"/>
      <c r="K1235" s="74"/>
    </row>
    <row r="1236">
      <c r="A1236" s="84"/>
      <c r="B1236" s="119" t="s">
        <v>13902</v>
      </c>
      <c r="C1236" s="120" t="s">
        <v>3723</v>
      </c>
      <c r="D1236" s="33" t="s">
        <v>13882</v>
      </c>
      <c r="E1236" s="51" t="s">
        <v>320</v>
      </c>
      <c r="F1236" s="121" t="s">
        <v>3009</v>
      </c>
      <c r="G1236" s="98" t="str">
        <f>HYPERLINK("http://mirror.ff7data.com.ar/ff7/data/battle/battle.lgp/coao.png","View Picture")</f>
        <v>View Picture</v>
      </c>
      <c r="H1236" s="75"/>
      <c r="I1236" s="74"/>
      <c r="J1236" s="74"/>
      <c r="K1236" s="74"/>
    </row>
    <row r="1237">
      <c r="A1237" s="84"/>
      <c r="B1237" s="119" t="s">
        <v>13909</v>
      </c>
      <c r="C1237" s="120" t="s">
        <v>3723</v>
      </c>
      <c r="D1237" s="33" t="s">
        <v>13882</v>
      </c>
      <c r="E1237" s="51" t="s">
        <v>320</v>
      </c>
      <c r="F1237" s="121" t="s">
        <v>3009</v>
      </c>
      <c r="G1237" s="98" t="str">
        <f>HYPERLINK("http://mirror.ff7data.com.ar/ff7/data/battle/battle.lgp/coaq.png","View Picture")</f>
        <v>View Picture</v>
      </c>
      <c r="H1237" s="75"/>
      <c r="I1237" s="74"/>
      <c r="J1237" s="74"/>
      <c r="K1237" s="74"/>
    </row>
    <row r="1238">
      <c r="A1238" s="84"/>
      <c r="B1238" s="119" t="s">
        <v>13917</v>
      </c>
      <c r="C1238" s="120" t="s">
        <v>3723</v>
      </c>
      <c r="D1238" s="33" t="s">
        <v>13882</v>
      </c>
      <c r="E1238" s="51" t="s">
        <v>320</v>
      </c>
      <c r="F1238" s="121" t="s">
        <v>3009</v>
      </c>
      <c r="G1238" s="98" t="str">
        <f>HYPERLINK("http://mirror.ff7data.com.ar/ff7/data/battle/battle.lgp/coas.png","View Picture")</f>
        <v>View Picture</v>
      </c>
      <c r="H1238" s="75"/>
      <c r="I1238" s="74"/>
      <c r="J1238" s="74"/>
      <c r="K1238" s="74"/>
    </row>
    <row r="1239">
      <c r="A1239" s="84"/>
      <c r="B1239" s="119" t="s">
        <v>13926</v>
      </c>
      <c r="C1239" s="120" t="s">
        <v>5203</v>
      </c>
      <c r="D1239" s="33" t="s">
        <v>13882</v>
      </c>
      <c r="E1239" s="51" t="s">
        <v>320</v>
      </c>
      <c r="F1239" s="121" t="s">
        <v>3009</v>
      </c>
      <c r="G1239" s="98" t="str">
        <f>HYPERLINK("http://mirror.ff7data.com.ar/ff7/data/battle/battle.lgp/coav.png","View Picture")</f>
        <v>View Picture</v>
      </c>
      <c r="H1239" s="75"/>
      <c r="I1239" s="74"/>
      <c r="J1239" s="74"/>
      <c r="K1239" s="74"/>
    </row>
    <row r="1240">
      <c r="A1240" s="84"/>
      <c r="B1240" s="119" t="s">
        <v>13935</v>
      </c>
      <c r="C1240" s="120" t="s">
        <v>8649</v>
      </c>
      <c r="D1240" s="33" t="s">
        <v>13882</v>
      </c>
      <c r="E1240" s="51" t="s">
        <v>320</v>
      </c>
      <c r="F1240" s="121" t="s">
        <v>3009</v>
      </c>
      <c r="G1240" s="98" t="str">
        <f>HYPERLINK("http://mirror.ff7data.com.ar/ff7/data/battle/battle.lgp/coax.png","View Picture")</f>
        <v>View Picture</v>
      </c>
      <c r="H1240" s="75"/>
      <c r="I1240" s="74"/>
      <c r="J1240" s="74"/>
      <c r="K1240" s="74"/>
    </row>
    <row r="1241">
      <c r="A1241" s="84"/>
      <c r="B1241" s="119" t="s">
        <v>13944</v>
      </c>
      <c r="C1241" s="120" t="s">
        <v>8649</v>
      </c>
      <c r="D1241" s="33" t="s">
        <v>13882</v>
      </c>
      <c r="E1241" s="51" t="s">
        <v>320</v>
      </c>
      <c r="F1241" s="121" t="s">
        <v>3009</v>
      </c>
      <c r="G1241" s="98" t="str">
        <f>HYPERLINK("http://mirror.ff7data.com.ar/ff7/data/battle/battle.lgp/coaz.png","View Picture")</f>
        <v>View Picture</v>
      </c>
      <c r="H1241" s="75"/>
      <c r="I1241" s="74"/>
      <c r="J1241" s="74"/>
      <c r="K1241" s="74"/>
    </row>
    <row r="1242">
      <c r="A1242" s="84"/>
      <c r="B1242" s="119" t="s">
        <v>13955</v>
      </c>
      <c r="C1242" s="120" t="s">
        <v>13957</v>
      </c>
      <c r="D1242" s="33" t="s">
        <v>13882</v>
      </c>
      <c r="E1242" s="51" t="s">
        <v>320</v>
      </c>
      <c r="F1242" s="121" t="s">
        <v>3009</v>
      </c>
      <c r="G1242" s="98" t="str">
        <f>HYPERLINK("http://mirror.ff7data.com.ar/ff7/data/battle/battle.lgp/cobb.png","View Picture")</f>
        <v>View Picture</v>
      </c>
      <c r="H1242" s="75"/>
      <c r="I1242" s="74"/>
      <c r="J1242" s="74"/>
      <c r="K1242" s="74"/>
    </row>
    <row r="1243">
      <c r="A1243" s="84"/>
      <c r="B1243" s="119" t="s">
        <v>13967</v>
      </c>
      <c r="C1243" s="120" t="s">
        <v>3723</v>
      </c>
      <c r="D1243" s="33" t="s">
        <v>13882</v>
      </c>
      <c r="E1243" s="51" t="s">
        <v>320</v>
      </c>
      <c r="F1243" s="121" t="s">
        <v>3009</v>
      </c>
      <c r="G1243" s="98" t="str">
        <f>HYPERLINK("http://mirror.ff7data.com.ar/ff7/data/battle/battle.lgp/cobe.png","View Picture")</f>
        <v>View Picture</v>
      </c>
      <c r="H1243" s="75"/>
      <c r="I1243" s="74"/>
      <c r="J1243" s="74"/>
      <c r="K1243" s="74"/>
    </row>
    <row r="1244">
      <c r="A1244" s="84"/>
      <c r="B1244" s="119" t="s">
        <v>13974</v>
      </c>
      <c r="C1244" s="120" t="s">
        <v>9041</v>
      </c>
      <c r="D1244" s="33" t="s">
        <v>13882</v>
      </c>
      <c r="E1244" s="51" t="s">
        <v>320</v>
      </c>
      <c r="F1244" s="121" t="s">
        <v>3009</v>
      </c>
      <c r="G1244" s="98" t="str">
        <f>HYPERLINK("http://mirror.ff7data.com.ar/ff7/data/battle/battle.lgp/cobh.png","View Picture")</f>
        <v>View Picture</v>
      </c>
      <c r="H1244" s="75"/>
      <c r="I1244" s="74"/>
      <c r="J1244" s="74"/>
      <c r="K1244" s="74"/>
    </row>
    <row r="1245">
      <c r="A1245" s="84"/>
      <c r="B1245" s="119" t="s">
        <v>13981</v>
      </c>
      <c r="C1245" s="120" t="s">
        <v>3370</v>
      </c>
      <c r="D1245" s="33" t="s">
        <v>13882</v>
      </c>
      <c r="E1245" s="51" t="s">
        <v>320</v>
      </c>
      <c r="F1245" s="121" t="s">
        <v>3009</v>
      </c>
      <c r="G1245" s="98" t="str">
        <f>HYPERLINK("http://mirror.ff7data.com.ar/ff7/data/battle/battle.lgp/cobj.png","View Picture")</f>
        <v>View Picture</v>
      </c>
      <c r="H1245" s="75"/>
      <c r="I1245" s="74"/>
      <c r="J1245" s="74"/>
      <c r="K1245" s="74"/>
    </row>
    <row r="1246">
      <c r="A1246" s="84"/>
      <c r="B1246" s="119" t="s">
        <v>13988</v>
      </c>
      <c r="C1246" s="120" t="s">
        <v>3370</v>
      </c>
      <c r="D1246" s="33" t="s">
        <v>13882</v>
      </c>
      <c r="E1246" s="51" t="s">
        <v>320</v>
      </c>
      <c r="F1246" s="121" t="s">
        <v>3009</v>
      </c>
      <c r="G1246" s="98" t="str">
        <f>HYPERLINK("http://mirror.ff7data.com.ar/ff7/data/battle/battle.lgp/cobl.png","View Picture")</f>
        <v>View Picture</v>
      </c>
      <c r="H1246" s="75"/>
      <c r="I1246" s="74"/>
      <c r="J1246" s="74"/>
      <c r="K1246" s="74"/>
    </row>
    <row r="1247">
      <c r="A1247" s="84"/>
      <c r="B1247" s="119" t="s">
        <v>13994</v>
      </c>
      <c r="C1247" s="120" t="s">
        <v>3370</v>
      </c>
      <c r="D1247" s="33" t="s">
        <v>13882</v>
      </c>
      <c r="E1247" s="51" t="s">
        <v>320</v>
      </c>
      <c r="F1247" s="121" t="s">
        <v>3009</v>
      </c>
      <c r="G1247" s="98" t="str">
        <f>HYPERLINK("http://mirror.ff7data.com.ar/ff7/data/battle/battle.lgp/cobn.png","View Picture")</f>
        <v>View Picture</v>
      </c>
      <c r="H1247" s="75"/>
      <c r="I1247" s="74"/>
      <c r="J1247" s="74"/>
      <c r="K1247" s="74"/>
    </row>
    <row r="1248">
      <c r="A1248" s="84"/>
      <c r="B1248" s="119" t="s">
        <v>13999</v>
      </c>
      <c r="C1248" s="120" t="s">
        <v>3370</v>
      </c>
      <c r="D1248" s="33" t="s">
        <v>13882</v>
      </c>
      <c r="E1248" s="51" t="s">
        <v>320</v>
      </c>
      <c r="F1248" s="121" t="s">
        <v>3009</v>
      </c>
      <c r="G1248" s="98" t="str">
        <f>HYPERLINK("http://mirror.ff7data.com.ar/ff7/data/battle/battle.lgp/cobp.png","View Picture")</f>
        <v>View Picture</v>
      </c>
      <c r="H1248" s="75"/>
      <c r="I1248" s="74"/>
      <c r="J1248" s="74"/>
      <c r="K1248" s="74"/>
    </row>
    <row r="1249">
      <c r="A1249" s="84"/>
      <c r="B1249" s="119" t="s">
        <v>14003</v>
      </c>
      <c r="C1249" s="120" t="s">
        <v>3370</v>
      </c>
      <c r="D1249" s="33" t="s">
        <v>13882</v>
      </c>
      <c r="E1249" s="51" t="s">
        <v>320</v>
      </c>
      <c r="F1249" s="121" t="s">
        <v>3009</v>
      </c>
      <c r="G1249" s="98" t="str">
        <f>HYPERLINK("http://mirror.ff7data.com.ar/ff7/data/battle/battle.lgp/cobr.png","View Picture")</f>
        <v>View Picture</v>
      </c>
      <c r="H1249" s="75"/>
      <c r="I1249" s="74"/>
      <c r="J1249" s="74"/>
      <c r="K1249" s="74"/>
    </row>
    <row r="1250">
      <c r="A1250" s="84"/>
      <c r="B1250" s="119" t="s">
        <v>14013</v>
      </c>
      <c r="C1250" s="120" t="s">
        <v>3768</v>
      </c>
      <c r="D1250" s="33" t="s">
        <v>13882</v>
      </c>
      <c r="E1250" s="51" t="s">
        <v>320</v>
      </c>
      <c r="F1250" s="121" t="s">
        <v>3009</v>
      </c>
      <c r="G1250" s="98" t="str">
        <f>HYPERLINK("http://mirror.ff7data.com.ar/ff7/data/battle/battle.lgp/cobu.png","View Picture")</f>
        <v>View Picture</v>
      </c>
      <c r="H1250" s="75"/>
      <c r="I1250" s="74"/>
      <c r="J1250" s="74"/>
      <c r="K1250" s="74"/>
    </row>
    <row r="1251">
      <c r="A1251" s="84"/>
      <c r="B1251" s="119" t="s">
        <v>14020</v>
      </c>
      <c r="C1251" s="120" t="s">
        <v>3370</v>
      </c>
      <c r="D1251" s="33" t="s">
        <v>13882</v>
      </c>
      <c r="E1251" s="51" t="s">
        <v>320</v>
      </c>
      <c r="F1251" s="121" t="s">
        <v>3009</v>
      </c>
      <c r="G1251" s="98" t="str">
        <f>HYPERLINK("http://mirror.ff7data.com.ar/ff7/data/battle/battle.lgp/cobx.png","View Picture")</f>
        <v>View Picture</v>
      </c>
      <c r="H1251" s="75"/>
      <c r="I1251" s="74"/>
      <c r="J1251" s="74"/>
      <c r="K1251" s="74"/>
    </row>
    <row r="1252">
      <c r="A1252" s="84"/>
      <c r="B1252" s="119" t="s">
        <v>14028</v>
      </c>
      <c r="C1252" s="120" t="s">
        <v>14030</v>
      </c>
      <c r="D1252" s="33" t="s">
        <v>13882</v>
      </c>
      <c r="E1252" s="51" t="s">
        <v>320</v>
      </c>
      <c r="F1252" s="121" t="s">
        <v>3009</v>
      </c>
      <c r="G1252" s="98" t="str">
        <f>HYPERLINK("http://mirror.ff7data.com.ar/ff7/data/battle/battle.lgp/cobz.png","View Picture")</f>
        <v>View Picture</v>
      </c>
      <c r="H1252" s="75"/>
      <c r="I1252" s="74"/>
      <c r="J1252" s="74"/>
      <c r="K1252" s="74"/>
    </row>
    <row r="1253">
      <c r="A1253" s="84"/>
      <c r="B1253" s="119" t="s">
        <v>14037</v>
      </c>
      <c r="C1253" s="120" t="s">
        <v>3370</v>
      </c>
      <c r="D1253" s="33" t="s">
        <v>13882</v>
      </c>
      <c r="E1253" s="51" t="s">
        <v>320</v>
      </c>
      <c r="F1253" s="121" t="s">
        <v>3009</v>
      </c>
      <c r="G1253" s="98" t="str">
        <f>HYPERLINK("http://mirror.ff7data.com.ar/ff7/data/battle/battle.lgp/cocb.png","View Picture")</f>
        <v>View Picture</v>
      </c>
      <c r="H1253" s="75"/>
      <c r="I1253" s="74"/>
      <c r="J1253" s="74"/>
      <c r="K1253" s="74"/>
    </row>
    <row r="1254">
      <c r="A1254" s="84"/>
      <c r="B1254" s="119" t="s">
        <v>14041</v>
      </c>
      <c r="C1254" s="120" t="s">
        <v>3370</v>
      </c>
      <c r="D1254" s="33" t="s">
        <v>13882</v>
      </c>
      <c r="E1254" s="51" t="s">
        <v>320</v>
      </c>
      <c r="F1254" s="121" t="s">
        <v>3009</v>
      </c>
      <c r="G1254" s="98" t="str">
        <f>HYPERLINK("http://mirror.ff7data.com.ar/ff7/data/battle/battle.lgp/cocd.png","View Picture")</f>
        <v>View Picture</v>
      </c>
      <c r="H1254" s="75"/>
      <c r="I1254" s="74"/>
      <c r="J1254" s="74"/>
      <c r="K1254" s="74"/>
    </row>
    <row r="1255">
      <c r="A1255" s="84"/>
      <c r="B1255" s="119" t="s">
        <v>14047</v>
      </c>
      <c r="C1255" s="120" t="s">
        <v>3370</v>
      </c>
      <c r="D1255" s="33" t="s">
        <v>13882</v>
      </c>
      <c r="E1255" s="51" t="s">
        <v>320</v>
      </c>
      <c r="F1255" s="121" t="s">
        <v>3009</v>
      </c>
      <c r="G1255" s="98" t="str">
        <f>HYPERLINK("http://mirror.ff7data.com.ar/ff7/data/battle/battle.lgp/cocf.png","View Picture")</f>
        <v>View Picture</v>
      </c>
      <c r="H1255" s="75"/>
      <c r="I1255" s="74"/>
      <c r="J1255" s="74"/>
      <c r="K1255" s="74"/>
    </row>
    <row r="1256">
      <c r="A1256" s="84"/>
      <c r="B1256" s="119" t="s">
        <v>14053</v>
      </c>
      <c r="C1256" s="120" t="s">
        <v>3370</v>
      </c>
      <c r="D1256" s="33" t="s">
        <v>13882</v>
      </c>
      <c r="E1256" s="51" t="s">
        <v>320</v>
      </c>
      <c r="F1256" s="121" t="s">
        <v>3009</v>
      </c>
      <c r="G1256" s="98" t="str">
        <f>HYPERLINK("http://mirror.ff7data.com.ar/ff7/data/battle/battle.lgp/coch.png","View Picture")</f>
        <v>View Picture</v>
      </c>
      <c r="H1256" s="75"/>
      <c r="I1256" s="74"/>
      <c r="J1256" s="74"/>
      <c r="K1256" s="74"/>
    </row>
    <row r="1257">
      <c r="A1257" s="84"/>
      <c r="B1257" s="119" t="s">
        <v>14058</v>
      </c>
      <c r="C1257" s="120" t="s">
        <v>4122</v>
      </c>
      <c r="D1257" s="33" t="s">
        <v>13882</v>
      </c>
      <c r="E1257" s="51" t="s">
        <v>320</v>
      </c>
      <c r="F1257" s="121" t="s">
        <v>3025</v>
      </c>
      <c r="G1257" s="122"/>
      <c r="H1257" s="46" t="s">
        <v>3002</v>
      </c>
      <c r="I1257" s="74"/>
      <c r="J1257" s="74"/>
      <c r="K1257" s="74"/>
    </row>
    <row r="1258">
      <c r="A1258" s="84"/>
      <c r="B1258" s="119" t="s">
        <v>14063</v>
      </c>
      <c r="C1258" s="120" t="s">
        <v>6789</v>
      </c>
      <c r="D1258" s="33" t="s">
        <v>14064</v>
      </c>
      <c r="E1258" s="51" t="s">
        <v>323</v>
      </c>
      <c r="F1258" s="121" t="s">
        <v>2971</v>
      </c>
      <c r="G1258" s="98" t="str">
        <f>HYPERLINK("http://mirror.ff7data.com.ar/ff7/data/battle/battle.lgp/cpaa.png","View Picture")</f>
        <v>View Picture</v>
      </c>
      <c r="H1258" s="75"/>
      <c r="I1258" s="74"/>
      <c r="J1258" s="74"/>
      <c r="K1258" s="74"/>
    </row>
    <row r="1259">
      <c r="A1259" s="84"/>
      <c r="B1259" s="119" t="s">
        <v>14070</v>
      </c>
      <c r="C1259" s="120" t="s">
        <v>14071</v>
      </c>
      <c r="D1259" s="33" t="s">
        <v>14073</v>
      </c>
      <c r="E1259" s="51" t="s">
        <v>323</v>
      </c>
      <c r="F1259" s="121" t="s">
        <v>2993</v>
      </c>
      <c r="G1259" s="122"/>
      <c r="H1259" s="46" t="s">
        <v>3002</v>
      </c>
      <c r="I1259" s="74"/>
      <c r="J1259" s="74"/>
      <c r="K1259" s="74"/>
    </row>
    <row r="1260">
      <c r="A1260" s="84"/>
      <c r="B1260" s="119" t="s">
        <v>14077</v>
      </c>
      <c r="C1260" s="120" t="s">
        <v>14078</v>
      </c>
      <c r="D1260" s="33" t="s">
        <v>14073</v>
      </c>
      <c r="E1260" s="51" t="s">
        <v>323</v>
      </c>
      <c r="F1260" s="121" t="s">
        <v>3009</v>
      </c>
      <c r="G1260" s="98" t="str">
        <f>HYPERLINK("http://mirror.ff7data.com.ar/ff7/data/battle/battle.lgp/cpam.png","View Picture")</f>
        <v>View Picture</v>
      </c>
      <c r="H1260" s="75"/>
      <c r="I1260" s="74"/>
      <c r="J1260" s="74"/>
      <c r="K1260" s="74"/>
    </row>
    <row r="1261">
      <c r="A1261" s="84"/>
      <c r="B1261" s="119" t="s">
        <v>14086</v>
      </c>
      <c r="C1261" s="120" t="s">
        <v>4601</v>
      </c>
      <c r="D1261" s="33" t="s">
        <v>14073</v>
      </c>
      <c r="E1261" s="51" t="s">
        <v>323</v>
      </c>
      <c r="F1261" s="121" t="s">
        <v>3009</v>
      </c>
      <c r="G1261" s="98" t="str">
        <f>HYPERLINK("http://mirror.ff7data.com.ar/ff7/data/battle/battle.lgp/cpao.png","View Picture")</f>
        <v>View Picture</v>
      </c>
      <c r="H1261" s="75"/>
      <c r="I1261" s="74"/>
      <c r="J1261" s="74"/>
      <c r="K1261" s="74"/>
    </row>
    <row r="1262">
      <c r="A1262" s="84"/>
      <c r="B1262" s="119" t="s">
        <v>14093</v>
      </c>
      <c r="C1262" s="120" t="s">
        <v>4396</v>
      </c>
      <c r="D1262" s="33" t="s">
        <v>14073</v>
      </c>
      <c r="E1262" s="51" t="s">
        <v>323</v>
      </c>
      <c r="F1262" s="121" t="s">
        <v>3009</v>
      </c>
      <c r="G1262" s="98" t="str">
        <f>HYPERLINK("http://mirror.ff7data.com.ar/ff7/data/battle/battle.lgp/cpap.png","View Picture")</f>
        <v>View Picture</v>
      </c>
      <c r="H1262" s="75"/>
      <c r="I1262" s="74"/>
      <c r="J1262" s="74"/>
      <c r="K1262" s="74"/>
    </row>
    <row r="1263">
      <c r="A1263" s="84"/>
      <c r="B1263" s="119" t="s">
        <v>14100</v>
      </c>
      <c r="C1263" s="120" t="s">
        <v>4601</v>
      </c>
      <c r="D1263" s="33" t="s">
        <v>14073</v>
      </c>
      <c r="E1263" s="51" t="s">
        <v>323</v>
      </c>
      <c r="F1263" s="121" t="s">
        <v>3009</v>
      </c>
      <c r="G1263" s="98" t="str">
        <f>HYPERLINK("http://mirror.ff7data.com.ar/ff7/data/battle/battle.lgp/cpar.png","View Picture")</f>
        <v>View Picture</v>
      </c>
      <c r="H1263" s="75"/>
      <c r="I1263" s="74"/>
      <c r="J1263" s="74"/>
      <c r="K1263" s="74"/>
    </row>
    <row r="1264">
      <c r="A1264" s="84"/>
      <c r="B1264" s="119" t="s">
        <v>14106</v>
      </c>
      <c r="C1264" s="120" t="s">
        <v>4396</v>
      </c>
      <c r="D1264" s="33" t="s">
        <v>14073</v>
      </c>
      <c r="E1264" s="51" t="s">
        <v>323</v>
      </c>
      <c r="F1264" s="121" t="s">
        <v>3009</v>
      </c>
      <c r="G1264" s="98" t="str">
        <f>HYPERLINK("http://mirror.ff7data.com.ar/ff7/data/battle/battle.lgp/cpas.png","View Picture")</f>
        <v>View Picture</v>
      </c>
      <c r="H1264" s="75"/>
      <c r="I1264" s="74"/>
      <c r="J1264" s="74"/>
      <c r="K1264" s="74"/>
    </row>
    <row r="1265">
      <c r="A1265" s="84"/>
      <c r="B1265" s="119" t="s">
        <v>14110</v>
      </c>
      <c r="C1265" s="120" t="s">
        <v>4601</v>
      </c>
      <c r="D1265" s="33" t="s">
        <v>14073</v>
      </c>
      <c r="E1265" s="51" t="s">
        <v>323</v>
      </c>
      <c r="F1265" s="121" t="s">
        <v>3009</v>
      </c>
      <c r="G1265" s="98" t="str">
        <f>HYPERLINK("http://mirror.ff7data.com.ar/ff7/data/battle/battle.lgp/cpau.png","View Picture")</f>
        <v>View Picture</v>
      </c>
      <c r="H1265" s="75"/>
      <c r="I1265" s="74"/>
      <c r="J1265" s="74"/>
      <c r="K1265" s="74"/>
    </row>
    <row r="1266">
      <c r="A1266" s="84"/>
      <c r="B1266" s="119" t="s">
        <v>14117</v>
      </c>
      <c r="C1266" s="120" t="s">
        <v>4396</v>
      </c>
      <c r="D1266" s="33" t="s">
        <v>14073</v>
      </c>
      <c r="E1266" s="51" t="s">
        <v>323</v>
      </c>
      <c r="F1266" s="121" t="s">
        <v>3009</v>
      </c>
      <c r="G1266" s="98" t="str">
        <f>HYPERLINK("http://mirror.ff7data.com.ar/ff7/data/battle/battle.lgp/cpav.png","View Picture")</f>
        <v>View Picture</v>
      </c>
      <c r="H1266" s="75"/>
      <c r="I1266" s="74"/>
      <c r="J1266" s="74"/>
      <c r="K1266" s="74"/>
    </row>
    <row r="1267">
      <c r="A1267" s="84"/>
      <c r="B1267" s="119" t="s">
        <v>14123</v>
      </c>
      <c r="C1267" s="120" t="s">
        <v>4396</v>
      </c>
      <c r="D1267" s="33" t="s">
        <v>14073</v>
      </c>
      <c r="E1267" s="51" t="s">
        <v>323</v>
      </c>
      <c r="F1267" s="121" t="s">
        <v>3009</v>
      </c>
      <c r="G1267" s="98" t="str">
        <f>HYPERLINK("http://mirror.ff7data.com.ar/ff7/data/battle/battle.lgp/cpay.png","View Picture")</f>
        <v>View Picture</v>
      </c>
      <c r="H1267" s="75"/>
      <c r="I1267" s="74"/>
      <c r="J1267" s="74"/>
      <c r="K1267" s="74"/>
    </row>
    <row r="1268">
      <c r="A1268" s="84"/>
      <c r="B1268" s="119" t="s">
        <v>14131</v>
      </c>
      <c r="C1268" s="120" t="s">
        <v>3318</v>
      </c>
      <c r="D1268" s="33" t="s">
        <v>14073</v>
      </c>
      <c r="E1268" s="51" t="s">
        <v>323</v>
      </c>
      <c r="F1268" s="121" t="s">
        <v>3009</v>
      </c>
      <c r="G1268" s="98" t="str">
        <f>HYPERLINK("http://mirror.ff7data.com.ar/ff7/data/battle/battle.lgp/cpaz.png","View Picture")</f>
        <v>View Picture</v>
      </c>
      <c r="H1268" s="75"/>
      <c r="I1268" s="74"/>
      <c r="J1268" s="74"/>
      <c r="K1268" s="74"/>
    </row>
    <row r="1269">
      <c r="A1269" s="84"/>
      <c r="B1269" s="119" t="s">
        <v>14138</v>
      </c>
      <c r="C1269" s="120" t="s">
        <v>7301</v>
      </c>
      <c r="D1269" s="33" t="s">
        <v>14073</v>
      </c>
      <c r="E1269" s="51" t="s">
        <v>323</v>
      </c>
      <c r="F1269" s="121" t="s">
        <v>3009</v>
      </c>
      <c r="G1269" s="98" t="str">
        <f>HYPERLINK("http://mirror.ff7data.com.ar/ff7/data/battle/battle.lgp/cpbd.png","View Picture")</f>
        <v>View Picture</v>
      </c>
      <c r="H1269" s="75"/>
      <c r="I1269" s="74"/>
      <c r="J1269" s="74"/>
      <c r="K1269" s="74"/>
    </row>
    <row r="1270">
      <c r="A1270" s="84"/>
      <c r="B1270" s="119" t="s">
        <v>14145</v>
      </c>
      <c r="C1270" s="120" t="s">
        <v>4732</v>
      </c>
      <c r="D1270" s="33" t="s">
        <v>14073</v>
      </c>
      <c r="E1270" s="51" t="s">
        <v>323</v>
      </c>
      <c r="F1270" s="121" t="s">
        <v>3009</v>
      </c>
      <c r="G1270" s="98" t="str">
        <f>HYPERLINK("http://mirror.ff7data.com.ar/ff7/data/battle/battle.lgp/cpbf.png","View Picture")</f>
        <v>View Picture</v>
      </c>
      <c r="H1270" s="75"/>
      <c r="I1270" s="74"/>
      <c r="J1270" s="74"/>
      <c r="K1270" s="74"/>
    </row>
    <row r="1271">
      <c r="A1271" s="84"/>
      <c r="B1271" s="119" t="s">
        <v>14152</v>
      </c>
      <c r="C1271" s="120" t="s">
        <v>5203</v>
      </c>
      <c r="D1271" s="33" t="s">
        <v>14073</v>
      </c>
      <c r="E1271" s="51" t="s">
        <v>323</v>
      </c>
      <c r="F1271" s="121" t="s">
        <v>3009</v>
      </c>
      <c r="G1271" s="98" t="str">
        <f>HYPERLINK("http://mirror.ff7data.com.ar/ff7/data/battle/battle.lgp/cpbi.png","View Picture")</f>
        <v>View Picture</v>
      </c>
      <c r="H1271" s="75"/>
      <c r="I1271" s="74"/>
      <c r="J1271" s="74"/>
      <c r="K1271" s="74"/>
    </row>
    <row r="1272">
      <c r="A1272" s="84"/>
      <c r="B1272" s="119" t="s">
        <v>14157</v>
      </c>
      <c r="C1272" s="120" t="s">
        <v>5203</v>
      </c>
      <c r="D1272" s="33" t="s">
        <v>14073</v>
      </c>
      <c r="E1272" s="51" t="s">
        <v>323</v>
      </c>
      <c r="F1272" s="121" t="s">
        <v>3009</v>
      </c>
      <c r="G1272" s="98" t="str">
        <f>HYPERLINK("http://mirror.ff7data.com.ar/ff7/data/battle/battle.lgp/cpbj.png","View Picture")</f>
        <v>View Picture</v>
      </c>
      <c r="H1272" s="75"/>
      <c r="I1272" s="74"/>
      <c r="J1272" s="74"/>
      <c r="K1272" s="74"/>
    </row>
    <row r="1273">
      <c r="A1273" s="84"/>
      <c r="B1273" s="119" t="s">
        <v>14162</v>
      </c>
      <c r="C1273" s="120" t="s">
        <v>4396</v>
      </c>
      <c r="D1273" s="33" t="s">
        <v>14073</v>
      </c>
      <c r="E1273" s="51" t="s">
        <v>323</v>
      </c>
      <c r="F1273" s="121" t="s">
        <v>3009</v>
      </c>
      <c r="G1273" s="98" t="str">
        <f>HYPERLINK("http://mirror.ff7data.com.ar/ff7/data/battle/battle.lgp/cpbl.png","View Picture")</f>
        <v>View Picture</v>
      </c>
      <c r="H1273" s="75"/>
      <c r="I1273" s="74"/>
      <c r="J1273" s="74"/>
      <c r="K1273" s="74"/>
    </row>
    <row r="1274">
      <c r="A1274" s="84"/>
      <c r="B1274" s="119" t="s">
        <v>14167</v>
      </c>
      <c r="C1274" s="120" t="s">
        <v>3318</v>
      </c>
      <c r="D1274" s="33" t="s">
        <v>14073</v>
      </c>
      <c r="E1274" s="51" t="s">
        <v>323</v>
      </c>
      <c r="F1274" s="121" t="s">
        <v>3009</v>
      </c>
      <c r="G1274" s="98" t="str">
        <f>HYPERLINK("http://mirror.ff7data.com.ar/ff7/data/battle/battle.lgp/cpbm.png","View Picture")</f>
        <v>View Picture</v>
      </c>
      <c r="H1274" s="75"/>
      <c r="I1274" s="74"/>
      <c r="J1274" s="74"/>
      <c r="K1274" s="74"/>
    </row>
    <row r="1275">
      <c r="A1275" s="84"/>
      <c r="B1275" s="119" t="s">
        <v>14171</v>
      </c>
      <c r="C1275" s="120" t="s">
        <v>3412</v>
      </c>
      <c r="D1275" s="33" t="s">
        <v>14073</v>
      </c>
      <c r="E1275" s="51" t="s">
        <v>323</v>
      </c>
      <c r="F1275" s="121" t="s">
        <v>3009</v>
      </c>
      <c r="G1275" s="98" t="str">
        <f>HYPERLINK("http://mirror.ff7data.com.ar/ff7/data/battle/battle.lgp/cpbq.png","View Picture")</f>
        <v>View Picture</v>
      </c>
      <c r="H1275" s="75"/>
      <c r="I1275" s="74"/>
      <c r="J1275" s="74"/>
      <c r="K1275" s="74"/>
    </row>
    <row r="1276">
      <c r="A1276" s="84"/>
      <c r="B1276" s="119" t="s">
        <v>14176</v>
      </c>
      <c r="C1276" s="120" t="s">
        <v>4732</v>
      </c>
      <c r="D1276" s="33" t="s">
        <v>14073</v>
      </c>
      <c r="E1276" s="51" t="s">
        <v>323</v>
      </c>
      <c r="F1276" s="121" t="s">
        <v>3009</v>
      </c>
      <c r="G1276" s="98" t="str">
        <f>HYPERLINK("http://mirror.ff7data.com.ar/ff7/data/battle/battle.lgp/cpbs.png","View Picture")</f>
        <v>View Picture</v>
      </c>
      <c r="H1276" s="75"/>
      <c r="I1276" s="74"/>
      <c r="J1276" s="74"/>
      <c r="K1276" s="74"/>
    </row>
    <row r="1277">
      <c r="A1277" s="84"/>
      <c r="B1277" s="119" t="s">
        <v>14187</v>
      </c>
      <c r="C1277" s="120" t="s">
        <v>5203</v>
      </c>
      <c r="D1277" s="33" t="s">
        <v>14073</v>
      </c>
      <c r="E1277" s="51" t="s">
        <v>323</v>
      </c>
      <c r="F1277" s="121" t="s">
        <v>3009</v>
      </c>
      <c r="G1277" s="98" t="str">
        <f>HYPERLINK("http://mirror.ff7data.com.ar/ff7/data/battle/battle.lgp/cpbv.png","View Picture")</f>
        <v>View Picture</v>
      </c>
      <c r="H1277" s="75"/>
      <c r="I1277" s="74"/>
      <c r="J1277" s="74"/>
      <c r="K1277" s="74"/>
    </row>
    <row r="1278">
      <c r="A1278" s="84"/>
      <c r="B1278" s="119" t="s">
        <v>14203</v>
      </c>
      <c r="C1278" s="120" t="s">
        <v>4396</v>
      </c>
      <c r="D1278" s="33" t="s">
        <v>14073</v>
      </c>
      <c r="E1278" s="51" t="s">
        <v>323</v>
      </c>
      <c r="F1278" s="121" t="s">
        <v>3009</v>
      </c>
      <c r="G1278" s="98" t="str">
        <f>HYPERLINK("http://mirror.ff7data.com.ar/ff7/data/battle/battle.lgp/cpbx.png","View Picture")</f>
        <v>View Picture</v>
      </c>
      <c r="H1278" s="75"/>
      <c r="I1278" s="74"/>
      <c r="J1278" s="74"/>
      <c r="K1278" s="74"/>
    </row>
    <row r="1279">
      <c r="A1279" s="84"/>
      <c r="B1279" s="119" t="s">
        <v>14211</v>
      </c>
      <c r="C1279" s="120" t="s">
        <v>3318</v>
      </c>
      <c r="D1279" s="33" t="s">
        <v>14073</v>
      </c>
      <c r="E1279" s="51" t="s">
        <v>323</v>
      </c>
      <c r="F1279" s="121" t="s">
        <v>3009</v>
      </c>
      <c r="G1279" s="98" t="str">
        <f>HYPERLINK("http://mirror.ff7data.com.ar/ff7/data/battle/battle.lgp/cpby.png","View Picture")</f>
        <v>View Picture</v>
      </c>
      <c r="H1279" s="75"/>
      <c r="I1279" s="74"/>
      <c r="J1279" s="74"/>
      <c r="K1279" s="74"/>
    </row>
    <row r="1280">
      <c r="A1280" s="84"/>
      <c r="B1280" s="119" t="s">
        <v>14219</v>
      </c>
      <c r="C1280" s="120" t="s">
        <v>3412</v>
      </c>
      <c r="D1280" s="33" t="s">
        <v>14073</v>
      </c>
      <c r="E1280" s="51" t="s">
        <v>323</v>
      </c>
      <c r="F1280" s="121" t="s">
        <v>3009</v>
      </c>
      <c r="G1280" s="98" t="str">
        <f>HYPERLINK("http://mirror.ff7data.com.ar/ff7/data/battle/battle.lgp/cpcc.png","View Picture")</f>
        <v>View Picture</v>
      </c>
      <c r="H1280" s="75"/>
      <c r="I1280" s="74"/>
      <c r="J1280" s="74"/>
      <c r="K1280" s="74"/>
    </row>
    <row r="1281">
      <c r="A1281" s="84"/>
      <c r="B1281" s="119" t="s">
        <v>14227</v>
      </c>
      <c r="C1281" s="120" t="s">
        <v>4732</v>
      </c>
      <c r="D1281" s="33" t="s">
        <v>14073</v>
      </c>
      <c r="E1281" s="51" t="s">
        <v>323</v>
      </c>
      <c r="F1281" s="121" t="s">
        <v>3009</v>
      </c>
      <c r="G1281" s="98" t="str">
        <f>HYPERLINK("http://mirror.ff7data.com.ar/ff7/data/battle/battle.lgp/cpce.png","View Picture")</f>
        <v>View Picture</v>
      </c>
      <c r="H1281" s="75"/>
      <c r="I1281" s="74"/>
      <c r="J1281" s="74"/>
      <c r="K1281" s="74"/>
    </row>
    <row r="1282">
      <c r="A1282" s="84"/>
      <c r="B1282" s="119" t="s">
        <v>14236</v>
      </c>
      <c r="C1282" s="120" t="s">
        <v>5203</v>
      </c>
      <c r="D1282" s="33" t="s">
        <v>14073</v>
      </c>
      <c r="E1282" s="51" t="s">
        <v>323</v>
      </c>
      <c r="F1282" s="121" t="s">
        <v>3009</v>
      </c>
      <c r="G1282" s="98" t="str">
        <f>HYPERLINK("http://mirror.ff7data.com.ar/ff7/data/battle/battle.lgp/cpch.png","View Picture")</f>
        <v>View Picture</v>
      </c>
      <c r="H1282" s="75"/>
      <c r="I1282" s="74"/>
      <c r="J1282" s="74"/>
      <c r="K1282" s="74"/>
    </row>
    <row r="1283">
      <c r="A1283" s="84"/>
      <c r="B1283" s="119" t="s">
        <v>14250</v>
      </c>
      <c r="C1283" s="120" t="s">
        <v>8550</v>
      </c>
      <c r="D1283" s="33" t="s">
        <v>14073</v>
      </c>
      <c r="E1283" s="51" t="s">
        <v>323</v>
      </c>
      <c r="F1283" s="121" t="s">
        <v>3025</v>
      </c>
      <c r="G1283" s="122"/>
      <c r="H1283" s="46" t="s">
        <v>3002</v>
      </c>
      <c r="I1283" s="74"/>
      <c r="J1283" s="74"/>
      <c r="K1283" s="74"/>
    </row>
    <row r="1284">
      <c r="A1284" s="82"/>
      <c r="B1284" s="119" t="s">
        <v>14257</v>
      </c>
      <c r="C1284" s="120" t="s">
        <v>4456</v>
      </c>
      <c r="D1284" s="33" t="s">
        <v>14260</v>
      </c>
      <c r="E1284" s="51" t="s">
        <v>326</v>
      </c>
      <c r="F1284" s="121" t="s">
        <v>2971</v>
      </c>
      <c r="G1284" s="98" t="str">
        <f>HYPERLINK("http://mirror.ff7data.com.ar/ff7/data/battle/battle.lgp/cqaa.png","View Picture")</f>
        <v>View Picture</v>
      </c>
      <c r="H1284" s="75"/>
      <c r="I1284" s="74"/>
      <c r="J1284" s="74"/>
      <c r="K1284" s="74"/>
    </row>
    <row r="1285">
      <c r="A1285" s="84"/>
      <c r="B1285" s="119" t="s">
        <v>14272</v>
      </c>
      <c r="C1285" s="120" t="s">
        <v>4846</v>
      </c>
      <c r="D1285" s="33" t="s">
        <v>14274</v>
      </c>
      <c r="E1285" s="51" t="s">
        <v>326</v>
      </c>
      <c r="F1285" s="121" t="s">
        <v>2993</v>
      </c>
      <c r="G1285" s="122"/>
      <c r="H1285" s="46" t="s">
        <v>3002</v>
      </c>
      <c r="I1285" s="74"/>
      <c r="J1285" s="74"/>
      <c r="K1285" s="74"/>
    </row>
    <row r="1286">
      <c r="A1286" s="82"/>
      <c r="B1286" s="119" t="s">
        <v>14279</v>
      </c>
      <c r="C1286" s="120" t="s">
        <v>4191</v>
      </c>
      <c r="D1286" s="33" t="s">
        <v>8732</v>
      </c>
      <c r="E1286" s="51" t="s">
        <v>326</v>
      </c>
      <c r="F1286" s="121" t="s">
        <v>1348</v>
      </c>
      <c r="G1286" s="98" t="str">
        <f>HYPERLINK("http://mirror.ff7data.com.ar/ff7/data/battle/battle.lgp/cqac.png","View Picture")</f>
        <v>View Picture</v>
      </c>
      <c r="H1286" s="75"/>
      <c r="I1286" s="74"/>
      <c r="J1286" s="74"/>
      <c r="K1286" s="74"/>
    </row>
    <row r="1287">
      <c r="A1287" s="82"/>
      <c r="B1287" s="119" t="s">
        <v>14293</v>
      </c>
      <c r="C1287" s="120" t="s">
        <v>4841</v>
      </c>
      <c r="D1287" s="33" t="s">
        <v>14295</v>
      </c>
      <c r="E1287" s="51" t="s">
        <v>326</v>
      </c>
      <c r="F1287" s="121" t="s">
        <v>3009</v>
      </c>
      <c r="G1287" s="98" t="str">
        <f>HYPERLINK("http://mirror.ff7data.com.ar/ff7/data/battle/battle.lgp/cqam.png","View Picture")</f>
        <v>View Picture</v>
      </c>
      <c r="H1287" s="75"/>
      <c r="I1287" s="74"/>
      <c r="J1287" s="74"/>
      <c r="K1287" s="74"/>
    </row>
    <row r="1288">
      <c r="A1288" s="82"/>
      <c r="B1288" s="119" t="s">
        <v>14306</v>
      </c>
      <c r="C1288" s="120" t="s">
        <v>3318</v>
      </c>
      <c r="D1288" s="33" t="s">
        <v>14308</v>
      </c>
      <c r="E1288" s="51" t="s">
        <v>326</v>
      </c>
      <c r="F1288" s="121" t="s">
        <v>3009</v>
      </c>
      <c r="G1288" s="98" t="str">
        <f>HYPERLINK("http://mirror.ff7data.com.ar/ff7/data/battle/battle.lgp/cqan.png","View Picture")</f>
        <v>View Picture</v>
      </c>
      <c r="H1288" s="75"/>
      <c r="I1288" s="74"/>
      <c r="J1288" s="74"/>
      <c r="K1288" s="74"/>
    </row>
    <row r="1289">
      <c r="A1289" s="82"/>
      <c r="B1289" s="119" t="s">
        <v>14316</v>
      </c>
      <c r="C1289" s="120" t="s">
        <v>3614</v>
      </c>
      <c r="D1289" s="33" t="s">
        <v>14318</v>
      </c>
      <c r="E1289" s="51" t="s">
        <v>326</v>
      </c>
      <c r="F1289" s="121" t="s">
        <v>3009</v>
      </c>
      <c r="G1289" s="98" t="str">
        <f>HYPERLINK("http://mirror.ff7data.com.ar/ff7/data/battle/battle.lgp/cqao.png","View Picture")</f>
        <v>View Picture</v>
      </c>
      <c r="H1289" s="75"/>
      <c r="I1289" s="74"/>
      <c r="J1289" s="74"/>
      <c r="K1289" s="74"/>
    </row>
    <row r="1290">
      <c r="A1290" s="82"/>
      <c r="B1290" s="119" t="s">
        <v>14330</v>
      </c>
      <c r="C1290" s="120" t="s">
        <v>4057</v>
      </c>
      <c r="D1290" s="33" t="s">
        <v>8759</v>
      </c>
      <c r="E1290" s="51" t="s">
        <v>326</v>
      </c>
      <c r="F1290" s="121" t="s">
        <v>3009</v>
      </c>
      <c r="G1290" s="98" t="str">
        <f>HYPERLINK("http://mirror.ff7data.com.ar/ff7/data/battle/battle.lgp/cqaq.png","View Picture")</f>
        <v>View Picture</v>
      </c>
      <c r="H1290" s="46" t="s">
        <v>14338</v>
      </c>
      <c r="I1290" s="74"/>
      <c r="J1290" s="74"/>
      <c r="K1290" s="74"/>
    </row>
    <row r="1291">
      <c r="A1291" s="82"/>
      <c r="B1291" s="119" t="s">
        <v>14340</v>
      </c>
      <c r="C1291" s="120" t="s">
        <v>4252</v>
      </c>
      <c r="D1291" s="33" t="s">
        <v>14342</v>
      </c>
      <c r="E1291" s="51" t="s">
        <v>326</v>
      </c>
      <c r="F1291" s="121" t="s">
        <v>3009</v>
      </c>
      <c r="G1291" s="98" t="str">
        <f>HYPERLINK("http://mirror.ff7data.com.ar/ff7/data/battle/battle.lgp/cqar.png","View Picture")</f>
        <v>View Picture</v>
      </c>
      <c r="H1291" s="46" t="s">
        <v>14338</v>
      </c>
      <c r="I1291" s="74"/>
      <c r="J1291" s="74"/>
      <c r="K1291" s="74"/>
    </row>
    <row r="1292">
      <c r="A1292" s="82"/>
      <c r="B1292" s="119" t="s">
        <v>14352</v>
      </c>
      <c r="C1292" s="120" t="s">
        <v>6029</v>
      </c>
      <c r="D1292" s="33" t="s">
        <v>14354</v>
      </c>
      <c r="E1292" s="51" t="s">
        <v>326</v>
      </c>
      <c r="F1292" s="121" t="s">
        <v>3009</v>
      </c>
      <c r="G1292" s="98" t="str">
        <f>HYPERLINK("http://mirror.ff7data.com.ar/ff7/data/battle/battle.lgp/cqas.png","View Picture")</f>
        <v>View Picture</v>
      </c>
      <c r="H1292" s="46" t="s">
        <v>14338</v>
      </c>
      <c r="I1292" s="74"/>
      <c r="J1292" s="74"/>
      <c r="K1292" s="74"/>
    </row>
    <row r="1293">
      <c r="A1293" s="82"/>
      <c r="B1293" s="119" t="s">
        <v>14361</v>
      </c>
      <c r="C1293" s="120" t="s">
        <v>4439</v>
      </c>
      <c r="D1293" s="33" t="s">
        <v>14363</v>
      </c>
      <c r="E1293" s="51" t="s">
        <v>326</v>
      </c>
      <c r="F1293" s="121" t="s">
        <v>3009</v>
      </c>
      <c r="G1293" s="98" t="str">
        <f>HYPERLINK("http://mirror.ff7data.com.ar/ff7/data/battle/battle.lgp/cqat.png","View Picture")</f>
        <v>View Picture</v>
      </c>
      <c r="H1293" s="46" t="s">
        <v>14338</v>
      </c>
      <c r="I1293" s="74"/>
      <c r="J1293" s="74"/>
      <c r="K1293" s="74"/>
    </row>
    <row r="1294">
      <c r="A1294" s="82"/>
      <c r="B1294" s="119" t="s">
        <v>14369</v>
      </c>
      <c r="C1294" s="120" t="s">
        <v>10078</v>
      </c>
      <c r="D1294" s="33" t="s">
        <v>14371</v>
      </c>
      <c r="E1294" s="51" t="s">
        <v>326</v>
      </c>
      <c r="F1294" s="121" t="s">
        <v>3009</v>
      </c>
      <c r="G1294" s="98" t="str">
        <f>HYPERLINK("http://mirror.ff7data.com.ar/ff7/data/battle/battle.lgp/cqav.png","View Picture")</f>
        <v>View Picture</v>
      </c>
      <c r="H1294" s="46" t="s">
        <v>14377</v>
      </c>
      <c r="I1294" s="74"/>
      <c r="J1294" s="74"/>
      <c r="K1294" s="74"/>
    </row>
    <row r="1295">
      <c r="A1295" s="82"/>
      <c r="B1295" s="119" t="s">
        <v>14378</v>
      </c>
      <c r="C1295" s="120" t="s">
        <v>4185</v>
      </c>
      <c r="D1295" s="33" t="s">
        <v>14380</v>
      </c>
      <c r="E1295" s="51" t="s">
        <v>326</v>
      </c>
      <c r="F1295" s="121" t="s">
        <v>3009</v>
      </c>
      <c r="G1295" s="98" t="str">
        <f>HYPERLINK("http://mirror.ff7data.com.ar/ff7/data/battle/battle.lgp/cqaw.png","View Picture")</f>
        <v>View Picture</v>
      </c>
      <c r="H1295" s="46" t="s">
        <v>14384</v>
      </c>
      <c r="I1295" s="74"/>
      <c r="J1295" s="74"/>
      <c r="K1295" s="74"/>
    </row>
    <row r="1296">
      <c r="A1296" s="82"/>
      <c r="B1296" s="119" t="s">
        <v>14386</v>
      </c>
      <c r="C1296" s="120" t="s">
        <v>4357</v>
      </c>
      <c r="D1296" s="33" t="s">
        <v>14388</v>
      </c>
      <c r="E1296" s="51" t="s">
        <v>326</v>
      </c>
      <c r="F1296" s="121" t="s">
        <v>3009</v>
      </c>
      <c r="G1296" s="98" t="str">
        <f>HYPERLINK("http://mirror.ff7data.com.ar/ff7/data/battle/battle.lgp/cqay.png","View Picture")</f>
        <v>View Picture</v>
      </c>
      <c r="H1296" s="75"/>
      <c r="I1296" s="74"/>
      <c r="J1296" s="74"/>
      <c r="K1296" s="74"/>
    </row>
    <row r="1297">
      <c r="A1297" s="82"/>
      <c r="B1297" s="119" t="s">
        <v>14393</v>
      </c>
      <c r="C1297" s="120" t="s">
        <v>3648</v>
      </c>
      <c r="D1297" s="33" t="s">
        <v>14395</v>
      </c>
      <c r="E1297" s="51" t="s">
        <v>326</v>
      </c>
      <c r="F1297" s="121" t="s">
        <v>3009</v>
      </c>
      <c r="G1297" s="98" t="str">
        <f>HYPERLINK("http://mirror.ff7data.com.ar/ff7/data/battle/battle.lgp/cqbb.png","View Picture")</f>
        <v>View Picture</v>
      </c>
      <c r="H1297" s="46" t="s">
        <v>14401</v>
      </c>
      <c r="I1297" s="74"/>
      <c r="J1297" s="74"/>
      <c r="K1297" s="74"/>
    </row>
    <row r="1298">
      <c r="A1298" s="82"/>
      <c r="B1298" s="119" t="s">
        <v>14405</v>
      </c>
      <c r="C1298" s="120" t="s">
        <v>4185</v>
      </c>
      <c r="D1298" s="33" t="s">
        <v>14395</v>
      </c>
      <c r="E1298" s="51" t="s">
        <v>326</v>
      </c>
      <c r="F1298" s="121" t="s">
        <v>3009</v>
      </c>
      <c r="G1298" s="98" t="str">
        <f>HYPERLINK("http://mirror.ff7data.com.ar/ff7/data/battle/battle.lgp/cqbc.png","View Picture")</f>
        <v>View Picture</v>
      </c>
      <c r="H1298" s="46" t="s">
        <v>14411</v>
      </c>
      <c r="I1298" s="74"/>
      <c r="J1298" s="74"/>
      <c r="K1298" s="74"/>
    </row>
    <row r="1299">
      <c r="A1299" s="82"/>
      <c r="B1299" s="119" t="s">
        <v>14412</v>
      </c>
      <c r="C1299" s="120" t="s">
        <v>4719</v>
      </c>
      <c r="D1299" s="33" t="s">
        <v>14414</v>
      </c>
      <c r="E1299" s="51" t="s">
        <v>326</v>
      </c>
      <c r="F1299" s="121" t="s">
        <v>3009</v>
      </c>
      <c r="G1299" s="98" t="str">
        <f>HYPERLINK("http://mirror.ff7data.com.ar/ff7/data/battle/battle.lgp/cqbd.png","View Picture")</f>
        <v>View Picture</v>
      </c>
      <c r="H1299" s="46" t="s">
        <v>14419</v>
      </c>
      <c r="I1299" s="74"/>
      <c r="J1299" s="74"/>
      <c r="K1299" s="74"/>
    </row>
    <row r="1300">
      <c r="A1300" s="82"/>
      <c r="B1300" s="119" t="s">
        <v>14421</v>
      </c>
      <c r="C1300" s="120" t="s">
        <v>10078</v>
      </c>
      <c r="D1300" s="33" t="s">
        <v>8763</v>
      </c>
      <c r="E1300" s="51" t="s">
        <v>326</v>
      </c>
      <c r="F1300" s="121" t="s">
        <v>3009</v>
      </c>
      <c r="G1300" s="98" t="str">
        <f>HYPERLINK("http://mirror.ff7data.com.ar/ff7/data/battle/battle.lgp/cqbe.png","View Picture")</f>
        <v>View Picture</v>
      </c>
      <c r="H1300" s="46" t="s">
        <v>14419</v>
      </c>
      <c r="I1300" s="74"/>
      <c r="J1300" s="74"/>
      <c r="K1300" s="74"/>
    </row>
    <row r="1301">
      <c r="A1301" s="82"/>
      <c r="B1301" s="119" t="s">
        <v>14431</v>
      </c>
      <c r="C1301" s="120" t="s">
        <v>6029</v>
      </c>
      <c r="D1301" s="33" t="s">
        <v>14354</v>
      </c>
      <c r="E1301" s="51" t="s">
        <v>326</v>
      </c>
      <c r="F1301" s="121" t="s">
        <v>3009</v>
      </c>
      <c r="G1301" s="98" t="str">
        <f>HYPERLINK("http://mirror.ff7data.com.ar/ff7/data/battle/battle.lgp/cqbf.png","View Picture")</f>
        <v>View Picture</v>
      </c>
      <c r="H1301" s="46" t="s">
        <v>14419</v>
      </c>
      <c r="I1301" s="74"/>
      <c r="J1301" s="74"/>
      <c r="K1301" s="74"/>
    </row>
    <row r="1302">
      <c r="A1302" s="82"/>
      <c r="B1302" s="119" t="s">
        <v>14438</v>
      </c>
      <c r="C1302" s="120" t="s">
        <v>4439</v>
      </c>
      <c r="D1302" s="33" t="s">
        <v>14363</v>
      </c>
      <c r="E1302" s="51" t="s">
        <v>326</v>
      </c>
      <c r="F1302" s="121" t="s">
        <v>3009</v>
      </c>
      <c r="G1302" s="98" t="str">
        <f>HYPERLINK("http://mirror.ff7data.com.ar/ff7/data/battle/battle.lgp/cqbg.png","View Picture")</f>
        <v>View Picture</v>
      </c>
      <c r="H1302" s="46" t="s">
        <v>14419</v>
      </c>
      <c r="I1302" s="74"/>
      <c r="J1302" s="74"/>
      <c r="K1302" s="74"/>
    </row>
    <row r="1303">
      <c r="A1303" s="82"/>
      <c r="B1303" s="119" t="s">
        <v>14444</v>
      </c>
      <c r="C1303" s="120" t="s">
        <v>4185</v>
      </c>
      <c r="D1303" s="33" t="s">
        <v>14445</v>
      </c>
      <c r="E1303" s="51" t="s">
        <v>326</v>
      </c>
      <c r="F1303" s="121" t="s">
        <v>3009</v>
      </c>
      <c r="G1303" s="98" t="str">
        <f>HYPERLINK("http://mirror.ff7data.com.ar/ff7/data/battle/battle.lgp/cqbj.png","View Picture")</f>
        <v>View Picture</v>
      </c>
      <c r="H1303" s="75"/>
      <c r="I1303" s="74"/>
      <c r="J1303" s="74"/>
      <c r="K1303" s="74"/>
    </row>
    <row r="1304">
      <c r="A1304" s="82"/>
      <c r="B1304" s="119" t="s">
        <v>14456</v>
      </c>
      <c r="C1304" s="120" t="s">
        <v>9134</v>
      </c>
      <c r="D1304" s="33" t="s">
        <v>14458</v>
      </c>
      <c r="E1304" s="51" t="s">
        <v>326</v>
      </c>
      <c r="F1304" s="121" t="s">
        <v>3009</v>
      </c>
      <c r="G1304" s="98" t="str">
        <f>HYPERLINK("http://mirror.ff7data.com.ar/ff7/data/battle/battle.lgp/cqbk.png","View Picture")</f>
        <v>View Picture</v>
      </c>
      <c r="H1304" s="75"/>
      <c r="I1304" s="74"/>
      <c r="J1304" s="74"/>
      <c r="K1304" s="74"/>
    </row>
    <row r="1305">
      <c r="A1305" s="82"/>
      <c r="B1305" s="119" t="s">
        <v>14467</v>
      </c>
      <c r="C1305" s="120" t="s">
        <v>4252</v>
      </c>
      <c r="D1305" s="33" t="s">
        <v>14469</v>
      </c>
      <c r="E1305" s="51" t="s">
        <v>326</v>
      </c>
      <c r="F1305" s="121" t="s">
        <v>3009</v>
      </c>
      <c r="G1305" s="98" t="str">
        <f>HYPERLINK("http://mirror.ff7data.com.ar/ff7/data/battle/battle.lgp/cqbl.png","View Picture")</f>
        <v>View Picture</v>
      </c>
      <c r="H1305" s="75"/>
      <c r="I1305" s="74"/>
      <c r="J1305" s="74"/>
      <c r="K1305" s="74"/>
    </row>
    <row r="1306">
      <c r="A1306" s="82"/>
      <c r="B1306" s="119" t="s">
        <v>14475</v>
      </c>
      <c r="C1306" s="120" t="s">
        <v>4372</v>
      </c>
      <c r="D1306" s="33" t="s">
        <v>14476</v>
      </c>
      <c r="E1306" s="51" t="s">
        <v>326</v>
      </c>
      <c r="F1306" s="121" t="s">
        <v>3009</v>
      </c>
      <c r="G1306" s="98" t="str">
        <f>HYPERLINK("http://mirror.ff7data.com.ar/ff7/data/battle/battle.lgp/cqbn.png","View Picture")</f>
        <v>View Picture</v>
      </c>
      <c r="H1306" s="75"/>
      <c r="I1306" s="74"/>
      <c r="J1306" s="74"/>
      <c r="K1306" s="74"/>
    </row>
    <row r="1307">
      <c r="A1307" s="82"/>
      <c r="B1307" s="119" t="s">
        <v>14480</v>
      </c>
      <c r="C1307" s="120" t="s">
        <v>4719</v>
      </c>
      <c r="D1307" s="33" t="s">
        <v>14481</v>
      </c>
      <c r="E1307" s="51" t="s">
        <v>326</v>
      </c>
      <c r="F1307" s="121" t="s">
        <v>3009</v>
      </c>
      <c r="G1307" s="98" t="str">
        <f>HYPERLINK("http://mirror.ff7data.com.ar/ff7/data/battle/battle.lgp/cqbp.png","View Picture")</f>
        <v>View Picture</v>
      </c>
      <c r="H1307" s="75"/>
      <c r="I1307" s="74"/>
      <c r="J1307" s="74"/>
      <c r="K1307" s="74"/>
    </row>
    <row r="1308">
      <c r="A1308" s="82"/>
      <c r="B1308" s="119" t="s">
        <v>14486</v>
      </c>
      <c r="C1308" s="120" t="s">
        <v>4185</v>
      </c>
      <c r="D1308" s="33" t="s">
        <v>14487</v>
      </c>
      <c r="E1308" s="51" t="s">
        <v>326</v>
      </c>
      <c r="F1308" s="121" t="s">
        <v>3009</v>
      </c>
      <c r="G1308" s="98" t="str">
        <f>HYPERLINK("http://mirror.ff7data.com.ar/ff7/data/battle/battle.lgp/cqbs.png","View Picture")</f>
        <v>View Picture</v>
      </c>
      <c r="H1308" s="75"/>
      <c r="I1308" s="74"/>
      <c r="J1308" s="74"/>
      <c r="K1308" s="74"/>
    </row>
    <row r="1309">
      <c r="A1309" s="82"/>
      <c r="B1309" s="119" t="s">
        <v>14492</v>
      </c>
      <c r="C1309" s="120" t="s">
        <v>7148</v>
      </c>
      <c r="D1309" s="33" t="s">
        <v>14493</v>
      </c>
      <c r="E1309" s="51" t="s">
        <v>326</v>
      </c>
      <c r="F1309" s="121" t="s">
        <v>3009</v>
      </c>
      <c r="G1309" s="98" t="str">
        <f>HYPERLINK("http://mirror.ff7data.com.ar/ff7/data/battle/battle.lgp/cqbt.png","View Picture")</f>
        <v>View Picture</v>
      </c>
      <c r="H1309" s="75"/>
      <c r="I1309" s="74"/>
      <c r="J1309" s="74"/>
      <c r="K1309" s="74"/>
    </row>
    <row r="1310">
      <c r="A1310" s="82"/>
      <c r="B1310" s="119" t="s">
        <v>14500</v>
      </c>
      <c r="C1310" s="120" t="s">
        <v>14502</v>
      </c>
      <c r="D1310" s="33" t="s">
        <v>14503</v>
      </c>
      <c r="E1310" s="51" t="s">
        <v>326</v>
      </c>
      <c r="F1310" s="121" t="s">
        <v>3009</v>
      </c>
      <c r="G1310" s="98" t="str">
        <f>HYPERLINK("http://mirror.ff7data.com.ar/ff7/data/battle/battle.lgp/cqbu.png","View Picture")</f>
        <v>View Picture</v>
      </c>
      <c r="H1310" s="75"/>
      <c r="I1310" s="74"/>
      <c r="J1310" s="74"/>
      <c r="K1310" s="74"/>
    </row>
    <row r="1311">
      <c r="A1311" s="84"/>
      <c r="B1311" s="119" t="s">
        <v>14507</v>
      </c>
      <c r="C1311" s="120" t="s">
        <v>4191</v>
      </c>
      <c r="D1311" s="33" t="s">
        <v>14274</v>
      </c>
      <c r="E1311" s="51" t="s">
        <v>326</v>
      </c>
      <c r="F1311" s="121" t="s">
        <v>3025</v>
      </c>
      <c r="G1311" s="122"/>
      <c r="H1311" s="46" t="s">
        <v>3002</v>
      </c>
      <c r="I1311" s="74"/>
      <c r="J1311" s="74"/>
      <c r="K1311" s="74"/>
    </row>
    <row r="1312">
      <c r="A1312" s="84"/>
      <c r="B1312" s="119" t="s">
        <v>14509</v>
      </c>
      <c r="C1312" s="120" t="s">
        <v>4456</v>
      </c>
      <c r="D1312" s="33" t="s">
        <v>14510</v>
      </c>
      <c r="E1312" s="51" t="s">
        <v>330</v>
      </c>
      <c r="F1312" s="121" t="s">
        <v>2971</v>
      </c>
      <c r="G1312" s="98" t="str">
        <f>HYPERLINK("http://mirror.ff7data.com.ar/ff7/data/battle/battle.lgp/craa.png","View Picture")</f>
        <v>View Picture</v>
      </c>
      <c r="H1312" s="46" t="s">
        <v>14513</v>
      </c>
      <c r="I1312" s="74"/>
      <c r="J1312" s="74"/>
      <c r="K1312" s="74"/>
    </row>
    <row r="1313">
      <c r="A1313" s="84"/>
      <c r="B1313" s="119" t="s">
        <v>14514</v>
      </c>
      <c r="C1313" s="120" t="s">
        <v>9790</v>
      </c>
      <c r="D1313" s="33" t="s">
        <v>14516</v>
      </c>
      <c r="E1313" s="51" t="s">
        <v>330</v>
      </c>
      <c r="F1313" s="121" t="s">
        <v>2993</v>
      </c>
      <c r="G1313" s="122"/>
      <c r="H1313" s="46" t="s">
        <v>3002</v>
      </c>
      <c r="I1313" s="74"/>
      <c r="J1313" s="74"/>
      <c r="K1313" s="74"/>
    </row>
    <row r="1314">
      <c r="A1314" s="84"/>
      <c r="B1314" s="119" t="s">
        <v>14518</v>
      </c>
      <c r="C1314" s="120" t="s">
        <v>4476</v>
      </c>
      <c r="D1314" s="33" t="s">
        <v>14516</v>
      </c>
      <c r="E1314" s="51" t="s">
        <v>330</v>
      </c>
      <c r="F1314" s="121" t="s">
        <v>3009</v>
      </c>
      <c r="G1314" s="98" t="str">
        <f>HYPERLINK("http://mirror.ff7data.com.ar/ff7/data/battle/battle.lgp/cram.png","View Picture")</f>
        <v>View Picture</v>
      </c>
      <c r="H1314" s="75"/>
      <c r="I1314" s="74"/>
      <c r="J1314" s="74"/>
      <c r="K1314" s="74"/>
    </row>
    <row r="1315">
      <c r="A1315" s="84"/>
      <c r="B1315" s="119" t="s">
        <v>14523</v>
      </c>
      <c r="C1315" s="120" t="s">
        <v>4357</v>
      </c>
      <c r="D1315" s="33" t="s">
        <v>14516</v>
      </c>
      <c r="E1315" s="51" t="s">
        <v>330</v>
      </c>
      <c r="F1315" s="121" t="s">
        <v>3009</v>
      </c>
      <c r="G1315" s="98" t="str">
        <f>HYPERLINK("http://mirror.ff7data.com.ar/ff7/data/battle/battle.lgp/cran.png","View Picture")</f>
        <v>View Picture</v>
      </c>
      <c r="H1315" s="75"/>
      <c r="I1315" s="74"/>
      <c r="J1315" s="74"/>
      <c r="K1315" s="74"/>
    </row>
    <row r="1316">
      <c r="A1316" s="84"/>
      <c r="B1316" s="119" t="s">
        <v>14530</v>
      </c>
      <c r="C1316" s="120" t="s">
        <v>4476</v>
      </c>
      <c r="D1316" s="33" t="s">
        <v>14516</v>
      </c>
      <c r="E1316" s="51" t="s">
        <v>330</v>
      </c>
      <c r="F1316" s="121" t="s">
        <v>3009</v>
      </c>
      <c r="G1316" s="98" t="str">
        <f>HYPERLINK("http://mirror.ff7data.com.ar/ff7/data/battle/battle.lgp/crao.png","View Picture")</f>
        <v>View Picture</v>
      </c>
      <c r="H1316" s="75"/>
      <c r="I1316" s="74"/>
      <c r="J1316" s="74"/>
      <c r="K1316" s="74"/>
    </row>
    <row r="1317">
      <c r="A1317" s="84"/>
      <c r="B1317" s="119" t="s">
        <v>14539</v>
      </c>
      <c r="C1317" s="120" t="s">
        <v>3842</v>
      </c>
      <c r="D1317" s="33" t="s">
        <v>14516</v>
      </c>
      <c r="E1317" s="51" t="s">
        <v>330</v>
      </c>
      <c r="F1317" s="121" t="s">
        <v>3009</v>
      </c>
      <c r="G1317" s="98" t="str">
        <f>HYPERLINK("http://mirror.ff7data.com.ar/ff7/data/battle/battle.lgp/crap.png","View Picture")</f>
        <v>View Picture</v>
      </c>
      <c r="H1317" s="75"/>
      <c r="I1317" s="74"/>
      <c r="J1317" s="74"/>
      <c r="K1317" s="74"/>
    </row>
    <row r="1318">
      <c r="A1318" s="84"/>
      <c r="B1318" s="119" t="s">
        <v>14550</v>
      </c>
      <c r="C1318" s="120" t="s">
        <v>4030</v>
      </c>
      <c r="D1318" s="33" t="s">
        <v>14516</v>
      </c>
      <c r="E1318" s="51" t="s">
        <v>330</v>
      </c>
      <c r="F1318" s="121" t="s">
        <v>3009</v>
      </c>
      <c r="G1318" s="98" t="str">
        <f>HYPERLINK("http://mirror.ff7data.com.ar/ff7/data/battle/battle.lgp/craq.png","View Picture")</f>
        <v>View Picture</v>
      </c>
      <c r="H1318" s="75"/>
      <c r="I1318" s="74"/>
      <c r="J1318" s="74"/>
      <c r="K1318" s="74"/>
    </row>
    <row r="1319">
      <c r="A1319" s="84"/>
      <c r="B1319" s="119" t="s">
        <v>14559</v>
      </c>
      <c r="C1319" s="120" t="s">
        <v>10078</v>
      </c>
      <c r="D1319" s="33" t="s">
        <v>14516</v>
      </c>
      <c r="E1319" s="51" t="s">
        <v>330</v>
      </c>
      <c r="F1319" s="121" t="s">
        <v>3009</v>
      </c>
      <c r="G1319" s="98" t="str">
        <f>HYPERLINK("http://mirror.ff7data.com.ar/ff7/data/battle/battle.lgp/crar.png","View Picture")</f>
        <v>View Picture</v>
      </c>
      <c r="H1319" s="75"/>
      <c r="I1319" s="74"/>
      <c r="J1319" s="74"/>
      <c r="K1319" s="74"/>
    </row>
    <row r="1320">
      <c r="A1320" s="84"/>
      <c r="B1320" s="119" t="s">
        <v>14567</v>
      </c>
      <c r="C1320" s="120" t="s">
        <v>4541</v>
      </c>
      <c r="D1320" s="33" t="s">
        <v>14516</v>
      </c>
      <c r="E1320" s="51" t="s">
        <v>330</v>
      </c>
      <c r="F1320" s="121" t="s">
        <v>3009</v>
      </c>
      <c r="G1320" s="98" t="str">
        <f>HYPERLINK("http://mirror.ff7data.com.ar/ff7/data/battle/battle.lgp/crat.png","View Picture")</f>
        <v>View Picture</v>
      </c>
      <c r="H1320" s="75"/>
      <c r="I1320" s="74"/>
      <c r="J1320" s="74"/>
      <c r="K1320" s="74"/>
    </row>
    <row r="1321">
      <c r="A1321" s="84"/>
      <c r="B1321" s="119" t="s">
        <v>14573</v>
      </c>
      <c r="C1321" s="120" t="s">
        <v>4554</v>
      </c>
      <c r="D1321" s="33" t="s">
        <v>14516</v>
      </c>
      <c r="E1321" s="51" t="s">
        <v>330</v>
      </c>
      <c r="F1321" s="121" t="s">
        <v>3009</v>
      </c>
      <c r="G1321" s="98" t="str">
        <f>HYPERLINK("http://mirror.ff7data.com.ar/ff7/data/battle/battle.lgp/crau.png","View Picture")</f>
        <v>View Picture</v>
      </c>
      <c r="H1321" s="75"/>
      <c r="I1321" s="74"/>
      <c r="J1321" s="74"/>
      <c r="K1321" s="74"/>
    </row>
    <row r="1322">
      <c r="A1322" s="84"/>
      <c r="B1322" s="119" t="s">
        <v>14578</v>
      </c>
      <c r="C1322" s="120" t="s">
        <v>4565</v>
      </c>
      <c r="D1322" s="33" t="s">
        <v>14516</v>
      </c>
      <c r="E1322" s="51" t="s">
        <v>330</v>
      </c>
      <c r="F1322" s="121" t="s">
        <v>3009</v>
      </c>
      <c r="G1322" s="98" t="str">
        <f>HYPERLINK("http://mirror.ff7data.com.ar/ff7/data/battle/battle.lgp/crav.png","View Picture")</f>
        <v>View Picture</v>
      </c>
      <c r="H1322" s="75"/>
      <c r="I1322" s="74"/>
      <c r="J1322" s="74"/>
      <c r="K1322" s="74"/>
    </row>
    <row r="1323">
      <c r="A1323" s="84"/>
      <c r="B1323" s="119" t="s">
        <v>14586</v>
      </c>
      <c r="C1323" s="120" t="s">
        <v>4565</v>
      </c>
      <c r="D1323" s="33" t="s">
        <v>14516</v>
      </c>
      <c r="E1323" s="51" t="s">
        <v>330</v>
      </c>
      <c r="F1323" s="121" t="s">
        <v>3009</v>
      </c>
      <c r="G1323" s="98" t="str">
        <f>HYPERLINK("http://mirror.ff7data.com.ar/ff7/data/battle/battle.lgp/craw.png","View Picture")</f>
        <v>View Picture</v>
      </c>
      <c r="H1323" s="75"/>
      <c r="I1323" s="74"/>
      <c r="J1323" s="74"/>
      <c r="K1323" s="74"/>
    </row>
    <row r="1324">
      <c r="A1324" s="84"/>
      <c r="B1324" s="119" t="s">
        <v>14597</v>
      </c>
      <c r="C1324" s="120" t="s">
        <v>4565</v>
      </c>
      <c r="D1324" s="33" t="s">
        <v>14516</v>
      </c>
      <c r="E1324" s="51" t="s">
        <v>330</v>
      </c>
      <c r="F1324" s="121" t="s">
        <v>3009</v>
      </c>
      <c r="G1324" s="98" t="str">
        <f>HYPERLINK("http://mirror.ff7data.com.ar/ff7/data/battle/battle.lgp/crax.png","View Picture")</f>
        <v>View Picture</v>
      </c>
      <c r="H1324" s="75"/>
      <c r="I1324" s="74"/>
      <c r="J1324" s="74"/>
      <c r="K1324" s="74"/>
    </row>
    <row r="1325">
      <c r="A1325" s="84"/>
      <c r="B1325" s="119" t="s">
        <v>14606</v>
      </c>
      <c r="C1325" s="120" t="s">
        <v>4601</v>
      </c>
      <c r="D1325" s="33" t="s">
        <v>14516</v>
      </c>
      <c r="E1325" s="51" t="s">
        <v>330</v>
      </c>
      <c r="F1325" s="121" t="s">
        <v>3009</v>
      </c>
      <c r="G1325" s="98" t="str">
        <f>HYPERLINK("http://mirror.ff7data.com.ar/ff7/data/battle/battle.lgp/cray.png","View Picture")</f>
        <v>View Picture</v>
      </c>
      <c r="H1325" s="75"/>
      <c r="I1325" s="74"/>
      <c r="J1325" s="74"/>
      <c r="K1325" s="74"/>
    </row>
    <row r="1326">
      <c r="A1326" s="84"/>
      <c r="B1326" s="119" t="s">
        <v>14617</v>
      </c>
      <c r="C1326" s="120" t="s">
        <v>3007</v>
      </c>
      <c r="D1326" s="33" t="s">
        <v>14516</v>
      </c>
      <c r="E1326" s="51" t="s">
        <v>330</v>
      </c>
      <c r="F1326" s="121" t="s">
        <v>3009</v>
      </c>
      <c r="G1326" s="98" t="str">
        <f>HYPERLINK("http://mirror.ff7data.com.ar/ff7/data/battle/battle.lgp/craz.png","View Picture")</f>
        <v>View Picture</v>
      </c>
      <c r="H1326" s="75"/>
      <c r="I1326" s="74"/>
      <c r="J1326" s="74"/>
      <c r="K1326" s="74"/>
    </row>
    <row r="1327">
      <c r="A1327" s="84"/>
      <c r="B1327" s="119" t="s">
        <v>14631</v>
      </c>
      <c r="C1327" s="120" t="s">
        <v>4264</v>
      </c>
      <c r="D1327" s="33" t="s">
        <v>14516</v>
      </c>
      <c r="E1327" s="51" t="s">
        <v>330</v>
      </c>
      <c r="F1327" s="121" t="s">
        <v>3009</v>
      </c>
      <c r="G1327" s="98" t="str">
        <f>HYPERLINK("http://mirror.ff7data.com.ar/ff7/data/battle/battle.lgp/crbb.png","View Picture")</f>
        <v>View Picture</v>
      </c>
      <c r="H1327" s="75"/>
      <c r="I1327" s="74"/>
      <c r="J1327" s="74"/>
      <c r="K1327" s="74"/>
    </row>
    <row r="1328">
      <c r="A1328" s="84"/>
      <c r="B1328" s="119" t="s">
        <v>14640</v>
      </c>
      <c r="C1328" s="120" t="s">
        <v>4476</v>
      </c>
      <c r="D1328" s="33" t="s">
        <v>14516</v>
      </c>
      <c r="E1328" s="51" t="s">
        <v>330</v>
      </c>
      <c r="F1328" s="121" t="s">
        <v>3009</v>
      </c>
      <c r="G1328" s="98" t="str">
        <f>HYPERLINK("http://mirror.ff7data.com.ar/ff7/data/battle/battle.lgp/crbc.png","View Picture")</f>
        <v>View Picture</v>
      </c>
      <c r="H1328" s="75"/>
      <c r="I1328" s="74"/>
      <c r="J1328" s="74"/>
      <c r="K1328" s="74"/>
    </row>
    <row r="1329">
      <c r="A1329" s="84"/>
      <c r="B1329" s="119" t="s">
        <v>14647</v>
      </c>
      <c r="C1329" s="120" t="s">
        <v>4646</v>
      </c>
      <c r="D1329" s="33" t="s">
        <v>14516</v>
      </c>
      <c r="E1329" s="51" t="s">
        <v>330</v>
      </c>
      <c r="F1329" s="121" t="s">
        <v>3009</v>
      </c>
      <c r="G1329" s="98" t="str">
        <f>HYPERLINK("http://mirror.ff7data.com.ar/ff7/data/battle/battle.lgp/crbd.png","View Picture")</f>
        <v>View Picture</v>
      </c>
      <c r="H1329" s="75"/>
      <c r="I1329" s="74"/>
      <c r="J1329" s="74"/>
      <c r="K1329" s="74"/>
    </row>
    <row r="1330">
      <c r="A1330" s="84"/>
      <c r="B1330" s="119" t="s">
        <v>14657</v>
      </c>
      <c r="C1330" s="120" t="s">
        <v>4658</v>
      </c>
      <c r="D1330" s="33" t="s">
        <v>14516</v>
      </c>
      <c r="E1330" s="51" t="s">
        <v>330</v>
      </c>
      <c r="F1330" s="121" t="s">
        <v>3009</v>
      </c>
      <c r="G1330" s="98" t="str">
        <f>HYPERLINK("http://mirror.ff7data.com.ar/ff7/data/battle/battle.lgp/crbe.png","View Picture")</f>
        <v>View Picture</v>
      </c>
      <c r="H1330" s="75"/>
      <c r="I1330" s="74"/>
      <c r="J1330" s="74"/>
      <c r="K1330" s="74"/>
    </row>
    <row r="1331">
      <c r="A1331" s="84"/>
      <c r="B1331" s="119" t="s">
        <v>14662</v>
      </c>
      <c r="C1331" s="120" t="s">
        <v>4264</v>
      </c>
      <c r="D1331" s="33" t="s">
        <v>14516</v>
      </c>
      <c r="E1331" s="51" t="s">
        <v>330</v>
      </c>
      <c r="F1331" s="121" t="s">
        <v>3009</v>
      </c>
      <c r="G1331" s="98" t="str">
        <f>HYPERLINK("http://mirror.ff7data.com.ar/ff7/data/battle/battle.lgp/crbg.png","View Picture")</f>
        <v>View Picture</v>
      </c>
      <c r="H1331" s="75"/>
      <c r="I1331" s="74"/>
      <c r="J1331" s="74"/>
      <c r="K1331" s="74"/>
    </row>
    <row r="1332">
      <c r="A1332" s="84"/>
      <c r="B1332" s="119" t="s">
        <v>14670</v>
      </c>
      <c r="C1332" s="120" t="s">
        <v>4372</v>
      </c>
      <c r="D1332" s="33" t="s">
        <v>14516</v>
      </c>
      <c r="E1332" s="51" t="s">
        <v>330</v>
      </c>
      <c r="F1332" s="121" t="s">
        <v>3009</v>
      </c>
      <c r="G1332" s="98" t="str">
        <f>HYPERLINK("http://mirror.ff7data.com.ar/ff7/data/battle/battle.lgp/crbh.png","View Picture")</f>
        <v>View Picture</v>
      </c>
      <c r="H1332" s="75"/>
      <c r="I1332" s="74"/>
      <c r="J1332" s="74"/>
      <c r="K1332" s="74"/>
    </row>
    <row r="1333">
      <c r="A1333" s="84"/>
      <c r="B1333" s="119" t="s">
        <v>14679</v>
      </c>
      <c r="C1333" s="120" t="s">
        <v>4696</v>
      </c>
      <c r="D1333" s="33" t="s">
        <v>14516</v>
      </c>
      <c r="E1333" s="51" t="s">
        <v>330</v>
      </c>
      <c r="F1333" s="121" t="s">
        <v>3009</v>
      </c>
      <c r="G1333" s="98" t="str">
        <f>HYPERLINK("http://mirror.ff7data.com.ar/ff7/data/battle/battle.lgp/crbi.png","View Picture")</f>
        <v>View Picture</v>
      </c>
      <c r="H1333" s="75"/>
      <c r="I1333" s="74"/>
      <c r="J1333" s="74"/>
      <c r="K1333" s="74"/>
    </row>
    <row r="1334">
      <c r="A1334" s="84"/>
      <c r="B1334" s="119" t="s">
        <v>14690</v>
      </c>
      <c r="C1334" s="120" t="s">
        <v>4707</v>
      </c>
      <c r="D1334" s="33" t="s">
        <v>14516</v>
      </c>
      <c r="E1334" s="51" t="s">
        <v>330</v>
      </c>
      <c r="F1334" s="121" t="s">
        <v>3009</v>
      </c>
      <c r="G1334" s="98" t="str">
        <f>HYPERLINK("http://mirror.ff7data.com.ar/ff7/data/battle/battle.lgp/crbj.png","View Picture")</f>
        <v>View Picture</v>
      </c>
      <c r="H1334" s="75"/>
      <c r="I1334" s="74"/>
      <c r="J1334" s="74"/>
      <c r="K1334" s="74"/>
    </row>
    <row r="1335">
      <c r="A1335" s="84"/>
      <c r="B1335" s="119" t="s">
        <v>14697</v>
      </c>
      <c r="C1335" s="120" t="s">
        <v>4719</v>
      </c>
      <c r="D1335" s="33" t="s">
        <v>14516</v>
      </c>
      <c r="E1335" s="51" t="s">
        <v>330</v>
      </c>
      <c r="F1335" s="121" t="s">
        <v>3009</v>
      </c>
      <c r="G1335" s="98" t="str">
        <f>HYPERLINK("http://mirror.ff7data.com.ar/ff7/data/battle/battle.lgp/crbk.png","View Picture")</f>
        <v>View Picture</v>
      </c>
      <c r="H1335" s="75"/>
      <c r="I1335" s="74"/>
      <c r="J1335" s="74"/>
      <c r="K1335" s="74"/>
    </row>
    <row r="1336">
      <c r="A1336" s="84"/>
      <c r="B1336" s="119" t="s">
        <v>14706</v>
      </c>
      <c r="C1336" s="120" t="s">
        <v>4732</v>
      </c>
      <c r="D1336" s="33" t="s">
        <v>14516</v>
      </c>
      <c r="E1336" s="51" t="s">
        <v>330</v>
      </c>
      <c r="F1336" s="121" t="s">
        <v>3009</v>
      </c>
      <c r="G1336" s="98" t="str">
        <f>HYPERLINK("http://mirror.ff7data.com.ar/ff7/data/battle/battle.lgp/crbm.png","View Picture")</f>
        <v>View Picture</v>
      </c>
      <c r="H1336" s="75"/>
      <c r="I1336" s="74"/>
      <c r="J1336" s="74"/>
      <c r="K1336" s="74"/>
    </row>
    <row r="1337">
      <c r="A1337" s="84"/>
      <c r="B1337" s="119" t="s">
        <v>14713</v>
      </c>
      <c r="C1337" s="120" t="s">
        <v>4747</v>
      </c>
      <c r="D1337" s="33" t="s">
        <v>14516</v>
      </c>
      <c r="E1337" s="51" t="s">
        <v>330</v>
      </c>
      <c r="F1337" s="121" t="s">
        <v>3009</v>
      </c>
      <c r="G1337" s="98" t="str">
        <f>HYPERLINK("http://mirror.ff7data.com.ar/ff7/data/battle/battle.lgp/crbn.png","View Picture")</f>
        <v>View Picture</v>
      </c>
      <c r="H1337" s="75"/>
      <c r="I1337" s="74"/>
      <c r="J1337" s="74"/>
      <c r="K1337" s="74"/>
    </row>
    <row r="1338">
      <c r="A1338" s="84"/>
      <c r="B1338" s="119" t="s">
        <v>14722</v>
      </c>
      <c r="C1338" s="120" t="s">
        <v>4185</v>
      </c>
      <c r="D1338" s="33" t="s">
        <v>14516</v>
      </c>
      <c r="E1338" s="51" t="s">
        <v>330</v>
      </c>
      <c r="F1338" s="121" t="s">
        <v>3009</v>
      </c>
      <c r="G1338" s="98" t="str">
        <f>HYPERLINK("http://mirror.ff7data.com.ar/ff7/data/battle/battle.lgp/crbo.png","View Picture")</f>
        <v>View Picture</v>
      </c>
      <c r="H1338" s="75"/>
      <c r="I1338" s="74"/>
      <c r="J1338" s="74"/>
      <c r="K1338" s="74"/>
    </row>
    <row r="1339">
      <c r="A1339" s="84"/>
      <c r="B1339" s="119" t="s">
        <v>14729</v>
      </c>
      <c r="C1339" s="120" t="s">
        <v>4696</v>
      </c>
      <c r="D1339" s="33" t="s">
        <v>14516</v>
      </c>
      <c r="E1339" s="51" t="s">
        <v>330</v>
      </c>
      <c r="F1339" s="121" t="s">
        <v>3009</v>
      </c>
      <c r="G1339" s="98" t="str">
        <f>HYPERLINK("http://mirror.ff7data.com.ar/ff7/data/battle/battle.lgp/crbp.png","View Picture")</f>
        <v>View Picture</v>
      </c>
      <c r="H1339" s="75"/>
      <c r="I1339" s="74"/>
      <c r="J1339" s="74"/>
      <c r="K1339" s="74"/>
    </row>
    <row r="1340">
      <c r="A1340" s="84"/>
      <c r="B1340" s="119" t="s">
        <v>14742</v>
      </c>
      <c r="C1340" s="120" t="s">
        <v>4658</v>
      </c>
      <c r="D1340" s="33" t="s">
        <v>14516</v>
      </c>
      <c r="E1340" s="51" t="s">
        <v>330</v>
      </c>
      <c r="F1340" s="121" t="s">
        <v>3009</v>
      </c>
      <c r="G1340" s="98" t="str">
        <f>HYPERLINK("http://mirror.ff7data.com.ar/ff7/data/battle/battle.lgp/crbq.png","View Picture")</f>
        <v>View Picture</v>
      </c>
      <c r="H1340" s="75"/>
      <c r="I1340" s="74"/>
      <c r="J1340" s="74"/>
      <c r="K1340" s="74"/>
    </row>
    <row r="1341">
      <c r="A1341" s="84"/>
      <c r="B1341" s="119" t="s">
        <v>14752</v>
      </c>
      <c r="C1341" s="120" t="s">
        <v>4439</v>
      </c>
      <c r="D1341" s="33" t="s">
        <v>14516</v>
      </c>
      <c r="E1341" s="51" t="s">
        <v>330</v>
      </c>
      <c r="F1341" s="121" t="s">
        <v>3009</v>
      </c>
      <c r="G1341" s="98" t="str">
        <f>HYPERLINK("http://mirror.ff7data.com.ar/ff7/data/battle/battle.lgp/crbs.png","View Picture")</f>
        <v>View Picture</v>
      </c>
      <c r="H1341" s="75"/>
      <c r="I1341" s="74"/>
      <c r="J1341" s="74"/>
      <c r="K1341" s="74"/>
    </row>
    <row r="1342">
      <c r="A1342" s="84"/>
      <c r="B1342" s="119" t="s">
        <v>14764</v>
      </c>
      <c r="C1342" s="120" t="s">
        <v>4747</v>
      </c>
      <c r="D1342" s="33" t="s">
        <v>14516</v>
      </c>
      <c r="E1342" s="51" t="s">
        <v>330</v>
      </c>
      <c r="F1342" s="121" t="s">
        <v>3009</v>
      </c>
      <c r="G1342" s="98" t="str">
        <f>HYPERLINK("http://mirror.ff7data.com.ar/ff7/data/battle/battle.lgp/crbt.png","View Picture")</f>
        <v>View Picture</v>
      </c>
      <c r="H1342" s="75"/>
      <c r="I1342" s="74"/>
      <c r="J1342" s="74"/>
      <c r="K1342" s="74"/>
    </row>
    <row r="1343">
      <c r="A1343" s="84"/>
      <c r="B1343" s="119" t="s">
        <v>14775</v>
      </c>
      <c r="C1343" s="120" t="s">
        <v>4185</v>
      </c>
      <c r="D1343" s="33" t="s">
        <v>14516</v>
      </c>
      <c r="E1343" s="51" t="s">
        <v>330</v>
      </c>
      <c r="F1343" s="121" t="s">
        <v>3009</v>
      </c>
      <c r="G1343" s="98" t="str">
        <f>HYPERLINK("http://mirror.ff7data.com.ar/ff7/data/battle/battle.lgp/crbu.png","View Picture")</f>
        <v>View Picture</v>
      </c>
      <c r="H1343" s="75"/>
      <c r="I1343" s="74"/>
      <c r="J1343" s="74"/>
      <c r="K1343" s="74"/>
    </row>
    <row r="1344">
      <c r="A1344" s="84"/>
      <c r="B1344" s="119" t="s">
        <v>14791</v>
      </c>
      <c r="C1344" s="120" t="s">
        <v>4646</v>
      </c>
      <c r="D1344" s="33" t="s">
        <v>14516</v>
      </c>
      <c r="E1344" s="51" t="s">
        <v>330</v>
      </c>
      <c r="F1344" s="121" t="s">
        <v>3009</v>
      </c>
      <c r="G1344" s="98" t="str">
        <f>HYPERLINK("http://mirror.ff7data.com.ar/ff7/data/battle/battle.lgp/crbv.png","View Picture")</f>
        <v>View Picture</v>
      </c>
      <c r="H1344" s="75"/>
      <c r="I1344" s="74"/>
      <c r="J1344" s="74"/>
      <c r="K1344" s="74"/>
    </row>
    <row r="1345">
      <c r="A1345" s="84"/>
      <c r="B1345" s="119" t="s">
        <v>14802</v>
      </c>
      <c r="C1345" s="120" t="s">
        <v>4747</v>
      </c>
      <c r="D1345" s="33" t="s">
        <v>14516</v>
      </c>
      <c r="E1345" s="51" t="s">
        <v>330</v>
      </c>
      <c r="F1345" s="121" t="s">
        <v>3009</v>
      </c>
      <c r="G1345" s="98" t="str">
        <f>HYPERLINK("http://mirror.ff7data.com.ar/ff7/data/battle/battle.lgp/crbw.png","View Picture")</f>
        <v>View Picture</v>
      </c>
      <c r="H1345" s="75"/>
      <c r="I1345" s="74"/>
      <c r="J1345" s="74"/>
      <c r="K1345" s="74"/>
    </row>
    <row r="1346">
      <c r="A1346" s="84"/>
      <c r="B1346" s="119" t="s">
        <v>14814</v>
      </c>
      <c r="C1346" s="120" t="s">
        <v>14815</v>
      </c>
      <c r="D1346" s="33" t="s">
        <v>14516</v>
      </c>
      <c r="E1346" s="51" t="s">
        <v>330</v>
      </c>
      <c r="F1346" s="121" t="s">
        <v>3025</v>
      </c>
      <c r="G1346" s="122"/>
      <c r="H1346" s="46" t="s">
        <v>3002</v>
      </c>
      <c r="I1346" s="74"/>
      <c r="J1346" s="74"/>
      <c r="K1346" s="74"/>
    </row>
    <row r="1347">
      <c r="A1347" s="82"/>
      <c r="B1347" s="119" t="s">
        <v>14818</v>
      </c>
      <c r="C1347" s="120" t="s">
        <v>10179</v>
      </c>
      <c r="D1347" s="33" t="s">
        <v>14820</v>
      </c>
      <c r="E1347" s="51" t="s">
        <v>334</v>
      </c>
      <c r="F1347" s="121" t="s">
        <v>2971</v>
      </c>
      <c r="G1347" s="98" t="str">
        <f>HYPERLINK("http://mirror.ff7data.com.ar/ff7/data/battle/battle.lgp/csaa.png","View Picture")</f>
        <v>View Picture</v>
      </c>
      <c r="H1347" s="75"/>
      <c r="I1347" s="74"/>
      <c r="J1347" s="74"/>
      <c r="K1347" s="74"/>
    </row>
    <row r="1348">
      <c r="A1348" s="55"/>
      <c r="B1348" s="119" t="s">
        <v>14829</v>
      </c>
      <c r="C1348" s="120" t="s">
        <v>2989</v>
      </c>
      <c r="D1348" s="33" t="s">
        <v>14833</v>
      </c>
      <c r="E1348" s="51" t="s">
        <v>334</v>
      </c>
      <c r="F1348" s="121" t="s">
        <v>2993</v>
      </c>
      <c r="G1348" s="122"/>
      <c r="H1348" s="46" t="s">
        <v>3002</v>
      </c>
      <c r="I1348" s="74"/>
      <c r="J1348" s="74"/>
      <c r="K1348" s="74"/>
    </row>
    <row r="1349">
      <c r="A1349" s="82"/>
      <c r="B1349" s="119" t="s">
        <v>14837</v>
      </c>
      <c r="C1349" s="120" t="s">
        <v>3584</v>
      </c>
      <c r="D1349" s="33" t="s">
        <v>14839</v>
      </c>
      <c r="E1349" s="51" t="s">
        <v>334</v>
      </c>
      <c r="F1349" s="121" t="s">
        <v>3009</v>
      </c>
      <c r="G1349" s="98" t="str">
        <f>HYPERLINK("http://mirror.ff7data.com.ar/ff7/data/battle/battle.lgp/csam.png","View Picture")</f>
        <v>View Picture</v>
      </c>
      <c r="H1349" s="75"/>
      <c r="I1349" s="74"/>
      <c r="J1349" s="74"/>
      <c r="K1349" s="74"/>
    </row>
    <row r="1350">
      <c r="A1350" s="82"/>
      <c r="B1350" s="119" t="s">
        <v>14845</v>
      </c>
      <c r="C1350" s="120" t="s">
        <v>4357</v>
      </c>
      <c r="D1350" s="33" t="s">
        <v>14847</v>
      </c>
      <c r="E1350" s="51" t="s">
        <v>334</v>
      </c>
      <c r="F1350" s="121" t="s">
        <v>3009</v>
      </c>
      <c r="G1350" s="98" t="str">
        <f>HYPERLINK("http://mirror.ff7data.com.ar/ff7/data/battle/battle.lgp/csao.png","View Picture")</f>
        <v>View Picture</v>
      </c>
      <c r="H1350" s="75"/>
      <c r="I1350" s="74"/>
      <c r="J1350" s="74"/>
      <c r="K1350" s="74"/>
    </row>
    <row r="1351">
      <c r="A1351" s="82"/>
      <c r="B1351" s="119" t="s">
        <v>14856</v>
      </c>
      <c r="C1351" s="120" t="s">
        <v>3370</v>
      </c>
      <c r="D1351" s="33" t="s">
        <v>14857</v>
      </c>
      <c r="E1351" s="51" t="s">
        <v>334</v>
      </c>
      <c r="F1351" s="121" t="s">
        <v>3009</v>
      </c>
      <c r="G1351" s="98" t="str">
        <f>HYPERLINK("http://mirror.ff7data.com.ar/ff7/data/battle/battle.lgp/csaq.png","View Picture")</f>
        <v>View Picture</v>
      </c>
      <c r="H1351" s="75"/>
      <c r="I1351" s="74"/>
      <c r="J1351" s="74"/>
      <c r="K1351" s="74"/>
    </row>
    <row r="1352">
      <c r="A1352" s="55"/>
      <c r="B1352" s="119" t="s">
        <v>14863</v>
      </c>
      <c r="C1352" s="120" t="s">
        <v>3434</v>
      </c>
      <c r="D1352" s="33" t="s">
        <v>14833</v>
      </c>
      <c r="E1352" s="51" t="s">
        <v>334</v>
      </c>
      <c r="F1352" s="121" t="s">
        <v>3025</v>
      </c>
      <c r="G1352" s="122"/>
      <c r="H1352" s="46" t="s">
        <v>3002</v>
      </c>
      <c r="I1352" s="74"/>
      <c r="J1352" s="74"/>
      <c r="K1352" s="74"/>
    </row>
    <row r="1353">
      <c r="A1353" s="84"/>
      <c r="B1353" s="119" t="s">
        <v>14866</v>
      </c>
      <c r="C1353" s="120" t="s">
        <v>14867</v>
      </c>
      <c r="D1353" s="33" t="s">
        <v>14868</v>
      </c>
      <c r="E1353" s="51" t="s">
        <v>338</v>
      </c>
      <c r="F1353" s="121" t="s">
        <v>2971</v>
      </c>
      <c r="G1353" s="98" t="str">
        <f>HYPERLINK("http://mirror.ff7data.com.ar/ff7/data/battle/battle.lgp/ctaa.png","View Picture")</f>
        <v>View Picture</v>
      </c>
      <c r="H1353" s="75"/>
      <c r="I1353" s="74"/>
      <c r="J1353" s="74"/>
      <c r="K1353" s="74"/>
    </row>
    <row r="1354">
      <c r="A1354" s="84"/>
      <c r="B1354" s="119" t="s">
        <v>14877</v>
      </c>
      <c r="C1354" s="120" t="s">
        <v>14878</v>
      </c>
      <c r="D1354" s="33" t="s">
        <v>14880</v>
      </c>
      <c r="E1354" s="51" t="s">
        <v>338</v>
      </c>
      <c r="F1354" s="121" t="s">
        <v>2993</v>
      </c>
      <c r="G1354" s="122"/>
      <c r="H1354" s="46" t="s">
        <v>3002</v>
      </c>
      <c r="I1354" s="74"/>
      <c r="J1354" s="74"/>
      <c r="K1354" s="74"/>
    </row>
    <row r="1355">
      <c r="A1355" s="84"/>
      <c r="B1355" s="119" t="s">
        <v>14883</v>
      </c>
      <c r="C1355" s="120" t="s">
        <v>9041</v>
      </c>
      <c r="D1355" s="33" t="s">
        <v>14880</v>
      </c>
      <c r="E1355" s="51" t="s">
        <v>338</v>
      </c>
      <c r="F1355" s="121" t="s">
        <v>3009</v>
      </c>
      <c r="G1355" s="98" t="str">
        <f>HYPERLINK("http://mirror.ff7data.com.ar/ff7/data/battle/battle.lgp/ctam.png","View Picture")</f>
        <v>View Picture</v>
      </c>
      <c r="H1355" s="75"/>
      <c r="I1355" s="74"/>
      <c r="J1355" s="74"/>
      <c r="K1355" s="74"/>
    </row>
    <row r="1356">
      <c r="A1356" s="84"/>
      <c r="B1356" s="119" t="s">
        <v>14894</v>
      </c>
      <c r="C1356" s="120" t="s">
        <v>3399</v>
      </c>
      <c r="D1356" s="33" t="s">
        <v>14880</v>
      </c>
      <c r="E1356" s="51" t="s">
        <v>338</v>
      </c>
      <c r="F1356" s="121" t="s">
        <v>3009</v>
      </c>
      <c r="G1356" s="98" t="str">
        <f>HYPERLINK("http://mirror.ff7data.com.ar/ff7/data/battle/battle.lgp/ctan.png","View Picture")</f>
        <v>View Picture</v>
      </c>
      <c r="H1356" s="75"/>
      <c r="I1356" s="74"/>
      <c r="J1356" s="74"/>
      <c r="K1356" s="74"/>
    </row>
    <row r="1357">
      <c r="A1357" s="84"/>
      <c r="B1357" s="119" t="s">
        <v>14905</v>
      </c>
      <c r="C1357" s="120" t="s">
        <v>4841</v>
      </c>
      <c r="D1357" s="33" t="s">
        <v>14880</v>
      </c>
      <c r="E1357" s="51" t="s">
        <v>338</v>
      </c>
      <c r="F1357" s="121" t="s">
        <v>3009</v>
      </c>
      <c r="G1357" s="98" t="str">
        <f>HYPERLINK("http://mirror.ff7data.com.ar/ff7/data/battle/battle.lgp/ctao.png","View Picture")</f>
        <v>View Picture</v>
      </c>
      <c r="H1357" s="75"/>
      <c r="I1357" s="74"/>
      <c r="J1357" s="74"/>
      <c r="K1357" s="74"/>
    </row>
    <row r="1358">
      <c r="A1358" s="84"/>
      <c r="B1358" s="119" t="s">
        <v>14915</v>
      </c>
      <c r="C1358" s="120" t="s">
        <v>4707</v>
      </c>
      <c r="D1358" s="33" t="s">
        <v>14880</v>
      </c>
      <c r="E1358" s="51" t="s">
        <v>338</v>
      </c>
      <c r="F1358" s="121" t="s">
        <v>3009</v>
      </c>
      <c r="G1358" s="98" t="str">
        <f>HYPERLINK("http://mirror.ff7data.com.ar/ff7/data/battle/battle.lgp/ctax.png","View Picture")</f>
        <v>View Picture</v>
      </c>
      <c r="H1358" s="75"/>
      <c r="I1358" s="74"/>
      <c r="J1358" s="74"/>
      <c r="K1358" s="74"/>
    </row>
    <row r="1359">
      <c r="A1359" s="84"/>
      <c r="B1359" s="119" t="s">
        <v>14923</v>
      </c>
      <c r="C1359" s="120" t="s">
        <v>3637</v>
      </c>
      <c r="D1359" s="33" t="s">
        <v>14880</v>
      </c>
      <c r="E1359" s="51" t="s">
        <v>338</v>
      </c>
      <c r="F1359" s="121" t="s">
        <v>3009</v>
      </c>
      <c r="G1359" s="98" t="str">
        <f>HYPERLINK("http://mirror.ff7data.com.ar/ff7/data/battle/battle.lgp/ctay.png","View Picture")</f>
        <v>View Picture</v>
      </c>
      <c r="H1359" s="75"/>
      <c r="I1359" s="74"/>
      <c r="J1359" s="74"/>
      <c r="K1359" s="74"/>
    </row>
    <row r="1360">
      <c r="A1360" s="84"/>
      <c r="B1360" s="119" t="s">
        <v>14927</v>
      </c>
      <c r="C1360" s="120" t="s">
        <v>3343</v>
      </c>
      <c r="D1360" s="33" t="s">
        <v>14880</v>
      </c>
      <c r="E1360" s="51" t="s">
        <v>338</v>
      </c>
      <c r="F1360" s="121" t="s">
        <v>3009</v>
      </c>
      <c r="G1360" s="98" t="str">
        <f>HYPERLINK("http://mirror.ff7data.com.ar/ff7/data/battle/battle.lgp/ctaz.png","View Picture")</f>
        <v>View Picture</v>
      </c>
      <c r="H1360" s="75"/>
      <c r="I1360" s="74"/>
      <c r="J1360" s="74"/>
      <c r="K1360" s="74"/>
    </row>
    <row r="1361">
      <c r="A1361" s="84"/>
      <c r="B1361" s="119" t="s">
        <v>14934</v>
      </c>
      <c r="C1361" s="120" t="s">
        <v>4252</v>
      </c>
      <c r="D1361" s="33" t="s">
        <v>14880</v>
      </c>
      <c r="E1361" s="51" t="s">
        <v>338</v>
      </c>
      <c r="F1361" s="121" t="s">
        <v>3009</v>
      </c>
      <c r="G1361" s="98" t="str">
        <f>HYPERLINK("http://mirror.ff7data.com.ar/ff7/data/battle/battle.lgp/ctba.png","View Picture")</f>
        <v>View Picture</v>
      </c>
      <c r="H1361" s="75"/>
      <c r="I1361" s="74"/>
      <c r="J1361" s="74"/>
      <c r="K1361" s="74"/>
    </row>
    <row r="1362">
      <c r="A1362" s="84"/>
      <c r="B1362" s="119" t="s">
        <v>14943</v>
      </c>
      <c r="C1362" s="120" t="s">
        <v>10195</v>
      </c>
      <c r="D1362" s="33" t="s">
        <v>14880</v>
      </c>
      <c r="E1362" s="51" t="s">
        <v>338</v>
      </c>
      <c r="F1362" s="121" t="s">
        <v>3009</v>
      </c>
      <c r="G1362" s="98" t="str">
        <f>HYPERLINK("http://mirror.ff7data.com.ar/ff7/data/battle/battle.lgp/ctbb.png","View Picture")</f>
        <v>View Picture</v>
      </c>
      <c r="H1362" s="75"/>
      <c r="I1362" s="74"/>
      <c r="J1362" s="74"/>
      <c r="K1362" s="74"/>
    </row>
    <row r="1363">
      <c r="A1363" s="84"/>
      <c r="B1363" s="119" t="s">
        <v>14951</v>
      </c>
      <c r="C1363" s="120" t="s">
        <v>4707</v>
      </c>
      <c r="D1363" s="33" t="s">
        <v>14880</v>
      </c>
      <c r="E1363" s="51" t="s">
        <v>338</v>
      </c>
      <c r="F1363" s="121" t="s">
        <v>3009</v>
      </c>
      <c r="G1363" s="98" t="str">
        <f>HYPERLINK("http://mirror.ff7data.com.ar/ff7/data/battle/battle.lgp/ctbd.png","View Picture")</f>
        <v>View Picture</v>
      </c>
      <c r="H1363" s="75"/>
      <c r="I1363" s="74"/>
      <c r="J1363" s="74"/>
      <c r="K1363" s="74"/>
    </row>
    <row r="1364">
      <c r="A1364" s="84"/>
      <c r="B1364" s="119" t="s">
        <v>14958</v>
      </c>
      <c r="C1364" s="120" t="s">
        <v>5904</v>
      </c>
      <c r="D1364" s="33" t="s">
        <v>14880</v>
      </c>
      <c r="E1364" s="51" t="s">
        <v>338</v>
      </c>
      <c r="F1364" s="121" t="s">
        <v>3009</v>
      </c>
      <c r="G1364" s="98" t="str">
        <f>HYPERLINK("http://mirror.ff7data.com.ar/ff7/data/battle/battle.lgp/ctbe.png","View Picture")</f>
        <v>View Picture</v>
      </c>
      <c r="H1364" s="75"/>
      <c r="I1364" s="74"/>
      <c r="J1364" s="74"/>
      <c r="K1364" s="74"/>
    </row>
    <row r="1365">
      <c r="A1365" s="84"/>
      <c r="B1365" s="119" t="s">
        <v>14966</v>
      </c>
      <c r="C1365" s="120" t="s">
        <v>3343</v>
      </c>
      <c r="D1365" s="33" t="s">
        <v>14880</v>
      </c>
      <c r="E1365" s="51" t="s">
        <v>338</v>
      </c>
      <c r="F1365" s="121" t="s">
        <v>3009</v>
      </c>
      <c r="G1365" s="98" t="str">
        <f>HYPERLINK("http://mirror.ff7data.com.ar/ff7/data/battle/battle.lgp/ctbf.png","View Picture")</f>
        <v>View Picture</v>
      </c>
      <c r="H1365" s="75"/>
      <c r="I1365" s="74"/>
      <c r="J1365" s="74"/>
      <c r="K1365" s="74"/>
    </row>
    <row r="1366">
      <c r="A1366" s="84"/>
      <c r="B1366" s="119" t="s">
        <v>14972</v>
      </c>
      <c r="C1366" s="120" t="s">
        <v>4252</v>
      </c>
      <c r="D1366" s="33" t="s">
        <v>14880</v>
      </c>
      <c r="E1366" s="51" t="s">
        <v>338</v>
      </c>
      <c r="F1366" s="121" t="s">
        <v>3009</v>
      </c>
      <c r="G1366" s="98" t="str">
        <f>HYPERLINK("http://mirror.ff7data.com.ar/ff7/data/battle/battle.lgp/ctbg.png","View Picture")</f>
        <v>View Picture</v>
      </c>
      <c r="H1366" s="75"/>
      <c r="I1366" s="74"/>
      <c r="J1366" s="74"/>
      <c r="K1366" s="74"/>
    </row>
    <row r="1367">
      <c r="A1367" s="84"/>
      <c r="B1367" s="119" t="s">
        <v>14979</v>
      </c>
      <c r="C1367" s="120" t="s">
        <v>14980</v>
      </c>
      <c r="D1367" s="33" t="s">
        <v>14880</v>
      </c>
      <c r="E1367" s="51" t="s">
        <v>338</v>
      </c>
      <c r="F1367" s="121" t="s">
        <v>3009</v>
      </c>
      <c r="G1367" s="98" t="str">
        <f>HYPERLINK("http://mirror.ff7data.com.ar/ff7/data/battle/battle.lgp/ctbh.png","View Picture")</f>
        <v>View Picture</v>
      </c>
      <c r="H1367" s="75"/>
      <c r="I1367" s="74"/>
      <c r="J1367" s="74"/>
      <c r="K1367" s="74"/>
    </row>
    <row r="1368">
      <c r="A1368" s="84"/>
      <c r="B1368" s="119" t="s">
        <v>14986</v>
      </c>
      <c r="C1368" s="120" t="s">
        <v>5904</v>
      </c>
      <c r="D1368" s="33" t="s">
        <v>14880</v>
      </c>
      <c r="E1368" s="51" t="s">
        <v>338</v>
      </c>
      <c r="F1368" s="121" t="s">
        <v>3009</v>
      </c>
      <c r="G1368" s="98" t="str">
        <f>HYPERLINK("http://mirror.ff7data.com.ar/ff7/data/battle/battle.lgp/ctbi.png","View Picture")</f>
        <v>View Picture</v>
      </c>
      <c r="H1368" s="75"/>
      <c r="I1368" s="74"/>
      <c r="J1368" s="74"/>
      <c r="K1368" s="74"/>
    </row>
    <row r="1369">
      <c r="A1369" s="84"/>
      <c r="B1369" s="119" t="s">
        <v>14994</v>
      </c>
      <c r="C1369" s="120" t="s">
        <v>4719</v>
      </c>
      <c r="D1369" s="33" t="s">
        <v>14880</v>
      </c>
      <c r="E1369" s="51" t="s">
        <v>338</v>
      </c>
      <c r="F1369" s="121" t="s">
        <v>3009</v>
      </c>
      <c r="G1369" s="98" t="str">
        <f>HYPERLINK("http://mirror.ff7data.com.ar/ff7/data/battle/battle.lgp/ctbk.png","View Picture")</f>
        <v>View Picture</v>
      </c>
      <c r="H1369" s="75"/>
      <c r="I1369" s="74"/>
      <c r="J1369" s="74"/>
      <c r="K1369" s="74"/>
    </row>
    <row r="1370">
      <c r="A1370" s="84"/>
      <c r="B1370" s="119" t="s">
        <v>15003</v>
      </c>
      <c r="C1370" s="120" t="s">
        <v>3875</v>
      </c>
      <c r="D1370" s="33" t="s">
        <v>14880</v>
      </c>
      <c r="E1370" s="51" t="s">
        <v>338</v>
      </c>
      <c r="F1370" s="121" t="s">
        <v>3009</v>
      </c>
      <c r="G1370" s="98" t="str">
        <f>HYPERLINK("http://mirror.ff7data.com.ar/ff7/data/battle/battle.lgp/ctbl.png","View Picture")</f>
        <v>View Picture</v>
      </c>
      <c r="H1370" s="75"/>
      <c r="I1370" s="74"/>
      <c r="J1370" s="74"/>
      <c r="K1370" s="74"/>
    </row>
    <row r="1371">
      <c r="A1371" s="84"/>
      <c r="B1371" s="119" t="s">
        <v>15012</v>
      </c>
      <c r="C1371" s="120" t="s">
        <v>4719</v>
      </c>
      <c r="D1371" s="33" t="s">
        <v>14880</v>
      </c>
      <c r="E1371" s="51" t="s">
        <v>338</v>
      </c>
      <c r="F1371" s="121" t="s">
        <v>3009</v>
      </c>
      <c r="G1371" s="98" t="str">
        <f>HYPERLINK("http://mirror.ff7data.com.ar/ff7/data/battle/battle.lgp/ctbn.png","View Picture")</f>
        <v>View Picture</v>
      </c>
      <c r="H1371" s="75"/>
      <c r="I1371" s="74"/>
      <c r="J1371" s="74"/>
      <c r="K1371" s="74"/>
    </row>
    <row r="1372">
      <c r="A1372" s="84"/>
      <c r="B1372" s="119" t="s">
        <v>15022</v>
      </c>
      <c r="C1372" s="120" t="s">
        <v>4288</v>
      </c>
      <c r="D1372" s="33" t="s">
        <v>14880</v>
      </c>
      <c r="E1372" s="51" t="s">
        <v>338</v>
      </c>
      <c r="F1372" s="121" t="s">
        <v>3009</v>
      </c>
      <c r="G1372" s="98" t="str">
        <f>HYPERLINK("http://mirror.ff7data.com.ar/ff7/data/battle/battle.lgp/ctbo.png","View Picture")</f>
        <v>View Picture</v>
      </c>
      <c r="H1372" s="75"/>
      <c r="I1372" s="74"/>
      <c r="J1372" s="74"/>
      <c r="K1372" s="74"/>
    </row>
    <row r="1373">
      <c r="A1373" s="84"/>
      <c r="B1373" s="119" t="s">
        <v>15030</v>
      </c>
      <c r="C1373" s="120" t="s">
        <v>3853</v>
      </c>
      <c r="D1373" s="33" t="s">
        <v>14880</v>
      </c>
      <c r="E1373" s="51" t="s">
        <v>338</v>
      </c>
      <c r="F1373" s="121" t="s">
        <v>3009</v>
      </c>
      <c r="G1373" s="98" t="str">
        <f>HYPERLINK("http://mirror.ff7data.com.ar/ff7/data/battle/battle.lgp/ctbp.png","View Picture")</f>
        <v>View Picture</v>
      </c>
      <c r="H1373" s="75"/>
      <c r="I1373" s="74"/>
      <c r="J1373" s="74"/>
      <c r="K1373" s="74"/>
    </row>
    <row r="1374">
      <c r="A1374" s="84"/>
      <c r="B1374" s="119" t="s">
        <v>15038</v>
      </c>
      <c r="C1374" s="120" t="s">
        <v>4719</v>
      </c>
      <c r="D1374" s="33" t="s">
        <v>14880</v>
      </c>
      <c r="E1374" s="51" t="s">
        <v>338</v>
      </c>
      <c r="F1374" s="121" t="s">
        <v>3009</v>
      </c>
      <c r="G1374" s="98" t="str">
        <f>HYPERLINK("http://mirror.ff7data.com.ar/ff7/data/battle/battle.lgp/ctbr.png","View Picture")</f>
        <v>View Picture</v>
      </c>
      <c r="H1374" s="75"/>
      <c r="I1374" s="74"/>
      <c r="J1374" s="74"/>
      <c r="K1374" s="74"/>
    </row>
    <row r="1375">
      <c r="A1375" s="84"/>
      <c r="B1375" s="119" t="s">
        <v>15048</v>
      </c>
      <c r="C1375" s="120" t="s">
        <v>4288</v>
      </c>
      <c r="D1375" s="33" t="s">
        <v>14880</v>
      </c>
      <c r="E1375" s="51" t="s">
        <v>338</v>
      </c>
      <c r="F1375" s="121" t="s">
        <v>3009</v>
      </c>
      <c r="G1375" s="98" t="str">
        <f>HYPERLINK("http://mirror.ff7data.com.ar/ff7/data/battle/battle.lgp/ctbs.png","View Picture")</f>
        <v>View Picture</v>
      </c>
      <c r="H1375" s="75"/>
      <c r="I1375" s="74"/>
      <c r="J1375" s="74"/>
      <c r="K1375" s="74"/>
    </row>
    <row r="1376">
      <c r="A1376" s="84"/>
      <c r="B1376" s="119" t="s">
        <v>15057</v>
      </c>
      <c r="C1376" s="120" t="s">
        <v>13619</v>
      </c>
      <c r="D1376" s="33" t="s">
        <v>14880</v>
      </c>
      <c r="E1376" s="51" t="s">
        <v>338</v>
      </c>
      <c r="F1376" s="121" t="s">
        <v>3009</v>
      </c>
      <c r="G1376" s="98" t="str">
        <f>HYPERLINK("http://mirror.ff7data.com.ar/ff7/data/battle/battle.lgp/ctbt.png","View Picture")</f>
        <v>View Picture</v>
      </c>
      <c r="H1376" s="75"/>
      <c r="I1376" s="74"/>
      <c r="J1376" s="74"/>
      <c r="K1376" s="74"/>
    </row>
    <row r="1377">
      <c r="A1377" s="84"/>
      <c r="B1377" s="119" t="s">
        <v>15068</v>
      </c>
      <c r="C1377" s="120" t="s">
        <v>4719</v>
      </c>
      <c r="D1377" s="33" t="s">
        <v>14880</v>
      </c>
      <c r="E1377" s="51" t="s">
        <v>338</v>
      </c>
      <c r="F1377" s="121" t="s">
        <v>3009</v>
      </c>
      <c r="G1377" s="98" t="str">
        <f>HYPERLINK("http://mirror.ff7data.com.ar/ff7/data/battle/battle.lgp/ctbv.png","View Picture")</f>
        <v>View Picture</v>
      </c>
      <c r="H1377" s="75"/>
      <c r="I1377" s="74"/>
      <c r="J1377" s="74"/>
      <c r="K1377" s="74"/>
    </row>
    <row r="1378">
      <c r="A1378" s="84"/>
      <c r="B1378" s="119" t="s">
        <v>15073</v>
      </c>
      <c r="C1378" s="120" t="s">
        <v>3875</v>
      </c>
      <c r="D1378" s="33" t="s">
        <v>14880</v>
      </c>
      <c r="E1378" s="51" t="s">
        <v>338</v>
      </c>
      <c r="F1378" s="121" t="s">
        <v>3009</v>
      </c>
      <c r="G1378" s="98" t="str">
        <f>HYPERLINK("http://mirror.ff7data.com.ar/ff7/data/battle/battle.lgp/ctbw.png","View Picture")</f>
        <v>View Picture</v>
      </c>
      <c r="H1378" s="75"/>
      <c r="I1378" s="74"/>
      <c r="J1378" s="74"/>
      <c r="K1378" s="74"/>
    </row>
    <row r="1379">
      <c r="A1379" s="84"/>
      <c r="B1379" s="119" t="s">
        <v>15082</v>
      </c>
      <c r="C1379" s="120" t="s">
        <v>4719</v>
      </c>
      <c r="D1379" s="33" t="s">
        <v>14880</v>
      </c>
      <c r="E1379" s="51" t="s">
        <v>338</v>
      </c>
      <c r="F1379" s="121" t="s">
        <v>3009</v>
      </c>
      <c r="G1379" s="98" t="str">
        <f>HYPERLINK("http://mirror.ff7data.com.ar/ff7/data/battle/battle.lgp/ctby.png","View Picture")</f>
        <v>View Picture</v>
      </c>
      <c r="H1379" s="75"/>
      <c r="I1379" s="74"/>
      <c r="J1379" s="74"/>
      <c r="K1379" s="74"/>
    </row>
    <row r="1380">
      <c r="A1380" s="84"/>
      <c r="B1380" s="119" t="s">
        <v>15090</v>
      </c>
      <c r="C1380" s="120" t="s">
        <v>4288</v>
      </c>
      <c r="D1380" s="33" t="s">
        <v>14880</v>
      </c>
      <c r="E1380" s="51" t="s">
        <v>338</v>
      </c>
      <c r="F1380" s="121" t="s">
        <v>3009</v>
      </c>
      <c r="G1380" s="98" t="str">
        <f>HYPERLINK("http://mirror.ff7data.com.ar/ff7/data/battle/battle.lgp/ctbz.png","View Picture")</f>
        <v>View Picture</v>
      </c>
      <c r="H1380" s="75"/>
      <c r="I1380" s="74"/>
      <c r="J1380" s="74"/>
      <c r="K1380" s="74"/>
    </row>
    <row r="1381">
      <c r="A1381" s="84"/>
      <c r="B1381" s="119" t="s">
        <v>15100</v>
      </c>
      <c r="C1381" s="120" t="s">
        <v>3875</v>
      </c>
      <c r="D1381" s="33" t="s">
        <v>14880</v>
      </c>
      <c r="E1381" s="51" t="s">
        <v>338</v>
      </c>
      <c r="F1381" s="121" t="s">
        <v>3009</v>
      </c>
      <c r="G1381" s="98" t="str">
        <f>HYPERLINK("http://mirror.ff7data.com.ar/ff7/data/battle/battle.lgp/ctca.png","View Picture")</f>
        <v>View Picture</v>
      </c>
      <c r="H1381" s="75"/>
      <c r="I1381" s="74"/>
      <c r="J1381" s="74"/>
      <c r="K1381" s="74"/>
    </row>
    <row r="1382">
      <c r="A1382" s="84"/>
      <c r="B1382" s="119" t="s">
        <v>15111</v>
      </c>
      <c r="C1382" s="120" t="s">
        <v>4719</v>
      </c>
      <c r="D1382" s="33" t="s">
        <v>14880</v>
      </c>
      <c r="E1382" s="51" t="s">
        <v>338</v>
      </c>
      <c r="F1382" s="121" t="s">
        <v>3009</v>
      </c>
      <c r="G1382" s="98" t="str">
        <f>HYPERLINK("http://mirror.ff7data.com.ar/ff7/data/battle/battle.lgp/ctcc.png","View Picture")</f>
        <v>View Picture</v>
      </c>
      <c r="H1382" s="75"/>
      <c r="I1382" s="74"/>
      <c r="J1382" s="74"/>
      <c r="K1382" s="74"/>
    </row>
    <row r="1383">
      <c r="A1383" s="84"/>
      <c r="B1383" s="119" t="s">
        <v>15119</v>
      </c>
      <c r="C1383" s="120" t="s">
        <v>4288</v>
      </c>
      <c r="D1383" s="33" t="s">
        <v>14880</v>
      </c>
      <c r="E1383" s="51" t="s">
        <v>338</v>
      </c>
      <c r="F1383" s="121" t="s">
        <v>3009</v>
      </c>
      <c r="G1383" s="98" t="str">
        <f>HYPERLINK("http://mirror.ff7data.com.ar/ff7/data/battle/battle.lgp/ctcd.png","View Picture")</f>
        <v>View Picture</v>
      </c>
      <c r="H1383" s="75"/>
      <c r="I1383" s="74"/>
      <c r="J1383" s="74"/>
      <c r="K1383" s="74"/>
    </row>
    <row r="1384">
      <c r="A1384" s="84"/>
      <c r="B1384" s="119" t="s">
        <v>15125</v>
      </c>
      <c r="C1384" s="120" t="s">
        <v>3875</v>
      </c>
      <c r="D1384" s="33" t="s">
        <v>14880</v>
      </c>
      <c r="E1384" s="51" t="s">
        <v>338</v>
      </c>
      <c r="F1384" s="121" t="s">
        <v>3009</v>
      </c>
      <c r="G1384" s="98" t="str">
        <f>HYPERLINK("http://mirror.ff7data.com.ar/ff7/data/battle/battle.lgp/ctce.png","View Picture")</f>
        <v>View Picture</v>
      </c>
      <c r="H1384" s="75"/>
      <c r="I1384" s="74"/>
      <c r="J1384" s="74"/>
      <c r="K1384" s="74"/>
    </row>
    <row r="1385">
      <c r="A1385" s="84"/>
      <c r="B1385" s="119" t="s">
        <v>15134</v>
      </c>
      <c r="C1385" s="120" t="s">
        <v>15135</v>
      </c>
      <c r="D1385" s="33" t="s">
        <v>14880</v>
      </c>
      <c r="E1385" s="51" t="s">
        <v>338</v>
      </c>
      <c r="F1385" s="121" t="s">
        <v>3025</v>
      </c>
      <c r="G1385" s="122"/>
      <c r="H1385" s="46" t="s">
        <v>3002</v>
      </c>
      <c r="I1385" s="74"/>
      <c r="J1385" s="74"/>
      <c r="K1385" s="74"/>
    </row>
    <row r="1386">
      <c r="A1386" s="84"/>
      <c r="B1386" s="119" t="s">
        <v>15138</v>
      </c>
      <c r="C1386" s="120" t="s">
        <v>15139</v>
      </c>
      <c r="D1386" s="33" t="s">
        <v>15141</v>
      </c>
      <c r="E1386" s="51" t="s">
        <v>341</v>
      </c>
      <c r="F1386" s="121" t="s">
        <v>2971</v>
      </c>
      <c r="G1386" s="98" t="str">
        <f>HYPERLINK("http://mirror.ff7data.com.ar/ff7/data/battle/battle.lgp/cuaa.png","View Picture")</f>
        <v>View Picture</v>
      </c>
      <c r="H1386" s="75"/>
      <c r="I1386" s="74"/>
      <c r="J1386" s="74"/>
      <c r="K1386" s="74"/>
    </row>
    <row r="1387">
      <c r="A1387" s="84"/>
      <c r="B1387" s="119" t="s">
        <v>15147</v>
      </c>
      <c r="C1387" s="120" t="s">
        <v>9790</v>
      </c>
      <c r="D1387" s="33" t="s">
        <v>15148</v>
      </c>
      <c r="E1387" s="51" t="s">
        <v>341</v>
      </c>
      <c r="F1387" s="121" t="s">
        <v>2993</v>
      </c>
      <c r="G1387" s="122"/>
      <c r="H1387" s="46" t="s">
        <v>3002</v>
      </c>
      <c r="I1387" s="74"/>
      <c r="J1387" s="74"/>
      <c r="K1387" s="74"/>
    </row>
    <row r="1388">
      <c r="A1388" s="84"/>
      <c r="B1388" s="119" t="s">
        <v>15150</v>
      </c>
      <c r="C1388" s="120" t="s">
        <v>15152</v>
      </c>
      <c r="D1388" s="33" t="s">
        <v>15148</v>
      </c>
      <c r="E1388" s="51" t="s">
        <v>341</v>
      </c>
      <c r="F1388" s="121" t="s">
        <v>3009</v>
      </c>
      <c r="G1388" s="98" t="str">
        <f>HYPERLINK("http://mirror.ff7data.com.ar/ff7/data/battle/battle.lgp/cuam.png","View Picture")</f>
        <v>View Picture</v>
      </c>
      <c r="H1388" s="75"/>
      <c r="I1388" s="74"/>
      <c r="J1388" s="74"/>
      <c r="K1388" s="74"/>
    </row>
    <row r="1389">
      <c r="A1389" s="84"/>
      <c r="B1389" s="119" t="s">
        <v>15159</v>
      </c>
      <c r="C1389" s="120" t="s">
        <v>14502</v>
      </c>
      <c r="D1389" s="33" t="s">
        <v>15148</v>
      </c>
      <c r="E1389" s="51" t="s">
        <v>341</v>
      </c>
      <c r="F1389" s="121" t="s">
        <v>3009</v>
      </c>
      <c r="G1389" s="98" t="str">
        <f>HYPERLINK("http://mirror.ff7data.com.ar/ff7/data/battle/battle.lgp/cuao.png","View Picture")</f>
        <v>View Picture</v>
      </c>
      <c r="H1389" s="75"/>
      <c r="I1389" s="74"/>
      <c r="J1389" s="74"/>
      <c r="K1389" s="74"/>
    </row>
    <row r="1390">
      <c r="A1390" s="84"/>
      <c r="B1390" s="119" t="s">
        <v>15171</v>
      </c>
      <c r="C1390" s="120" t="s">
        <v>7301</v>
      </c>
      <c r="D1390" s="33" t="s">
        <v>15148</v>
      </c>
      <c r="E1390" s="51" t="s">
        <v>341</v>
      </c>
      <c r="F1390" s="121" t="s">
        <v>3009</v>
      </c>
      <c r="G1390" s="98" t="str">
        <f>HYPERLINK("http://mirror.ff7data.com.ar/ff7/data/battle/battle.lgp/cuaq.png","View Picture")</f>
        <v>View Picture</v>
      </c>
      <c r="H1390" s="75"/>
      <c r="I1390" s="74"/>
      <c r="J1390" s="74"/>
      <c r="K1390" s="74"/>
    </row>
    <row r="1391">
      <c r="A1391" s="84"/>
      <c r="B1391" s="119" t="s">
        <v>15184</v>
      </c>
      <c r="C1391" s="120" t="s">
        <v>5419</v>
      </c>
      <c r="D1391" s="33" t="s">
        <v>15148</v>
      </c>
      <c r="E1391" s="51" t="s">
        <v>341</v>
      </c>
      <c r="F1391" s="121" t="s">
        <v>3009</v>
      </c>
      <c r="G1391" s="98" t="str">
        <f>HYPERLINK("http://mirror.ff7data.com.ar/ff7/data/battle/battle.lgp/cuav.png","View Picture")</f>
        <v>View Picture</v>
      </c>
      <c r="H1391" s="75"/>
      <c r="I1391" s="74"/>
      <c r="J1391" s="74"/>
      <c r="K1391" s="74"/>
    </row>
    <row r="1392">
      <c r="A1392" s="84"/>
      <c r="B1392" s="119" t="s">
        <v>15193</v>
      </c>
      <c r="C1392" s="120" t="s">
        <v>5891</v>
      </c>
      <c r="D1392" s="33" t="s">
        <v>15148</v>
      </c>
      <c r="E1392" s="51" t="s">
        <v>341</v>
      </c>
      <c r="F1392" s="121" t="s">
        <v>3009</v>
      </c>
      <c r="G1392" s="98" t="str">
        <f>HYPERLINK("http://mirror.ff7data.com.ar/ff7/data/battle/battle.lgp/cuaw.png","View Picture")</f>
        <v>View Picture</v>
      </c>
      <c r="H1392" s="75"/>
      <c r="I1392" s="74"/>
      <c r="J1392" s="74"/>
      <c r="K1392" s="74"/>
    </row>
    <row r="1393">
      <c r="A1393" s="84"/>
      <c r="B1393" s="119" t="s">
        <v>15200</v>
      </c>
      <c r="C1393" s="120" t="s">
        <v>4439</v>
      </c>
      <c r="D1393" s="33" t="s">
        <v>15148</v>
      </c>
      <c r="E1393" s="51" t="s">
        <v>341</v>
      </c>
      <c r="F1393" s="121" t="s">
        <v>3009</v>
      </c>
      <c r="G1393" s="98" t="str">
        <f>HYPERLINK("http://mirror.ff7data.com.ar/ff7/data/battle/battle.lgp/cuax.png","View Picture")</f>
        <v>View Picture</v>
      </c>
      <c r="H1393" s="75"/>
      <c r="I1393" s="74"/>
      <c r="J1393" s="74"/>
      <c r="K1393" s="74"/>
    </row>
    <row r="1394">
      <c r="A1394" s="84"/>
      <c r="B1394" s="119" t="s">
        <v>15209</v>
      </c>
      <c r="C1394" s="120" t="s">
        <v>4396</v>
      </c>
      <c r="D1394" s="33" t="s">
        <v>15148</v>
      </c>
      <c r="E1394" s="51" t="s">
        <v>341</v>
      </c>
      <c r="F1394" s="121" t="s">
        <v>3009</v>
      </c>
      <c r="G1394" s="98" t="str">
        <f>HYPERLINK("http://mirror.ff7data.com.ar/ff7/data/battle/battle.lgp/cuay.png","View Picture")</f>
        <v>View Picture</v>
      </c>
      <c r="H1394" s="75"/>
      <c r="I1394" s="74"/>
      <c r="J1394" s="74"/>
      <c r="K1394" s="74"/>
    </row>
    <row r="1395">
      <c r="A1395" s="84"/>
      <c r="B1395" s="119" t="s">
        <v>15217</v>
      </c>
      <c r="C1395" s="120" t="s">
        <v>3519</v>
      </c>
      <c r="D1395" s="33" t="s">
        <v>15148</v>
      </c>
      <c r="E1395" s="51" t="s">
        <v>341</v>
      </c>
      <c r="F1395" s="121" t="s">
        <v>3009</v>
      </c>
      <c r="G1395" s="98" t="str">
        <f>HYPERLINK("http://mirror.ff7data.com.ar/ff7/data/battle/battle.lgp/cuba.png","View Picture")</f>
        <v>View Picture</v>
      </c>
      <c r="H1395" s="75"/>
      <c r="I1395" s="74"/>
      <c r="J1395" s="74"/>
      <c r="K1395" s="74"/>
    </row>
    <row r="1396">
      <c r="A1396" s="84"/>
      <c r="B1396" s="119" t="s">
        <v>15227</v>
      </c>
      <c r="C1396" s="120" t="s">
        <v>5419</v>
      </c>
      <c r="D1396" s="33" t="s">
        <v>15148</v>
      </c>
      <c r="E1396" s="51" t="s">
        <v>341</v>
      </c>
      <c r="F1396" s="121" t="s">
        <v>3009</v>
      </c>
      <c r="G1396" s="98" t="str">
        <f>HYPERLINK("http://mirror.ff7data.com.ar/ff7/data/battle/battle.lgp/cubc.png","View Picture")</f>
        <v>View Picture</v>
      </c>
      <c r="H1396" s="75"/>
      <c r="I1396" s="74"/>
      <c r="J1396" s="74"/>
      <c r="K1396" s="74"/>
    </row>
    <row r="1397">
      <c r="A1397" s="84"/>
      <c r="B1397" s="119" t="s">
        <v>15242</v>
      </c>
      <c r="C1397" s="120" t="s">
        <v>5891</v>
      </c>
      <c r="D1397" s="33" t="s">
        <v>15148</v>
      </c>
      <c r="E1397" s="51" t="s">
        <v>341</v>
      </c>
      <c r="F1397" s="121" t="s">
        <v>3009</v>
      </c>
      <c r="G1397" s="98" t="str">
        <f>HYPERLINK("http://mirror.ff7data.com.ar/ff7/data/battle/battle.lgp/cubd.png","View Picture")</f>
        <v>View Picture</v>
      </c>
      <c r="H1397" s="75"/>
      <c r="I1397" s="74"/>
      <c r="J1397" s="74"/>
      <c r="K1397" s="74"/>
    </row>
    <row r="1398">
      <c r="A1398" s="84"/>
      <c r="B1398" s="119" t="s">
        <v>15259</v>
      </c>
      <c r="C1398" s="120" t="s">
        <v>4439</v>
      </c>
      <c r="D1398" s="33" t="s">
        <v>15148</v>
      </c>
      <c r="E1398" s="51" t="s">
        <v>341</v>
      </c>
      <c r="F1398" s="121" t="s">
        <v>3009</v>
      </c>
      <c r="G1398" s="98" t="str">
        <f>HYPERLINK("http://mirror.ff7data.com.ar/ff7/data/battle/battle.lgp/cube.png","View Picture")</f>
        <v>View Picture</v>
      </c>
      <c r="H1398" s="75"/>
      <c r="I1398" s="74"/>
      <c r="J1398" s="74"/>
      <c r="K1398" s="74"/>
    </row>
    <row r="1399">
      <c r="A1399" s="84"/>
      <c r="B1399" s="119" t="s">
        <v>15272</v>
      </c>
      <c r="C1399" s="120" t="s">
        <v>4396</v>
      </c>
      <c r="D1399" s="33" t="s">
        <v>15148</v>
      </c>
      <c r="E1399" s="51" t="s">
        <v>341</v>
      </c>
      <c r="F1399" s="121" t="s">
        <v>3009</v>
      </c>
      <c r="G1399" s="98" t="str">
        <f>HYPERLINK("http://mirror.ff7data.com.ar/ff7/data/battle/battle.lgp/cubf.png","View Picture")</f>
        <v>View Picture</v>
      </c>
      <c r="H1399" s="75"/>
      <c r="I1399" s="74"/>
      <c r="J1399" s="74"/>
      <c r="K1399" s="74"/>
    </row>
    <row r="1400">
      <c r="A1400" s="84"/>
      <c r="B1400" s="119" t="s">
        <v>15281</v>
      </c>
      <c r="C1400" s="120" t="s">
        <v>3370</v>
      </c>
      <c r="D1400" s="33" t="s">
        <v>15148</v>
      </c>
      <c r="E1400" s="51" t="s">
        <v>341</v>
      </c>
      <c r="F1400" s="121" t="s">
        <v>3009</v>
      </c>
      <c r="G1400" s="98" t="str">
        <f>HYPERLINK("http://mirror.ff7data.com.ar/ff7/data/battle/battle.lgp/cubi.png","View Picture")</f>
        <v>View Picture</v>
      </c>
      <c r="H1400" s="75"/>
      <c r="I1400" s="74"/>
      <c r="J1400" s="74"/>
      <c r="K1400" s="74"/>
    </row>
    <row r="1401">
      <c r="A1401" s="84"/>
      <c r="B1401" s="119" t="s">
        <v>15288</v>
      </c>
      <c r="C1401" s="120" t="s">
        <v>3723</v>
      </c>
      <c r="D1401" s="33" t="s">
        <v>15148</v>
      </c>
      <c r="E1401" s="51" t="s">
        <v>341</v>
      </c>
      <c r="F1401" s="121" t="s">
        <v>3025</v>
      </c>
      <c r="G1401" s="122"/>
      <c r="H1401" s="46" t="s">
        <v>3002</v>
      </c>
      <c r="I1401" s="74"/>
      <c r="J1401" s="74"/>
      <c r="K1401" s="74"/>
    </row>
    <row r="1402">
      <c r="A1402" s="84"/>
      <c r="B1402" s="119" t="s">
        <v>15292</v>
      </c>
      <c r="C1402" s="120" t="s">
        <v>4456</v>
      </c>
      <c r="D1402" s="33" t="s">
        <v>15294</v>
      </c>
      <c r="E1402" s="51" t="s">
        <v>344</v>
      </c>
      <c r="F1402" s="121" t="s">
        <v>2971</v>
      </c>
      <c r="G1402" s="98" t="str">
        <f>HYPERLINK("http://mirror.ff7data.com.ar/ff7/data/battle/battle.lgp/cvaa.png","View Picture")</f>
        <v>View Picture</v>
      </c>
      <c r="H1402" s="46" t="s">
        <v>15305</v>
      </c>
      <c r="I1402" s="74"/>
      <c r="J1402" s="74"/>
      <c r="K1402" s="74"/>
    </row>
    <row r="1403">
      <c r="A1403" s="84"/>
      <c r="B1403" s="119" t="s">
        <v>15307</v>
      </c>
      <c r="C1403" s="120" t="s">
        <v>9790</v>
      </c>
      <c r="D1403" s="33" t="s">
        <v>15309</v>
      </c>
      <c r="E1403" s="51" t="s">
        <v>344</v>
      </c>
      <c r="F1403" s="121" t="s">
        <v>2993</v>
      </c>
      <c r="G1403" s="122"/>
      <c r="H1403" s="46" t="s">
        <v>3002</v>
      </c>
      <c r="I1403" s="74"/>
      <c r="J1403" s="74"/>
      <c r="K1403" s="74"/>
    </row>
    <row r="1404">
      <c r="A1404" s="84"/>
      <c r="B1404" s="119" t="s">
        <v>15313</v>
      </c>
      <c r="C1404" s="120" t="s">
        <v>5730</v>
      </c>
      <c r="D1404" s="33" t="s">
        <v>15309</v>
      </c>
      <c r="E1404" s="51" t="s">
        <v>344</v>
      </c>
      <c r="F1404" s="121" t="s">
        <v>3009</v>
      </c>
      <c r="G1404" s="98" t="str">
        <f>HYPERLINK("http://mirror.ff7data.com.ar/ff7/data/battle/battle.lgp/cvam.png","View Picture")</f>
        <v>View Picture</v>
      </c>
      <c r="H1404" s="75"/>
      <c r="I1404" s="74"/>
      <c r="J1404" s="74"/>
      <c r="K1404" s="74"/>
    </row>
    <row r="1405">
      <c r="A1405" s="84"/>
      <c r="B1405" s="119" t="s">
        <v>15324</v>
      </c>
      <c r="C1405" s="120" t="s">
        <v>4264</v>
      </c>
      <c r="D1405" s="33" t="s">
        <v>15309</v>
      </c>
      <c r="E1405" s="51" t="s">
        <v>344</v>
      </c>
      <c r="F1405" s="121" t="s">
        <v>3009</v>
      </c>
      <c r="G1405" s="98" t="str">
        <f>HYPERLINK("http://mirror.ff7data.com.ar/ff7/data/battle/battle.lgp/cvao.png","View Picture")</f>
        <v>View Picture</v>
      </c>
      <c r="H1405" s="75"/>
      <c r="I1405" s="74"/>
      <c r="J1405" s="74"/>
      <c r="K1405" s="74"/>
    </row>
    <row r="1406">
      <c r="A1406" s="84"/>
      <c r="B1406" s="119" t="s">
        <v>15333</v>
      </c>
      <c r="C1406" s="120" t="s">
        <v>4185</v>
      </c>
      <c r="D1406" s="33" t="s">
        <v>15309</v>
      </c>
      <c r="E1406" s="51" t="s">
        <v>344</v>
      </c>
      <c r="F1406" s="121" t="s">
        <v>3009</v>
      </c>
      <c r="G1406" s="98" t="str">
        <f>HYPERLINK("http://mirror.ff7data.com.ar/ff7/data/battle/battle.lgp/cvap.png","View Picture")</f>
        <v>View Picture</v>
      </c>
      <c r="H1406" s="75"/>
      <c r="I1406" s="74"/>
      <c r="J1406" s="74"/>
      <c r="K1406" s="74"/>
    </row>
    <row r="1407">
      <c r="A1407" s="84"/>
      <c r="B1407" s="119" t="s">
        <v>15343</v>
      </c>
      <c r="C1407" s="120" t="s">
        <v>5762</v>
      </c>
      <c r="D1407" s="33" t="s">
        <v>15309</v>
      </c>
      <c r="E1407" s="51" t="s">
        <v>344</v>
      </c>
      <c r="F1407" s="121" t="s">
        <v>3009</v>
      </c>
      <c r="G1407" s="98" t="str">
        <f>HYPERLINK("http://mirror.ff7data.com.ar/ff7/data/battle/battle.lgp/cvar.png","View Picture")</f>
        <v>View Picture</v>
      </c>
      <c r="H1407" s="75"/>
      <c r="I1407" s="74"/>
      <c r="J1407" s="74"/>
      <c r="K1407" s="74"/>
    </row>
    <row r="1408">
      <c r="A1408" s="84"/>
      <c r="B1408" s="119" t="s">
        <v>15352</v>
      </c>
      <c r="C1408" s="120" t="s">
        <v>4439</v>
      </c>
      <c r="D1408" s="33" t="s">
        <v>15309</v>
      </c>
      <c r="E1408" s="51" t="s">
        <v>344</v>
      </c>
      <c r="F1408" s="121" t="s">
        <v>3009</v>
      </c>
      <c r="G1408" s="98" t="str">
        <f>HYPERLINK("http://mirror.ff7data.com.ar/ff7/data/battle/battle.lgp/cvat.png","View Picture")</f>
        <v>View Picture</v>
      </c>
      <c r="H1408" s="75"/>
      <c r="I1408" s="74"/>
      <c r="J1408" s="74"/>
      <c r="K1408" s="74"/>
    </row>
    <row r="1409">
      <c r="A1409" s="84"/>
      <c r="B1409" s="119" t="s">
        <v>15359</v>
      </c>
      <c r="C1409" s="120" t="s">
        <v>4732</v>
      </c>
      <c r="D1409" s="33" t="s">
        <v>15309</v>
      </c>
      <c r="E1409" s="51" t="s">
        <v>344</v>
      </c>
      <c r="F1409" s="121" t="s">
        <v>3009</v>
      </c>
      <c r="G1409" s="98" t="str">
        <f>HYPERLINK("http://mirror.ff7data.com.ar/ff7/data/battle/battle.lgp/cvav.png","View Picture")</f>
        <v>View Picture</v>
      </c>
      <c r="H1409" s="75"/>
      <c r="I1409" s="74"/>
      <c r="J1409" s="74"/>
      <c r="K1409" s="74"/>
    </row>
    <row r="1410">
      <c r="A1410" s="84"/>
      <c r="B1410" s="119" t="s">
        <v>15366</v>
      </c>
      <c r="C1410" s="120" t="s">
        <v>4732</v>
      </c>
      <c r="D1410" s="33" t="s">
        <v>15309</v>
      </c>
      <c r="E1410" s="51" t="s">
        <v>344</v>
      </c>
      <c r="F1410" s="121" t="s">
        <v>3009</v>
      </c>
      <c r="G1410" s="98" t="str">
        <f>HYPERLINK("http://mirror.ff7data.com.ar/ff7/data/battle/battle.lgp/cvax.png","View Picture")</f>
        <v>View Picture</v>
      </c>
      <c r="H1410" s="75"/>
      <c r="I1410" s="74"/>
      <c r="J1410" s="74"/>
      <c r="K1410" s="74"/>
    </row>
    <row r="1411">
      <c r="A1411" s="84"/>
      <c r="B1411" s="119" t="s">
        <v>15375</v>
      </c>
      <c r="C1411" s="120" t="s">
        <v>4732</v>
      </c>
      <c r="D1411" s="33" t="s">
        <v>15309</v>
      </c>
      <c r="E1411" s="51" t="s">
        <v>344</v>
      </c>
      <c r="F1411" s="121" t="s">
        <v>3009</v>
      </c>
      <c r="G1411" s="98" t="str">
        <f>HYPERLINK("http://mirror.ff7data.com.ar/ff7/data/battle/battle.lgp/cvaz.png","View Picture")</f>
        <v>View Picture</v>
      </c>
      <c r="H1411" s="75"/>
      <c r="I1411" s="74"/>
      <c r="J1411" s="74"/>
      <c r="K1411" s="74"/>
    </row>
    <row r="1412">
      <c r="A1412" s="84"/>
      <c r="B1412" s="119" t="s">
        <v>15385</v>
      </c>
      <c r="C1412" s="120" t="s">
        <v>4264</v>
      </c>
      <c r="D1412" s="33" t="s">
        <v>15309</v>
      </c>
      <c r="E1412" s="51" t="s">
        <v>344</v>
      </c>
      <c r="F1412" s="121" t="s">
        <v>3009</v>
      </c>
      <c r="G1412" s="98" t="str">
        <f>HYPERLINK("http://mirror.ff7data.com.ar/ff7/data/battle/battle.lgp/cvbb.png","View Picture")</f>
        <v>View Picture</v>
      </c>
      <c r="H1412" s="75"/>
      <c r="I1412" s="74"/>
      <c r="J1412" s="74"/>
      <c r="K1412" s="74"/>
    </row>
    <row r="1413">
      <c r="A1413" s="84"/>
      <c r="B1413" s="119" t="s">
        <v>15392</v>
      </c>
      <c r="C1413" s="120" t="s">
        <v>4185</v>
      </c>
      <c r="D1413" s="33" t="s">
        <v>15309</v>
      </c>
      <c r="E1413" s="51" t="s">
        <v>344</v>
      </c>
      <c r="F1413" s="121" t="s">
        <v>3009</v>
      </c>
      <c r="G1413" s="98" t="str">
        <f>HYPERLINK("http://mirror.ff7data.com.ar/ff7/data/battle/battle.lgp/cvbc.png","View Picture")</f>
        <v>View Picture</v>
      </c>
      <c r="H1413" s="75"/>
      <c r="I1413" s="74"/>
      <c r="J1413" s="74"/>
      <c r="K1413" s="74"/>
    </row>
    <row r="1414">
      <c r="A1414" s="84"/>
      <c r="B1414" s="119" t="s">
        <v>15402</v>
      </c>
      <c r="C1414" s="120" t="s">
        <v>5762</v>
      </c>
      <c r="D1414" s="33" t="s">
        <v>15309</v>
      </c>
      <c r="E1414" s="51" t="s">
        <v>344</v>
      </c>
      <c r="F1414" s="121" t="s">
        <v>3009</v>
      </c>
      <c r="G1414" s="98" t="str">
        <f>HYPERLINK("http://mirror.ff7data.com.ar/ff7/data/battle/battle.lgp/cvbe.png","View Picture")</f>
        <v>View Picture</v>
      </c>
      <c r="H1414" s="75"/>
      <c r="I1414" s="74"/>
      <c r="J1414" s="74"/>
      <c r="K1414" s="74"/>
    </row>
    <row r="1415">
      <c r="A1415" s="84"/>
      <c r="B1415" s="119" t="s">
        <v>15412</v>
      </c>
      <c r="C1415" s="120" t="s">
        <v>5859</v>
      </c>
      <c r="D1415" s="33" t="s">
        <v>15309</v>
      </c>
      <c r="E1415" s="51" t="s">
        <v>344</v>
      </c>
      <c r="F1415" s="121" t="s">
        <v>3009</v>
      </c>
      <c r="G1415" s="98" t="str">
        <f>HYPERLINK("http://mirror.ff7data.com.ar/ff7/data/battle/battle.lgp/cvbg.png","View Picture")</f>
        <v>View Picture</v>
      </c>
      <c r="H1415" s="75"/>
      <c r="I1415" s="74"/>
      <c r="J1415" s="74"/>
      <c r="K1415" s="74"/>
    </row>
    <row r="1416">
      <c r="A1416" s="84"/>
      <c r="B1416" s="119" t="s">
        <v>15436</v>
      </c>
      <c r="C1416" s="120" t="s">
        <v>4719</v>
      </c>
      <c r="D1416" s="33" t="s">
        <v>15309</v>
      </c>
      <c r="E1416" s="51" t="s">
        <v>344</v>
      </c>
      <c r="F1416" s="121" t="s">
        <v>3009</v>
      </c>
      <c r="G1416" s="98" t="str">
        <f>HYPERLINK("http://mirror.ff7data.com.ar/ff7/data/battle/battle.lgp/cvbi.png","View Picture")</f>
        <v>View Picture</v>
      </c>
      <c r="H1416" s="75"/>
      <c r="I1416" s="74"/>
      <c r="J1416" s="74"/>
      <c r="K1416" s="74"/>
    </row>
    <row r="1417">
      <c r="A1417" s="84"/>
      <c r="B1417" s="119" t="s">
        <v>15449</v>
      </c>
      <c r="C1417" s="120" t="s">
        <v>3671</v>
      </c>
      <c r="D1417" s="33" t="s">
        <v>15309</v>
      </c>
      <c r="E1417" s="51" t="s">
        <v>344</v>
      </c>
      <c r="F1417" s="121" t="s">
        <v>3009</v>
      </c>
      <c r="G1417" s="98" t="str">
        <f>HYPERLINK("http://mirror.ff7data.com.ar/ff7/data/battle/battle.lgp/cvbj.png","View Picture")</f>
        <v>View Picture</v>
      </c>
      <c r="H1417" s="75"/>
      <c r="I1417" s="74"/>
      <c r="J1417" s="74"/>
      <c r="K1417" s="74"/>
    </row>
    <row r="1418">
      <c r="A1418" s="84"/>
      <c r="B1418" s="119" t="s">
        <v>15459</v>
      </c>
      <c r="C1418" s="120" t="s">
        <v>5891</v>
      </c>
      <c r="D1418" s="33" t="s">
        <v>15309</v>
      </c>
      <c r="E1418" s="51" t="s">
        <v>344</v>
      </c>
      <c r="F1418" s="121" t="s">
        <v>3009</v>
      </c>
      <c r="G1418" s="98" t="str">
        <f>HYPERLINK("http://mirror.ff7data.com.ar/ff7/data/battle/battle.lgp/cvbk.png","View Picture")</f>
        <v>View Picture</v>
      </c>
      <c r="H1418" s="75"/>
      <c r="I1418" s="74"/>
      <c r="J1418" s="74"/>
      <c r="K1418" s="74"/>
    </row>
    <row r="1419">
      <c r="A1419" s="84"/>
      <c r="B1419" s="119" t="s">
        <v>15467</v>
      </c>
      <c r="C1419" s="120" t="s">
        <v>5904</v>
      </c>
      <c r="D1419" s="33" t="s">
        <v>15309</v>
      </c>
      <c r="E1419" s="51" t="s">
        <v>344</v>
      </c>
      <c r="F1419" s="121" t="s">
        <v>3009</v>
      </c>
      <c r="G1419" s="98" t="str">
        <f>HYPERLINK("http://mirror.ff7data.com.ar/ff7/data/battle/battle.lgp/cvbl.png","View Picture")</f>
        <v>View Picture</v>
      </c>
      <c r="H1419" s="75"/>
      <c r="I1419" s="74"/>
      <c r="J1419" s="74"/>
      <c r="K1419" s="74"/>
    </row>
    <row r="1420">
      <c r="A1420" s="84"/>
      <c r="B1420" s="119" t="s">
        <v>15477</v>
      </c>
      <c r="C1420" s="120" t="s">
        <v>4372</v>
      </c>
      <c r="D1420" s="33" t="s">
        <v>15309</v>
      </c>
      <c r="E1420" s="51" t="s">
        <v>344</v>
      </c>
      <c r="F1420" s="121" t="s">
        <v>3009</v>
      </c>
      <c r="G1420" s="98" t="str">
        <f>HYPERLINK("http://mirror.ff7data.com.ar/ff7/data/battle/battle.lgp/cvbn.png","View Picture")</f>
        <v>View Picture</v>
      </c>
      <c r="H1420" s="75"/>
      <c r="I1420" s="74"/>
      <c r="J1420" s="74"/>
      <c r="K1420" s="74"/>
    </row>
    <row r="1421">
      <c r="A1421" s="84"/>
      <c r="B1421" s="119" t="s">
        <v>15486</v>
      </c>
      <c r="C1421" s="120" t="s">
        <v>5925</v>
      </c>
      <c r="D1421" s="33" t="s">
        <v>15309</v>
      </c>
      <c r="E1421" s="51" t="s">
        <v>344</v>
      </c>
      <c r="F1421" s="121" t="s">
        <v>3009</v>
      </c>
      <c r="G1421" s="98" t="str">
        <f>HYPERLINK("http://mirror.ff7data.com.ar/ff7/data/battle/battle.lgp/cvbp.png","View Picture")</f>
        <v>View Picture</v>
      </c>
      <c r="H1421" s="75"/>
      <c r="I1421" s="74"/>
      <c r="J1421" s="74"/>
      <c r="K1421" s="74"/>
    </row>
    <row r="1422">
      <c r="A1422" s="84"/>
      <c r="B1422" s="119" t="s">
        <v>15493</v>
      </c>
      <c r="C1422" s="120" t="s">
        <v>4719</v>
      </c>
      <c r="D1422" s="33" t="s">
        <v>15309</v>
      </c>
      <c r="E1422" s="51" t="s">
        <v>344</v>
      </c>
      <c r="F1422" s="121" t="s">
        <v>3009</v>
      </c>
      <c r="G1422" s="98" t="str">
        <f>HYPERLINK("http://mirror.ff7data.com.ar/ff7/data/battle/battle.lgp/cvbr.png","View Picture")</f>
        <v>View Picture</v>
      </c>
      <c r="H1422" s="75"/>
      <c r="I1422" s="74"/>
      <c r="J1422" s="74"/>
      <c r="K1422" s="74"/>
    </row>
    <row r="1423">
      <c r="A1423" s="84"/>
      <c r="B1423" s="119" t="s">
        <v>15502</v>
      </c>
      <c r="C1423" s="120" t="s">
        <v>3671</v>
      </c>
      <c r="D1423" s="33" t="s">
        <v>15309</v>
      </c>
      <c r="E1423" s="51" t="s">
        <v>344</v>
      </c>
      <c r="F1423" s="121" t="s">
        <v>3009</v>
      </c>
      <c r="G1423" s="98" t="str">
        <f>HYPERLINK("http://mirror.ff7data.com.ar/ff7/data/battle/battle.lgp/cvbs.png","View Picture")</f>
        <v>View Picture</v>
      </c>
      <c r="H1423" s="75"/>
      <c r="I1423" s="74"/>
      <c r="J1423" s="74"/>
      <c r="K1423" s="74"/>
    </row>
    <row r="1424">
      <c r="A1424" s="84"/>
      <c r="B1424" s="119" t="s">
        <v>15512</v>
      </c>
      <c r="C1424" s="120" t="s">
        <v>3749</v>
      </c>
      <c r="D1424" s="33" t="s">
        <v>15309</v>
      </c>
      <c r="E1424" s="51" t="s">
        <v>344</v>
      </c>
      <c r="F1424" s="121" t="s">
        <v>3009</v>
      </c>
      <c r="G1424" s="98" t="str">
        <f>HYPERLINK("http://mirror.ff7data.com.ar/ff7/data/battle/battle.lgp/cvbt.png","View Picture")</f>
        <v>View Picture</v>
      </c>
      <c r="H1424" s="75"/>
      <c r="I1424" s="74"/>
      <c r="J1424" s="74"/>
      <c r="K1424" s="74"/>
    </row>
    <row r="1425">
      <c r="A1425" s="84"/>
      <c r="B1425" s="119" t="s">
        <v>15516</v>
      </c>
      <c r="C1425" s="120" t="s">
        <v>5967</v>
      </c>
      <c r="D1425" s="33" t="s">
        <v>15309</v>
      </c>
      <c r="E1425" s="51" t="s">
        <v>344</v>
      </c>
      <c r="F1425" s="121" t="s">
        <v>3009</v>
      </c>
      <c r="G1425" s="98" t="str">
        <f>HYPERLINK("http://mirror.ff7data.com.ar/ff7/data/battle/battle.lgp/cvbu.png","View Picture")</f>
        <v>View Picture</v>
      </c>
      <c r="H1425" s="75"/>
      <c r="I1425" s="74"/>
      <c r="J1425" s="74"/>
      <c r="K1425" s="74"/>
    </row>
    <row r="1426">
      <c r="A1426" s="84"/>
      <c r="B1426" s="119" t="s">
        <v>15523</v>
      </c>
      <c r="C1426" s="120" t="s">
        <v>4372</v>
      </c>
      <c r="D1426" s="33" t="s">
        <v>15309</v>
      </c>
      <c r="E1426" s="51" t="s">
        <v>344</v>
      </c>
      <c r="F1426" s="121" t="s">
        <v>3009</v>
      </c>
      <c r="G1426" s="98" t="str">
        <f>HYPERLINK("http://mirror.ff7data.com.ar/ff7/data/battle/battle.lgp/cvbw.png","View Picture")</f>
        <v>View Picture</v>
      </c>
      <c r="H1426" s="75"/>
      <c r="I1426" s="74"/>
      <c r="J1426" s="74"/>
      <c r="K1426" s="74"/>
    </row>
    <row r="1427">
      <c r="A1427" s="84"/>
      <c r="B1427" s="119" t="s">
        <v>15531</v>
      </c>
      <c r="C1427" s="120" t="s">
        <v>4240</v>
      </c>
      <c r="D1427" s="33" t="s">
        <v>15309</v>
      </c>
      <c r="E1427" s="51" t="s">
        <v>344</v>
      </c>
      <c r="F1427" s="121" t="s">
        <v>3025</v>
      </c>
      <c r="G1427" s="122"/>
      <c r="H1427" s="46" t="s">
        <v>3002</v>
      </c>
      <c r="I1427" s="74"/>
      <c r="J1427" s="74"/>
      <c r="K1427" s="74"/>
    </row>
    <row r="1428">
      <c r="A1428" s="84"/>
      <c r="B1428" s="119" t="s">
        <v>15534</v>
      </c>
      <c r="C1428" s="120" t="s">
        <v>6802</v>
      </c>
      <c r="D1428" s="33" t="s">
        <v>15535</v>
      </c>
      <c r="E1428" s="147" t="s">
        <v>347</v>
      </c>
      <c r="F1428" s="121" t="s">
        <v>2971</v>
      </c>
      <c r="G1428" s="98" t="str">
        <f>HYPERLINK("http://mirror.ff7data.com.ar/ff7/data/battle/battle.lgp/cwaa.png","View Picture")</f>
        <v>View Picture</v>
      </c>
      <c r="H1428" s="75"/>
      <c r="I1428" s="74"/>
      <c r="J1428" s="74"/>
      <c r="K1428" s="74"/>
    </row>
    <row r="1429">
      <c r="A1429" s="84"/>
      <c r="B1429" s="119" t="s">
        <v>15560</v>
      </c>
      <c r="C1429" s="120" t="s">
        <v>4209</v>
      </c>
      <c r="D1429" s="33" t="s">
        <v>15562</v>
      </c>
      <c r="E1429" s="147" t="s">
        <v>347</v>
      </c>
      <c r="F1429" s="121" t="s">
        <v>2993</v>
      </c>
      <c r="G1429" s="122"/>
      <c r="H1429" s="46" t="s">
        <v>3002</v>
      </c>
      <c r="I1429" s="74"/>
      <c r="J1429" s="74"/>
      <c r="K1429" s="74"/>
    </row>
    <row r="1430">
      <c r="A1430" s="84"/>
      <c r="B1430" s="119" t="s">
        <v>15565</v>
      </c>
      <c r="C1430" s="120" t="s">
        <v>4185</v>
      </c>
      <c r="D1430" s="33" t="s">
        <v>15562</v>
      </c>
      <c r="E1430" s="147" t="s">
        <v>347</v>
      </c>
      <c r="F1430" s="121" t="s">
        <v>3009</v>
      </c>
      <c r="G1430" s="98" t="str">
        <f>HYPERLINK("http://mirror.ff7data.com.ar/ff7/data/battle/battle.lgp/cwam.png","View Picture")</f>
        <v>View Picture</v>
      </c>
      <c r="H1430" s="75"/>
      <c r="I1430" s="74"/>
      <c r="J1430" s="74"/>
      <c r="K1430" s="74"/>
    </row>
    <row r="1431">
      <c r="A1431" s="84"/>
      <c r="B1431" s="119" t="s">
        <v>15574</v>
      </c>
      <c r="C1431" s="120" t="s">
        <v>4185</v>
      </c>
      <c r="D1431" s="33" t="s">
        <v>15562</v>
      </c>
      <c r="E1431" s="147" t="s">
        <v>347</v>
      </c>
      <c r="F1431" s="121" t="s">
        <v>3009</v>
      </c>
      <c r="G1431" s="98" t="str">
        <f>HYPERLINK("http://mirror.ff7data.com.ar/ff7/data/battle/battle.lgp/cwan.png","View Picture")</f>
        <v>View Picture</v>
      </c>
      <c r="H1431" s="75"/>
      <c r="I1431" s="74"/>
      <c r="J1431" s="74"/>
      <c r="K1431" s="74"/>
    </row>
    <row r="1432">
      <c r="A1432" s="84"/>
      <c r="B1432" s="119" t="s">
        <v>15588</v>
      </c>
      <c r="C1432" s="120" t="s">
        <v>4185</v>
      </c>
      <c r="D1432" s="33" t="s">
        <v>15562</v>
      </c>
      <c r="E1432" s="147" t="s">
        <v>347</v>
      </c>
      <c r="F1432" s="121" t="s">
        <v>3009</v>
      </c>
      <c r="G1432" s="98" t="str">
        <f>HYPERLINK("http://mirror.ff7data.com.ar/ff7/data/battle/battle.lgp/cwao.png","View Picture")</f>
        <v>View Picture</v>
      </c>
      <c r="H1432" s="75"/>
      <c r="I1432" s="74"/>
      <c r="J1432" s="74"/>
      <c r="K1432" s="74"/>
    </row>
    <row r="1433">
      <c r="A1433" s="84"/>
      <c r="B1433" s="119" t="s">
        <v>15598</v>
      </c>
      <c r="C1433" s="120" t="s">
        <v>4228</v>
      </c>
      <c r="D1433" s="33" t="s">
        <v>15562</v>
      </c>
      <c r="E1433" s="147" t="s">
        <v>347</v>
      </c>
      <c r="F1433" s="121" t="s">
        <v>3009</v>
      </c>
      <c r="G1433" s="98" t="str">
        <f>HYPERLINK("http://mirror.ff7data.com.ar/ff7/data/battle/battle.lgp/cwap.png","View Picture")</f>
        <v>View Picture</v>
      </c>
      <c r="H1433" s="75"/>
      <c r="I1433" s="74"/>
      <c r="J1433" s="74"/>
      <c r="K1433" s="74"/>
    </row>
    <row r="1434">
      <c r="A1434" s="84"/>
      <c r="B1434" s="119" t="s">
        <v>15609</v>
      </c>
      <c r="C1434" s="120" t="s">
        <v>4719</v>
      </c>
      <c r="D1434" s="33" t="s">
        <v>15562</v>
      </c>
      <c r="E1434" s="147" t="s">
        <v>347</v>
      </c>
      <c r="F1434" s="121" t="s">
        <v>3009</v>
      </c>
      <c r="G1434" s="98" t="str">
        <f>HYPERLINK("http://mirror.ff7data.com.ar/ff7/data/battle/battle.lgp/cwar.png","View Picture")</f>
        <v>View Picture</v>
      </c>
      <c r="H1434" s="75"/>
      <c r="I1434" s="74"/>
      <c r="J1434" s="74"/>
      <c r="K1434" s="74"/>
    </row>
    <row r="1435">
      <c r="A1435" s="84"/>
      <c r="B1435" s="119" t="s">
        <v>15622</v>
      </c>
      <c r="C1435" s="120" t="s">
        <v>4185</v>
      </c>
      <c r="D1435" s="33" t="s">
        <v>15562</v>
      </c>
      <c r="E1435" s="147" t="s">
        <v>347</v>
      </c>
      <c r="F1435" s="121" t="s">
        <v>3009</v>
      </c>
      <c r="G1435" s="98" t="str">
        <f>HYPERLINK("http://mirror.ff7data.com.ar/ff7/data/battle/battle.lgp/cwat.png","View Picture")</f>
        <v>View Picture</v>
      </c>
      <c r="H1435" s="75"/>
      <c r="I1435" s="74"/>
      <c r="J1435" s="74"/>
      <c r="K1435" s="74"/>
    </row>
    <row r="1436">
      <c r="A1436" s="84"/>
      <c r="B1436" s="119" t="s">
        <v>15638</v>
      </c>
      <c r="C1436" s="120" t="s">
        <v>4264</v>
      </c>
      <c r="D1436" s="33" t="s">
        <v>15562</v>
      </c>
      <c r="E1436" s="147" t="s">
        <v>347</v>
      </c>
      <c r="F1436" s="121" t="s">
        <v>3009</v>
      </c>
      <c r="G1436" s="98" t="str">
        <f>HYPERLINK("http://mirror.ff7data.com.ar/ff7/data/battle/battle.lgp/cwau.png","View Picture")</f>
        <v>View Picture</v>
      </c>
      <c r="H1436" s="75"/>
      <c r="I1436" s="74"/>
      <c r="J1436" s="74"/>
      <c r="K1436" s="74"/>
    </row>
    <row r="1437">
      <c r="A1437" s="84"/>
      <c r="B1437" s="119" t="s">
        <v>15649</v>
      </c>
      <c r="C1437" s="120" t="s">
        <v>4554</v>
      </c>
      <c r="D1437" s="33" t="s">
        <v>15562</v>
      </c>
      <c r="E1437" s="147" t="s">
        <v>347</v>
      </c>
      <c r="F1437" s="121" t="s">
        <v>3009</v>
      </c>
      <c r="G1437" s="98" t="str">
        <f>HYPERLINK("http://mirror.ff7data.com.ar/ff7/data/battle/battle.lgp/cwav.png","View Picture")</f>
        <v>View Picture</v>
      </c>
      <c r="H1437" s="75"/>
      <c r="I1437" s="74"/>
      <c r="J1437" s="74"/>
      <c r="K1437" s="74"/>
    </row>
    <row r="1438">
      <c r="A1438" s="84"/>
      <c r="B1438" s="119" t="s">
        <v>15661</v>
      </c>
      <c r="C1438" s="120" t="s">
        <v>3842</v>
      </c>
      <c r="D1438" s="33" t="s">
        <v>15562</v>
      </c>
      <c r="E1438" s="147" t="s">
        <v>347</v>
      </c>
      <c r="F1438" s="121" t="s">
        <v>3009</v>
      </c>
      <c r="G1438" s="98" t="str">
        <f>HYPERLINK("http://mirror.ff7data.com.ar/ff7/data/battle/battle.lgp/cwaw.png","View Picture")</f>
        <v>View Picture</v>
      </c>
      <c r="H1438" s="75"/>
      <c r="I1438" s="74"/>
      <c r="J1438" s="74"/>
      <c r="K1438" s="74"/>
    </row>
    <row r="1439">
      <c r="A1439" s="84"/>
      <c r="B1439" s="119" t="s">
        <v>15673</v>
      </c>
      <c r="C1439" s="120" t="s">
        <v>4185</v>
      </c>
      <c r="D1439" s="33" t="s">
        <v>15562</v>
      </c>
      <c r="E1439" s="147" t="s">
        <v>347</v>
      </c>
      <c r="F1439" s="121" t="s">
        <v>3009</v>
      </c>
      <c r="G1439" s="98" t="str">
        <f>HYPERLINK("http://mirror.ff7data.com.ar/ff7/data/battle/battle.lgp/cway.png","View Picture")</f>
        <v>View Picture</v>
      </c>
      <c r="H1439" s="75"/>
      <c r="I1439" s="74"/>
      <c r="J1439" s="74"/>
      <c r="K1439" s="74"/>
    </row>
    <row r="1440">
      <c r="A1440" s="84"/>
      <c r="B1440" s="119" t="s">
        <v>15683</v>
      </c>
      <c r="C1440" s="120" t="s">
        <v>4264</v>
      </c>
      <c r="D1440" s="33" t="s">
        <v>15562</v>
      </c>
      <c r="E1440" s="147" t="s">
        <v>347</v>
      </c>
      <c r="F1440" s="121" t="s">
        <v>3009</v>
      </c>
      <c r="G1440" s="98" t="str">
        <f>HYPERLINK("http://mirror.ff7data.com.ar/ff7/data/battle/battle.lgp/cwaz.png","View Picture")</f>
        <v>View Picture</v>
      </c>
      <c r="H1440" s="75"/>
      <c r="I1440" s="74"/>
      <c r="J1440" s="74"/>
      <c r="K1440" s="74"/>
    </row>
    <row r="1441">
      <c r="A1441" s="84"/>
      <c r="B1441" s="119" t="s">
        <v>15700</v>
      </c>
      <c r="C1441" s="120" t="s">
        <v>11112</v>
      </c>
      <c r="D1441" s="33" t="s">
        <v>15562</v>
      </c>
      <c r="E1441" s="147" t="s">
        <v>347</v>
      </c>
      <c r="F1441" s="121" t="s">
        <v>3009</v>
      </c>
      <c r="G1441" s="98" t="str">
        <f>HYPERLINK("http://mirror.ff7data.com.ar/ff7/data/battle/battle.lgp/cwba.png","View Picture")</f>
        <v>View Picture</v>
      </c>
      <c r="H1441" s="75"/>
      <c r="I1441" s="74"/>
      <c r="J1441" s="74"/>
      <c r="K1441" s="74"/>
    </row>
    <row r="1442">
      <c r="A1442" s="84"/>
      <c r="B1442" s="119" t="s">
        <v>15712</v>
      </c>
      <c r="C1442" s="120" t="s">
        <v>5891</v>
      </c>
      <c r="D1442" s="33" t="s">
        <v>15562</v>
      </c>
      <c r="E1442" s="147" t="s">
        <v>347</v>
      </c>
      <c r="F1442" s="121" t="s">
        <v>3009</v>
      </c>
      <c r="G1442" s="98" t="str">
        <f>HYPERLINK("http://mirror.ff7data.com.ar/ff7/data/battle/battle.lgp/cwbb.png","View Picture")</f>
        <v>View Picture</v>
      </c>
      <c r="H1442" s="75"/>
      <c r="I1442" s="74"/>
      <c r="J1442" s="74"/>
      <c r="K1442" s="74"/>
    </row>
    <row r="1443">
      <c r="A1443" s="84"/>
      <c r="B1443" s="119" t="s">
        <v>15720</v>
      </c>
      <c r="C1443" s="120" t="s">
        <v>4185</v>
      </c>
      <c r="D1443" s="33" t="s">
        <v>15562</v>
      </c>
      <c r="E1443" s="147" t="s">
        <v>347</v>
      </c>
      <c r="F1443" s="121" t="s">
        <v>3009</v>
      </c>
      <c r="G1443" s="98" t="str">
        <f>HYPERLINK("http://mirror.ff7data.com.ar/ff7/data/battle/battle.lgp/cwbd.png","View Picture")</f>
        <v>View Picture</v>
      </c>
      <c r="H1443" s="75"/>
      <c r="I1443" s="74"/>
      <c r="J1443" s="74"/>
      <c r="K1443" s="74"/>
    </row>
    <row r="1444">
      <c r="A1444" s="84"/>
      <c r="B1444" s="119" t="s">
        <v>15730</v>
      </c>
      <c r="C1444" s="120" t="s">
        <v>4439</v>
      </c>
      <c r="D1444" s="33" t="s">
        <v>15562</v>
      </c>
      <c r="E1444" s="147" t="s">
        <v>347</v>
      </c>
      <c r="F1444" s="121" t="s">
        <v>3009</v>
      </c>
      <c r="G1444" s="98" t="str">
        <f>HYPERLINK("http://mirror.ff7data.com.ar/ff7/data/battle/battle.lgp/cwbe.png","View Picture")</f>
        <v>View Picture</v>
      </c>
      <c r="H1444" s="75"/>
      <c r="I1444" s="74"/>
      <c r="J1444" s="74"/>
      <c r="K1444" s="74"/>
    </row>
    <row r="1445">
      <c r="A1445" s="84"/>
      <c r="B1445" s="119" t="s">
        <v>15740</v>
      </c>
      <c r="C1445" s="120" t="s">
        <v>4288</v>
      </c>
      <c r="D1445" s="33" t="s">
        <v>15562</v>
      </c>
      <c r="E1445" s="147" t="s">
        <v>347</v>
      </c>
      <c r="F1445" s="121" t="s">
        <v>3009</v>
      </c>
      <c r="G1445" s="98" t="str">
        <f>HYPERLINK("http://mirror.ff7data.com.ar/ff7/data/battle/battle.lgp/cwbf.png","View Picture")</f>
        <v>View Picture</v>
      </c>
      <c r="H1445" s="75"/>
      <c r="I1445" s="74"/>
      <c r="J1445" s="74"/>
      <c r="K1445" s="74"/>
    </row>
    <row r="1446">
      <c r="A1446" s="84"/>
      <c r="B1446" s="119" t="s">
        <v>15750</v>
      </c>
      <c r="C1446" s="120" t="s">
        <v>3842</v>
      </c>
      <c r="D1446" s="33" t="s">
        <v>15562</v>
      </c>
      <c r="E1446" s="147" t="s">
        <v>347</v>
      </c>
      <c r="F1446" s="121" t="s">
        <v>3009</v>
      </c>
      <c r="G1446" s="98" t="str">
        <f>HYPERLINK("http://mirror.ff7data.com.ar/ff7/data/battle/battle.lgp/cwbg.png","View Picture")</f>
        <v>View Picture</v>
      </c>
      <c r="H1446" s="75"/>
      <c r="I1446" s="74"/>
      <c r="J1446" s="74"/>
      <c r="K1446" s="74"/>
    </row>
    <row r="1447">
      <c r="A1447" s="84"/>
      <c r="B1447" s="119" t="s">
        <v>15758</v>
      </c>
      <c r="C1447" s="120" t="s">
        <v>4439</v>
      </c>
      <c r="D1447" s="33" t="s">
        <v>15562</v>
      </c>
      <c r="E1447" s="147" t="s">
        <v>347</v>
      </c>
      <c r="F1447" s="121" t="s">
        <v>3009</v>
      </c>
      <c r="G1447" s="98" t="str">
        <f>HYPERLINK("http://mirror.ff7data.com.ar/ff7/data/battle/battle.lgp/cwbi.png","View Picture")</f>
        <v>View Picture</v>
      </c>
      <c r="H1447" s="75"/>
      <c r="I1447" s="74"/>
      <c r="J1447" s="74"/>
      <c r="K1447" s="74"/>
    </row>
    <row r="1448">
      <c r="A1448" s="84"/>
      <c r="B1448" s="119" t="s">
        <v>15766</v>
      </c>
      <c r="C1448" s="120" t="s">
        <v>4439</v>
      </c>
      <c r="D1448" s="33" t="s">
        <v>15562</v>
      </c>
      <c r="E1448" s="147" t="s">
        <v>347</v>
      </c>
      <c r="F1448" s="121" t="s">
        <v>3009</v>
      </c>
      <c r="G1448" s="98" t="str">
        <f>HYPERLINK("http://mirror.ff7data.com.ar/ff7/data/battle/battle.lgp/cwbj.png","View Picture")</f>
        <v>View Picture</v>
      </c>
      <c r="H1448" s="75"/>
      <c r="I1448" s="74"/>
      <c r="J1448" s="74"/>
      <c r="K1448" s="74"/>
    </row>
    <row r="1449">
      <c r="A1449" s="84"/>
      <c r="B1449" s="119" t="s">
        <v>15775</v>
      </c>
      <c r="C1449" s="120" t="s">
        <v>4288</v>
      </c>
      <c r="D1449" s="33" t="s">
        <v>15562</v>
      </c>
      <c r="E1449" s="147" t="s">
        <v>347</v>
      </c>
      <c r="F1449" s="121" t="s">
        <v>3009</v>
      </c>
      <c r="G1449" s="98" t="str">
        <f>HYPERLINK("http://mirror.ff7data.com.ar/ff7/data/battle/battle.lgp/cwbk.png","View Picture")</f>
        <v>View Picture</v>
      </c>
      <c r="H1449" s="75"/>
      <c r="I1449" s="74"/>
      <c r="J1449" s="74"/>
      <c r="K1449" s="74"/>
    </row>
    <row r="1450">
      <c r="A1450" s="84"/>
      <c r="B1450" s="119" t="s">
        <v>15783</v>
      </c>
      <c r="C1450" s="120" t="s">
        <v>3842</v>
      </c>
      <c r="D1450" s="33" t="s">
        <v>15562</v>
      </c>
      <c r="E1450" s="147" t="s">
        <v>347</v>
      </c>
      <c r="F1450" s="121" t="s">
        <v>3009</v>
      </c>
      <c r="G1450" s="98" t="str">
        <f>HYPERLINK("http://mirror.ff7data.com.ar/ff7/data/battle/battle.lgp/cwbl.png","View Picture")</f>
        <v>View Picture</v>
      </c>
      <c r="H1450" s="75"/>
      <c r="I1450" s="74"/>
      <c r="J1450" s="74"/>
      <c r="K1450" s="74"/>
    </row>
    <row r="1451">
      <c r="A1451" s="84"/>
      <c r="B1451" s="119" t="s">
        <v>15793</v>
      </c>
      <c r="C1451" s="120" t="s">
        <v>4372</v>
      </c>
      <c r="D1451" s="33" t="s">
        <v>15562</v>
      </c>
      <c r="E1451" s="147" t="s">
        <v>347</v>
      </c>
      <c r="F1451" s="121" t="s">
        <v>3009</v>
      </c>
      <c r="G1451" s="98" t="str">
        <f>HYPERLINK("http://mirror.ff7data.com.ar/ff7/data/battle/battle.lgp/cwbm.png","View Picture")</f>
        <v>View Picture</v>
      </c>
      <c r="H1451" s="75"/>
      <c r="I1451" s="74"/>
      <c r="J1451" s="74"/>
      <c r="K1451" s="74"/>
    </row>
    <row r="1452">
      <c r="A1452" s="84"/>
      <c r="B1452" s="119" t="s">
        <v>15801</v>
      </c>
      <c r="C1452" s="120" t="s">
        <v>4264</v>
      </c>
      <c r="D1452" s="33" t="s">
        <v>15562</v>
      </c>
      <c r="E1452" s="147" t="s">
        <v>347</v>
      </c>
      <c r="F1452" s="121" t="s">
        <v>3009</v>
      </c>
      <c r="G1452" s="98" t="str">
        <f>HYPERLINK("http://mirror.ff7data.com.ar/ff7/data/battle/battle.lgp/cwbn.png","View Picture")</f>
        <v>View Picture</v>
      </c>
      <c r="H1452" s="75"/>
      <c r="I1452" s="74"/>
      <c r="J1452" s="74"/>
      <c r="K1452" s="74"/>
    </row>
    <row r="1453">
      <c r="A1453" s="84"/>
      <c r="B1453" s="119" t="s">
        <v>15812</v>
      </c>
      <c r="C1453" s="120" t="s">
        <v>4883</v>
      </c>
      <c r="D1453" s="33" t="s">
        <v>15562</v>
      </c>
      <c r="E1453" s="147" t="s">
        <v>347</v>
      </c>
      <c r="F1453" s="121" t="s">
        <v>3009</v>
      </c>
      <c r="G1453" s="98" t="str">
        <f>HYPERLINK("http://mirror.ff7data.com.ar/ff7/data/battle/battle.lgp/cwbo.png","View Picture")</f>
        <v>View Picture</v>
      </c>
      <c r="H1453" s="75"/>
      <c r="I1453" s="74"/>
      <c r="J1453" s="74"/>
      <c r="K1453" s="74"/>
    </row>
    <row r="1454">
      <c r="A1454" s="84"/>
      <c r="B1454" s="119" t="s">
        <v>15820</v>
      </c>
      <c r="C1454" s="120" t="s">
        <v>5925</v>
      </c>
      <c r="D1454" s="33" t="s">
        <v>15562</v>
      </c>
      <c r="E1454" s="147" t="s">
        <v>347</v>
      </c>
      <c r="F1454" s="121" t="s">
        <v>3025</v>
      </c>
      <c r="G1454" s="122"/>
      <c r="H1454" s="46" t="s">
        <v>3002</v>
      </c>
      <c r="I1454" s="74"/>
      <c r="J1454" s="74"/>
      <c r="K1454" s="74"/>
    </row>
    <row r="1455">
      <c r="A1455" s="84"/>
      <c r="B1455" s="119" t="s">
        <v>15823</v>
      </c>
      <c r="C1455" s="120" t="s">
        <v>8004</v>
      </c>
      <c r="D1455" s="33" t="s">
        <v>15824</v>
      </c>
      <c r="E1455" s="51" t="s">
        <v>350</v>
      </c>
      <c r="F1455" s="121" t="s">
        <v>2971</v>
      </c>
      <c r="G1455" s="98" t="str">
        <f>HYPERLINK("http://mirror.ff7data.com.ar/ff7/data/battle/battle.lgp/cxaa.png","View Picture")</f>
        <v>View Picture</v>
      </c>
      <c r="H1455" s="46" t="s">
        <v>15832</v>
      </c>
      <c r="I1455" s="74"/>
      <c r="J1455" s="74"/>
      <c r="K1455" s="74"/>
    </row>
    <row r="1456">
      <c r="A1456" s="84"/>
      <c r="B1456" s="119" t="s">
        <v>15833</v>
      </c>
      <c r="C1456" s="120" t="s">
        <v>8016</v>
      </c>
      <c r="D1456" s="33" t="s">
        <v>15835</v>
      </c>
      <c r="E1456" s="51" t="s">
        <v>350</v>
      </c>
      <c r="F1456" s="121" t="s">
        <v>2993</v>
      </c>
      <c r="G1456" s="122"/>
      <c r="H1456" s="46" t="s">
        <v>3002</v>
      </c>
      <c r="I1456" s="74"/>
      <c r="J1456" s="74"/>
      <c r="K1456" s="74"/>
    </row>
    <row r="1457">
      <c r="A1457" s="84"/>
      <c r="B1457" s="119" t="s">
        <v>15840</v>
      </c>
      <c r="C1457" s="120" t="s">
        <v>7165</v>
      </c>
      <c r="D1457" s="33" t="s">
        <v>15835</v>
      </c>
      <c r="E1457" s="51" t="s">
        <v>350</v>
      </c>
      <c r="F1457" s="121" t="s">
        <v>3009</v>
      </c>
      <c r="G1457" s="98" t="str">
        <f>HYPERLINK("http://mirror.ff7data.com.ar/ff7/data/battle/battle.lgp/cxam.png","View Picture")</f>
        <v>View Picture</v>
      </c>
      <c r="H1457" s="75"/>
      <c r="I1457" s="74"/>
      <c r="J1457" s="74"/>
      <c r="K1457" s="74"/>
    </row>
    <row r="1458">
      <c r="A1458" s="84"/>
      <c r="B1458" s="119" t="s">
        <v>15850</v>
      </c>
      <c r="C1458" s="120" t="s">
        <v>4719</v>
      </c>
      <c r="D1458" s="33" t="s">
        <v>15835</v>
      </c>
      <c r="E1458" s="51" t="s">
        <v>350</v>
      </c>
      <c r="F1458" s="121" t="s">
        <v>3009</v>
      </c>
      <c r="G1458" s="98" t="str">
        <f>HYPERLINK("http://mirror.ff7data.com.ar/ff7/data/battle/battle.lgp/cxan.png","View Picture")</f>
        <v>View Picture</v>
      </c>
      <c r="H1458" s="75"/>
      <c r="I1458" s="74"/>
      <c r="J1458" s="74"/>
      <c r="K1458" s="74"/>
    </row>
    <row r="1459">
      <c r="A1459" s="84"/>
      <c r="B1459" s="119" t="s">
        <v>15858</v>
      </c>
      <c r="C1459" s="120" t="s">
        <v>3465</v>
      </c>
      <c r="D1459" s="33" t="s">
        <v>15835</v>
      </c>
      <c r="E1459" s="51" t="s">
        <v>350</v>
      </c>
      <c r="F1459" s="121" t="s">
        <v>3009</v>
      </c>
      <c r="G1459" s="98" t="str">
        <f>HYPERLINK("http://mirror.ff7data.com.ar/ff7/data/battle/battle.lgp/cxao.png","View Picture")</f>
        <v>View Picture</v>
      </c>
      <c r="H1459" s="75"/>
      <c r="I1459" s="74"/>
      <c r="J1459" s="74"/>
      <c r="K1459" s="74"/>
    </row>
    <row r="1460">
      <c r="A1460" s="84"/>
      <c r="B1460" s="119" t="s">
        <v>15869</v>
      </c>
      <c r="C1460" s="120" t="s">
        <v>3465</v>
      </c>
      <c r="D1460" s="33" t="s">
        <v>15835</v>
      </c>
      <c r="E1460" s="51" t="s">
        <v>350</v>
      </c>
      <c r="F1460" s="121" t="s">
        <v>3009</v>
      </c>
      <c r="G1460" s="98" t="str">
        <f>HYPERLINK("http://mirror.ff7data.com.ar/ff7/data/battle/battle.lgp/cxap.png","View Picture")</f>
        <v>View Picture</v>
      </c>
      <c r="H1460" s="75"/>
      <c r="I1460" s="74"/>
      <c r="J1460" s="74"/>
      <c r="K1460" s="74"/>
    </row>
    <row r="1461">
      <c r="A1461" s="84"/>
      <c r="B1461" s="119" t="s">
        <v>15879</v>
      </c>
      <c r="C1461" s="120" t="s">
        <v>8063</v>
      </c>
      <c r="D1461" s="33" t="s">
        <v>15835</v>
      </c>
      <c r="E1461" s="51" t="s">
        <v>350</v>
      </c>
      <c r="F1461" s="121" t="s">
        <v>3009</v>
      </c>
      <c r="G1461" s="98" t="str">
        <f>HYPERLINK("http://mirror.ff7data.com.ar/ff7/data/battle/battle.lgp/cxaq.png","View Picture")</f>
        <v>View Picture</v>
      </c>
      <c r="H1461" s="75"/>
      <c r="I1461" s="74"/>
      <c r="J1461" s="74"/>
      <c r="K1461" s="74"/>
    </row>
    <row r="1462">
      <c r="A1462" s="84"/>
      <c r="B1462" s="119" t="s">
        <v>15887</v>
      </c>
      <c r="C1462" s="120" t="s">
        <v>4476</v>
      </c>
      <c r="D1462" s="33" t="s">
        <v>15835</v>
      </c>
      <c r="E1462" s="51" t="s">
        <v>350</v>
      </c>
      <c r="F1462" s="121" t="s">
        <v>3009</v>
      </c>
      <c r="G1462" s="98" t="str">
        <f>HYPERLINK("http://mirror.ff7data.com.ar/ff7/data/battle/battle.lgp/cxas.png","View Picture")</f>
        <v>View Picture</v>
      </c>
      <c r="H1462" s="75"/>
      <c r="I1462" s="74"/>
      <c r="J1462" s="74"/>
      <c r="K1462" s="74"/>
    </row>
    <row r="1463">
      <c r="A1463" s="84"/>
      <c r="B1463" s="119" t="s">
        <v>15900</v>
      </c>
      <c r="C1463" s="120" t="s">
        <v>4719</v>
      </c>
      <c r="D1463" s="33" t="s">
        <v>15835</v>
      </c>
      <c r="E1463" s="51" t="s">
        <v>350</v>
      </c>
      <c r="F1463" s="121" t="s">
        <v>3009</v>
      </c>
      <c r="G1463" s="98" t="str">
        <f>HYPERLINK("http://mirror.ff7data.com.ar/ff7/data/battle/battle.lgp/cxav.png","View Picture")</f>
        <v>View Picture</v>
      </c>
      <c r="H1463" s="75"/>
      <c r="I1463" s="74"/>
      <c r="J1463" s="74"/>
      <c r="K1463" s="74"/>
    </row>
    <row r="1464">
      <c r="A1464" s="84"/>
      <c r="B1464" s="119" t="s">
        <v>15913</v>
      </c>
      <c r="C1464" s="120" t="s">
        <v>4732</v>
      </c>
      <c r="D1464" s="33" t="s">
        <v>15835</v>
      </c>
      <c r="E1464" s="51" t="s">
        <v>350</v>
      </c>
      <c r="F1464" s="121" t="s">
        <v>3009</v>
      </c>
      <c r="G1464" s="98" t="str">
        <f>HYPERLINK("http://mirror.ff7data.com.ar/ff7/data/battle/battle.lgp/cxaw.png","View Picture")</f>
        <v>View Picture</v>
      </c>
      <c r="H1464" s="75"/>
      <c r="I1464" s="74"/>
      <c r="J1464" s="74"/>
      <c r="K1464" s="74"/>
    </row>
    <row r="1465">
      <c r="A1465" s="84"/>
      <c r="B1465" s="119" t="s">
        <v>15922</v>
      </c>
      <c r="C1465" s="120" t="s">
        <v>6029</v>
      </c>
      <c r="D1465" s="33" t="s">
        <v>15835</v>
      </c>
      <c r="E1465" s="51" t="s">
        <v>350</v>
      </c>
      <c r="F1465" s="121" t="s">
        <v>3009</v>
      </c>
      <c r="G1465" s="98" t="str">
        <f>HYPERLINK("http://mirror.ff7data.com.ar/ff7/data/battle/battle.lgp/cxax.png","View Picture")</f>
        <v>View Picture</v>
      </c>
      <c r="H1465" s="75"/>
      <c r="I1465" s="74"/>
      <c r="J1465" s="74"/>
      <c r="K1465" s="74"/>
    </row>
    <row r="1466">
      <c r="A1466" s="84"/>
      <c r="B1466" s="119" t="s">
        <v>15930</v>
      </c>
      <c r="C1466" s="120" t="s">
        <v>4264</v>
      </c>
      <c r="D1466" s="33" t="s">
        <v>15835</v>
      </c>
      <c r="E1466" s="51" t="s">
        <v>350</v>
      </c>
      <c r="F1466" s="121" t="s">
        <v>3009</v>
      </c>
      <c r="G1466" s="98" t="str">
        <f>HYPERLINK("http://mirror.ff7data.com.ar/ff7/data/battle/battle.lgp/cxaz.png","View Picture")</f>
        <v>View Picture</v>
      </c>
      <c r="H1466" s="75"/>
      <c r="I1466" s="74"/>
      <c r="J1466" s="74"/>
      <c r="K1466" s="74"/>
    </row>
    <row r="1467">
      <c r="A1467" s="84"/>
      <c r="B1467" s="119" t="s">
        <v>15938</v>
      </c>
      <c r="C1467" s="120" t="s">
        <v>4372</v>
      </c>
      <c r="D1467" s="33" t="s">
        <v>15835</v>
      </c>
      <c r="E1467" s="51" t="s">
        <v>350</v>
      </c>
      <c r="F1467" s="121" t="s">
        <v>3009</v>
      </c>
      <c r="G1467" s="98" t="str">
        <f>HYPERLINK("http://mirror.ff7data.com.ar/ff7/data/battle/battle.lgp/cxbb.png","View Picture")</f>
        <v>View Picture</v>
      </c>
      <c r="H1467" s="75"/>
      <c r="I1467" s="74"/>
      <c r="J1467" s="74"/>
      <c r="K1467" s="74"/>
    </row>
    <row r="1468">
      <c r="A1468" s="84"/>
      <c r="B1468" s="119" t="s">
        <v>15945</v>
      </c>
      <c r="C1468" s="120" t="s">
        <v>4372</v>
      </c>
      <c r="D1468" s="33" t="s">
        <v>15835</v>
      </c>
      <c r="E1468" s="51" t="s">
        <v>350</v>
      </c>
      <c r="F1468" s="121" t="s">
        <v>3009</v>
      </c>
      <c r="G1468" s="98" t="str">
        <f>HYPERLINK("http://mirror.ff7data.com.ar/ff7/data/battle/battle.lgp/cxbd.png","View Picture")</f>
        <v>View Picture</v>
      </c>
      <c r="H1468" s="75"/>
      <c r="I1468" s="74"/>
      <c r="J1468" s="74"/>
      <c r="K1468" s="74"/>
    </row>
    <row r="1469">
      <c r="A1469" s="84"/>
      <c r="B1469" s="119" t="s">
        <v>15956</v>
      </c>
      <c r="C1469" s="120" t="s">
        <v>4719</v>
      </c>
      <c r="D1469" s="33" t="s">
        <v>15835</v>
      </c>
      <c r="E1469" s="51" t="s">
        <v>350</v>
      </c>
      <c r="F1469" s="121" t="s">
        <v>3009</v>
      </c>
      <c r="G1469" s="98" t="str">
        <f>HYPERLINK("http://mirror.ff7data.com.ar/ff7/data/battle/battle.lgp/cxbg.png","View Picture")</f>
        <v>View Picture</v>
      </c>
      <c r="H1469" s="75"/>
      <c r="I1469" s="74"/>
      <c r="J1469" s="74"/>
      <c r="K1469" s="74"/>
    </row>
    <row r="1470">
      <c r="A1470" s="84"/>
      <c r="B1470" s="119" t="s">
        <v>15967</v>
      </c>
      <c r="C1470" s="120" t="s">
        <v>4264</v>
      </c>
      <c r="D1470" s="33" t="s">
        <v>15835</v>
      </c>
      <c r="E1470" s="51" t="s">
        <v>350</v>
      </c>
      <c r="F1470" s="121" t="s">
        <v>3009</v>
      </c>
      <c r="G1470" s="98" t="str">
        <f>HYPERLINK("http://mirror.ff7data.com.ar/ff7/data/battle/battle.lgp/cxbh.png","View Picture")</f>
        <v>View Picture</v>
      </c>
      <c r="H1470" s="75"/>
      <c r="I1470" s="74"/>
      <c r="J1470" s="74"/>
      <c r="K1470" s="74"/>
    </row>
    <row r="1471">
      <c r="A1471" s="84"/>
      <c r="B1471" s="119" t="s">
        <v>15978</v>
      </c>
      <c r="C1471" s="120" t="s">
        <v>6029</v>
      </c>
      <c r="D1471" s="33" t="s">
        <v>15835</v>
      </c>
      <c r="E1471" s="51" t="s">
        <v>350</v>
      </c>
      <c r="F1471" s="121" t="s">
        <v>3009</v>
      </c>
      <c r="G1471" s="98" t="str">
        <f>HYPERLINK("http://mirror.ff7data.com.ar/ff7/data/battle/battle.lgp/cxbi.png","View Picture")</f>
        <v>View Picture</v>
      </c>
      <c r="H1471" s="75"/>
      <c r="I1471" s="74"/>
      <c r="J1471" s="74"/>
      <c r="K1471" s="74"/>
    </row>
    <row r="1472">
      <c r="A1472" s="84"/>
      <c r="B1472" s="119" t="s">
        <v>15988</v>
      </c>
      <c r="C1472" s="120" t="s">
        <v>4264</v>
      </c>
      <c r="D1472" s="33" t="s">
        <v>15835</v>
      </c>
      <c r="E1472" s="51" t="s">
        <v>350</v>
      </c>
      <c r="F1472" s="121" t="s">
        <v>3009</v>
      </c>
      <c r="G1472" s="98" t="str">
        <f>HYPERLINK("http://mirror.ff7data.com.ar/ff7/data/battle/battle.lgp/cxbk.png","View Picture")</f>
        <v>View Picture</v>
      </c>
      <c r="H1472" s="75"/>
      <c r="I1472" s="74"/>
      <c r="J1472" s="74"/>
      <c r="K1472" s="74"/>
    </row>
    <row r="1473">
      <c r="A1473" s="84"/>
      <c r="B1473" s="119" t="s">
        <v>15998</v>
      </c>
      <c r="C1473" s="120" t="s">
        <v>4372</v>
      </c>
      <c r="D1473" s="33" t="s">
        <v>15835</v>
      </c>
      <c r="E1473" s="51" t="s">
        <v>350</v>
      </c>
      <c r="F1473" s="121" t="s">
        <v>3009</v>
      </c>
      <c r="G1473" s="98" t="str">
        <f>HYPERLINK("http://mirror.ff7data.com.ar/ff7/data/battle/battle.lgp/cxbm.png","View Picture")</f>
        <v>View Picture</v>
      </c>
      <c r="H1473" s="75"/>
      <c r="I1473" s="74"/>
      <c r="J1473" s="74"/>
      <c r="K1473" s="74"/>
    </row>
    <row r="1474">
      <c r="A1474" s="84"/>
      <c r="B1474" s="119" t="s">
        <v>16007</v>
      </c>
      <c r="C1474" s="120" t="s">
        <v>4372</v>
      </c>
      <c r="D1474" s="33" t="s">
        <v>15835</v>
      </c>
      <c r="E1474" s="51" t="s">
        <v>350</v>
      </c>
      <c r="F1474" s="121" t="s">
        <v>3009</v>
      </c>
      <c r="G1474" s="98" t="str">
        <f>HYPERLINK("http://mirror.ff7data.com.ar/ff7/data/battle/battle.lgp/cxbo.png","View Picture")</f>
        <v>View Picture</v>
      </c>
      <c r="H1474" s="75"/>
      <c r="I1474" s="74"/>
      <c r="J1474" s="74"/>
      <c r="K1474" s="74"/>
    </row>
    <row r="1475">
      <c r="A1475" s="84"/>
      <c r="B1475" s="119" t="s">
        <v>16015</v>
      </c>
      <c r="C1475" s="120" t="s">
        <v>4372</v>
      </c>
      <c r="D1475" s="33" t="s">
        <v>15835</v>
      </c>
      <c r="E1475" s="51" t="s">
        <v>350</v>
      </c>
      <c r="F1475" s="121" t="s">
        <v>3009</v>
      </c>
      <c r="G1475" s="98" t="str">
        <f>HYPERLINK("http://mirror.ff7data.com.ar/ff7/data/battle/battle.lgp/cxbq.png","View Picture")</f>
        <v>View Picture</v>
      </c>
      <c r="H1475" s="75"/>
      <c r="I1475" s="74"/>
      <c r="J1475" s="74"/>
      <c r="K1475" s="74"/>
    </row>
    <row r="1476">
      <c r="A1476" s="84"/>
      <c r="B1476" s="119" t="s">
        <v>16024</v>
      </c>
      <c r="C1476" s="120" t="s">
        <v>4372</v>
      </c>
      <c r="D1476" s="33" t="s">
        <v>15835</v>
      </c>
      <c r="E1476" s="51" t="s">
        <v>350</v>
      </c>
      <c r="F1476" s="121" t="s">
        <v>3009</v>
      </c>
      <c r="G1476" s="98" t="str">
        <f>HYPERLINK("http://mirror.ff7data.com.ar/ff7/data/battle/battle.lgp/cxbr.png","View Picture")</f>
        <v>View Picture</v>
      </c>
      <c r="H1476" s="75"/>
      <c r="I1476" s="74"/>
      <c r="J1476" s="74"/>
      <c r="K1476" s="74"/>
    </row>
    <row r="1477">
      <c r="A1477" s="84"/>
      <c r="B1477" s="119" t="s">
        <v>16035</v>
      </c>
      <c r="C1477" s="120" t="s">
        <v>4372</v>
      </c>
      <c r="D1477" s="33" t="s">
        <v>15835</v>
      </c>
      <c r="E1477" s="51" t="s">
        <v>350</v>
      </c>
      <c r="F1477" s="121" t="s">
        <v>3009</v>
      </c>
      <c r="G1477" s="98" t="str">
        <f>HYPERLINK("http://mirror.ff7data.com.ar/ff7/data/battle/battle.lgp/cxbs.png","View Picture")</f>
        <v>View Picture</v>
      </c>
      <c r="H1477" s="75"/>
      <c r="I1477" s="74"/>
      <c r="J1477" s="74"/>
      <c r="K1477" s="74"/>
    </row>
    <row r="1478">
      <c r="A1478" s="84"/>
      <c r="B1478" s="119" t="s">
        <v>16047</v>
      </c>
      <c r="C1478" s="120" t="s">
        <v>4185</v>
      </c>
      <c r="D1478" s="33" t="s">
        <v>15835</v>
      </c>
      <c r="E1478" s="51" t="s">
        <v>350</v>
      </c>
      <c r="F1478" s="121" t="s">
        <v>3009</v>
      </c>
      <c r="G1478" s="98" t="str">
        <f>HYPERLINK("http://mirror.ff7data.com.ar/ff7/data/battle/battle.lgp/cxbt.png","View Picture")</f>
        <v>View Picture</v>
      </c>
      <c r="H1478" s="75"/>
      <c r="I1478" s="74"/>
      <c r="J1478" s="74"/>
      <c r="K1478" s="74"/>
    </row>
    <row r="1479">
      <c r="A1479" s="84"/>
      <c r="B1479" s="119" t="s">
        <v>16058</v>
      </c>
      <c r="C1479" s="120" t="s">
        <v>4372</v>
      </c>
      <c r="D1479" s="33" t="s">
        <v>15835</v>
      </c>
      <c r="E1479" s="51" t="s">
        <v>350</v>
      </c>
      <c r="F1479" s="121" t="s">
        <v>3009</v>
      </c>
      <c r="G1479" s="98" t="str">
        <f>HYPERLINK("http://mirror.ff7data.com.ar/ff7/data/battle/battle.lgp/cxbv.png","View Picture")</f>
        <v>View Picture</v>
      </c>
      <c r="H1479" s="75"/>
      <c r="I1479" s="74"/>
      <c r="J1479" s="74"/>
      <c r="K1479" s="74"/>
    </row>
    <row r="1480">
      <c r="A1480" s="84"/>
      <c r="B1480" s="119" t="s">
        <v>16067</v>
      </c>
      <c r="C1480" s="120" t="s">
        <v>4372</v>
      </c>
      <c r="D1480" s="33" t="s">
        <v>15835</v>
      </c>
      <c r="E1480" s="51" t="s">
        <v>350</v>
      </c>
      <c r="F1480" s="121" t="s">
        <v>3009</v>
      </c>
      <c r="G1480" s="98" t="str">
        <f>HYPERLINK("http://mirror.ff7data.com.ar/ff7/data/battle/battle.lgp/cxbw.png","View Picture")</f>
        <v>View Picture</v>
      </c>
      <c r="H1480" s="75"/>
      <c r="I1480" s="74"/>
      <c r="J1480" s="74"/>
      <c r="K1480" s="74"/>
    </row>
    <row r="1481">
      <c r="A1481" s="84"/>
      <c r="B1481" s="119" t="s">
        <v>16076</v>
      </c>
      <c r="C1481" s="120" t="s">
        <v>4719</v>
      </c>
      <c r="D1481" s="33" t="s">
        <v>15835</v>
      </c>
      <c r="E1481" s="51" t="s">
        <v>350</v>
      </c>
      <c r="F1481" s="121" t="s">
        <v>3009</v>
      </c>
      <c r="G1481" s="98" t="str">
        <f>HYPERLINK("http://mirror.ff7data.com.ar/ff7/data/battle/battle.lgp/cxbx.png","View Picture")</f>
        <v>View Picture</v>
      </c>
      <c r="H1481" s="75"/>
      <c r="I1481" s="74"/>
      <c r="J1481" s="74"/>
      <c r="K1481" s="74"/>
    </row>
    <row r="1482">
      <c r="A1482" s="84"/>
      <c r="B1482" s="119" t="s">
        <v>16087</v>
      </c>
      <c r="C1482" s="120" t="s">
        <v>4476</v>
      </c>
      <c r="D1482" s="33" t="s">
        <v>15835</v>
      </c>
      <c r="E1482" s="51" t="s">
        <v>350</v>
      </c>
      <c r="F1482" s="121" t="s">
        <v>3009</v>
      </c>
      <c r="G1482" s="98" t="str">
        <f>HYPERLINK("http://mirror.ff7data.com.ar/ff7/data/battle/battle.lgp/cxby.png","View Picture")</f>
        <v>View Picture</v>
      </c>
      <c r="H1482" s="75"/>
      <c r="I1482" s="74"/>
      <c r="J1482" s="74"/>
      <c r="K1482" s="74"/>
    </row>
    <row r="1483">
      <c r="A1483" s="84"/>
      <c r="B1483" s="119" t="s">
        <v>16100</v>
      </c>
      <c r="C1483" s="120" t="s">
        <v>3573</v>
      </c>
      <c r="D1483" s="33" t="s">
        <v>15835</v>
      </c>
      <c r="E1483" s="51" t="s">
        <v>350</v>
      </c>
      <c r="F1483" s="121" t="s">
        <v>3025</v>
      </c>
      <c r="G1483" s="122"/>
      <c r="H1483" s="46" t="s">
        <v>3002</v>
      </c>
      <c r="I1483" s="74"/>
      <c r="J1483" s="74"/>
      <c r="K1483" s="74"/>
    </row>
    <row r="1484">
      <c r="A1484" s="84"/>
      <c r="B1484" s="119" t="s">
        <v>16106</v>
      </c>
      <c r="C1484" s="120" t="s">
        <v>8845</v>
      </c>
      <c r="D1484" s="33" t="s">
        <v>16107</v>
      </c>
      <c r="E1484" s="51" t="s">
        <v>353</v>
      </c>
      <c r="F1484" s="121" t="s">
        <v>2971</v>
      </c>
      <c r="G1484" s="98" t="str">
        <f>HYPERLINK("http://mirror.ff7data.com.ar/ff7/data/battle/battle.lgp/cyaa.png","View Picture")</f>
        <v>View Picture</v>
      </c>
      <c r="H1484" s="75"/>
      <c r="I1484" s="74"/>
      <c r="J1484" s="74"/>
      <c r="K1484" s="74"/>
    </row>
    <row r="1485">
      <c r="A1485" s="84"/>
      <c r="B1485" s="119" t="s">
        <v>16116</v>
      </c>
      <c r="C1485" s="120" t="s">
        <v>4209</v>
      </c>
      <c r="D1485" s="33" t="s">
        <v>16119</v>
      </c>
      <c r="E1485" s="51" t="s">
        <v>353</v>
      </c>
      <c r="F1485" s="121" t="s">
        <v>2993</v>
      </c>
      <c r="G1485" s="122"/>
      <c r="H1485" s="46" t="s">
        <v>3002</v>
      </c>
      <c r="I1485" s="74"/>
      <c r="J1485" s="74"/>
      <c r="K1485" s="74"/>
    </row>
    <row r="1486">
      <c r="A1486" s="84"/>
      <c r="B1486" s="119" t="s">
        <v>16122</v>
      </c>
      <c r="C1486" s="120" t="s">
        <v>9041</v>
      </c>
      <c r="D1486" s="33" t="s">
        <v>16119</v>
      </c>
      <c r="E1486" s="51" t="s">
        <v>353</v>
      </c>
      <c r="F1486" s="121" t="s">
        <v>3009</v>
      </c>
      <c r="G1486" s="98" t="str">
        <f>HYPERLINK("http://mirror.ff7data.com.ar/ff7/data/battle/battle.lgp/cyam.png","View Picture")</f>
        <v>View Picture</v>
      </c>
      <c r="H1486" s="75"/>
      <c r="I1486" s="74"/>
      <c r="J1486" s="74"/>
      <c r="K1486" s="74"/>
    </row>
    <row r="1487">
      <c r="A1487" s="84"/>
      <c r="B1487" s="119" t="s">
        <v>16134</v>
      </c>
      <c r="C1487" s="120" t="s">
        <v>4167</v>
      </c>
      <c r="D1487" s="33" t="s">
        <v>16119</v>
      </c>
      <c r="E1487" s="51" t="s">
        <v>353</v>
      </c>
      <c r="F1487" s="121" t="s">
        <v>3009</v>
      </c>
      <c r="G1487" s="98" t="str">
        <f>HYPERLINK("http://mirror.ff7data.com.ar/ff7/data/battle/battle.lgp/cyan.png","View Picture")</f>
        <v>View Picture</v>
      </c>
      <c r="H1487" s="75"/>
      <c r="I1487" s="74"/>
      <c r="J1487" s="74"/>
      <c r="K1487" s="74"/>
    </row>
    <row r="1488">
      <c r="A1488" s="84"/>
      <c r="B1488" s="119" t="s">
        <v>16145</v>
      </c>
      <c r="C1488" s="120" t="s">
        <v>4732</v>
      </c>
      <c r="D1488" s="33" t="s">
        <v>16119</v>
      </c>
      <c r="E1488" s="51" t="s">
        <v>353</v>
      </c>
      <c r="F1488" s="121" t="s">
        <v>3009</v>
      </c>
      <c r="G1488" s="98" t="str">
        <f>HYPERLINK("http://mirror.ff7data.com.ar/ff7/data/battle/battle.lgp/cyao.png","View Picture")</f>
        <v>View Picture</v>
      </c>
      <c r="H1488" s="75"/>
      <c r="I1488" s="74"/>
      <c r="J1488" s="74"/>
      <c r="K1488" s="74"/>
    </row>
    <row r="1489">
      <c r="A1489" s="84"/>
      <c r="B1489" s="119" t="s">
        <v>16158</v>
      </c>
      <c r="C1489" s="120" t="s">
        <v>4264</v>
      </c>
      <c r="D1489" s="33" t="s">
        <v>16119</v>
      </c>
      <c r="E1489" s="51" t="s">
        <v>353</v>
      </c>
      <c r="F1489" s="121" t="s">
        <v>3009</v>
      </c>
      <c r="G1489" s="98" t="str">
        <f>HYPERLINK("http://mirror.ff7data.com.ar/ff7/data/battle/battle.lgp/cyap.png","View Picture")</f>
        <v>View Picture</v>
      </c>
      <c r="H1489" s="75"/>
      <c r="I1489" s="74"/>
      <c r="J1489" s="74"/>
      <c r="K1489" s="74"/>
    </row>
    <row r="1490">
      <c r="A1490" s="84"/>
      <c r="B1490" s="119" t="s">
        <v>16167</v>
      </c>
      <c r="C1490" s="120" t="s">
        <v>4185</v>
      </c>
      <c r="D1490" s="33" t="s">
        <v>16119</v>
      </c>
      <c r="E1490" s="51" t="s">
        <v>353</v>
      </c>
      <c r="F1490" s="121" t="s">
        <v>3009</v>
      </c>
      <c r="G1490" s="98" t="str">
        <f>HYPERLINK("http://mirror.ff7data.com.ar/ff7/data/battle/battle.lgp/cyaq.png","View Picture")</f>
        <v>View Picture</v>
      </c>
      <c r="H1490" s="75"/>
      <c r="I1490" s="74"/>
      <c r="J1490" s="74"/>
      <c r="K1490" s="74"/>
    </row>
    <row r="1491">
      <c r="A1491" s="84"/>
      <c r="B1491" s="119" t="s">
        <v>16177</v>
      </c>
      <c r="C1491" s="120" t="s">
        <v>3875</v>
      </c>
      <c r="D1491" s="33" t="s">
        <v>16119</v>
      </c>
      <c r="E1491" s="51" t="s">
        <v>353</v>
      </c>
      <c r="F1491" s="121" t="s">
        <v>3009</v>
      </c>
      <c r="G1491" s="98" t="str">
        <f>HYPERLINK("http://mirror.ff7data.com.ar/ff7/data/battle/battle.lgp/cyas.png","View Picture")</f>
        <v>View Picture</v>
      </c>
      <c r="H1491" s="75"/>
      <c r="I1491" s="74"/>
      <c r="J1491" s="74"/>
      <c r="K1491" s="74"/>
    </row>
    <row r="1492">
      <c r="A1492" s="84"/>
      <c r="B1492" s="119" t="s">
        <v>16195</v>
      </c>
      <c r="C1492" s="120" t="s">
        <v>4476</v>
      </c>
      <c r="D1492" s="33" t="s">
        <v>16119</v>
      </c>
      <c r="E1492" s="51" t="s">
        <v>353</v>
      </c>
      <c r="F1492" s="121" t="s">
        <v>3009</v>
      </c>
      <c r="G1492" s="98" t="str">
        <f>HYPERLINK("http://mirror.ff7data.com.ar/ff7/data/battle/battle.lgp/cyau.png","View Picture")</f>
        <v>View Picture</v>
      </c>
      <c r="H1492" s="75"/>
      <c r="I1492" s="74"/>
      <c r="J1492" s="74"/>
      <c r="K1492" s="74"/>
    </row>
    <row r="1493">
      <c r="A1493" s="84"/>
      <c r="B1493" s="119" t="s">
        <v>16209</v>
      </c>
      <c r="C1493" s="120" t="s">
        <v>4439</v>
      </c>
      <c r="D1493" s="33" t="s">
        <v>16119</v>
      </c>
      <c r="E1493" s="51" t="s">
        <v>353</v>
      </c>
      <c r="F1493" s="121" t="s">
        <v>3009</v>
      </c>
      <c r="G1493" s="98" t="str">
        <f>HYPERLINK("http://mirror.ff7data.com.ar/ff7/data/battle/battle.lgp/cyav.png","View Picture")</f>
        <v>View Picture</v>
      </c>
      <c r="H1493" s="75"/>
      <c r="I1493" s="74"/>
      <c r="J1493" s="74"/>
      <c r="K1493" s="74"/>
    </row>
    <row r="1494">
      <c r="A1494" s="84"/>
      <c r="B1494" s="119" t="s">
        <v>16219</v>
      </c>
      <c r="C1494" s="120" t="s">
        <v>5419</v>
      </c>
      <c r="D1494" s="33" t="s">
        <v>16119</v>
      </c>
      <c r="E1494" s="51" t="s">
        <v>353</v>
      </c>
      <c r="F1494" s="121" t="s">
        <v>3009</v>
      </c>
      <c r="G1494" s="98" t="str">
        <f>HYPERLINK("http://mirror.ff7data.com.ar/ff7/data/battle/battle.lgp/cyaw.png","View Picture")</f>
        <v>View Picture</v>
      </c>
      <c r="H1494" s="75"/>
      <c r="I1494" s="74"/>
      <c r="J1494" s="74"/>
      <c r="K1494" s="74"/>
    </row>
    <row r="1495">
      <c r="A1495" s="84"/>
      <c r="B1495" s="119" t="s">
        <v>16228</v>
      </c>
      <c r="C1495" s="120" t="s">
        <v>4476</v>
      </c>
      <c r="D1495" s="33" t="s">
        <v>16119</v>
      </c>
      <c r="E1495" s="51" t="s">
        <v>353</v>
      </c>
      <c r="F1495" s="121" t="s">
        <v>3009</v>
      </c>
      <c r="G1495" s="98" t="str">
        <f>HYPERLINK("http://mirror.ff7data.com.ar/ff7/data/battle/battle.lgp/cyay.png","View Picture")</f>
        <v>View Picture</v>
      </c>
      <c r="H1495" s="75"/>
      <c r="I1495" s="74"/>
      <c r="J1495" s="74"/>
      <c r="K1495" s="74"/>
    </row>
    <row r="1496">
      <c r="A1496" s="84"/>
      <c r="B1496" s="119" t="s">
        <v>16236</v>
      </c>
      <c r="C1496" s="120" t="s">
        <v>4439</v>
      </c>
      <c r="D1496" s="33" t="s">
        <v>16119</v>
      </c>
      <c r="E1496" s="51" t="s">
        <v>353</v>
      </c>
      <c r="F1496" s="121" t="s">
        <v>3009</v>
      </c>
      <c r="G1496" s="98" t="str">
        <f>HYPERLINK("http://mirror.ff7data.com.ar/ff7/data/battle/battle.lgp/cyaz.png","View Picture")</f>
        <v>View Picture</v>
      </c>
      <c r="H1496" s="75"/>
      <c r="I1496" s="74"/>
      <c r="J1496" s="74"/>
      <c r="K1496" s="74"/>
    </row>
    <row r="1497">
      <c r="A1497" s="84"/>
      <c r="B1497" s="119" t="s">
        <v>16245</v>
      </c>
      <c r="C1497" s="120" t="s">
        <v>4719</v>
      </c>
      <c r="D1497" s="33" t="s">
        <v>16119</v>
      </c>
      <c r="E1497" s="51" t="s">
        <v>353</v>
      </c>
      <c r="F1497" s="121" t="s">
        <v>3009</v>
      </c>
      <c r="G1497" s="98" t="str">
        <f>HYPERLINK("http://mirror.ff7data.com.ar/ff7/data/battle/battle.lgp/cyba.png","View Picture")</f>
        <v>View Picture</v>
      </c>
      <c r="H1497" s="75"/>
      <c r="I1497" s="74"/>
      <c r="J1497" s="74"/>
      <c r="K1497" s="74"/>
    </row>
    <row r="1498">
      <c r="A1498" s="84"/>
      <c r="B1498" s="119" t="s">
        <v>16256</v>
      </c>
      <c r="C1498" s="120" t="s">
        <v>6029</v>
      </c>
      <c r="D1498" s="33" t="s">
        <v>16119</v>
      </c>
      <c r="E1498" s="51" t="s">
        <v>353</v>
      </c>
      <c r="F1498" s="121" t="s">
        <v>3009</v>
      </c>
      <c r="G1498" s="98" t="str">
        <f>HYPERLINK("http://mirror.ff7data.com.ar/ff7/data/battle/battle.lgp/cybc.png","View Picture")</f>
        <v>View Picture</v>
      </c>
      <c r="H1498" s="75"/>
      <c r="I1498" s="74"/>
      <c r="J1498" s="74"/>
      <c r="K1498" s="74"/>
    </row>
    <row r="1499">
      <c r="A1499" s="84"/>
      <c r="B1499" s="119" t="s">
        <v>16266</v>
      </c>
      <c r="C1499" s="120" t="s">
        <v>4185</v>
      </c>
      <c r="D1499" s="33" t="s">
        <v>16119</v>
      </c>
      <c r="E1499" s="51" t="s">
        <v>353</v>
      </c>
      <c r="F1499" s="121" t="s">
        <v>3009</v>
      </c>
      <c r="G1499" s="98" t="str">
        <f>HYPERLINK("http://mirror.ff7data.com.ar/ff7/data/battle/battle.lgp/cybd.png","View Picture")</f>
        <v>View Picture</v>
      </c>
      <c r="H1499" s="75"/>
      <c r="I1499" s="74"/>
      <c r="J1499" s="74"/>
      <c r="K1499" s="74"/>
    </row>
    <row r="1500">
      <c r="A1500" s="84"/>
      <c r="B1500" s="119" t="s">
        <v>16275</v>
      </c>
      <c r="C1500" s="120" t="s">
        <v>4057</v>
      </c>
      <c r="D1500" s="33" t="s">
        <v>16119</v>
      </c>
      <c r="E1500" s="51" t="s">
        <v>353</v>
      </c>
      <c r="F1500" s="121" t="s">
        <v>3009</v>
      </c>
      <c r="G1500" s="98" t="str">
        <f>HYPERLINK("http://mirror.ff7data.com.ar/ff7/data/battle/battle.lgp/cybe.png","View Picture")</f>
        <v>View Picture</v>
      </c>
      <c r="H1500" s="75"/>
      <c r="I1500" s="74"/>
      <c r="J1500" s="74"/>
      <c r="K1500" s="74"/>
    </row>
    <row r="1501">
      <c r="A1501" s="84"/>
      <c r="B1501" s="119" t="s">
        <v>16284</v>
      </c>
      <c r="C1501" s="120" t="s">
        <v>4185</v>
      </c>
      <c r="D1501" s="33" t="s">
        <v>16119</v>
      </c>
      <c r="E1501" s="51" t="s">
        <v>353</v>
      </c>
      <c r="F1501" s="121" t="s">
        <v>3009</v>
      </c>
      <c r="G1501" s="98" t="str">
        <f>HYPERLINK("http://mirror.ff7data.com.ar/ff7/data/battle/battle.lgp/cybg.png","View Picture")</f>
        <v>View Picture</v>
      </c>
      <c r="H1501" s="75"/>
      <c r="I1501" s="74"/>
      <c r="J1501" s="74"/>
      <c r="K1501" s="74"/>
    </row>
    <row r="1502">
      <c r="A1502" s="84"/>
      <c r="B1502" s="119" t="s">
        <v>16291</v>
      </c>
      <c r="C1502" s="120" t="s">
        <v>4185</v>
      </c>
      <c r="D1502" s="33" t="s">
        <v>16119</v>
      </c>
      <c r="E1502" s="51" t="s">
        <v>353</v>
      </c>
      <c r="F1502" s="121" t="s">
        <v>3009</v>
      </c>
      <c r="G1502" s="98" t="str">
        <f>HYPERLINK("http://mirror.ff7data.com.ar/ff7/data/battle/battle.lgp/cybh.png","View Picture")</f>
        <v>View Picture</v>
      </c>
      <c r="H1502" s="75"/>
      <c r="I1502" s="74"/>
      <c r="J1502" s="74"/>
      <c r="K1502" s="74"/>
    </row>
    <row r="1503">
      <c r="A1503" s="84"/>
      <c r="B1503" s="119" t="s">
        <v>16297</v>
      </c>
      <c r="C1503" s="120" t="s">
        <v>5419</v>
      </c>
      <c r="D1503" s="33" t="s">
        <v>16119</v>
      </c>
      <c r="E1503" s="51" t="s">
        <v>353</v>
      </c>
      <c r="F1503" s="121" t="s">
        <v>3009</v>
      </c>
      <c r="G1503" s="98" t="str">
        <f>HYPERLINK("http://mirror.ff7data.com.ar/ff7/data/battle/battle.lgp/cybi.png","View Picture")</f>
        <v>View Picture</v>
      </c>
      <c r="H1503" s="75"/>
      <c r="I1503" s="74"/>
      <c r="J1503" s="74"/>
      <c r="K1503" s="74"/>
    </row>
    <row r="1504">
      <c r="A1504" s="84"/>
      <c r="B1504" s="119" t="s">
        <v>16304</v>
      </c>
      <c r="C1504" s="120" t="s">
        <v>4658</v>
      </c>
      <c r="D1504" s="33" t="s">
        <v>16119</v>
      </c>
      <c r="E1504" s="51" t="s">
        <v>353</v>
      </c>
      <c r="F1504" s="121" t="s">
        <v>3009</v>
      </c>
      <c r="G1504" s="98" t="str">
        <f>HYPERLINK("http://mirror.ff7data.com.ar/ff7/data/battle/battle.lgp/cybk.png","View Picture")</f>
        <v>View Picture</v>
      </c>
      <c r="H1504" s="75"/>
      <c r="I1504" s="74"/>
      <c r="J1504" s="74"/>
      <c r="K1504" s="74"/>
    </row>
    <row r="1505">
      <c r="A1505" s="84"/>
      <c r="B1505" s="119" t="s">
        <v>16313</v>
      </c>
      <c r="C1505" s="120" t="s">
        <v>3768</v>
      </c>
      <c r="D1505" s="33" t="s">
        <v>16119</v>
      </c>
      <c r="E1505" s="51" t="s">
        <v>353</v>
      </c>
      <c r="F1505" s="121" t="s">
        <v>3025</v>
      </c>
      <c r="G1505" s="122"/>
      <c r="H1505" s="46" t="s">
        <v>3002</v>
      </c>
      <c r="I1505" s="74"/>
      <c r="J1505" s="74"/>
      <c r="K1505" s="74"/>
    </row>
    <row r="1506">
      <c r="A1506" s="84"/>
      <c r="B1506" s="119" t="s">
        <v>16318</v>
      </c>
      <c r="C1506" s="120" t="s">
        <v>8241</v>
      </c>
      <c r="D1506" s="33" t="s">
        <v>16320</v>
      </c>
      <c r="E1506" s="39" t="s">
        <v>356</v>
      </c>
      <c r="F1506" s="121" t="s">
        <v>2971</v>
      </c>
      <c r="G1506" s="98" t="str">
        <f>HYPERLINK("http://mirror.ff7data.com.ar/ff7/data/battle/battle.lgp/czaa.png","View Picture")</f>
        <v>View Picture</v>
      </c>
      <c r="H1506" s="75"/>
      <c r="I1506" s="74"/>
      <c r="J1506" s="74"/>
      <c r="K1506" s="74"/>
    </row>
    <row r="1507">
      <c r="A1507" s="84"/>
      <c r="B1507" s="119" t="s">
        <v>16334</v>
      </c>
      <c r="C1507" s="120" t="s">
        <v>6029</v>
      </c>
      <c r="D1507" s="33" t="s">
        <v>16336</v>
      </c>
      <c r="E1507" s="39" t="s">
        <v>356</v>
      </c>
      <c r="F1507" s="121" t="s">
        <v>2993</v>
      </c>
      <c r="G1507" s="122"/>
      <c r="H1507" s="46" t="s">
        <v>3002</v>
      </c>
      <c r="I1507" s="74"/>
      <c r="J1507" s="74"/>
      <c r="K1507" s="74"/>
    </row>
    <row r="1508">
      <c r="A1508" s="84"/>
      <c r="B1508" s="119" t="s">
        <v>16339</v>
      </c>
      <c r="C1508" s="120" t="s">
        <v>3997</v>
      </c>
      <c r="D1508" s="33" t="s">
        <v>16341</v>
      </c>
      <c r="E1508" s="39" t="s">
        <v>356</v>
      </c>
      <c r="F1508" s="121" t="s">
        <v>1348</v>
      </c>
      <c r="G1508" s="98" t="str">
        <f>HYPERLINK("http://mirror.ff7data.com.ar/ff7/data/battle/battle.lgp/czac.png","View Picture")</f>
        <v>View Picture</v>
      </c>
      <c r="H1508" s="75"/>
      <c r="I1508" s="74"/>
      <c r="J1508" s="74"/>
      <c r="K1508" s="74"/>
    </row>
    <row r="1509">
      <c r="A1509" s="84"/>
      <c r="B1509" s="119" t="s">
        <v>16352</v>
      </c>
      <c r="C1509" s="120" t="s">
        <v>3853</v>
      </c>
      <c r="D1509" s="33" t="s">
        <v>16336</v>
      </c>
      <c r="E1509" s="39" t="s">
        <v>356</v>
      </c>
      <c r="F1509" s="121" t="s">
        <v>3009</v>
      </c>
      <c r="G1509" s="98" t="str">
        <f>HYPERLINK("http://mirror.ff7data.com.ar/ff7/data/battle/battle.lgp/czam.png","View Picture")</f>
        <v>View Picture</v>
      </c>
      <c r="H1509" s="75"/>
      <c r="I1509" s="74"/>
      <c r="J1509" s="74"/>
      <c r="K1509" s="74"/>
    </row>
    <row r="1510">
      <c r="A1510" s="84"/>
      <c r="B1510" s="119" t="s">
        <v>16360</v>
      </c>
      <c r="C1510" s="120" t="s">
        <v>4357</v>
      </c>
      <c r="D1510" s="33" t="s">
        <v>16336</v>
      </c>
      <c r="E1510" s="39" t="s">
        <v>356</v>
      </c>
      <c r="F1510" s="121" t="s">
        <v>3009</v>
      </c>
      <c r="G1510" s="98" t="str">
        <f>HYPERLINK("http://mirror.ff7data.com.ar/ff7/data/battle/battle.lgp/czat.png","View Picture")</f>
        <v>View Picture</v>
      </c>
      <c r="H1510" s="75"/>
      <c r="I1510" s="74"/>
      <c r="J1510" s="74"/>
      <c r="K1510" s="74"/>
    </row>
    <row r="1511">
      <c r="A1511" s="84"/>
      <c r="B1511" s="119" t="s">
        <v>16366</v>
      </c>
      <c r="C1511" s="120" t="s">
        <v>4240</v>
      </c>
      <c r="D1511" s="33" t="s">
        <v>16336</v>
      </c>
      <c r="E1511" s="39" t="s">
        <v>356</v>
      </c>
      <c r="F1511" s="121" t="s">
        <v>3009</v>
      </c>
      <c r="G1511" s="98" t="str">
        <f>HYPERLINK("http://mirror.ff7data.com.ar/ff7/data/battle/battle.lgp/czau.png","View Picture")</f>
        <v>View Picture</v>
      </c>
      <c r="H1511" s="75"/>
      <c r="I1511" s="74"/>
      <c r="J1511" s="74"/>
      <c r="K1511" s="74"/>
    </row>
    <row r="1512">
      <c r="A1512" s="84"/>
      <c r="B1512" s="119" t="s">
        <v>16376</v>
      </c>
      <c r="C1512" s="120" t="s">
        <v>4372</v>
      </c>
      <c r="D1512" s="33" t="s">
        <v>16336</v>
      </c>
      <c r="E1512" s="39" t="s">
        <v>356</v>
      </c>
      <c r="F1512" s="121" t="s">
        <v>3009</v>
      </c>
      <c r="G1512" s="98" t="str">
        <f>HYPERLINK("http://mirror.ff7data.com.ar/ff7/data/battle/battle.lgp/czaw.png","View Picture")</f>
        <v>View Picture</v>
      </c>
      <c r="H1512" s="75"/>
      <c r="I1512" s="74"/>
      <c r="J1512" s="74"/>
      <c r="K1512" s="74"/>
    </row>
    <row r="1513">
      <c r="A1513" s="84"/>
      <c r="B1513" s="119" t="s">
        <v>16385</v>
      </c>
      <c r="C1513" s="120" t="s">
        <v>4372</v>
      </c>
      <c r="D1513" s="33" t="s">
        <v>16336</v>
      </c>
      <c r="E1513" s="39" t="s">
        <v>356</v>
      </c>
      <c r="F1513" s="121" t="s">
        <v>3009</v>
      </c>
      <c r="G1513" s="98" t="str">
        <f>HYPERLINK("http://mirror.ff7data.com.ar/ff7/data/battle/battle.lgp/czay.png","View Picture")</f>
        <v>View Picture</v>
      </c>
      <c r="H1513" s="75"/>
      <c r="I1513" s="74"/>
      <c r="J1513" s="74"/>
      <c r="K1513" s="74"/>
    </row>
    <row r="1514">
      <c r="A1514" s="84"/>
      <c r="B1514" s="119" t="s">
        <v>16387</v>
      </c>
      <c r="C1514" s="120" t="s">
        <v>4719</v>
      </c>
      <c r="D1514" s="33" t="s">
        <v>16336</v>
      </c>
      <c r="E1514" s="39" t="s">
        <v>356</v>
      </c>
      <c r="F1514" s="121" t="s">
        <v>3009</v>
      </c>
      <c r="G1514" s="98" t="str">
        <f>HYPERLINK("http://mirror.ff7data.com.ar/ff7/data/battle/battle.lgp/czbb.png","View Picture")</f>
        <v>View Picture</v>
      </c>
      <c r="H1514" s="75"/>
      <c r="I1514" s="74"/>
      <c r="J1514" s="74"/>
      <c r="K1514" s="74"/>
    </row>
    <row r="1515">
      <c r="A1515" s="84"/>
      <c r="B1515" s="119" t="s">
        <v>16395</v>
      </c>
      <c r="C1515" s="120" t="s">
        <v>7165</v>
      </c>
      <c r="D1515" s="33" t="s">
        <v>16336</v>
      </c>
      <c r="E1515" s="39" t="s">
        <v>356</v>
      </c>
      <c r="F1515" s="121" t="s">
        <v>3009</v>
      </c>
      <c r="G1515" s="98" t="str">
        <f>HYPERLINK("http://mirror.ff7data.com.ar/ff7/data/battle/battle.lgp/czbc.png","View Picture")</f>
        <v>View Picture</v>
      </c>
      <c r="H1515" s="75"/>
      <c r="I1515" s="74"/>
      <c r="J1515" s="74"/>
      <c r="K1515" s="74"/>
    </row>
    <row r="1516">
      <c r="A1516" s="84"/>
      <c r="B1516" s="119" t="s">
        <v>16403</v>
      </c>
      <c r="C1516" s="120" t="s">
        <v>4719</v>
      </c>
      <c r="D1516" s="33" t="s">
        <v>16336</v>
      </c>
      <c r="E1516" s="39" t="s">
        <v>356</v>
      </c>
      <c r="F1516" s="121" t="s">
        <v>3009</v>
      </c>
      <c r="G1516" s="98" t="str">
        <f>HYPERLINK("http://mirror.ff7data.com.ar/ff7/data/battle/battle.lgp/czbf.png","View Picture")</f>
        <v>View Picture</v>
      </c>
      <c r="H1516" s="75"/>
      <c r="I1516" s="74"/>
      <c r="J1516" s="74"/>
      <c r="K1516" s="74"/>
    </row>
    <row r="1517">
      <c r="A1517" s="84"/>
      <c r="B1517" s="119" t="s">
        <v>16414</v>
      </c>
      <c r="C1517" s="120" t="s">
        <v>7165</v>
      </c>
      <c r="D1517" s="33" t="s">
        <v>16336</v>
      </c>
      <c r="E1517" s="39" t="s">
        <v>356</v>
      </c>
      <c r="F1517" s="121" t="s">
        <v>3009</v>
      </c>
      <c r="G1517" s="98" t="str">
        <f>HYPERLINK("http://mirror.ff7data.com.ar/ff7/data/battle/battle.lgp/czbg.png","View Picture")</f>
        <v>View Picture</v>
      </c>
      <c r="H1517" s="75"/>
      <c r="I1517" s="74"/>
      <c r="J1517" s="74"/>
      <c r="K1517" s="74"/>
    </row>
    <row r="1518">
      <c r="A1518" s="84"/>
      <c r="B1518" s="119" t="s">
        <v>16424</v>
      </c>
      <c r="C1518" s="120" t="s">
        <v>4439</v>
      </c>
      <c r="D1518" s="33" t="s">
        <v>16336</v>
      </c>
      <c r="E1518" s="39" t="s">
        <v>356</v>
      </c>
      <c r="F1518" s="121" t="s">
        <v>3009</v>
      </c>
      <c r="G1518" s="98" t="str">
        <f>HYPERLINK("http://mirror.ff7data.com.ar/ff7/data/battle/battle.lgp/czbi.png","View Picture")</f>
        <v>View Picture</v>
      </c>
      <c r="H1518" s="75"/>
      <c r="I1518" s="74"/>
      <c r="J1518" s="74"/>
      <c r="K1518" s="74"/>
    </row>
    <row r="1519">
      <c r="A1519" s="84"/>
      <c r="B1519" s="119" t="s">
        <v>16432</v>
      </c>
      <c r="C1519" s="120" t="s">
        <v>3658</v>
      </c>
      <c r="D1519" s="33" t="s">
        <v>16336</v>
      </c>
      <c r="E1519" s="39" t="s">
        <v>356</v>
      </c>
      <c r="F1519" s="121" t="s">
        <v>3009</v>
      </c>
      <c r="G1519" s="98" t="str">
        <f>HYPERLINK("http://mirror.ff7data.com.ar/ff7/data/battle/battle.lgp/czbj.png","View Picture")</f>
        <v>View Picture</v>
      </c>
      <c r="H1519" s="75"/>
      <c r="I1519" s="74"/>
      <c r="J1519" s="74"/>
      <c r="K1519" s="74"/>
    </row>
    <row r="1520">
      <c r="A1520" s="84"/>
      <c r="B1520" s="119" t="s">
        <v>16443</v>
      </c>
      <c r="C1520" s="120" t="s">
        <v>3658</v>
      </c>
      <c r="D1520" s="33" t="s">
        <v>16336</v>
      </c>
      <c r="E1520" s="39" t="s">
        <v>356</v>
      </c>
      <c r="F1520" s="121" t="s">
        <v>3009</v>
      </c>
      <c r="G1520" s="98" t="str">
        <f>HYPERLINK("http://mirror.ff7data.com.ar/ff7/data/battle/battle.lgp/czbk.png","View Picture")</f>
        <v>View Picture</v>
      </c>
      <c r="H1520" s="75"/>
      <c r="I1520" s="74"/>
      <c r="J1520" s="74"/>
      <c r="K1520" s="74"/>
    </row>
    <row r="1521">
      <c r="A1521" s="84"/>
      <c r="B1521" s="119" t="s">
        <v>16451</v>
      </c>
      <c r="C1521" s="120" t="s">
        <v>3749</v>
      </c>
      <c r="D1521" s="33" t="s">
        <v>16336</v>
      </c>
      <c r="E1521" s="39" t="s">
        <v>356</v>
      </c>
      <c r="F1521" s="121" t="s">
        <v>3009</v>
      </c>
      <c r="G1521" s="98" t="str">
        <f>HYPERLINK("http://mirror.ff7data.com.ar/ff7/data/battle/battle.lgp/czbl.png","View Picture")</f>
        <v>View Picture</v>
      </c>
      <c r="H1521" s="75"/>
      <c r="I1521" s="74"/>
      <c r="J1521" s="74"/>
      <c r="K1521" s="74"/>
    </row>
    <row r="1522">
      <c r="A1522" s="84"/>
      <c r="B1522" s="119" t="s">
        <v>16459</v>
      </c>
      <c r="C1522" s="120" t="s">
        <v>3370</v>
      </c>
      <c r="D1522" s="33" t="s">
        <v>16336</v>
      </c>
      <c r="E1522" s="39" t="s">
        <v>356</v>
      </c>
      <c r="F1522" s="121" t="s">
        <v>3025</v>
      </c>
      <c r="G1522" s="122"/>
      <c r="H1522" s="46" t="s">
        <v>3002</v>
      </c>
      <c r="I1522" s="74"/>
      <c r="J1522" s="74"/>
      <c r="K1522" s="74"/>
    </row>
    <row r="1523">
      <c r="A1523" s="84"/>
      <c r="B1523" s="119" t="s">
        <v>16463</v>
      </c>
      <c r="C1523" s="120" t="s">
        <v>11721</v>
      </c>
      <c r="D1523" s="33" t="s">
        <v>16464</v>
      </c>
      <c r="E1523" s="147" t="s">
        <v>359</v>
      </c>
      <c r="F1523" s="121" t="s">
        <v>2971</v>
      </c>
      <c r="G1523" s="98" t="str">
        <f>HYPERLINK("http://mirror.ff7data.com.ar/ff7/data/battle/battle.lgp/daaa.png","View Picture")</f>
        <v>View Picture</v>
      </c>
      <c r="H1523" s="75"/>
      <c r="I1523" s="74"/>
      <c r="J1523" s="74"/>
      <c r="K1523" s="74"/>
    </row>
    <row r="1524">
      <c r="A1524" s="84"/>
      <c r="B1524" s="119" t="s">
        <v>16472</v>
      </c>
      <c r="C1524" s="120" t="s">
        <v>4109</v>
      </c>
      <c r="D1524" s="33" t="s">
        <v>16474</v>
      </c>
      <c r="E1524" s="147" t="s">
        <v>359</v>
      </c>
      <c r="F1524" s="121" t="s">
        <v>2993</v>
      </c>
      <c r="G1524" s="122"/>
      <c r="H1524" s="46" t="s">
        <v>3002</v>
      </c>
      <c r="I1524" s="74"/>
      <c r="J1524" s="74"/>
      <c r="K1524" s="74"/>
    </row>
    <row r="1525">
      <c r="A1525" s="84"/>
      <c r="B1525" s="119" t="s">
        <v>16477</v>
      </c>
      <c r="C1525" s="120" t="s">
        <v>3997</v>
      </c>
      <c r="D1525" s="33" t="s">
        <v>16479</v>
      </c>
      <c r="E1525" s="147" t="s">
        <v>359</v>
      </c>
      <c r="F1525" s="121" t="s">
        <v>1348</v>
      </c>
      <c r="G1525" s="98" t="str">
        <f>HYPERLINK("http://mirror.ff7data.com.ar/ff7/data/battle/battle.lgp/daac.png","View Picture")</f>
        <v>View Picture</v>
      </c>
      <c r="H1525" s="75"/>
      <c r="I1525" s="74"/>
      <c r="J1525" s="74"/>
      <c r="K1525" s="74"/>
    </row>
    <row r="1526">
      <c r="A1526" s="84"/>
      <c r="B1526" s="119" t="s">
        <v>16489</v>
      </c>
      <c r="C1526" s="120" t="s">
        <v>3853</v>
      </c>
      <c r="D1526" s="33" t="s">
        <v>16492</v>
      </c>
      <c r="E1526" s="147" t="s">
        <v>359</v>
      </c>
      <c r="F1526" s="121" t="s">
        <v>3009</v>
      </c>
      <c r="G1526" s="98" t="str">
        <f>HYPERLINK("http://mirror.ff7data.com.ar/ff7/data/battle/battle.lgp/daam.png","View Picture")</f>
        <v>View Picture</v>
      </c>
      <c r="H1526" s="75"/>
      <c r="I1526" s="74"/>
      <c r="J1526" s="74"/>
      <c r="K1526" s="74"/>
    </row>
    <row r="1527">
      <c r="A1527" s="84"/>
      <c r="B1527" s="119" t="s">
        <v>16500</v>
      </c>
      <c r="C1527" s="120" t="s">
        <v>16501</v>
      </c>
      <c r="D1527" s="33" t="s">
        <v>16474</v>
      </c>
      <c r="E1527" s="147" t="s">
        <v>359</v>
      </c>
      <c r="F1527" s="121" t="s">
        <v>3025</v>
      </c>
      <c r="G1527" s="122"/>
      <c r="H1527" s="46" t="s">
        <v>3002</v>
      </c>
      <c r="I1527" s="74"/>
      <c r="J1527" s="74"/>
      <c r="K1527" s="74"/>
    </row>
    <row r="1528">
      <c r="A1528" s="84"/>
      <c r="B1528" s="119" t="s">
        <v>16503</v>
      </c>
      <c r="C1528" s="120" t="s">
        <v>9973</v>
      </c>
      <c r="D1528" s="33" t="s">
        <v>16504</v>
      </c>
      <c r="E1528" s="39" t="s">
        <v>362</v>
      </c>
      <c r="F1528" s="121" t="s">
        <v>2971</v>
      </c>
      <c r="G1528" s="98" t="str">
        <f>HYPERLINK("http://mirror.ff7data.com.ar/ff7/data/battle/battle.lgp/dbaa.png","View Picture")</f>
        <v>View Picture</v>
      </c>
      <c r="H1528" s="75"/>
      <c r="I1528" s="74"/>
      <c r="J1528" s="74"/>
      <c r="K1528" s="74"/>
    </row>
    <row r="1529">
      <c r="A1529" s="84"/>
      <c r="B1529" s="119" t="s">
        <v>16510</v>
      </c>
      <c r="C1529" s="120" t="s">
        <v>4209</v>
      </c>
      <c r="D1529" s="33" t="s">
        <v>16512</v>
      </c>
      <c r="E1529" s="39" t="s">
        <v>362</v>
      </c>
      <c r="F1529" s="121" t="s">
        <v>2993</v>
      </c>
      <c r="G1529" s="122"/>
      <c r="H1529" s="46" t="s">
        <v>3002</v>
      </c>
      <c r="I1529" s="74"/>
      <c r="J1529" s="74"/>
      <c r="K1529" s="74"/>
    </row>
    <row r="1530">
      <c r="A1530" s="84"/>
      <c r="B1530" s="119" t="s">
        <v>16514</v>
      </c>
      <c r="C1530" s="120" t="s">
        <v>4228</v>
      </c>
      <c r="D1530" s="33" t="s">
        <v>16512</v>
      </c>
      <c r="E1530" s="39" t="s">
        <v>362</v>
      </c>
      <c r="F1530" s="121" t="s">
        <v>3009</v>
      </c>
      <c r="G1530" s="98" t="str">
        <f>HYPERLINK("http://mirror.ff7data.com.ar/ff7/data/battle/battle.lgp/dbam.png","View Picture")</f>
        <v>View Picture</v>
      </c>
      <c r="H1530" s="75"/>
      <c r="I1530" s="74"/>
      <c r="J1530" s="74"/>
      <c r="K1530" s="74"/>
    </row>
    <row r="1531">
      <c r="A1531" s="84"/>
      <c r="B1531" s="119" t="s">
        <v>16520</v>
      </c>
      <c r="C1531" s="120" t="s">
        <v>3481</v>
      </c>
      <c r="D1531" s="33" t="s">
        <v>16512</v>
      </c>
      <c r="E1531" s="39" t="s">
        <v>362</v>
      </c>
      <c r="F1531" s="121" t="s">
        <v>3009</v>
      </c>
      <c r="G1531" s="98" t="str">
        <f>HYPERLINK("http://mirror.ff7data.com.ar/ff7/data/battle/battle.lgp/dban.png","View Picture")</f>
        <v>View Picture</v>
      </c>
      <c r="H1531" s="75"/>
      <c r="I1531" s="74"/>
      <c r="J1531" s="74"/>
      <c r="K1531" s="74"/>
    </row>
    <row r="1532">
      <c r="A1532" s="84"/>
      <c r="B1532" s="119" t="s">
        <v>16526</v>
      </c>
      <c r="C1532" s="120" t="s">
        <v>4264</v>
      </c>
      <c r="D1532" s="33" t="s">
        <v>16512</v>
      </c>
      <c r="E1532" s="39" t="s">
        <v>362</v>
      </c>
      <c r="F1532" s="121" t="s">
        <v>3009</v>
      </c>
      <c r="G1532" s="98" t="str">
        <f>HYPERLINK("http://mirror.ff7data.com.ar/ff7/data/battle/battle.lgp/dbap.png","View Picture")</f>
        <v>View Picture</v>
      </c>
      <c r="H1532" s="75"/>
      <c r="I1532" s="74"/>
      <c r="J1532" s="74"/>
      <c r="K1532" s="74"/>
    </row>
    <row r="1533">
      <c r="A1533" s="84"/>
      <c r="B1533" s="119" t="s">
        <v>16532</v>
      </c>
      <c r="C1533" s="120" t="s">
        <v>4264</v>
      </c>
      <c r="D1533" s="33" t="s">
        <v>16512</v>
      </c>
      <c r="E1533" s="39" t="s">
        <v>362</v>
      </c>
      <c r="F1533" s="121" t="s">
        <v>3009</v>
      </c>
      <c r="G1533" s="98" t="str">
        <f>HYPERLINK("http://mirror.ff7data.com.ar/ff7/data/battle/battle.lgp/dbaq.png","View Picture")</f>
        <v>View Picture</v>
      </c>
      <c r="H1533" s="75"/>
      <c r="I1533" s="74"/>
      <c r="J1533" s="74"/>
      <c r="K1533" s="74"/>
    </row>
    <row r="1534">
      <c r="A1534" s="84"/>
      <c r="B1534" s="119" t="s">
        <v>16538</v>
      </c>
      <c r="C1534" s="120" t="s">
        <v>4264</v>
      </c>
      <c r="D1534" s="33" t="s">
        <v>16512</v>
      </c>
      <c r="E1534" s="39" t="s">
        <v>362</v>
      </c>
      <c r="F1534" s="121" t="s">
        <v>3009</v>
      </c>
      <c r="G1534" s="98" t="str">
        <f>HYPERLINK("http://mirror.ff7data.com.ar/ff7/data/battle/battle.lgp/dbas.png","View Picture")</f>
        <v>View Picture</v>
      </c>
      <c r="H1534" s="75"/>
      <c r="I1534" s="74"/>
      <c r="J1534" s="74"/>
      <c r="K1534" s="74"/>
    </row>
    <row r="1535">
      <c r="A1535" s="84"/>
      <c r="B1535" s="119" t="s">
        <v>16547</v>
      </c>
      <c r="C1535" s="120" t="s">
        <v>4264</v>
      </c>
      <c r="D1535" s="33" t="s">
        <v>16512</v>
      </c>
      <c r="E1535" s="39" t="s">
        <v>362</v>
      </c>
      <c r="F1535" s="121" t="s">
        <v>3009</v>
      </c>
      <c r="G1535" s="98" t="str">
        <f>HYPERLINK("http://mirror.ff7data.com.ar/ff7/data/battle/battle.lgp/dbat.png","View Picture")</f>
        <v>View Picture</v>
      </c>
      <c r="H1535" s="75"/>
      <c r="I1535" s="74"/>
      <c r="J1535" s="74"/>
      <c r="K1535" s="74"/>
    </row>
    <row r="1536">
      <c r="A1536" s="84"/>
      <c r="B1536" s="119" t="s">
        <v>16555</v>
      </c>
      <c r="C1536" s="120" t="s">
        <v>4288</v>
      </c>
      <c r="D1536" s="33" t="s">
        <v>16512</v>
      </c>
      <c r="E1536" s="39" t="s">
        <v>362</v>
      </c>
      <c r="F1536" s="121" t="s">
        <v>3009</v>
      </c>
      <c r="G1536" s="98" t="str">
        <f>HYPERLINK("http://mirror.ff7data.com.ar/ff7/data/battle/battle.lgp/dbav.png","View Picture")</f>
        <v>View Picture</v>
      </c>
      <c r="H1536" s="75"/>
      <c r="I1536" s="74"/>
      <c r="J1536" s="74"/>
      <c r="K1536" s="74"/>
    </row>
    <row r="1537">
      <c r="A1537" s="84"/>
      <c r="B1537" s="119" t="s">
        <v>16563</v>
      </c>
      <c r="C1537" s="120" t="s">
        <v>4264</v>
      </c>
      <c r="D1537" s="33" t="s">
        <v>16512</v>
      </c>
      <c r="E1537" s="39" t="s">
        <v>362</v>
      </c>
      <c r="F1537" s="121" t="s">
        <v>3009</v>
      </c>
      <c r="G1537" s="98" t="str">
        <f>HYPERLINK("http://mirror.ff7data.com.ar/ff7/data/battle/battle.lgp/dbaw.png","View Picture")</f>
        <v>View Picture</v>
      </c>
      <c r="H1537" s="75"/>
      <c r="I1537" s="74"/>
      <c r="J1537" s="74"/>
      <c r="K1537" s="74"/>
    </row>
    <row r="1538">
      <c r="A1538" s="84"/>
      <c r="B1538" s="119" t="s">
        <v>16571</v>
      </c>
      <c r="C1538" s="120" t="s">
        <v>4288</v>
      </c>
      <c r="D1538" s="33" t="s">
        <v>16512</v>
      </c>
      <c r="E1538" s="39" t="s">
        <v>362</v>
      </c>
      <c r="F1538" s="121" t="s">
        <v>3009</v>
      </c>
      <c r="G1538" s="98" t="str">
        <f>HYPERLINK("http://mirror.ff7data.com.ar/ff7/data/battle/battle.lgp/dbay.png","View Picture")</f>
        <v>View Picture</v>
      </c>
      <c r="H1538" s="75"/>
      <c r="I1538" s="74"/>
      <c r="J1538" s="74"/>
      <c r="K1538" s="74"/>
    </row>
    <row r="1539">
      <c r="A1539" s="84"/>
      <c r="B1539" s="119" t="s">
        <v>16580</v>
      </c>
      <c r="C1539" s="120" t="s">
        <v>4264</v>
      </c>
      <c r="D1539" s="33" t="s">
        <v>16512</v>
      </c>
      <c r="E1539" s="39" t="s">
        <v>362</v>
      </c>
      <c r="F1539" s="121" t="s">
        <v>3009</v>
      </c>
      <c r="G1539" s="98" t="str">
        <f>HYPERLINK("http://mirror.ff7data.com.ar/ff7/data/battle/battle.lgp/dbaz.png","View Picture")</f>
        <v>View Picture</v>
      </c>
      <c r="H1539" s="75"/>
      <c r="I1539" s="74"/>
      <c r="J1539" s="74"/>
      <c r="K1539" s="74"/>
    </row>
    <row r="1540">
      <c r="A1540" s="84"/>
      <c r="B1540" s="119" t="s">
        <v>16602</v>
      </c>
      <c r="C1540" s="120" t="s">
        <v>4732</v>
      </c>
      <c r="D1540" s="33" t="s">
        <v>16512</v>
      </c>
      <c r="E1540" s="39" t="s">
        <v>362</v>
      </c>
      <c r="F1540" s="121" t="s">
        <v>3009</v>
      </c>
      <c r="G1540" s="98" t="str">
        <f>HYPERLINK("http://mirror.ff7data.com.ar/ff7/data/battle/battle.lgp/dbbb.png","View Picture")</f>
        <v>View Picture</v>
      </c>
      <c r="H1540" s="75"/>
      <c r="I1540" s="74"/>
      <c r="J1540" s="74"/>
      <c r="K1540" s="74"/>
    </row>
    <row r="1541">
      <c r="A1541" s="84"/>
      <c r="B1541" s="119" t="s">
        <v>16614</v>
      </c>
      <c r="C1541" s="120" t="s">
        <v>4264</v>
      </c>
      <c r="D1541" s="33" t="s">
        <v>16512</v>
      </c>
      <c r="E1541" s="39" t="s">
        <v>362</v>
      </c>
      <c r="F1541" s="121" t="s">
        <v>3009</v>
      </c>
      <c r="G1541" s="98" t="str">
        <f>HYPERLINK("http://mirror.ff7data.com.ar/ff7/data/battle/battle.lgp/dbbc.png","View Picture")</f>
        <v>View Picture</v>
      </c>
      <c r="H1541" s="75"/>
      <c r="I1541" s="74"/>
      <c r="J1541" s="74"/>
      <c r="K1541" s="74"/>
    </row>
    <row r="1542">
      <c r="A1542" s="84"/>
      <c r="B1542" s="119" t="s">
        <v>16626</v>
      </c>
      <c r="C1542" s="120" t="s">
        <v>4264</v>
      </c>
      <c r="D1542" s="33" t="s">
        <v>16512</v>
      </c>
      <c r="E1542" s="39" t="s">
        <v>362</v>
      </c>
      <c r="F1542" s="121" t="s">
        <v>3009</v>
      </c>
      <c r="G1542" s="98" t="str">
        <f>HYPERLINK("http://mirror.ff7data.com.ar/ff7/data/battle/battle.lgp/dbbe.png","View Picture")</f>
        <v>View Picture</v>
      </c>
      <c r="H1542" s="75"/>
      <c r="I1542" s="74"/>
      <c r="J1542" s="74"/>
      <c r="K1542" s="74"/>
    </row>
    <row r="1543">
      <c r="A1543" s="84"/>
      <c r="B1543" s="119" t="s">
        <v>16640</v>
      </c>
      <c r="C1543" s="120" t="s">
        <v>4264</v>
      </c>
      <c r="D1543" s="33" t="s">
        <v>16512</v>
      </c>
      <c r="E1543" s="39" t="s">
        <v>362</v>
      </c>
      <c r="F1543" s="121" t="s">
        <v>3009</v>
      </c>
      <c r="G1543" s="98" t="str">
        <f>HYPERLINK("http://mirror.ff7data.com.ar/ff7/data/battle/battle.lgp/dbbf.png","View Picture")</f>
        <v>View Picture</v>
      </c>
      <c r="H1543" s="75"/>
      <c r="I1543" s="74"/>
      <c r="J1543" s="74"/>
      <c r="K1543" s="74"/>
    </row>
    <row r="1544">
      <c r="A1544" s="84"/>
      <c r="B1544" s="119" t="s">
        <v>16649</v>
      </c>
      <c r="C1544" s="120" t="s">
        <v>4288</v>
      </c>
      <c r="D1544" s="33" t="s">
        <v>16512</v>
      </c>
      <c r="E1544" s="39" t="s">
        <v>362</v>
      </c>
      <c r="F1544" s="121" t="s">
        <v>3009</v>
      </c>
      <c r="G1544" s="98" t="str">
        <f>HYPERLINK("http://mirror.ff7data.com.ar/ff7/data/battle/battle.lgp/dbbh.png","View Picture")</f>
        <v>View Picture</v>
      </c>
      <c r="H1544" s="75"/>
      <c r="I1544" s="74"/>
      <c r="J1544" s="74"/>
      <c r="K1544" s="74"/>
    </row>
    <row r="1545">
      <c r="A1545" s="84"/>
      <c r="B1545" s="119" t="s">
        <v>16651</v>
      </c>
      <c r="C1545" s="120" t="s">
        <v>4264</v>
      </c>
      <c r="D1545" s="33" t="s">
        <v>16512</v>
      </c>
      <c r="E1545" s="39" t="s">
        <v>362</v>
      </c>
      <c r="F1545" s="121" t="s">
        <v>3009</v>
      </c>
      <c r="G1545" s="98" t="str">
        <f>HYPERLINK("http://mirror.ff7data.com.ar/ff7/data/battle/battle.lgp/dbbi.png","View Picture")</f>
        <v>View Picture</v>
      </c>
      <c r="H1545" s="75"/>
      <c r="I1545" s="74"/>
      <c r="J1545" s="74"/>
      <c r="K1545" s="74"/>
    </row>
    <row r="1546">
      <c r="A1546" s="84"/>
      <c r="B1546" s="119" t="s">
        <v>16654</v>
      </c>
      <c r="C1546" s="120" t="s">
        <v>4288</v>
      </c>
      <c r="D1546" s="33" t="s">
        <v>16512</v>
      </c>
      <c r="E1546" s="39" t="s">
        <v>362</v>
      </c>
      <c r="F1546" s="121" t="s">
        <v>3009</v>
      </c>
      <c r="G1546" s="98" t="str">
        <f>HYPERLINK("http://mirror.ff7data.com.ar/ff7/data/battle/battle.lgp/dbbk.png","View Picture")</f>
        <v>View Picture</v>
      </c>
      <c r="H1546" s="75"/>
      <c r="I1546" s="74"/>
      <c r="J1546" s="74"/>
      <c r="K1546" s="74"/>
    </row>
    <row r="1547">
      <c r="A1547" s="84"/>
      <c r="B1547" s="119" t="s">
        <v>16670</v>
      </c>
      <c r="C1547" s="120" t="s">
        <v>4264</v>
      </c>
      <c r="D1547" s="33" t="s">
        <v>16512</v>
      </c>
      <c r="E1547" s="39" t="s">
        <v>362</v>
      </c>
      <c r="F1547" s="121" t="s">
        <v>3009</v>
      </c>
      <c r="G1547" s="98" t="str">
        <f>HYPERLINK("http://mirror.ff7data.com.ar/ff7/data/battle/battle.lgp/dbbl.png","View Picture")</f>
        <v>View Picture</v>
      </c>
      <c r="H1547" s="75"/>
      <c r="I1547" s="74"/>
      <c r="J1547" s="74"/>
      <c r="K1547" s="74"/>
    </row>
    <row r="1548">
      <c r="A1548" s="84"/>
      <c r="B1548" s="119" t="s">
        <v>16679</v>
      </c>
      <c r="C1548" s="120" t="s">
        <v>4185</v>
      </c>
      <c r="D1548" s="33" t="s">
        <v>16512</v>
      </c>
      <c r="E1548" s="39" t="s">
        <v>362</v>
      </c>
      <c r="F1548" s="121" t="s">
        <v>3009</v>
      </c>
      <c r="G1548" s="98" t="str">
        <f>HYPERLINK("http://mirror.ff7data.com.ar/ff7/data/battle/battle.lgp/dbbn.png","View Picture")</f>
        <v>View Picture</v>
      </c>
      <c r="H1548" s="75"/>
      <c r="I1548" s="74"/>
      <c r="J1548" s="74"/>
      <c r="K1548" s="74"/>
    </row>
    <row r="1549">
      <c r="A1549" s="84"/>
      <c r="B1549" s="119" t="s">
        <v>16685</v>
      </c>
      <c r="C1549" s="120" t="s">
        <v>4476</v>
      </c>
      <c r="D1549" s="33" t="s">
        <v>16512</v>
      </c>
      <c r="E1549" s="39" t="s">
        <v>362</v>
      </c>
      <c r="F1549" s="121" t="s">
        <v>3009</v>
      </c>
      <c r="G1549" s="98" t="str">
        <f>HYPERLINK("http://mirror.ff7data.com.ar/ff7/data/battle/battle.lgp/dbbp.png","View Picture")</f>
        <v>View Picture</v>
      </c>
      <c r="H1549" s="75"/>
      <c r="I1549" s="74"/>
      <c r="J1549" s="74"/>
      <c r="K1549" s="74"/>
    </row>
    <row r="1550">
      <c r="A1550" s="84"/>
      <c r="B1550" s="119" t="s">
        <v>16696</v>
      </c>
      <c r="C1550" s="120" t="s">
        <v>4476</v>
      </c>
      <c r="D1550" s="33" t="s">
        <v>16512</v>
      </c>
      <c r="E1550" s="39" t="s">
        <v>362</v>
      </c>
      <c r="F1550" s="121" t="s">
        <v>3009</v>
      </c>
      <c r="G1550" s="98" t="str">
        <f>HYPERLINK("http://mirror.ff7data.com.ar/ff7/data/battle/battle.lgp/dbbr.png","View Picture")</f>
        <v>View Picture</v>
      </c>
      <c r="H1550" s="75"/>
      <c r="I1550" s="74"/>
      <c r="J1550" s="74"/>
      <c r="K1550" s="74"/>
    </row>
    <row r="1551">
      <c r="A1551" s="84"/>
      <c r="B1551" s="119" t="s">
        <v>16703</v>
      </c>
      <c r="C1551" s="120" t="s">
        <v>4185</v>
      </c>
      <c r="D1551" s="33" t="s">
        <v>16512</v>
      </c>
      <c r="E1551" s="39" t="s">
        <v>362</v>
      </c>
      <c r="F1551" s="121" t="s">
        <v>3009</v>
      </c>
      <c r="G1551" s="98" t="str">
        <f>HYPERLINK("http://mirror.ff7data.com.ar/ff7/data/battle/battle.lgp/dbbt.png","View Picture")</f>
        <v>View Picture</v>
      </c>
      <c r="H1551" s="75"/>
      <c r="I1551" s="74"/>
      <c r="J1551" s="74"/>
      <c r="K1551" s="74"/>
    </row>
    <row r="1552">
      <c r="A1552" s="84"/>
      <c r="B1552" s="119" t="s">
        <v>16712</v>
      </c>
      <c r="C1552" s="120" t="s">
        <v>4185</v>
      </c>
      <c r="D1552" s="33" t="s">
        <v>16512</v>
      </c>
      <c r="E1552" s="39" t="s">
        <v>362</v>
      </c>
      <c r="F1552" s="121" t="s">
        <v>3009</v>
      </c>
      <c r="G1552" s="98" t="str">
        <f>HYPERLINK("http://mirror.ff7data.com.ar/ff7/data/battle/battle.lgp/dbbw.png","View Picture")</f>
        <v>View Picture</v>
      </c>
      <c r="H1552" s="75"/>
      <c r="I1552" s="74"/>
      <c r="J1552" s="74"/>
      <c r="K1552" s="74"/>
    </row>
    <row r="1553">
      <c r="A1553" s="84"/>
      <c r="B1553" s="119" t="s">
        <v>16720</v>
      </c>
      <c r="C1553" s="120" t="s">
        <v>4185</v>
      </c>
      <c r="D1553" s="33" t="s">
        <v>16512</v>
      </c>
      <c r="E1553" s="39" t="s">
        <v>362</v>
      </c>
      <c r="F1553" s="121" t="s">
        <v>3009</v>
      </c>
      <c r="G1553" s="98" t="str">
        <f>HYPERLINK("http://mirror.ff7data.com.ar/ff7/data/battle/battle.lgp/dbby.png","View Picture")</f>
        <v>View Picture</v>
      </c>
      <c r="H1553" s="75"/>
      <c r="I1553" s="74"/>
      <c r="J1553" s="74"/>
      <c r="K1553" s="74"/>
    </row>
    <row r="1554">
      <c r="A1554" s="84"/>
      <c r="B1554" s="119" t="s">
        <v>16730</v>
      </c>
      <c r="C1554" s="120" t="s">
        <v>8923</v>
      </c>
      <c r="D1554" s="33" t="s">
        <v>16512</v>
      </c>
      <c r="E1554" s="39" t="s">
        <v>362</v>
      </c>
      <c r="F1554" s="121" t="s">
        <v>3009</v>
      </c>
      <c r="G1554" s="98" t="str">
        <f>HYPERLINK("http://mirror.ff7data.com.ar/ff7/data/battle/battle.lgp/dbbz.png","View Picture")</f>
        <v>View Picture</v>
      </c>
      <c r="H1554" s="75"/>
      <c r="I1554" s="74"/>
      <c r="J1554" s="74"/>
      <c r="K1554" s="74"/>
    </row>
    <row r="1555">
      <c r="A1555" s="84"/>
      <c r="B1555" s="119" t="s">
        <v>16741</v>
      </c>
      <c r="C1555" s="120" t="s">
        <v>5573</v>
      </c>
      <c r="D1555" s="33" t="s">
        <v>16512</v>
      </c>
      <c r="E1555" s="39" t="s">
        <v>362</v>
      </c>
      <c r="F1555" s="121" t="s">
        <v>3025</v>
      </c>
      <c r="G1555" s="122"/>
      <c r="H1555" s="46" t="s">
        <v>3002</v>
      </c>
      <c r="I1555" s="74"/>
      <c r="J1555" s="74"/>
      <c r="K1555" s="74"/>
    </row>
    <row r="1556">
      <c r="A1556" s="84"/>
      <c r="B1556" s="119" t="s">
        <v>16746</v>
      </c>
      <c r="C1556" s="120" t="s">
        <v>6802</v>
      </c>
      <c r="D1556" s="33" t="s">
        <v>16748</v>
      </c>
      <c r="E1556" s="39" t="s">
        <v>365</v>
      </c>
      <c r="F1556" s="121" t="s">
        <v>2971</v>
      </c>
      <c r="G1556" s="98" t="str">
        <f>HYPERLINK("http://mirror.ff7data.com.ar/ff7/data/battle/battle.lgp/dcaa.png","View Picture")</f>
        <v>View Picture</v>
      </c>
      <c r="H1556" s="75"/>
      <c r="I1556" s="74"/>
      <c r="J1556" s="74"/>
      <c r="K1556" s="74"/>
    </row>
    <row r="1557">
      <c r="A1557" s="84"/>
      <c r="B1557" s="119" t="s">
        <v>16758</v>
      </c>
      <c r="C1557" s="120" t="s">
        <v>4846</v>
      </c>
      <c r="D1557" s="33" t="s">
        <v>16748</v>
      </c>
      <c r="E1557" s="39" t="s">
        <v>365</v>
      </c>
      <c r="F1557" s="121" t="s">
        <v>2993</v>
      </c>
      <c r="G1557" s="122"/>
      <c r="H1557" s="46" t="s">
        <v>3002</v>
      </c>
      <c r="I1557" s="74"/>
      <c r="J1557" s="74"/>
      <c r="K1557" s="74"/>
    </row>
    <row r="1558">
      <c r="A1558" s="84"/>
      <c r="B1558" s="119" t="s">
        <v>16764</v>
      </c>
      <c r="C1558" s="120" t="s">
        <v>7270</v>
      </c>
      <c r="D1558" s="33" t="s">
        <v>16748</v>
      </c>
      <c r="E1558" s="39" t="s">
        <v>365</v>
      </c>
      <c r="F1558" s="121" t="s">
        <v>3009</v>
      </c>
      <c r="G1558" s="98" t="str">
        <f>HYPERLINK("http://mirror.ff7data.com.ar/ff7/data/battle/battle.lgp/dcam.png","View Picture")</f>
        <v>View Picture</v>
      </c>
      <c r="H1558" s="75"/>
      <c r="I1558" s="74"/>
      <c r="J1558" s="74"/>
      <c r="K1558" s="74"/>
    </row>
    <row r="1559">
      <c r="A1559" s="84"/>
      <c r="B1559" s="119" t="s">
        <v>16775</v>
      </c>
      <c r="C1559" s="120" t="s">
        <v>4217</v>
      </c>
      <c r="D1559" s="33" t="s">
        <v>16748</v>
      </c>
      <c r="E1559" s="39" t="s">
        <v>365</v>
      </c>
      <c r="F1559" s="121" t="s">
        <v>3009</v>
      </c>
      <c r="G1559" s="98" t="str">
        <f>HYPERLINK("http://mirror.ff7data.com.ar/ff7/data/battle/battle.lgp/dcap.png","View Picture")</f>
        <v>View Picture</v>
      </c>
      <c r="H1559" s="75"/>
      <c r="I1559" s="74"/>
      <c r="J1559" s="74"/>
      <c r="K1559" s="74"/>
    </row>
    <row r="1560">
      <c r="A1560" s="84"/>
      <c r="B1560" s="119" t="s">
        <v>16785</v>
      </c>
      <c r="C1560" s="120" t="s">
        <v>4439</v>
      </c>
      <c r="D1560" s="33" t="s">
        <v>16748</v>
      </c>
      <c r="E1560" s="39" t="s">
        <v>365</v>
      </c>
      <c r="F1560" s="121" t="s">
        <v>3009</v>
      </c>
      <c r="G1560" s="98" t="str">
        <f>HYPERLINK("http://mirror.ff7data.com.ar/ff7/data/battle/battle.lgp/dcaq.png","View Picture")</f>
        <v>View Picture</v>
      </c>
      <c r="H1560" s="75"/>
      <c r="I1560" s="74"/>
      <c r="J1560" s="74"/>
      <c r="K1560" s="74"/>
    </row>
    <row r="1561">
      <c r="A1561" s="84"/>
      <c r="B1561" s="119" t="s">
        <v>16795</v>
      </c>
      <c r="C1561" s="120" t="s">
        <v>7301</v>
      </c>
      <c r="D1561" s="33" t="s">
        <v>16748</v>
      </c>
      <c r="E1561" s="39" t="s">
        <v>365</v>
      </c>
      <c r="F1561" s="121" t="s">
        <v>3009</v>
      </c>
      <c r="G1561" s="98" t="str">
        <f>HYPERLINK("http://mirror.ff7data.com.ar/ff7/data/battle/battle.lgp/dcar.png","View Picture")</f>
        <v>View Picture</v>
      </c>
      <c r="H1561" s="75"/>
      <c r="I1561" s="74"/>
      <c r="J1561" s="74"/>
      <c r="K1561" s="74"/>
    </row>
    <row r="1562">
      <c r="A1562" s="84"/>
      <c r="B1562" s="119" t="s">
        <v>16807</v>
      </c>
      <c r="C1562" s="120" t="s">
        <v>4439</v>
      </c>
      <c r="D1562" s="33" t="s">
        <v>16748</v>
      </c>
      <c r="E1562" s="39" t="s">
        <v>365</v>
      </c>
      <c r="F1562" s="121" t="s">
        <v>3009</v>
      </c>
      <c r="G1562" s="98" t="str">
        <f>HYPERLINK("http://mirror.ff7data.com.ar/ff7/data/battle/battle.lgp/dcas.png","View Picture")</f>
        <v>View Picture</v>
      </c>
      <c r="H1562" s="75"/>
      <c r="I1562" s="74"/>
      <c r="J1562" s="74"/>
      <c r="K1562" s="74"/>
    </row>
    <row r="1563">
      <c r="A1563" s="84"/>
      <c r="B1563" s="119" t="s">
        <v>16817</v>
      </c>
      <c r="C1563" s="120" t="s">
        <v>4264</v>
      </c>
      <c r="D1563" s="33" t="s">
        <v>16748</v>
      </c>
      <c r="E1563" s="39" t="s">
        <v>365</v>
      </c>
      <c r="F1563" s="121" t="s">
        <v>3009</v>
      </c>
      <c r="G1563" s="98" t="str">
        <f>HYPERLINK("http://mirror.ff7data.com.ar/ff7/data/battle/battle.lgp/dcat.png","View Picture")</f>
        <v>View Picture</v>
      </c>
      <c r="H1563" s="75"/>
      <c r="I1563" s="74"/>
      <c r="J1563" s="74"/>
      <c r="K1563" s="74"/>
    </row>
    <row r="1564">
      <c r="A1564" s="84"/>
      <c r="B1564" s="119" t="s">
        <v>16826</v>
      </c>
      <c r="C1564" s="120" t="s">
        <v>4288</v>
      </c>
      <c r="D1564" s="33" t="s">
        <v>16748</v>
      </c>
      <c r="E1564" s="39" t="s">
        <v>365</v>
      </c>
      <c r="F1564" s="121" t="s">
        <v>3009</v>
      </c>
      <c r="G1564" s="98" t="str">
        <f>HYPERLINK("http://mirror.ff7data.com.ar/ff7/data/battle/battle.lgp/dcau.png","View Picture")</f>
        <v>View Picture</v>
      </c>
      <c r="H1564" s="75"/>
      <c r="I1564" s="74"/>
      <c r="J1564" s="74"/>
      <c r="K1564" s="74"/>
    </row>
    <row r="1565">
      <c r="A1565" s="84"/>
      <c r="B1565" s="119" t="s">
        <v>16837</v>
      </c>
      <c r="C1565" s="120" t="s">
        <v>5904</v>
      </c>
      <c r="D1565" s="33" t="s">
        <v>16748</v>
      </c>
      <c r="E1565" s="39" t="s">
        <v>365</v>
      </c>
      <c r="F1565" s="121" t="s">
        <v>3009</v>
      </c>
      <c r="G1565" s="98" t="str">
        <f>HYPERLINK("http://mirror.ff7data.com.ar/ff7/data/battle/battle.lgp/dcav.png","View Picture")</f>
        <v>View Picture</v>
      </c>
      <c r="H1565" s="75"/>
      <c r="I1565" s="74"/>
      <c r="J1565" s="74"/>
      <c r="K1565" s="74"/>
    </row>
    <row r="1566">
      <c r="A1566" s="84"/>
      <c r="B1566" s="119" t="s">
        <v>16847</v>
      </c>
      <c r="C1566" s="120" t="s">
        <v>16848</v>
      </c>
      <c r="D1566" s="33" t="s">
        <v>16748</v>
      </c>
      <c r="E1566" s="39" t="s">
        <v>365</v>
      </c>
      <c r="F1566" s="121" t="s">
        <v>3009</v>
      </c>
      <c r="G1566" s="98" t="str">
        <f>HYPERLINK("http://mirror.ff7data.com.ar/ff7/data/battle/battle.lgp/dcaw.png","View Picture")</f>
        <v>View Picture</v>
      </c>
      <c r="H1566" s="75"/>
      <c r="I1566" s="74"/>
      <c r="J1566" s="74"/>
      <c r="K1566" s="74"/>
    </row>
    <row r="1567">
      <c r="A1567" s="84"/>
      <c r="B1567" s="119" t="s">
        <v>16865</v>
      </c>
      <c r="C1567" s="120" t="s">
        <v>16866</v>
      </c>
      <c r="D1567" s="33" t="s">
        <v>16748</v>
      </c>
      <c r="E1567" s="39" t="s">
        <v>365</v>
      </c>
      <c r="F1567" s="121" t="s">
        <v>3009</v>
      </c>
      <c r="G1567" s="98" t="str">
        <f>HYPERLINK("http://mirror.ff7data.com.ar/ff7/data/battle/battle.lgp/dcay.png","View Picture")</f>
        <v>View Picture</v>
      </c>
      <c r="H1567" s="75"/>
      <c r="I1567" s="74"/>
      <c r="J1567" s="74"/>
      <c r="K1567" s="74"/>
    </row>
    <row r="1568">
      <c r="A1568" s="84"/>
      <c r="B1568" s="119" t="s">
        <v>16877</v>
      </c>
      <c r="C1568" s="120" t="s">
        <v>16878</v>
      </c>
      <c r="D1568" s="33" t="s">
        <v>16748</v>
      </c>
      <c r="E1568" s="39" t="s">
        <v>365</v>
      </c>
      <c r="F1568" s="121" t="s">
        <v>3009</v>
      </c>
      <c r="G1568" s="98" t="str">
        <f>HYPERLINK("http://mirror.ff7data.com.ar/ff7/data/battle/battle.lgp/dcba.png","View Picture")</f>
        <v>View Picture</v>
      </c>
      <c r="H1568" s="75"/>
      <c r="I1568" s="74"/>
      <c r="J1568" s="74"/>
      <c r="K1568" s="74"/>
    </row>
    <row r="1569">
      <c r="A1569" s="84"/>
      <c r="B1569" s="119" t="s">
        <v>16893</v>
      </c>
      <c r="C1569" s="120" t="s">
        <v>4252</v>
      </c>
      <c r="D1569" s="33" t="s">
        <v>16748</v>
      </c>
      <c r="E1569" s="39" t="s">
        <v>365</v>
      </c>
      <c r="F1569" s="121" t="s">
        <v>3009</v>
      </c>
      <c r="G1569" s="98" t="str">
        <f>HYPERLINK("http://mirror.ff7data.com.ar/ff7/data/battle/battle.lgp/dcbd.png","View Picture")</f>
        <v>View Picture</v>
      </c>
      <c r="H1569" s="75"/>
      <c r="I1569" s="74"/>
      <c r="J1569" s="74"/>
      <c r="K1569" s="74"/>
    </row>
    <row r="1570">
      <c r="A1570" s="84"/>
      <c r="B1570" s="119" t="s">
        <v>16906</v>
      </c>
      <c r="C1570" s="120" t="s">
        <v>4439</v>
      </c>
      <c r="D1570" s="33" t="s">
        <v>16748</v>
      </c>
      <c r="E1570" s="39" t="s">
        <v>365</v>
      </c>
      <c r="F1570" s="121" t="s">
        <v>3009</v>
      </c>
      <c r="G1570" s="98" t="str">
        <f>HYPERLINK("http://mirror.ff7data.com.ar/ff7/data/battle/battle.lgp/dcbe.png","View Picture")</f>
        <v>View Picture</v>
      </c>
      <c r="H1570" s="75"/>
      <c r="I1570" s="74"/>
      <c r="J1570" s="74"/>
      <c r="K1570" s="74"/>
    </row>
    <row r="1571">
      <c r="A1571" s="84"/>
      <c r="B1571" s="119" t="s">
        <v>16922</v>
      </c>
      <c r="C1571" s="120" t="s">
        <v>3355</v>
      </c>
      <c r="D1571" s="33" t="s">
        <v>16748</v>
      </c>
      <c r="E1571" s="39" t="s">
        <v>365</v>
      </c>
      <c r="F1571" s="121" t="s">
        <v>3009</v>
      </c>
      <c r="G1571" s="98" t="str">
        <f>HYPERLINK("http://mirror.ff7data.com.ar/ff7/data/battle/battle.lgp/dcbf.png","View Picture")</f>
        <v>View Picture</v>
      </c>
      <c r="H1571" s="75"/>
      <c r="I1571" s="74"/>
      <c r="J1571" s="74"/>
      <c r="K1571" s="74"/>
    </row>
    <row r="1572">
      <c r="A1572" s="84"/>
      <c r="B1572" s="119" t="s">
        <v>16939</v>
      </c>
      <c r="C1572" s="120" t="s">
        <v>4439</v>
      </c>
      <c r="D1572" s="33" t="s">
        <v>16748</v>
      </c>
      <c r="E1572" s="39" t="s">
        <v>365</v>
      </c>
      <c r="F1572" s="121" t="s">
        <v>3009</v>
      </c>
      <c r="G1572" s="98" t="str">
        <f>HYPERLINK("http://mirror.ff7data.com.ar/ff7/data/battle/battle.lgp/dcbh.png","View Picture")</f>
        <v>View Picture</v>
      </c>
      <c r="H1572" s="75"/>
      <c r="I1572" s="74"/>
      <c r="J1572" s="74"/>
      <c r="K1572" s="74"/>
    </row>
    <row r="1573">
      <c r="A1573" s="84"/>
      <c r="B1573" s="119" t="s">
        <v>16957</v>
      </c>
      <c r="C1573" s="120" t="s">
        <v>5419</v>
      </c>
      <c r="D1573" s="33" t="s">
        <v>16748</v>
      </c>
      <c r="E1573" s="39" t="s">
        <v>365</v>
      </c>
      <c r="F1573" s="121" t="s">
        <v>3009</v>
      </c>
      <c r="G1573" s="98" t="str">
        <f>HYPERLINK("http://mirror.ff7data.com.ar/ff7/data/battle/battle.lgp/dcbi.png","View Picture")</f>
        <v>View Picture</v>
      </c>
      <c r="H1573" s="75"/>
      <c r="I1573" s="74"/>
      <c r="J1573" s="74"/>
      <c r="K1573" s="74"/>
    </row>
    <row r="1574">
      <c r="A1574" s="84"/>
      <c r="B1574" s="119" t="s">
        <v>16973</v>
      </c>
      <c r="C1574" s="120" t="s">
        <v>3671</v>
      </c>
      <c r="D1574" s="33" t="s">
        <v>16748</v>
      </c>
      <c r="E1574" s="39" t="s">
        <v>365</v>
      </c>
      <c r="F1574" s="121" t="s">
        <v>3009</v>
      </c>
      <c r="G1574" s="98" t="str">
        <f>HYPERLINK("http://mirror.ff7data.com.ar/ff7/data/battle/battle.lgp/dcbj.png","View Picture")</f>
        <v>View Picture</v>
      </c>
      <c r="H1574" s="75"/>
      <c r="I1574" s="74"/>
      <c r="J1574" s="74"/>
      <c r="K1574" s="74"/>
    </row>
    <row r="1575">
      <c r="A1575" s="84"/>
      <c r="B1575" s="119" t="s">
        <v>16989</v>
      </c>
      <c r="C1575" s="120" t="s">
        <v>4185</v>
      </c>
      <c r="D1575" s="33" t="s">
        <v>16748</v>
      </c>
      <c r="E1575" s="39" t="s">
        <v>365</v>
      </c>
      <c r="F1575" s="121" t="s">
        <v>3009</v>
      </c>
      <c r="G1575" s="98" t="str">
        <f>HYPERLINK("http://mirror.ff7data.com.ar/ff7/data/battle/battle.lgp/dcbl.png","View Picture")</f>
        <v>View Picture</v>
      </c>
      <c r="H1575" s="75"/>
      <c r="I1575" s="74"/>
      <c r="J1575" s="74"/>
      <c r="K1575" s="74"/>
    </row>
    <row r="1576">
      <c r="A1576" s="84"/>
      <c r="B1576" s="119" t="s">
        <v>17007</v>
      </c>
      <c r="C1576" s="120" t="s">
        <v>5419</v>
      </c>
      <c r="D1576" s="33" t="s">
        <v>16748</v>
      </c>
      <c r="E1576" s="39" t="s">
        <v>365</v>
      </c>
      <c r="F1576" s="121" t="s">
        <v>3009</v>
      </c>
      <c r="G1576" s="98" t="str">
        <f>HYPERLINK("http://mirror.ff7data.com.ar/ff7/data/battle/battle.lgp/dcbm.png","View Picture")</f>
        <v>View Picture</v>
      </c>
      <c r="H1576" s="75"/>
      <c r="I1576" s="74"/>
      <c r="J1576" s="74"/>
      <c r="K1576" s="74"/>
    </row>
    <row r="1577">
      <c r="A1577" s="84"/>
      <c r="B1577" s="119" t="s">
        <v>17019</v>
      </c>
      <c r="C1577" s="120" t="s">
        <v>3723</v>
      </c>
      <c r="D1577" s="33" t="s">
        <v>16748</v>
      </c>
      <c r="E1577" s="39" t="s">
        <v>365</v>
      </c>
      <c r="F1577" s="121" t="s">
        <v>3009</v>
      </c>
      <c r="G1577" s="98" t="str">
        <f>HYPERLINK("http://mirror.ff7data.com.ar/ff7/data/battle/battle.lgp/dcbn.png","View Picture")</f>
        <v>View Picture</v>
      </c>
      <c r="H1577" s="75"/>
      <c r="I1577" s="74"/>
      <c r="J1577" s="74"/>
      <c r="K1577" s="74"/>
    </row>
    <row r="1578">
      <c r="A1578" s="84"/>
      <c r="B1578" s="119" t="s">
        <v>17032</v>
      </c>
      <c r="C1578" s="120" t="s">
        <v>4288</v>
      </c>
      <c r="D1578" s="33" t="s">
        <v>16748</v>
      </c>
      <c r="E1578" s="39" t="s">
        <v>365</v>
      </c>
      <c r="F1578" s="121" t="s">
        <v>3009</v>
      </c>
      <c r="G1578" s="98" t="str">
        <f>HYPERLINK("http://mirror.ff7data.com.ar/ff7/data/battle/battle.lgp/dcbo.png","View Picture")</f>
        <v>View Picture</v>
      </c>
      <c r="H1578" s="75"/>
      <c r="I1578" s="74"/>
      <c r="J1578" s="74"/>
      <c r="K1578" s="74"/>
    </row>
    <row r="1579">
      <c r="A1579" s="84"/>
      <c r="B1579" s="119" t="s">
        <v>17046</v>
      </c>
      <c r="C1579" s="120" t="s">
        <v>9041</v>
      </c>
      <c r="D1579" s="33" t="s">
        <v>16748</v>
      </c>
      <c r="E1579" s="39" t="s">
        <v>365</v>
      </c>
      <c r="F1579" s="121" t="s">
        <v>3025</v>
      </c>
      <c r="G1579" s="122"/>
      <c r="H1579" s="46" t="s">
        <v>3002</v>
      </c>
      <c r="I1579" s="74"/>
      <c r="J1579" s="74"/>
      <c r="K1579" s="74"/>
    </row>
    <row r="1580">
      <c r="A1580" s="84"/>
      <c r="B1580" s="119" t="s">
        <v>17050</v>
      </c>
      <c r="C1580" s="120" t="s">
        <v>10217</v>
      </c>
      <c r="D1580" s="33" t="s">
        <v>17054</v>
      </c>
      <c r="E1580" s="39" t="s">
        <v>368</v>
      </c>
      <c r="F1580" s="121" t="s">
        <v>2971</v>
      </c>
      <c r="G1580" s="98" t="str">
        <f>HYPERLINK("http://mirror.ff7data.com.ar/ff7/data/battle/battle.lgp/ddaa.png","View Picture")</f>
        <v>View Picture</v>
      </c>
      <c r="H1580" s="75"/>
      <c r="I1580" s="74"/>
      <c r="J1580" s="74"/>
      <c r="K1580" s="74"/>
    </row>
    <row r="1581">
      <c r="A1581" s="84"/>
      <c r="B1581" s="119" t="s">
        <v>17067</v>
      </c>
      <c r="C1581" s="120" t="s">
        <v>5724</v>
      </c>
      <c r="D1581" s="33" t="s">
        <v>17069</v>
      </c>
      <c r="E1581" s="39" t="s">
        <v>368</v>
      </c>
      <c r="F1581" s="121" t="s">
        <v>2993</v>
      </c>
      <c r="G1581" s="122"/>
      <c r="H1581" s="46" t="s">
        <v>3002</v>
      </c>
      <c r="I1581" s="74"/>
      <c r="J1581" s="74"/>
      <c r="K1581" s="74"/>
    </row>
    <row r="1582">
      <c r="A1582" s="84"/>
      <c r="B1582" s="119" t="s">
        <v>17076</v>
      </c>
      <c r="C1582" s="120" t="s">
        <v>13957</v>
      </c>
      <c r="D1582" s="33" t="s">
        <v>17069</v>
      </c>
      <c r="E1582" s="39" t="s">
        <v>368</v>
      </c>
      <c r="F1582" s="121" t="s">
        <v>3009</v>
      </c>
      <c r="G1582" s="98" t="str">
        <f>HYPERLINK("http://mirror.ff7data.com.ar/ff7/data/battle/battle.lgp/ddam.png","View Picture")</f>
        <v>View Picture</v>
      </c>
      <c r="H1582" s="75"/>
      <c r="I1582" s="74"/>
      <c r="J1582" s="74"/>
      <c r="K1582" s="74"/>
    </row>
    <row r="1583">
      <c r="A1583" s="84"/>
      <c r="B1583" s="119" t="s">
        <v>17095</v>
      </c>
      <c r="C1583" s="120" t="s">
        <v>14030</v>
      </c>
      <c r="D1583" s="33" t="s">
        <v>17069</v>
      </c>
      <c r="E1583" s="39" t="s">
        <v>368</v>
      </c>
      <c r="F1583" s="121" t="s">
        <v>3009</v>
      </c>
      <c r="G1583" s="98" t="str">
        <f>HYPERLINK("http://mirror.ff7data.com.ar/ff7/data/battle/battle.lgp/ddan.png","View Picture")</f>
        <v>View Picture</v>
      </c>
      <c r="H1583" s="75"/>
      <c r="I1583" s="74"/>
      <c r="J1583" s="74"/>
      <c r="K1583" s="74"/>
    </row>
    <row r="1584">
      <c r="A1584" s="84"/>
      <c r="B1584" s="119" t="s">
        <v>17111</v>
      </c>
      <c r="C1584" s="120" t="s">
        <v>3505</v>
      </c>
      <c r="D1584" s="33" t="s">
        <v>17069</v>
      </c>
      <c r="E1584" s="39" t="s">
        <v>368</v>
      </c>
      <c r="F1584" s="121" t="s">
        <v>3009</v>
      </c>
      <c r="G1584" s="98" t="str">
        <f>HYPERLINK("http://mirror.ff7data.com.ar/ff7/data/battle/battle.lgp/ddao.png","View Picture")</f>
        <v>View Picture</v>
      </c>
      <c r="H1584" s="75"/>
      <c r="I1584" s="74"/>
      <c r="J1584" s="74"/>
      <c r="K1584" s="74"/>
    </row>
    <row r="1585">
      <c r="A1585" s="84"/>
      <c r="B1585" s="119" t="s">
        <v>17127</v>
      </c>
      <c r="C1585" s="120" t="s">
        <v>11261</v>
      </c>
      <c r="D1585" s="33" t="s">
        <v>17069</v>
      </c>
      <c r="E1585" s="39" t="s">
        <v>368</v>
      </c>
      <c r="F1585" s="121" t="s">
        <v>3009</v>
      </c>
      <c r="G1585" s="98" t="str">
        <f>HYPERLINK("http://mirror.ff7data.com.ar/ff7/data/battle/battle.lgp/ddap.png","View Picture")</f>
        <v>View Picture</v>
      </c>
      <c r="H1585" s="75"/>
      <c r="I1585" s="74"/>
      <c r="J1585" s="74"/>
      <c r="K1585" s="74"/>
    </row>
    <row r="1586">
      <c r="A1586" s="84"/>
      <c r="B1586" s="119" t="s">
        <v>17145</v>
      </c>
      <c r="C1586" s="120" t="s">
        <v>7258</v>
      </c>
      <c r="D1586" s="33" t="s">
        <v>17069</v>
      </c>
      <c r="E1586" s="39" t="s">
        <v>368</v>
      </c>
      <c r="F1586" s="121" t="s">
        <v>3009</v>
      </c>
      <c r="G1586" s="98" t="str">
        <f>HYPERLINK("http://mirror.ff7data.com.ar/ff7/data/battle/battle.lgp/ddaq.png","View Picture")</f>
        <v>View Picture</v>
      </c>
      <c r="H1586" s="75"/>
      <c r="I1586" s="74"/>
      <c r="J1586" s="74"/>
      <c r="K1586" s="74"/>
    </row>
    <row r="1587">
      <c r="A1587" s="84"/>
      <c r="B1587" s="119" t="s">
        <v>17160</v>
      </c>
      <c r="C1587" s="120" t="s">
        <v>7501</v>
      </c>
      <c r="D1587" s="33" t="s">
        <v>17069</v>
      </c>
      <c r="E1587" s="39" t="s">
        <v>368</v>
      </c>
      <c r="F1587" s="121" t="s">
        <v>3009</v>
      </c>
      <c r="G1587" s="98" t="str">
        <f>HYPERLINK("http://mirror.ff7data.com.ar/ff7/data/battle/battle.lgp/ddar.png","View Picture")</f>
        <v>View Picture</v>
      </c>
      <c r="H1587" s="75"/>
      <c r="I1587" s="74"/>
      <c r="J1587" s="74"/>
      <c r="K1587" s="74"/>
    </row>
    <row r="1588">
      <c r="A1588" s="84"/>
      <c r="B1588" s="119" t="s">
        <v>17177</v>
      </c>
      <c r="C1588" s="120" t="s">
        <v>6018</v>
      </c>
      <c r="D1588" s="33" t="s">
        <v>17069</v>
      </c>
      <c r="E1588" s="39" t="s">
        <v>368</v>
      </c>
      <c r="F1588" s="121" t="s">
        <v>3009</v>
      </c>
      <c r="G1588" s="98" t="str">
        <f>HYPERLINK("http://mirror.ff7data.com.ar/ff7/data/battle/battle.lgp/ddas.png","View Picture")</f>
        <v>View Picture</v>
      </c>
      <c r="H1588" s="75"/>
      <c r="I1588" s="74"/>
      <c r="J1588" s="74"/>
      <c r="K1588" s="74"/>
    </row>
    <row r="1589">
      <c r="A1589" s="84"/>
      <c r="B1589" s="119" t="s">
        <v>17193</v>
      </c>
      <c r="C1589" s="120" t="s">
        <v>3749</v>
      </c>
      <c r="D1589" s="33" t="s">
        <v>17069</v>
      </c>
      <c r="E1589" s="39" t="s">
        <v>368</v>
      </c>
      <c r="F1589" s="121" t="s">
        <v>3009</v>
      </c>
      <c r="G1589" s="98" t="str">
        <f>HYPERLINK("http://mirror.ff7data.com.ar/ff7/data/battle/battle.lgp/ddau.png","View Picture")</f>
        <v>View Picture</v>
      </c>
      <c r="H1589" s="75"/>
      <c r="I1589" s="74"/>
      <c r="J1589" s="74"/>
      <c r="K1589" s="74"/>
    </row>
    <row r="1590">
      <c r="A1590" s="84"/>
      <c r="B1590" s="119" t="s">
        <v>17210</v>
      </c>
      <c r="C1590" s="120" t="s">
        <v>7270</v>
      </c>
      <c r="D1590" s="33" t="s">
        <v>17069</v>
      </c>
      <c r="E1590" s="39" t="s">
        <v>368</v>
      </c>
      <c r="F1590" s="121" t="s">
        <v>3009</v>
      </c>
      <c r="G1590" s="98" t="str">
        <f>HYPERLINK("http://mirror.ff7data.com.ar/ff7/data/battle/battle.lgp/ddaw.png","View Picture")</f>
        <v>View Picture</v>
      </c>
      <c r="H1590" s="75"/>
      <c r="I1590" s="74"/>
      <c r="J1590" s="74"/>
      <c r="K1590" s="74"/>
    </row>
    <row r="1591">
      <c r="A1591" s="84"/>
      <c r="B1591" s="119" t="s">
        <v>17228</v>
      </c>
      <c r="C1591" s="120" t="s">
        <v>17230</v>
      </c>
      <c r="D1591" s="33" t="s">
        <v>17069</v>
      </c>
      <c r="E1591" s="39" t="s">
        <v>368</v>
      </c>
      <c r="F1591" s="121" t="s">
        <v>3009</v>
      </c>
      <c r="G1591" s="98" t="str">
        <f>HYPERLINK("http://mirror.ff7data.com.ar/ff7/data/battle/battle.lgp/dday.png","View Picture")</f>
        <v>View Picture</v>
      </c>
      <c r="H1591" s="75"/>
      <c r="I1591" s="74"/>
      <c r="J1591" s="74"/>
      <c r="K1591" s="74"/>
    </row>
    <row r="1592">
      <c r="A1592" s="84"/>
      <c r="B1592" s="119" t="s">
        <v>17248</v>
      </c>
      <c r="C1592" s="120" t="s">
        <v>4288</v>
      </c>
      <c r="D1592" s="33" t="s">
        <v>17069</v>
      </c>
      <c r="E1592" s="39" t="s">
        <v>368</v>
      </c>
      <c r="F1592" s="121" t="s">
        <v>3009</v>
      </c>
      <c r="G1592" s="98" t="str">
        <f>HYPERLINK("http://mirror.ff7data.com.ar/ff7/data/battle/battle.lgp/ddaz.png","View Picture")</f>
        <v>View Picture</v>
      </c>
      <c r="H1592" s="75"/>
      <c r="I1592" s="74"/>
      <c r="J1592" s="74"/>
      <c r="K1592" s="74"/>
    </row>
    <row r="1593">
      <c r="A1593" s="84"/>
      <c r="B1593" s="119" t="s">
        <v>17264</v>
      </c>
      <c r="C1593" s="120" t="s">
        <v>4288</v>
      </c>
      <c r="D1593" s="33" t="s">
        <v>17069</v>
      </c>
      <c r="E1593" s="39" t="s">
        <v>368</v>
      </c>
      <c r="F1593" s="121" t="s">
        <v>3009</v>
      </c>
      <c r="G1593" s="98" t="str">
        <f>HYPERLINK("http://mirror.ff7data.com.ar/ff7/data/battle/battle.lgp/ddba.png","View Picture")</f>
        <v>View Picture</v>
      </c>
      <c r="H1593" s="75"/>
      <c r="I1593" s="74"/>
      <c r="J1593" s="74"/>
      <c r="K1593" s="74"/>
    </row>
    <row r="1594">
      <c r="A1594" s="84"/>
      <c r="B1594" s="119" t="s">
        <v>17277</v>
      </c>
      <c r="C1594" s="120" t="s">
        <v>4288</v>
      </c>
      <c r="D1594" s="33" t="s">
        <v>17069</v>
      </c>
      <c r="E1594" s="39" t="s">
        <v>368</v>
      </c>
      <c r="F1594" s="121" t="s">
        <v>3009</v>
      </c>
      <c r="G1594" s="98" t="str">
        <f>HYPERLINK("http://mirror.ff7data.com.ar/ff7/data/battle/battle.lgp/ddbb.png","View Picture")</f>
        <v>View Picture</v>
      </c>
      <c r="H1594" s="75"/>
      <c r="I1594" s="74"/>
      <c r="J1594" s="74"/>
      <c r="K1594" s="74"/>
    </row>
    <row r="1595">
      <c r="A1595" s="84"/>
      <c r="B1595" s="119" t="s">
        <v>17295</v>
      </c>
      <c r="C1595" s="120" t="s">
        <v>4357</v>
      </c>
      <c r="D1595" s="33" t="s">
        <v>17069</v>
      </c>
      <c r="E1595" s="39" t="s">
        <v>368</v>
      </c>
      <c r="F1595" s="121" t="s">
        <v>3009</v>
      </c>
      <c r="G1595" s="98" t="str">
        <f>HYPERLINK("http://mirror.ff7data.com.ar/ff7/data/battle/battle.lgp/ddbc.png","View Picture")</f>
        <v>View Picture</v>
      </c>
      <c r="H1595" s="75"/>
      <c r="I1595" s="74"/>
      <c r="J1595" s="74"/>
      <c r="K1595" s="74"/>
    </row>
    <row r="1596">
      <c r="A1596" s="84"/>
      <c r="B1596" s="119" t="s">
        <v>17311</v>
      </c>
      <c r="C1596" s="120" t="s">
        <v>13957</v>
      </c>
      <c r="D1596" s="33" t="s">
        <v>17069</v>
      </c>
      <c r="E1596" s="39" t="s">
        <v>368</v>
      </c>
      <c r="F1596" s="121" t="s">
        <v>3009</v>
      </c>
      <c r="G1596" s="98" t="str">
        <f>HYPERLINK("http://mirror.ff7data.com.ar/ff7/data/battle/battle.lgp/ddbd.png","View Picture")</f>
        <v>View Picture</v>
      </c>
      <c r="H1596" s="75"/>
      <c r="I1596" s="74"/>
      <c r="J1596" s="74"/>
      <c r="K1596" s="74"/>
    </row>
    <row r="1597">
      <c r="A1597" s="84"/>
      <c r="B1597" s="119" t="s">
        <v>17326</v>
      </c>
      <c r="C1597" s="120" t="s">
        <v>14030</v>
      </c>
      <c r="D1597" s="33" t="s">
        <v>17069</v>
      </c>
      <c r="E1597" s="39" t="s">
        <v>368</v>
      </c>
      <c r="F1597" s="121" t="s">
        <v>3009</v>
      </c>
      <c r="G1597" s="98" t="str">
        <f>HYPERLINK("http://mirror.ff7data.com.ar/ff7/data/battle/battle.lgp/ddbe.png","View Picture")</f>
        <v>View Picture</v>
      </c>
      <c r="H1597" s="75"/>
      <c r="I1597" s="74"/>
      <c r="J1597" s="74"/>
      <c r="K1597" s="74"/>
    </row>
    <row r="1598">
      <c r="A1598" s="84"/>
      <c r="B1598" s="119" t="s">
        <v>17343</v>
      </c>
      <c r="C1598" s="120" t="s">
        <v>13957</v>
      </c>
      <c r="D1598" s="33" t="s">
        <v>17069</v>
      </c>
      <c r="E1598" s="39" t="s">
        <v>368</v>
      </c>
      <c r="F1598" s="121" t="s">
        <v>3009</v>
      </c>
      <c r="G1598" s="98" t="str">
        <f>HYPERLINK("http://mirror.ff7data.com.ar/ff7/data/battle/battle.lgp/ddbf.png","View Picture")</f>
        <v>View Picture</v>
      </c>
      <c r="H1598" s="75"/>
      <c r="I1598" s="74"/>
      <c r="J1598" s="74"/>
      <c r="K1598" s="74"/>
    </row>
    <row r="1599">
      <c r="A1599" s="84"/>
      <c r="B1599" s="119" t="s">
        <v>17358</v>
      </c>
      <c r="C1599" s="120" t="s">
        <v>3505</v>
      </c>
      <c r="D1599" s="33" t="s">
        <v>17069</v>
      </c>
      <c r="E1599" s="39" t="s">
        <v>368</v>
      </c>
      <c r="F1599" s="121" t="s">
        <v>3009</v>
      </c>
      <c r="G1599" s="98" t="str">
        <f>HYPERLINK("http://mirror.ff7data.com.ar/ff7/data/battle/battle.lgp/ddbg.png","View Picture")</f>
        <v>View Picture</v>
      </c>
      <c r="H1599" s="75"/>
      <c r="I1599" s="74"/>
      <c r="J1599" s="74"/>
      <c r="K1599" s="74"/>
    </row>
    <row r="1600">
      <c r="A1600" s="84"/>
      <c r="B1600" s="119" t="s">
        <v>17374</v>
      </c>
      <c r="C1600" s="120" t="s">
        <v>3505</v>
      </c>
      <c r="D1600" s="33" t="s">
        <v>17069</v>
      </c>
      <c r="E1600" s="39" t="s">
        <v>368</v>
      </c>
      <c r="F1600" s="121" t="s">
        <v>3009</v>
      </c>
      <c r="G1600" s="98" t="str">
        <f>HYPERLINK("http://mirror.ff7data.com.ar/ff7/data/battle/battle.lgp/ddbh.png","View Picture")</f>
        <v>View Picture</v>
      </c>
      <c r="H1600" s="75"/>
      <c r="I1600" s="74"/>
      <c r="J1600" s="74"/>
      <c r="K1600" s="74"/>
    </row>
    <row r="1601">
      <c r="A1601" s="84"/>
      <c r="B1601" s="119" t="s">
        <v>17392</v>
      </c>
      <c r="C1601" s="120" t="s">
        <v>14030</v>
      </c>
      <c r="D1601" s="33" t="s">
        <v>17069</v>
      </c>
      <c r="E1601" s="39" t="s">
        <v>368</v>
      </c>
      <c r="F1601" s="121" t="s">
        <v>3009</v>
      </c>
      <c r="G1601" s="98" t="str">
        <f>HYPERLINK("http://mirror.ff7data.com.ar/ff7/data/battle/battle.lgp/ddbi.png","View Picture")</f>
        <v>View Picture</v>
      </c>
      <c r="H1601" s="75"/>
      <c r="I1601" s="74"/>
      <c r="J1601" s="74"/>
      <c r="K1601" s="74"/>
    </row>
    <row r="1602">
      <c r="A1602" s="84"/>
      <c r="B1602" s="119" t="s">
        <v>17408</v>
      </c>
      <c r="C1602" s="120" t="s">
        <v>14030</v>
      </c>
      <c r="D1602" s="33" t="s">
        <v>17069</v>
      </c>
      <c r="E1602" s="39" t="s">
        <v>368</v>
      </c>
      <c r="F1602" s="121" t="s">
        <v>3009</v>
      </c>
      <c r="G1602" s="98" t="str">
        <f>HYPERLINK("http://mirror.ff7data.com.ar/ff7/data/battle/battle.lgp/ddbj.png","View Picture")</f>
        <v>View Picture</v>
      </c>
      <c r="H1602" s="75"/>
      <c r="I1602" s="74"/>
      <c r="J1602" s="74"/>
      <c r="K1602" s="74"/>
    </row>
    <row r="1603">
      <c r="A1603" s="84"/>
      <c r="B1603" s="119" t="s">
        <v>17419</v>
      </c>
      <c r="C1603" s="120" t="s">
        <v>13957</v>
      </c>
      <c r="D1603" s="33" t="s">
        <v>17069</v>
      </c>
      <c r="E1603" s="39" t="s">
        <v>368</v>
      </c>
      <c r="F1603" s="121" t="s">
        <v>3009</v>
      </c>
      <c r="G1603" s="98" t="str">
        <f>HYPERLINK("http://mirror.ff7data.com.ar/ff7/data/battle/battle.lgp/ddbk.png","View Picture")</f>
        <v>View Picture</v>
      </c>
      <c r="H1603" s="75"/>
      <c r="I1603" s="74"/>
      <c r="J1603" s="74"/>
      <c r="K1603" s="74"/>
    </row>
    <row r="1604">
      <c r="A1604" s="84"/>
      <c r="B1604" s="119" t="s">
        <v>17434</v>
      </c>
      <c r="C1604" s="120" t="s">
        <v>13957</v>
      </c>
      <c r="D1604" s="33" t="s">
        <v>17069</v>
      </c>
      <c r="E1604" s="39" t="s">
        <v>368</v>
      </c>
      <c r="F1604" s="121" t="s">
        <v>3009</v>
      </c>
      <c r="G1604" s="98" t="str">
        <f>HYPERLINK("http://mirror.ff7data.com.ar/ff7/data/battle/battle.lgp/ddbl.png","View Picture")</f>
        <v>View Picture</v>
      </c>
      <c r="H1604" s="75"/>
      <c r="I1604" s="74"/>
      <c r="J1604" s="74"/>
      <c r="K1604" s="74"/>
    </row>
    <row r="1605">
      <c r="A1605" s="84"/>
      <c r="B1605" s="119" t="s">
        <v>17444</v>
      </c>
      <c r="C1605" s="120" t="s">
        <v>3505</v>
      </c>
      <c r="D1605" s="33" t="s">
        <v>17069</v>
      </c>
      <c r="E1605" s="39" t="s">
        <v>368</v>
      </c>
      <c r="F1605" s="121" t="s">
        <v>3009</v>
      </c>
      <c r="G1605" s="98" t="str">
        <f>HYPERLINK("http://mirror.ff7data.com.ar/ff7/data/battle/battle.lgp/ddbm.png","View Picture")</f>
        <v>View Picture</v>
      </c>
      <c r="H1605" s="75"/>
      <c r="I1605" s="74"/>
      <c r="J1605" s="74"/>
      <c r="K1605" s="74"/>
    </row>
    <row r="1606">
      <c r="A1606" s="84"/>
      <c r="B1606" s="119" t="s">
        <v>17456</v>
      </c>
      <c r="C1606" s="120" t="s">
        <v>14030</v>
      </c>
      <c r="D1606" s="33" t="s">
        <v>17069</v>
      </c>
      <c r="E1606" s="39" t="s">
        <v>368</v>
      </c>
      <c r="F1606" s="121" t="s">
        <v>3009</v>
      </c>
      <c r="G1606" s="98" t="str">
        <f>HYPERLINK("http://mirror.ff7data.com.ar/ff7/data/battle/battle.lgp/ddbn.png","View Picture")</f>
        <v>View Picture</v>
      </c>
      <c r="H1606" s="75"/>
      <c r="I1606" s="74"/>
      <c r="J1606" s="74"/>
      <c r="K1606" s="74"/>
    </row>
    <row r="1607">
      <c r="A1607" s="84"/>
      <c r="B1607" s="119" t="s">
        <v>17469</v>
      </c>
      <c r="C1607" s="120" t="s">
        <v>3505</v>
      </c>
      <c r="D1607" s="33" t="s">
        <v>17069</v>
      </c>
      <c r="E1607" s="39" t="s">
        <v>368</v>
      </c>
      <c r="F1607" s="121" t="s">
        <v>3009</v>
      </c>
      <c r="G1607" s="98" t="str">
        <f>HYPERLINK("http://mirror.ff7data.com.ar/ff7/data/battle/battle.lgp/ddbo.png","View Picture")</f>
        <v>View Picture</v>
      </c>
      <c r="H1607" s="75"/>
      <c r="I1607" s="74"/>
      <c r="J1607" s="74"/>
      <c r="K1607" s="74"/>
    </row>
    <row r="1608">
      <c r="A1608" s="84"/>
      <c r="B1608" s="119" t="s">
        <v>17484</v>
      </c>
      <c r="C1608" s="120" t="s">
        <v>13957</v>
      </c>
      <c r="D1608" s="33" t="s">
        <v>17069</v>
      </c>
      <c r="E1608" s="39" t="s">
        <v>368</v>
      </c>
      <c r="F1608" s="121" t="s">
        <v>3009</v>
      </c>
      <c r="G1608" s="98" t="str">
        <f>HYPERLINK("http://mirror.ff7data.com.ar/ff7/data/battle/battle.lgp/ddbp.png","View Picture")</f>
        <v>View Picture</v>
      </c>
      <c r="H1608" s="75"/>
      <c r="I1608" s="74"/>
      <c r="J1608" s="74"/>
      <c r="K1608" s="74"/>
    </row>
    <row r="1609">
      <c r="A1609" s="84"/>
      <c r="B1609" s="119" t="s">
        <v>17501</v>
      </c>
      <c r="C1609" s="120" t="s">
        <v>3505</v>
      </c>
      <c r="D1609" s="33" t="s">
        <v>17069</v>
      </c>
      <c r="E1609" s="39" t="s">
        <v>368</v>
      </c>
      <c r="F1609" s="121" t="s">
        <v>3009</v>
      </c>
      <c r="G1609" s="98" t="str">
        <f>HYPERLINK("http://mirror.ff7data.com.ar/ff7/data/battle/battle.lgp/ddbq.png","View Picture")</f>
        <v>View Picture</v>
      </c>
      <c r="H1609" s="75"/>
      <c r="I1609" s="74"/>
      <c r="J1609" s="74"/>
      <c r="K1609" s="74"/>
    </row>
    <row r="1610">
      <c r="A1610" s="84"/>
      <c r="B1610" s="119" t="s">
        <v>17517</v>
      </c>
      <c r="C1610" s="120" t="s">
        <v>13957</v>
      </c>
      <c r="D1610" s="33" t="s">
        <v>17069</v>
      </c>
      <c r="E1610" s="39" t="s">
        <v>368</v>
      </c>
      <c r="F1610" s="121" t="s">
        <v>3009</v>
      </c>
      <c r="G1610" s="98" t="str">
        <f>HYPERLINK("http://mirror.ff7data.com.ar/ff7/data/battle/battle.lgp/ddbr.png","View Picture")</f>
        <v>View Picture</v>
      </c>
      <c r="H1610" s="75"/>
      <c r="I1610" s="74"/>
      <c r="J1610" s="74"/>
      <c r="K1610" s="74"/>
    </row>
    <row r="1611">
      <c r="A1611" s="84"/>
      <c r="B1611" s="119" t="s">
        <v>17528</v>
      </c>
      <c r="C1611" s="120" t="s">
        <v>4732</v>
      </c>
      <c r="D1611" s="33" t="s">
        <v>17069</v>
      </c>
      <c r="E1611" s="39" t="s">
        <v>368</v>
      </c>
      <c r="F1611" s="121" t="s">
        <v>3009</v>
      </c>
      <c r="G1611" s="98" t="str">
        <f>HYPERLINK("http://mirror.ff7data.com.ar/ff7/data/battle/battle.lgp/ddbs.png","View Picture")</f>
        <v>View Picture</v>
      </c>
      <c r="H1611" s="75"/>
      <c r="I1611" s="74"/>
      <c r="J1611" s="74"/>
      <c r="K1611" s="74"/>
    </row>
    <row r="1612">
      <c r="A1612" s="84"/>
      <c r="B1612" s="119" t="s">
        <v>17538</v>
      </c>
      <c r="C1612" s="120" t="s">
        <v>4288</v>
      </c>
      <c r="D1612" s="33" t="s">
        <v>17069</v>
      </c>
      <c r="E1612" s="39" t="s">
        <v>368</v>
      </c>
      <c r="F1612" s="121" t="s">
        <v>3009</v>
      </c>
      <c r="G1612" s="98" t="str">
        <f>HYPERLINK("http://mirror.ff7data.com.ar/ff7/data/battle/battle.lgp/ddbt.png","View Picture")</f>
        <v>View Picture</v>
      </c>
      <c r="H1612" s="75"/>
      <c r="I1612" s="74"/>
      <c r="J1612" s="74"/>
      <c r="K1612" s="74"/>
    </row>
    <row r="1613">
      <c r="A1613" s="84"/>
      <c r="B1613" s="119" t="s">
        <v>17549</v>
      </c>
      <c r="C1613" s="120" t="s">
        <v>4288</v>
      </c>
      <c r="D1613" s="33" t="s">
        <v>17069</v>
      </c>
      <c r="E1613" s="39" t="s">
        <v>368</v>
      </c>
      <c r="F1613" s="121" t="s">
        <v>3009</v>
      </c>
      <c r="G1613" s="98" t="str">
        <f>HYPERLINK("http://mirror.ff7data.com.ar/ff7/data/battle/battle.lgp/ddbu.png","View Picture")</f>
        <v>View Picture</v>
      </c>
      <c r="H1613" s="75"/>
      <c r="I1613" s="74"/>
      <c r="J1613" s="74"/>
      <c r="K1613" s="74"/>
    </row>
    <row r="1614">
      <c r="A1614" s="84"/>
      <c r="B1614" s="119" t="s">
        <v>17561</v>
      </c>
      <c r="C1614" s="120" t="s">
        <v>4696</v>
      </c>
      <c r="D1614" s="33" t="s">
        <v>17069</v>
      </c>
      <c r="E1614" s="39" t="s">
        <v>368</v>
      </c>
      <c r="F1614" s="121" t="s">
        <v>3009</v>
      </c>
      <c r="G1614" s="98" t="str">
        <f>HYPERLINK("http://mirror.ff7data.com.ar/ff7/data/battle/battle.lgp/ddbv.png","View Picture")</f>
        <v>View Picture</v>
      </c>
      <c r="H1614" s="75"/>
      <c r="I1614" s="74"/>
      <c r="J1614" s="74"/>
      <c r="K1614" s="74"/>
    </row>
    <row r="1615">
      <c r="A1615" s="84"/>
      <c r="B1615" s="119" t="s">
        <v>17577</v>
      </c>
      <c r="C1615" s="120" t="s">
        <v>4264</v>
      </c>
      <c r="D1615" s="33" t="s">
        <v>17069</v>
      </c>
      <c r="E1615" s="39" t="s">
        <v>368</v>
      </c>
      <c r="F1615" s="121" t="s">
        <v>3009</v>
      </c>
      <c r="G1615" s="98" t="str">
        <f>HYPERLINK("http://mirror.ff7data.com.ar/ff7/data/battle/battle.lgp/ddbx.png","View Picture")</f>
        <v>View Picture</v>
      </c>
      <c r="H1615" s="75"/>
      <c r="I1615" s="74"/>
      <c r="J1615" s="74"/>
      <c r="K1615" s="74"/>
    </row>
    <row r="1616">
      <c r="A1616" s="84"/>
      <c r="B1616" s="119" t="s">
        <v>17590</v>
      </c>
      <c r="C1616" s="120" t="s">
        <v>4288</v>
      </c>
      <c r="D1616" s="33" t="s">
        <v>17069</v>
      </c>
      <c r="E1616" s="39" t="s">
        <v>368</v>
      </c>
      <c r="F1616" s="121" t="s">
        <v>3009</v>
      </c>
      <c r="G1616" s="98" t="str">
        <f>HYPERLINK("http://mirror.ff7data.com.ar/ff7/data/battle/battle.lgp/ddby.png","View Picture")</f>
        <v>View Picture</v>
      </c>
      <c r="H1616" s="75"/>
      <c r="I1616" s="74"/>
      <c r="J1616" s="74"/>
      <c r="K1616" s="74"/>
    </row>
    <row r="1617">
      <c r="A1617" s="84"/>
      <c r="B1617" s="119" t="s">
        <v>17603</v>
      </c>
      <c r="C1617" s="120" t="s">
        <v>4696</v>
      </c>
      <c r="D1617" s="33" t="s">
        <v>17069</v>
      </c>
      <c r="E1617" s="39" t="s">
        <v>368</v>
      </c>
      <c r="F1617" s="121" t="s">
        <v>3009</v>
      </c>
      <c r="G1617" s="98" t="str">
        <f>HYPERLINK("http://mirror.ff7data.com.ar/ff7/data/battle/battle.lgp/ddbz.png","View Picture")</f>
        <v>View Picture</v>
      </c>
      <c r="H1617" s="75"/>
      <c r="I1617" s="74"/>
      <c r="J1617" s="74"/>
      <c r="K1617" s="74"/>
    </row>
    <row r="1618">
      <c r="A1618" s="84"/>
      <c r="B1618" s="119" t="s">
        <v>17614</v>
      </c>
      <c r="C1618" s="120" t="s">
        <v>4288</v>
      </c>
      <c r="D1618" s="33" t="s">
        <v>17069</v>
      </c>
      <c r="E1618" s="39" t="s">
        <v>368</v>
      </c>
      <c r="F1618" s="121" t="s">
        <v>3009</v>
      </c>
      <c r="G1618" s="98" t="str">
        <f>HYPERLINK("http://mirror.ff7data.com.ar/ff7/data/battle/battle.lgp/ddcb.png","View Picture")</f>
        <v>View Picture</v>
      </c>
      <c r="H1618" s="75"/>
      <c r="I1618" s="74"/>
      <c r="J1618" s="74"/>
      <c r="K1618" s="74"/>
    </row>
    <row r="1619">
      <c r="A1619" s="84"/>
      <c r="B1619" s="119" t="s">
        <v>17630</v>
      </c>
      <c r="C1619" s="120" t="s">
        <v>4288</v>
      </c>
      <c r="D1619" s="33" t="s">
        <v>17069</v>
      </c>
      <c r="E1619" s="39" t="s">
        <v>368</v>
      </c>
      <c r="F1619" s="121" t="s">
        <v>3009</v>
      </c>
      <c r="G1619" s="98" t="str">
        <f>HYPERLINK("http://mirror.ff7data.com.ar/ff7/data/battle/battle.lgp/ddcc.png","View Picture")</f>
        <v>View Picture</v>
      </c>
      <c r="H1619" s="75"/>
      <c r="I1619" s="74"/>
      <c r="J1619" s="74"/>
      <c r="K1619" s="74"/>
    </row>
    <row r="1620">
      <c r="A1620" s="84"/>
      <c r="B1620" s="119" t="s">
        <v>17648</v>
      </c>
      <c r="C1620" s="120" t="s">
        <v>4696</v>
      </c>
      <c r="D1620" s="33" t="s">
        <v>17069</v>
      </c>
      <c r="E1620" s="39" t="s">
        <v>368</v>
      </c>
      <c r="F1620" s="121" t="s">
        <v>3009</v>
      </c>
      <c r="G1620" s="98" t="str">
        <f>HYPERLINK("http://mirror.ff7data.com.ar/ff7/data/battle/battle.lgp/ddcd.png","View Picture")</f>
        <v>View Picture</v>
      </c>
      <c r="H1620" s="75"/>
      <c r="I1620" s="74"/>
      <c r="J1620" s="74"/>
      <c r="K1620" s="74"/>
    </row>
    <row r="1621">
      <c r="A1621" s="84"/>
      <c r="B1621" s="119" t="s">
        <v>17662</v>
      </c>
      <c r="C1621" s="120" t="s">
        <v>17664</v>
      </c>
      <c r="D1621" s="33" t="s">
        <v>17069</v>
      </c>
      <c r="E1621" s="39" t="s">
        <v>368</v>
      </c>
      <c r="F1621" s="121" t="s">
        <v>3025</v>
      </c>
      <c r="G1621" s="122"/>
      <c r="H1621" s="46" t="s">
        <v>3002</v>
      </c>
      <c r="I1621" s="74"/>
      <c r="J1621" s="74"/>
      <c r="K1621" s="74"/>
    </row>
    <row r="1622">
      <c r="A1622" s="84"/>
      <c r="B1622" s="119" t="s">
        <v>17672</v>
      </c>
      <c r="C1622" s="120" t="s">
        <v>4468</v>
      </c>
      <c r="D1622" s="33" t="s">
        <v>17674</v>
      </c>
      <c r="E1622" s="51" t="s">
        <v>371</v>
      </c>
      <c r="F1622" s="121" t="s">
        <v>2971</v>
      </c>
      <c r="G1622" s="98" t="str">
        <f>HYPERLINK("http://mirror.ff7data.com.ar/ff7/data/battle/battle.lgp/deaa.png","View Picture")</f>
        <v>View Picture</v>
      </c>
      <c r="H1622" s="75"/>
      <c r="I1622" s="74"/>
      <c r="J1622" s="74"/>
      <c r="K1622" s="74"/>
    </row>
    <row r="1623">
      <c r="A1623" s="84"/>
      <c r="B1623" s="119" t="s">
        <v>17691</v>
      </c>
      <c r="C1623" s="120" t="s">
        <v>5222</v>
      </c>
      <c r="D1623" s="33" t="s">
        <v>17694</v>
      </c>
      <c r="E1623" s="51" t="s">
        <v>371</v>
      </c>
      <c r="F1623" s="121" t="s">
        <v>2993</v>
      </c>
      <c r="G1623" s="122"/>
      <c r="H1623" s="46" t="s">
        <v>3002</v>
      </c>
      <c r="I1623" s="74"/>
      <c r="J1623" s="74"/>
      <c r="K1623" s="74"/>
    </row>
    <row r="1624">
      <c r="A1624" s="84"/>
      <c r="B1624" s="119" t="s">
        <v>17698</v>
      </c>
      <c r="C1624" s="120" t="s">
        <v>4217</v>
      </c>
      <c r="D1624" s="33" t="s">
        <v>17694</v>
      </c>
      <c r="E1624" s="51" t="s">
        <v>371</v>
      </c>
      <c r="F1624" s="121" t="s">
        <v>3009</v>
      </c>
      <c r="G1624" s="98" t="str">
        <f>HYPERLINK("http://mirror.ff7data.com.ar/ff7/data/battle/battle.lgp/deam.png","View Picture")</f>
        <v>View Picture</v>
      </c>
      <c r="H1624" s="75"/>
      <c r="I1624" s="74"/>
      <c r="J1624" s="74"/>
      <c r="K1624" s="74"/>
    </row>
    <row r="1625">
      <c r="A1625" s="84"/>
      <c r="B1625" s="119" t="s">
        <v>17717</v>
      </c>
      <c r="C1625" s="120" t="s">
        <v>4167</v>
      </c>
      <c r="D1625" s="33" t="s">
        <v>17694</v>
      </c>
      <c r="E1625" s="51" t="s">
        <v>371</v>
      </c>
      <c r="F1625" s="121" t="s">
        <v>3009</v>
      </c>
      <c r="G1625" s="98" t="str">
        <f>HYPERLINK("http://mirror.ff7data.com.ar/ff7/data/battle/battle.lgp/dean.png","View Picture")</f>
        <v>View Picture</v>
      </c>
      <c r="H1625" s="75"/>
      <c r="I1625" s="74"/>
      <c r="J1625" s="74"/>
      <c r="K1625" s="74"/>
    </row>
    <row r="1626">
      <c r="A1626" s="84"/>
      <c r="B1626" s="119" t="s">
        <v>17730</v>
      </c>
      <c r="C1626" s="120" t="s">
        <v>5419</v>
      </c>
      <c r="D1626" s="33" t="s">
        <v>17694</v>
      </c>
      <c r="E1626" s="51" t="s">
        <v>371</v>
      </c>
      <c r="F1626" s="121" t="s">
        <v>3009</v>
      </c>
      <c r="G1626" s="98" t="str">
        <f>HYPERLINK("http://mirror.ff7data.com.ar/ff7/data/battle/battle.lgp/deaq.png","View Picture")</f>
        <v>View Picture</v>
      </c>
      <c r="H1626" s="75"/>
      <c r="I1626" s="74"/>
      <c r="J1626" s="74"/>
      <c r="K1626" s="74"/>
    </row>
    <row r="1627">
      <c r="A1627" s="84"/>
      <c r="B1627" s="119" t="s">
        <v>17743</v>
      </c>
      <c r="C1627" s="120" t="s">
        <v>3412</v>
      </c>
      <c r="D1627" s="33" t="s">
        <v>17694</v>
      </c>
      <c r="E1627" s="51" t="s">
        <v>371</v>
      </c>
      <c r="F1627" s="121" t="s">
        <v>3009</v>
      </c>
      <c r="G1627" s="98" t="str">
        <f>HYPERLINK("http://mirror.ff7data.com.ar/ff7/data/battle/battle.lgp/dear.png","View Picture")</f>
        <v>View Picture</v>
      </c>
      <c r="H1627" s="75"/>
      <c r="I1627" s="74"/>
      <c r="J1627" s="74"/>
      <c r="K1627" s="74"/>
    </row>
    <row r="1628">
      <c r="A1628" s="84"/>
      <c r="B1628" s="119" t="s">
        <v>17754</v>
      </c>
      <c r="C1628" s="120" t="s">
        <v>7148</v>
      </c>
      <c r="D1628" s="33" t="s">
        <v>17694</v>
      </c>
      <c r="E1628" s="51" t="s">
        <v>371</v>
      </c>
      <c r="F1628" s="121" t="s">
        <v>3009</v>
      </c>
      <c r="G1628" s="98" t="str">
        <f>HYPERLINK("http://mirror.ff7data.com.ar/ff7/data/battle/battle.lgp/deas.png","View Picture")</f>
        <v>View Picture</v>
      </c>
      <c r="H1628" s="75"/>
      <c r="I1628" s="74"/>
      <c r="J1628" s="74"/>
      <c r="K1628" s="74"/>
    </row>
    <row r="1629">
      <c r="A1629" s="84"/>
      <c r="B1629" s="119" t="s">
        <v>17772</v>
      </c>
      <c r="C1629" s="120" t="s">
        <v>7148</v>
      </c>
      <c r="D1629" s="33" t="s">
        <v>17694</v>
      </c>
      <c r="E1629" s="51" t="s">
        <v>371</v>
      </c>
      <c r="F1629" s="121" t="s">
        <v>3009</v>
      </c>
      <c r="G1629" s="98" t="str">
        <f>HYPERLINK("http://mirror.ff7data.com.ar/ff7/data/battle/battle.lgp/deau.png","View Picture")</f>
        <v>View Picture</v>
      </c>
      <c r="H1629" s="75"/>
      <c r="I1629" s="74"/>
      <c r="J1629" s="74"/>
      <c r="K1629" s="74"/>
    </row>
    <row r="1630">
      <c r="A1630" s="84"/>
      <c r="B1630" s="119" t="s">
        <v>17781</v>
      </c>
      <c r="C1630" s="120" t="s">
        <v>4264</v>
      </c>
      <c r="D1630" s="33" t="s">
        <v>17694</v>
      </c>
      <c r="E1630" s="51" t="s">
        <v>371</v>
      </c>
      <c r="F1630" s="121" t="s">
        <v>3009</v>
      </c>
      <c r="G1630" s="98" t="str">
        <f>HYPERLINK("http://mirror.ff7data.com.ar/ff7/data/battle/battle.lgp/deav.png","View Picture")</f>
        <v>View Picture</v>
      </c>
      <c r="H1630" s="75"/>
      <c r="I1630" s="74"/>
      <c r="J1630" s="74"/>
      <c r="K1630" s="74"/>
    </row>
    <row r="1631">
      <c r="A1631" s="84"/>
      <c r="B1631" s="119" t="s">
        <v>17792</v>
      </c>
      <c r="C1631" s="120" t="s">
        <v>7148</v>
      </c>
      <c r="D1631" s="33" t="s">
        <v>17694</v>
      </c>
      <c r="E1631" s="51" t="s">
        <v>371</v>
      </c>
      <c r="F1631" s="121" t="s">
        <v>3009</v>
      </c>
      <c r="G1631" s="98" t="str">
        <f>HYPERLINK("http://mirror.ff7data.com.ar/ff7/data/battle/battle.lgp/deax.png","View Picture")</f>
        <v>View Picture</v>
      </c>
      <c r="H1631" s="75"/>
      <c r="I1631" s="74"/>
      <c r="J1631" s="74"/>
      <c r="K1631" s="74"/>
    </row>
    <row r="1632">
      <c r="A1632" s="84"/>
      <c r="B1632" s="119" t="s">
        <v>17801</v>
      </c>
      <c r="C1632" s="120" t="s">
        <v>4264</v>
      </c>
      <c r="D1632" s="33" t="s">
        <v>17694</v>
      </c>
      <c r="E1632" s="51" t="s">
        <v>371</v>
      </c>
      <c r="F1632" s="121" t="s">
        <v>3009</v>
      </c>
      <c r="G1632" s="98" t="str">
        <f>HYPERLINK("http://mirror.ff7data.com.ar/ff7/data/battle/battle.lgp/deay.png","View Picture")</f>
        <v>View Picture</v>
      </c>
      <c r="H1632" s="75"/>
      <c r="I1632" s="74"/>
      <c r="J1632" s="74"/>
      <c r="K1632" s="74"/>
    </row>
    <row r="1633">
      <c r="A1633" s="84"/>
      <c r="B1633" s="119" t="s">
        <v>17810</v>
      </c>
      <c r="C1633" s="120" t="s">
        <v>7148</v>
      </c>
      <c r="D1633" s="33" t="s">
        <v>17694</v>
      </c>
      <c r="E1633" s="51" t="s">
        <v>371</v>
      </c>
      <c r="F1633" s="121" t="s">
        <v>3009</v>
      </c>
      <c r="G1633" s="98" t="str">
        <f>HYPERLINK("http://mirror.ff7data.com.ar/ff7/data/battle/battle.lgp/deba.png","View Picture")</f>
        <v>View Picture</v>
      </c>
      <c r="H1633" s="75"/>
      <c r="I1633" s="74"/>
      <c r="J1633" s="74"/>
      <c r="K1633" s="74"/>
    </row>
    <row r="1634">
      <c r="A1634" s="84"/>
      <c r="B1634" s="119" t="s">
        <v>17825</v>
      </c>
      <c r="C1634" s="120" t="s">
        <v>4264</v>
      </c>
      <c r="D1634" s="33" t="s">
        <v>17694</v>
      </c>
      <c r="E1634" s="51" t="s">
        <v>371</v>
      </c>
      <c r="F1634" s="121" t="s">
        <v>3009</v>
      </c>
      <c r="G1634" s="98" t="str">
        <f>HYPERLINK("http://mirror.ff7data.com.ar/ff7/data/battle/battle.lgp/debb.png","View Picture")</f>
        <v>View Picture</v>
      </c>
      <c r="H1634" s="75"/>
      <c r="I1634" s="74"/>
      <c r="J1634" s="74"/>
      <c r="K1634" s="74"/>
    </row>
    <row r="1635">
      <c r="A1635" s="84"/>
      <c r="B1635" s="119" t="s">
        <v>17841</v>
      </c>
      <c r="C1635" s="120" t="s">
        <v>7148</v>
      </c>
      <c r="D1635" s="33" t="s">
        <v>17694</v>
      </c>
      <c r="E1635" s="51" t="s">
        <v>371</v>
      </c>
      <c r="F1635" s="121" t="s">
        <v>3009</v>
      </c>
      <c r="G1635" s="98" t="str">
        <f>HYPERLINK("http://mirror.ff7data.com.ar/ff7/data/battle/battle.lgp/debd.png","View Picture")</f>
        <v>View Picture</v>
      </c>
      <c r="H1635" s="75"/>
      <c r="I1635" s="74"/>
      <c r="J1635" s="74"/>
      <c r="K1635" s="74"/>
    </row>
    <row r="1636">
      <c r="A1636" s="84"/>
      <c r="B1636" s="119" t="s">
        <v>17856</v>
      </c>
      <c r="C1636" s="120" t="s">
        <v>4264</v>
      </c>
      <c r="D1636" s="33" t="s">
        <v>17694</v>
      </c>
      <c r="E1636" s="51" t="s">
        <v>371</v>
      </c>
      <c r="F1636" s="121" t="s">
        <v>3009</v>
      </c>
      <c r="G1636" s="98" t="str">
        <f>HYPERLINK("http://mirror.ff7data.com.ar/ff7/data/battle/battle.lgp/debe.png","View Picture")</f>
        <v>View Picture</v>
      </c>
      <c r="H1636" s="75"/>
      <c r="I1636" s="74"/>
      <c r="J1636" s="74"/>
      <c r="K1636" s="74"/>
    </row>
    <row r="1637">
      <c r="A1637" s="84"/>
      <c r="B1637" s="119" t="s">
        <v>17871</v>
      </c>
      <c r="C1637" s="120" t="s">
        <v>4357</v>
      </c>
      <c r="D1637" s="33" t="s">
        <v>17694</v>
      </c>
      <c r="E1637" s="51" t="s">
        <v>371</v>
      </c>
      <c r="F1637" s="121" t="s">
        <v>3009</v>
      </c>
      <c r="G1637" s="98" t="str">
        <f>HYPERLINK("http://mirror.ff7data.com.ar/ff7/data/battle/battle.lgp/debh.png","View Picture")</f>
        <v>View Picture</v>
      </c>
      <c r="H1637" s="75"/>
      <c r="I1637" s="74"/>
      <c r="J1637" s="74"/>
      <c r="K1637" s="74"/>
    </row>
    <row r="1638">
      <c r="A1638" s="84"/>
      <c r="B1638" s="119" t="s">
        <v>17889</v>
      </c>
      <c r="C1638" s="120" t="s">
        <v>3412</v>
      </c>
      <c r="D1638" s="33" t="s">
        <v>17694</v>
      </c>
      <c r="E1638" s="51" t="s">
        <v>371</v>
      </c>
      <c r="F1638" s="121" t="s">
        <v>3009</v>
      </c>
      <c r="G1638" s="98" t="str">
        <f>HYPERLINK("http://mirror.ff7data.com.ar/ff7/data/battle/battle.lgp/debi.png","View Picture")</f>
        <v>View Picture</v>
      </c>
      <c r="H1638" s="75"/>
      <c r="I1638" s="74"/>
      <c r="J1638" s="74"/>
      <c r="K1638" s="74"/>
    </row>
    <row r="1639">
      <c r="A1639" s="84"/>
      <c r="B1639" s="119" t="s">
        <v>17902</v>
      </c>
      <c r="C1639" s="120" t="s">
        <v>7148</v>
      </c>
      <c r="D1639" s="33" t="s">
        <v>17694</v>
      </c>
      <c r="E1639" s="51" t="s">
        <v>371</v>
      </c>
      <c r="F1639" s="121" t="s">
        <v>3009</v>
      </c>
      <c r="G1639" s="98" t="str">
        <f>HYPERLINK("http://mirror.ff7data.com.ar/ff7/data/battle/battle.lgp/debj.png","View Picture")</f>
        <v>View Picture</v>
      </c>
      <c r="H1639" s="75"/>
      <c r="I1639" s="74"/>
      <c r="J1639" s="74"/>
      <c r="K1639" s="74"/>
    </row>
    <row r="1640">
      <c r="A1640" s="84"/>
      <c r="B1640" s="119" t="s">
        <v>17915</v>
      </c>
      <c r="C1640" s="120" t="s">
        <v>4565</v>
      </c>
      <c r="D1640" s="33" t="s">
        <v>17694</v>
      </c>
      <c r="E1640" s="51" t="s">
        <v>371</v>
      </c>
      <c r="F1640" s="121" t="s">
        <v>3009</v>
      </c>
      <c r="G1640" s="98" t="str">
        <f>HYPERLINK("http://mirror.ff7data.com.ar/ff7/data/battle/battle.lgp/debk.png","View Picture")</f>
        <v>View Picture</v>
      </c>
      <c r="H1640" s="75"/>
      <c r="I1640" s="74"/>
      <c r="J1640" s="74"/>
      <c r="K1640" s="74"/>
    </row>
    <row r="1641">
      <c r="A1641" s="84"/>
      <c r="B1641" s="119" t="s">
        <v>17928</v>
      </c>
      <c r="C1641" s="120" t="s">
        <v>7148</v>
      </c>
      <c r="D1641" s="33" t="s">
        <v>17694</v>
      </c>
      <c r="E1641" s="51" t="s">
        <v>371</v>
      </c>
      <c r="F1641" s="121" t="s">
        <v>3009</v>
      </c>
      <c r="G1641" s="98" t="str">
        <f>HYPERLINK("http://mirror.ff7data.com.ar/ff7/data/battle/battle.lgp/debl.png","View Picture")</f>
        <v>View Picture</v>
      </c>
      <c r="H1641" s="75"/>
      <c r="I1641" s="74"/>
      <c r="J1641" s="74"/>
      <c r="K1641" s="74"/>
    </row>
    <row r="1642">
      <c r="A1642" s="84"/>
      <c r="B1642" s="119" t="s">
        <v>17941</v>
      </c>
      <c r="C1642" s="120" t="s">
        <v>7148</v>
      </c>
      <c r="D1642" s="33" t="s">
        <v>17694</v>
      </c>
      <c r="E1642" s="51" t="s">
        <v>371</v>
      </c>
      <c r="F1642" s="121" t="s">
        <v>3009</v>
      </c>
      <c r="G1642" s="98" t="str">
        <f>HYPERLINK("http://mirror.ff7data.com.ar/ff7/data/battle/battle.lgp/debm.png","View Picture")</f>
        <v>View Picture</v>
      </c>
      <c r="H1642" s="75"/>
      <c r="I1642" s="74"/>
      <c r="J1642" s="74"/>
      <c r="K1642" s="74"/>
    </row>
    <row r="1643">
      <c r="A1643" s="84"/>
      <c r="B1643" s="119" t="s">
        <v>17955</v>
      </c>
      <c r="C1643" s="120" t="s">
        <v>4396</v>
      </c>
      <c r="D1643" s="33" t="s">
        <v>17694</v>
      </c>
      <c r="E1643" s="51" t="s">
        <v>371</v>
      </c>
      <c r="F1643" s="121" t="s">
        <v>3009</v>
      </c>
      <c r="G1643" s="98" t="str">
        <f>HYPERLINK("http://mirror.ff7data.com.ar/ff7/data/battle/battle.lgp/debn.png","View Picture")</f>
        <v>View Picture</v>
      </c>
      <c r="H1643" s="75"/>
      <c r="I1643" s="74"/>
      <c r="J1643" s="74"/>
      <c r="K1643" s="74"/>
    </row>
    <row r="1644">
      <c r="A1644" s="84"/>
      <c r="B1644" s="119" t="s">
        <v>17966</v>
      </c>
      <c r="C1644" s="120" t="s">
        <v>4719</v>
      </c>
      <c r="D1644" s="33" t="s">
        <v>17694</v>
      </c>
      <c r="E1644" s="51" t="s">
        <v>371</v>
      </c>
      <c r="F1644" s="121" t="s">
        <v>3009</v>
      </c>
      <c r="G1644" s="98" t="str">
        <f>HYPERLINK("http://mirror.ff7data.com.ar/ff7/data/battle/battle.lgp/debp.png","View Picture")</f>
        <v>View Picture</v>
      </c>
      <c r="H1644" s="75"/>
      <c r="I1644" s="74"/>
      <c r="J1644" s="74"/>
      <c r="K1644" s="74"/>
    </row>
    <row r="1645">
      <c r="A1645" s="84"/>
      <c r="B1645" s="119" t="s">
        <v>17980</v>
      </c>
      <c r="C1645" s="120" t="s">
        <v>4357</v>
      </c>
      <c r="D1645" s="33" t="s">
        <v>17694</v>
      </c>
      <c r="E1645" s="51" t="s">
        <v>371</v>
      </c>
      <c r="F1645" s="121" t="s">
        <v>3009</v>
      </c>
      <c r="G1645" s="98" t="str">
        <f>HYPERLINK("http://mirror.ff7data.com.ar/ff7/data/battle/battle.lgp/debq.png","View Picture")</f>
        <v>View Picture</v>
      </c>
      <c r="H1645" s="75"/>
      <c r="I1645" s="74"/>
      <c r="J1645" s="74"/>
      <c r="K1645" s="74"/>
    </row>
    <row r="1646">
      <c r="A1646" s="84"/>
      <c r="B1646" s="119" t="s">
        <v>17997</v>
      </c>
      <c r="C1646" s="120" t="s">
        <v>4439</v>
      </c>
      <c r="D1646" s="33" t="s">
        <v>17694</v>
      </c>
      <c r="E1646" s="51" t="s">
        <v>371</v>
      </c>
      <c r="F1646" s="121" t="s">
        <v>3009</v>
      </c>
      <c r="G1646" s="98" t="str">
        <f>HYPERLINK("http://mirror.ff7data.com.ar/ff7/data/battle/battle.lgp/debr.png","View Picture")</f>
        <v>View Picture</v>
      </c>
      <c r="H1646" s="75"/>
      <c r="I1646" s="74"/>
      <c r="J1646" s="74"/>
      <c r="K1646" s="74"/>
    </row>
    <row r="1647">
      <c r="A1647" s="84"/>
      <c r="B1647" s="119" t="s">
        <v>18013</v>
      </c>
      <c r="C1647" s="120" t="s">
        <v>4719</v>
      </c>
      <c r="D1647" s="33" t="s">
        <v>17694</v>
      </c>
      <c r="E1647" s="51" t="s">
        <v>371</v>
      </c>
      <c r="F1647" s="121" t="s">
        <v>3009</v>
      </c>
      <c r="G1647" s="98" t="str">
        <f>HYPERLINK("http://mirror.ff7data.com.ar/ff7/data/battle/battle.lgp/debt.png","View Picture")</f>
        <v>View Picture</v>
      </c>
      <c r="H1647" s="75"/>
      <c r="I1647" s="74"/>
      <c r="J1647" s="74"/>
      <c r="K1647" s="74"/>
    </row>
    <row r="1648">
      <c r="A1648" s="84"/>
      <c r="B1648" s="119" t="s">
        <v>18029</v>
      </c>
      <c r="C1648" s="120" t="s">
        <v>5419</v>
      </c>
      <c r="D1648" s="33" t="s">
        <v>17694</v>
      </c>
      <c r="E1648" s="51" t="s">
        <v>371</v>
      </c>
      <c r="F1648" s="121" t="s">
        <v>3009</v>
      </c>
      <c r="G1648" s="98" t="str">
        <f>HYPERLINK("http://mirror.ff7data.com.ar/ff7/data/battle/battle.lgp/debu.png","View Picture")</f>
        <v>View Picture</v>
      </c>
      <c r="H1648" s="75"/>
      <c r="I1648" s="74"/>
      <c r="J1648" s="74"/>
      <c r="K1648" s="74"/>
    </row>
    <row r="1649">
      <c r="A1649" s="84"/>
      <c r="B1649" s="119" t="s">
        <v>18039</v>
      </c>
      <c r="C1649" s="120" t="s">
        <v>4439</v>
      </c>
      <c r="D1649" s="33" t="s">
        <v>17694</v>
      </c>
      <c r="E1649" s="51" t="s">
        <v>371</v>
      </c>
      <c r="F1649" s="121" t="s">
        <v>3009</v>
      </c>
      <c r="G1649" s="98" t="str">
        <f>HYPERLINK("http://mirror.ff7data.com.ar/ff7/data/battle/battle.lgp/debv.png","View Picture")</f>
        <v>View Picture</v>
      </c>
      <c r="H1649" s="75"/>
      <c r="I1649" s="74"/>
      <c r="J1649" s="74"/>
      <c r="K1649" s="74"/>
    </row>
    <row r="1650">
      <c r="A1650" s="84"/>
      <c r="B1650" s="119" t="s">
        <v>18043</v>
      </c>
      <c r="C1650" s="120" t="s">
        <v>9041</v>
      </c>
      <c r="D1650" s="33" t="s">
        <v>17694</v>
      </c>
      <c r="E1650" s="51" t="s">
        <v>371</v>
      </c>
      <c r="F1650" s="121" t="s">
        <v>3025</v>
      </c>
      <c r="G1650" s="122"/>
      <c r="H1650" s="46" t="s">
        <v>3002</v>
      </c>
      <c r="I1650" s="74"/>
      <c r="J1650" s="74"/>
      <c r="K1650" s="74"/>
    </row>
    <row r="1651">
      <c r="A1651" s="84"/>
      <c r="B1651" s="119" t="s">
        <v>18046</v>
      </c>
      <c r="C1651" s="120" t="s">
        <v>18047</v>
      </c>
      <c r="D1651" s="33" t="s">
        <v>18048</v>
      </c>
      <c r="E1651" s="51" t="s">
        <v>374</v>
      </c>
      <c r="F1651" s="121" t="s">
        <v>2971</v>
      </c>
      <c r="G1651" s="98" t="str">
        <f>HYPERLINK("http://mirror.ff7data.com.ar/ff7/data/battle/battle.lgp/dfaa.png","View Picture")</f>
        <v>View Picture</v>
      </c>
    </row>
    <row r="1652">
      <c r="A1652" s="84"/>
      <c r="B1652" s="119" t="s">
        <v>18057</v>
      </c>
      <c r="C1652" s="120" t="s">
        <v>5222</v>
      </c>
      <c r="D1652" s="33" t="s">
        <v>18059</v>
      </c>
      <c r="E1652" s="51" t="s">
        <v>374</v>
      </c>
      <c r="F1652" s="121" t="s">
        <v>2993</v>
      </c>
      <c r="H1652" s="46" t="s">
        <v>3002</v>
      </c>
    </row>
    <row r="1653">
      <c r="A1653" s="84"/>
      <c r="B1653" s="119" t="s">
        <v>18063</v>
      </c>
      <c r="C1653" s="120" t="s">
        <v>3552</v>
      </c>
      <c r="D1653" s="33" t="s">
        <v>18059</v>
      </c>
      <c r="E1653" s="51" t="s">
        <v>374</v>
      </c>
      <c r="F1653" s="121" t="s">
        <v>1348</v>
      </c>
      <c r="G1653" s="98" t="str">
        <f>HYPERLINK("http://mirror.ff7data.com.ar/ff7/data/battle/battle.lgp/dfac.png","View Picture")</f>
        <v>View Picture</v>
      </c>
    </row>
    <row r="1654">
      <c r="A1654" s="84"/>
      <c r="B1654" s="119" t="s">
        <v>18077</v>
      </c>
      <c r="C1654" s="120" t="s">
        <v>4191</v>
      </c>
      <c r="D1654" s="33" t="s">
        <v>18059</v>
      </c>
      <c r="E1654" s="51" t="s">
        <v>374</v>
      </c>
      <c r="F1654" s="121" t="s">
        <v>1348</v>
      </c>
      <c r="G1654" s="98" t="str">
        <f>HYPERLINK("http://mirror.ff7data.com.ar/ff7/data/battle/battle.lgp/dfad.png","View Picture")</f>
        <v>View Picture</v>
      </c>
    </row>
    <row r="1655">
      <c r="A1655" s="84"/>
      <c r="B1655" s="119" t="s">
        <v>18089</v>
      </c>
      <c r="C1655" s="120" t="s">
        <v>4191</v>
      </c>
      <c r="D1655" s="33" t="s">
        <v>18059</v>
      </c>
      <c r="E1655" s="51" t="s">
        <v>374</v>
      </c>
      <c r="F1655" s="121" t="s">
        <v>1348</v>
      </c>
      <c r="G1655" s="98" t="str">
        <f>HYPERLINK("http://mirror.ff7data.com.ar/ff7/data/battle/battle.lgp/dfae.png","View Picture")</f>
        <v>View Picture</v>
      </c>
    </row>
    <row r="1656">
      <c r="A1656" s="84"/>
      <c r="B1656" s="119" t="s">
        <v>18103</v>
      </c>
      <c r="C1656" s="120" t="s">
        <v>3648</v>
      </c>
      <c r="D1656" s="33" t="s">
        <v>18059</v>
      </c>
      <c r="E1656" s="51" t="s">
        <v>374</v>
      </c>
      <c r="F1656" s="121" t="s">
        <v>3009</v>
      </c>
      <c r="G1656" s="98" t="str">
        <f>HYPERLINK("http://mirror.ff7data.com.ar/ff7/data/battle/battle.lgp/dfam.png","View Picture")</f>
        <v>View Picture</v>
      </c>
    </row>
    <row r="1657">
      <c r="A1657" s="84"/>
      <c r="B1657" s="119" t="s">
        <v>18117</v>
      </c>
      <c r="C1657" s="120" t="s">
        <v>3648</v>
      </c>
      <c r="D1657" s="33" t="s">
        <v>18059</v>
      </c>
      <c r="E1657" s="51" t="s">
        <v>374</v>
      </c>
      <c r="F1657" s="121" t="s">
        <v>3009</v>
      </c>
      <c r="G1657" s="98" t="str">
        <f>HYPERLINK("http://mirror.ff7data.com.ar/ff7/data/battle/battle.lgp/dfan.png","View Picture")</f>
        <v>View Picture</v>
      </c>
    </row>
    <row r="1658">
      <c r="A1658" s="84"/>
      <c r="B1658" s="119" t="s">
        <v>18129</v>
      </c>
      <c r="C1658" s="120" t="s">
        <v>7301</v>
      </c>
      <c r="D1658" s="33" t="s">
        <v>18059</v>
      </c>
      <c r="E1658" s="51" t="s">
        <v>374</v>
      </c>
      <c r="F1658" s="121" t="s">
        <v>3009</v>
      </c>
      <c r="G1658" s="98" t="str">
        <f>HYPERLINK("http://mirror.ff7data.com.ar/ff7/data/battle/battle.lgp/dfao.png","View Picture")</f>
        <v>View Picture</v>
      </c>
    </row>
    <row r="1659">
      <c r="A1659" s="84"/>
      <c r="B1659" s="119" t="s">
        <v>18143</v>
      </c>
      <c r="C1659" s="120" t="s">
        <v>18144</v>
      </c>
      <c r="D1659" s="33" t="s">
        <v>18059</v>
      </c>
      <c r="E1659" s="51" t="s">
        <v>374</v>
      </c>
      <c r="F1659" s="121" t="s">
        <v>3009</v>
      </c>
      <c r="G1659" s="98" t="str">
        <f>HYPERLINK("http://mirror.ff7data.com.ar/ff7/data/battle/battle.lgp/dfap.png","View Picture")</f>
        <v>View Picture</v>
      </c>
    </row>
    <row r="1660">
      <c r="A1660" s="84"/>
      <c r="B1660" s="119" t="s">
        <v>18155</v>
      </c>
      <c r="C1660" s="120" t="s">
        <v>5203</v>
      </c>
      <c r="D1660" s="33" t="s">
        <v>18059</v>
      </c>
      <c r="E1660" s="51" t="s">
        <v>374</v>
      </c>
      <c r="F1660" s="121" t="s">
        <v>3009</v>
      </c>
      <c r="G1660" s="98" t="str">
        <f>HYPERLINK("http://mirror.ff7data.com.ar/ff7/data/battle/battle.lgp/dfaq.png","View Picture")</f>
        <v>View Picture</v>
      </c>
    </row>
    <row r="1661">
      <c r="A1661" s="84"/>
      <c r="B1661" s="119" t="s">
        <v>18169</v>
      </c>
      <c r="C1661" s="120" t="s">
        <v>3355</v>
      </c>
      <c r="D1661" s="33" t="s">
        <v>18059</v>
      </c>
      <c r="E1661" s="51" t="s">
        <v>374</v>
      </c>
      <c r="F1661" s="121" t="s">
        <v>3009</v>
      </c>
      <c r="G1661" s="98" t="str">
        <f>HYPERLINK("http://mirror.ff7data.com.ar/ff7/data/battle/battle.lgp/dfas.png","View Picture")</f>
        <v>View Picture</v>
      </c>
    </row>
    <row r="1662">
      <c r="A1662" s="84"/>
      <c r="B1662" s="119" t="s">
        <v>18183</v>
      </c>
      <c r="C1662" s="120" t="s">
        <v>4719</v>
      </c>
      <c r="D1662" s="33" t="s">
        <v>18059</v>
      </c>
      <c r="E1662" s="51" t="s">
        <v>374</v>
      </c>
      <c r="F1662" s="121" t="s">
        <v>3009</v>
      </c>
      <c r="G1662" s="98" t="str">
        <f>HYPERLINK("http://mirror.ff7data.com.ar/ff7/data/battle/battle.lgp/dfat.png","View Picture")</f>
        <v>View Picture</v>
      </c>
    </row>
    <row r="1663">
      <c r="A1663" s="84"/>
      <c r="B1663" s="119" t="s">
        <v>18198</v>
      </c>
      <c r="C1663" s="120" t="s">
        <v>4719</v>
      </c>
      <c r="D1663" s="33" t="s">
        <v>18059</v>
      </c>
      <c r="E1663" s="51" t="s">
        <v>374</v>
      </c>
      <c r="F1663" s="121" t="s">
        <v>3009</v>
      </c>
      <c r="G1663" s="98" t="str">
        <f>HYPERLINK("http://mirror.ff7data.com.ar/ff7/data/battle/battle.lgp/dfau.png","View Picture")</f>
        <v>View Picture</v>
      </c>
    </row>
    <row r="1664">
      <c r="A1664" s="84"/>
      <c r="B1664" s="119" t="s">
        <v>18213</v>
      </c>
      <c r="C1664" s="120" t="s">
        <v>4057</v>
      </c>
      <c r="D1664" s="33" t="s">
        <v>18059</v>
      </c>
      <c r="E1664" s="51" t="s">
        <v>374</v>
      </c>
      <c r="F1664" s="121" t="s">
        <v>3009</v>
      </c>
      <c r="G1664" s="98" t="str">
        <f>HYPERLINK("http://mirror.ff7data.com.ar/ff7/data/battle/battle.lgp/dfav.png","View Picture")</f>
        <v>View Picture</v>
      </c>
    </row>
    <row r="1665">
      <c r="A1665" s="84"/>
      <c r="B1665" s="119" t="s">
        <v>18228</v>
      </c>
      <c r="C1665" s="120" t="s">
        <v>4696</v>
      </c>
      <c r="D1665" s="33" t="s">
        <v>18059</v>
      </c>
      <c r="E1665" s="51" t="s">
        <v>374</v>
      </c>
      <c r="F1665" s="121" t="s">
        <v>3009</v>
      </c>
      <c r="G1665" s="98" t="str">
        <f>HYPERLINK("http://mirror.ff7data.com.ar/ff7/data/battle/battle.lgp/dfax.png","View Picture")</f>
        <v>View Picture</v>
      </c>
    </row>
    <row r="1666">
      <c r="A1666" s="84"/>
      <c r="B1666" s="119" t="s">
        <v>18241</v>
      </c>
      <c r="C1666" s="120" t="s">
        <v>4696</v>
      </c>
      <c r="D1666" s="33" t="s">
        <v>18059</v>
      </c>
      <c r="E1666" s="51" t="s">
        <v>374</v>
      </c>
      <c r="F1666" s="121" t="s">
        <v>3009</v>
      </c>
      <c r="G1666" s="98" t="str">
        <f>HYPERLINK("http://mirror.ff7data.com.ar/ff7/data/battle/battle.lgp/dfay.png","View Picture")</f>
        <v>View Picture</v>
      </c>
    </row>
    <row r="1667">
      <c r="A1667" s="84"/>
      <c r="B1667" s="119" t="s">
        <v>18252</v>
      </c>
      <c r="C1667" s="120" t="s">
        <v>4696</v>
      </c>
      <c r="D1667" s="33" t="s">
        <v>18059</v>
      </c>
      <c r="E1667" s="51" t="s">
        <v>374</v>
      </c>
      <c r="F1667" s="121" t="s">
        <v>3009</v>
      </c>
      <c r="G1667" s="98" t="str">
        <f>HYPERLINK("http://mirror.ff7data.com.ar/ff7/data/battle/battle.lgp/dfaz.png","View Picture")</f>
        <v>View Picture</v>
      </c>
    </row>
    <row r="1668">
      <c r="A1668" s="84"/>
      <c r="B1668" s="119" t="s">
        <v>18264</v>
      </c>
      <c r="C1668" s="120" t="s">
        <v>4696</v>
      </c>
      <c r="D1668" s="33" t="s">
        <v>18059</v>
      </c>
      <c r="E1668" s="51" t="s">
        <v>374</v>
      </c>
      <c r="F1668" s="121" t="s">
        <v>3009</v>
      </c>
      <c r="G1668" s="98" t="str">
        <f>HYPERLINK("http://mirror.ff7data.com.ar/ff7/data/battle/battle.lgp/dfba.png","View Picture")</f>
        <v>View Picture</v>
      </c>
    </row>
    <row r="1669">
      <c r="A1669" s="84"/>
      <c r="B1669" s="119" t="s">
        <v>18276</v>
      </c>
      <c r="C1669" s="120" t="s">
        <v>4696</v>
      </c>
      <c r="D1669" s="33" t="s">
        <v>18059</v>
      </c>
      <c r="E1669" s="51" t="s">
        <v>374</v>
      </c>
      <c r="F1669" s="121" t="s">
        <v>3009</v>
      </c>
      <c r="G1669" s="98" t="str">
        <f>HYPERLINK("http://mirror.ff7data.com.ar/ff7/data/battle/battle.lgp/dfbc.png","View Picture")</f>
        <v>View Picture</v>
      </c>
    </row>
    <row r="1670">
      <c r="A1670" s="84"/>
      <c r="B1670" s="119" t="s">
        <v>18288</v>
      </c>
      <c r="C1670" s="120" t="s">
        <v>4696</v>
      </c>
      <c r="D1670" s="33" t="s">
        <v>18059</v>
      </c>
      <c r="E1670" s="51" t="s">
        <v>374</v>
      </c>
      <c r="F1670" s="121" t="s">
        <v>3009</v>
      </c>
      <c r="G1670" s="98" t="str">
        <f>HYPERLINK("http://mirror.ff7data.com.ar/ff7/data/battle/battle.lgp/dfbd.png","View Picture")</f>
        <v>View Picture</v>
      </c>
    </row>
    <row r="1671">
      <c r="A1671" s="84"/>
      <c r="B1671" s="119" t="s">
        <v>18304</v>
      </c>
      <c r="C1671" s="120" t="s">
        <v>4696</v>
      </c>
      <c r="D1671" s="33" t="s">
        <v>18059</v>
      </c>
      <c r="E1671" s="51" t="s">
        <v>374</v>
      </c>
      <c r="F1671" s="121" t="s">
        <v>3009</v>
      </c>
      <c r="G1671" s="98" t="str">
        <f>HYPERLINK("http://mirror.ff7data.com.ar/ff7/data/battle/battle.lgp/dfbe.png","View Picture")</f>
        <v>View Picture</v>
      </c>
    </row>
    <row r="1672">
      <c r="A1672" s="84"/>
      <c r="B1672" s="119" t="s">
        <v>18316</v>
      </c>
      <c r="C1672" s="120" t="s">
        <v>4696</v>
      </c>
      <c r="D1672" s="33" t="s">
        <v>18059</v>
      </c>
      <c r="E1672" s="51" t="s">
        <v>374</v>
      </c>
      <c r="F1672" s="121" t="s">
        <v>3009</v>
      </c>
      <c r="G1672" s="98" t="str">
        <f>HYPERLINK("http://mirror.ff7data.com.ar/ff7/data/battle/battle.lgp/dfbf.png","View Picture")</f>
        <v>View Picture</v>
      </c>
    </row>
    <row r="1673">
      <c r="A1673" s="84"/>
      <c r="B1673" s="119" t="s">
        <v>18332</v>
      </c>
      <c r="C1673" s="120" t="s">
        <v>5967</v>
      </c>
      <c r="D1673" s="33" t="s">
        <v>18059</v>
      </c>
      <c r="E1673" s="51" t="s">
        <v>374</v>
      </c>
      <c r="F1673" s="121" t="s">
        <v>3025</v>
      </c>
      <c r="H1673" s="46" t="s">
        <v>3002</v>
      </c>
    </row>
    <row r="1674">
      <c r="A1674" s="84"/>
      <c r="B1674" s="119" t="s">
        <v>18336</v>
      </c>
      <c r="C1674" s="120" t="s">
        <v>7606</v>
      </c>
      <c r="D1674" s="33" t="s">
        <v>18339</v>
      </c>
      <c r="E1674" s="51" t="s">
        <v>379</v>
      </c>
      <c r="F1674" s="121" t="s">
        <v>2971</v>
      </c>
      <c r="G1674" s="98" t="str">
        <f>HYPERLINK("http://mirror.ff7data.com.ar/ff7/data/battle/battle.lgp/dgaa.png","View Picture")</f>
        <v>View Picture</v>
      </c>
    </row>
    <row r="1675">
      <c r="A1675" s="84"/>
      <c r="B1675" s="119" t="s">
        <v>18353</v>
      </c>
      <c r="C1675" s="120" t="s">
        <v>5222</v>
      </c>
      <c r="D1675" s="33" t="s">
        <v>18356</v>
      </c>
      <c r="E1675" s="51" t="s">
        <v>379</v>
      </c>
      <c r="F1675" s="121" t="s">
        <v>2993</v>
      </c>
      <c r="H1675" s="46" t="s">
        <v>3002</v>
      </c>
    </row>
    <row r="1676">
      <c r="A1676" s="84"/>
      <c r="B1676" s="119" t="s">
        <v>18361</v>
      </c>
      <c r="C1676" s="120" t="s">
        <v>3658</v>
      </c>
      <c r="D1676" s="33" t="s">
        <v>18356</v>
      </c>
      <c r="E1676" s="51" t="s">
        <v>379</v>
      </c>
      <c r="F1676" s="121" t="s">
        <v>3009</v>
      </c>
      <c r="G1676" s="98" t="str">
        <f>HYPERLINK("http://mirror.ff7data.com.ar/ff7/data/battle/battle.lgp/dgam.png","View Picture")</f>
        <v>View Picture</v>
      </c>
    </row>
    <row r="1677">
      <c r="A1677" s="84"/>
      <c r="B1677" s="119" t="s">
        <v>18377</v>
      </c>
      <c r="C1677" s="120" t="s">
        <v>4357</v>
      </c>
      <c r="D1677" s="33" t="s">
        <v>18356</v>
      </c>
      <c r="E1677" s="51" t="s">
        <v>379</v>
      </c>
      <c r="F1677" s="121" t="s">
        <v>3009</v>
      </c>
      <c r="G1677" s="98" t="str">
        <f>HYPERLINK("http://mirror.ff7data.com.ar/ff7/data/battle/battle.lgp/dgan.png","View Picture")</f>
        <v>View Picture</v>
      </c>
    </row>
    <row r="1678">
      <c r="A1678" s="84"/>
      <c r="B1678" s="119" t="s">
        <v>18390</v>
      </c>
      <c r="C1678" s="120" t="s">
        <v>4264</v>
      </c>
      <c r="D1678" s="33" t="s">
        <v>18356</v>
      </c>
      <c r="E1678" s="51" t="s">
        <v>379</v>
      </c>
      <c r="F1678" s="121" t="s">
        <v>3009</v>
      </c>
      <c r="G1678" s="98" t="str">
        <f>HYPERLINK("http://mirror.ff7data.com.ar/ff7/data/battle/battle.lgp/dgao.png","View Picture")</f>
        <v>View Picture</v>
      </c>
    </row>
    <row r="1679">
      <c r="A1679" s="84"/>
      <c r="B1679" s="119" t="s">
        <v>18403</v>
      </c>
      <c r="C1679" s="120" t="s">
        <v>18406</v>
      </c>
      <c r="D1679" s="33" t="s">
        <v>18356</v>
      </c>
      <c r="E1679" s="51" t="s">
        <v>379</v>
      </c>
      <c r="F1679" s="121" t="s">
        <v>3009</v>
      </c>
      <c r="G1679" s="98" t="str">
        <f>HYPERLINK("http://mirror.ff7data.com.ar/ff7/data/battle/battle.lgp/dgap.png","View Picture")</f>
        <v>View Picture</v>
      </c>
    </row>
    <row r="1680">
      <c r="A1680" s="84"/>
      <c r="B1680" s="119" t="s">
        <v>18416</v>
      </c>
      <c r="C1680" s="120" t="s">
        <v>7270</v>
      </c>
      <c r="D1680" s="33" t="s">
        <v>18356</v>
      </c>
      <c r="E1680" s="51" t="s">
        <v>379</v>
      </c>
      <c r="F1680" s="121" t="s">
        <v>3009</v>
      </c>
      <c r="G1680" s="98" t="str">
        <f>HYPERLINK("http://mirror.ff7data.com.ar/ff7/data/battle/battle.lgp/dgar.png","View Picture")</f>
        <v>View Picture</v>
      </c>
    </row>
    <row r="1681">
      <c r="A1681" s="84"/>
      <c r="B1681" s="119" t="s">
        <v>18425</v>
      </c>
      <c r="C1681" s="120" t="s">
        <v>4264</v>
      </c>
      <c r="D1681" s="33" t="s">
        <v>18356</v>
      </c>
      <c r="E1681" s="51" t="s">
        <v>379</v>
      </c>
      <c r="F1681" s="121" t="s">
        <v>3009</v>
      </c>
      <c r="G1681" s="98" t="str">
        <f>HYPERLINK("http://mirror.ff7data.com.ar/ff7/data/battle/battle.lgp/dgat.png","View Picture")</f>
        <v>View Picture</v>
      </c>
    </row>
    <row r="1682">
      <c r="A1682" s="84"/>
      <c r="B1682" s="119" t="s">
        <v>18431</v>
      </c>
      <c r="C1682" s="120" t="s">
        <v>4264</v>
      </c>
      <c r="D1682" s="33" t="s">
        <v>18356</v>
      </c>
      <c r="E1682" s="51" t="s">
        <v>379</v>
      </c>
      <c r="F1682" s="121" t="s">
        <v>3009</v>
      </c>
      <c r="G1682" s="98" t="str">
        <f>HYPERLINK("http://mirror.ff7data.com.ar/ff7/data/battle/battle.lgp/dgau.png","View Picture")</f>
        <v>View Picture</v>
      </c>
    </row>
    <row r="1683">
      <c r="A1683" s="84"/>
      <c r="B1683" s="119" t="s">
        <v>18438</v>
      </c>
      <c r="C1683" s="120" t="s">
        <v>4357</v>
      </c>
      <c r="D1683" s="33" t="s">
        <v>18356</v>
      </c>
      <c r="E1683" s="51" t="s">
        <v>379</v>
      </c>
      <c r="F1683" s="121" t="s">
        <v>3009</v>
      </c>
      <c r="G1683" s="98" t="str">
        <f>HYPERLINK("http://mirror.ff7data.com.ar/ff7/data/battle/battle.lgp/dgav.png","View Picture")</f>
        <v>View Picture</v>
      </c>
    </row>
    <row r="1684">
      <c r="A1684" s="84"/>
      <c r="B1684" s="119" t="s">
        <v>18447</v>
      </c>
      <c r="C1684" s="120" t="s">
        <v>4264</v>
      </c>
      <c r="D1684" s="33" t="s">
        <v>18356</v>
      </c>
      <c r="E1684" s="51" t="s">
        <v>379</v>
      </c>
      <c r="F1684" s="121" t="s">
        <v>3009</v>
      </c>
      <c r="G1684" s="98" t="str">
        <f>HYPERLINK("http://mirror.ff7data.com.ar/ff7/data/battle/battle.lgp/dgax.png","View Picture")</f>
        <v>View Picture</v>
      </c>
    </row>
    <row r="1685">
      <c r="A1685" s="84"/>
      <c r="B1685" s="119" t="s">
        <v>18453</v>
      </c>
      <c r="C1685" s="120" t="s">
        <v>4264</v>
      </c>
      <c r="D1685" s="33" t="s">
        <v>18356</v>
      </c>
      <c r="E1685" s="51" t="s">
        <v>379</v>
      </c>
      <c r="F1685" s="121" t="s">
        <v>3009</v>
      </c>
      <c r="G1685" s="98" t="str">
        <f>HYPERLINK("http://mirror.ff7data.com.ar/ff7/data/battle/battle.lgp/dgay.png","View Picture")</f>
        <v>View Picture</v>
      </c>
    </row>
    <row r="1686">
      <c r="A1686" s="84"/>
      <c r="B1686" s="119" t="s">
        <v>18463</v>
      </c>
      <c r="C1686" s="120" t="s">
        <v>3842</v>
      </c>
      <c r="D1686" s="33" t="s">
        <v>18356</v>
      </c>
      <c r="E1686" s="51" t="s">
        <v>379</v>
      </c>
      <c r="F1686" s="121" t="s">
        <v>3009</v>
      </c>
      <c r="G1686" s="98" t="str">
        <f>HYPERLINK("http://mirror.ff7data.com.ar/ff7/data/battle/battle.lgp/dgaz.png","View Picture")</f>
        <v>View Picture</v>
      </c>
    </row>
    <row r="1687">
      <c r="A1687" s="84"/>
      <c r="B1687" s="119" t="s">
        <v>18472</v>
      </c>
      <c r="C1687" s="120" t="s">
        <v>4719</v>
      </c>
      <c r="D1687" s="33" t="s">
        <v>18356</v>
      </c>
      <c r="E1687" s="51" t="s">
        <v>379</v>
      </c>
      <c r="F1687" s="121" t="s">
        <v>3009</v>
      </c>
      <c r="G1687" s="98" t="str">
        <f>HYPERLINK("http://mirror.ff7data.com.ar/ff7/data/battle/battle.lgp/dgbb.png","View Picture")</f>
        <v>View Picture</v>
      </c>
    </row>
    <row r="1688">
      <c r="A1688" s="84"/>
      <c r="B1688" s="119" t="s">
        <v>18482</v>
      </c>
      <c r="C1688" s="120" t="s">
        <v>4719</v>
      </c>
      <c r="D1688" s="33" t="s">
        <v>18356</v>
      </c>
      <c r="E1688" s="51" t="s">
        <v>379</v>
      </c>
      <c r="F1688" s="121" t="s">
        <v>3009</v>
      </c>
      <c r="G1688" s="98" t="str">
        <f>HYPERLINK("http://mirror.ff7data.com.ar/ff7/data/battle/battle.lgp/dgbd.png","View Picture")</f>
        <v>View Picture</v>
      </c>
    </row>
    <row r="1689">
      <c r="A1689" s="84"/>
      <c r="B1689" s="119" t="s">
        <v>18493</v>
      </c>
      <c r="C1689" s="120" t="s">
        <v>4439</v>
      </c>
      <c r="D1689" s="33" t="s">
        <v>18356</v>
      </c>
      <c r="E1689" s="51" t="s">
        <v>379</v>
      </c>
      <c r="F1689" s="121" t="s">
        <v>3009</v>
      </c>
      <c r="G1689" s="98" t="str">
        <f>HYPERLINK("http://mirror.ff7data.com.ar/ff7/data/battle/battle.lgp/dgbf.png","View Picture")</f>
        <v>View Picture</v>
      </c>
    </row>
    <row r="1690">
      <c r="A1690" s="84"/>
      <c r="B1690" s="119" t="s">
        <v>18501</v>
      </c>
      <c r="C1690" s="120" t="s">
        <v>4439</v>
      </c>
      <c r="D1690" s="33" t="s">
        <v>18356</v>
      </c>
      <c r="E1690" s="51" t="s">
        <v>379</v>
      </c>
      <c r="F1690" s="121" t="s">
        <v>3009</v>
      </c>
      <c r="G1690" s="98" t="str">
        <f>HYPERLINK("http://mirror.ff7data.com.ar/ff7/data/battle/battle.lgp/dgbh.png","View Picture")</f>
        <v>View Picture</v>
      </c>
    </row>
    <row r="1691">
      <c r="A1691" s="84"/>
      <c r="B1691" s="119" t="s">
        <v>18509</v>
      </c>
      <c r="C1691" s="120" t="s">
        <v>4264</v>
      </c>
      <c r="D1691" s="33" t="s">
        <v>18356</v>
      </c>
      <c r="E1691" s="51" t="s">
        <v>379</v>
      </c>
      <c r="F1691" s="121" t="s">
        <v>3009</v>
      </c>
      <c r="G1691" s="98" t="str">
        <f>HYPERLINK("http://mirror.ff7data.com.ar/ff7/data/battle/battle.lgp/dgbj.png","View Picture")</f>
        <v>View Picture</v>
      </c>
    </row>
    <row r="1692">
      <c r="A1692" s="84"/>
      <c r="B1692" s="119" t="s">
        <v>18518</v>
      </c>
      <c r="C1692" s="120" t="s">
        <v>4476</v>
      </c>
      <c r="D1692" s="33" t="s">
        <v>18356</v>
      </c>
      <c r="E1692" s="51" t="s">
        <v>379</v>
      </c>
      <c r="F1692" s="121" t="s">
        <v>3009</v>
      </c>
      <c r="G1692" s="98" t="str">
        <f>HYPERLINK("http://mirror.ff7data.com.ar/ff7/data/battle/battle.lgp/dgbk.png","View Picture")</f>
        <v>View Picture</v>
      </c>
    </row>
    <row r="1693">
      <c r="A1693" s="84"/>
      <c r="B1693" s="119" t="s">
        <v>18526</v>
      </c>
      <c r="C1693" s="120" t="s">
        <v>5419</v>
      </c>
      <c r="D1693" s="33" t="s">
        <v>18356</v>
      </c>
      <c r="E1693" s="51" t="s">
        <v>379</v>
      </c>
      <c r="F1693" s="121" t="s">
        <v>3009</v>
      </c>
      <c r="G1693" s="98" t="str">
        <f>HYPERLINK("http://mirror.ff7data.com.ar/ff7/data/battle/battle.lgp/dgbl.png","View Picture")</f>
        <v>View Picture</v>
      </c>
    </row>
    <row r="1694">
      <c r="A1694" s="84"/>
      <c r="B1694" s="119" t="s">
        <v>18535</v>
      </c>
      <c r="C1694" s="120" t="s">
        <v>4264</v>
      </c>
      <c r="D1694" s="33" t="s">
        <v>18356</v>
      </c>
      <c r="E1694" s="51" t="s">
        <v>379</v>
      </c>
      <c r="F1694" s="121" t="s">
        <v>3009</v>
      </c>
      <c r="G1694" s="98" t="str">
        <f>HYPERLINK("http://mirror.ff7data.com.ar/ff7/data/battle/battle.lgp/dgbn.png","View Picture")</f>
        <v>View Picture</v>
      </c>
    </row>
    <row r="1695">
      <c r="A1695" s="84"/>
      <c r="B1695" s="119" t="s">
        <v>18543</v>
      </c>
      <c r="C1695" s="120" t="s">
        <v>4476</v>
      </c>
      <c r="D1695" s="33" t="s">
        <v>18356</v>
      </c>
      <c r="E1695" s="51" t="s">
        <v>379</v>
      </c>
      <c r="F1695" s="121" t="s">
        <v>3009</v>
      </c>
      <c r="G1695" s="98" t="str">
        <f>HYPERLINK("http://mirror.ff7data.com.ar/ff7/data/battle/battle.lgp/dgbo.png","View Picture")</f>
        <v>View Picture</v>
      </c>
    </row>
    <row r="1696">
      <c r="A1696" s="84"/>
      <c r="B1696" s="119" t="s">
        <v>18557</v>
      </c>
      <c r="C1696" s="120" t="s">
        <v>5419</v>
      </c>
      <c r="D1696" s="33" t="s">
        <v>18356</v>
      </c>
      <c r="E1696" s="51" t="s">
        <v>379</v>
      </c>
      <c r="F1696" s="121" t="s">
        <v>3009</v>
      </c>
      <c r="G1696" s="98" t="str">
        <f>HYPERLINK("http://mirror.ff7data.com.ar/ff7/data/battle/battle.lgp/dgbp.png","View Picture")</f>
        <v>View Picture</v>
      </c>
    </row>
    <row r="1697">
      <c r="A1697" s="84"/>
      <c r="B1697" s="119" t="s">
        <v>18572</v>
      </c>
      <c r="C1697" s="120" t="s">
        <v>7148</v>
      </c>
      <c r="D1697" s="33" t="s">
        <v>18356</v>
      </c>
      <c r="E1697" s="51" t="s">
        <v>379</v>
      </c>
      <c r="F1697" s="121" t="s">
        <v>3009</v>
      </c>
      <c r="G1697" s="98" t="str">
        <f>HYPERLINK("http://mirror.ff7data.com.ar/ff7/data/battle/battle.lgp/dgbq.png","View Picture")</f>
        <v>View Picture</v>
      </c>
    </row>
    <row r="1698">
      <c r="A1698" s="84"/>
      <c r="B1698" s="119" t="s">
        <v>18587</v>
      </c>
      <c r="C1698" s="120" t="s">
        <v>7148</v>
      </c>
      <c r="D1698" s="33" t="s">
        <v>18356</v>
      </c>
      <c r="E1698" s="51" t="s">
        <v>379</v>
      </c>
      <c r="F1698" s="121" t="s">
        <v>3009</v>
      </c>
      <c r="G1698" s="98" t="str">
        <f>HYPERLINK("http://mirror.ff7data.com.ar/ff7/data/battle/battle.lgp/dgbr.png","View Picture")</f>
        <v>View Picture</v>
      </c>
    </row>
    <row r="1699">
      <c r="A1699" s="84"/>
      <c r="B1699" s="119" t="s">
        <v>18598</v>
      </c>
      <c r="C1699" s="120" t="s">
        <v>7148</v>
      </c>
      <c r="D1699" s="33" t="s">
        <v>18356</v>
      </c>
      <c r="E1699" s="51" t="s">
        <v>379</v>
      </c>
      <c r="F1699" s="121" t="s">
        <v>3009</v>
      </c>
      <c r="G1699" s="98" t="str">
        <f>HYPERLINK("http://mirror.ff7data.com.ar/ff7/data/battle/battle.lgp/dgbs.png","View Picture")</f>
        <v>View Picture</v>
      </c>
    </row>
    <row r="1700">
      <c r="A1700" s="84"/>
      <c r="B1700" s="119" t="s">
        <v>18609</v>
      </c>
      <c r="C1700" s="120" t="s">
        <v>3007</v>
      </c>
      <c r="D1700" s="33" t="s">
        <v>18356</v>
      </c>
      <c r="E1700" s="51" t="s">
        <v>379</v>
      </c>
      <c r="F1700" s="121" t="s">
        <v>3009</v>
      </c>
      <c r="G1700" s="98" t="str">
        <f>HYPERLINK("http://mirror.ff7data.com.ar/ff7/data/battle/battle.lgp/dgbt.png","View Picture")</f>
        <v>View Picture</v>
      </c>
    </row>
    <row r="1701">
      <c r="A1701" s="84"/>
      <c r="B1701" s="119" t="s">
        <v>18619</v>
      </c>
      <c r="C1701" s="120" t="s">
        <v>3465</v>
      </c>
      <c r="D1701" s="33" t="s">
        <v>18356</v>
      </c>
      <c r="E1701" s="51" t="s">
        <v>379</v>
      </c>
      <c r="F1701" s="121" t="s">
        <v>3025</v>
      </c>
      <c r="H1701" s="46" t="s">
        <v>3002</v>
      </c>
    </row>
    <row r="1702">
      <c r="A1702" s="84"/>
      <c r="B1702" s="119" t="s">
        <v>18623</v>
      </c>
      <c r="C1702" s="120" t="s">
        <v>4456</v>
      </c>
      <c r="D1702" s="33" t="s">
        <v>18625</v>
      </c>
      <c r="E1702" s="51" t="s">
        <v>383</v>
      </c>
      <c r="F1702" s="121" t="s">
        <v>2971</v>
      </c>
      <c r="G1702" s="98" t="str">
        <f>HYPERLINK("http://mirror.ff7data.com.ar/ff7/data/battle/battle.lgp/dhaa.png","View Picture")</f>
        <v>View Picture</v>
      </c>
      <c r="H1702" s="46" t="s">
        <v>18634</v>
      </c>
    </row>
    <row r="1703">
      <c r="A1703" s="84"/>
      <c r="B1703" s="119" t="s">
        <v>18636</v>
      </c>
      <c r="C1703" s="120" t="s">
        <v>4209</v>
      </c>
      <c r="D1703" s="33" t="s">
        <v>18639</v>
      </c>
      <c r="E1703" s="51" t="s">
        <v>383</v>
      </c>
      <c r="F1703" s="121" t="s">
        <v>2993</v>
      </c>
      <c r="H1703" s="46" t="s">
        <v>3002</v>
      </c>
    </row>
    <row r="1704">
      <c r="A1704" s="84"/>
      <c r="B1704" s="119" t="s">
        <v>18642</v>
      </c>
      <c r="C1704" s="120" t="s">
        <v>5904</v>
      </c>
      <c r="D1704" s="33" t="s">
        <v>18639</v>
      </c>
      <c r="E1704" s="51" t="s">
        <v>383</v>
      </c>
      <c r="F1704" s="121" t="s">
        <v>3009</v>
      </c>
      <c r="G1704" s="98" t="str">
        <f>HYPERLINK("http://mirror.ff7data.com.ar/ff7/data/battle/battle.lgp/dham.png","View Picture")</f>
        <v>View Picture</v>
      </c>
    </row>
    <row r="1705">
      <c r="A1705" s="84"/>
      <c r="B1705" s="119" t="s">
        <v>18653</v>
      </c>
      <c r="C1705" s="120" t="s">
        <v>5419</v>
      </c>
      <c r="D1705" s="33" t="s">
        <v>18639</v>
      </c>
      <c r="E1705" s="51" t="s">
        <v>383</v>
      </c>
      <c r="F1705" s="121" t="s">
        <v>3009</v>
      </c>
      <c r="G1705" s="98" t="str">
        <f>HYPERLINK("http://mirror.ff7data.com.ar/ff7/data/battle/battle.lgp/dhap.png","View Picture")</f>
        <v>View Picture</v>
      </c>
    </row>
    <row r="1706">
      <c r="A1706" s="84"/>
      <c r="B1706" s="119" t="s">
        <v>18663</v>
      </c>
      <c r="C1706" s="120" t="s">
        <v>4057</v>
      </c>
      <c r="D1706" s="33" t="s">
        <v>18639</v>
      </c>
      <c r="E1706" s="51" t="s">
        <v>383</v>
      </c>
      <c r="F1706" s="121" t="s">
        <v>3009</v>
      </c>
      <c r="G1706" s="98" t="str">
        <f>HYPERLINK("http://mirror.ff7data.com.ar/ff7/data/battle/battle.lgp/dhar.png","View Picture")</f>
        <v>View Picture</v>
      </c>
    </row>
    <row r="1707">
      <c r="A1707" s="84"/>
      <c r="B1707" s="119" t="s">
        <v>18674</v>
      </c>
      <c r="C1707" s="120" t="s">
        <v>4719</v>
      </c>
      <c r="D1707" s="33" t="s">
        <v>18639</v>
      </c>
      <c r="E1707" s="51" t="s">
        <v>383</v>
      </c>
      <c r="F1707" s="121" t="s">
        <v>3009</v>
      </c>
      <c r="G1707" s="98" t="str">
        <f>HYPERLINK("http://mirror.ff7data.com.ar/ff7/data/battle/battle.lgp/dhas.png","View Picture")</f>
        <v>View Picture</v>
      </c>
    </row>
    <row r="1708">
      <c r="A1708" s="84"/>
      <c r="B1708" s="119" t="s">
        <v>18687</v>
      </c>
      <c r="C1708" s="120" t="s">
        <v>4696</v>
      </c>
      <c r="D1708" s="33" t="s">
        <v>18639</v>
      </c>
      <c r="E1708" s="51" t="s">
        <v>383</v>
      </c>
      <c r="F1708" s="121" t="s">
        <v>3009</v>
      </c>
      <c r="G1708" s="98" t="str">
        <f>HYPERLINK("http://mirror.ff7data.com.ar/ff7/data/battle/battle.lgp/dhau.png","View Picture")</f>
        <v>View Picture</v>
      </c>
    </row>
    <row r="1709">
      <c r="A1709" s="84"/>
      <c r="B1709" s="119" t="s">
        <v>18699</v>
      </c>
      <c r="C1709" s="120" t="s">
        <v>4439</v>
      </c>
      <c r="D1709" s="33" t="s">
        <v>18639</v>
      </c>
      <c r="E1709" s="51" t="s">
        <v>383</v>
      </c>
      <c r="F1709" s="121" t="s">
        <v>3009</v>
      </c>
      <c r="G1709" s="98" t="str">
        <f>HYPERLINK("http://mirror.ff7data.com.ar/ff7/data/battle/battle.lgp/dhav.png","View Picture")</f>
        <v>View Picture</v>
      </c>
    </row>
    <row r="1710">
      <c r="A1710" s="84"/>
      <c r="B1710" s="119" t="s">
        <v>18713</v>
      </c>
      <c r="C1710" s="120" t="s">
        <v>9112</v>
      </c>
      <c r="D1710" s="33" t="s">
        <v>18639</v>
      </c>
      <c r="E1710" s="51" t="s">
        <v>383</v>
      </c>
      <c r="F1710" s="121" t="s">
        <v>3009</v>
      </c>
      <c r="G1710" s="98" t="str">
        <f>HYPERLINK("http://mirror.ff7data.com.ar/ff7/data/battle/battle.lgp/dhaw.png","View Picture")</f>
        <v>View Picture</v>
      </c>
    </row>
    <row r="1711">
      <c r="A1711" s="84"/>
      <c r="B1711" s="119" t="s">
        <v>18729</v>
      </c>
      <c r="C1711" s="120" t="s">
        <v>18731</v>
      </c>
      <c r="D1711" s="33" t="s">
        <v>18639</v>
      </c>
      <c r="E1711" s="51" t="s">
        <v>383</v>
      </c>
      <c r="F1711" s="121" t="s">
        <v>3009</v>
      </c>
      <c r="G1711" s="98" t="str">
        <f>HYPERLINK("http://mirror.ff7data.com.ar/ff7/data/battle/battle.lgp/dhay.png","View Picture")</f>
        <v>View Picture</v>
      </c>
    </row>
    <row r="1712">
      <c r="A1712" s="84"/>
      <c r="B1712" s="119" t="s">
        <v>18745</v>
      </c>
      <c r="C1712" s="120" t="s">
        <v>9134</v>
      </c>
      <c r="D1712" s="33" t="s">
        <v>18639</v>
      </c>
      <c r="E1712" s="51" t="s">
        <v>383</v>
      </c>
      <c r="F1712" s="121" t="s">
        <v>3009</v>
      </c>
      <c r="G1712" s="98" t="str">
        <f>HYPERLINK("http://mirror.ff7data.com.ar/ff7/data/battle/battle.lgp/dhaz.png","View Picture")</f>
        <v>View Picture</v>
      </c>
    </row>
    <row r="1713">
      <c r="A1713" s="84"/>
      <c r="B1713" s="119" t="s">
        <v>18760</v>
      </c>
      <c r="C1713" s="120" t="s">
        <v>6029</v>
      </c>
      <c r="D1713" s="33" t="s">
        <v>18639</v>
      </c>
      <c r="E1713" s="51" t="s">
        <v>383</v>
      </c>
      <c r="F1713" s="121" t="s">
        <v>3009</v>
      </c>
      <c r="G1713" s="98" t="str">
        <f>HYPERLINK("http://mirror.ff7data.com.ar/ff7/data/battle/battle.lgp/dhba.png","View Picture")</f>
        <v>View Picture</v>
      </c>
    </row>
    <row r="1714">
      <c r="A1714" s="84"/>
      <c r="B1714" s="119" t="s">
        <v>18773</v>
      </c>
      <c r="C1714" s="120" t="s">
        <v>4883</v>
      </c>
      <c r="D1714" s="33" t="s">
        <v>18639</v>
      </c>
      <c r="E1714" s="51" t="s">
        <v>383</v>
      </c>
      <c r="F1714" s="121" t="s">
        <v>3009</v>
      </c>
      <c r="G1714" s="98" t="str">
        <f>HYPERLINK("http://mirror.ff7data.com.ar/ff7/data/battle/battle.lgp/dhbb.png","View Picture")</f>
        <v>View Picture</v>
      </c>
    </row>
    <row r="1715">
      <c r="A1715" s="84"/>
      <c r="B1715" s="119" t="s">
        <v>18787</v>
      </c>
      <c r="C1715" s="120" t="s">
        <v>9159</v>
      </c>
      <c r="D1715" s="33" t="s">
        <v>18639</v>
      </c>
      <c r="E1715" s="51" t="s">
        <v>383</v>
      </c>
      <c r="F1715" s="121" t="s">
        <v>3009</v>
      </c>
      <c r="G1715" s="98" t="str">
        <f>HYPERLINK("http://mirror.ff7data.com.ar/ff7/data/battle/battle.lgp/dhbd.png","View Picture")</f>
        <v>View Picture</v>
      </c>
    </row>
    <row r="1716">
      <c r="A1716" s="84"/>
      <c r="B1716" s="119" t="s">
        <v>18803</v>
      </c>
      <c r="C1716" s="120" t="s">
        <v>6515</v>
      </c>
      <c r="D1716" s="33" t="s">
        <v>18639</v>
      </c>
      <c r="E1716" s="51" t="s">
        <v>383</v>
      </c>
      <c r="F1716" s="121" t="s">
        <v>3009</v>
      </c>
      <c r="G1716" s="98" t="str">
        <f>HYPERLINK("http://mirror.ff7data.com.ar/ff7/data/battle/battle.lgp/dhbe.png","View Picture")</f>
        <v>View Picture</v>
      </c>
    </row>
    <row r="1717">
      <c r="A1717" s="84"/>
      <c r="B1717" s="119" t="s">
        <v>18814</v>
      </c>
      <c r="C1717" s="120" t="s">
        <v>4372</v>
      </c>
      <c r="D1717" s="33" t="s">
        <v>18639</v>
      </c>
      <c r="E1717" s="51" t="s">
        <v>383</v>
      </c>
      <c r="F1717" s="121" t="s">
        <v>3009</v>
      </c>
      <c r="G1717" s="98" t="str">
        <f>HYPERLINK("http://mirror.ff7data.com.ar/ff7/data/battle/battle.lgp/dhbf.png","View Picture")</f>
        <v>View Picture</v>
      </c>
    </row>
    <row r="1718">
      <c r="A1718" s="84"/>
      <c r="B1718" s="119" t="s">
        <v>18825</v>
      </c>
      <c r="C1718" s="120" t="s">
        <v>4883</v>
      </c>
      <c r="D1718" s="33" t="s">
        <v>18639</v>
      </c>
      <c r="E1718" s="51" t="s">
        <v>383</v>
      </c>
      <c r="F1718" s="121" t="s">
        <v>3009</v>
      </c>
      <c r="G1718" s="98" t="str">
        <f>HYPERLINK("http://mirror.ff7data.com.ar/ff7/data/battle/battle.lgp/dhbg.png","View Picture")</f>
        <v>View Picture</v>
      </c>
    </row>
    <row r="1719">
      <c r="A1719" s="84"/>
      <c r="B1719" s="119" t="s">
        <v>18833</v>
      </c>
      <c r="C1719" s="120" t="s">
        <v>4696</v>
      </c>
      <c r="D1719" s="33" t="s">
        <v>18639</v>
      </c>
      <c r="E1719" s="51" t="s">
        <v>383</v>
      </c>
      <c r="F1719" s="121" t="s">
        <v>3009</v>
      </c>
      <c r="G1719" s="98" t="str">
        <f>HYPERLINK("http://mirror.ff7data.com.ar/ff7/data/battle/battle.lgp/dhbi.png","View Picture")</f>
        <v>View Picture</v>
      </c>
    </row>
    <row r="1720">
      <c r="A1720" s="84"/>
      <c r="B1720" s="119" t="s">
        <v>18840</v>
      </c>
      <c r="C1720" s="120" t="s">
        <v>4439</v>
      </c>
      <c r="D1720" s="33" t="s">
        <v>18639</v>
      </c>
      <c r="E1720" s="51" t="s">
        <v>383</v>
      </c>
      <c r="F1720" s="121" t="s">
        <v>3009</v>
      </c>
      <c r="G1720" s="98" t="str">
        <f>HYPERLINK("http://mirror.ff7data.com.ar/ff7/data/battle/battle.lgp/dhbj.png","View Picture")</f>
        <v>View Picture</v>
      </c>
    </row>
    <row r="1721">
      <c r="A1721" s="84"/>
      <c r="B1721" s="119" t="s">
        <v>18851</v>
      </c>
      <c r="C1721" s="120" t="s">
        <v>9112</v>
      </c>
      <c r="D1721" s="33" t="s">
        <v>18639</v>
      </c>
      <c r="E1721" s="51" t="s">
        <v>383</v>
      </c>
      <c r="F1721" s="121" t="s">
        <v>3009</v>
      </c>
      <c r="G1721" s="98" t="str">
        <f>HYPERLINK("http://mirror.ff7data.com.ar/ff7/data/battle/battle.lgp/dhbk.png","View Picture")</f>
        <v>View Picture</v>
      </c>
    </row>
    <row r="1722">
      <c r="A1722" s="84"/>
      <c r="B1722" s="119" t="s">
        <v>18866</v>
      </c>
      <c r="C1722" s="120" t="s">
        <v>6029</v>
      </c>
      <c r="D1722" s="33" t="s">
        <v>18639</v>
      </c>
      <c r="E1722" s="51" t="s">
        <v>383</v>
      </c>
      <c r="F1722" s="121" t="s">
        <v>3009</v>
      </c>
      <c r="G1722" s="98" t="str">
        <f>HYPERLINK("http://mirror.ff7data.com.ar/ff7/data/battle/battle.lgp/dhbm.png","View Picture")</f>
        <v>View Picture</v>
      </c>
    </row>
    <row r="1723">
      <c r="A1723" s="84"/>
      <c r="B1723" s="119" t="s">
        <v>18878</v>
      </c>
      <c r="C1723" s="120" t="s">
        <v>4288</v>
      </c>
      <c r="D1723" s="33" t="s">
        <v>18639</v>
      </c>
      <c r="E1723" s="51" t="s">
        <v>383</v>
      </c>
      <c r="F1723" s="121" t="s">
        <v>3009</v>
      </c>
      <c r="G1723" s="98" t="str">
        <f>HYPERLINK("http://mirror.ff7data.com.ar/ff7/data/battle/battle.lgp/dhbn.png","View Picture")</f>
        <v>View Picture</v>
      </c>
    </row>
    <row r="1724">
      <c r="A1724" s="84"/>
      <c r="B1724" s="119" t="s">
        <v>18888</v>
      </c>
      <c r="C1724" s="120" t="s">
        <v>6029</v>
      </c>
      <c r="D1724" s="33" t="s">
        <v>18639</v>
      </c>
      <c r="E1724" s="51" t="s">
        <v>383</v>
      </c>
      <c r="F1724" s="121" t="s">
        <v>3009</v>
      </c>
      <c r="G1724" s="98" t="str">
        <f>HYPERLINK("http://mirror.ff7data.com.ar/ff7/data/battle/battle.lgp/dhbp.png","View Picture")</f>
        <v>View Picture</v>
      </c>
    </row>
    <row r="1725">
      <c r="A1725" s="84"/>
      <c r="B1725" s="119" t="s">
        <v>18903</v>
      </c>
      <c r="C1725" s="120" t="s">
        <v>4288</v>
      </c>
      <c r="D1725" s="33" t="s">
        <v>18639</v>
      </c>
      <c r="E1725" s="51" t="s">
        <v>383</v>
      </c>
      <c r="F1725" s="121" t="s">
        <v>3009</v>
      </c>
      <c r="G1725" s="98" t="str">
        <f>HYPERLINK("http://mirror.ff7data.com.ar/ff7/data/battle/battle.lgp/dhbq.png","View Picture")</f>
        <v>View Picture</v>
      </c>
    </row>
    <row r="1726">
      <c r="A1726" s="84"/>
      <c r="B1726" s="119" t="s">
        <v>18913</v>
      </c>
      <c r="C1726" s="120" t="s">
        <v>6029</v>
      </c>
      <c r="D1726" s="33" t="s">
        <v>18639</v>
      </c>
      <c r="E1726" s="51" t="s">
        <v>383</v>
      </c>
      <c r="F1726" s="121" t="s">
        <v>3009</v>
      </c>
      <c r="G1726" s="98" t="str">
        <f>HYPERLINK("http://mirror.ff7data.com.ar/ff7/data/battle/battle.lgp/dhbs.png","View Picture")</f>
        <v>View Picture</v>
      </c>
    </row>
    <row r="1727">
      <c r="A1727" s="84"/>
      <c r="B1727" s="119" t="s">
        <v>18927</v>
      </c>
      <c r="C1727" s="120" t="s">
        <v>4288</v>
      </c>
      <c r="D1727" s="33" t="s">
        <v>18639</v>
      </c>
      <c r="E1727" s="51" t="s">
        <v>383</v>
      </c>
      <c r="F1727" s="121" t="s">
        <v>3009</v>
      </c>
      <c r="G1727" s="98" t="str">
        <f>HYPERLINK("http://mirror.ff7data.com.ar/ff7/data/battle/battle.lgp/dhbt.png","View Picture")</f>
        <v>View Picture</v>
      </c>
    </row>
    <row r="1728">
      <c r="A1728" s="84"/>
      <c r="B1728" s="119" t="s">
        <v>18960</v>
      </c>
      <c r="C1728" s="120" t="s">
        <v>6029</v>
      </c>
      <c r="D1728" s="33" t="s">
        <v>18639</v>
      </c>
      <c r="E1728" s="51" t="s">
        <v>383</v>
      </c>
      <c r="F1728" s="121" t="s">
        <v>3009</v>
      </c>
      <c r="G1728" s="98" t="str">
        <f>HYPERLINK("http://mirror.ff7data.com.ar/ff7/data/battle/battle.lgp/dhbv.png","View Picture")</f>
        <v>View Picture</v>
      </c>
    </row>
    <row r="1729">
      <c r="A1729" s="84"/>
      <c r="B1729" s="119" t="s">
        <v>18969</v>
      </c>
      <c r="C1729" s="120" t="s">
        <v>4288</v>
      </c>
      <c r="D1729" s="33" t="s">
        <v>18639</v>
      </c>
      <c r="E1729" s="51" t="s">
        <v>383</v>
      </c>
      <c r="F1729" s="121" t="s">
        <v>3009</v>
      </c>
      <c r="G1729" s="98" t="str">
        <f>HYPERLINK("http://mirror.ff7data.com.ar/ff7/data/battle/battle.lgp/dhbw.png","View Picture")</f>
        <v>View Picture</v>
      </c>
    </row>
    <row r="1730">
      <c r="A1730" s="84"/>
      <c r="B1730" s="119" t="s">
        <v>18981</v>
      </c>
      <c r="C1730" s="120" t="s">
        <v>3637</v>
      </c>
      <c r="D1730" s="33" t="s">
        <v>18639</v>
      </c>
      <c r="E1730" s="51" t="s">
        <v>383</v>
      </c>
      <c r="F1730" s="121" t="s">
        <v>3025</v>
      </c>
      <c r="H1730" s="46" t="s">
        <v>3002</v>
      </c>
    </row>
    <row r="1731">
      <c r="A1731" s="84"/>
      <c r="B1731" s="119" t="s">
        <v>18985</v>
      </c>
      <c r="C1731" s="120" t="s">
        <v>9973</v>
      </c>
      <c r="D1731" s="33" t="s">
        <v>18988</v>
      </c>
      <c r="E1731" s="51" t="s">
        <v>388</v>
      </c>
      <c r="F1731" s="121" t="s">
        <v>2971</v>
      </c>
      <c r="G1731" s="98" t="str">
        <f>HYPERLINK("http://mirror.ff7data.com.ar/ff7/data/battle/battle.lgp/diaa.png","View Picture")</f>
        <v>View Picture</v>
      </c>
    </row>
    <row r="1732">
      <c r="A1732" s="84"/>
      <c r="B1732" s="119" t="s">
        <v>18998</v>
      </c>
      <c r="C1732" s="120" t="s">
        <v>7486</v>
      </c>
      <c r="D1732" s="33" t="s">
        <v>19000</v>
      </c>
      <c r="E1732" s="51" t="s">
        <v>388</v>
      </c>
      <c r="F1732" s="121" t="s">
        <v>2993</v>
      </c>
      <c r="H1732" s="46" t="s">
        <v>3002</v>
      </c>
    </row>
    <row r="1733">
      <c r="A1733" s="84"/>
      <c r="B1733" s="119" t="s">
        <v>19002</v>
      </c>
      <c r="C1733" s="120" t="s">
        <v>4439</v>
      </c>
      <c r="D1733" s="33" t="s">
        <v>19000</v>
      </c>
      <c r="E1733" s="51" t="s">
        <v>388</v>
      </c>
      <c r="F1733" s="121" t="s">
        <v>3009</v>
      </c>
      <c r="G1733" s="98" t="str">
        <f>HYPERLINK("http://mirror.ff7data.com.ar/ff7/data/battle/battle.lgp/diam.png","View Picture")</f>
        <v>View Picture</v>
      </c>
    </row>
    <row r="1734">
      <c r="A1734" s="84"/>
      <c r="B1734" s="119" t="s">
        <v>19010</v>
      </c>
      <c r="C1734" s="120" t="s">
        <v>4732</v>
      </c>
      <c r="D1734" s="33" t="s">
        <v>19000</v>
      </c>
      <c r="E1734" s="51" t="s">
        <v>388</v>
      </c>
      <c r="F1734" s="121" t="s">
        <v>3009</v>
      </c>
      <c r="G1734" s="98" t="str">
        <f>HYPERLINK("http://mirror.ff7data.com.ar/ff7/data/battle/battle.lgp/dian.png","View Picture")</f>
        <v>View Picture</v>
      </c>
    </row>
    <row r="1735">
      <c r="A1735" s="84"/>
      <c r="B1735" s="119" t="s">
        <v>19019</v>
      </c>
      <c r="C1735" s="120" t="s">
        <v>4732</v>
      </c>
      <c r="D1735" s="33" t="s">
        <v>19000</v>
      </c>
      <c r="E1735" s="51" t="s">
        <v>388</v>
      </c>
      <c r="F1735" s="121" t="s">
        <v>3009</v>
      </c>
      <c r="G1735" s="98" t="str">
        <f>HYPERLINK("http://mirror.ff7data.com.ar/ff7/data/battle/battle.lgp/diao.png","View Picture")</f>
        <v>View Picture</v>
      </c>
    </row>
    <row r="1736">
      <c r="A1736" s="84"/>
      <c r="B1736" s="119" t="s">
        <v>19030</v>
      </c>
      <c r="C1736" s="120" t="s">
        <v>4264</v>
      </c>
      <c r="D1736" s="33" t="s">
        <v>19000</v>
      </c>
      <c r="E1736" s="51" t="s">
        <v>388</v>
      </c>
      <c r="F1736" s="121" t="s">
        <v>3009</v>
      </c>
      <c r="G1736" s="98" t="str">
        <f>HYPERLINK("http://mirror.ff7data.com.ar/ff7/data/battle/battle.lgp/diap.png","View Picture")</f>
        <v>View Picture</v>
      </c>
    </row>
    <row r="1737">
      <c r="A1737" s="84"/>
      <c r="B1737" s="119" t="s">
        <v>19042</v>
      </c>
      <c r="C1737" s="120" t="s">
        <v>19043</v>
      </c>
      <c r="D1737" s="33" t="s">
        <v>19000</v>
      </c>
      <c r="E1737" s="51" t="s">
        <v>388</v>
      </c>
      <c r="F1737" s="121" t="s">
        <v>3009</v>
      </c>
      <c r="G1737" s="98" t="str">
        <f>HYPERLINK("http://mirror.ff7data.com.ar/ff7/data/battle/battle.lgp/diaq.png","View Picture")</f>
        <v>View Picture</v>
      </c>
    </row>
    <row r="1738">
      <c r="A1738" s="84"/>
      <c r="B1738" s="119" t="s">
        <v>19053</v>
      </c>
      <c r="C1738" s="120" t="s">
        <v>11261</v>
      </c>
      <c r="D1738" s="33" t="s">
        <v>19000</v>
      </c>
      <c r="E1738" s="51" t="s">
        <v>388</v>
      </c>
      <c r="F1738" s="121" t="s">
        <v>3009</v>
      </c>
      <c r="G1738" s="98" t="str">
        <f>HYPERLINK("http://mirror.ff7data.com.ar/ff7/data/battle/battle.lgp/diar.png","View Picture")</f>
        <v>View Picture</v>
      </c>
    </row>
    <row r="1739">
      <c r="A1739" s="84"/>
      <c r="B1739" s="119" t="s">
        <v>19064</v>
      </c>
      <c r="C1739" s="120" t="s">
        <v>4167</v>
      </c>
      <c r="D1739" s="33" t="s">
        <v>19000</v>
      </c>
      <c r="E1739" s="51" t="s">
        <v>388</v>
      </c>
      <c r="F1739" s="121" t="s">
        <v>3009</v>
      </c>
      <c r="G1739" s="98" t="str">
        <f>HYPERLINK("http://mirror.ff7data.com.ar/ff7/data/battle/battle.lgp/dias.png","View Picture")</f>
        <v>View Picture</v>
      </c>
    </row>
    <row r="1740">
      <c r="A1740" s="84"/>
      <c r="B1740" s="119" t="s">
        <v>19075</v>
      </c>
      <c r="C1740" s="120" t="s">
        <v>3566</v>
      </c>
      <c r="D1740" s="33" t="s">
        <v>19000</v>
      </c>
      <c r="E1740" s="51" t="s">
        <v>388</v>
      </c>
      <c r="F1740" s="121" t="s">
        <v>3009</v>
      </c>
      <c r="G1740" s="98" t="str">
        <f>HYPERLINK("http://mirror.ff7data.com.ar/ff7/data/battle/battle.lgp/diat.png","View Picture")</f>
        <v>View Picture</v>
      </c>
    </row>
    <row r="1741">
      <c r="A1741" s="84"/>
      <c r="B1741" s="119" t="s">
        <v>19085</v>
      </c>
      <c r="C1741" s="120" t="s">
        <v>3749</v>
      </c>
      <c r="D1741" s="33" t="s">
        <v>19000</v>
      </c>
      <c r="E1741" s="51" t="s">
        <v>388</v>
      </c>
      <c r="F1741" s="121" t="s">
        <v>3009</v>
      </c>
      <c r="G1741" s="98" t="str">
        <f>HYPERLINK("http://mirror.ff7data.com.ar/ff7/data/battle/battle.lgp/diav.png","View Picture")</f>
        <v>View Picture</v>
      </c>
    </row>
    <row r="1742">
      <c r="A1742" s="84"/>
      <c r="B1742" s="119" t="s">
        <v>19098</v>
      </c>
      <c r="C1742" s="120" t="s">
        <v>7270</v>
      </c>
      <c r="D1742" s="33" t="s">
        <v>19000</v>
      </c>
      <c r="E1742" s="51" t="s">
        <v>388</v>
      </c>
      <c r="F1742" s="121" t="s">
        <v>3009</v>
      </c>
      <c r="G1742" s="98" t="str">
        <f>HYPERLINK("http://mirror.ff7data.com.ar/ff7/data/battle/battle.lgp/diaw.png","View Picture")</f>
        <v>View Picture</v>
      </c>
    </row>
    <row r="1743">
      <c r="A1743" s="84"/>
      <c r="B1743" s="119" t="s">
        <v>19106</v>
      </c>
      <c r="C1743" s="120" t="s">
        <v>18144</v>
      </c>
      <c r="D1743" s="33" t="s">
        <v>19000</v>
      </c>
      <c r="E1743" s="51" t="s">
        <v>388</v>
      </c>
      <c r="F1743" s="121" t="s">
        <v>3009</v>
      </c>
      <c r="G1743" s="98" t="str">
        <f>HYPERLINK("http://mirror.ff7data.com.ar/ff7/data/battle/battle.lgp/diax.png","View Picture")</f>
        <v>View Picture</v>
      </c>
    </row>
    <row r="1744">
      <c r="A1744" s="84"/>
      <c r="B1744" s="119" t="s">
        <v>19120</v>
      </c>
      <c r="C1744" s="120" t="s">
        <v>4439</v>
      </c>
      <c r="D1744" s="33" t="s">
        <v>19000</v>
      </c>
      <c r="E1744" s="51" t="s">
        <v>388</v>
      </c>
      <c r="F1744" s="121" t="s">
        <v>3009</v>
      </c>
      <c r="G1744" s="98" t="str">
        <f>HYPERLINK("http://mirror.ff7data.com.ar/ff7/data/battle/battle.lgp/diba.png","View Picture")</f>
        <v>View Picture</v>
      </c>
    </row>
    <row r="1745">
      <c r="A1745" s="84"/>
      <c r="B1745" s="119" t="s">
        <v>19135</v>
      </c>
      <c r="C1745" s="120" t="s">
        <v>3991</v>
      </c>
      <c r="D1745" s="33" t="s">
        <v>19000</v>
      </c>
      <c r="E1745" s="51" t="s">
        <v>388</v>
      </c>
      <c r="F1745" s="121" t="s">
        <v>3009</v>
      </c>
      <c r="G1745" s="98" t="str">
        <f>HYPERLINK("http://mirror.ff7data.com.ar/ff7/data/battle/battle.lgp/dibb.png","View Picture")</f>
        <v>View Picture</v>
      </c>
    </row>
    <row r="1746">
      <c r="A1746" s="84"/>
      <c r="B1746" s="119" t="s">
        <v>19145</v>
      </c>
      <c r="C1746" s="120" t="s">
        <v>5891</v>
      </c>
      <c r="D1746" s="33" t="s">
        <v>19000</v>
      </c>
      <c r="E1746" s="51" t="s">
        <v>388</v>
      </c>
      <c r="F1746" s="121" t="s">
        <v>3009</v>
      </c>
      <c r="G1746" s="98" t="str">
        <f>HYPERLINK("http://mirror.ff7data.com.ar/ff7/data/battle/battle.lgp/dibd.png","View Picture")</f>
        <v>View Picture</v>
      </c>
    </row>
    <row r="1747">
      <c r="A1747" s="84"/>
      <c r="B1747" s="119" t="s">
        <v>19155</v>
      </c>
      <c r="C1747" s="120" t="s">
        <v>7270</v>
      </c>
      <c r="D1747" s="33" t="s">
        <v>19000</v>
      </c>
      <c r="E1747" s="51" t="s">
        <v>388</v>
      </c>
      <c r="F1747" s="121" t="s">
        <v>3009</v>
      </c>
      <c r="G1747" s="98" t="str">
        <f>HYPERLINK("http://mirror.ff7data.com.ar/ff7/data/battle/battle.lgp/dibe.png","View Picture")</f>
        <v>View Picture</v>
      </c>
    </row>
    <row r="1748">
      <c r="A1748" s="84"/>
      <c r="B1748" s="119" t="s">
        <v>19165</v>
      </c>
      <c r="C1748" s="120" t="s">
        <v>18144</v>
      </c>
      <c r="D1748" s="33" t="s">
        <v>19000</v>
      </c>
      <c r="E1748" s="51" t="s">
        <v>388</v>
      </c>
      <c r="F1748" s="121" t="s">
        <v>3009</v>
      </c>
      <c r="G1748" s="98" t="str">
        <f>HYPERLINK("http://mirror.ff7data.com.ar/ff7/data/battle/battle.lgp/dibf.png","View Picture")</f>
        <v>View Picture</v>
      </c>
    </row>
    <row r="1749">
      <c r="A1749" s="84"/>
      <c r="B1749" s="119" t="s">
        <v>19177</v>
      </c>
      <c r="C1749" s="120" t="s">
        <v>4732</v>
      </c>
      <c r="D1749" s="33" t="s">
        <v>19000</v>
      </c>
      <c r="E1749" s="51" t="s">
        <v>388</v>
      </c>
      <c r="F1749" s="121" t="s">
        <v>3009</v>
      </c>
      <c r="G1749" s="98" t="str">
        <f>HYPERLINK("http://mirror.ff7data.com.ar/ff7/data/battle/battle.lgp/dibi.png","View Picture")</f>
        <v>View Picture</v>
      </c>
    </row>
    <row r="1750">
      <c r="A1750" s="84"/>
      <c r="B1750" s="119" t="s">
        <v>19189</v>
      </c>
      <c r="C1750" s="120" t="s">
        <v>3007</v>
      </c>
      <c r="D1750" s="33" t="s">
        <v>19000</v>
      </c>
      <c r="E1750" s="51" t="s">
        <v>388</v>
      </c>
      <c r="F1750" s="121" t="s">
        <v>3009</v>
      </c>
      <c r="G1750" s="98" t="str">
        <f>HYPERLINK("http://mirror.ff7data.com.ar/ff7/data/battle/battle.lgp/dibj.png","View Picture")</f>
        <v>View Picture</v>
      </c>
    </row>
    <row r="1751">
      <c r="A1751" s="84"/>
      <c r="B1751" s="119" t="s">
        <v>19206</v>
      </c>
      <c r="C1751" s="120" t="s">
        <v>5419</v>
      </c>
      <c r="D1751" s="33" t="s">
        <v>19000</v>
      </c>
      <c r="E1751" s="51" t="s">
        <v>388</v>
      </c>
      <c r="F1751" s="121" t="s">
        <v>3009</v>
      </c>
      <c r="G1751" s="98" t="str">
        <f>HYPERLINK("http://mirror.ff7data.com.ar/ff7/data/battle/battle.lgp/dibl.png","View Picture")</f>
        <v>View Picture</v>
      </c>
    </row>
    <row r="1752">
      <c r="A1752" s="84"/>
      <c r="B1752" s="119" t="s">
        <v>19220</v>
      </c>
      <c r="C1752" s="120" t="s">
        <v>4252</v>
      </c>
      <c r="D1752" s="33" t="s">
        <v>19000</v>
      </c>
      <c r="E1752" s="51" t="s">
        <v>388</v>
      </c>
      <c r="F1752" s="121" t="s">
        <v>3009</v>
      </c>
      <c r="G1752" s="98" t="str">
        <f>HYPERLINK("http://mirror.ff7data.com.ar/ff7/data/battle/battle.lgp/dibm.png","View Picture")</f>
        <v>View Picture</v>
      </c>
    </row>
    <row r="1753">
      <c r="A1753" s="84"/>
      <c r="B1753" s="119" t="s">
        <v>19236</v>
      </c>
      <c r="C1753" s="120" t="s">
        <v>13957</v>
      </c>
      <c r="D1753" s="33" t="s">
        <v>19000</v>
      </c>
      <c r="E1753" s="51" t="s">
        <v>388</v>
      </c>
      <c r="F1753" s="121" t="s">
        <v>3009</v>
      </c>
      <c r="G1753" s="98" t="str">
        <f>HYPERLINK("http://mirror.ff7data.com.ar/ff7/data/battle/battle.lgp/dibn.png","View Picture")</f>
        <v>View Picture</v>
      </c>
    </row>
    <row r="1754">
      <c r="A1754" s="84"/>
      <c r="B1754" s="119" t="s">
        <v>19251</v>
      </c>
      <c r="C1754" s="120" t="s">
        <v>4439</v>
      </c>
      <c r="D1754" s="33" t="s">
        <v>19000</v>
      </c>
      <c r="E1754" s="51" t="s">
        <v>388</v>
      </c>
      <c r="F1754" s="121" t="s">
        <v>3009</v>
      </c>
      <c r="G1754" s="98" t="str">
        <f>HYPERLINK("http://mirror.ff7data.com.ar/ff7/data/battle/battle.lgp/dibp.png","View Picture")</f>
        <v>View Picture</v>
      </c>
    </row>
    <row r="1755">
      <c r="A1755" s="84"/>
      <c r="B1755" s="119" t="s">
        <v>19264</v>
      </c>
      <c r="C1755" s="120" t="s">
        <v>4439</v>
      </c>
      <c r="D1755" s="33" t="s">
        <v>19000</v>
      </c>
      <c r="E1755" s="51" t="s">
        <v>388</v>
      </c>
      <c r="F1755" s="121" t="s">
        <v>3009</v>
      </c>
      <c r="G1755" s="98" t="str">
        <f>HYPERLINK("http://mirror.ff7data.com.ar/ff7/data/battle/battle.lgp/dibq.png","View Picture")</f>
        <v>View Picture</v>
      </c>
    </row>
    <row r="1756">
      <c r="A1756" s="84"/>
      <c r="B1756" s="119" t="s">
        <v>19274</v>
      </c>
      <c r="C1756" s="120" t="s">
        <v>4732</v>
      </c>
      <c r="D1756" s="33" t="s">
        <v>19000</v>
      </c>
      <c r="E1756" s="51" t="s">
        <v>388</v>
      </c>
      <c r="F1756" s="121" t="s">
        <v>3009</v>
      </c>
      <c r="G1756" s="98" t="str">
        <f>HYPERLINK("http://mirror.ff7data.com.ar/ff7/data/battle/battle.lgp/dibr.png","View Picture")</f>
        <v>View Picture</v>
      </c>
    </row>
    <row r="1757">
      <c r="A1757" s="84"/>
      <c r="B1757" s="119" t="s">
        <v>19284</v>
      </c>
      <c r="C1757" s="120" t="s">
        <v>4357</v>
      </c>
      <c r="D1757" s="33" t="s">
        <v>19000</v>
      </c>
      <c r="E1757" s="51" t="s">
        <v>388</v>
      </c>
      <c r="F1757" s="121" t="s">
        <v>3009</v>
      </c>
      <c r="G1757" s="98" t="str">
        <f>HYPERLINK("http://mirror.ff7data.com.ar/ff7/data/battle/battle.lgp/dibt.png","View Picture")</f>
        <v>View Picture</v>
      </c>
    </row>
    <row r="1758">
      <c r="A1758" s="84"/>
      <c r="B1758" s="119" t="s">
        <v>19292</v>
      </c>
      <c r="C1758" s="120" t="s">
        <v>7270</v>
      </c>
      <c r="D1758" s="33" t="s">
        <v>19000</v>
      </c>
      <c r="E1758" s="51" t="s">
        <v>388</v>
      </c>
      <c r="F1758" s="121" t="s">
        <v>3009</v>
      </c>
      <c r="G1758" s="98" t="str">
        <f>HYPERLINK("http://mirror.ff7data.com.ar/ff7/data/battle/battle.lgp/dibu.png","View Picture")</f>
        <v>View Picture</v>
      </c>
    </row>
    <row r="1759">
      <c r="A1759" s="84"/>
      <c r="B1759" s="119" t="s">
        <v>19300</v>
      </c>
      <c r="C1759" s="120" t="s">
        <v>13957</v>
      </c>
      <c r="D1759" s="33" t="s">
        <v>19000</v>
      </c>
      <c r="E1759" s="51" t="s">
        <v>388</v>
      </c>
      <c r="F1759" s="121" t="s">
        <v>3009</v>
      </c>
      <c r="G1759" s="98" t="str">
        <f>HYPERLINK("http://mirror.ff7data.com.ar/ff7/data/battle/battle.lgp/dibv.png","View Picture")</f>
        <v>View Picture</v>
      </c>
    </row>
    <row r="1760">
      <c r="A1760" s="84"/>
      <c r="B1760" s="119" t="s">
        <v>19310</v>
      </c>
      <c r="C1760" s="120" t="s">
        <v>4185</v>
      </c>
      <c r="D1760" s="33" t="s">
        <v>19000</v>
      </c>
      <c r="E1760" s="51" t="s">
        <v>388</v>
      </c>
      <c r="F1760" s="121" t="s">
        <v>3009</v>
      </c>
      <c r="G1760" s="98" t="str">
        <f>HYPERLINK("http://mirror.ff7data.com.ar/ff7/data/battle/battle.lgp/dibx.png","View Picture")</f>
        <v>View Picture</v>
      </c>
    </row>
    <row r="1761">
      <c r="A1761" s="84"/>
      <c r="B1761" s="119" t="s">
        <v>19321</v>
      </c>
      <c r="C1761" s="120" t="s">
        <v>4732</v>
      </c>
      <c r="D1761" s="33" t="s">
        <v>19000</v>
      </c>
      <c r="E1761" s="51" t="s">
        <v>388</v>
      </c>
      <c r="F1761" s="121" t="s">
        <v>3009</v>
      </c>
      <c r="G1761" s="98" t="str">
        <f>HYPERLINK("http://mirror.ff7data.com.ar/ff7/data/battle/battle.lgp/diby.png","View Picture")</f>
        <v>View Picture</v>
      </c>
    </row>
    <row r="1762">
      <c r="A1762" s="84"/>
      <c r="B1762" s="119" t="s">
        <v>19333</v>
      </c>
      <c r="C1762" s="120" t="s">
        <v>4732</v>
      </c>
      <c r="D1762" s="33" t="s">
        <v>19000</v>
      </c>
      <c r="E1762" s="51" t="s">
        <v>388</v>
      </c>
      <c r="F1762" s="121" t="s">
        <v>3009</v>
      </c>
      <c r="G1762" s="98" t="str">
        <f>HYPERLINK("http://mirror.ff7data.com.ar/ff7/data/battle/battle.lgp/dibz.png","View Picture")</f>
        <v>View Picture</v>
      </c>
    </row>
    <row r="1763">
      <c r="A1763" s="84"/>
      <c r="B1763" s="119" t="s">
        <v>19350</v>
      </c>
      <c r="C1763" s="120" t="s">
        <v>4191</v>
      </c>
      <c r="D1763" s="33" t="s">
        <v>19000</v>
      </c>
      <c r="E1763" s="51" t="s">
        <v>388</v>
      </c>
      <c r="F1763" s="121" t="s">
        <v>3025</v>
      </c>
      <c r="H1763" s="46" t="s">
        <v>3002</v>
      </c>
    </row>
    <row r="1764">
      <c r="A1764" s="84"/>
      <c r="B1764" s="119" t="s">
        <v>19353</v>
      </c>
      <c r="C1764" s="120" t="s">
        <v>2989</v>
      </c>
      <c r="D1764" s="33" t="s">
        <v>19355</v>
      </c>
      <c r="E1764" s="51" t="s">
        <v>392</v>
      </c>
      <c r="F1764" s="121" t="s">
        <v>2971</v>
      </c>
      <c r="G1764" s="98" t="str">
        <f>HYPERLINK("http://mirror.ff7data.com.ar/ff7/data/battle/battle.lgp/djaa.png","View Picture")</f>
        <v>View Picture</v>
      </c>
    </row>
    <row r="1765">
      <c r="A1765" s="84"/>
      <c r="B1765" s="119" t="s">
        <v>19364</v>
      </c>
      <c r="C1765" s="120" t="s">
        <v>9790</v>
      </c>
      <c r="D1765" s="33" t="s">
        <v>19367</v>
      </c>
      <c r="E1765" s="51" t="s">
        <v>392</v>
      </c>
      <c r="F1765" s="121" t="s">
        <v>2993</v>
      </c>
      <c r="H1765" s="46" t="s">
        <v>3002</v>
      </c>
    </row>
    <row r="1766">
      <c r="A1766" s="84"/>
      <c r="B1766" s="119" t="s">
        <v>19371</v>
      </c>
      <c r="C1766" s="120" t="s">
        <v>4288</v>
      </c>
      <c r="D1766" s="33" t="s">
        <v>19367</v>
      </c>
      <c r="E1766" s="51" t="s">
        <v>392</v>
      </c>
      <c r="F1766" s="121" t="s">
        <v>3009</v>
      </c>
      <c r="G1766" s="98" t="str">
        <f>HYPERLINK("http://mirror.ff7data.com.ar/ff7/data/battle/battle.lgp/djam.png","View Picture")</f>
        <v>View Picture</v>
      </c>
    </row>
    <row r="1767">
      <c r="A1767" s="84"/>
      <c r="B1767" s="119" t="s">
        <v>19380</v>
      </c>
      <c r="C1767" s="120" t="s">
        <v>7165</v>
      </c>
      <c r="D1767" s="33" t="s">
        <v>19367</v>
      </c>
      <c r="E1767" s="51" t="s">
        <v>392</v>
      </c>
      <c r="F1767" s="121" t="s">
        <v>3009</v>
      </c>
      <c r="G1767" s="98" t="str">
        <f>HYPERLINK("http://mirror.ff7data.com.ar/ff7/data/battle/battle.lgp/djan.png","View Picture")</f>
        <v>View Picture</v>
      </c>
    </row>
    <row r="1768">
      <c r="A1768" s="84"/>
      <c r="B1768" s="119" t="s">
        <v>19391</v>
      </c>
      <c r="C1768" s="120" t="s">
        <v>4707</v>
      </c>
      <c r="D1768" s="33" t="s">
        <v>19367</v>
      </c>
      <c r="E1768" s="51" t="s">
        <v>392</v>
      </c>
      <c r="F1768" s="121" t="s">
        <v>3009</v>
      </c>
      <c r="G1768" s="98" t="str">
        <f>HYPERLINK("http://mirror.ff7data.com.ar/ff7/data/battle/battle.lgp/djaq.png","View Picture")</f>
        <v>View Picture</v>
      </c>
    </row>
    <row r="1769">
      <c r="A1769" s="84"/>
      <c r="B1769" s="119" t="s">
        <v>19401</v>
      </c>
      <c r="C1769" s="120" t="s">
        <v>4288</v>
      </c>
      <c r="D1769" s="33" t="s">
        <v>19367</v>
      </c>
      <c r="E1769" s="51" t="s">
        <v>392</v>
      </c>
      <c r="F1769" s="121" t="s">
        <v>3009</v>
      </c>
      <c r="G1769" s="98" t="str">
        <f>HYPERLINK("http://mirror.ff7data.com.ar/ff7/data/battle/battle.lgp/djar.png","View Picture")</f>
        <v>View Picture</v>
      </c>
    </row>
    <row r="1770">
      <c r="A1770" s="84"/>
      <c r="B1770" s="119" t="s">
        <v>19414</v>
      </c>
      <c r="C1770" s="120" t="s">
        <v>3749</v>
      </c>
      <c r="D1770" s="33" t="s">
        <v>19367</v>
      </c>
      <c r="E1770" s="51" t="s">
        <v>392</v>
      </c>
      <c r="F1770" s="121" t="s">
        <v>3009</v>
      </c>
      <c r="G1770" s="98" t="str">
        <f>HYPERLINK("http://mirror.ff7data.com.ar/ff7/data/battle/battle.lgp/djas.png","View Picture")</f>
        <v>View Picture</v>
      </c>
    </row>
    <row r="1771">
      <c r="A1771" s="84"/>
      <c r="B1771" s="119" t="s">
        <v>19432</v>
      </c>
      <c r="C1771" s="120" t="s">
        <v>4732</v>
      </c>
      <c r="D1771" s="33" t="s">
        <v>19367</v>
      </c>
      <c r="E1771" s="51" t="s">
        <v>392</v>
      </c>
      <c r="F1771" s="121" t="s">
        <v>3009</v>
      </c>
      <c r="G1771" s="98" t="str">
        <f>HYPERLINK("http://mirror.ff7data.com.ar/ff7/data/battle/battle.lgp/djat.png","View Picture")</f>
        <v>View Picture</v>
      </c>
    </row>
    <row r="1772">
      <c r="A1772" s="84"/>
      <c r="B1772" s="119" t="s">
        <v>19442</v>
      </c>
      <c r="C1772" s="120" t="s">
        <v>5762</v>
      </c>
      <c r="D1772" s="33" t="s">
        <v>19367</v>
      </c>
      <c r="E1772" s="51" t="s">
        <v>392</v>
      </c>
      <c r="F1772" s="121" t="s">
        <v>3009</v>
      </c>
      <c r="G1772" s="98" t="str">
        <f>HYPERLINK("http://mirror.ff7data.com.ar/ff7/data/battle/battle.lgp/djau.png","View Picture")</f>
        <v>View Picture</v>
      </c>
    </row>
    <row r="1773">
      <c r="A1773" s="84"/>
      <c r="B1773" s="119" t="s">
        <v>19456</v>
      </c>
      <c r="C1773" s="120" t="s">
        <v>4185</v>
      </c>
      <c r="D1773" s="33" t="s">
        <v>19367</v>
      </c>
      <c r="E1773" s="51" t="s">
        <v>392</v>
      </c>
      <c r="F1773" s="121" t="s">
        <v>3009</v>
      </c>
      <c r="G1773" s="98" t="str">
        <f>HYPERLINK("http://mirror.ff7data.com.ar/ff7/data/battle/battle.lgp/djaw.png","View Picture")</f>
        <v>View Picture</v>
      </c>
    </row>
    <row r="1774">
      <c r="A1774" s="84"/>
      <c r="B1774" s="119" t="s">
        <v>19472</v>
      </c>
      <c r="C1774" s="120" t="s">
        <v>4707</v>
      </c>
      <c r="D1774" s="33" t="s">
        <v>19367</v>
      </c>
      <c r="E1774" s="51" t="s">
        <v>392</v>
      </c>
      <c r="F1774" s="121" t="s">
        <v>3009</v>
      </c>
      <c r="G1774" s="98" t="str">
        <f>HYPERLINK("http://mirror.ff7data.com.ar/ff7/data/battle/battle.lgp/djaz.png","View Picture")</f>
        <v>View Picture</v>
      </c>
    </row>
    <row r="1775">
      <c r="A1775" s="84"/>
      <c r="B1775" s="119" t="s">
        <v>19487</v>
      </c>
      <c r="C1775" s="120" t="s">
        <v>4288</v>
      </c>
      <c r="D1775" s="33" t="s">
        <v>19367</v>
      </c>
      <c r="E1775" s="51" t="s">
        <v>392</v>
      </c>
      <c r="F1775" s="121" t="s">
        <v>3009</v>
      </c>
      <c r="G1775" s="98" t="str">
        <f>HYPERLINK("http://mirror.ff7data.com.ar/ff7/data/battle/battle.lgp/djba.png","View Picture")</f>
        <v>View Picture</v>
      </c>
    </row>
    <row r="1776">
      <c r="A1776" s="84"/>
      <c r="B1776" s="119" t="s">
        <v>19501</v>
      </c>
      <c r="C1776" s="120" t="s">
        <v>3749</v>
      </c>
      <c r="D1776" s="33" t="s">
        <v>19367</v>
      </c>
      <c r="E1776" s="51" t="s">
        <v>392</v>
      </c>
      <c r="F1776" s="121" t="s">
        <v>3009</v>
      </c>
      <c r="G1776" s="98" t="str">
        <f>HYPERLINK("http://mirror.ff7data.com.ar/ff7/data/battle/battle.lgp/djbb.png","View Picture")</f>
        <v>View Picture</v>
      </c>
    </row>
    <row r="1777">
      <c r="A1777" s="84"/>
      <c r="B1777" s="119" t="s">
        <v>19517</v>
      </c>
      <c r="C1777" s="120" t="s">
        <v>4732</v>
      </c>
      <c r="D1777" s="33" t="s">
        <v>19367</v>
      </c>
      <c r="E1777" s="51" t="s">
        <v>392</v>
      </c>
      <c r="F1777" s="121" t="s">
        <v>3009</v>
      </c>
      <c r="G1777" s="98" t="str">
        <f>HYPERLINK("http://mirror.ff7data.com.ar/ff7/data/battle/battle.lgp/djbf.png","View Picture")</f>
        <v>View Picture</v>
      </c>
    </row>
    <row r="1778">
      <c r="A1778" s="84"/>
      <c r="B1778" s="119" t="s">
        <v>19524</v>
      </c>
      <c r="C1778" s="120" t="s">
        <v>4707</v>
      </c>
      <c r="D1778" s="33" t="s">
        <v>19367</v>
      </c>
      <c r="E1778" s="51" t="s">
        <v>392</v>
      </c>
      <c r="F1778" s="121" t="s">
        <v>3009</v>
      </c>
      <c r="G1778" s="98" t="str">
        <f>HYPERLINK("http://mirror.ff7data.com.ar/ff7/data/battle/battle.lgp/djbg.png","View Picture")</f>
        <v>View Picture</v>
      </c>
    </row>
    <row r="1779">
      <c r="A1779" s="84"/>
      <c r="B1779" s="119" t="s">
        <v>19533</v>
      </c>
      <c r="C1779" s="120" t="s">
        <v>3749</v>
      </c>
      <c r="D1779" s="33" t="s">
        <v>19367</v>
      </c>
      <c r="E1779" s="51" t="s">
        <v>392</v>
      </c>
      <c r="F1779" s="121" t="s">
        <v>3009</v>
      </c>
      <c r="G1779" s="98" t="str">
        <f>HYPERLINK("http://mirror.ff7data.com.ar/ff7/data/battle/battle.lgp/djbh.png","View Picture")</f>
        <v>View Picture</v>
      </c>
    </row>
    <row r="1780">
      <c r="A1780" s="84"/>
      <c r="B1780" s="119" t="s">
        <v>19541</v>
      </c>
      <c r="C1780" s="120" t="s">
        <v>4732</v>
      </c>
      <c r="D1780" s="33" t="s">
        <v>19367</v>
      </c>
      <c r="E1780" s="51" t="s">
        <v>392</v>
      </c>
      <c r="F1780" s="121" t="s">
        <v>3009</v>
      </c>
      <c r="G1780" s="98" t="str">
        <f>HYPERLINK("http://mirror.ff7data.com.ar/ff7/data/battle/battle.lgp/djbk.png","View Picture")</f>
        <v>View Picture</v>
      </c>
    </row>
    <row r="1781">
      <c r="A1781" s="84"/>
      <c r="B1781" s="119" t="s">
        <v>19548</v>
      </c>
      <c r="C1781" s="120" t="s">
        <v>4707</v>
      </c>
      <c r="D1781" s="33" t="s">
        <v>19367</v>
      </c>
      <c r="E1781" s="51" t="s">
        <v>392</v>
      </c>
      <c r="F1781" s="121" t="s">
        <v>3009</v>
      </c>
      <c r="G1781" s="98" t="str">
        <f>HYPERLINK("http://mirror.ff7data.com.ar/ff7/data/battle/battle.lgp/djbl.png","View Picture")</f>
        <v>View Picture</v>
      </c>
    </row>
    <row r="1782">
      <c r="A1782" s="84"/>
      <c r="B1782" s="119" t="s">
        <v>19560</v>
      </c>
      <c r="C1782" s="120" t="s">
        <v>3749</v>
      </c>
      <c r="D1782" s="33" t="s">
        <v>19367</v>
      </c>
      <c r="E1782" s="51" t="s">
        <v>392</v>
      </c>
      <c r="F1782" s="121" t="s">
        <v>3009</v>
      </c>
      <c r="G1782" s="98" t="str">
        <f>HYPERLINK("http://mirror.ff7data.com.ar/ff7/data/battle/battle.lgp/djbm.png","View Picture")</f>
        <v>View Picture</v>
      </c>
    </row>
    <row r="1783">
      <c r="A1783" s="84"/>
      <c r="B1783" s="119" t="s">
        <v>19572</v>
      </c>
      <c r="C1783" s="120" t="s">
        <v>4439</v>
      </c>
      <c r="D1783" s="33" t="s">
        <v>19367</v>
      </c>
      <c r="E1783" s="51" t="s">
        <v>392</v>
      </c>
      <c r="F1783" s="121" t="s">
        <v>3009</v>
      </c>
      <c r="G1783" s="98" t="str">
        <f>HYPERLINK("http://mirror.ff7data.com.ar/ff7/data/battle/battle.lgp/djbn.png","View Picture")</f>
        <v>View Picture</v>
      </c>
    </row>
    <row r="1784">
      <c r="A1784" s="84"/>
      <c r="B1784" s="119" t="s">
        <v>19582</v>
      </c>
      <c r="C1784" s="120" t="s">
        <v>7148</v>
      </c>
      <c r="D1784" s="33" t="s">
        <v>19367</v>
      </c>
      <c r="E1784" s="51" t="s">
        <v>392</v>
      </c>
      <c r="F1784" s="121" t="s">
        <v>3009</v>
      </c>
      <c r="G1784" s="98" t="str">
        <f>HYPERLINK("http://mirror.ff7data.com.ar/ff7/data/battle/battle.lgp/djbo.png","View Picture")</f>
        <v>View Picture</v>
      </c>
    </row>
    <row r="1785">
      <c r="A1785" s="84"/>
      <c r="B1785" s="119" t="s">
        <v>19593</v>
      </c>
      <c r="C1785" s="120" t="s">
        <v>19043</v>
      </c>
      <c r="D1785" s="33" t="s">
        <v>19367</v>
      </c>
      <c r="E1785" s="51" t="s">
        <v>392</v>
      </c>
      <c r="F1785" s="121" t="s">
        <v>3009</v>
      </c>
      <c r="G1785" s="98" t="str">
        <f>HYPERLINK("http://mirror.ff7data.com.ar/ff7/data/battle/battle.lgp/djbp.png","View Picture")</f>
        <v>View Picture</v>
      </c>
    </row>
    <row r="1786">
      <c r="A1786" s="84"/>
      <c r="B1786" s="119" t="s">
        <v>19604</v>
      </c>
      <c r="C1786" s="120" t="s">
        <v>18406</v>
      </c>
      <c r="D1786" s="33" t="s">
        <v>19367</v>
      </c>
      <c r="E1786" s="51" t="s">
        <v>392</v>
      </c>
      <c r="F1786" s="121" t="s">
        <v>3025</v>
      </c>
      <c r="H1786" s="46" t="s">
        <v>3002</v>
      </c>
    </row>
    <row r="1787">
      <c r="A1787" s="84"/>
      <c r="B1787" s="119" t="s">
        <v>19609</v>
      </c>
      <c r="C1787" s="120" t="s">
        <v>3007</v>
      </c>
      <c r="D1787" s="33" t="s">
        <v>19611</v>
      </c>
      <c r="E1787" s="51" t="s">
        <v>398</v>
      </c>
      <c r="F1787" s="121" t="s">
        <v>2971</v>
      </c>
      <c r="G1787" s="98" t="str">
        <f>HYPERLINK("http://mirror.ff7data.com.ar/ff7/data/battle/battle.lgp/dkaa.png","View Picture")</f>
        <v>View Picture</v>
      </c>
    </row>
    <row r="1788">
      <c r="A1788" s="84"/>
      <c r="B1788" s="119" t="s">
        <v>19621</v>
      </c>
      <c r="C1788" s="120" t="s">
        <v>12616</v>
      </c>
      <c r="D1788" s="33" t="s">
        <v>19623</v>
      </c>
      <c r="E1788" s="51" t="s">
        <v>398</v>
      </c>
      <c r="F1788" s="121" t="s">
        <v>2993</v>
      </c>
      <c r="H1788" s="46" t="s">
        <v>3002</v>
      </c>
    </row>
    <row r="1789">
      <c r="A1789" s="84"/>
      <c r="B1789" s="119" t="s">
        <v>19626</v>
      </c>
      <c r="C1789" s="120" t="s">
        <v>19628</v>
      </c>
      <c r="D1789" s="33" t="s">
        <v>19623</v>
      </c>
      <c r="E1789" s="51" t="s">
        <v>398</v>
      </c>
      <c r="F1789" s="121" t="s">
        <v>3009</v>
      </c>
      <c r="G1789" s="98" t="str">
        <f>HYPERLINK("http://mirror.ff7data.com.ar/ff7/data/battle/battle.lgp/dkam.png","View Picture")</f>
        <v>View Picture</v>
      </c>
    </row>
    <row r="1790">
      <c r="A1790" s="84"/>
      <c r="B1790" s="119" t="s">
        <v>19646</v>
      </c>
      <c r="C1790" s="120" t="s">
        <v>3658</v>
      </c>
      <c r="D1790" s="33" t="s">
        <v>19623</v>
      </c>
      <c r="E1790" s="51" t="s">
        <v>398</v>
      </c>
      <c r="F1790" s="121" t="s">
        <v>3009</v>
      </c>
      <c r="G1790" s="98" t="str">
        <f>HYPERLINK("http://mirror.ff7data.com.ar/ff7/data/battle/battle.lgp/dkao.png","View Picture")</f>
        <v>View Picture</v>
      </c>
    </row>
    <row r="1791">
      <c r="A1791" s="84"/>
      <c r="B1791" s="119" t="s">
        <v>19659</v>
      </c>
      <c r="C1791" s="120" t="s">
        <v>4476</v>
      </c>
      <c r="D1791" s="33" t="s">
        <v>19623</v>
      </c>
      <c r="E1791" s="51" t="s">
        <v>398</v>
      </c>
      <c r="F1791" s="121" t="s">
        <v>3009</v>
      </c>
      <c r="G1791" s="98" t="str">
        <f>HYPERLINK("http://mirror.ff7data.com.ar/ff7/data/battle/battle.lgp/dkap.png","View Picture")</f>
        <v>View Picture</v>
      </c>
    </row>
    <row r="1792">
      <c r="A1792" s="84"/>
      <c r="B1792" s="119" t="s">
        <v>19673</v>
      </c>
      <c r="C1792" s="120" t="s">
        <v>7301</v>
      </c>
      <c r="D1792" s="33" t="s">
        <v>19623</v>
      </c>
      <c r="E1792" s="51" t="s">
        <v>398</v>
      </c>
      <c r="F1792" s="121" t="s">
        <v>3009</v>
      </c>
      <c r="G1792" s="98" t="str">
        <f>HYPERLINK("http://mirror.ff7data.com.ar/ff7/data/battle/battle.lgp/dkaq.png","View Picture")</f>
        <v>View Picture</v>
      </c>
    </row>
    <row r="1793">
      <c r="A1793" s="84"/>
      <c r="B1793" s="119" t="s">
        <v>19689</v>
      </c>
      <c r="C1793" s="120" t="s">
        <v>4252</v>
      </c>
      <c r="D1793" s="33" t="s">
        <v>19623</v>
      </c>
      <c r="E1793" s="51" t="s">
        <v>398</v>
      </c>
      <c r="F1793" s="121" t="s">
        <v>3009</v>
      </c>
      <c r="G1793" s="98" t="str">
        <f>HYPERLINK("http://mirror.ff7data.com.ar/ff7/data/battle/battle.lgp/dkas.png","View Picture")</f>
        <v>View Picture</v>
      </c>
    </row>
    <row r="1794">
      <c r="A1794" s="84"/>
      <c r="B1794" s="119" t="s">
        <v>19703</v>
      </c>
      <c r="C1794" s="120" t="s">
        <v>6018</v>
      </c>
      <c r="D1794" s="33" t="s">
        <v>19623</v>
      </c>
      <c r="E1794" s="51" t="s">
        <v>398</v>
      </c>
      <c r="F1794" s="121" t="s">
        <v>3009</v>
      </c>
      <c r="G1794" s="98" t="str">
        <f>HYPERLINK("http://mirror.ff7data.com.ar/ff7/data/battle/battle.lgp/dkat.png","View Picture")</f>
        <v>View Picture</v>
      </c>
    </row>
    <row r="1795">
      <c r="A1795" s="84"/>
      <c r="B1795" s="119" t="s">
        <v>19714</v>
      </c>
      <c r="C1795" s="120" t="s">
        <v>5967</v>
      </c>
      <c r="D1795" s="33" t="s">
        <v>19623</v>
      </c>
      <c r="E1795" s="51" t="s">
        <v>398</v>
      </c>
      <c r="F1795" s="121" t="s">
        <v>3009</v>
      </c>
      <c r="G1795" s="98" t="str">
        <f>HYPERLINK("http://mirror.ff7data.com.ar/ff7/data/battle/battle.lgp/dkav.png","View Picture")</f>
        <v>View Picture</v>
      </c>
    </row>
    <row r="1796">
      <c r="A1796" s="84"/>
      <c r="B1796" s="119" t="s">
        <v>19726</v>
      </c>
      <c r="C1796" s="120" t="s">
        <v>3412</v>
      </c>
      <c r="D1796" s="33" t="s">
        <v>19623</v>
      </c>
      <c r="E1796" s="51" t="s">
        <v>398</v>
      </c>
      <c r="F1796" s="121" t="s">
        <v>3009</v>
      </c>
      <c r="G1796" s="98" t="str">
        <f>HYPERLINK("http://mirror.ff7data.com.ar/ff7/data/battle/battle.lgp/dkaw.png","View Picture")</f>
        <v>View Picture</v>
      </c>
    </row>
    <row r="1797">
      <c r="A1797" s="84"/>
      <c r="B1797" s="119" t="s">
        <v>19738</v>
      </c>
      <c r="C1797" s="120" t="s">
        <v>3658</v>
      </c>
      <c r="D1797" s="33" t="s">
        <v>19623</v>
      </c>
      <c r="E1797" s="51" t="s">
        <v>398</v>
      </c>
      <c r="F1797" s="121" t="s">
        <v>3009</v>
      </c>
      <c r="G1797" s="98" t="str">
        <f>HYPERLINK("http://mirror.ff7data.com.ar/ff7/data/battle/battle.lgp/dkay.png","View Picture")</f>
        <v>View Picture</v>
      </c>
    </row>
    <row r="1798">
      <c r="A1798" s="84"/>
      <c r="B1798" s="119" t="s">
        <v>19752</v>
      </c>
      <c r="C1798" s="120" t="s">
        <v>4476</v>
      </c>
      <c r="D1798" s="33" t="s">
        <v>19623</v>
      </c>
      <c r="E1798" s="51" t="s">
        <v>398</v>
      </c>
      <c r="F1798" s="121" t="s">
        <v>3009</v>
      </c>
      <c r="G1798" s="98" t="str">
        <f>HYPERLINK("http://mirror.ff7data.com.ar/ff7/data/battle/battle.lgp/dkaz.png","View Picture")</f>
        <v>View Picture</v>
      </c>
    </row>
    <row r="1799">
      <c r="A1799" s="84"/>
      <c r="B1799" s="119" t="s">
        <v>19764</v>
      </c>
      <c r="C1799" s="120" t="s">
        <v>7301</v>
      </c>
      <c r="D1799" s="33" t="s">
        <v>19623</v>
      </c>
      <c r="E1799" s="51" t="s">
        <v>398</v>
      </c>
      <c r="F1799" s="121" t="s">
        <v>3009</v>
      </c>
      <c r="G1799" s="98" t="str">
        <f>HYPERLINK("http://mirror.ff7data.com.ar/ff7/data/battle/battle.lgp/dkba.png","View Picture")</f>
        <v>View Picture</v>
      </c>
    </row>
    <row r="1800">
      <c r="A1800" s="84"/>
      <c r="B1800" s="119" t="s">
        <v>19779</v>
      </c>
      <c r="C1800" s="120" t="s">
        <v>4057</v>
      </c>
      <c r="D1800" s="33" t="s">
        <v>19623</v>
      </c>
      <c r="E1800" s="51" t="s">
        <v>398</v>
      </c>
      <c r="F1800" s="121" t="s">
        <v>3009</v>
      </c>
      <c r="G1800" s="98" t="str">
        <f>HYPERLINK("http://mirror.ff7data.com.ar/ff7/data/battle/battle.lgp/dkbb.png","View Picture")</f>
        <v>View Picture</v>
      </c>
    </row>
    <row r="1801">
      <c r="A1801" s="84"/>
      <c r="B1801" s="119" t="s">
        <v>19800</v>
      </c>
      <c r="C1801" s="120" t="s">
        <v>7165</v>
      </c>
      <c r="D1801" s="33" t="s">
        <v>19623</v>
      </c>
      <c r="E1801" s="51" t="s">
        <v>398</v>
      </c>
      <c r="F1801" s="121" t="s">
        <v>3009</v>
      </c>
      <c r="G1801" s="98" t="str">
        <f>HYPERLINK("http://mirror.ff7data.com.ar/ff7/data/battle/battle.lgp/dkbd.png","View Picture")</f>
        <v>View Picture</v>
      </c>
    </row>
    <row r="1802">
      <c r="A1802" s="84"/>
      <c r="B1802" s="119" t="s">
        <v>19820</v>
      </c>
      <c r="C1802" s="120" t="s">
        <v>6029</v>
      </c>
      <c r="D1802" s="33" t="s">
        <v>19623</v>
      </c>
      <c r="E1802" s="51" t="s">
        <v>398</v>
      </c>
      <c r="F1802" s="121" t="s">
        <v>3009</v>
      </c>
      <c r="G1802" s="98" t="str">
        <f>HYPERLINK("http://mirror.ff7data.com.ar/ff7/data/battle/battle.lgp/dkbe.png","View Picture")</f>
        <v>View Picture</v>
      </c>
    </row>
    <row r="1803">
      <c r="A1803" s="84"/>
      <c r="B1803" s="119" t="s">
        <v>19837</v>
      </c>
      <c r="C1803" s="120" t="s">
        <v>7301</v>
      </c>
      <c r="D1803" s="33" t="s">
        <v>19623</v>
      </c>
      <c r="E1803" s="51" t="s">
        <v>398</v>
      </c>
      <c r="F1803" s="121" t="s">
        <v>3009</v>
      </c>
      <c r="G1803" s="98" t="str">
        <f>HYPERLINK("http://mirror.ff7data.com.ar/ff7/data/battle/battle.lgp/dkbf.png","View Picture")</f>
        <v>View Picture</v>
      </c>
    </row>
    <row r="1804">
      <c r="A1804" s="84"/>
      <c r="B1804" s="119" t="s">
        <v>19854</v>
      </c>
      <c r="C1804" s="120" t="s">
        <v>4357</v>
      </c>
      <c r="D1804" s="33" t="s">
        <v>19623</v>
      </c>
      <c r="E1804" s="51" t="s">
        <v>398</v>
      </c>
      <c r="F1804" s="121" t="s">
        <v>3009</v>
      </c>
      <c r="G1804" s="98" t="str">
        <f>HYPERLINK("http://mirror.ff7data.com.ar/ff7/data/battle/battle.lgp/dkbh.png","View Picture")</f>
        <v>View Picture</v>
      </c>
    </row>
    <row r="1805">
      <c r="A1805" s="84"/>
      <c r="B1805" s="119" t="s">
        <v>19869</v>
      </c>
      <c r="C1805" s="120" t="s">
        <v>6029</v>
      </c>
      <c r="D1805" s="33" t="s">
        <v>19623</v>
      </c>
      <c r="E1805" s="51" t="s">
        <v>398</v>
      </c>
      <c r="F1805" s="121" t="s">
        <v>3009</v>
      </c>
      <c r="G1805" s="98" t="str">
        <f>HYPERLINK("http://mirror.ff7data.com.ar/ff7/data/battle/battle.lgp/dkbi.png","View Picture")</f>
        <v>View Picture</v>
      </c>
    </row>
    <row r="1806">
      <c r="A1806" s="84"/>
      <c r="B1806" s="119" t="s">
        <v>19882</v>
      </c>
      <c r="C1806" s="120" t="s">
        <v>7301</v>
      </c>
      <c r="D1806" s="33" t="s">
        <v>19623</v>
      </c>
      <c r="E1806" s="51" t="s">
        <v>398</v>
      </c>
      <c r="F1806" s="121" t="s">
        <v>3009</v>
      </c>
      <c r="G1806" s="98" t="str">
        <f>HYPERLINK("http://mirror.ff7data.com.ar/ff7/data/battle/battle.lgp/dkbj.png","View Picture")</f>
        <v>View Picture</v>
      </c>
    </row>
    <row r="1807">
      <c r="A1807" s="84"/>
      <c r="B1807" s="119" t="s">
        <v>19896</v>
      </c>
      <c r="C1807" s="120" t="s">
        <v>4288</v>
      </c>
      <c r="D1807" s="33" t="s">
        <v>19623</v>
      </c>
      <c r="E1807" s="51" t="s">
        <v>398</v>
      </c>
      <c r="F1807" s="121" t="s">
        <v>3009</v>
      </c>
      <c r="G1807" s="98" t="str">
        <f>HYPERLINK("http://mirror.ff7data.com.ar/ff7/data/battle/battle.lgp/dkbk.png","View Picture")</f>
        <v>View Picture</v>
      </c>
    </row>
    <row r="1808">
      <c r="A1808" s="84"/>
      <c r="B1808" s="119" t="s">
        <v>19909</v>
      </c>
      <c r="C1808" s="120" t="s">
        <v>4288</v>
      </c>
      <c r="D1808" s="33" t="s">
        <v>19623</v>
      </c>
      <c r="E1808" s="51" t="s">
        <v>398</v>
      </c>
      <c r="F1808" s="121" t="s">
        <v>3009</v>
      </c>
      <c r="G1808" s="98" t="str">
        <f>HYPERLINK("http://mirror.ff7data.com.ar/ff7/data/battle/battle.lgp/dkbl.png","View Picture")</f>
        <v>View Picture</v>
      </c>
    </row>
    <row r="1809">
      <c r="A1809" s="84"/>
      <c r="B1809" s="119" t="s">
        <v>19924</v>
      </c>
      <c r="C1809" s="120" t="s">
        <v>4646</v>
      </c>
      <c r="D1809" s="33" t="s">
        <v>19623</v>
      </c>
      <c r="E1809" s="51" t="s">
        <v>398</v>
      </c>
      <c r="F1809" s="121" t="s">
        <v>3009</v>
      </c>
      <c r="G1809" s="98" t="str">
        <f>HYPERLINK("http://mirror.ff7data.com.ar/ff7/data/battle/battle.lgp/dkbm.png","View Picture")</f>
        <v>View Picture</v>
      </c>
    </row>
    <row r="1810">
      <c r="A1810" s="84"/>
      <c r="B1810" s="119" t="s">
        <v>19935</v>
      </c>
      <c r="C1810" s="120" t="s">
        <v>7165</v>
      </c>
      <c r="D1810" s="33" t="s">
        <v>19623</v>
      </c>
      <c r="E1810" s="51" t="s">
        <v>398</v>
      </c>
      <c r="F1810" s="121" t="s">
        <v>3009</v>
      </c>
      <c r="G1810" s="98" t="str">
        <f>HYPERLINK("http://mirror.ff7data.com.ar/ff7/data/battle/battle.lgp/dkbp.png","View Picture")</f>
        <v>View Picture</v>
      </c>
    </row>
    <row r="1811">
      <c r="A1811" s="84"/>
      <c r="B1811" s="119" t="s">
        <v>19949</v>
      </c>
      <c r="C1811" s="120" t="s">
        <v>3318</v>
      </c>
      <c r="D1811" s="33" t="s">
        <v>19623</v>
      </c>
      <c r="E1811" s="51" t="s">
        <v>398</v>
      </c>
      <c r="F1811" s="121" t="s">
        <v>3009</v>
      </c>
      <c r="G1811" s="98" t="str">
        <f>HYPERLINK("http://mirror.ff7data.com.ar/ff7/data/battle/battle.lgp/dkbq.png","View Picture")</f>
        <v>View Picture</v>
      </c>
    </row>
    <row r="1812">
      <c r="A1812" s="84"/>
      <c r="B1812" s="119" t="s">
        <v>19965</v>
      </c>
      <c r="C1812" s="120" t="s">
        <v>6018</v>
      </c>
      <c r="D1812" s="33" t="s">
        <v>19623</v>
      </c>
      <c r="E1812" s="51" t="s">
        <v>398</v>
      </c>
      <c r="F1812" s="121" t="s">
        <v>3009</v>
      </c>
      <c r="G1812" s="98" t="str">
        <f>HYPERLINK("http://mirror.ff7data.com.ar/ff7/data/battle/battle.lgp/dkbr.png","View Picture")</f>
        <v>View Picture</v>
      </c>
    </row>
    <row r="1813">
      <c r="A1813" s="84"/>
      <c r="B1813" s="119" t="s">
        <v>19978</v>
      </c>
      <c r="C1813" s="120" t="s">
        <v>3505</v>
      </c>
      <c r="D1813" s="33" t="s">
        <v>19623</v>
      </c>
      <c r="E1813" s="51" t="s">
        <v>398</v>
      </c>
      <c r="F1813" s="121" t="s">
        <v>3009</v>
      </c>
      <c r="G1813" s="98" t="str">
        <f>HYPERLINK("http://mirror.ff7data.com.ar/ff7/data/battle/battle.lgp/dkbt.png","View Picture")</f>
        <v>View Picture</v>
      </c>
    </row>
    <row r="1814">
      <c r="A1814" s="84"/>
      <c r="B1814" s="119" t="s">
        <v>19988</v>
      </c>
      <c r="C1814" s="120" t="s">
        <v>4252</v>
      </c>
      <c r="D1814" s="33" t="s">
        <v>19623</v>
      </c>
      <c r="E1814" s="51" t="s">
        <v>398</v>
      </c>
      <c r="F1814" s="121" t="s">
        <v>3009</v>
      </c>
      <c r="G1814" s="98" t="str">
        <f>HYPERLINK("http://mirror.ff7data.com.ar/ff7/data/battle/battle.lgp/dkbu.png","View Picture")</f>
        <v>View Picture</v>
      </c>
    </row>
    <row r="1815">
      <c r="A1815" s="84"/>
      <c r="B1815" s="119" t="s">
        <v>19998</v>
      </c>
      <c r="C1815" s="120" t="s">
        <v>9290</v>
      </c>
      <c r="D1815" s="33" t="s">
        <v>19623</v>
      </c>
      <c r="E1815" s="51" t="s">
        <v>398</v>
      </c>
      <c r="F1815" s="121" t="s">
        <v>3009</v>
      </c>
      <c r="G1815" s="98" t="str">
        <f>HYPERLINK("http://mirror.ff7data.com.ar/ff7/data/battle/battle.lgp/dkbv.png","View Picture")</f>
        <v>View Picture</v>
      </c>
    </row>
    <row r="1816">
      <c r="A1816" s="84"/>
      <c r="B1816" s="119" t="s">
        <v>20008</v>
      </c>
      <c r="C1816" s="120" t="s">
        <v>9041</v>
      </c>
      <c r="D1816" s="33" t="s">
        <v>19623</v>
      </c>
      <c r="E1816" s="51" t="s">
        <v>398</v>
      </c>
      <c r="F1816" s="121" t="s">
        <v>3009</v>
      </c>
      <c r="G1816" s="98" t="str">
        <f>HYPERLINK("http://mirror.ff7data.com.ar/ff7/data/battle/battle.lgp/dkbx.png","View Picture")</f>
        <v>View Picture</v>
      </c>
    </row>
    <row r="1817">
      <c r="A1817" s="84"/>
      <c r="B1817" s="119" t="s">
        <v>20018</v>
      </c>
      <c r="C1817" s="120" t="s">
        <v>13957</v>
      </c>
      <c r="D1817" s="33" t="s">
        <v>19623</v>
      </c>
      <c r="E1817" s="51" t="s">
        <v>398</v>
      </c>
      <c r="F1817" s="121" t="s">
        <v>3009</v>
      </c>
      <c r="G1817" s="98" t="str">
        <f>HYPERLINK("http://mirror.ff7data.com.ar/ff7/data/battle/battle.lgp/dkby.png","View Picture")</f>
        <v>View Picture</v>
      </c>
    </row>
    <row r="1818">
      <c r="A1818" s="84"/>
      <c r="B1818" s="119" t="s">
        <v>20026</v>
      </c>
      <c r="C1818" s="120" t="s">
        <v>4372</v>
      </c>
      <c r="D1818" s="33" t="s">
        <v>19623</v>
      </c>
      <c r="E1818" s="51" t="s">
        <v>398</v>
      </c>
      <c r="F1818" s="121" t="s">
        <v>3009</v>
      </c>
      <c r="G1818" s="98" t="str">
        <f>HYPERLINK("http://mirror.ff7data.com.ar/ff7/data/battle/battle.lgp/dkca.png","View Picture")</f>
        <v>View Picture</v>
      </c>
    </row>
    <row r="1819">
      <c r="A1819" s="84"/>
      <c r="B1819" s="119" t="s">
        <v>20036</v>
      </c>
      <c r="C1819" s="120" t="s">
        <v>4252</v>
      </c>
      <c r="D1819" s="33" t="s">
        <v>19623</v>
      </c>
      <c r="E1819" s="51" t="s">
        <v>398</v>
      </c>
      <c r="F1819" s="121" t="s">
        <v>3009</v>
      </c>
      <c r="G1819" s="98" t="str">
        <f>HYPERLINK("http://mirror.ff7data.com.ar/ff7/data/battle/battle.lgp/dkcb.png","View Picture")</f>
        <v>View Picture</v>
      </c>
    </row>
    <row r="1820">
      <c r="A1820" s="84"/>
      <c r="B1820" s="119" t="s">
        <v>20045</v>
      </c>
      <c r="C1820" s="120" t="s">
        <v>4057</v>
      </c>
      <c r="D1820" s="33" t="s">
        <v>19623</v>
      </c>
      <c r="E1820" s="51" t="s">
        <v>398</v>
      </c>
      <c r="F1820" s="121" t="s">
        <v>3009</v>
      </c>
      <c r="G1820" s="98" t="str">
        <f>HYPERLINK("http://mirror.ff7data.com.ar/ff7/data/battle/battle.lgp/dkcc.png","View Picture")</f>
        <v>View Picture</v>
      </c>
    </row>
    <row r="1821">
      <c r="A1821" s="84"/>
      <c r="B1821" s="119" t="s">
        <v>20053</v>
      </c>
      <c r="C1821" s="120" t="s">
        <v>4372</v>
      </c>
      <c r="D1821" s="33" t="s">
        <v>19623</v>
      </c>
      <c r="E1821" s="51" t="s">
        <v>398</v>
      </c>
      <c r="F1821" s="121" t="s">
        <v>3009</v>
      </c>
      <c r="G1821" s="98" t="str">
        <f>HYPERLINK("http://mirror.ff7data.com.ar/ff7/data/battle/battle.lgp/dkce.png","View Picture")</f>
        <v>View Picture</v>
      </c>
    </row>
    <row r="1822">
      <c r="A1822" s="84"/>
      <c r="B1822" s="119" t="s">
        <v>20062</v>
      </c>
      <c r="C1822" s="120" t="s">
        <v>4252</v>
      </c>
      <c r="D1822" s="33" t="s">
        <v>19623</v>
      </c>
      <c r="E1822" s="51" t="s">
        <v>398</v>
      </c>
      <c r="F1822" s="121" t="s">
        <v>3009</v>
      </c>
      <c r="G1822" s="98" t="str">
        <f>HYPERLINK("http://mirror.ff7data.com.ar/ff7/data/battle/battle.lgp/dkcf.png","View Picture")</f>
        <v>View Picture</v>
      </c>
    </row>
    <row r="1823">
      <c r="A1823" s="84"/>
      <c r="B1823" s="119" t="s">
        <v>20069</v>
      </c>
      <c r="C1823" s="120" t="s">
        <v>4057</v>
      </c>
      <c r="D1823" s="33" t="s">
        <v>19623</v>
      </c>
      <c r="E1823" s="51" t="s">
        <v>398</v>
      </c>
      <c r="F1823" s="121" t="s">
        <v>3009</v>
      </c>
      <c r="G1823" s="98" t="str">
        <f>HYPERLINK("http://mirror.ff7data.com.ar/ff7/data/battle/battle.lgp/dkcg.png","View Picture")</f>
        <v>View Picture</v>
      </c>
    </row>
    <row r="1824">
      <c r="A1824" s="84"/>
      <c r="B1824" s="119" t="s">
        <v>20077</v>
      </c>
      <c r="C1824" s="120" t="s">
        <v>4046</v>
      </c>
      <c r="D1824" s="33" t="s">
        <v>19623</v>
      </c>
      <c r="E1824" s="51" t="s">
        <v>398</v>
      </c>
      <c r="F1824" s="121" t="s">
        <v>3025</v>
      </c>
      <c r="H1824" s="46" t="s">
        <v>3002</v>
      </c>
    </row>
    <row r="1825">
      <c r="A1825" s="84"/>
      <c r="B1825" s="119" t="s">
        <v>20080</v>
      </c>
      <c r="C1825" s="120" t="s">
        <v>2989</v>
      </c>
      <c r="D1825" s="33" t="s">
        <v>20081</v>
      </c>
      <c r="E1825" s="51" t="s">
        <v>401</v>
      </c>
      <c r="F1825" s="121" t="s">
        <v>2971</v>
      </c>
      <c r="G1825" s="98" t="str">
        <f>HYPERLINK("http://mirror.ff7data.com.ar/ff7/data/battle/battle.lgp/dlaa.png","View Picture")</f>
        <v>View Picture</v>
      </c>
    </row>
    <row r="1826">
      <c r="A1826" s="84"/>
      <c r="B1826" s="119" t="s">
        <v>20087</v>
      </c>
      <c r="C1826" s="120" t="s">
        <v>20088</v>
      </c>
      <c r="D1826" s="33" t="s">
        <v>20090</v>
      </c>
      <c r="E1826" s="51" t="s">
        <v>401</v>
      </c>
      <c r="F1826" s="121" t="s">
        <v>2993</v>
      </c>
      <c r="H1826" s="46" t="s">
        <v>3002</v>
      </c>
    </row>
    <row r="1827">
      <c r="A1827" s="84"/>
      <c r="B1827" s="119" t="s">
        <v>20091</v>
      </c>
      <c r="C1827" s="120" t="s">
        <v>4057</v>
      </c>
      <c r="D1827" s="33" t="s">
        <v>20090</v>
      </c>
      <c r="E1827" s="51" t="s">
        <v>401</v>
      </c>
      <c r="F1827" s="121" t="s">
        <v>3009</v>
      </c>
      <c r="G1827" s="98" t="str">
        <f>HYPERLINK("http://mirror.ff7data.com.ar/ff7/data/battle/battle.lgp/dlam.png","View Picture")</f>
        <v>View Picture</v>
      </c>
    </row>
    <row r="1828">
      <c r="A1828" s="84"/>
      <c r="B1828" s="119" t="s">
        <v>20097</v>
      </c>
      <c r="C1828" s="120" t="s">
        <v>4357</v>
      </c>
      <c r="D1828" s="33" t="s">
        <v>20090</v>
      </c>
      <c r="E1828" s="51" t="s">
        <v>401</v>
      </c>
      <c r="F1828" s="121" t="s">
        <v>3009</v>
      </c>
      <c r="G1828" s="98" t="str">
        <f>HYPERLINK("http://mirror.ff7data.com.ar/ff7/data/battle/battle.lgp/dlan.png","View Picture")</f>
        <v>View Picture</v>
      </c>
    </row>
    <row r="1829">
      <c r="A1829" s="84"/>
      <c r="B1829" s="119" t="s">
        <v>20104</v>
      </c>
      <c r="C1829" s="120" t="s">
        <v>3505</v>
      </c>
      <c r="D1829" s="33" t="s">
        <v>20090</v>
      </c>
      <c r="E1829" s="51" t="s">
        <v>401</v>
      </c>
      <c r="F1829" s="121" t="s">
        <v>3009</v>
      </c>
      <c r="G1829" s="98" t="str">
        <f>HYPERLINK("http://mirror.ff7data.com.ar/ff7/data/battle/battle.lgp/dlao.png","View Picture")</f>
        <v>View Picture</v>
      </c>
    </row>
    <row r="1830">
      <c r="A1830" s="84"/>
      <c r="B1830" s="119" t="s">
        <v>20111</v>
      </c>
      <c r="C1830" s="120" t="s">
        <v>8376</v>
      </c>
      <c r="D1830" s="33" t="s">
        <v>20090</v>
      </c>
      <c r="E1830" s="51" t="s">
        <v>401</v>
      </c>
      <c r="F1830" s="121" t="s">
        <v>3009</v>
      </c>
      <c r="G1830" s="98" t="str">
        <f>HYPERLINK("http://mirror.ff7data.com.ar/ff7/data/battle/battle.lgp/dlaq.png","View Picture")</f>
        <v>View Picture</v>
      </c>
    </row>
    <row r="1831">
      <c r="A1831" s="84"/>
      <c r="B1831" s="119" t="s">
        <v>20116</v>
      </c>
      <c r="C1831" s="120" t="s">
        <v>4288</v>
      </c>
      <c r="D1831" s="33" t="s">
        <v>20090</v>
      </c>
      <c r="E1831" s="51" t="s">
        <v>401</v>
      </c>
      <c r="F1831" s="121" t="s">
        <v>3009</v>
      </c>
      <c r="G1831" s="98" t="str">
        <f>HYPERLINK("http://mirror.ff7data.com.ar/ff7/data/battle/battle.lgp/dlas.png","View Picture")</f>
        <v>View Picture</v>
      </c>
    </row>
    <row r="1832">
      <c r="A1832" s="84"/>
      <c r="B1832" s="119" t="s">
        <v>20122</v>
      </c>
      <c r="C1832" s="120" t="s">
        <v>4288</v>
      </c>
      <c r="D1832" s="33" t="s">
        <v>20090</v>
      </c>
      <c r="E1832" s="51" t="s">
        <v>401</v>
      </c>
      <c r="F1832" s="121" t="s">
        <v>3009</v>
      </c>
      <c r="G1832" s="98" t="str">
        <f>HYPERLINK("http://mirror.ff7data.com.ar/ff7/data/battle/battle.lgp/dlat.png","View Picture")</f>
        <v>View Picture</v>
      </c>
    </row>
    <row r="1833">
      <c r="A1833" s="84"/>
      <c r="B1833" s="119" t="s">
        <v>20127</v>
      </c>
      <c r="C1833" s="120" t="s">
        <v>4185</v>
      </c>
      <c r="D1833" s="33" t="s">
        <v>20090</v>
      </c>
      <c r="E1833" s="51" t="s">
        <v>401</v>
      </c>
      <c r="F1833" s="121" t="s">
        <v>3009</v>
      </c>
      <c r="G1833" s="98" t="str">
        <f>HYPERLINK("http://mirror.ff7data.com.ar/ff7/data/battle/battle.lgp/dlav.png","View Picture")</f>
        <v>View Picture</v>
      </c>
    </row>
    <row r="1834">
      <c r="A1834" s="84"/>
      <c r="B1834" s="119" t="s">
        <v>20131</v>
      </c>
      <c r="C1834" s="120" t="s">
        <v>3445</v>
      </c>
      <c r="D1834" s="33" t="s">
        <v>20090</v>
      </c>
      <c r="E1834" s="51" t="s">
        <v>401</v>
      </c>
      <c r="F1834" s="121" t="s">
        <v>3009</v>
      </c>
      <c r="G1834" s="98" t="str">
        <f>HYPERLINK("http://mirror.ff7data.com.ar/ff7/data/battle/battle.lgp/dlaw.png","View Picture")</f>
        <v>View Picture</v>
      </c>
    </row>
    <row r="1835">
      <c r="A1835" s="84"/>
      <c r="B1835" s="119" t="s">
        <v>20136</v>
      </c>
      <c r="C1835" s="120" t="s">
        <v>4476</v>
      </c>
      <c r="D1835" s="33" t="s">
        <v>20090</v>
      </c>
      <c r="E1835" s="51" t="s">
        <v>401</v>
      </c>
      <c r="F1835" s="121" t="s">
        <v>3009</v>
      </c>
      <c r="G1835" s="98" t="str">
        <f>HYPERLINK("http://mirror.ff7data.com.ar/ff7/data/battle/battle.lgp/dlax.png","View Picture")</f>
        <v>View Picture</v>
      </c>
    </row>
    <row r="1836">
      <c r="A1836" s="84"/>
      <c r="B1836" s="119" t="s">
        <v>20141</v>
      </c>
      <c r="C1836" s="120" t="s">
        <v>4732</v>
      </c>
      <c r="D1836" s="33" t="s">
        <v>20090</v>
      </c>
      <c r="E1836" s="51" t="s">
        <v>401</v>
      </c>
      <c r="F1836" s="121" t="s">
        <v>3009</v>
      </c>
      <c r="G1836" s="98" t="str">
        <f>HYPERLINK("http://mirror.ff7data.com.ar/ff7/data/battle/battle.lgp/dlay.png","View Picture")</f>
        <v>View Picture</v>
      </c>
    </row>
    <row r="1837">
      <c r="A1837" s="84"/>
      <c r="B1837" s="119" t="s">
        <v>20147</v>
      </c>
      <c r="C1837" s="120" t="s">
        <v>6029</v>
      </c>
      <c r="D1837" s="33" t="s">
        <v>20090</v>
      </c>
      <c r="E1837" s="51" t="s">
        <v>401</v>
      </c>
      <c r="F1837" s="121" t="s">
        <v>3009</v>
      </c>
      <c r="G1837" s="98" t="str">
        <f>HYPERLINK("http://mirror.ff7data.com.ar/ff7/data/battle/battle.lgp/dlba.png","View Picture")</f>
        <v>View Picture</v>
      </c>
    </row>
    <row r="1838">
      <c r="A1838" s="84"/>
      <c r="B1838" s="119" t="s">
        <v>20155</v>
      </c>
      <c r="C1838" s="120" t="s">
        <v>8376</v>
      </c>
      <c r="D1838" s="33" t="s">
        <v>20090</v>
      </c>
      <c r="E1838" s="51" t="s">
        <v>401</v>
      </c>
      <c r="F1838" s="121" t="s">
        <v>3009</v>
      </c>
      <c r="G1838" s="98" t="str">
        <f>HYPERLINK("http://mirror.ff7data.com.ar/ff7/data/battle/battle.lgp/dlbc.png","View Picture")</f>
        <v>View Picture</v>
      </c>
    </row>
    <row r="1839">
      <c r="A1839" s="84"/>
      <c r="B1839" s="119" t="s">
        <v>20162</v>
      </c>
      <c r="C1839" s="120" t="s">
        <v>4288</v>
      </c>
      <c r="D1839" s="33" t="s">
        <v>20090</v>
      </c>
      <c r="E1839" s="51" t="s">
        <v>401</v>
      </c>
      <c r="F1839" s="121" t="s">
        <v>3009</v>
      </c>
      <c r="G1839" s="98" t="str">
        <f>HYPERLINK("http://mirror.ff7data.com.ar/ff7/data/battle/battle.lgp/dlbe.png","View Picture")</f>
        <v>View Picture</v>
      </c>
    </row>
    <row r="1840">
      <c r="A1840" s="84"/>
      <c r="B1840" s="119" t="s">
        <v>20172</v>
      </c>
      <c r="C1840" s="120" t="s">
        <v>4288</v>
      </c>
      <c r="D1840" s="33" t="s">
        <v>20090</v>
      </c>
      <c r="E1840" s="51" t="s">
        <v>401</v>
      </c>
      <c r="F1840" s="121" t="s">
        <v>3009</v>
      </c>
      <c r="G1840" s="98" t="str">
        <f>HYPERLINK("http://mirror.ff7data.com.ar/ff7/data/battle/battle.lgp/dlbf.png","View Picture")</f>
        <v>View Picture</v>
      </c>
    </row>
    <row r="1841">
      <c r="A1841" s="84"/>
      <c r="B1841" s="119" t="s">
        <v>20178</v>
      </c>
      <c r="C1841" s="120" t="s">
        <v>4185</v>
      </c>
      <c r="D1841" s="33" t="s">
        <v>20090</v>
      </c>
      <c r="E1841" s="51" t="s">
        <v>401</v>
      </c>
      <c r="F1841" s="121" t="s">
        <v>3009</v>
      </c>
      <c r="G1841" s="98" t="str">
        <f>HYPERLINK("http://mirror.ff7data.com.ar/ff7/data/battle/battle.lgp/dlbh.png","View Picture")</f>
        <v>View Picture</v>
      </c>
    </row>
    <row r="1842">
      <c r="A1842" s="84"/>
      <c r="B1842" s="119" t="s">
        <v>20184</v>
      </c>
      <c r="C1842" s="120" t="s">
        <v>3614</v>
      </c>
      <c r="D1842" s="33" t="s">
        <v>20090</v>
      </c>
      <c r="E1842" s="51" t="s">
        <v>401</v>
      </c>
      <c r="F1842" s="121" t="s">
        <v>3009</v>
      </c>
      <c r="G1842" s="98" t="str">
        <f>HYPERLINK("http://mirror.ff7data.com.ar/ff7/data/battle/battle.lgp/dlbi.png","View Picture")</f>
        <v>View Picture</v>
      </c>
    </row>
    <row r="1843">
      <c r="A1843" s="84"/>
      <c r="B1843" s="119" t="s">
        <v>20191</v>
      </c>
      <c r="C1843" s="120" t="s">
        <v>4476</v>
      </c>
      <c r="D1843" s="33" t="s">
        <v>20090</v>
      </c>
      <c r="E1843" s="51" t="s">
        <v>401</v>
      </c>
      <c r="F1843" s="121" t="s">
        <v>3009</v>
      </c>
      <c r="G1843" s="98" t="str">
        <f>HYPERLINK("http://mirror.ff7data.com.ar/ff7/data/battle/battle.lgp/dlbj.png","View Picture")</f>
        <v>View Picture</v>
      </c>
    </row>
    <row r="1844">
      <c r="A1844" s="84"/>
      <c r="B1844" s="119" t="s">
        <v>20196</v>
      </c>
      <c r="C1844" s="120" t="s">
        <v>4732</v>
      </c>
      <c r="D1844" s="33" t="s">
        <v>20090</v>
      </c>
      <c r="E1844" s="51" t="s">
        <v>401</v>
      </c>
      <c r="F1844" s="121" t="s">
        <v>3009</v>
      </c>
      <c r="G1844" s="98" t="str">
        <f>HYPERLINK("http://mirror.ff7data.com.ar/ff7/data/battle/battle.lgp/dlbk.png","View Picture")</f>
        <v>View Picture</v>
      </c>
    </row>
    <row r="1845">
      <c r="A1845" s="84"/>
      <c r="B1845" s="119" t="s">
        <v>20203</v>
      </c>
      <c r="C1845" s="120" t="s">
        <v>6029</v>
      </c>
      <c r="D1845" s="33" t="s">
        <v>20090</v>
      </c>
      <c r="E1845" s="51" t="s">
        <v>401</v>
      </c>
      <c r="F1845" s="121" t="s">
        <v>3009</v>
      </c>
      <c r="G1845" s="98" t="str">
        <f>HYPERLINK("http://mirror.ff7data.com.ar/ff7/data/battle/battle.lgp/dlbm.png","View Picture")</f>
        <v>View Picture</v>
      </c>
    </row>
    <row r="1846">
      <c r="A1846" s="84"/>
      <c r="B1846" s="119" t="s">
        <v>20210</v>
      </c>
      <c r="C1846" s="120" t="s">
        <v>4185</v>
      </c>
      <c r="D1846" s="33" t="s">
        <v>20090</v>
      </c>
      <c r="E1846" s="51" t="s">
        <v>401</v>
      </c>
      <c r="F1846" s="121" t="s">
        <v>3009</v>
      </c>
      <c r="G1846" s="98" t="str">
        <f>HYPERLINK("http://mirror.ff7data.com.ar/ff7/data/battle/battle.lgp/dlbn.png","View Picture")</f>
        <v>View Picture</v>
      </c>
    </row>
    <row r="1847">
      <c r="A1847" s="84"/>
      <c r="B1847" s="119" t="s">
        <v>20220</v>
      </c>
      <c r="C1847" s="120" t="s">
        <v>4185</v>
      </c>
      <c r="D1847" s="33" t="s">
        <v>20090</v>
      </c>
      <c r="E1847" s="51" t="s">
        <v>401</v>
      </c>
      <c r="F1847" s="121" t="s">
        <v>3009</v>
      </c>
      <c r="G1847" s="98" t="str">
        <f>HYPERLINK("http://mirror.ff7data.com.ar/ff7/data/battle/battle.lgp/dlbo.png","View Picture")</f>
        <v>View Picture</v>
      </c>
    </row>
    <row r="1848">
      <c r="A1848" s="84"/>
      <c r="B1848" s="119" t="s">
        <v>20227</v>
      </c>
      <c r="C1848" s="120" t="s">
        <v>4288</v>
      </c>
      <c r="D1848" s="33" t="s">
        <v>20090</v>
      </c>
      <c r="E1848" s="51" t="s">
        <v>401</v>
      </c>
      <c r="F1848" s="121" t="s">
        <v>3009</v>
      </c>
      <c r="G1848" s="98" t="str">
        <f>HYPERLINK("http://mirror.ff7data.com.ar/ff7/data/battle/battle.lgp/dlbp.png","View Picture")</f>
        <v>View Picture</v>
      </c>
    </row>
    <row r="1849">
      <c r="A1849" s="84"/>
      <c r="B1849" s="119" t="s">
        <v>20234</v>
      </c>
      <c r="C1849" s="120" t="s">
        <v>3637</v>
      </c>
      <c r="D1849" s="33" t="s">
        <v>20090</v>
      </c>
      <c r="E1849" s="51" t="s">
        <v>401</v>
      </c>
      <c r="F1849" s="121" t="s">
        <v>3025</v>
      </c>
      <c r="H1849" s="46" t="s">
        <v>3002</v>
      </c>
    </row>
    <row r="1850">
      <c r="A1850" s="84"/>
      <c r="B1850" s="119" t="s">
        <v>20237</v>
      </c>
      <c r="C1850" s="120" t="s">
        <v>6802</v>
      </c>
      <c r="D1850" s="33" t="s">
        <v>20239</v>
      </c>
      <c r="E1850" s="51" t="s">
        <v>404</v>
      </c>
      <c r="F1850" s="121" t="s">
        <v>2971</v>
      </c>
      <c r="G1850" s="98" t="str">
        <f>HYPERLINK("http://mirror.ff7data.com.ar/ff7/data/battle/battle.lgp/dmaa.png","View Picture")</f>
        <v>View Picture</v>
      </c>
    </row>
    <row r="1851">
      <c r="A1851" s="84"/>
      <c r="B1851" s="119" t="s">
        <v>20246</v>
      </c>
      <c r="C1851" s="120" t="s">
        <v>5222</v>
      </c>
      <c r="D1851" s="33" t="s">
        <v>20247</v>
      </c>
      <c r="E1851" s="51" t="s">
        <v>404</v>
      </c>
      <c r="F1851" s="121" t="s">
        <v>2993</v>
      </c>
      <c r="H1851" s="46" t="s">
        <v>3002</v>
      </c>
    </row>
    <row r="1852">
      <c r="A1852" s="84"/>
      <c r="B1852" s="119" t="s">
        <v>20250</v>
      </c>
      <c r="C1852" s="120" t="s">
        <v>13619</v>
      </c>
      <c r="D1852" s="33" t="s">
        <v>20247</v>
      </c>
      <c r="E1852" s="51" t="s">
        <v>404</v>
      </c>
      <c r="F1852" s="121" t="s">
        <v>3009</v>
      </c>
      <c r="G1852" s="98" t="str">
        <f>HYPERLINK("http://mirror.ff7data.com.ar/ff7/data/battle/battle.lgp/dmam.png","View Picture")</f>
        <v>View Picture</v>
      </c>
    </row>
    <row r="1853">
      <c r="A1853" s="84"/>
      <c r="B1853" s="119" t="s">
        <v>20261</v>
      </c>
      <c r="C1853" s="120" t="s">
        <v>4439</v>
      </c>
      <c r="D1853" s="33" t="s">
        <v>20247</v>
      </c>
      <c r="E1853" s="51" t="s">
        <v>404</v>
      </c>
      <c r="F1853" s="121" t="s">
        <v>3009</v>
      </c>
      <c r="G1853" s="98" t="str">
        <f>HYPERLINK("http://mirror.ff7data.com.ar/ff7/data/battle/battle.lgp/dmao.png","View Picture")</f>
        <v>View Picture</v>
      </c>
    </row>
    <row r="1854">
      <c r="A1854" s="84"/>
      <c r="B1854" s="119" t="s">
        <v>20272</v>
      </c>
      <c r="C1854" s="120" t="s">
        <v>20274</v>
      </c>
      <c r="D1854" s="33" t="s">
        <v>20247</v>
      </c>
      <c r="E1854" s="51" t="s">
        <v>404</v>
      </c>
      <c r="F1854" s="121" t="s">
        <v>3009</v>
      </c>
      <c r="G1854" s="98" t="str">
        <f>HYPERLINK("http://mirror.ff7data.com.ar/ff7/data/battle/battle.lgp/dmap.png","View Picture")</f>
        <v>View Picture</v>
      </c>
    </row>
    <row r="1855">
      <c r="A1855" s="84"/>
      <c r="B1855" s="119" t="s">
        <v>20280</v>
      </c>
      <c r="C1855" s="120" t="s">
        <v>4554</v>
      </c>
      <c r="D1855" s="33" t="s">
        <v>20247</v>
      </c>
      <c r="E1855" s="51" t="s">
        <v>404</v>
      </c>
      <c r="F1855" s="121" t="s">
        <v>3009</v>
      </c>
      <c r="G1855" s="98" t="str">
        <f>HYPERLINK("http://mirror.ff7data.com.ar/ff7/data/battle/battle.lgp/dmaq.png","View Picture")</f>
        <v>View Picture</v>
      </c>
    </row>
    <row r="1856">
      <c r="A1856" s="84"/>
      <c r="B1856" s="119" t="s">
        <v>20287</v>
      </c>
      <c r="C1856" s="120" t="s">
        <v>20274</v>
      </c>
      <c r="D1856" s="33" t="s">
        <v>20247</v>
      </c>
      <c r="E1856" s="51" t="s">
        <v>404</v>
      </c>
      <c r="F1856" s="121" t="s">
        <v>3009</v>
      </c>
      <c r="G1856" s="98" t="str">
        <f>HYPERLINK("http://mirror.ff7data.com.ar/ff7/data/battle/battle.lgp/dmar.png","View Picture")</f>
        <v>View Picture</v>
      </c>
    </row>
    <row r="1857">
      <c r="A1857" s="84"/>
      <c r="B1857" s="119" t="s">
        <v>20297</v>
      </c>
      <c r="C1857" s="120" t="s">
        <v>20274</v>
      </c>
      <c r="D1857" s="33" t="s">
        <v>20247</v>
      </c>
      <c r="E1857" s="51" t="s">
        <v>404</v>
      </c>
      <c r="F1857" s="121" t="s">
        <v>3009</v>
      </c>
      <c r="G1857" s="98" t="str">
        <f>HYPERLINK("http://mirror.ff7data.com.ar/ff7/data/battle/battle.lgp/dmas.png","View Picture")</f>
        <v>View Picture</v>
      </c>
    </row>
    <row r="1858">
      <c r="A1858" s="84"/>
      <c r="B1858" s="119" t="s">
        <v>20304</v>
      </c>
      <c r="C1858" s="120" t="s">
        <v>20274</v>
      </c>
      <c r="D1858" s="33" t="s">
        <v>20247</v>
      </c>
      <c r="E1858" s="51" t="s">
        <v>404</v>
      </c>
      <c r="F1858" s="121" t="s">
        <v>3009</v>
      </c>
      <c r="G1858" s="98" t="str">
        <f>HYPERLINK("http://mirror.ff7data.com.ar/ff7/data/battle/battle.lgp/dmat.png","View Picture")</f>
        <v>View Picture</v>
      </c>
    </row>
    <row r="1859">
      <c r="A1859" s="84"/>
      <c r="B1859" s="119" t="s">
        <v>20311</v>
      </c>
      <c r="C1859" s="120" t="s">
        <v>4288</v>
      </c>
      <c r="D1859" s="33" t="s">
        <v>20247</v>
      </c>
      <c r="E1859" s="51" t="s">
        <v>404</v>
      </c>
      <c r="F1859" s="121" t="s">
        <v>3009</v>
      </c>
      <c r="G1859" s="98" t="str">
        <f>HYPERLINK("http://mirror.ff7data.com.ar/ff7/data/battle/battle.lgp/dmau.png","View Picture")</f>
        <v>View Picture</v>
      </c>
    </row>
    <row r="1860">
      <c r="A1860" s="84"/>
      <c r="B1860" s="119" t="s">
        <v>20317</v>
      </c>
      <c r="C1860" s="120" t="s">
        <v>6769</v>
      </c>
      <c r="D1860" s="33" t="s">
        <v>20247</v>
      </c>
      <c r="E1860" s="51" t="s">
        <v>404</v>
      </c>
      <c r="F1860" s="121" t="s">
        <v>3009</v>
      </c>
      <c r="G1860" s="98" t="str">
        <f>HYPERLINK("http://mirror.ff7data.com.ar/ff7/data/battle/battle.lgp/dmav.png","View Picture")</f>
        <v>View Picture</v>
      </c>
    </row>
    <row r="1861">
      <c r="A1861" s="84"/>
      <c r="B1861" s="119" t="s">
        <v>20328</v>
      </c>
      <c r="C1861" s="120" t="s">
        <v>4439</v>
      </c>
      <c r="D1861" s="33" t="s">
        <v>20247</v>
      </c>
      <c r="E1861" s="51" t="s">
        <v>404</v>
      </c>
      <c r="F1861" s="121" t="s">
        <v>3009</v>
      </c>
      <c r="G1861" s="98" t="str">
        <f>HYPERLINK("http://mirror.ff7data.com.ar/ff7/data/battle/battle.lgp/dmax.png","View Picture")</f>
        <v>View Picture</v>
      </c>
    </row>
    <row r="1862">
      <c r="A1862" s="84"/>
      <c r="B1862" s="119" t="s">
        <v>20336</v>
      </c>
      <c r="C1862" s="120" t="s">
        <v>20338</v>
      </c>
      <c r="D1862" s="33" t="s">
        <v>20247</v>
      </c>
      <c r="E1862" s="51" t="s">
        <v>404</v>
      </c>
      <c r="F1862" s="121" t="s">
        <v>3009</v>
      </c>
      <c r="G1862" s="98" t="str">
        <f>HYPERLINK("http://mirror.ff7data.com.ar/ff7/data/battle/battle.lgp/dmay.png","View Picture")</f>
        <v>View Picture</v>
      </c>
    </row>
    <row r="1863">
      <c r="A1863" s="84"/>
      <c r="B1863" s="119" t="s">
        <v>20347</v>
      </c>
      <c r="C1863" s="120" t="s">
        <v>20274</v>
      </c>
      <c r="D1863" s="33" t="s">
        <v>20247</v>
      </c>
      <c r="E1863" s="51" t="s">
        <v>404</v>
      </c>
      <c r="F1863" s="121" t="s">
        <v>3009</v>
      </c>
      <c r="G1863" s="98" t="str">
        <f>HYPERLINK("http://mirror.ff7data.com.ar/ff7/data/battle/battle.lgp/dmaz.png","View Picture")</f>
        <v>View Picture</v>
      </c>
    </row>
    <row r="1864">
      <c r="A1864" s="84"/>
      <c r="B1864" s="119" t="s">
        <v>20354</v>
      </c>
      <c r="C1864" s="120" t="s">
        <v>4288</v>
      </c>
      <c r="D1864" s="33" t="s">
        <v>20247</v>
      </c>
      <c r="E1864" s="51" t="s">
        <v>404</v>
      </c>
      <c r="F1864" s="121" t="s">
        <v>3009</v>
      </c>
      <c r="G1864" s="98" t="str">
        <f>HYPERLINK("http://mirror.ff7data.com.ar/ff7/data/battle/battle.lgp/dmba.png","View Picture")</f>
        <v>View Picture</v>
      </c>
    </row>
    <row r="1865">
      <c r="A1865" s="84"/>
      <c r="B1865" s="119" t="s">
        <v>20362</v>
      </c>
      <c r="C1865" s="120" t="s">
        <v>20274</v>
      </c>
      <c r="D1865" s="33" t="s">
        <v>20247</v>
      </c>
      <c r="E1865" s="51" t="s">
        <v>404</v>
      </c>
      <c r="F1865" s="121" t="s">
        <v>3009</v>
      </c>
      <c r="G1865" s="98" t="str">
        <f>HYPERLINK("http://mirror.ff7data.com.ar/ff7/data/battle/battle.lgp/dmbb.png","View Picture")</f>
        <v>View Picture</v>
      </c>
    </row>
    <row r="1866">
      <c r="A1866" s="84"/>
      <c r="B1866" s="119" t="s">
        <v>20371</v>
      </c>
      <c r="C1866" s="120" t="s">
        <v>4554</v>
      </c>
      <c r="D1866" s="33" t="s">
        <v>20247</v>
      </c>
      <c r="E1866" s="51" t="s">
        <v>404</v>
      </c>
      <c r="F1866" s="121" t="s">
        <v>3009</v>
      </c>
      <c r="G1866" s="98" t="str">
        <f>HYPERLINK("http://mirror.ff7data.com.ar/ff7/data/battle/battle.lgp/dmbc.png","View Picture")</f>
        <v>View Picture</v>
      </c>
    </row>
    <row r="1867">
      <c r="A1867" s="84"/>
      <c r="B1867" s="119" t="s">
        <v>20380</v>
      </c>
      <c r="C1867" s="120" t="s">
        <v>4554</v>
      </c>
      <c r="D1867" s="33" t="s">
        <v>20247</v>
      </c>
      <c r="E1867" s="51" t="s">
        <v>404</v>
      </c>
      <c r="F1867" s="121" t="s">
        <v>3009</v>
      </c>
      <c r="G1867" s="98" t="str">
        <f>HYPERLINK("http://mirror.ff7data.com.ar/ff7/data/battle/battle.lgp/dmbd.png","View Picture")</f>
        <v>View Picture</v>
      </c>
    </row>
    <row r="1868">
      <c r="A1868" s="84"/>
      <c r="B1868" s="119" t="s">
        <v>20389</v>
      </c>
      <c r="C1868" s="120" t="s">
        <v>20391</v>
      </c>
      <c r="D1868" s="33" t="s">
        <v>20247</v>
      </c>
      <c r="E1868" s="51" t="s">
        <v>404</v>
      </c>
      <c r="F1868" s="121" t="s">
        <v>3009</v>
      </c>
      <c r="G1868" s="98" t="str">
        <f>HYPERLINK("http://mirror.ff7data.com.ar/ff7/data/battle/battle.lgp/dmbe.png","View Picture")</f>
        <v>View Picture</v>
      </c>
    </row>
    <row r="1869">
      <c r="A1869" s="84"/>
      <c r="B1869" s="119" t="s">
        <v>20403</v>
      </c>
      <c r="C1869" s="120" t="s">
        <v>4732</v>
      </c>
      <c r="D1869" s="33" t="s">
        <v>20247</v>
      </c>
      <c r="E1869" s="51" t="s">
        <v>404</v>
      </c>
      <c r="F1869" s="121" t="s">
        <v>3009</v>
      </c>
      <c r="G1869" s="98" t="str">
        <f>HYPERLINK("http://mirror.ff7data.com.ar/ff7/data/battle/battle.lgp/dmbg.png","View Picture")</f>
        <v>View Picture</v>
      </c>
    </row>
    <row r="1870">
      <c r="A1870" s="84"/>
      <c r="B1870" s="119" t="s">
        <v>20418</v>
      </c>
      <c r="C1870" s="120" t="s">
        <v>4185</v>
      </c>
      <c r="D1870" s="33" t="s">
        <v>20247</v>
      </c>
      <c r="E1870" s="51" t="s">
        <v>404</v>
      </c>
      <c r="F1870" s="121" t="s">
        <v>3009</v>
      </c>
      <c r="G1870" s="98" t="str">
        <f>HYPERLINK("http://mirror.ff7data.com.ar/ff7/data/battle/battle.lgp/dmbh.png","View Picture")</f>
        <v>View Picture</v>
      </c>
    </row>
    <row r="1871">
      <c r="A1871" s="84"/>
      <c r="B1871" s="119" t="s">
        <v>20432</v>
      </c>
      <c r="C1871" s="120" t="s">
        <v>4185</v>
      </c>
      <c r="D1871" s="33" t="s">
        <v>20247</v>
      </c>
      <c r="E1871" s="51" t="s">
        <v>404</v>
      </c>
      <c r="F1871" s="121" t="s">
        <v>3009</v>
      </c>
      <c r="G1871" s="98" t="str">
        <f>HYPERLINK("http://mirror.ff7data.com.ar/ff7/data/battle/battle.lgp/dmbi.png","View Picture")</f>
        <v>View Picture</v>
      </c>
    </row>
    <row r="1872">
      <c r="A1872" s="84"/>
      <c r="B1872" s="119" t="s">
        <v>20444</v>
      </c>
      <c r="C1872" s="120" t="s">
        <v>4185</v>
      </c>
      <c r="D1872" s="33" t="s">
        <v>20247</v>
      </c>
      <c r="E1872" s="51" t="s">
        <v>404</v>
      </c>
      <c r="F1872" s="121" t="s">
        <v>3009</v>
      </c>
      <c r="G1872" s="98" t="str">
        <f>HYPERLINK("http://mirror.ff7data.com.ar/ff7/data/battle/battle.lgp/dmbj.png","View Picture")</f>
        <v>View Picture</v>
      </c>
    </row>
    <row r="1873">
      <c r="A1873" s="84"/>
      <c r="B1873" s="119" t="s">
        <v>20453</v>
      </c>
      <c r="C1873" s="120" t="s">
        <v>4439</v>
      </c>
      <c r="D1873" s="33" t="s">
        <v>20247</v>
      </c>
      <c r="E1873" s="51" t="s">
        <v>404</v>
      </c>
      <c r="F1873" s="121" t="s">
        <v>3009</v>
      </c>
      <c r="G1873" s="98" t="str">
        <f>HYPERLINK("http://mirror.ff7data.com.ar/ff7/data/battle/battle.lgp/dmbl.png","View Picture")</f>
        <v>View Picture</v>
      </c>
    </row>
    <row r="1874">
      <c r="A1874" s="84"/>
      <c r="B1874" s="119" t="s">
        <v>20463</v>
      </c>
      <c r="C1874" s="120" t="s">
        <v>4185</v>
      </c>
      <c r="D1874" s="33" t="s">
        <v>20247</v>
      </c>
      <c r="E1874" s="51" t="s">
        <v>404</v>
      </c>
      <c r="F1874" s="121" t="s">
        <v>3009</v>
      </c>
      <c r="G1874" s="98" t="str">
        <f>HYPERLINK("http://mirror.ff7data.com.ar/ff7/data/battle/battle.lgp/dmbm.png","View Picture")</f>
        <v>View Picture</v>
      </c>
    </row>
    <row r="1875">
      <c r="A1875" s="84"/>
      <c r="B1875" s="119" t="s">
        <v>20471</v>
      </c>
      <c r="C1875" s="120" t="s">
        <v>4185</v>
      </c>
      <c r="D1875" s="33" t="s">
        <v>20247</v>
      </c>
      <c r="E1875" s="51" t="s">
        <v>404</v>
      </c>
      <c r="F1875" s="121" t="s">
        <v>3009</v>
      </c>
      <c r="G1875" s="98" t="str">
        <f>HYPERLINK("http://mirror.ff7data.com.ar/ff7/data/battle/battle.lgp/dmbn.png","View Picture")</f>
        <v>View Picture</v>
      </c>
    </row>
    <row r="1876">
      <c r="A1876" s="84"/>
      <c r="B1876" s="119" t="s">
        <v>20483</v>
      </c>
      <c r="C1876" s="120" t="s">
        <v>4185</v>
      </c>
      <c r="D1876" s="33" t="s">
        <v>20247</v>
      </c>
      <c r="E1876" s="51" t="s">
        <v>404</v>
      </c>
      <c r="F1876" s="121" t="s">
        <v>3009</v>
      </c>
      <c r="G1876" s="98" t="str">
        <f>HYPERLINK("http://mirror.ff7data.com.ar/ff7/data/battle/battle.lgp/dmbo.png","View Picture")</f>
        <v>View Picture</v>
      </c>
    </row>
    <row r="1877">
      <c r="A1877" s="84"/>
      <c r="B1877" s="119" t="s">
        <v>20491</v>
      </c>
      <c r="C1877" s="120" t="s">
        <v>3465</v>
      </c>
      <c r="D1877" s="33" t="s">
        <v>20247</v>
      </c>
      <c r="E1877" s="51" t="s">
        <v>404</v>
      </c>
      <c r="F1877" s="121" t="s">
        <v>3025</v>
      </c>
      <c r="H1877" s="46" t="s">
        <v>3002</v>
      </c>
    </row>
    <row r="1878">
      <c r="A1878" s="84"/>
      <c r="B1878" s="119" t="s">
        <v>20496</v>
      </c>
      <c r="C1878" s="120" t="s">
        <v>5993</v>
      </c>
      <c r="D1878" s="33" t="s">
        <v>20498</v>
      </c>
      <c r="E1878" s="51" t="s">
        <v>407</v>
      </c>
      <c r="F1878" s="121" t="s">
        <v>2971</v>
      </c>
      <c r="G1878" s="98" t="str">
        <f>HYPERLINK("http://mirror.ff7data.com.ar/ff7/data/battle/battle.lgp/dnaa.png","View Picture")</f>
        <v>View Picture</v>
      </c>
    </row>
    <row r="1879">
      <c r="A1879" s="84"/>
      <c r="B1879" s="119" t="s">
        <v>20510</v>
      </c>
      <c r="C1879" s="120" t="s">
        <v>20511</v>
      </c>
      <c r="D1879" s="33" t="s">
        <v>20512</v>
      </c>
      <c r="E1879" s="51" t="s">
        <v>407</v>
      </c>
      <c r="F1879" s="121" t="s">
        <v>2993</v>
      </c>
      <c r="H1879" s="46" t="s">
        <v>3002</v>
      </c>
    </row>
    <row r="1880">
      <c r="A1880" s="84"/>
      <c r="B1880" s="119" t="s">
        <v>20516</v>
      </c>
      <c r="C1880" s="120" t="s">
        <v>10955</v>
      </c>
      <c r="D1880" s="33" t="s">
        <v>20512</v>
      </c>
      <c r="E1880" s="51" t="s">
        <v>407</v>
      </c>
      <c r="F1880" s="121" t="s">
        <v>3009</v>
      </c>
      <c r="G1880" s="98" t="str">
        <f>HYPERLINK("http://mirror.ff7data.com.ar/ff7/data/battle/battle.lgp/dnam.png","View Picture")</f>
        <v>View Picture</v>
      </c>
    </row>
    <row r="1881">
      <c r="A1881" s="84"/>
      <c r="B1881" s="119" t="s">
        <v>20524</v>
      </c>
      <c r="C1881" s="120" t="s">
        <v>6018</v>
      </c>
      <c r="D1881" s="33" t="s">
        <v>20512</v>
      </c>
      <c r="E1881" s="51" t="s">
        <v>407</v>
      </c>
      <c r="F1881" s="121" t="s">
        <v>3009</v>
      </c>
      <c r="G1881" s="98" t="str">
        <f>HYPERLINK("http://mirror.ff7data.com.ar/ff7/data/battle/battle.lgp/dnan.png","View Picture")</f>
        <v>View Picture</v>
      </c>
    </row>
    <row r="1882">
      <c r="A1882" s="84"/>
      <c r="B1882" s="119" t="s">
        <v>20533</v>
      </c>
      <c r="C1882" s="120" t="s">
        <v>6010</v>
      </c>
      <c r="D1882" s="33" t="s">
        <v>20512</v>
      </c>
      <c r="E1882" s="51" t="s">
        <v>407</v>
      </c>
      <c r="F1882" s="121" t="s">
        <v>3009</v>
      </c>
      <c r="G1882" s="98" t="str">
        <f>HYPERLINK("http://mirror.ff7data.com.ar/ff7/data/battle/battle.lgp/dnao.png","View Picture")</f>
        <v>View Picture</v>
      </c>
    </row>
    <row r="1883">
      <c r="A1883" s="84"/>
      <c r="B1883" s="119" t="s">
        <v>20544</v>
      </c>
      <c r="C1883" s="120" t="s">
        <v>8649</v>
      </c>
      <c r="D1883" s="33" t="s">
        <v>20512</v>
      </c>
      <c r="E1883" s="51" t="s">
        <v>407</v>
      </c>
      <c r="F1883" s="121" t="s">
        <v>3009</v>
      </c>
      <c r="G1883" s="98" t="str">
        <f>HYPERLINK("http://mirror.ff7data.com.ar/ff7/data/battle/battle.lgp/dnaq.png","View Picture")</f>
        <v>View Picture</v>
      </c>
    </row>
    <row r="1884">
      <c r="A1884" s="84"/>
      <c r="B1884" s="119" t="s">
        <v>20552</v>
      </c>
      <c r="C1884" s="120" t="s">
        <v>4476</v>
      </c>
      <c r="D1884" s="33" t="s">
        <v>20512</v>
      </c>
      <c r="E1884" s="51" t="s">
        <v>407</v>
      </c>
      <c r="F1884" s="121" t="s">
        <v>3009</v>
      </c>
      <c r="G1884" s="98" t="str">
        <f>HYPERLINK("http://mirror.ff7data.com.ar/ff7/data/battle/battle.lgp/dnas.png","View Picture")</f>
        <v>View Picture</v>
      </c>
    </row>
    <row r="1885">
      <c r="A1885" s="84"/>
      <c r="B1885" s="119" t="s">
        <v>20559</v>
      </c>
      <c r="C1885" s="120" t="s">
        <v>4185</v>
      </c>
      <c r="D1885" s="33" t="s">
        <v>20512</v>
      </c>
      <c r="E1885" s="51" t="s">
        <v>407</v>
      </c>
      <c r="F1885" s="121" t="s">
        <v>3009</v>
      </c>
      <c r="G1885" s="98" t="str">
        <f>HYPERLINK("http://mirror.ff7data.com.ar/ff7/data/battle/battle.lgp/dnau.png","View Picture")</f>
        <v>View Picture</v>
      </c>
    </row>
    <row r="1886">
      <c r="A1886" s="84"/>
      <c r="B1886" s="119" t="s">
        <v>20567</v>
      </c>
      <c r="C1886" s="120" t="s">
        <v>4719</v>
      </c>
      <c r="D1886" s="33" t="s">
        <v>20512</v>
      </c>
      <c r="E1886" s="51" t="s">
        <v>407</v>
      </c>
      <c r="F1886" s="121" t="s">
        <v>3009</v>
      </c>
      <c r="G1886" s="98" t="str">
        <f>HYPERLINK("http://mirror.ff7data.com.ar/ff7/data/battle/battle.lgp/dnav.png","View Picture")</f>
        <v>View Picture</v>
      </c>
    </row>
    <row r="1887">
      <c r="A1887" s="84"/>
      <c r="B1887" s="119" t="s">
        <v>20581</v>
      </c>
      <c r="C1887" s="120" t="s">
        <v>4057</v>
      </c>
      <c r="D1887" s="33" t="s">
        <v>20512</v>
      </c>
      <c r="E1887" s="51" t="s">
        <v>407</v>
      </c>
      <c r="F1887" s="121" t="s">
        <v>3009</v>
      </c>
      <c r="G1887" s="98" t="str">
        <f>HYPERLINK("http://mirror.ff7data.com.ar/ff7/data/battle/battle.lgp/dnax.png","View Picture")</f>
        <v>View Picture</v>
      </c>
    </row>
    <row r="1888">
      <c r="A1888" s="84"/>
      <c r="B1888" s="119" t="s">
        <v>20590</v>
      </c>
      <c r="C1888" s="120" t="s">
        <v>4476</v>
      </c>
      <c r="D1888" s="33" t="s">
        <v>20512</v>
      </c>
      <c r="E1888" s="51" t="s">
        <v>407</v>
      </c>
      <c r="F1888" s="121" t="s">
        <v>3009</v>
      </c>
      <c r="G1888" s="98" t="str">
        <f>HYPERLINK("http://mirror.ff7data.com.ar/ff7/data/battle/battle.lgp/dnaz.png","View Picture")</f>
        <v>View Picture</v>
      </c>
    </row>
    <row r="1889">
      <c r="A1889" s="84"/>
      <c r="B1889" s="119" t="s">
        <v>20594</v>
      </c>
      <c r="C1889" s="120" t="s">
        <v>5419</v>
      </c>
      <c r="D1889" s="33" t="s">
        <v>20512</v>
      </c>
      <c r="E1889" s="51" t="s">
        <v>407</v>
      </c>
      <c r="F1889" s="121" t="s">
        <v>3009</v>
      </c>
      <c r="G1889" s="98" t="str">
        <f>HYPERLINK("http://mirror.ff7data.com.ar/ff7/data/battle/battle.lgp/dnbb.png","View Picture")</f>
        <v>View Picture</v>
      </c>
    </row>
    <row r="1890">
      <c r="A1890" s="84"/>
      <c r="B1890" s="119" t="s">
        <v>20605</v>
      </c>
      <c r="C1890" s="120" t="s">
        <v>4476</v>
      </c>
      <c r="D1890" s="33" t="s">
        <v>20512</v>
      </c>
      <c r="E1890" s="51" t="s">
        <v>407</v>
      </c>
      <c r="F1890" s="121" t="s">
        <v>3009</v>
      </c>
      <c r="G1890" s="98" t="str">
        <f>HYPERLINK("http://mirror.ff7data.com.ar/ff7/data/battle/battle.lgp/dnbd.png","View Picture")</f>
        <v>View Picture</v>
      </c>
    </row>
    <row r="1891">
      <c r="A1891" s="84"/>
      <c r="B1891" s="119" t="s">
        <v>20617</v>
      </c>
      <c r="C1891" s="120" t="s">
        <v>3658</v>
      </c>
      <c r="D1891" s="33" t="s">
        <v>20512</v>
      </c>
      <c r="E1891" s="51" t="s">
        <v>407</v>
      </c>
      <c r="F1891" s="121" t="s">
        <v>3009</v>
      </c>
      <c r="G1891" s="98" t="str">
        <f>HYPERLINK("http://mirror.ff7data.com.ar/ff7/data/battle/battle.lgp/dnbe.png","View Picture")</f>
        <v>View Picture</v>
      </c>
    </row>
    <row r="1892">
      <c r="A1892" s="84"/>
      <c r="B1892" s="119" t="s">
        <v>20628</v>
      </c>
      <c r="C1892" s="120" t="s">
        <v>6029</v>
      </c>
      <c r="D1892" s="33" t="s">
        <v>20512</v>
      </c>
      <c r="E1892" s="51" t="s">
        <v>407</v>
      </c>
      <c r="F1892" s="121" t="s">
        <v>3009</v>
      </c>
      <c r="G1892" s="98" t="str">
        <f>HYPERLINK("http://mirror.ff7data.com.ar/ff7/data/battle/battle.lgp/dnbg.png","View Picture")</f>
        <v>View Picture</v>
      </c>
    </row>
    <row r="1893">
      <c r="A1893" s="84"/>
      <c r="B1893" s="119" t="s">
        <v>20638</v>
      </c>
      <c r="C1893" s="120" t="s">
        <v>4057</v>
      </c>
      <c r="D1893" s="33" t="s">
        <v>20512</v>
      </c>
      <c r="E1893" s="51" t="s">
        <v>407</v>
      </c>
      <c r="F1893" s="121" t="s">
        <v>3009</v>
      </c>
      <c r="G1893" s="98" t="str">
        <f>HYPERLINK("http://mirror.ff7data.com.ar/ff7/data/battle/battle.lgp/dnbi.png","View Picture")</f>
        <v>View Picture</v>
      </c>
    </row>
    <row r="1894">
      <c r="A1894" s="84"/>
      <c r="B1894" s="119" t="s">
        <v>20651</v>
      </c>
      <c r="C1894" s="120" t="s">
        <v>4057</v>
      </c>
      <c r="D1894" s="33" t="s">
        <v>20512</v>
      </c>
      <c r="E1894" s="51" t="s">
        <v>407</v>
      </c>
      <c r="F1894" s="121" t="s">
        <v>3009</v>
      </c>
      <c r="G1894" s="98" t="str">
        <f>HYPERLINK("http://mirror.ff7data.com.ar/ff7/data/battle/battle.lgp/dnbk.png","View Picture")</f>
        <v>View Picture</v>
      </c>
    </row>
    <row r="1895">
      <c r="A1895" s="84"/>
      <c r="B1895" s="119" t="s">
        <v>20663</v>
      </c>
      <c r="C1895" s="120" t="s">
        <v>20338</v>
      </c>
      <c r="D1895" s="33" t="s">
        <v>20512</v>
      </c>
      <c r="E1895" s="51" t="s">
        <v>407</v>
      </c>
      <c r="F1895" s="121" t="s">
        <v>3009</v>
      </c>
      <c r="G1895" s="98" t="str">
        <f>HYPERLINK("http://mirror.ff7data.com.ar/ff7/data/battle/battle.lgp/dnbm.png","View Picture")</f>
        <v>View Picture</v>
      </c>
    </row>
    <row r="1896">
      <c r="A1896" s="84"/>
      <c r="B1896" s="119" t="s">
        <v>20673</v>
      </c>
      <c r="C1896" s="120" t="s">
        <v>4288</v>
      </c>
      <c r="D1896" s="33" t="s">
        <v>20512</v>
      </c>
      <c r="E1896" s="51" t="s">
        <v>407</v>
      </c>
      <c r="F1896" s="121" t="s">
        <v>3009</v>
      </c>
      <c r="G1896" s="98" t="str">
        <f>HYPERLINK("http://mirror.ff7data.com.ar/ff7/data/battle/battle.lgp/dnbn.png","View Picture")</f>
        <v>View Picture</v>
      </c>
    </row>
    <row r="1897">
      <c r="A1897" s="84"/>
      <c r="B1897" s="119" t="s">
        <v>20679</v>
      </c>
      <c r="C1897" s="120" t="s">
        <v>4288</v>
      </c>
      <c r="D1897" s="33" t="s">
        <v>20512</v>
      </c>
      <c r="E1897" s="51" t="s">
        <v>407</v>
      </c>
      <c r="F1897" s="121" t="s">
        <v>3009</v>
      </c>
      <c r="G1897" s="98" t="str">
        <f>HYPERLINK("http://mirror.ff7data.com.ar/ff7/data/battle/battle.lgp/dnbo.png","View Picture")</f>
        <v>View Picture</v>
      </c>
    </row>
    <row r="1898">
      <c r="A1898" s="84"/>
      <c r="B1898" s="119" t="s">
        <v>20695</v>
      </c>
      <c r="C1898" s="120" t="s">
        <v>11112</v>
      </c>
      <c r="D1898" s="33" t="s">
        <v>20512</v>
      </c>
      <c r="E1898" s="51" t="s">
        <v>407</v>
      </c>
      <c r="F1898" s="121" t="s">
        <v>3009</v>
      </c>
      <c r="G1898" s="98" t="str">
        <f>HYPERLINK("http://mirror.ff7data.com.ar/ff7/data/battle/battle.lgp/dnbp.png","View Picture")</f>
        <v>View Picture</v>
      </c>
    </row>
    <row r="1899">
      <c r="A1899" s="84"/>
      <c r="B1899" s="119" t="s">
        <v>20707</v>
      </c>
      <c r="C1899" s="120" t="s">
        <v>4264</v>
      </c>
      <c r="D1899" s="33" t="s">
        <v>20512</v>
      </c>
      <c r="E1899" s="51" t="s">
        <v>407</v>
      </c>
      <c r="F1899" s="121" t="s">
        <v>3009</v>
      </c>
      <c r="G1899" s="98" t="str">
        <f>HYPERLINK("http://mirror.ff7data.com.ar/ff7/data/battle/battle.lgp/dnbr.png","View Picture")</f>
        <v>View Picture</v>
      </c>
    </row>
    <row r="1900">
      <c r="A1900" s="84"/>
      <c r="B1900" s="119" t="s">
        <v>20717</v>
      </c>
      <c r="C1900" s="120" t="s">
        <v>16878</v>
      </c>
      <c r="D1900" s="33" t="s">
        <v>20512</v>
      </c>
      <c r="E1900" s="51" t="s">
        <v>407</v>
      </c>
      <c r="F1900" s="121" t="s">
        <v>3009</v>
      </c>
      <c r="G1900" s="98" t="str">
        <f>HYPERLINK("http://mirror.ff7data.com.ar/ff7/data/battle/battle.lgp/dnbs.png","View Picture")</f>
        <v>View Picture</v>
      </c>
    </row>
    <row r="1901">
      <c r="A1901" s="84"/>
      <c r="B1901" s="119" t="s">
        <v>20728</v>
      </c>
      <c r="C1901" s="120" t="s">
        <v>12616</v>
      </c>
      <c r="D1901" s="33" t="s">
        <v>20512</v>
      </c>
      <c r="E1901" s="51" t="s">
        <v>407</v>
      </c>
      <c r="F1901" s="121" t="s">
        <v>3009</v>
      </c>
      <c r="G1901" s="98" t="str">
        <f>HYPERLINK("http://mirror.ff7data.com.ar/ff7/data/battle/battle.lgp/dnbt.png","View Picture")</f>
        <v>View Picture</v>
      </c>
    </row>
    <row r="1902">
      <c r="A1902" s="84"/>
      <c r="B1902" s="119" t="s">
        <v>20739</v>
      </c>
      <c r="C1902" s="120" t="s">
        <v>4288</v>
      </c>
      <c r="D1902" s="33" t="s">
        <v>20512</v>
      </c>
      <c r="E1902" s="51" t="s">
        <v>407</v>
      </c>
      <c r="F1902" s="121" t="s">
        <v>3009</v>
      </c>
      <c r="G1902" s="98" t="str">
        <f>HYPERLINK("http://mirror.ff7data.com.ar/ff7/data/battle/battle.lgp/dnbv.png","View Picture")</f>
        <v>View Picture</v>
      </c>
    </row>
    <row r="1903">
      <c r="A1903" s="84"/>
      <c r="B1903" s="119" t="s">
        <v>20751</v>
      </c>
      <c r="C1903" s="120" t="s">
        <v>4554</v>
      </c>
      <c r="D1903" s="33" t="s">
        <v>20512</v>
      </c>
      <c r="E1903" s="51" t="s">
        <v>407</v>
      </c>
      <c r="F1903" s="121" t="s">
        <v>3009</v>
      </c>
      <c r="G1903" s="98" t="str">
        <f>HYPERLINK("http://mirror.ff7data.com.ar/ff7/data/battle/battle.lgp/dnbw.png","View Picture")</f>
        <v>View Picture</v>
      </c>
    </row>
    <row r="1904">
      <c r="A1904" s="84"/>
      <c r="B1904" s="119" t="s">
        <v>20760</v>
      </c>
      <c r="C1904" s="120" t="s">
        <v>4288</v>
      </c>
      <c r="D1904" s="33" t="s">
        <v>20512</v>
      </c>
      <c r="E1904" s="51" t="s">
        <v>407</v>
      </c>
      <c r="F1904" s="121" t="s">
        <v>3009</v>
      </c>
      <c r="G1904" s="98" t="str">
        <f>HYPERLINK("http://mirror.ff7data.com.ar/ff7/data/battle/battle.lgp/dnbx.png","View Picture")</f>
        <v>View Picture</v>
      </c>
    </row>
    <row r="1905">
      <c r="A1905" s="84"/>
      <c r="B1905" s="119" t="s">
        <v>20769</v>
      </c>
      <c r="C1905" s="120" t="s">
        <v>4601</v>
      </c>
      <c r="D1905" s="33" t="s">
        <v>20512</v>
      </c>
      <c r="E1905" s="51" t="s">
        <v>407</v>
      </c>
      <c r="F1905" s="121" t="s">
        <v>3009</v>
      </c>
      <c r="G1905" s="98" t="str">
        <f>HYPERLINK("http://mirror.ff7data.com.ar/ff7/data/battle/battle.lgp/dnby.png","View Picture")</f>
        <v>View Picture</v>
      </c>
    </row>
    <row r="1906">
      <c r="A1906" s="84"/>
      <c r="B1906" s="119" t="s">
        <v>20777</v>
      </c>
      <c r="C1906" s="120" t="s">
        <v>4396</v>
      </c>
      <c r="D1906" s="33" t="s">
        <v>20512</v>
      </c>
      <c r="E1906" s="51" t="s">
        <v>407</v>
      </c>
      <c r="F1906" s="121" t="s">
        <v>3009</v>
      </c>
      <c r="G1906" s="98" t="str">
        <f>HYPERLINK("http://mirror.ff7data.com.ar/ff7/data/battle/battle.lgp/dnbz.png","View Picture")</f>
        <v>View Picture</v>
      </c>
    </row>
    <row r="1907">
      <c r="A1907" s="84"/>
      <c r="B1907" s="119" t="s">
        <v>20787</v>
      </c>
      <c r="C1907" s="120" t="s">
        <v>10078</v>
      </c>
      <c r="D1907" s="33" t="s">
        <v>20512</v>
      </c>
      <c r="E1907" s="51" t="s">
        <v>407</v>
      </c>
      <c r="F1907" s="121" t="s">
        <v>3009</v>
      </c>
      <c r="G1907" s="98" t="str">
        <f>HYPERLINK("http://mirror.ff7data.com.ar/ff7/data/battle/battle.lgp/dnca.png","View Picture")</f>
        <v>View Picture</v>
      </c>
    </row>
    <row r="1908">
      <c r="A1908" s="84"/>
      <c r="B1908" s="119" t="s">
        <v>20803</v>
      </c>
      <c r="C1908" s="120" t="s">
        <v>3519</v>
      </c>
      <c r="D1908" s="33" t="s">
        <v>20512</v>
      </c>
      <c r="E1908" s="51" t="s">
        <v>407</v>
      </c>
      <c r="F1908" s="121" t="s">
        <v>3009</v>
      </c>
      <c r="G1908" s="98" t="str">
        <f>HYPERLINK("http://mirror.ff7data.com.ar/ff7/data/battle/battle.lgp/dncb.png","View Picture")</f>
        <v>View Picture</v>
      </c>
    </row>
    <row r="1909">
      <c r="A1909" s="84"/>
      <c r="B1909" s="119" t="s">
        <v>20817</v>
      </c>
      <c r="C1909" s="120" t="s">
        <v>8550</v>
      </c>
      <c r="D1909" s="33" t="s">
        <v>20512</v>
      </c>
      <c r="E1909" s="51" t="s">
        <v>407</v>
      </c>
      <c r="F1909" s="121" t="s">
        <v>3009</v>
      </c>
      <c r="G1909" s="98" t="str">
        <f>HYPERLINK("http://mirror.ff7data.com.ar/ff7/data/battle/battle.lgp/dncc.png","View Picture")</f>
        <v>View Picture</v>
      </c>
    </row>
    <row r="1910">
      <c r="A1910" s="84"/>
      <c r="B1910" s="119" t="s">
        <v>20832</v>
      </c>
      <c r="C1910" s="120" t="s">
        <v>7115</v>
      </c>
      <c r="D1910" s="33" t="s">
        <v>20512</v>
      </c>
      <c r="E1910" s="51" t="s">
        <v>407</v>
      </c>
      <c r="F1910" s="121" t="s">
        <v>3009</v>
      </c>
      <c r="G1910" s="98" t="str">
        <f>HYPERLINK("http://mirror.ff7data.com.ar/ff7/data/battle/battle.lgp/dncd.png","View Picture")</f>
        <v>View Picture</v>
      </c>
    </row>
    <row r="1911">
      <c r="A1911" s="84"/>
      <c r="B1911" s="119" t="s">
        <v>20842</v>
      </c>
      <c r="C1911" s="120" t="s">
        <v>3842</v>
      </c>
      <c r="D1911" s="33" t="s">
        <v>20512</v>
      </c>
      <c r="E1911" s="51" t="s">
        <v>407</v>
      </c>
      <c r="F1911" s="121" t="s">
        <v>3009</v>
      </c>
      <c r="G1911" s="98" t="str">
        <f>HYPERLINK("http://mirror.ff7data.com.ar/ff7/data/battle/battle.lgp/dnce.png","View Picture")</f>
        <v>View Picture</v>
      </c>
    </row>
    <row r="1912">
      <c r="A1912" s="84"/>
      <c r="B1912" s="119" t="s">
        <v>20852</v>
      </c>
      <c r="C1912" s="120" t="s">
        <v>3505</v>
      </c>
      <c r="D1912" s="33" t="s">
        <v>20512</v>
      </c>
      <c r="E1912" s="51" t="s">
        <v>407</v>
      </c>
      <c r="F1912" s="121" t="s">
        <v>3009</v>
      </c>
      <c r="G1912" s="98" t="str">
        <f>HYPERLINK("http://mirror.ff7data.com.ar/ff7/data/battle/battle.lgp/dncf.png","View Picture")</f>
        <v>View Picture</v>
      </c>
    </row>
    <row r="1913">
      <c r="A1913" s="84"/>
      <c r="B1913" s="119" t="s">
        <v>20863</v>
      </c>
      <c r="C1913" s="120" t="s">
        <v>20864</v>
      </c>
      <c r="D1913" s="33" t="s">
        <v>20512</v>
      </c>
      <c r="E1913" s="51" t="s">
        <v>407</v>
      </c>
      <c r="F1913" s="121" t="s">
        <v>3025</v>
      </c>
      <c r="G1913" s="98" t="str">
        <f>HYPERLINK("http://mirror.ff7data.com.ar/ff7/data/battle/battle.lgp/dnda.png","View Picture")</f>
        <v>View Picture</v>
      </c>
      <c r="H1913" s="46" t="s">
        <v>3002</v>
      </c>
    </row>
    <row r="1914">
      <c r="A1914" s="84"/>
      <c r="B1914" s="119" t="s">
        <v>20875</v>
      </c>
      <c r="C1914" s="120" t="s">
        <v>2959</v>
      </c>
      <c r="D1914" s="33" t="s">
        <v>20877</v>
      </c>
      <c r="E1914" s="51" t="s">
        <v>410</v>
      </c>
      <c r="F1914" s="121" t="s">
        <v>2971</v>
      </c>
      <c r="G1914" s="98" t="str">
        <f>HYPERLINK("http://mirror.ff7data.com.ar/ff7/data/battle/battle.lgp/doaa.png","View Picture")</f>
        <v>View Picture</v>
      </c>
    </row>
    <row r="1915">
      <c r="A1915" s="84"/>
      <c r="B1915" s="119" t="s">
        <v>20892</v>
      </c>
      <c r="C1915" s="120" t="s">
        <v>2989</v>
      </c>
      <c r="D1915" s="33" t="s">
        <v>20894</v>
      </c>
      <c r="E1915" s="51" t="s">
        <v>410</v>
      </c>
      <c r="F1915" s="121" t="s">
        <v>2993</v>
      </c>
      <c r="H1915" s="46" t="s">
        <v>3002</v>
      </c>
    </row>
    <row r="1916">
      <c r="A1916" s="84"/>
      <c r="B1916" s="119" t="s">
        <v>20897</v>
      </c>
      <c r="C1916" s="120" t="s">
        <v>3671</v>
      </c>
      <c r="D1916" s="33" t="s">
        <v>20899</v>
      </c>
      <c r="E1916" s="51" t="s">
        <v>410</v>
      </c>
      <c r="F1916" s="121" t="s">
        <v>3009</v>
      </c>
      <c r="G1916" s="98" t="str">
        <f>HYPERLINK("http://mirror.ff7data.com.ar/ff7/data/battle/battle.lgp/doam.png","View Picture")</f>
        <v>View Picture</v>
      </c>
    </row>
    <row r="1917">
      <c r="A1917" s="84"/>
      <c r="B1917" s="119" t="s">
        <v>20909</v>
      </c>
      <c r="C1917" s="120" t="s">
        <v>20911</v>
      </c>
      <c r="D1917" s="33" t="s">
        <v>20894</v>
      </c>
      <c r="E1917" s="51" t="s">
        <v>410</v>
      </c>
      <c r="F1917" s="121" t="s">
        <v>3025</v>
      </c>
      <c r="H1917" s="46" t="s">
        <v>3002</v>
      </c>
    </row>
    <row r="1918">
      <c r="A1918" s="84"/>
      <c r="B1918" s="119" t="s">
        <v>20913</v>
      </c>
      <c r="C1918" s="120" t="s">
        <v>4846</v>
      </c>
      <c r="D1918" s="33" t="s">
        <v>20915</v>
      </c>
      <c r="E1918" s="51" t="s">
        <v>413</v>
      </c>
      <c r="F1918" s="121" t="s">
        <v>2971</v>
      </c>
      <c r="G1918" s="98" t="str">
        <f>HYPERLINK("http://mirror.ff7data.com.ar/ff7/data/battle/battle.lgp/dpaa.png","View Picture")</f>
        <v>View Picture</v>
      </c>
      <c r="H1918" s="46" t="s">
        <v>20926</v>
      </c>
    </row>
    <row r="1919">
      <c r="A1919" s="84"/>
      <c r="B1919" s="119" t="s">
        <v>20928</v>
      </c>
      <c r="C1919" s="120" t="s">
        <v>4109</v>
      </c>
      <c r="D1919" s="33" t="s">
        <v>20930</v>
      </c>
      <c r="E1919" s="51" t="s">
        <v>413</v>
      </c>
      <c r="F1919" s="121" t="s">
        <v>2993</v>
      </c>
      <c r="H1919" s="46" t="s">
        <v>3002</v>
      </c>
    </row>
    <row r="1920">
      <c r="A1920" s="84"/>
      <c r="B1920" s="119" t="s">
        <v>20932</v>
      </c>
      <c r="C1920" s="120" t="s">
        <v>3494</v>
      </c>
      <c r="D1920" s="33" t="s">
        <v>20930</v>
      </c>
      <c r="E1920" s="51" t="s">
        <v>413</v>
      </c>
      <c r="F1920" s="121" t="s">
        <v>3009</v>
      </c>
      <c r="G1920" s="98" t="str">
        <f>HYPERLINK("http://mirror.ff7data.com.ar/ff7/data/battle/battle.lgp/dpam.png","View Picture")</f>
        <v>View Picture</v>
      </c>
    </row>
    <row r="1921">
      <c r="A1921" s="84"/>
      <c r="B1921" s="119" t="s">
        <v>20944</v>
      </c>
      <c r="C1921" s="120" t="s">
        <v>3007</v>
      </c>
      <c r="D1921" s="33" t="s">
        <v>20930</v>
      </c>
      <c r="E1921" s="51" t="s">
        <v>413</v>
      </c>
      <c r="F1921" s="121" t="s">
        <v>3009</v>
      </c>
      <c r="G1921" s="98" t="str">
        <f>HYPERLINK("http://mirror.ff7data.com.ar/ff7/data/battle/battle.lgp/dpan.png","View Picture")</f>
        <v>View Picture</v>
      </c>
    </row>
    <row r="1922">
      <c r="A1922" s="84"/>
      <c r="B1922" s="119" t="s">
        <v>20957</v>
      </c>
      <c r="C1922" s="120" t="s">
        <v>4883</v>
      </c>
      <c r="D1922" s="33" t="s">
        <v>20930</v>
      </c>
      <c r="E1922" s="51" t="s">
        <v>413</v>
      </c>
      <c r="F1922" s="121" t="s">
        <v>3009</v>
      </c>
      <c r="G1922" s="98" t="str">
        <f>HYPERLINK("http://mirror.ff7data.com.ar/ff7/data/battle/battle.lgp/dpao.png","View Picture")</f>
        <v>View Picture</v>
      </c>
    </row>
    <row r="1923">
      <c r="A1923" s="84"/>
      <c r="B1923" s="119" t="s">
        <v>20971</v>
      </c>
      <c r="C1923" s="120" t="s">
        <v>4883</v>
      </c>
      <c r="D1923" s="33" t="s">
        <v>20930</v>
      </c>
      <c r="E1923" s="51" t="s">
        <v>413</v>
      </c>
      <c r="F1923" s="121" t="s">
        <v>3009</v>
      </c>
      <c r="G1923" s="98" t="str">
        <f>HYPERLINK("http://mirror.ff7data.com.ar/ff7/data/battle/battle.lgp/dpap.png","View Picture")</f>
        <v>View Picture</v>
      </c>
    </row>
    <row r="1924">
      <c r="A1924" s="84"/>
      <c r="B1924" s="119" t="s">
        <v>20987</v>
      </c>
      <c r="C1924" s="120" t="s">
        <v>4883</v>
      </c>
      <c r="D1924" s="33" t="s">
        <v>20930</v>
      </c>
      <c r="E1924" s="51" t="s">
        <v>413</v>
      </c>
      <c r="F1924" s="121" t="s">
        <v>3009</v>
      </c>
      <c r="G1924" s="98" t="str">
        <f>HYPERLINK("http://mirror.ff7data.com.ar/ff7/data/battle/battle.lgp/dpaq.png","View Picture")</f>
        <v>View Picture</v>
      </c>
    </row>
    <row r="1925">
      <c r="A1925" s="84"/>
      <c r="B1925" s="119" t="s">
        <v>20997</v>
      </c>
      <c r="C1925" s="120" t="s">
        <v>4883</v>
      </c>
      <c r="D1925" s="33" t="s">
        <v>20930</v>
      </c>
      <c r="E1925" s="51" t="s">
        <v>413</v>
      </c>
      <c r="F1925" s="121" t="s">
        <v>3009</v>
      </c>
      <c r="G1925" s="98" t="str">
        <f>HYPERLINK("http://mirror.ff7data.com.ar/ff7/data/battle/battle.lgp/dpar.png","View Picture")</f>
        <v>View Picture</v>
      </c>
    </row>
    <row r="1926">
      <c r="A1926" s="84"/>
      <c r="B1926" s="119" t="s">
        <v>21008</v>
      </c>
      <c r="C1926" s="120" t="s">
        <v>4926</v>
      </c>
      <c r="D1926" s="33" t="s">
        <v>20930</v>
      </c>
      <c r="E1926" s="51" t="s">
        <v>413</v>
      </c>
      <c r="F1926" s="121" t="s">
        <v>3009</v>
      </c>
      <c r="G1926" s="98" t="str">
        <f>HYPERLINK("http://mirror.ff7data.com.ar/ff7/data/battle/battle.lgp/dpas.png","View Picture")</f>
        <v>View Picture</v>
      </c>
    </row>
    <row r="1927">
      <c r="A1927" s="84"/>
      <c r="B1927" s="119" t="s">
        <v>21021</v>
      </c>
      <c r="C1927" s="120" t="s">
        <v>3007</v>
      </c>
      <c r="D1927" s="33" t="s">
        <v>20930</v>
      </c>
      <c r="E1927" s="51" t="s">
        <v>413</v>
      </c>
      <c r="F1927" s="121" t="s">
        <v>3009</v>
      </c>
      <c r="G1927" s="98" t="str">
        <f>HYPERLINK("http://mirror.ff7data.com.ar/ff7/data/battle/battle.lgp/dpat.png","View Picture")</f>
        <v>View Picture</v>
      </c>
    </row>
    <row r="1928">
      <c r="A1928" s="84"/>
      <c r="B1928" s="119" t="s">
        <v>21029</v>
      </c>
      <c r="C1928" s="120" t="s">
        <v>4883</v>
      </c>
      <c r="D1928" s="33" t="s">
        <v>20930</v>
      </c>
      <c r="E1928" s="51" t="s">
        <v>413</v>
      </c>
      <c r="F1928" s="121" t="s">
        <v>3009</v>
      </c>
      <c r="G1928" s="98" t="str">
        <f>HYPERLINK("http://mirror.ff7data.com.ar/ff7/data/battle/battle.lgp/dpau.png","View Picture")</f>
        <v>View Picture</v>
      </c>
    </row>
    <row r="1929">
      <c r="A1929" s="84"/>
      <c r="B1929" s="119" t="s">
        <v>21038</v>
      </c>
      <c r="C1929" s="120" t="s">
        <v>4883</v>
      </c>
      <c r="D1929" s="33" t="s">
        <v>20930</v>
      </c>
      <c r="E1929" s="51" t="s">
        <v>413</v>
      </c>
      <c r="F1929" s="121" t="s">
        <v>3009</v>
      </c>
      <c r="G1929" s="98" t="str">
        <f>HYPERLINK("http://mirror.ff7data.com.ar/ff7/data/battle/battle.lgp/dpav.png","View Picture")</f>
        <v>View Picture</v>
      </c>
    </row>
    <row r="1930">
      <c r="A1930" s="84"/>
      <c r="B1930" s="119" t="s">
        <v>21046</v>
      </c>
      <c r="C1930" s="120" t="s">
        <v>4883</v>
      </c>
      <c r="D1930" s="33" t="s">
        <v>20930</v>
      </c>
      <c r="E1930" s="51" t="s">
        <v>413</v>
      </c>
      <c r="F1930" s="121" t="s">
        <v>3009</v>
      </c>
      <c r="G1930" s="98" t="str">
        <f>HYPERLINK("http://mirror.ff7data.com.ar/ff7/data/battle/battle.lgp/dpaw.png","View Picture")</f>
        <v>View Picture</v>
      </c>
    </row>
    <row r="1931">
      <c r="A1931" s="84"/>
      <c r="B1931" s="119" t="s">
        <v>21054</v>
      </c>
      <c r="C1931" s="120" t="s">
        <v>4883</v>
      </c>
      <c r="D1931" s="33" t="s">
        <v>20930</v>
      </c>
      <c r="E1931" s="51" t="s">
        <v>413</v>
      </c>
      <c r="F1931" s="121" t="s">
        <v>3009</v>
      </c>
      <c r="G1931" s="98" t="str">
        <f>HYPERLINK("http://mirror.ff7data.com.ar/ff7/data/battle/battle.lgp/dpax.png","View Picture")</f>
        <v>View Picture</v>
      </c>
    </row>
    <row r="1932">
      <c r="A1932" s="84"/>
      <c r="B1932" s="119" t="s">
        <v>21067</v>
      </c>
      <c r="C1932" s="120" t="s">
        <v>4926</v>
      </c>
      <c r="D1932" s="33" t="s">
        <v>20930</v>
      </c>
      <c r="E1932" s="51" t="s">
        <v>413</v>
      </c>
      <c r="F1932" s="121" t="s">
        <v>3009</v>
      </c>
      <c r="G1932" s="98" t="str">
        <f>HYPERLINK("http://mirror.ff7data.com.ar/ff7/data/battle/battle.lgp/dpay.png","View Picture")</f>
        <v>View Picture</v>
      </c>
    </row>
    <row r="1933">
      <c r="A1933" s="84"/>
      <c r="B1933" s="119" t="s">
        <v>21075</v>
      </c>
      <c r="C1933" s="120" t="s">
        <v>3007</v>
      </c>
      <c r="D1933" s="33" t="s">
        <v>20930</v>
      </c>
      <c r="E1933" s="51" t="s">
        <v>413</v>
      </c>
      <c r="F1933" s="121" t="s">
        <v>3009</v>
      </c>
      <c r="G1933" s="98" t="str">
        <f>HYPERLINK("http://mirror.ff7data.com.ar/ff7/data/battle/battle.lgp/dpaz.png","View Picture")</f>
        <v>View Picture</v>
      </c>
    </row>
    <row r="1934">
      <c r="A1934" s="84"/>
      <c r="B1934" s="119" t="s">
        <v>21080</v>
      </c>
      <c r="C1934" s="120" t="s">
        <v>4883</v>
      </c>
      <c r="D1934" s="33" t="s">
        <v>20930</v>
      </c>
      <c r="E1934" s="51" t="s">
        <v>413</v>
      </c>
      <c r="F1934" s="121" t="s">
        <v>3009</v>
      </c>
      <c r="G1934" s="98" t="str">
        <f>HYPERLINK("http://mirror.ff7data.com.ar/ff7/data/battle/battle.lgp/dpba.png","View Picture")</f>
        <v>View Picture</v>
      </c>
    </row>
    <row r="1935">
      <c r="A1935" s="84"/>
      <c r="B1935" s="119" t="s">
        <v>21088</v>
      </c>
      <c r="C1935" s="120" t="s">
        <v>4883</v>
      </c>
      <c r="D1935" s="33" t="s">
        <v>20930</v>
      </c>
      <c r="E1935" s="51" t="s">
        <v>413</v>
      </c>
      <c r="F1935" s="121" t="s">
        <v>3009</v>
      </c>
      <c r="G1935" s="98" t="str">
        <f>HYPERLINK("http://mirror.ff7data.com.ar/ff7/data/battle/battle.lgp/dpbb.png","View Picture")</f>
        <v>View Picture</v>
      </c>
    </row>
    <row r="1936">
      <c r="A1936" s="84"/>
      <c r="B1936" s="119" t="s">
        <v>21099</v>
      </c>
      <c r="C1936" s="120" t="s">
        <v>5027</v>
      </c>
      <c r="D1936" s="33" t="s">
        <v>20930</v>
      </c>
      <c r="E1936" s="51" t="s">
        <v>413</v>
      </c>
      <c r="F1936" s="121" t="s">
        <v>3009</v>
      </c>
      <c r="G1936" s="98" t="str">
        <f>HYPERLINK("http://mirror.ff7data.com.ar/ff7/data/battle/battle.lgp/dpbc.png","View Picture")</f>
        <v>View Picture</v>
      </c>
    </row>
    <row r="1937">
      <c r="A1937" s="84"/>
      <c r="B1937" s="119" t="s">
        <v>21108</v>
      </c>
      <c r="C1937" s="120" t="s">
        <v>4883</v>
      </c>
      <c r="D1937" s="33" t="s">
        <v>20930</v>
      </c>
      <c r="E1937" s="51" t="s">
        <v>413</v>
      </c>
      <c r="F1937" s="121" t="s">
        <v>3009</v>
      </c>
      <c r="G1937" s="98" t="str">
        <f>HYPERLINK("http://mirror.ff7data.com.ar/ff7/data/battle/battle.lgp/dpbd.png","View Picture")</f>
        <v>View Picture</v>
      </c>
    </row>
    <row r="1938">
      <c r="A1938" s="84"/>
      <c r="B1938" s="119" t="s">
        <v>21119</v>
      </c>
      <c r="C1938" s="120" t="s">
        <v>4926</v>
      </c>
      <c r="D1938" s="33" t="s">
        <v>20930</v>
      </c>
      <c r="E1938" s="51" t="s">
        <v>413</v>
      </c>
      <c r="F1938" s="121" t="s">
        <v>3009</v>
      </c>
      <c r="G1938" s="98" t="str">
        <f>HYPERLINK("http://mirror.ff7data.com.ar/ff7/data/battle/battle.lgp/dpbe.png","View Picture")</f>
        <v>View Picture</v>
      </c>
    </row>
    <row r="1939">
      <c r="A1939" s="84"/>
      <c r="B1939" s="119" t="s">
        <v>21131</v>
      </c>
      <c r="C1939" s="120" t="s">
        <v>3007</v>
      </c>
      <c r="D1939" s="33" t="s">
        <v>20930</v>
      </c>
      <c r="E1939" s="51" t="s">
        <v>413</v>
      </c>
      <c r="F1939" s="121" t="s">
        <v>3009</v>
      </c>
      <c r="G1939" s="98" t="str">
        <f>HYPERLINK("http://mirror.ff7data.com.ar/ff7/data/battle/battle.lgp/dpbf.png","View Picture")</f>
        <v>View Picture</v>
      </c>
    </row>
    <row r="1940">
      <c r="A1940" s="84"/>
      <c r="B1940" s="119" t="s">
        <v>21143</v>
      </c>
      <c r="C1940" s="120" t="s">
        <v>4883</v>
      </c>
      <c r="D1940" s="33" t="s">
        <v>20930</v>
      </c>
      <c r="E1940" s="51" t="s">
        <v>413</v>
      </c>
      <c r="F1940" s="121" t="s">
        <v>3009</v>
      </c>
      <c r="G1940" s="98" t="str">
        <f>HYPERLINK("http://mirror.ff7data.com.ar/ff7/data/battle/battle.lgp/dpbg.png","View Picture")</f>
        <v>View Picture</v>
      </c>
    </row>
    <row r="1941">
      <c r="A1941" s="84"/>
      <c r="B1941" s="119" t="s">
        <v>21158</v>
      </c>
      <c r="C1941" s="120" t="s">
        <v>4883</v>
      </c>
      <c r="D1941" s="33" t="s">
        <v>20930</v>
      </c>
      <c r="E1941" s="51" t="s">
        <v>413</v>
      </c>
      <c r="F1941" s="121" t="s">
        <v>3009</v>
      </c>
      <c r="G1941" s="98" t="str">
        <f>HYPERLINK("http://mirror.ff7data.com.ar/ff7/data/battle/battle.lgp/dpbh.png","View Picture")</f>
        <v>View Picture</v>
      </c>
    </row>
    <row r="1942">
      <c r="A1942" s="84"/>
      <c r="B1942" s="119" t="s">
        <v>21174</v>
      </c>
      <c r="C1942" s="120" t="s">
        <v>4883</v>
      </c>
      <c r="D1942" s="33" t="s">
        <v>20930</v>
      </c>
      <c r="E1942" s="51" t="s">
        <v>413</v>
      </c>
      <c r="F1942" s="121" t="s">
        <v>3009</v>
      </c>
      <c r="G1942" s="98" t="str">
        <f>HYPERLINK("http://mirror.ff7data.com.ar/ff7/data/battle/battle.lgp/dpbi.png","View Picture")</f>
        <v>View Picture</v>
      </c>
    </row>
    <row r="1943">
      <c r="A1943" s="84"/>
      <c r="B1943" s="119" t="s">
        <v>21185</v>
      </c>
      <c r="C1943" s="120" t="s">
        <v>4883</v>
      </c>
      <c r="D1943" s="33" t="s">
        <v>20930</v>
      </c>
      <c r="E1943" s="51" t="s">
        <v>413</v>
      </c>
      <c r="F1943" s="121" t="s">
        <v>3009</v>
      </c>
      <c r="G1943" s="98" t="str">
        <f>HYPERLINK("http://mirror.ff7data.com.ar/ff7/data/battle/battle.lgp/dpbj.png","View Picture")</f>
        <v>View Picture</v>
      </c>
    </row>
    <row r="1944">
      <c r="A1944" s="84"/>
      <c r="B1944" s="119" t="s">
        <v>21193</v>
      </c>
      <c r="C1944" s="120" t="s">
        <v>4926</v>
      </c>
      <c r="D1944" s="33" t="s">
        <v>20930</v>
      </c>
      <c r="E1944" s="51" t="s">
        <v>413</v>
      </c>
      <c r="F1944" s="121" t="s">
        <v>3009</v>
      </c>
      <c r="G1944" s="98" t="str">
        <f>HYPERLINK("http://mirror.ff7data.com.ar/ff7/data/battle/battle.lgp/dpbk.png","View Picture")</f>
        <v>View Picture</v>
      </c>
    </row>
    <row r="1945">
      <c r="A1945" s="84"/>
      <c r="B1945" s="119" t="s">
        <v>21202</v>
      </c>
      <c r="C1945" s="120" t="s">
        <v>3007</v>
      </c>
      <c r="D1945" s="33" t="s">
        <v>20930</v>
      </c>
      <c r="E1945" s="51" t="s">
        <v>413</v>
      </c>
      <c r="F1945" s="121" t="s">
        <v>3009</v>
      </c>
      <c r="G1945" s="98" t="str">
        <f>HYPERLINK("http://mirror.ff7data.com.ar/ff7/data/battle/battle.lgp/dpbl.png","View Picture")</f>
        <v>View Picture</v>
      </c>
    </row>
    <row r="1946">
      <c r="A1946" s="84"/>
      <c r="B1946" s="119" t="s">
        <v>21208</v>
      </c>
      <c r="C1946" s="120" t="s">
        <v>4883</v>
      </c>
      <c r="D1946" s="33" t="s">
        <v>20930</v>
      </c>
      <c r="E1946" s="51" t="s">
        <v>413</v>
      </c>
      <c r="F1946" s="121" t="s">
        <v>3009</v>
      </c>
      <c r="G1946" s="98" t="str">
        <f>HYPERLINK("http://mirror.ff7data.com.ar/ff7/data/battle/battle.lgp/dpbm.png","View Picture")</f>
        <v>View Picture</v>
      </c>
    </row>
    <row r="1947">
      <c r="A1947" s="84"/>
      <c r="B1947" s="119" t="s">
        <v>21216</v>
      </c>
      <c r="C1947" s="120" t="s">
        <v>4883</v>
      </c>
      <c r="D1947" s="33" t="s">
        <v>20930</v>
      </c>
      <c r="E1947" s="51" t="s">
        <v>413</v>
      </c>
      <c r="F1947" s="121" t="s">
        <v>3009</v>
      </c>
      <c r="G1947" s="98" t="str">
        <f>HYPERLINK("http://mirror.ff7data.com.ar/ff7/data/battle/battle.lgp/dpbn.png","View Picture")</f>
        <v>View Picture</v>
      </c>
    </row>
    <row r="1948">
      <c r="A1948" s="84"/>
      <c r="B1948" s="119" t="s">
        <v>21230</v>
      </c>
      <c r="C1948" s="120" t="s">
        <v>4883</v>
      </c>
      <c r="D1948" s="33" t="s">
        <v>20930</v>
      </c>
      <c r="E1948" s="51" t="s">
        <v>413</v>
      </c>
      <c r="F1948" s="121" t="s">
        <v>3009</v>
      </c>
      <c r="G1948" s="98" t="str">
        <f>HYPERLINK("http://mirror.ff7data.com.ar/ff7/data/battle/battle.lgp/dpbo.png","View Picture")</f>
        <v>View Picture</v>
      </c>
    </row>
    <row r="1949">
      <c r="A1949" s="84"/>
      <c r="B1949" s="119" t="s">
        <v>21239</v>
      </c>
      <c r="C1949" s="120" t="s">
        <v>4883</v>
      </c>
      <c r="D1949" s="33" t="s">
        <v>20930</v>
      </c>
      <c r="E1949" s="51" t="s">
        <v>413</v>
      </c>
      <c r="F1949" s="121" t="s">
        <v>3009</v>
      </c>
      <c r="G1949" s="98" t="str">
        <f>HYPERLINK("http://mirror.ff7data.com.ar/ff7/data/battle/battle.lgp/dpbp.png","View Picture")</f>
        <v>View Picture</v>
      </c>
    </row>
    <row r="1950">
      <c r="A1950" s="84"/>
      <c r="B1950" s="119" t="s">
        <v>21245</v>
      </c>
      <c r="C1950" s="120" t="s">
        <v>4926</v>
      </c>
      <c r="D1950" s="33" t="s">
        <v>20930</v>
      </c>
      <c r="E1950" s="51" t="s">
        <v>413</v>
      </c>
      <c r="F1950" s="121" t="s">
        <v>3009</v>
      </c>
      <c r="G1950" s="98" t="str">
        <f>HYPERLINK("http://mirror.ff7data.com.ar/ff7/data/battle/battle.lgp/dpbq.png","View Picture")</f>
        <v>View Picture</v>
      </c>
    </row>
    <row r="1951">
      <c r="A1951" s="84"/>
      <c r="B1951" s="119" t="s">
        <v>21250</v>
      </c>
      <c r="C1951" s="120" t="s">
        <v>3343</v>
      </c>
      <c r="D1951" s="33" t="s">
        <v>20930</v>
      </c>
      <c r="E1951" s="51" t="s">
        <v>413</v>
      </c>
      <c r="F1951" s="121" t="s">
        <v>3009</v>
      </c>
      <c r="G1951" s="98" t="str">
        <f>HYPERLINK("http://mirror.ff7data.com.ar/ff7/data/battle/battle.lgp/dpbr.png","View Picture")</f>
        <v>View Picture</v>
      </c>
    </row>
    <row r="1952">
      <c r="A1952" s="84"/>
      <c r="B1952" s="119" t="s">
        <v>21256</v>
      </c>
      <c r="C1952" s="120" t="s">
        <v>5203</v>
      </c>
      <c r="D1952" s="33" t="s">
        <v>20930</v>
      </c>
      <c r="E1952" s="51" t="s">
        <v>413</v>
      </c>
      <c r="F1952" s="121" t="s">
        <v>3025</v>
      </c>
      <c r="H1952" s="46" t="s">
        <v>3002</v>
      </c>
    </row>
    <row r="1953">
      <c r="A1953" s="84"/>
      <c r="B1953" s="119" t="s">
        <v>21261</v>
      </c>
      <c r="C1953" s="120" t="s">
        <v>4196</v>
      </c>
      <c r="D1953" s="33" t="s">
        <v>21263</v>
      </c>
      <c r="E1953" s="51" t="s">
        <v>416</v>
      </c>
      <c r="F1953" s="121" t="s">
        <v>2971</v>
      </c>
      <c r="G1953" s="98" t="str">
        <f>HYPERLINK("http://mirror.ff7data.com.ar/ff7/data/battle/battle.lgp/dqaa.png","View Picture")</f>
        <v>View Picture</v>
      </c>
      <c r="H1953" s="46" t="s">
        <v>21274</v>
      </c>
    </row>
    <row r="1954">
      <c r="A1954" s="84"/>
      <c r="B1954" s="119" t="s">
        <v>21275</v>
      </c>
      <c r="C1954" s="120" t="s">
        <v>12616</v>
      </c>
      <c r="D1954" s="33" t="s">
        <v>21278</v>
      </c>
      <c r="E1954" s="51" t="s">
        <v>416</v>
      </c>
      <c r="F1954" s="121" t="s">
        <v>2993</v>
      </c>
      <c r="H1954" s="46" t="s">
        <v>3002</v>
      </c>
    </row>
    <row r="1955">
      <c r="A1955" s="84"/>
      <c r="B1955" s="119" t="s">
        <v>21281</v>
      </c>
      <c r="C1955" s="120" t="s">
        <v>4372</v>
      </c>
      <c r="D1955" s="33" t="s">
        <v>21278</v>
      </c>
      <c r="E1955" s="51" t="s">
        <v>416</v>
      </c>
      <c r="F1955" s="121" t="s">
        <v>3009</v>
      </c>
      <c r="G1955" s="98" t="str">
        <f>HYPERLINK("http://mirror.ff7data.com.ar/ff7/data/battle/battle.lgp/dqam.png","View Picture")</f>
        <v>View Picture</v>
      </c>
    </row>
    <row r="1956">
      <c r="A1956" s="84"/>
      <c r="B1956" s="119" t="s">
        <v>21291</v>
      </c>
      <c r="C1956" s="120" t="s">
        <v>6830</v>
      </c>
      <c r="D1956" s="33" t="s">
        <v>21278</v>
      </c>
      <c r="E1956" s="51" t="s">
        <v>416</v>
      </c>
      <c r="F1956" s="121" t="s">
        <v>3009</v>
      </c>
      <c r="G1956" s="98" t="str">
        <f>HYPERLINK("http://mirror.ff7data.com.ar/ff7/data/battle/battle.lgp/dqan.png","View Picture")</f>
        <v>View Picture</v>
      </c>
    </row>
    <row r="1957">
      <c r="A1957" s="84"/>
      <c r="B1957" s="119" t="s">
        <v>21301</v>
      </c>
      <c r="C1957" s="120" t="s">
        <v>3465</v>
      </c>
      <c r="D1957" s="33" t="s">
        <v>21278</v>
      </c>
      <c r="E1957" s="51" t="s">
        <v>416</v>
      </c>
      <c r="F1957" s="121" t="s">
        <v>3009</v>
      </c>
      <c r="G1957" s="98" t="str">
        <f>HYPERLINK("http://mirror.ff7data.com.ar/ff7/data/battle/battle.lgp/dqao.png","View Picture")</f>
        <v>View Picture</v>
      </c>
    </row>
    <row r="1958">
      <c r="A1958" s="84"/>
      <c r="B1958" s="119" t="s">
        <v>21312</v>
      </c>
      <c r="C1958" s="120" t="s">
        <v>3842</v>
      </c>
      <c r="D1958" s="33" t="s">
        <v>21278</v>
      </c>
      <c r="E1958" s="51" t="s">
        <v>416</v>
      </c>
      <c r="F1958" s="121" t="s">
        <v>3009</v>
      </c>
      <c r="G1958" s="98" t="str">
        <f>HYPERLINK("http://mirror.ff7data.com.ar/ff7/data/battle/battle.lgp/dqar.png","View Picture")</f>
        <v>View Picture</v>
      </c>
    </row>
    <row r="1959">
      <c r="A1959" s="84"/>
      <c r="B1959" s="119" t="s">
        <v>21323</v>
      </c>
      <c r="C1959" s="120" t="s">
        <v>4707</v>
      </c>
      <c r="D1959" s="33" t="s">
        <v>21278</v>
      </c>
      <c r="E1959" s="51" t="s">
        <v>416</v>
      </c>
      <c r="F1959" s="121" t="s">
        <v>3009</v>
      </c>
      <c r="G1959" s="98" t="str">
        <f>HYPERLINK("http://mirror.ff7data.com.ar/ff7/data/battle/battle.lgp/dqas.png","View Picture")</f>
        <v>View Picture</v>
      </c>
    </row>
    <row r="1960">
      <c r="A1960" s="84"/>
      <c r="B1960" s="119" t="s">
        <v>21334</v>
      </c>
      <c r="C1960" s="120" t="s">
        <v>3853</v>
      </c>
      <c r="D1960" s="33" t="s">
        <v>21278</v>
      </c>
      <c r="E1960" s="51" t="s">
        <v>416</v>
      </c>
      <c r="F1960" s="121" t="s">
        <v>3009</v>
      </c>
      <c r="G1960" s="98" t="str">
        <f>HYPERLINK("http://mirror.ff7data.com.ar/ff7/data/battle/battle.lgp/dqat.png","View Picture")</f>
        <v>View Picture</v>
      </c>
    </row>
    <row r="1961">
      <c r="A1961" s="84"/>
      <c r="B1961" s="119" t="s">
        <v>21350</v>
      </c>
      <c r="C1961" s="120" t="s">
        <v>3658</v>
      </c>
      <c r="D1961" s="33" t="s">
        <v>21278</v>
      </c>
      <c r="E1961" s="51" t="s">
        <v>416</v>
      </c>
      <c r="F1961" s="121" t="s">
        <v>3009</v>
      </c>
      <c r="G1961" s="98" t="str">
        <f>HYPERLINK("http://mirror.ff7data.com.ar/ff7/data/battle/battle.lgp/dqay.png","View Picture")</f>
        <v>View Picture</v>
      </c>
    </row>
    <row r="1962">
      <c r="A1962" s="84"/>
      <c r="B1962" s="119" t="s">
        <v>21360</v>
      </c>
      <c r="C1962" s="120" t="s">
        <v>4707</v>
      </c>
      <c r="D1962" s="33" t="s">
        <v>21278</v>
      </c>
      <c r="E1962" s="51" t="s">
        <v>416</v>
      </c>
      <c r="F1962" s="121" t="s">
        <v>3009</v>
      </c>
      <c r="G1962" s="98" t="str">
        <f>HYPERLINK("http://mirror.ff7data.com.ar/ff7/data/battle/battle.lgp/dqaz.png","View Picture")</f>
        <v>View Picture</v>
      </c>
    </row>
    <row r="1963">
      <c r="A1963" s="84"/>
      <c r="B1963" s="119" t="s">
        <v>21370</v>
      </c>
      <c r="C1963" s="120" t="s">
        <v>3749</v>
      </c>
      <c r="D1963" s="33" t="s">
        <v>21278</v>
      </c>
      <c r="E1963" s="51" t="s">
        <v>416</v>
      </c>
      <c r="F1963" s="121" t="s">
        <v>3009</v>
      </c>
      <c r="G1963" s="98" t="str">
        <f>HYPERLINK("http://mirror.ff7data.com.ar/ff7/data/battle/battle.lgp/dqba.png","View Picture")</f>
        <v>View Picture</v>
      </c>
    </row>
    <row r="1964">
      <c r="A1964" s="84"/>
      <c r="B1964" s="119" t="s">
        <v>21382</v>
      </c>
      <c r="C1964" s="120" t="s">
        <v>4057</v>
      </c>
      <c r="D1964" s="33" t="s">
        <v>21278</v>
      </c>
      <c r="E1964" s="51" t="s">
        <v>416</v>
      </c>
      <c r="F1964" s="121" t="s">
        <v>3009</v>
      </c>
      <c r="G1964" s="98" t="str">
        <f>HYPERLINK("http://mirror.ff7data.com.ar/ff7/data/battle/battle.lgp/dqbc.png","View Picture")</f>
        <v>View Picture</v>
      </c>
    </row>
    <row r="1965">
      <c r="A1965" s="84"/>
      <c r="B1965" s="119" t="s">
        <v>21390</v>
      </c>
      <c r="C1965" s="120" t="s">
        <v>4357</v>
      </c>
      <c r="D1965" s="33" t="s">
        <v>21278</v>
      </c>
      <c r="E1965" s="51" t="s">
        <v>416</v>
      </c>
      <c r="F1965" s="121" t="s">
        <v>3009</v>
      </c>
      <c r="G1965" s="98" t="str">
        <f>HYPERLINK("http://mirror.ff7data.com.ar/ff7/data/battle/battle.lgp/dqbd.png","View Picture")</f>
        <v>View Picture</v>
      </c>
    </row>
    <row r="1966">
      <c r="A1966" s="84"/>
      <c r="B1966" s="119" t="s">
        <v>21400</v>
      </c>
      <c r="C1966" s="120" t="s">
        <v>4439</v>
      </c>
      <c r="D1966" s="33" t="s">
        <v>21278</v>
      </c>
      <c r="E1966" s="51" t="s">
        <v>416</v>
      </c>
      <c r="F1966" s="121" t="s">
        <v>3009</v>
      </c>
      <c r="G1966" s="98" t="str">
        <f>HYPERLINK("http://mirror.ff7data.com.ar/ff7/data/battle/battle.lgp/dqbe.png","View Picture")</f>
        <v>View Picture</v>
      </c>
    </row>
    <row r="1967">
      <c r="A1967" s="84"/>
      <c r="B1967" s="119" t="s">
        <v>21410</v>
      </c>
      <c r="C1967" s="120" t="s">
        <v>4288</v>
      </c>
      <c r="D1967" s="33" t="s">
        <v>21278</v>
      </c>
      <c r="E1967" s="51" t="s">
        <v>416</v>
      </c>
      <c r="F1967" s="121" t="s">
        <v>3009</v>
      </c>
      <c r="G1967" s="98" t="str">
        <f>HYPERLINK("http://mirror.ff7data.com.ar/ff7/data/battle/battle.lgp/dqbf.png","View Picture")</f>
        <v>View Picture</v>
      </c>
    </row>
    <row r="1968">
      <c r="A1968" s="84"/>
      <c r="B1968" s="119" t="s">
        <v>21421</v>
      </c>
      <c r="C1968" s="120" t="s">
        <v>5419</v>
      </c>
      <c r="D1968" s="33" t="s">
        <v>21278</v>
      </c>
      <c r="E1968" s="51" t="s">
        <v>416</v>
      </c>
      <c r="F1968" s="121" t="s">
        <v>3009</v>
      </c>
      <c r="G1968" s="98" t="str">
        <f>HYPERLINK("http://mirror.ff7data.com.ar/ff7/data/battle/battle.lgp/dqbh.png","View Picture")</f>
        <v>View Picture</v>
      </c>
    </row>
    <row r="1969">
      <c r="A1969" s="84"/>
      <c r="B1969" s="119" t="s">
        <v>21429</v>
      </c>
      <c r="C1969" s="120" t="s">
        <v>5419</v>
      </c>
      <c r="D1969" s="33" t="s">
        <v>21278</v>
      </c>
      <c r="E1969" s="51" t="s">
        <v>416</v>
      </c>
      <c r="F1969" s="121" t="s">
        <v>3009</v>
      </c>
      <c r="G1969" s="98" t="str">
        <f>HYPERLINK("http://mirror.ff7data.com.ar/ff7/data/battle/battle.lgp/dqbi.png","View Picture")</f>
        <v>View Picture</v>
      </c>
    </row>
    <row r="1970">
      <c r="A1970" s="84"/>
      <c r="B1970" s="119" t="s">
        <v>21437</v>
      </c>
      <c r="C1970" s="120" t="s">
        <v>4439</v>
      </c>
      <c r="D1970" s="33" t="s">
        <v>21278</v>
      </c>
      <c r="E1970" s="51" t="s">
        <v>416</v>
      </c>
      <c r="F1970" s="121" t="s">
        <v>3009</v>
      </c>
      <c r="G1970" s="98" t="str">
        <f>HYPERLINK("http://mirror.ff7data.com.ar/ff7/data/battle/battle.lgp/dqbj.png","View Picture")</f>
        <v>View Picture</v>
      </c>
    </row>
    <row r="1971">
      <c r="A1971" s="84"/>
      <c r="B1971" s="119" t="s">
        <v>21448</v>
      </c>
      <c r="C1971" s="120" t="s">
        <v>4288</v>
      </c>
      <c r="D1971" s="33" t="s">
        <v>21278</v>
      </c>
      <c r="E1971" s="51" t="s">
        <v>416</v>
      </c>
      <c r="F1971" s="121" t="s">
        <v>3009</v>
      </c>
      <c r="G1971" s="98" t="str">
        <f>HYPERLINK("http://mirror.ff7data.com.ar/ff7/data/battle/battle.lgp/dqbk.png","View Picture")</f>
        <v>View Picture</v>
      </c>
    </row>
    <row r="1972">
      <c r="A1972" s="84"/>
      <c r="B1972" s="119" t="s">
        <v>21456</v>
      </c>
      <c r="C1972" s="120" t="s">
        <v>4288</v>
      </c>
      <c r="D1972" s="33" t="s">
        <v>21278</v>
      </c>
      <c r="E1972" s="51" t="s">
        <v>416</v>
      </c>
      <c r="F1972" s="121" t="s">
        <v>3009</v>
      </c>
      <c r="G1972" s="98" t="str">
        <f>HYPERLINK("http://mirror.ff7data.com.ar/ff7/data/battle/battle.lgp/dqck.png","View Picture")</f>
        <v>View Picture</v>
      </c>
    </row>
    <row r="1973">
      <c r="A1973" s="84"/>
      <c r="B1973" s="119" t="s">
        <v>21461</v>
      </c>
      <c r="C1973" s="120" t="s">
        <v>5925</v>
      </c>
      <c r="D1973" s="33" t="s">
        <v>21278</v>
      </c>
      <c r="E1973" s="51" t="s">
        <v>416</v>
      </c>
      <c r="F1973" s="121" t="s">
        <v>3025</v>
      </c>
      <c r="H1973" s="46" t="s">
        <v>3002</v>
      </c>
    </row>
    <row r="1974">
      <c r="A1974" s="84"/>
      <c r="B1974" s="119" t="s">
        <v>21465</v>
      </c>
      <c r="C1974" s="120" t="s">
        <v>4196</v>
      </c>
      <c r="D1974" s="33" t="s">
        <v>21466</v>
      </c>
      <c r="E1974" s="51" t="s">
        <v>419</v>
      </c>
      <c r="F1974" s="121" t="s">
        <v>2971</v>
      </c>
      <c r="G1974" s="98" t="str">
        <f>HYPERLINK("http://mirror.ff7data.com.ar/ff7/data/battle/battle.lgp/draa.png","View Picture")</f>
        <v>View Picture</v>
      </c>
    </row>
    <row r="1975">
      <c r="A1975" s="84"/>
      <c r="B1975" s="119" t="s">
        <v>21474</v>
      </c>
      <c r="C1975" s="120" t="s">
        <v>8016</v>
      </c>
      <c r="D1975" s="33" t="s">
        <v>21476</v>
      </c>
      <c r="E1975" s="51" t="s">
        <v>419</v>
      </c>
      <c r="F1975" s="121" t="s">
        <v>2993</v>
      </c>
      <c r="H1975" s="46" t="s">
        <v>3002</v>
      </c>
    </row>
    <row r="1976">
      <c r="A1976" s="84"/>
      <c r="B1976" s="119" t="s">
        <v>21480</v>
      </c>
      <c r="C1976" s="120" t="s">
        <v>4086</v>
      </c>
      <c r="D1976" s="33" t="s">
        <v>21476</v>
      </c>
      <c r="E1976" s="51" t="s">
        <v>419</v>
      </c>
      <c r="F1976" s="121" t="s">
        <v>3009</v>
      </c>
      <c r="G1976" s="98" t="str">
        <f>HYPERLINK("http://mirror.ff7data.com.ar/ff7/data/battle/battle.lgp/dram.png","View Picture")</f>
        <v>View Picture</v>
      </c>
    </row>
    <row r="1977">
      <c r="A1977" s="84"/>
      <c r="B1977" s="119" t="s">
        <v>21491</v>
      </c>
      <c r="C1977" s="120" t="s">
        <v>21493</v>
      </c>
      <c r="D1977" s="33" t="s">
        <v>21476</v>
      </c>
      <c r="E1977" s="51" t="s">
        <v>419</v>
      </c>
      <c r="F1977" s="121" t="s">
        <v>3009</v>
      </c>
      <c r="G1977" s="98" t="str">
        <f>HYPERLINK("http://mirror.ff7data.com.ar/ff7/data/battle/battle.lgp/dran.png","View Picture")</f>
        <v>View Picture</v>
      </c>
    </row>
    <row r="1978">
      <c r="A1978" s="84"/>
      <c r="B1978" s="119" t="s">
        <v>21502</v>
      </c>
      <c r="C1978" s="120" t="s">
        <v>6010</v>
      </c>
      <c r="D1978" s="33" t="s">
        <v>21476</v>
      </c>
      <c r="E1978" s="51" t="s">
        <v>419</v>
      </c>
      <c r="F1978" s="121" t="s">
        <v>3009</v>
      </c>
      <c r="G1978" s="98" t="str">
        <f>HYPERLINK("http://mirror.ff7data.com.ar/ff7/data/battle/battle.lgp/drap.png","View Picture")</f>
        <v>View Picture</v>
      </c>
    </row>
    <row r="1979">
      <c r="A1979" s="84"/>
      <c r="B1979" s="119" t="s">
        <v>21508</v>
      </c>
      <c r="C1979" s="120" t="s">
        <v>9290</v>
      </c>
      <c r="D1979" s="33" t="s">
        <v>21476</v>
      </c>
      <c r="E1979" s="51" t="s">
        <v>419</v>
      </c>
      <c r="F1979" s="121" t="s">
        <v>3009</v>
      </c>
      <c r="G1979" s="98" t="str">
        <f>HYPERLINK("http://mirror.ff7data.com.ar/ff7/data/battle/battle.lgp/drax.png","View Picture")</f>
        <v>View Picture</v>
      </c>
    </row>
    <row r="1980">
      <c r="A1980" s="84"/>
      <c r="B1980" s="119" t="s">
        <v>21512</v>
      </c>
      <c r="C1980" s="120" t="s">
        <v>4357</v>
      </c>
      <c r="D1980" s="33" t="s">
        <v>21476</v>
      </c>
      <c r="E1980" s="51" t="s">
        <v>419</v>
      </c>
      <c r="F1980" s="121" t="s">
        <v>3009</v>
      </c>
      <c r="G1980" s="98" t="str">
        <f>HYPERLINK("http://mirror.ff7data.com.ar/ff7/data/battle/battle.lgp/drbb.png","View Picture")</f>
        <v>View Picture</v>
      </c>
    </row>
    <row r="1981">
      <c r="A1981" s="84"/>
      <c r="B1981" s="119" t="s">
        <v>21515</v>
      </c>
      <c r="C1981" s="120" t="s">
        <v>4732</v>
      </c>
      <c r="D1981" s="33" t="s">
        <v>21476</v>
      </c>
      <c r="E1981" s="51" t="s">
        <v>419</v>
      </c>
      <c r="F1981" s="121" t="s">
        <v>3009</v>
      </c>
      <c r="G1981" s="98" t="str">
        <f>HYPERLINK("http://mirror.ff7data.com.ar/ff7/data/battle/battle.lgp/drbc.png","View Picture")</f>
        <v>View Picture</v>
      </c>
    </row>
    <row r="1982">
      <c r="A1982" s="84"/>
      <c r="B1982" s="119" t="s">
        <v>21519</v>
      </c>
      <c r="C1982" s="120" t="s">
        <v>5419</v>
      </c>
      <c r="D1982" s="33" t="s">
        <v>21476</v>
      </c>
      <c r="E1982" s="51" t="s">
        <v>419</v>
      </c>
      <c r="F1982" s="121" t="s">
        <v>3009</v>
      </c>
      <c r="G1982" s="98" t="str">
        <f>HYPERLINK("http://mirror.ff7data.com.ar/ff7/data/battle/battle.lgp/drbd.png","View Picture")</f>
        <v>View Picture</v>
      </c>
    </row>
    <row r="1983">
      <c r="A1983" s="84"/>
      <c r="B1983" s="119" t="s">
        <v>21527</v>
      </c>
      <c r="C1983" s="120" t="s">
        <v>4357</v>
      </c>
      <c r="D1983" s="33" t="s">
        <v>21476</v>
      </c>
      <c r="E1983" s="51" t="s">
        <v>419</v>
      </c>
      <c r="F1983" s="121" t="s">
        <v>3009</v>
      </c>
      <c r="G1983" s="98" t="str">
        <f>HYPERLINK("http://mirror.ff7data.com.ar/ff7/data/battle/battle.lgp/drbj.png","View Picture")</f>
        <v>View Picture</v>
      </c>
    </row>
    <row r="1984">
      <c r="A1984" s="84"/>
      <c r="B1984" s="119" t="s">
        <v>21534</v>
      </c>
      <c r="C1984" s="120" t="s">
        <v>10955</v>
      </c>
      <c r="D1984" s="33" t="s">
        <v>21476</v>
      </c>
      <c r="E1984" s="51" t="s">
        <v>419</v>
      </c>
      <c r="F1984" s="121" t="s">
        <v>3025</v>
      </c>
      <c r="H1984" s="46" t="s">
        <v>3002</v>
      </c>
    </row>
    <row r="1985">
      <c r="A1985" s="84"/>
      <c r="B1985" s="119" t="s">
        <v>21536</v>
      </c>
      <c r="C1985" s="120" t="s">
        <v>21537</v>
      </c>
      <c r="D1985" s="33" t="s">
        <v>21538</v>
      </c>
      <c r="E1985" s="51" t="s">
        <v>422</v>
      </c>
      <c r="F1985" s="121" t="s">
        <v>2971</v>
      </c>
      <c r="G1985" s="98" t="str">
        <f>HYPERLINK("http://mirror.ff7data.com.ar/ff7/data/battle/battle.lgp/dsaa.png","View Picture")</f>
        <v>View Picture</v>
      </c>
    </row>
    <row r="1986">
      <c r="A1986" s="84"/>
      <c r="B1986" s="119" t="s">
        <v>21545</v>
      </c>
      <c r="C1986" s="120" t="s">
        <v>10217</v>
      </c>
      <c r="D1986" s="33" t="s">
        <v>21546</v>
      </c>
      <c r="E1986" s="51" t="s">
        <v>422</v>
      </c>
      <c r="F1986" s="121" t="s">
        <v>2993</v>
      </c>
      <c r="H1986" s="46" t="s">
        <v>3002</v>
      </c>
    </row>
    <row r="1987">
      <c r="A1987" s="84"/>
      <c r="B1987" s="119" t="s">
        <v>21550</v>
      </c>
      <c r="C1987" s="120" t="s">
        <v>3552</v>
      </c>
      <c r="D1987" s="33" t="s">
        <v>21552</v>
      </c>
      <c r="E1987" s="51" t="s">
        <v>422</v>
      </c>
      <c r="F1987" s="121" t="s">
        <v>1348</v>
      </c>
      <c r="G1987" s="98" t="str">
        <f>HYPERLINK("http://mirror.ff7data.com.ar/ff7/data/battle/battle.lgp/dsac.png","View Picture")</f>
        <v>View Picture</v>
      </c>
    </row>
    <row r="1988">
      <c r="A1988" s="84"/>
      <c r="B1988" s="119" t="s">
        <v>21559</v>
      </c>
      <c r="C1988" s="120" t="s">
        <v>6018</v>
      </c>
      <c r="D1988" s="33" t="s">
        <v>21546</v>
      </c>
      <c r="E1988" s="51" t="s">
        <v>422</v>
      </c>
      <c r="F1988" s="121" t="s">
        <v>3009</v>
      </c>
      <c r="G1988" s="98" t="str">
        <f>HYPERLINK("http://mirror.ff7data.com.ar/ff7/data/battle/battle.lgp/dsam.png","View Picture")</f>
        <v>View Picture</v>
      </c>
    </row>
    <row r="1989">
      <c r="A1989" s="84"/>
      <c r="B1989" s="119" t="s">
        <v>21567</v>
      </c>
      <c r="C1989" s="120" t="s">
        <v>6010</v>
      </c>
      <c r="D1989" s="33" t="s">
        <v>21546</v>
      </c>
      <c r="E1989" s="51" t="s">
        <v>422</v>
      </c>
      <c r="F1989" s="121" t="s">
        <v>3009</v>
      </c>
      <c r="G1989" s="98" t="str">
        <f>HYPERLINK("http://mirror.ff7data.com.ar/ff7/data/battle/battle.lgp/dsap.png","View Picture")</f>
        <v>View Picture</v>
      </c>
    </row>
    <row r="1990">
      <c r="A1990" s="84"/>
      <c r="B1990" s="119" t="s">
        <v>21579</v>
      </c>
      <c r="C1990" s="120" t="s">
        <v>3842</v>
      </c>
      <c r="D1990" s="33" t="s">
        <v>21546</v>
      </c>
      <c r="E1990" s="51" t="s">
        <v>422</v>
      </c>
      <c r="F1990" s="121" t="s">
        <v>3025</v>
      </c>
      <c r="H1990" s="46" t="s">
        <v>3002</v>
      </c>
    </row>
    <row r="1991">
      <c r="A1991" s="84"/>
      <c r="B1991" s="119" t="s">
        <v>21585</v>
      </c>
      <c r="C1991" s="120" t="s">
        <v>21537</v>
      </c>
      <c r="D1991" s="33" t="s">
        <v>21586</v>
      </c>
      <c r="E1991" s="51" t="s">
        <v>425</v>
      </c>
      <c r="F1991" s="121" t="s">
        <v>2971</v>
      </c>
      <c r="G1991" s="98" t="str">
        <f>HYPERLINK("http://mirror.ff7data.com.ar/ff7/data/battle/battle.lgp/dtaa.png","View Picture")</f>
        <v>View Picture</v>
      </c>
    </row>
    <row r="1992">
      <c r="A1992" s="84"/>
      <c r="B1992" s="119" t="s">
        <v>21595</v>
      </c>
      <c r="C1992" s="120" t="s">
        <v>10217</v>
      </c>
      <c r="D1992" s="33" t="s">
        <v>21596</v>
      </c>
      <c r="E1992" s="51" t="s">
        <v>425</v>
      </c>
      <c r="F1992" s="121" t="s">
        <v>2993</v>
      </c>
      <c r="H1992" s="46" t="s">
        <v>3002</v>
      </c>
    </row>
    <row r="1993">
      <c r="A1993" s="84"/>
      <c r="B1993" s="119" t="s">
        <v>21598</v>
      </c>
      <c r="C1993" s="120" t="s">
        <v>3552</v>
      </c>
      <c r="D1993" s="33" t="s">
        <v>21601</v>
      </c>
      <c r="E1993" s="51" t="s">
        <v>425</v>
      </c>
      <c r="F1993" s="121" t="s">
        <v>1348</v>
      </c>
      <c r="G1993" s="98" t="str">
        <f>HYPERLINK("http://mirror.ff7data.com.ar/ff7/data/battle/battle.lgp/dtac.png","View Picture")</f>
        <v>View Picture</v>
      </c>
    </row>
    <row r="1994">
      <c r="A1994" s="84"/>
      <c r="B1994" s="119" t="s">
        <v>21607</v>
      </c>
      <c r="C1994" s="120" t="s">
        <v>6018</v>
      </c>
      <c r="D1994" s="33" t="s">
        <v>21596</v>
      </c>
      <c r="E1994" s="51" t="s">
        <v>425</v>
      </c>
      <c r="F1994" s="121" t="s">
        <v>3009</v>
      </c>
      <c r="G1994" s="98" t="str">
        <f>HYPERLINK("http://mirror.ff7data.com.ar/ff7/data/battle/battle.lgp/dtam.png","View Picture")</f>
        <v>View Picture</v>
      </c>
    </row>
    <row r="1995">
      <c r="A1995" s="84"/>
      <c r="B1995" s="119" t="s">
        <v>21620</v>
      </c>
      <c r="C1995" s="120" t="s">
        <v>6010</v>
      </c>
      <c r="D1995" s="33" t="s">
        <v>21596</v>
      </c>
      <c r="E1995" s="51" t="s">
        <v>425</v>
      </c>
      <c r="F1995" s="121" t="s">
        <v>3009</v>
      </c>
      <c r="G1995" s="98" t="str">
        <f>HYPERLINK("http://mirror.ff7data.com.ar/ff7/data/battle/battle.lgp/dtap.png","View Picture")</f>
        <v>View Picture</v>
      </c>
    </row>
    <row r="1996">
      <c r="A1996" s="84"/>
      <c r="B1996" s="119" t="s">
        <v>21627</v>
      </c>
      <c r="C1996" s="120" t="s">
        <v>3842</v>
      </c>
      <c r="D1996" s="33" t="s">
        <v>21596</v>
      </c>
      <c r="E1996" s="51" t="s">
        <v>425</v>
      </c>
      <c r="F1996" s="121" t="s">
        <v>3025</v>
      </c>
      <c r="H1996" s="46" t="s">
        <v>3002</v>
      </c>
    </row>
    <row r="1997">
      <c r="A1997" s="84"/>
      <c r="B1997" s="119" t="s">
        <v>21629</v>
      </c>
      <c r="C1997" s="120" t="s">
        <v>21537</v>
      </c>
      <c r="D1997" s="33" t="s">
        <v>21631</v>
      </c>
      <c r="E1997" s="51" t="s">
        <v>428</v>
      </c>
      <c r="F1997" s="121" t="s">
        <v>2971</v>
      </c>
      <c r="G1997" s="98" t="str">
        <f>HYPERLINK("http://mirror.ff7data.com.ar/ff7/data/battle/battle.lgp/duaa.png","View Picture")</f>
        <v>View Picture</v>
      </c>
    </row>
    <row r="1998">
      <c r="A1998" s="84"/>
      <c r="B1998" s="119" t="s">
        <v>21639</v>
      </c>
      <c r="C1998" s="120" t="s">
        <v>10217</v>
      </c>
      <c r="D1998" s="33" t="s">
        <v>21640</v>
      </c>
      <c r="E1998" s="51" t="s">
        <v>428</v>
      </c>
      <c r="F1998" s="121" t="s">
        <v>2993</v>
      </c>
      <c r="H1998" s="46" t="s">
        <v>3002</v>
      </c>
    </row>
    <row r="1999">
      <c r="A1999" s="84"/>
      <c r="B1999" s="119" t="s">
        <v>21643</v>
      </c>
      <c r="C1999" s="120" t="s">
        <v>3552</v>
      </c>
      <c r="D1999" s="33" t="s">
        <v>21646</v>
      </c>
      <c r="E1999" s="51" t="s">
        <v>428</v>
      </c>
      <c r="F1999" s="121" t="s">
        <v>1348</v>
      </c>
      <c r="G1999" s="98" t="str">
        <f>HYPERLINK("http://mirror.ff7data.com.ar/ff7/data/battle/battle.lgp/duac.png","View Picture")</f>
        <v>View Picture</v>
      </c>
    </row>
    <row r="2000">
      <c r="A2000" s="84"/>
      <c r="B2000" s="119" t="s">
        <v>21652</v>
      </c>
      <c r="C2000" s="120" t="s">
        <v>6018</v>
      </c>
      <c r="D2000" s="33" t="s">
        <v>21640</v>
      </c>
      <c r="E2000" s="51" t="s">
        <v>428</v>
      </c>
      <c r="F2000" s="121" t="s">
        <v>3009</v>
      </c>
      <c r="G2000" s="98" t="str">
        <f>HYPERLINK("http://mirror.ff7data.com.ar/ff7/data/battle/battle.lgp/duam.png","View Picture")</f>
        <v>View Picture</v>
      </c>
    </row>
    <row r="2001">
      <c r="A2001" s="84"/>
      <c r="B2001" s="119" t="s">
        <v>21657</v>
      </c>
      <c r="C2001" s="120" t="s">
        <v>6010</v>
      </c>
      <c r="D2001" s="33" t="s">
        <v>21640</v>
      </c>
      <c r="E2001" s="51" t="s">
        <v>428</v>
      </c>
      <c r="F2001" s="121" t="s">
        <v>3009</v>
      </c>
      <c r="G2001" s="98" t="str">
        <f>HYPERLINK("http://mirror.ff7data.com.ar/ff7/data/battle/battle.lgp/duap.png","View Picture")</f>
        <v>View Picture</v>
      </c>
    </row>
    <row r="2002">
      <c r="A2002" s="84"/>
      <c r="B2002" s="119" t="s">
        <v>21665</v>
      </c>
      <c r="C2002" s="120" t="s">
        <v>3658</v>
      </c>
      <c r="D2002" s="33" t="s">
        <v>21640</v>
      </c>
      <c r="E2002" s="51" t="s">
        <v>428</v>
      </c>
      <c r="F2002" s="121" t="s">
        <v>3025</v>
      </c>
      <c r="H2002" s="46" t="s">
        <v>3002</v>
      </c>
    </row>
    <row r="2003">
      <c r="A2003" s="84"/>
      <c r="B2003" s="119" t="s">
        <v>21668</v>
      </c>
      <c r="C2003" s="120" t="s">
        <v>2989</v>
      </c>
      <c r="D2003" s="33" t="s">
        <v>21670</v>
      </c>
      <c r="E2003" s="51" t="s">
        <v>431</v>
      </c>
      <c r="F2003" s="121" t="s">
        <v>2971</v>
      </c>
      <c r="G2003" s="98" t="str">
        <f>HYPERLINK("http://mirror.ff7data.com.ar/ff7/data/battle/battle.lgp/dvaa.png","View Picture")</f>
        <v>View Picture</v>
      </c>
    </row>
    <row r="2004">
      <c r="A2004" s="84"/>
      <c r="B2004" s="119" t="s">
        <v>21678</v>
      </c>
      <c r="C2004" s="120" t="s">
        <v>4209</v>
      </c>
      <c r="D2004" s="33" t="s">
        <v>21680</v>
      </c>
      <c r="E2004" s="51" t="s">
        <v>431</v>
      </c>
      <c r="F2004" s="121" t="s">
        <v>2993</v>
      </c>
      <c r="H2004" s="46" t="s">
        <v>3002</v>
      </c>
    </row>
    <row r="2005">
      <c r="A2005" s="84"/>
      <c r="B2005" s="119" t="s">
        <v>21682</v>
      </c>
      <c r="C2005" s="120" t="s">
        <v>4732</v>
      </c>
      <c r="D2005" s="33" t="s">
        <v>21680</v>
      </c>
      <c r="E2005" s="51" t="s">
        <v>431</v>
      </c>
      <c r="F2005" s="121" t="s">
        <v>3009</v>
      </c>
      <c r="G2005" s="98" t="str">
        <f>HYPERLINK("http://mirror.ff7data.com.ar/ff7/data/battle/battle.lgp/dvam.png","View Picture")</f>
        <v>View Picture</v>
      </c>
    </row>
    <row r="2006">
      <c r="A2006" s="84"/>
      <c r="B2006" s="119" t="s">
        <v>21692</v>
      </c>
      <c r="C2006" s="120" t="s">
        <v>3355</v>
      </c>
      <c r="D2006" s="33" t="s">
        <v>21680</v>
      </c>
      <c r="E2006" s="51" t="s">
        <v>431</v>
      </c>
      <c r="F2006" s="121" t="s">
        <v>3009</v>
      </c>
      <c r="G2006" s="98" t="str">
        <f>HYPERLINK("http://mirror.ff7data.com.ar/ff7/data/battle/battle.lgp/dvan.png","View Picture")</f>
        <v>View Picture</v>
      </c>
    </row>
    <row r="2007">
      <c r="A2007" s="84"/>
      <c r="B2007" s="119" t="s">
        <v>21705</v>
      </c>
      <c r="C2007" s="120" t="s">
        <v>4288</v>
      </c>
      <c r="D2007" s="33" t="s">
        <v>21680</v>
      </c>
      <c r="E2007" s="51" t="s">
        <v>431</v>
      </c>
      <c r="F2007" s="121" t="s">
        <v>3009</v>
      </c>
      <c r="G2007" s="98" t="str">
        <f>HYPERLINK("http://mirror.ff7data.com.ar/ff7/data/battle/battle.lgp/dvao.png","View Picture")</f>
        <v>View Picture</v>
      </c>
    </row>
    <row r="2008">
      <c r="A2008" s="84"/>
      <c r="B2008" s="119" t="s">
        <v>21713</v>
      </c>
      <c r="C2008" s="120" t="s">
        <v>4288</v>
      </c>
      <c r="D2008" s="33" t="s">
        <v>21680</v>
      </c>
      <c r="E2008" s="51" t="s">
        <v>431</v>
      </c>
      <c r="F2008" s="121" t="s">
        <v>3009</v>
      </c>
      <c r="G2008" s="98" t="str">
        <f>HYPERLINK("http://mirror.ff7data.com.ar/ff7/data/battle/battle.lgp/dvap.png","View Picture")</f>
        <v>View Picture</v>
      </c>
    </row>
    <row r="2009">
      <c r="A2009" s="84"/>
      <c r="B2009" s="119" t="s">
        <v>21724</v>
      </c>
      <c r="C2009" s="120" t="s">
        <v>21725</v>
      </c>
      <c r="D2009" s="33" t="s">
        <v>21680</v>
      </c>
      <c r="E2009" s="51" t="s">
        <v>431</v>
      </c>
      <c r="F2009" s="121" t="s">
        <v>3009</v>
      </c>
      <c r="G2009" s="98" t="str">
        <f>HYPERLINK("http://mirror.ff7data.com.ar/ff7/data/battle/battle.lgp/dvaq.png","View Picture")</f>
        <v>View Picture</v>
      </c>
    </row>
    <row r="2010">
      <c r="A2010" s="84"/>
      <c r="B2010" s="119" t="s">
        <v>21735</v>
      </c>
      <c r="C2010" s="120" t="s">
        <v>4288</v>
      </c>
      <c r="D2010" s="33" t="s">
        <v>21680</v>
      </c>
      <c r="E2010" s="51" t="s">
        <v>431</v>
      </c>
      <c r="F2010" s="121" t="s">
        <v>3009</v>
      </c>
      <c r="G2010" s="98" t="str">
        <f>HYPERLINK("http://mirror.ff7data.com.ar/ff7/data/battle/battle.lgp/dvar.png","View Picture")</f>
        <v>View Picture</v>
      </c>
    </row>
    <row r="2011">
      <c r="A2011" s="84"/>
      <c r="B2011" s="119" t="s">
        <v>21750</v>
      </c>
      <c r="C2011" s="120" t="s">
        <v>4288</v>
      </c>
      <c r="D2011" s="33" t="s">
        <v>21680</v>
      </c>
      <c r="E2011" s="51" t="s">
        <v>431</v>
      </c>
      <c r="F2011" s="121" t="s">
        <v>3009</v>
      </c>
      <c r="G2011" s="98" t="str">
        <f>HYPERLINK("http://mirror.ff7data.com.ar/ff7/data/battle/battle.lgp/dvat.png","View Picture")</f>
        <v>View Picture</v>
      </c>
    </row>
    <row r="2012">
      <c r="A2012" s="84"/>
      <c r="B2012" s="119" t="s">
        <v>21763</v>
      </c>
      <c r="C2012" s="120" t="s">
        <v>4264</v>
      </c>
      <c r="D2012" s="33" t="s">
        <v>21680</v>
      </c>
      <c r="E2012" s="51" t="s">
        <v>431</v>
      </c>
      <c r="F2012" s="121" t="s">
        <v>3009</v>
      </c>
      <c r="G2012" s="98" t="str">
        <f>HYPERLINK("http://mirror.ff7data.com.ar/ff7/data/battle/battle.lgp/dvau.png","View Picture")</f>
        <v>View Picture</v>
      </c>
    </row>
    <row r="2013">
      <c r="A2013" s="84"/>
      <c r="B2013" s="119" t="s">
        <v>21775</v>
      </c>
      <c r="C2013" s="120" t="s">
        <v>4288</v>
      </c>
      <c r="D2013" s="33" t="s">
        <v>21680</v>
      </c>
      <c r="E2013" s="51" t="s">
        <v>431</v>
      </c>
      <c r="F2013" s="121" t="s">
        <v>3009</v>
      </c>
      <c r="G2013" s="98" t="str">
        <f>HYPERLINK("http://mirror.ff7data.com.ar/ff7/data/battle/battle.lgp/dvav.png","View Picture")</f>
        <v>View Picture</v>
      </c>
    </row>
    <row r="2014">
      <c r="A2014" s="84"/>
      <c r="B2014" s="119" t="s">
        <v>21786</v>
      </c>
      <c r="C2014" s="120" t="s">
        <v>20274</v>
      </c>
      <c r="D2014" s="33" t="s">
        <v>21680</v>
      </c>
      <c r="E2014" s="51" t="s">
        <v>431</v>
      </c>
      <c r="F2014" s="121" t="s">
        <v>3009</v>
      </c>
      <c r="G2014" s="98" t="str">
        <f>HYPERLINK("http://mirror.ff7data.com.ar/ff7/data/battle/battle.lgp/dvaw.png","View Picture")</f>
        <v>View Picture</v>
      </c>
    </row>
    <row r="2015">
      <c r="A2015" s="84"/>
      <c r="B2015" s="119" t="s">
        <v>21798</v>
      </c>
      <c r="C2015" s="120" t="s">
        <v>21725</v>
      </c>
      <c r="D2015" s="33" t="s">
        <v>21680</v>
      </c>
      <c r="E2015" s="51" t="s">
        <v>431</v>
      </c>
      <c r="F2015" s="121" t="s">
        <v>3009</v>
      </c>
      <c r="G2015" s="98" t="str">
        <f>HYPERLINK("http://mirror.ff7data.com.ar/ff7/data/battle/battle.lgp/dvay.png","View Picture")</f>
        <v>View Picture</v>
      </c>
    </row>
    <row r="2016">
      <c r="A2016" s="84"/>
      <c r="B2016" s="119" t="s">
        <v>21808</v>
      </c>
      <c r="C2016" s="120" t="s">
        <v>4288</v>
      </c>
      <c r="D2016" s="33" t="s">
        <v>21680</v>
      </c>
      <c r="E2016" s="51" t="s">
        <v>431</v>
      </c>
      <c r="F2016" s="121" t="s">
        <v>3009</v>
      </c>
      <c r="G2016" s="98" t="str">
        <f>HYPERLINK("http://mirror.ff7data.com.ar/ff7/data/battle/battle.lgp/dvaz.png","View Picture")</f>
        <v>View Picture</v>
      </c>
    </row>
    <row r="2017">
      <c r="A2017" s="84"/>
      <c r="B2017" s="119" t="s">
        <v>21816</v>
      </c>
      <c r="C2017" s="120" t="s">
        <v>4288</v>
      </c>
      <c r="D2017" s="33" t="s">
        <v>21680</v>
      </c>
      <c r="E2017" s="51" t="s">
        <v>431</v>
      </c>
      <c r="F2017" s="121" t="s">
        <v>3009</v>
      </c>
      <c r="G2017" s="98" t="str">
        <f>HYPERLINK("http://mirror.ff7data.com.ar/ff7/data/battle/battle.lgp/dvba.png","View Picture")</f>
        <v>View Picture</v>
      </c>
    </row>
    <row r="2018">
      <c r="A2018" s="84"/>
      <c r="B2018" s="119" t="s">
        <v>21823</v>
      </c>
      <c r="C2018" s="120" t="s">
        <v>21725</v>
      </c>
      <c r="D2018" s="33" t="s">
        <v>21680</v>
      </c>
      <c r="E2018" s="51" t="s">
        <v>431</v>
      </c>
      <c r="F2018" s="121" t="s">
        <v>3009</v>
      </c>
      <c r="G2018" s="98" t="str">
        <f>HYPERLINK("http://mirror.ff7data.com.ar/ff7/data/battle/battle.lgp/dvbb.png","View Picture")</f>
        <v>View Picture</v>
      </c>
    </row>
    <row r="2019">
      <c r="A2019" s="84"/>
      <c r="B2019" s="119" t="s">
        <v>21834</v>
      </c>
      <c r="C2019" s="120" t="s">
        <v>7501</v>
      </c>
      <c r="D2019" s="33" t="s">
        <v>21680</v>
      </c>
      <c r="E2019" s="51" t="s">
        <v>431</v>
      </c>
      <c r="F2019" s="121" t="s">
        <v>3009</v>
      </c>
      <c r="G2019" s="98" t="str">
        <f>HYPERLINK("http://mirror.ff7data.com.ar/ff7/data/battle/battle.lgp/dvbc.png","View Picture")</f>
        <v>View Picture</v>
      </c>
    </row>
    <row r="2020">
      <c r="A2020" s="84"/>
      <c r="B2020" s="119" t="s">
        <v>21843</v>
      </c>
      <c r="C2020" s="120" t="s">
        <v>7270</v>
      </c>
      <c r="D2020" s="33" t="s">
        <v>21680</v>
      </c>
      <c r="E2020" s="51" t="s">
        <v>431</v>
      </c>
      <c r="F2020" s="121" t="s">
        <v>3009</v>
      </c>
      <c r="G2020" s="98" t="str">
        <f>HYPERLINK("http://mirror.ff7data.com.ar/ff7/data/battle/battle.lgp/dvbd.png","View Picture")</f>
        <v>View Picture</v>
      </c>
    </row>
    <row r="2021">
      <c r="A2021" s="84"/>
      <c r="B2021" s="119" t="s">
        <v>21852</v>
      </c>
      <c r="C2021" s="120" t="s">
        <v>4240</v>
      </c>
      <c r="D2021" s="33" t="s">
        <v>21680</v>
      </c>
      <c r="E2021" s="51" t="s">
        <v>431</v>
      </c>
      <c r="F2021" s="121" t="s">
        <v>3009</v>
      </c>
      <c r="G2021" s="98" t="str">
        <f>HYPERLINK("http://mirror.ff7data.com.ar/ff7/data/battle/battle.lgp/dvbe.png","View Picture")</f>
        <v>View Picture</v>
      </c>
    </row>
    <row r="2022">
      <c r="A2022" s="84"/>
      <c r="B2022" s="119" t="s">
        <v>21860</v>
      </c>
      <c r="C2022" s="120" t="s">
        <v>19043</v>
      </c>
      <c r="D2022" s="33" t="s">
        <v>21680</v>
      </c>
      <c r="E2022" s="51" t="s">
        <v>431</v>
      </c>
      <c r="F2022" s="121" t="s">
        <v>3009</v>
      </c>
      <c r="G2022" s="98" t="str">
        <f>HYPERLINK("http://mirror.ff7data.com.ar/ff7/data/battle/battle.lgp/dvbf.png","View Picture")</f>
        <v>View Picture</v>
      </c>
    </row>
    <row r="2023">
      <c r="A2023" s="84"/>
      <c r="B2023" s="119" t="s">
        <v>21868</v>
      </c>
      <c r="C2023" s="120" t="s">
        <v>3007</v>
      </c>
      <c r="D2023" s="33" t="s">
        <v>21680</v>
      </c>
      <c r="E2023" s="51" t="s">
        <v>431</v>
      </c>
      <c r="F2023" s="121" t="s">
        <v>3009</v>
      </c>
      <c r="G2023" s="98" t="str">
        <f>HYPERLINK("http://mirror.ff7data.com.ar/ff7/data/battle/battle.lgp/dvbh.png","View Picture")</f>
        <v>View Picture</v>
      </c>
    </row>
    <row r="2024">
      <c r="A2024" s="84"/>
      <c r="B2024" s="119" t="s">
        <v>21875</v>
      </c>
      <c r="C2024" s="120" t="s">
        <v>3007</v>
      </c>
      <c r="D2024" s="33" t="s">
        <v>21680</v>
      </c>
      <c r="E2024" s="51" t="s">
        <v>431</v>
      </c>
      <c r="F2024" s="121" t="s">
        <v>3009</v>
      </c>
      <c r="G2024" s="98" t="str">
        <f>HYPERLINK("http://mirror.ff7data.com.ar/ff7/data/battle/battle.lgp/dvbj.png","View Picture")</f>
        <v>View Picture</v>
      </c>
    </row>
    <row r="2025">
      <c r="A2025" s="84"/>
      <c r="B2025" s="119" t="s">
        <v>21882</v>
      </c>
      <c r="C2025" s="120" t="s">
        <v>3007</v>
      </c>
      <c r="D2025" s="33" t="s">
        <v>21680</v>
      </c>
      <c r="E2025" s="51" t="s">
        <v>431</v>
      </c>
      <c r="F2025" s="121" t="s">
        <v>3009</v>
      </c>
      <c r="G2025" s="98" t="str">
        <f>HYPERLINK("http://mirror.ff7data.com.ar/ff7/data/battle/battle.lgp/dvbl.png","View Picture")</f>
        <v>View Picture</v>
      </c>
    </row>
    <row r="2026">
      <c r="A2026" s="84"/>
      <c r="B2026" s="119" t="s">
        <v>21889</v>
      </c>
      <c r="C2026" s="120" t="s">
        <v>3991</v>
      </c>
      <c r="D2026" s="33" t="s">
        <v>21680</v>
      </c>
      <c r="E2026" s="51" t="s">
        <v>431</v>
      </c>
      <c r="F2026" s="121" t="s">
        <v>3009</v>
      </c>
      <c r="G2026" s="98" t="str">
        <f>HYPERLINK("http://mirror.ff7data.com.ar/ff7/data/battle/battle.lgp/dvbn.png","View Picture")</f>
        <v>View Picture</v>
      </c>
    </row>
    <row r="2027">
      <c r="A2027" s="84"/>
      <c r="B2027" s="119" t="s">
        <v>21893</v>
      </c>
      <c r="C2027" s="120" t="s">
        <v>3991</v>
      </c>
      <c r="D2027" s="33" t="s">
        <v>21680</v>
      </c>
      <c r="E2027" s="51" t="s">
        <v>431</v>
      </c>
      <c r="F2027" s="121" t="s">
        <v>3009</v>
      </c>
      <c r="G2027" s="98" t="str">
        <f>HYPERLINK("http://mirror.ff7data.com.ar/ff7/data/battle/battle.lgp/dvbp.png","View Picture")</f>
        <v>View Picture</v>
      </c>
    </row>
    <row r="2028">
      <c r="A2028" s="84"/>
      <c r="B2028" s="119" t="s">
        <v>21899</v>
      </c>
      <c r="C2028" s="120" t="s">
        <v>3465</v>
      </c>
      <c r="D2028" s="33" t="s">
        <v>21680</v>
      </c>
      <c r="E2028" s="51" t="s">
        <v>431</v>
      </c>
      <c r="F2028" s="121" t="s">
        <v>3025</v>
      </c>
      <c r="H2028" s="46" t="s">
        <v>3002</v>
      </c>
    </row>
    <row r="2029">
      <c r="A2029" s="84"/>
      <c r="B2029" s="119" t="s">
        <v>21902</v>
      </c>
      <c r="C2029" s="120" t="s">
        <v>10179</v>
      </c>
      <c r="D2029" s="33" t="s">
        <v>21903</v>
      </c>
      <c r="E2029" s="51" t="s">
        <v>437</v>
      </c>
      <c r="F2029" s="121" t="s">
        <v>2971</v>
      </c>
      <c r="G2029" s="98" t="str">
        <f>HYPERLINK("http://mirror.ff7data.com.ar/ff7/data/battle/battle.lgp/dwaa.png","View Picture")</f>
        <v>View Picture</v>
      </c>
    </row>
    <row r="2030">
      <c r="A2030" s="84"/>
      <c r="B2030" s="119" t="s">
        <v>21909</v>
      </c>
      <c r="C2030" s="120" t="s">
        <v>3906</v>
      </c>
      <c r="D2030" s="33" t="s">
        <v>21911</v>
      </c>
      <c r="E2030" s="51" t="s">
        <v>437</v>
      </c>
      <c r="F2030" s="121" t="s">
        <v>2993</v>
      </c>
      <c r="H2030" s="46" t="s">
        <v>3002</v>
      </c>
    </row>
    <row r="2031">
      <c r="A2031" s="84"/>
      <c r="B2031" s="119" t="s">
        <v>21913</v>
      </c>
      <c r="C2031" s="120" t="s">
        <v>5904</v>
      </c>
      <c r="D2031" s="33" t="s">
        <v>21911</v>
      </c>
      <c r="E2031" s="51" t="s">
        <v>437</v>
      </c>
      <c r="F2031" s="121" t="s">
        <v>3009</v>
      </c>
      <c r="G2031" s="98" t="str">
        <f>HYPERLINK("http://mirror.ff7data.com.ar/ff7/data/battle/battle.lgp/dwam.png","View Picture")</f>
        <v>View Picture</v>
      </c>
    </row>
    <row r="2032">
      <c r="A2032" s="84"/>
      <c r="B2032" s="119" t="s">
        <v>21920</v>
      </c>
      <c r="C2032" s="120" t="s">
        <v>9571</v>
      </c>
      <c r="D2032" s="33" t="s">
        <v>21911</v>
      </c>
      <c r="E2032" s="51" t="s">
        <v>437</v>
      </c>
      <c r="F2032" s="121" t="s">
        <v>3009</v>
      </c>
      <c r="G2032" s="98" t="str">
        <f>HYPERLINK("http://mirror.ff7data.com.ar/ff7/data/battle/battle.lgp/dwan.png","View Picture")</f>
        <v>View Picture</v>
      </c>
    </row>
    <row r="2033">
      <c r="A2033" s="84"/>
      <c r="B2033" s="119" t="s">
        <v>21929</v>
      </c>
      <c r="C2033" s="120" t="s">
        <v>4030</v>
      </c>
      <c r="D2033" s="33" t="s">
        <v>21911</v>
      </c>
      <c r="E2033" s="51" t="s">
        <v>437</v>
      </c>
      <c r="F2033" s="121" t="s">
        <v>3009</v>
      </c>
      <c r="G2033" s="98" t="str">
        <f>HYPERLINK("http://mirror.ff7data.com.ar/ff7/data/battle/battle.lgp/dwao.png","View Picture")</f>
        <v>View Picture</v>
      </c>
    </row>
    <row r="2034">
      <c r="A2034" s="84"/>
      <c r="B2034" s="119" t="s">
        <v>21939</v>
      </c>
      <c r="C2034" s="120" t="s">
        <v>18406</v>
      </c>
      <c r="D2034" s="33" t="s">
        <v>21911</v>
      </c>
      <c r="E2034" s="51" t="s">
        <v>437</v>
      </c>
      <c r="F2034" s="121" t="s">
        <v>3009</v>
      </c>
      <c r="G2034" s="98" t="str">
        <f>HYPERLINK("http://mirror.ff7data.com.ar/ff7/data/battle/battle.lgp/dwap.png","View Picture")</f>
        <v>View Picture</v>
      </c>
    </row>
    <row r="2035">
      <c r="A2035" s="84"/>
      <c r="B2035" s="119" t="s">
        <v>21951</v>
      </c>
      <c r="C2035" s="120" t="s">
        <v>5859</v>
      </c>
      <c r="D2035" s="33" t="s">
        <v>21911</v>
      </c>
      <c r="E2035" s="51" t="s">
        <v>437</v>
      </c>
      <c r="F2035" s="121" t="s">
        <v>3009</v>
      </c>
      <c r="G2035" s="98" t="str">
        <f>HYPERLINK("http://mirror.ff7data.com.ar/ff7/data/battle/battle.lgp/dwaq.png","View Picture")</f>
        <v>View Picture</v>
      </c>
    </row>
    <row r="2036">
      <c r="A2036" s="84"/>
      <c r="B2036" s="119" t="s">
        <v>21969</v>
      </c>
      <c r="C2036" s="120" t="s">
        <v>4264</v>
      </c>
      <c r="D2036" s="33" t="s">
        <v>21911</v>
      </c>
      <c r="E2036" s="51" t="s">
        <v>437</v>
      </c>
      <c r="F2036" s="121" t="s">
        <v>3025</v>
      </c>
      <c r="H2036" s="46" t="s">
        <v>3002</v>
      </c>
    </row>
    <row r="2037">
      <c r="A2037" s="55"/>
      <c r="B2037" s="119" t="s">
        <v>21974</v>
      </c>
      <c r="C2037" s="120" t="s">
        <v>4109</v>
      </c>
      <c r="D2037" s="33" t="s">
        <v>21976</v>
      </c>
      <c r="E2037" s="51" t="s">
        <v>437</v>
      </c>
      <c r="F2037" s="121" t="s">
        <v>2971</v>
      </c>
      <c r="G2037" s="98" t="str">
        <f>HYPERLINK("http://mirror.ff7data.com.ar/ff7/data/battle/battle.lgp/dxaa.png","View Picture")</f>
        <v>View Picture</v>
      </c>
    </row>
    <row r="2038">
      <c r="A2038" s="55"/>
      <c r="B2038" s="119" t="s">
        <v>21982</v>
      </c>
      <c r="C2038" s="120" t="s">
        <v>3906</v>
      </c>
      <c r="D2038" s="33" t="s">
        <v>21983</v>
      </c>
      <c r="E2038" s="51" t="s">
        <v>437</v>
      </c>
      <c r="F2038" s="121" t="s">
        <v>2993</v>
      </c>
      <c r="H2038" s="46" t="s">
        <v>3002</v>
      </c>
    </row>
    <row r="2039">
      <c r="A2039" s="55"/>
      <c r="B2039" s="119" t="s">
        <v>21985</v>
      </c>
      <c r="C2039" s="120" t="s">
        <v>4732</v>
      </c>
      <c r="D2039" s="33" t="s">
        <v>21983</v>
      </c>
      <c r="E2039" s="51" t="s">
        <v>437</v>
      </c>
      <c r="F2039" s="121" t="s">
        <v>3009</v>
      </c>
      <c r="G2039" s="98" t="str">
        <f>HYPERLINK("http://mirror.ff7data.com.ar/ff7/data/battle/battle.lgp/dxam.png","View Picture")</f>
        <v>View Picture</v>
      </c>
    </row>
    <row r="2040">
      <c r="A2040" s="55"/>
      <c r="B2040" s="119" t="s">
        <v>21995</v>
      </c>
      <c r="C2040" s="120" t="s">
        <v>3749</v>
      </c>
      <c r="D2040" s="33" t="s">
        <v>21983</v>
      </c>
      <c r="E2040" s="51" t="s">
        <v>437</v>
      </c>
      <c r="F2040" s="121" t="s">
        <v>3009</v>
      </c>
      <c r="G2040" s="98" t="str">
        <f>HYPERLINK("http://mirror.ff7data.com.ar/ff7/data/battle/battle.lgp/dxan.png","View Picture")</f>
        <v>View Picture</v>
      </c>
    </row>
    <row r="2041">
      <c r="A2041" s="55"/>
      <c r="B2041" s="119" t="s">
        <v>22004</v>
      </c>
      <c r="C2041" s="120" t="s">
        <v>7165</v>
      </c>
      <c r="D2041" s="33" t="s">
        <v>21983</v>
      </c>
      <c r="E2041" s="51" t="s">
        <v>437</v>
      </c>
      <c r="F2041" s="121" t="s">
        <v>3009</v>
      </c>
      <c r="G2041" s="98" t="str">
        <f>HYPERLINK("http://mirror.ff7data.com.ar/ff7/data/battle/battle.lgp/dxao.png","View Picture")</f>
        <v>View Picture</v>
      </c>
    </row>
    <row r="2042">
      <c r="A2042" s="55"/>
      <c r="B2042" s="119" t="s">
        <v>22014</v>
      </c>
      <c r="C2042" s="120" t="s">
        <v>3768</v>
      </c>
      <c r="D2042" s="33" t="s">
        <v>21983</v>
      </c>
      <c r="E2042" s="51" t="s">
        <v>437</v>
      </c>
      <c r="F2042" s="121" t="s">
        <v>3009</v>
      </c>
      <c r="G2042" s="98" t="str">
        <f>HYPERLINK("http://mirror.ff7data.com.ar/ff7/data/battle/battle.lgp/dxap.png","View Picture")</f>
        <v>View Picture</v>
      </c>
    </row>
    <row r="2043">
      <c r="A2043" s="55"/>
      <c r="B2043" s="119" t="s">
        <v>22022</v>
      </c>
      <c r="C2043" s="120" t="s">
        <v>4372</v>
      </c>
      <c r="D2043" s="33" t="s">
        <v>21983</v>
      </c>
      <c r="E2043" s="51" t="s">
        <v>437</v>
      </c>
      <c r="F2043" s="121" t="s">
        <v>3009</v>
      </c>
      <c r="G2043" s="98" t="str">
        <f>HYPERLINK("http://mirror.ff7data.com.ar/ff7/data/battle/battle.lgp/dxaq.png","View Picture")</f>
        <v>View Picture</v>
      </c>
    </row>
    <row r="2044">
      <c r="A2044" s="55"/>
      <c r="B2044" s="119" t="s">
        <v>22031</v>
      </c>
      <c r="C2044" s="120" t="s">
        <v>5419</v>
      </c>
      <c r="D2044" s="33" t="s">
        <v>21983</v>
      </c>
      <c r="E2044" s="51" t="s">
        <v>437</v>
      </c>
      <c r="F2044" s="121" t="s">
        <v>3009</v>
      </c>
      <c r="G2044" s="98" t="str">
        <f>HYPERLINK("http://mirror.ff7data.com.ar/ff7/data/battle/battle.lgp/dxas.png","View Picture")</f>
        <v>View Picture</v>
      </c>
    </row>
    <row r="2045">
      <c r="A2045" s="55"/>
      <c r="B2045" s="119" t="s">
        <v>22041</v>
      </c>
      <c r="C2045" s="120" t="s">
        <v>3648</v>
      </c>
      <c r="D2045" s="33" t="s">
        <v>21983</v>
      </c>
      <c r="E2045" s="51" t="s">
        <v>437</v>
      </c>
      <c r="F2045" s="121" t="s">
        <v>3009</v>
      </c>
      <c r="G2045" s="98" t="str">
        <f>HYPERLINK("http://mirror.ff7data.com.ar/ff7/data/battle/battle.lgp/dxat.png","View Picture")</f>
        <v>View Picture</v>
      </c>
    </row>
    <row r="2046">
      <c r="A2046" s="55"/>
      <c r="B2046" s="119" t="s">
        <v>22054</v>
      </c>
      <c r="C2046" s="120" t="s">
        <v>5419</v>
      </c>
      <c r="D2046" s="33" t="s">
        <v>21983</v>
      </c>
      <c r="E2046" s="51" t="s">
        <v>437</v>
      </c>
      <c r="F2046" s="121" t="s">
        <v>3009</v>
      </c>
      <c r="G2046" s="98" t="str">
        <f>HYPERLINK("http://mirror.ff7data.com.ar/ff7/data/battle/battle.lgp/dxav.png","View Picture")</f>
        <v>View Picture</v>
      </c>
    </row>
    <row r="2047">
      <c r="A2047" s="55"/>
      <c r="B2047" s="119" t="s">
        <v>22066</v>
      </c>
      <c r="C2047" s="120" t="s">
        <v>3648</v>
      </c>
      <c r="D2047" s="33" t="s">
        <v>21983</v>
      </c>
      <c r="E2047" s="51" t="s">
        <v>437</v>
      </c>
      <c r="F2047" s="121" t="s">
        <v>3009</v>
      </c>
      <c r="G2047" s="98" t="str">
        <f>HYPERLINK("http://mirror.ff7data.com.ar/ff7/data/battle/battle.lgp/dxaw.png","View Picture")</f>
        <v>View Picture</v>
      </c>
    </row>
    <row r="2048">
      <c r="A2048" s="55"/>
      <c r="B2048" s="119" t="s">
        <v>22075</v>
      </c>
      <c r="C2048" s="120" t="s">
        <v>4264</v>
      </c>
      <c r="D2048" s="33" t="s">
        <v>21983</v>
      </c>
      <c r="E2048" s="51" t="s">
        <v>437</v>
      </c>
      <c r="F2048" s="121" t="s">
        <v>3009</v>
      </c>
      <c r="G2048" s="98" t="str">
        <f>HYPERLINK("http://mirror.ff7data.com.ar/ff7/data/battle/battle.lgp/dxay.png","View Picture")</f>
        <v>View Picture</v>
      </c>
    </row>
    <row r="2049">
      <c r="A2049" s="55"/>
      <c r="B2049" s="119" t="s">
        <v>22087</v>
      </c>
      <c r="C2049" s="120" t="s">
        <v>4707</v>
      </c>
      <c r="D2049" s="33" t="s">
        <v>21983</v>
      </c>
      <c r="E2049" s="51" t="s">
        <v>437</v>
      </c>
      <c r="F2049" s="121" t="s">
        <v>3009</v>
      </c>
      <c r="G2049" s="98" t="str">
        <f>HYPERLINK("http://mirror.ff7data.com.ar/ff7/data/battle/battle.lgp/dxaz.png","View Picture")</f>
        <v>View Picture</v>
      </c>
    </row>
    <row r="2050">
      <c r="A2050" s="55"/>
      <c r="B2050" s="119" t="s">
        <v>22097</v>
      </c>
      <c r="C2050" s="120" t="s">
        <v>6769</v>
      </c>
      <c r="D2050" s="33" t="s">
        <v>21983</v>
      </c>
      <c r="E2050" s="51" t="s">
        <v>437</v>
      </c>
      <c r="F2050" s="121" t="s">
        <v>3009</v>
      </c>
      <c r="G2050" s="98" t="str">
        <f>HYPERLINK("http://mirror.ff7data.com.ar/ff7/data/battle/battle.lgp/dxba.png","View Picture")</f>
        <v>View Picture</v>
      </c>
    </row>
    <row r="2051">
      <c r="A2051" s="55"/>
      <c r="B2051" s="119" t="s">
        <v>22113</v>
      </c>
      <c r="C2051" s="120" t="s">
        <v>21725</v>
      </c>
      <c r="D2051" s="33" t="s">
        <v>21983</v>
      </c>
      <c r="E2051" s="51" t="s">
        <v>437</v>
      </c>
      <c r="F2051" s="121" t="s">
        <v>3009</v>
      </c>
      <c r="G2051" s="98" t="str">
        <f>HYPERLINK("http://mirror.ff7data.com.ar/ff7/data/battle/battle.lgp/dxbc.png","View Picture")</f>
        <v>View Picture</v>
      </c>
    </row>
    <row r="2052">
      <c r="A2052" s="55"/>
      <c r="B2052" s="119" t="s">
        <v>22125</v>
      </c>
      <c r="C2052" s="120" t="s">
        <v>21725</v>
      </c>
      <c r="D2052" s="33" t="s">
        <v>21983</v>
      </c>
      <c r="E2052" s="51" t="s">
        <v>437</v>
      </c>
      <c r="F2052" s="121" t="s">
        <v>3009</v>
      </c>
      <c r="G2052" s="98" t="str">
        <f>HYPERLINK("http://mirror.ff7data.com.ar/ff7/data/battle/battle.lgp/dxbe.png","View Picture")</f>
        <v>View Picture</v>
      </c>
    </row>
    <row r="2053">
      <c r="A2053" s="55"/>
      <c r="B2053" s="119" t="s">
        <v>22135</v>
      </c>
      <c r="C2053" s="120" t="s">
        <v>4288</v>
      </c>
      <c r="D2053" s="33" t="s">
        <v>21983</v>
      </c>
      <c r="E2053" s="51" t="s">
        <v>437</v>
      </c>
      <c r="F2053" s="121" t="s">
        <v>3009</v>
      </c>
      <c r="G2053" s="98" t="str">
        <f>HYPERLINK("http://mirror.ff7data.com.ar/ff7/data/battle/battle.lgp/dxbg.png","View Picture")</f>
        <v>View Picture</v>
      </c>
    </row>
    <row r="2054">
      <c r="A2054" s="55"/>
      <c r="B2054" s="119" t="s">
        <v>22144</v>
      </c>
      <c r="C2054" s="120" t="s">
        <v>3648</v>
      </c>
      <c r="D2054" s="33" t="s">
        <v>21983</v>
      </c>
      <c r="E2054" s="51" t="s">
        <v>437</v>
      </c>
      <c r="F2054" s="121" t="s">
        <v>3009</v>
      </c>
      <c r="G2054" s="98" t="str">
        <f>HYPERLINK("http://mirror.ff7data.com.ar/ff7/data/battle/battle.lgp/dxbi.png","View Picture")</f>
        <v>View Picture</v>
      </c>
    </row>
    <row r="2055">
      <c r="A2055" s="55"/>
      <c r="B2055" s="119" t="s">
        <v>22155</v>
      </c>
      <c r="C2055" s="120" t="s">
        <v>4288</v>
      </c>
      <c r="D2055" s="33" t="s">
        <v>21983</v>
      </c>
      <c r="E2055" s="51" t="s">
        <v>437</v>
      </c>
      <c r="F2055" s="121" t="s">
        <v>3009</v>
      </c>
      <c r="G2055" s="98" t="str">
        <f>HYPERLINK("http://mirror.ff7data.com.ar/ff7/data/battle/battle.lgp/dxbk.png","View Picture")</f>
        <v>View Picture</v>
      </c>
    </row>
    <row r="2056">
      <c r="A2056" s="55"/>
      <c r="B2056" s="119" t="s">
        <v>22163</v>
      </c>
      <c r="C2056" s="120" t="s">
        <v>4707</v>
      </c>
      <c r="D2056" s="33" t="s">
        <v>21983</v>
      </c>
      <c r="E2056" s="51" t="s">
        <v>437</v>
      </c>
      <c r="F2056" s="121" t="s">
        <v>3009</v>
      </c>
      <c r="G2056" s="98" t="str">
        <f>HYPERLINK("http://mirror.ff7data.com.ar/ff7/data/battle/battle.lgp/dxbl.png","View Picture")</f>
        <v>View Picture</v>
      </c>
    </row>
    <row r="2057">
      <c r="A2057" s="55"/>
      <c r="B2057" s="119" t="s">
        <v>22172</v>
      </c>
      <c r="C2057" s="120" t="s">
        <v>4565</v>
      </c>
      <c r="D2057" s="33" t="s">
        <v>21983</v>
      </c>
      <c r="E2057" s="51" t="s">
        <v>437</v>
      </c>
      <c r="F2057" s="121" t="s">
        <v>3009</v>
      </c>
      <c r="G2057" s="98" t="str">
        <f>HYPERLINK("http://mirror.ff7data.com.ar/ff7/data/battle/battle.lgp/dxbm.png","View Picture")</f>
        <v>View Picture</v>
      </c>
    </row>
    <row r="2058">
      <c r="A2058" s="55"/>
      <c r="B2058" s="119" t="s">
        <v>22181</v>
      </c>
      <c r="C2058" s="120" t="s">
        <v>4288</v>
      </c>
      <c r="D2058" s="33" t="s">
        <v>21983</v>
      </c>
      <c r="E2058" s="51" t="s">
        <v>437</v>
      </c>
      <c r="F2058" s="121" t="s">
        <v>3009</v>
      </c>
      <c r="G2058" s="98" t="str">
        <f>HYPERLINK("http://mirror.ff7data.com.ar/ff7/data/battle/battle.lgp/dxbo.png","View Picture")</f>
        <v>View Picture</v>
      </c>
    </row>
    <row r="2059">
      <c r="A2059" s="55"/>
      <c r="B2059" s="119" t="s">
        <v>22192</v>
      </c>
      <c r="C2059" s="120" t="s">
        <v>21725</v>
      </c>
      <c r="D2059" s="33" t="s">
        <v>21983</v>
      </c>
      <c r="E2059" s="51" t="s">
        <v>437</v>
      </c>
      <c r="F2059" s="121" t="s">
        <v>3009</v>
      </c>
      <c r="G2059" s="98" t="str">
        <f>HYPERLINK("http://mirror.ff7data.com.ar/ff7/data/battle/battle.lgp/dxbq.png","View Picture")</f>
        <v>View Picture</v>
      </c>
    </row>
    <row r="2060">
      <c r="A2060" s="55"/>
      <c r="B2060" s="119" t="s">
        <v>22205</v>
      </c>
      <c r="C2060" s="120" t="s">
        <v>6515</v>
      </c>
      <c r="D2060" s="33" t="s">
        <v>21983</v>
      </c>
      <c r="E2060" s="51" t="s">
        <v>437</v>
      </c>
      <c r="F2060" s="121" t="s">
        <v>3009</v>
      </c>
      <c r="G2060" s="98" t="str">
        <f>HYPERLINK("http://mirror.ff7data.com.ar/ff7/data/battle/battle.lgp/dxbs.png","View Picture")</f>
        <v>View Picture</v>
      </c>
    </row>
    <row r="2061">
      <c r="A2061" s="55"/>
      <c r="B2061" s="119" t="s">
        <v>22214</v>
      </c>
      <c r="C2061" s="120" t="s">
        <v>14980</v>
      </c>
      <c r="D2061" s="33" t="s">
        <v>21983</v>
      </c>
      <c r="E2061" s="51" t="s">
        <v>437</v>
      </c>
      <c r="F2061" s="121" t="s">
        <v>3025</v>
      </c>
      <c r="H2061" s="46" t="s">
        <v>3002</v>
      </c>
    </row>
    <row r="2062">
      <c r="A2062" s="55"/>
      <c r="B2062" s="119" t="s">
        <v>22218</v>
      </c>
      <c r="C2062" s="120" t="s">
        <v>4096</v>
      </c>
      <c r="D2062" s="33" t="s">
        <v>22221</v>
      </c>
      <c r="E2062" s="51" t="s">
        <v>440</v>
      </c>
      <c r="F2062" s="121" t="s">
        <v>2971</v>
      </c>
      <c r="G2062" s="98" t="str">
        <f>HYPERLINK("http://mirror.ff7data.com.ar/ff7/data/battle/battle.lgp/dyaa.png","View Picture")</f>
        <v>View Picture</v>
      </c>
      <c r="H2062" s="46" t="s">
        <v>22229</v>
      </c>
    </row>
    <row r="2063">
      <c r="A2063" s="55"/>
      <c r="B2063" s="119" t="s">
        <v>22231</v>
      </c>
      <c r="C2063" s="120" t="s">
        <v>7375</v>
      </c>
      <c r="D2063" s="33" t="s">
        <v>22234</v>
      </c>
      <c r="E2063" s="51" t="s">
        <v>440</v>
      </c>
      <c r="F2063" s="121" t="s">
        <v>2993</v>
      </c>
      <c r="H2063" s="46" t="s">
        <v>3002</v>
      </c>
    </row>
    <row r="2064">
      <c r="A2064" s="55"/>
      <c r="B2064" s="119" t="s">
        <v>22236</v>
      </c>
      <c r="C2064" s="120" t="s">
        <v>3723</v>
      </c>
      <c r="D2064" s="33" t="s">
        <v>22234</v>
      </c>
      <c r="E2064" s="51" t="s">
        <v>440</v>
      </c>
      <c r="F2064" s="121" t="s">
        <v>3009</v>
      </c>
      <c r="G2064" s="98" t="str">
        <f>HYPERLINK("http://mirror.ff7data.com.ar/ff7/data/battle/battle.lgp/dyam.png","View Picture")</f>
        <v>View Picture</v>
      </c>
    </row>
    <row r="2065">
      <c r="A2065" s="55"/>
      <c r="B2065" s="119" t="s">
        <v>22248</v>
      </c>
      <c r="C2065" s="120" t="s">
        <v>8649</v>
      </c>
      <c r="D2065" s="33" t="s">
        <v>22234</v>
      </c>
      <c r="E2065" s="51" t="s">
        <v>440</v>
      </c>
      <c r="F2065" s="121" t="s">
        <v>3009</v>
      </c>
      <c r="G2065" s="98" t="str">
        <f>HYPERLINK("http://mirror.ff7data.com.ar/ff7/data/battle/battle.lgp/dyan.png","View Picture")</f>
        <v>View Picture</v>
      </c>
    </row>
    <row r="2066">
      <c r="A2066" s="55"/>
      <c r="B2066" s="119" t="s">
        <v>22258</v>
      </c>
      <c r="C2066" s="120" t="s">
        <v>3842</v>
      </c>
      <c r="D2066" s="33" t="s">
        <v>22234</v>
      </c>
      <c r="E2066" s="51" t="s">
        <v>440</v>
      </c>
      <c r="F2066" s="121" t="s">
        <v>3009</v>
      </c>
      <c r="G2066" s="98" t="str">
        <f>HYPERLINK("http://mirror.ff7data.com.ar/ff7/data/battle/battle.lgp/dyaq.png","View Picture")</f>
        <v>View Picture</v>
      </c>
    </row>
    <row r="2067">
      <c r="A2067" s="55"/>
      <c r="B2067" s="119" t="s">
        <v>22266</v>
      </c>
      <c r="C2067" s="120" t="s">
        <v>6010</v>
      </c>
      <c r="D2067" s="33" t="s">
        <v>22234</v>
      </c>
      <c r="E2067" s="51" t="s">
        <v>440</v>
      </c>
      <c r="F2067" s="121" t="s">
        <v>3009</v>
      </c>
      <c r="G2067" s="98" t="str">
        <f>HYPERLINK("http://mirror.ff7data.com.ar/ff7/data/battle/battle.lgp/dyar.png","View Picture")</f>
        <v>View Picture</v>
      </c>
    </row>
    <row r="2068">
      <c r="A2068" s="55"/>
      <c r="B2068" s="119" t="s">
        <v>22274</v>
      </c>
      <c r="C2068" s="120" t="s">
        <v>3842</v>
      </c>
      <c r="D2068" s="33" t="s">
        <v>22234</v>
      </c>
      <c r="E2068" s="51" t="s">
        <v>440</v>
      </c>
      <c r="F2068" s="121" t="s">
        <v>3009</v>
      </c>
      <c r="G2068" s="98" t="str">
        <f>HYPERLINK("http://mirror.ff7data.com.ar/ff7/data/battle/battle.lgp/dyat.png","View Picture")</f>
        <v>View Picture</v>
      </c>
    </row>
    <row r="2069">
      <c r="A2069" s="55"/>
      <c r="B2069" s="119" t="s">
        <v>22281</v>
      </c>
      <c r="C2069" s="120" t="s">
        <v>3749</v>
      </c>
      <c r="D2069" s="33" t="s">
        <v>22234</v>
      </c>
      <c r="E2069" s="51" t="s">
        <v>440</v>
      </c>
      <c r="F2069" s="121" t="s">
        <v>3025</v>
      </c>
      <c r="H2069" s="46" t="s">
        <v>3002</v>
      </c>
    </row>
    <row r="2070">
      <c r="A2070" s="55"/>
      <c r="B2070" s="119" t="s">
        <v>22283</v>
      </c>
      <c r="C2070" s="120" t="s">
        <v>4468</v>
      </c>
      <c r="D2070" s="33" t="s">
        <v>22285</v>
      </c>
      <c r="E2070" s="51" t="s">
        <v>443</v>
      </c>
      <c r="F2070" s="121" t="s">
        <v>2971</v>
      </c>
      <c r="G2070" s="98" t="str">
        <f>HYPERLINK("http://mirror.ff7data.com.ar/ff7/data/battle/battle.lgp/dzaa.png","View Picture")</f>
        <v>View Picture</v>
      </c>
    </row>
    <row r="2071">
      <c r="A2071" s="55"/>
      <c r="B2071" s="119" t="s">
        <v>22293</v>
      </c>
      <c r="C2071" s="120" t="s">
        <v>8538</v>
      </c>
      <c r="D2071" s="33" t="s">
        <v>22295</v>
      </c>
      <c r="E2071" s="51" t="s">
        <v>443</v>
      </c>
      <c r="F2071" s="121" t="s">
        <v>2993</v>
      </c>
      <c r="H2071" s="46" t="s">
        <v>3002</v>
      </c>
    </row>
    <row r="2072">
      <c r="A2072" s="55"/>
      <c r="B2072" s="119" t="s">
        <v>22297</v>
      </c>
      <c r="C2072" s="120" t="s">
        <v>19628</v>
      </c>
      <c r="D2072" s="33" t="s">
        <v>22295</v>
      </c>
      <c r="E2072" s="51" t="s">
        <v>443</v>
      </c>
      <c r="F2072" s="121" t="s">
        <v>3009</v>
      </c>
      <c r="G2072" s="98" t="str">
        <f>HYPERLINK("http://mirror.ff7data.com.ar/ff7/data/battle/battle.lgp/dzam.png","View Picture")</f>
        <v>View Picture</v>
      </c>
    </row>
    <row r="2073">
      <c r="A2073" s="55"/>
      <c r="B2073" s="119" t="s">
        <v>22304</v>
      </c>
      <c r="C2073" s="120" t="s">
        <v>5904</v>
      </c>
      <c r="D2073" s="33" t="s">
        <v>22295</v>
      </c>
      <c r="E2073" s="51" t="s">
        <v>443</v>
      </c>
      <c r="F2073" s="121" t="s">
        <v>3009</v>
      </c>
      <c r="G2073" s="98" t="str">
        <f>HYPERLINK("http://mirror.ff7data.com.ar/ff7/data/battle/battle.lgp/dzan.png","View Picture")</f>
        <v>View Picture</v>
      </c>
    </row>
    <row r="2074">
      <c r="A2074" s="55"/>
      <c r="B2074" s="119" t="s">
        <v>22310</v>
      </c>
      <c r="C2074" s="120" t="s">
        <v>4439</v>
      </c>
      <c r="D2074" s="33" t="s">
        <v>22295</v>
      </c>
      <c r="E2074" s="51" t="s">
        <v>443</v>
      </c>
      <c r="F2074" s="121" t="s">
        <v>3009</v>
      </c>
      <c r="G2074" s="98" t="str">
        <f>HYPERLINK("http://mirror.ff7data.com.ar/ff7/data/battle/battle.lgp/dzao.png","View Picture")</f>
        <v>View Picture</v>
      </c>
    </row>
    <row r="2075">
      <c r="A2075" s="55"/>
      <c r="B2075" s="119" t="s">
        <v>22321</v>
      </c>
      <c r="C2075" s="120" t="s">
        <v>4185</v>
      </c>
      <c r="D2075" s="33" t="s">
        <v>22295</v>
      </c>
      <c r="E2075" s="51" t="s">
        <v>443</v>
      </c>
      <c r="F2075" s="121" t="s">
        <v>3009</v>
      </c>
      <c r="G2075" s="98" t="str">
        <f>HYPERLINK("http://mirror.ff7data.com.ar/ff7/data/battle/battle.lgp/dzap.png","View Picture")</f>
        <v>View Picture</v>
      </c>
    </row>
    <row r="2076">
      <c r="A2076" s="55"/>
      <c r="B2076" s="119" t="s">
        <v>22330</v>
      </c>
      <c r="C2076" s="120" t="s">
        <v>4046</v>
      </c>
      <c r="D2076" s="33" t="s">
        <v>22295</v>
      </c>
      <c r="E2076" s="51" t="s">
        <v>443</v>
      </c>
      <c r="F2076" s="121" t="s">
        <v>3009</v>
      </c>
      <c r="G2076" s="98" t="str">
        <f>HYPERLINK("http://mirror.ff7data.com.ar/ff7/data/battle/battle.lgp/dzaq.png","View Picture")</f>
        <v>View Picture</v>
      </c>
    </row>
    <row r="2077">
      <c r="A2077" s="55"/>
      <c r="B2077" s="119" t="s">
        <v>22340</v>
      </c>
      <c r="C2077" s="120" t="s">
        <v>4252</v>
      </c>
      <c r="D2077" s="33" t="s">
        <v>22295</v>
      </c>
      <c r="E2077" s="51" t="s">
        <v>443</v>
      </c>
      <c r="F2077" s="121" t="s">
        <v>3009</v>
      </c>
      <c r="G2077" s="98" t="str">
        <f>HYPERLINK("http://mirror.ff7data.com.ar/ff7/data/battle/battle.lgp/dzar.png","View Picture")</f>
        <v>View Picture</v>
      </c>
    </row>
    <row r="2078">
      <c r="A2078" s="55"/>
      <c r="B2078" s="119" t="s">
        <v>22356</v>
      </c>
      <c r="C2078" s="120" t="s">
        <v>7148</v>
      </c>
      <c r="D2078" s="33" t="s">
        <v>22295</v>
      </c>
      <c r="E2078" s="51" t="s">
        <v>443</v>
      </c>
      <c r="F2078" s="121" t="s">
        <v>3009</v>
      </c>
      <c r="G2078" s="98" t="str">
        <f>HYPERLINK("http://mirror.ff7data.com.ar/ff7/data/battle/battle.lgp/dzat.png","View Picture")</f>
        <v>View Picture</v>
      </c>
    </row>
    <row r="2079">
      <c r="A2079" s="55"/>
      <c r="B2079" s="119" t="s">
        <v>22370</v>
      </c>
      <c r="C2079" s="120" t="s">
        <v>6029</v>
      </c>
      <c r="D2079" s="33" t="s">
        <v>22295</v>
      </c>
      <c r="E2079" s="51" t="s">
        <v>443</v>
      </c>
      <c r="F2079" s="121" t="s">
        <v>3009</v>
      </c>
      <c r="G2079" s="98" t="str">
        <f>HYPERLINK("http://mirror.ff7data.com.ar/ff7/data/battle/battle.lgp/dzau.png","View Picture")</f>
        <v>View Picture</v>
      </c>
    </row>
    <row r="2080">
      <c r="A2080" s="55"/>
      <c r="B2080" s="119" t="s">
        <v>22379</v>
      </c>
      <c r="C2080" s="120" t="s">
        <v>10078</v>
      </c>
      <c r="D2080" s="33" t="s">
        <v>22295</v>
      </c>
      <c r="E2080" s="51" t="s">
        <v>443</v>
      </c>
      <c r="F2080" s="121" t="s">
        <v>3009</v>
      </c>
      <c r="G2080" s="98" t="str">
        <f>HYPERLINK("http://mirror.ff7data.com.ar/ff7/data/battle/battle.lgp/dzav.png","View Picture")</f>
        <v>View Picture</v>
      </c>
    </row>
    <row r="2081">
      <c r="A2081" s="55"/>
      <c r="B2081" s="119" t="s">
        <v>22386</v>
      </c>
      <c r="C2081" s="120" t="s">
        <v>7148</v>
      </c>
      <c r="D2081" s="33" t="s">
        <v>22295</v>
      </c>
      <c r="E2081" s="51" t="s">
        <v>443</v>
      </c>
      <c r="F2081" s="121" t="s">
        <v>3009</v>
      </c>
      <c r="G2081" s="98" t="str">
        <f>HYPERLINK("http://mirror.ff7data.com.ar/ff7/data/battle/battle.lgp/dzax.png","View Picture")</f>
        <v>View Picture</v>
      </c>
    </row>
    <row r="2082">
      <c r="A2082" s="55"/>
      <c r="B2082" s="119" t="s">
        <v>22392</v>
      </c>
      <c r="C2082" s="120" t="s">
        <v>6029</v>
      </c>
      <c r="D2082" s="33" t="s">
        <v>22295</v>
      </c>
      <c r="E2082" s="51" t="s">
        <v>443</v>
      </c>
      <c r="F2082" s="121" t="s">
        <v>3009</v>
      </c>
      <c r="G2082" s="98" t="str">
        <f>HYPERLINK("http://mirror.ff7data.com.ar/ff7/data/battle/battle.lgp/dzay.png","View Picture")</f>
        <v>View Picture</v>
      </c>
    </row>
    <row r="2083">
      <c r="A2083" s="55"/>
      <c r="B2083" s="119" t="s">
        <v>22400</v>
      </c>
      <c r="C2083" s="120" t="s">
        <v>10078</v>
      </c>
      <c r="D2083" s="33" t="s">
        <v>22295</v>
      </c>
      <c r="E2083" s="51" t="s">
        <v>443</v>
      </c>
      <c r="F2083" s="121" t="s">
        <v>3009</v>
      </c>
      <c r="G2083" s="98" t="str">
        <f>HYPERLINK("http://mirror.ff7data.com.ar/ff7/data/battle/battle.lgp/dzaz.png","View Picture")</f>
        <v>View Picture</v>
      </c>
    </row>
    <row r="2084">
      <c r="A2084" s="55"/>
      <c r="B2084" s="119" t="s">
        <v>22406</v>
      </c>
      <c r="C2084" s="120" t="s">
        <v>5419</v>
      </c>
      <c r="D2084" s="33" t="s">
        <v>22295</v>
      </c>
      <c r="E2084" s="51" t="s">
        <v>443</v>
      </c>
      <c r="F2084" s="121" t="s">
        <v>3009</v>
      </c>
      <c r="G2084" s="98" t="str">
        <f>HYPERLINK("http://mirror.ff7data.com.ar/ff7/data/battle/battle.lgp/dzbb.png","View Picture")</f>
        <v>View Picture</v>
      </c>
    </row>
    <row r="2085">
      <c r="A2085" s="55"/>
      <c r="B2085" s="119" t="s">
        <v>22415</v>
      </c>
      <c r="C2085" s="120" t="s">
        <v>4057</v>
      </c>
      <c r="D2085" s="33" t="s">
        <v>22295</v>
      </c>
      <c r="E2085" s="51" t="s">
        <v>443</v>
      </c>
      <c r="F2085" s="121" t="s">
        <v>3009</v>
      </c>
      <c r="G2085" s="98" t="str">
        <f>HYPERLINK("http://mirror.ff7data.com.ar/ff7/data/battle/battle.lgp/dzbc.png","View Picture")</f>
        <v>View Picture</v>
      </c>
    </row>
    <row r="2086">
      <c r="A2086" s="55"/>
      <c r="B2086" s="119" t="s">
        <v>22423</v>
      </c>
      <c r="C2086" s="120" t="s">
        <v>3007</v>
      </c>
      <c r="D2086" s="33" t="s">
        <v>22295</v>
      </c>
      <c r="E2086" s="51" t="s">
        <v>443</v>
      </c>
      <c r="F2086" s="121" t="s">
        <v>3009</v>
      </c>
      <c r="G2086" s="98" t="str">
        <f>HYPERLINK("http://mirror.ff7data.com.ar/ff7/data/battle/battle.lgp/dzbd.png","View Picture")</f>
        <v>View Picture</v>
      </c>
    </row>
    <row r="2087">
      <c r="A2087" s="55"/>
      <c r="B2087" s="119" t="s">
        <v>22432</v>
      </c>
      <c r="C2087" s="120" t="s">
        <v>7148</v>
      </c>
      <c r="D2087" s="33" t="s">
        <v>22295</v>
      </c>
      <c r="E2087" s="51" t="s">
        <v>443</v>
      </c>
      <c r="F2087" s="121" t="s">
        <v>3009</v>
      </c>
      <c r="G2087" s="98" t="str">
        <f>HYPERLINK("http://mirror.ff7data.com.ar/ff7/data/battle/battle.lgp/dzbf.png","View Picture")</f>
        <v>View Picture</v>
      </c>
    </row>
    <row r="2088">
      <c r="A2088" s="55"/>
      <c r="B2088" s="119" t="s">
        <v>22438</v>
      </c>
      <c r="C2088" s="120" t="s">
        <v>4439</v>
      </c>
      <c r="D2088" s="33" t="s">
        <v>22295</v>
      </c>
      <c r="E2088" s="51" t="s">
        <v>443</v>
      </c>
      <c r="F2088" s="121" t="s">
        <v>3009</v>
      </c>
      <c r="G2088" s="98" t="str">
        <f>HYPERLINK("http://mirror.ff7data.com.ar/ff7/data/battle/battle.lgp/dzbg.png","View Picture")</f>
        <v>View Picture</v>
      </c>
    </row>
    <row r="2089">
      <c r="A2089" s="55"/>
      <c r="B2089" s="119" t="s">
        <v>22446</v>
      </c>
      <c r="C2089" s="120" t="s">
        <v>3842</v>
      </c>
      <c r="D2089" s="33" t="s">
        <v>22295</v>
      </c>
      <c r="E2089" s="51" t="s">
        <v>443</v>
      </c>
      <c r="F2089" s="121" t="s">
        <v>3009</v>
      </c>
      <c r="G2089" s="98" t="str">
        <f>HYPERLINK("http://mirror.ff7data.com.ar/ff7/data/battle/battle.lgp/dzbh.png","View Picture")</f>
        <v>View Picture</v>
      </c>
    </row>
    <row r="2090">
      <c r="A2090" s="55"/>
      <c r="B2090" s="119" t="s">
        <v>22455</v>
      </c>
      <c r="C2090" s="120" t="s">
        <v>7148</v>
      </c>
      <c r="D2090" s="33" t="s">
        <v>22295</v>
      </c>
      <c r="E2090" s="51" t="s">
        <v>443</v>
      </c>
      <c r="F2090" s="121" t="s">
        <v>3009</v>
      </c>
      <c r="G2090" s="98" t="str">
        <f>HYPERLINK("http://mirror.ff7data.com.ar/ff7/data/battle/battle.lgp/dzbk.png","View Picture")</f>
        <v>View Picture</v>
      </c>
    </row>
    <row r="2091">
      <c r="A2091" s="55"/>
      <c r="B2091" s="119" t="s">
        <v>22470</v>
      </c>
      <c r="C2091" s="120" t="s">
        <v>4439</v>
      </c>
      <c r="D2091" s="33" t="s">
        <v>22295</v>
      </c>
      <c r="E2091" s="51" t="s">
        <v>443</v>
      </c>
      <c r="F2091" s="121" t="s">
        <v>3009</v>
      </c>
      <c r="G2091" s="98" t="str">
        <f>HYPERLINK("http://mirror.ff7data.com.ar/ff7/data/battle/battle.lgp/dzbl.png","View Picture")</f>
        <v>View Picture</v>
      </c>
    </row>
    <row r="2092">
      <c r="A2092" s="55"/>
      <c r="B2092" s="119" t="s">
        <v>22479</v>
      </c>
      <c r="C2092" s="120" t="s">
        <v>3842</v>
      </c>
      <c r="D2092" s="33" t="s">
        <v>22295</v>
      </c>
      <c r="E2092" s="51" t="s">
        <v>443</v>
      </c>
      <c r="F2092" s="121" t="s">
        <v>3009</v>
      </c>
      <c r="G2092" s="98" t="str">
        <f>HYPERLINK("http://mirror.ff7data.com.ar/ff7/data/battle/battle.lgp/dzbm.png","View Picture")</f>
        <v>View Picture</v>
      </c>
    </row>
    <row r="2093">
      <c r="A2093" s="55"/>
      <c r="B2093" s="119" t="s">
        <v>22490</v>
      </c>
      <c r="C2093" s="120" t="s">
        <v>7148</v>
      </c>
      <c r="D2093" s="33" t="s">
        <v>22295</v>
      </c>
      <c r="E2093" s="51" t="s">
        <v>443</v>
      </c>
      <c r="F2093" s="121" t="s">
        <v>3009</v>
      </c>
      <c r="G2093" s="98" t="str">
        <f>HYPERLINK("http://mirror.ff7data.com.ar/ff7/data/battle/battle.lgp/dzbp.png","View Picture")</f>
        <v>View Picture</v>
      </c>
    </row>
    <row r="2094">
      <c r="A2094" s="55"/>
      <c r="B2094" s="119" t="s">
        <v>22504</v>
      </c>
      <c r="C2094" s="120" t="s">
        <v>4476</v>
      </c>
      <c r="D2094" s="33" t="s">
        <v>22295</v>
      </c>
      <c r="E2094" s="51" t="s">
        <v>443</v>
      </c>
      <c r="F2094" s="121" t="s">
        <v>3009</v>
      </c>
      <c r="G2094" s="98" t="str">
        <f>HYPERLINK("http://mirror.ff7data.com.ar/ff7/data/battle/battle.lgp/dzbq.png","View Picture")</f>
        <v>View Picture</v>
      </c>
    </row>
    <row r="2095">
      <c r="A2095" s="55"/>
      <c r="B2095" s="119" t="s">
        <v>22519</v>
      </c>
      <c r="C2095" s="120" t="s">
        <v>4217</v>
      </c>
      <c r="D2095" s="33" t="s">
        <v>22295</v>
      </c>
      <c r="E2095" s="51" t="s">
        <v>443</v>
      </c>
      <c r="F2095" s="121" t="s">
        <v>3009</v>
      </c>
      <c r="G2095" s="98" t="str">
        <f>HYPERLINK("http://mirror.ff7data.com.ar/ff7/data/battle/battle.lgp/dzbr.png","View Picture")</f>
        <v>View Picture</v>
      </c>
    </row>
    <row r="2096">
      <c r="A2096" s="55"/>
      <c r="B2096" s="119" t="s">
        <v>22534</v>
      </c>
      <c r="C2096" s="120" t="s">
        <v>7148</v>
      </c>
      <c r="D2096" s="33" t="s">
        <v>22295</v>
      </c>
      <c r="E2096" s="51" t="s">
        <v>443</v>
      </c>
      <c r="F2096" s="121" t="s">
        <v>3009</v>
      </c>
      <c r="G2096" s="98" t="str">
        <f>HYPERLINK("http://mirror.ff7data.com.ar/ff7/data/battle/battle.lgp/dzbt.png","View Picture")</f>
        <v>View Picture</v>
      </c>
    </row>
    <row r="2097">
      <c r="A2097" s="55"/>
      <c r="B2097" s="119" t="s">
        <v>22548</v>
      </c>
      <c r="C2097" s="120" t="s">
        <v>4476</v>
      </c>
      <c r="D2097" s="33" t="s">
        <v>22295</v>
      </c>
      <c r="E2097" s="51" t="s">
        <v>443</v>
      </c>
      <c r="F2097" s="121" t="s">
        <v>3009</v>
      </c>
      <c r="G2097" s="98" t="str">
        <f>HYPERLINK("http://mirror.ff7data.com.ar/ff7/data/battle/battle.lgp/dzbu.png","View Picture")</f>
        <v>View Picture</v>
      </c>
    </row>
    <row r="2098">
      <c r="A2098" s="55"/>
      <c r="B2098" s="119" t="s">
        <v>22562</v>
      </c>
      <c r="C2098" s="120" t="s">
        <v>10078</v>
      </c>
      <c r="D2098" s="33" t="s">
        <v>22295</v>
      </c>
      <c r="E2098" s="51" t="s">
        <v>443</v>
      </c>
      <c r="F2098" s="121" t="s">
        <v>3009</v>
      </c>
      <c r="G2098" s="98" t="str">
        <f>HYPERLINK("http://mirror.ff7data.com.ar/ff7/data/battle/battle.lgp/dzbv.png","View Picture")</f>
        <v>View Picture</v>
      </c>
    </row>
    <row r="2099">
      <c r="A2099" s="55"/>
      <c r="B2099" s="119" t="s">
        <v>22575</v>
      </c>
      <c r="C2099" s="120" t="s">
        <v>4841</v>
      </c>
      <c r="D2099" s="33" t="s">
        <v>22295</v>
      </c>
      <c r="E2099" s="51" t="s">
        <v>443</v>
      </c>
      <c r="F2099" s="121" t="s">
        <v>3025</v>
      </c>
      <c r="H2099" s="46" t="s">
        <v>3002</v>
      </c>
    </row>
    <row r="2100">
      <c r="A2100" s="55"/>
      <c r="B2100" s="119" t="s">
        <v>22577</v>
      </c>
      <c r="C2100" s="120" t="s">
        <v>2989</v>
      </c>
      <c r="D2100" s="33" t="s">
        <v>22579</v>
      </c>
      <c r="E2100" s="51" t="s">
        <v>446</v>
      </c>
      <c r="F2100" s="121" t="s">
        <v>2971</v>
      </c>
      <c r="G2100" s="98" t="str">
        <f>HYPERLINK("http://mirror.ff7data.com.ar/ff7/data/battle/battle.lgp/eaaa.png","View Picture")</f>
        <v>View Picture</v>
      </c>
    </row>
    <row r="2101">
      <c r="A2101" s="55"/>
      <c r="B2101" s="119" t="s">
        <v>22589</v>
      </c>
      <c r="C2101" s="120" t="s">
        <v>12616</v>
      </c>
      <c r="D2101" s="33" t="s">
        <v>22591</v>
      </c>
      <c r="E2101" s="51" t="s">
        <v>446</v>
      </c>
      <c r="F2101" s="121" t="s">
        <v>2993</v>
      </c>
      <c r="H2101" s="46" t="s">
        <v>3002</v>
      </c>
    </row>
    <row r="2102">
      <c r="A2102" s="55"/>
      <c r="B2102" s="119" t="s">
        <v>22594</v>
      </c>
      <c r="C2102" s="120" t="s">
        <v>5891</v>
      </c>
      <c r="D2102" s="33" t="s">
        <v>22591</v>
      </c>
      <c r="E2102" s="51" t="s">
        <v>446</v>
      </c>
      <c r="F2102" s="121" t="s">
        <v>3009</v>
      </c>
      <c r="G2102" s="98" t="str">
        <f>HYPERLINK("http://mirror.ff7data.com.ar/ff7/data/battle/battle.lgp/eaam.png","View Picture")</f>
        <v>View Picture</v>
      </c>
    </row>
    <row r="2103">
      <c r="A2103" s="55"/>
      <c r="B2103" s="119" t="s">
        <v>22605</v>
      </c>
      <c r="C2103" s="120" t="s">
        <v>4057</v>
      </c>
      <c r="D2103" s="33" t="s">
        <v>22591</v>
      </c>
      <c r="E2103" s="51" t="s">
        <v>446</v>
      </c>
      <c r="F2103" s="121" t="s">
        <v>3009</v>
      </c>
      <c r="G2103" s="98" t="str">
        <f>HYPERLINK("http://mirror.ff7data.com.ar/ff7/data/battle/battle.lgp/eaan.png","View Picture")</f>
        <v>View Picture</v>
      </c>
    </row>
    <row r="2104">
      <c r="A2104" s="55"/>
      <c r="B2104" s="119" t="s">
        <v>22619</v>
      </c>
      <c r="C2104" s="120" t="s">
        <v>3842</v>
      </c>
      <c r="D2104" s="33" t="s">
        <v>22591</v>
      </c>
      <c r="E2104" s="51" t="s">
        <v>446</v>
      </c>
      <c r="F2104" s="121" t="s">
        <v>3009</v>
      </c>
      <c r="G2104" s="98" t="str">
        <f>HYPERLINK("http://mirror.ff7data.com.ar/ff7/data/battle/battle.lgp/eaao.png","View Picture")</f>
        <v>View Picture</v>
      </c>
    </row>
    <row r="2105">
      <c r="A2105" s="55"/>
      <c r="B2105" s="119" t="s">
        <v>22633</v>
      </c>
      <c r="C2105" s="120" t="s">
        <v>14815</v>
      </c>
      <c r="D2105" s="33" t="s">
        <v>22591</v>
      </c>
      <c r="E2105" s="51" t="s">
        <v>446</v>
      </c>
      <c r="F2105" s="121" t="s">
        <v>3009</v>
      </c>
      <c r="G2105" s="98" t="str">
        <f>HYPERLINK("http://mirror.ff7data.com.ar/ff7/data/battle/battle.lgp/eaap.png","View Picture")</f>
        <v>View Picture</v>
      </c>
    </row>
    <row r="2106">
      <c r="A2106" s="55"/>
      <c r="B2106" s="119" t="s">
        <v>22643</v>
      </c>
      <c r="C2106" s="120" t="s">
        <v>4707</v>
      </c>
      <c r="D2106" s="33" t="s">
        <v>22591</v>
      </c>
      <c r="E2106" s="51" t="s">
        <v>446</v>
      </c>
      <c r="F2106" s="121" t="s">
        <v>3009</v>
      </c>
      <c r="G2106" s="98" t="str">
        <f>HYPERLINK("http://mirror.ff7data.com.ar/ff7/data/battle/battle.lgp/eaaq.png","View Picture")</f>
        <v>View Picture</v>
      </c>
    </row>
    <row r="2107">
      <c r="A2107" s="55"/>
      <c r="B2107" s="119" t="s">
        <v>22655</v>
      </c>
      <c r="C2107" s="120" t="s">
        <v>5891</v>
      </c>
      <c r="D2107" s="33" t="s">
        <v>22591</v>
      </c>
      <c r="E2107" s="51" t="s">
        <v>446</v>
      </c>
      <c r="F2107" s="121" t="s">
        <v>3009</v>
      </c>
      <c r="G2107" s="98" t="str">
        <f>HYPERLINK("http://mirror.ff7data.com.ar/ff7/data/battle/battle.lgp/eaas.png","View Picture")</f>
        <v>View Picture</v>
      </c>
    </row>
    <row r="2108">
      <c r="A2108" s="55"/>
      <c r="B2108" s="119" t="s">
        <v>22663</v>
      </c>
      <c r="C2108" s="120" t="s">
        <v>3749</v>
      </c>
      <c r="D2108" s="33" t="s">
        <v>22591</v>
      </c>
      <c r="E2108" s="51" t="s">
        <v>446</v>
      </c>
      <c r="F2108" s="121" t="s">
        <v>3009</v>
      </c>
      <c r="G2108" s="98" t="str">
        <f>HYPERLINK("http://mirror.ff7data.com.ar/ff7/data/battle/battle.lgp/eaat.png","View Picture")</f>
        <v>View Picture</v>
      </c>
    </row>
    <row r="2109">
      <c r="A2109" s="55"/>
      <c r="B2109" s="119" t="s">
        <v>22679</v>
      </c>
      <c r="C2109" s="120" t="s">
        <v>7165</v>
      </c>
      <c r="D2109" s="33" t="s">
        <v>22591</v>
      </c>
      <c r="E2109" s="51" t="s">
        <v>446</v>
      </c>
      <c r="F2109" s="121" t="s">
        <v>3009</v>
      </c>
      <c r="G2109" s="98" t="str">
        <f>HYPERLINK("http://mirror.ff7data.com.ar/ff7/data/battle/battle.lgp/eaau.png","View Picture")</f>
        <v>View Picture</v>
      </c>
    </row>
    <row r="2110">
      <c r="A2110" s="55"/>
      <c r="B2110" s="119" t="s">
        <v>22688</v>
      </c>
      <c r="C2110" s="120" t="s">
        <v>4476</v>
      </c>
      <c r="D2110" s="33" t="s">
        <v>22591</v>
      </c>
      <c r="E2110" s="51" t="s">
        <v>446</v>
      </c>
      <c r="F2110" s="121" t="s">
        <v>3009</v>
      </c>
      <c r="G2110" s="98" t="str">
        <f>HYPERLINK("http://mirror.ff7data.com.ar/ff7/data/battle/battle.lgp/eaav.png","View Picture")</f>
        <v>View Picture</v>
      </c>
    </row>
    <row r="2111">
      <c r="A2111" s="55"/>
      <c r="B2111" s="119" t="s">
        <v>22698</v>
      </c>
      <c r="C2111" s="120" t="s">
        <v>3842</v>
      </c>
      <c r="D2111" s="33" t="s">
        <v>22591</v>
      </c>
      <c r="E2111" s="51" t="s">
        <v>446</v>
      </c>
      <c r="F2111" s="121" t="s">
        <v>3009</v>
      </c>
      <c r="G2111" s="98" t="str">
        <f>HYPERLINK("http://mirror.ff7data.com.ar/ff7/data/battle/battle.lgp/eaax.png","View Picture")</f>
        <v>View Picture</v>
      </c>
    </row>
    <row r="2112">
      <c r="A2112" s="55"/>
      <c r="B2112" s="119" t="s">
        <v>22711</v>
      </c>
      <c r="C2112" s="120" t="s">
        <v>5891</v>
      </c>
      <c r="D2112" s="33" t="s">
        <v>22591</v>
      </c>
      <c r="E2112" s="51" t="s">
        <v>446</v>
      </c>
      <c r="F2112" s="121" t="s">
        <v>3009</v>
      </c>
      <c r="G2112" s="98" t="str">
        <f>HYPERLINK("http://mirror.ff7data.com.ar/ff7/data/battle/battle.lgp/eaay.png","View Picture")</f>
        <v>View Picture</v>
      </c>
    </row>
    <row r="2113">
      <c r="A2113" s="55"/>
      <c r="B2113" s="119" t="s">
        <v>22723</v>
      </c>
      <c r="C2113" s="120" t="s">
        <v>7165</v>
      </c>
      <c r="D2113" s="33" t="s">
        <v>22591</v>
      </c>
      <c r="E2113" s="51" t="s">
        <v>446</v>
      </c>
      <c r="F2113" s="121" t="s">
        <v>3009</v>
      </c>
      <c r="G2113" s="98" t="str">
        <f>HYPERLINK("http://mirror.ff7data.com.ar/ff7/data/battle/battle.lgp/eaaz.png","View Picture")</f>
        <v>View Picture</v>
      </c>
    </row>
    <row r="2114">
      <c r="A2114" s="55"/>
      <c r="B2114" s="119" t="s">
        <v>22735</v>
      </c>
      <c r="C2114" s="120" t="s">
        <v>4185</v>
      </c>
      <c r="D2114" s="33" t="s">
        <v>22591</v>
      </c>
      <c r="E2114" s="51" t="s">
        <v>446</v>
      </c>
      <c r="F2114" s="121" t="s">
        <v>3009</v>
      </c>
      <c r="G2114" s="98" t="str">
        <f>HYPERLINK("http://mirror.ff7data.com.ar/ff7/data/battle/battle.lgp/eaba.png","View Picture")</f>
        <v>View Picture</v>
      </c>
    </row>
    <row r="2115">
      <c r="A2115" s="55"/>
      <c r="B2115" s="119" t="s">
        <v>22746</v>
      </c>
      <c r="C2115" s="120" t="s">
        <v>4719</v>
      </c>
      <c r="D2115" s="33" t="s">
        <v>22591</v>
      </c>
      <c r="E2115" s="51" t="s">
        <v>446</v>
      </c>
      <c r="F2115" s="121" t="s">
        <v>3009</v>
      </c>
      <c r="G2115" s="98" t="str">
        <f>HYPERLINK("http://mirror.ff7data.com.ar/ff7/data/battle/battle.lgp/eabc.png","View Picture")</f>
        <v>View Picture</v>
      </c>
    </row>
    <row r="2116">
      <c r="A2116" s="55"/>
      <c r="B2116" s="119" t="s">
        <v>22757</v>
      </c>
      <c r="C2116" s="120" t="s">
        <v>4439</v>
      </c>
      <c r="D2116" s="33" t="s">
        <v>22591</v>
      </c>
      <c r="E2116" s="51" t="s">
        <v>446</v>
      </c>
      <c r="F2116" s="121" t="s">
        <v>3009</v>
      </c>
      <c r="G2116" s="98" t="str">
        <f>HYPERLINK("http://mirror.ff7data.com.ar/ff7/data/battle/battle.lgp/eabd.png","View Picture")</f>
        <v>View Picture</v>
      </c>
    </row>
    <row r="2117">
      <c r="A2117" s="55"/>
      <c r="B2117" s="119" t="s">
        <v>22768</v>
      </c>
      <c r="C2117" s="120" t="s">
        <v>4439</v>
      </c>
      <c r="D2117" s="33" t="s">
        <v>22591</v>
      </c>
      <c r="E2117" s="51" t="s">
        <v>446</v>
      </c>
      <c r="F2117" s="121" t="s">
        <v>3009</v>
      </c>
      <c r="G2117" s="98" t="str">
        <f>HYPERLINK("http://mirror.ff7data.com.ar/ff7/data/battle/battle.lgp/eabe.png","View Picture")</f>
        <v>View Picture</v>
      </c>
    </row>
    <row r="2118">
      <c r="A2118" s="55"/>
      <c r="B2118" s="119" t="s">
        <v>22777</v>
      </c>
      <c r="C2118" s="120" t="s">
        <v>3614</v>
      </c>
      <c r="D2118" s="33" t="s">
        <v>22591</v>
      </c>
      <c r="E2118" s="51" t="s">
        <v>446</v>
      </c>
      <c r="F2118" s="121" t="s">
        <v>3009</v>
      </c>
      <c r="G2118" s="98" t="str">
        <f>HYPERLINK("http://mirror.ff7data.com.ar/ff7/data/battle/battle.lgp/eabf.png","View Picture")</f>
        <v>View Picture</v>
      </c>
    </row>
    <row r="2119">
      <c r="A2119" s="55"/>
      <c r="B2119" s="119" t="s">
        <v>22786</v>
      </c>
      <c r="C2119" s="120" t="s">
        <v>6391</v>
      </c>
      <c r="D2119" s="33" t="s">
        <v>22591</v>
      </c>
      <c r="E2119" s="51" t="s">
        <v>446</v>
      </c>
      <c r="F2119" s="121" t="s">
        <v>3009</v>
      </c>
      <c r="G2119" s="98" t="str">
        <f>HYPERLINK("http://mirror.ff7data.com.ar/ff7/data/battle/battle.lgp/eabg.png","View Picture")</f>
        <v>View Picture</v>
      </c>
    </row>
    <row r="2120">
      <c r="A2120" s="55"/>
      <c r="B2120" s="119" t="s">
        <v>22791</v>
      </c>
      <c r="C2120" s="120" t="s">
        <v>12616</v>
      </c>
      <c r="D2120" s="33" t="s">
        <v>22591</v>
      </c>
      <c r="E2120" s="51" t="s">
        <v>446</v>
      </c>
      <c r="F2120" s="121" t="s">
        <v>3009</v>
      </c>
      <c r="G2120" s="98" t="str">
        <f>HYPERLINK("http://mirror.ff7data.com.ar/ff7/data/battle/battle.lgp/eabh.png","View Picture")</f>
        <v>View Picture</v>
      </c>
    </row>
    <row r="2121">
      <c r="A2121" s="55"/>
      <c r="B2121" s="119" t="s">
        <v>22796</v>
      </c>
      <c r="C2121" s="120" t="s">
        <v>4372</v>
      </c>
      <c r="D2121" s="33" t="s">
        <v>22591</v>
      </c>
      <c r="E2121" s="51" t="s">
        <v>446</v>
      </c>
      <c r="F2121" s="121" t="s">
        <v>3009</v>
      </c>
      <c r="G2121" s="98" t="str">
        <f>HYPERLINK("http://mirror.ff7data.com.ar/ff7/data/battle/battle.lgp/eabj.png","View Picture")</f>
        <v>View Picture</v>
      </c>
    </row>
    <row r="2122">
      <c r="A2122" s="55"/>
      <c r="B2122" s="119" t="s">
        <v>22803</v>
      </c>
      <c r="C2122" s="120" t="s">
        <v>4439</v>
      </c>
      <c r="D2122" s="33" t="s">
        <v>22591</v>
      </c>
      <c r="E2122" s="51" t="s">
        <v>446</v>
      </c>
      <c r="F2122" s="121" t="s">
        <v>3009</v>
      </c>
      <c r="G2122" s="98" t="str">
        <f>HYPERLINK("http://mirror.ff7data.com.ar/ff7/data/battle/battle.lgp/eabk.png","View Picture")</f>
        <v>View Picture</v>
      </c>
    </row>
    <row r="2123">
      <c r="A2123" s="55"/>
      <c r="B2123" s="119" t="s">
        <v>22808</v>
      </c>
      <c r="C2123" s="120" t="s">
        <v>4185</v>
      </c>
      <c r="D2123" s="33" t="s">
        <v>22591</v>
      </c>
      <c r="E2123" s="51" t="s">
        <v>446</v>
      </c>
      <c r="F2123" s="121" t="s">
        <v>3009</v>
      </c>
      <c r="G2123" s="98" t="str">
        <f>HYPERLINK("http://mirror.ff7data.com.ar/ff7/data/battle/battle.lgp/eabl.png","View Picture")</f>
        <v>View Picture</v>
      </c>
    </row>
    <row r="2124">
      <c r="A2124" s="55"/>
      <c r="B2124" s="119" t="s">
        <v>22814</v>
      </c>
      <c r="C2124" s="120" t="s">
        <v>3614</v>
      </c>
      <c r="D2124" s="33" t="s">
        <v>22591</v>
      </c>
      <c r="E2124" s="51" t="s">
        <v>446</v>
      </c>
      <c r="F2124" s="121" t="s">
        <v>3009</v>
      </c>
      <c r="G2124" s="98" t="str">
        <f>HYPERLINK("http://mirror.ff7data.com.ar/ff7/data/battle/battle.lgp/eabm.png","View Picture")</f>
        <v>View Picture</v>
      </c>
    </row>
    <row r="2125">
      <c r="A2125" s="55"/>
      <c r="B2125" s="119" t="s">
        <v>22823</v>
      </c>
      <c r="C2125" s="120" t="s">
        <v>6391</v>
      </c>
      <c r="D2125" s="33" t="s">
        <v>22591</v>
      </c>
      <c r="E2125" s="51" t="s">
        <v>446</v>
      </c>
      <c r="F2125" s="121" t="s">
        <v>3009</v>
      </c>
      <c r="G2125" s="98" t="str">
        <f>HYPERLINK("http://mirror.ff7data.com.ar/ff7/data/battle/battle.lgp/eabn.png","View Picture")</f>
        <v>View Picture</v>
      </c>
    </row>
    <row r="2126">
      <c r="A2126" s="55"/>
      <c r="B2126" s="119" t="s">
        <v>22832</v>
      </c>
      <c r="C2126" s="120" t="s">
        <v>22833</v>
      </c>
      <c r="D2126" s="33" t="s">
        <v>22591</v>
      </c>
      <c r="E2126" s="51" t="s">
        <v>446</v>
      </c>
      <c r="F2126" s="121" t="s">
        <v>3009</v>
      </c>
      <c r="G2126" s="98" t="str">
        <f>HYPERLINK("http://mirror.ff7data.com.ar/ff7/data/battle/battle.lgp/eabo.png","View Picture")</f>
        <v>View Picture</v>
      </c>
    </row>
    <row r="2127">
      <c r="A2127" s="55"/>
      <c r="B2127" s="119" t="s">
        <v>22848</v>
      </c>
      <c r="C2127" s="120" t="s">
        <v>10078</v>
      </c>
      <c r="D2127" s="33" t="s">
        <v>22591</v>
      </c>
      <c r="E2127" s="51" t="s">
        <v>446</v>
      </c>
      <c r="F2127" s="121" t="s">
        <v>3009</v>
      </c>
      <c r="G2127" s="98" t="str">
        <f>HYPERLINK("http://mirror.ff7data.com.ar/ff7/data/battle/battle.lgp/eabp.png","View Picture")</f>
        <v>View Picture</v>
      </c>
    </row>
    <row r="2128">
      <c r="A2128" s="55"/>
      <c r="B2128" s="119" t="s">
        <v>22857</v>
      </c>
      <c r="C2128" s="120" t="s">
        <v>18144</v>
      </c>
      <c r="D2128" s="33" t="s">
        <v>22591</v>
      </c>
      <c r="E2128" s="51" t="s">
        <v>446</v>
      </c>
      <c r="F2128" s="121" t="s">
        <v>3025</v>
      </c>
      <c r="H2128" s="46" t="s">
        <v>3002</v>
      </c>
    </row>
    <row r="2129">
      <c r="A2129" s="82"/>
      <c r="B2129" s="119" t="s">
        <v>22860</v>
      </c>
      <c r="C2129" s="120" t="s">
        <v>8241</v>
      </c>
      <c r="D2129" s="33" t="s">
        <v>22861</v>
      </c>
      <c r="E2129" s="51" t="s">
        <v>449</v>
      </c>
      <c r="F2129" s="121" t="s">
        <v>2971</v>
      </c>
      <c r="G2129" s="98" t="str">
        <f>HYPERLINK("http://mirror.ff7data.com.ar/ff7/data/battle/battle.lgp/ebaa.png","View Picture")</f>
        <v>View Picture</v>
      </c>
    </row>
    <row r="2130">
      <c r="A2130" s="55"/>
      <c r="B2130" s="119" t="s">
        <v>22873</v>
      </c>
      <c r="C2130" s="120" t="s">
        <v>7375</v>
      </c>
      <c r="D2130" s="33" t="s">
        <v>22875</v>
      </c>
      <c r="E2130" s="51" t="s">
        <v>449</v>
      </c>
      <c r="F2130" s="121" t="s">
        <v>2993</v>
      </c>
      <c r="H2130" s="46" t="s">
        <v>3002</v>
      </c>
    </row>
    <row r="2131">
      <c r="A2131" s="55"/>
      <c r="B2131" s="119" t="s">
        <v>22877</v>
      </c>
      <c r="C2131" s="120" t="s">
        <v>9600</v>
      </c>
      <c r="D2131" s="33" t="s">
        <v>22875</v>
      </c>
      <c r="E2131" s="51" t="s">
        <v>449</v>
      </c>
      <c r="F2131" s="121" t="s">
        <v>3009</v>
      </c>
      <c r="G2131" s="98" t="str">
        <f>HYPERLINK("http://mirror.ff7data.com.ar/ff7/data/battle/battle.lgp/ebam.png","View Picture")</f>
        <v>View Picture</v>
      </c>
    </row>
    <row r="2132">
      <c r="A2132" s="55"/>
      <c r="B2132" s="119" t="s">
        <v>22883</v>
      </c>
      <c r="C2132" s="120" t="s">
        <v>8550</v>
      </c>
      <c r="D2132" s="33" t="s">
        <v>22875</v>
      </c>
      <c r="E2132" s="51" t="s">
        <v>449</v>
      </c>
      <c r="F2132" s="121" t="s">
        <v>3009</v>
      </c>
      <c r="G2132" s="98" t="str">
        <f>HYPERLINK("http://mirror.ff7data.com.ar/ff7/data/battle/battle.lgp/eban.png","View Picture")</f>
        <v>View Picture</v>
      </c>
    </row>
    <row r="2133">
      <c r="A2133" s="55"/>
      <c r="B2133" s="119" t="s">
        <v>22891</v>
      </c>
      <c r="C2133" s="120" t="s">
        <v>4732</v>
      </c>
      <c r="D2133" s="33" t="s">
        <v>22875</v>
      </c>
      <c r="E2133" s="51" t="s">
        <v>449</v>
      </c>
      <c r="F2133" s="121" t="s">
        <v>3009</v>
      </c>
      <c r="G2133" s="98" t="str">
        <f>HYPERLINK("http://mirror.ff7data.com.ar/ff7/data/battle/battle.lgp/ebau.png","View Picture")</f>
        <v>View Picture</v>
      </c>
    </row>
    <row r="2134">
      <c r="A2134" s="55"/>
      <c r="B2134" s="119" t="s">
        <v>22897</v>
      </c>
      <c r="C2134" s="120" t="s">
        <v>4439</v>
      </c>
      <c r="D2134" s="33" t="s">
        <v>22875</v>
      </c>
      <c r="E2134" s="51" t="s">
        <v>449</v>
      </c>
      <c r="F2134" s="121" t="s">
        <v>3009</v>
      </c>
      <c r="G2134" s="98" t="str">
        <f>HYPERLINK("http://mirror.ff7data.com.ar/ff7/data/battle/battle.lgp/ebay.png","View Picture")</f>
        <v>View Picture</v>
      </c>
    </row>
    <row r="2135">
      <c r="A2135" s="55"/>
      <c r="B2135" s="119" t="s">
        <v>22906</v>
      </c>
      <c r="C2135" s="120" t="s">
        <v>4476</v>
      </c>
      <c r="D2135" s="33" t="s">
        <v>22875</v>
      </c>
      <c r="E2135" s="51" t="s">
        <v>449</v>
      </c>
      <c r="F2135" s="121" t="s">
        <v>3009</v>
      </c>
      <c r="G2135" s="98" t="str">
        <f>HYPERLINK("http://mirror.ff7data.com.ar/ff7/data/battle/battle.lgp/ebbc.png","View Picture")</f>
        <v>View Picture</v>
      </c>
    </row>
    <row r="2136">
      <c r="A2136" s="55"/>
      <c r="B2136" s="119" t="s">
        <v>22918</v>
      </c>
      <c r="C2136" s="120" t="s">
        <v>4476</v>
      </c>
      <c r="D2136" s="33" t="s">
        <v>22875</v>
      </c>
      <c r="E2136" s="51" t="s">
        <v>449</v>
      </c>
      <c r="F2136" s="121" t="s">
        <v>3009</v>
      </c>
      <c r="G2136" s="98" t="str">
        <f>HYPERLINK("http://mirror.ff7data.com.ar/ff7/data/battle/battle.lgp/ebbg.png","View Picture")</f>
        <v>View Picture</v>
      </c>
    </row>
    <row r="2137">
      <c r="A2137" s="55"/>
      <c r="B2137" s="119" t="s">
        <v>22928</v>
      </c>
      <c r="C2137" s="120" t="s">
        <v>3614</v>
      </c>
      <c r="D2137" s="33" t="s">
        <v>22875</v>
      </c>
      <c r="E2137" s="51" t="s">
        <v>449</v>
      </c>
      <c r="F2137" s="121" t="s">
        <v>3009</v>
      </c>
      <c r="G2137" s="98" t="str">
        <f>HYPERLINK("http://mirror.ff7data.com.ar/ff7/data/battle/battle.lgp/ebbi.png","View Picture")</f>
        <v>View Picture</v>
      </c>
    </row>
    <row r="2138">
      <c r="A2138" s="55"/>
      <c r="B2138" s="119" t="s">
        <v>22935</v>
      </c>
      <c r="C2138" s="120" t="s">
        <v>3614</v>
      </c>
      <c r="D2138" s="33" t="s">
        <v>22875</v>
      </c>
      <c r="E2138" s="51" t="s">
        <v>449</v>
      </c>
      <c r="F2138" s="121" t="s">
        <v>3009</v>
      </c>
      <c r="G2138" s="98" t="str">
        <f>HYPERLINK("http://mirror.ff7data.com.ar/ff7/data/battle/battle.lgp/ebbk.png","View Picture")</f>
        <v>View Picture</v>
      </c>
    </row>
    <row r="2139">
      <c r="A2139" s="55"/>
      <c r="B2139" s="119" t="s">
        <v>22944</v>
      </c>
      <c r="C2139" s="120" t="s">
        <v>13957</v>
      </c>
      <c r="D2139" s="33" t="s">
        <v>22875</v>
      </c>
      <c r="E2139" s="51" t="s">
        <v>449</v>
      </c>
      <c r="F2139" s="121" t="s">
        <v>3025</v>
      </c>
      <c r="H2139" s="46" t="s">
        <v>3002</v>
      </c>
    </row>
    <row r="2140">
      <c r="A2140" s="82"/>
      <c r="B2140" s="119" t="s">
        <v>22948</v>
      </c>
      <c r="C2140" s="120" t="s">
        <v>22949</v>
      </c>
      <c r="D2140" s="33" t="s">
        <v>22950</v>
      </c>
      <c r="E2140" s="51" t="s">
        <v>452</v>
      </c>
      <c r="F2140" s="121" t="s">
        <v>2971</v>
      </c>
      <c r="G2140" s="98" t="str">
        <f>HYPERLINK("http://mirror.ff7data.com.ar/ff7/data/battle/battle.lgp/ecaa.png","View Picture")</f>
        <v>View Picture</v>
      </c>
    </row>
    <row r="2141">
      <c r="A2141" s="55"/>
      <c r="B2141" s="119" t="s">
        <v>22958</v>
      </c>
      <c r="C2141" s="120" t="s">
        <v>4846</v>
      </c>
      <c r="D2141" s="33" t="s">
        <v>22960</v>
      </c>
      <c r="E2141" s="51" t="s">
        <v>452</v>
      </c>
      <c r="F2141" s="121" t="s">
        <v>2993</v>
      </c>
      <c r="H2141" s="46" t="s">
        <v>3002</v>
      </c>
    </row>
    <row r="2142">
      <c r="A2142" s="55"/>
      <c r="B2142" s="119" t="s">
        <v>22962</v>
      </c>
      <c r="C2142" s="120" t="s">
        <v>10955</v>
      </c>
      <c r="D2142" s="33" t="s">
        <v>22960</v>
      </c>
      <c r="E2142" s="51" t="s">
        <v>452</v>
      </c>
      <c r="F2142" s="121" t="s">
        <v>3009</v>
      </c>
      <c r="G2142" s="98" t="str">
        <f>HYPERLINK("http://mirror.ff7data.com.ar/ff7/data/battle/battle.lgp/ecam.png","View Picture")</f>
        <v>View Picture</v>
      </c>
    </row>
    <row r="2143">
      <c r="A2143" s="55"/>
      <c r="B2143" s="119" t="s">
        <v>22968</v>
      </c>
      <c r="C2143" s="120" t="s">
        <v>3853</v>
      </c>
      <c r="D2143" s="33" t="s">
        <v>22960</v>
      </c>
      <c r="E2143" s="51" t="s">
        <v>452</v>
      </c>
      <c r="F2143" s="121" t="s">
        <v>3009</v>
      </c>
      <c r="G2143" s="98" t="str">
        <f>HYPERLINK("http://mirror.ff7data.com.ar/ff7/data/battle/battle.lgp/ecan.png","View Picture")</f>
        <v>View Picture</v>
      </c>
    </row>
    <row r="2144">
      <c r="A2144" s="55"/>
      <c r="B2144" s="119" t="s">
        <v>22979</v>
      </c>
      <c r="C2144" s="120" t="s">
        <v>3749</v>
      </c>
      <c r="D2144" s="33" t="s">
        <v>22960</v>
      </c>
      <c r="E2144" s="51" t="s">
        <v>452</v>
      </c>
      <c r="F2144" s="121" t="s">
        <v>3009</v>
      </c>
      <c r="G2144" s="98" t="str">
        <f>HYPERLINK("http://mirror.ff7data.com.ar/ff7/data/battle/battle.lgp/ecao.png","View Picture")</f>
        <v>View Picture</v>
      </c>
    </row>
    <row r="2145">
      <c r="A2145" s="55"/>
      <c r="B2145" s="119" t="s">
        <v>22988</v>
      </c>
      <c r="C2145" s="120" t="s">
        <v>4719</v>
      </c>
      <c r="D2145" s="33" t="s">
        <v>22960</v>
      </c>
      <c r="E2145" s="51" t="s">
        <v>452</v>
      </c>
      <c r="F2145" s="121" t="s">
        <v>3009</v>
      </c>
      <c r="G2145" s="98" t="str">
        <f>HYPERLINK("http://mirror.ff7data.com.ar/ff7/data/battle/battle.lgp/ecaq.png","View Picture")</f>
        <v>View Picture</v>
      </c>
    </row>
    <row r="2146">
      <c r="A2146" s="55"/>
      <c r="B2146" s="119" t="s">
        <v>22997</v>
      </c>
      <c r="C2146" s="120" t="s">
        <v>4719</v>
      </c>
      <c r="D2146" s="33" t="s">
        <v>22960</v>
      </c>
      <c r="E2146" s="51" t="s">
        <v>452</v>
      </c>
      <c r="F2146" s="121" t="s">
        <v>3009</v>
      </c>
      <c r="G2146" s="98" t="str">
        <f>HYPERLINK("http://mirror.ff7data.com.ar/ff7/data/battle/battle.lgp/ecar.png","View Picture")</f>
        <v>View Picture</v>
      </c>
    </row>
    <row r="2147">
      <c r="A2147" s="55"/>
      <c r="B2147" s="119" t="s">
        <v>23007</v>
      </c>
      <c r="C2147" s="120" t="s">
        <v>11785</v>
      </c>
      <c r="D2147" s="33" t="s">
        <v>22960</v>
      </c>
      <c r="E2147" s="51" t="s">
        <v>452</v>
      </c>
      <c r="F2147" s="121" t="s">
        <v>3009</v>
      </c>
      <c r="G2147" s="98" t="str">
        <f>HYPERLINK("http://mirror.ff7data.com.ar/ff7/data/battle/battle.lgp/ecas.png","View Picture")</f>
        <v>View Picture</v>
      </c>
    </row>
    <row r="2148">
      <c r="A2148" s="55"/>
      <c r="B2148" s="119" t="s">
        <v>23015</v>
      </c>
      <c r="C2148" s="120" t="s">
        <v>4719</v>
      </c>
      <c r="D2148" s="33" t="s">
        <v>22960</v>
      </c>
      <c r="E2148" s="51" t="s">
        <v>452</v>
      </c>
      <c r="F2148" s="121" t="s">
        <v>3009</v>
      </c>
      <c r="G2148" s="98" t="str">
        <f>HYPERLINK("http://mirror.ff7data.com.ar/ff7/data/battle/battle.lgp/ecau.png","View Picture")</f>
        <v>View Picture</v>
      </c>
    </row>
    <row r="2149">
      <c r="A2149" s="55"/>
      <c r="B2149" s="119" t="s">
        <v>23025</v>
      </c>
      <c r="C2149" s="120" t="s">
        <v>4719</v>
      </c>
      <c r="D2149" s="33" t="s">
        <v>22960</v>
      </c>
      <c r="E2149" s="51" t="s">
        <v>452</v>
      </c>
      <c r="F2149" s="121" t="s">
        <v>3009</v>
      </c>
      <c r="G2149" s="98" t="str">
        <f>HYPERLINK("http://mirror.ff7data.com.ar/ff7/data/battle/battle.lgp/ecav.png","View Picture")</f>
        <v>View Picture</v>
      </c>
    </row>
    <row r="2150">
      <c r="A2150" s="55"/>
      <c r="B2150" s="119" t="s">
        <v>23031</v>
      </c>
      <c r="C2150" s="120" t="s">
        <v>23032</v>
      </c>
      <c r="D2150" s="33" t="s">
        <v>22960</v>
      </c>
      <c r="E2150" s="51" t="s">
        <v>452</v>
      </c>
      <c r="F2150" s="121" t="s">
        <v>3009</v>
      </c>
      <c r="G2150" s="98" t="str">
        <f>HYPERLINK("http://mirror.ff7data.com.ar/ff7/data/battle/battle.lgp/ecaw.png","View Picture")</f>
        <v>View Picture</v>
      </c>
    </row>
    <row r="2151">
      <c r="A2151" s="55"/>
      <c r="B2151" s="119" t="s">
        <v>23045</v>
      </c>
      <c r="C2151" s="120" t="s">
        <v>4719</v>
      </c>
      <c r="D2151" s="33" t="s">
        <v>22960</v>
      </c>
      <c r="E2151" s="51" t="s">
        <v>452</v>
      </c>
      <c r="F2151" s="121" t="s">
        <v>3009</v>
      </c>
      <c r="G2151" s="98" t="str">
        <f>HYPERLINK("http://mirror.ff7data.com.ar/ff7/data/battle/battle.lgp/ecay.png","View Picture")</f>
        <v>View Picture</v>
      </c>
    </row>
    <row r="2152">
      <c r="A2152" s="55"/>
      <c r="B2152" s="119" t="s">
        <v>23060</v>
      </c>
      <c r="C2152" s="120" t="s">
        <v>4372</v>
      </c>
      <c r="D2152" s="33" t="s">
        <v>22960</v>
      </c>
      <c r="E2152" s="51" t="s">
        <v>452</v>
      </c>
      <c r="F2152" s="121" t="s">
        <v>3009</v>
      </c>
      <c r="G2152" s="98" t="str">
        <f>HYPERLINK("http://mirror.ff7data.com.ar/ff7/data/battle/battle.lgp/ecaz.png","View Picture")</f>
        <v>View Picture</v>
      </c>
    </row>
    <row r="2153">
      <c r="A2153" s="55"/>
      <c r="B2153" s="119" t="s">
        <v>23075</v>
      </c>
      <c r="C2153" s="120" t="s">
        <v>23032</v>
      </c>
      <c r="D2153" s="33" t="s">
        <v>22960</v>
      </c>
      <c r="E2153" s="51" t="s">
        <v>452</v>
      </c>
      <c r="F2153" s="121" t="s">
        <v>3009</v>
      </c>
      <c r="G2153" s="98" t="str">
        <f>HYPERLINK("http://mirror.ff7data.com.ar/ff7/data/battle/battle.lgp/ecba.png","View Picture")</f>
        <v>View Picture</v>
      </c>
    </row>
    <row r="2154">
      <c r="A2154" s="55"/>
      <c r="B2154" s="119" t="s">
        <v>23088</v>
      </c>
      <c r="C2154" s="120" t="s">
        <v>4057</v>
      </c>
      <c r="D2154" s="33" t="s">
        <v>22960</v>
      </c>
      <c r="E2154" s="51" t="s">
        <v>452</v>
      </c>
      <c r="F2154" s="121" t="s">
        <v>3009</v>
      </c>
      <c r="G2154" s="98" t="str">
        <f>HYPERLINK("http://mirror.ff7data.com.ar/ff7/data/battle/battle.lgp/ecbc.png","View Picture")</f>
        <v>View Picture</v>
      </c>
    </row>
    <row r="2155">
      <c r="A2155" s="55"/>
      <c r="B2155" s="119" t="s">
        <v>23098</v>
      </c>
      <c r="C2155" s="120" t="s">
        <v>4372</v>
      </c>
      <c r="D2155" s="33" t="s">
        <v>22960</v>
      </c>
      <c r="E2155" s="51" t="s">
        <v>452</v>
      </c>
      <c r="F2155" s="121" t="s">
        <v>3009</v>
      </c>
      <c r="G2155" s="98" t="str">
        <f>HYPERLINK("http://mirror.ff7data.com.ar/ff7/data/battle/battle.lgp/ecbd.png","View Picture")</f>
        <v>View Picture</v>
      </c>
    </row>
    <row r="2156">
      <c r="A2156" s="55"/>
      <c r="B2156" s="119" t="s">
        <v>23106</v>
      </c>
      <c r="C2156" s="120" t="s">
        <v>23032</v>
      </c>
      <c r="D2156" s="33" t="s">
        <v>22960</v>
      </c>
      <c r="E2156" s="51" t="s">
        <v>452</v>
      </c>
      <c r="F2156" s="121" t="s">
        <v>3009</v>
      </c>
      <c r="G2156" s="98" t="str">
        <f>HYPERLINK("http://mirror.ff7data.com.ar/ff7/data/battle/battle.lgp/ecbe.png","View Picture")</f>
        <v>View Picture</v>
      </c>
    </row>
    <row r="2157">
      <c r="A2157" s="55"/>
      <c r="B2157" s="119" t="s">
        <v>23117</v>
      </c>
      <c r="C2157" s="120" t="s">
        <v>7165</v>
      </c>
      <c r="D2157" s="33" t="s">
        <v>22960</v>
      </c>
      <c r="E2157" s="51" t="s">
        <v>452</v>
      </c>
      <c r="F2157" s="121" t="s">
        <v>3009</v>
      </c>
      <c r="G2157" s="98" t="str">
        <f>HYPERLINK("http://mirror.ff7data.com.ar/ff7/data/battle/battle.lgp/ecbf.png","View Picture")</f>
        <v>View Picture</v>
      </c>
    </row>
    <row r="2158">
      <c r="A2158" s="55"/>
      <c r="B2158" s="119" t="s">
        <v>23124</v>
      </c>
      <c r="C2158" s="120" t="s">
        <v>4372</v>
      </c>
      <c r="D2158" s="33" t="s">
        <v>22960</v>
      </c>
      <c r="E2158" s="51" t="s">
        <v>452</v>
      </c>
      <c r="F2158" s="121" t="s">
        <v>3009</v>
      </c>
      <c r="G2158" s="98" t="str">
        <f>HYPERLINK("http://mirror.ff7data.com.ar/ff7/data/battle/battle.lgp/ecbh.png","View Picture")</f>
        <v>View Picture</v>
      </c>
    </row>
    <row r="2159">
      <c r="A2159" s="55"/>
      <c r="B2159" s="119" t="s">
        <v>23134</v>
      </c>
      <c r="C2159" s="120" t="s">
        <v>3658</v>
      </c>
      <c r="D2159" s="33" t="s">
        <v>22960</v>
      </c>
      <c r="E2159" s="51" t="s">
        <v>452</v>
      </c>
      <c r="F2159" s="121" t="s">
        <v>3009</v>
      </c>
      <c r="G2159" s="98" t="str">
        <f>HYPERLINK("http://mirror.ff7data.com.ar/ff7/data/battle/battle.lgp/ecbi.png","View Picture")</f>
        <v>View Picture</v>
      </c>
    </row>
    <row r="2160">
      <c r="A2160" s="55"/>
      <c r="B2160" s="119" t="s">
        <v>23142</v>
      </c>
      <c r="C2160" s="120" t="s">
        <v>4439</v>
      </c>
      <c r="D2160" s="33" t="s">
        <v>22960</v>
      </c>
      <c r="E2160" s="51" t="s">
        <v>452</v>
      </c>
      <c r="F2160" s="121" t="s">
        <v>3009</v>
      </c>
      <c r="G2160" s="98" t="str">
        <f>HYPERLINK("http://mirror.ff7data.com.ar/ff7/data/battle/battle.lgp/ecbj.png","View Picture")</f>
        <v>View Picture</v>
      </c>
    </row>
    <row r="2161">
      <c r="A2161" s="55"/>
      <c r="B2161" s="119" t="s">
        <v>23149</v>
      </c>
      <c r="C2161" s="120" t="s">
        <v>4372</v>
      </c>
      <c r="D2161" s="33" t="s">
        <v>22960</v>
      </c>
      <c r="E2161" s="51" t="s">
        <v>452</v>
      </c>
      <c r="F2161" s="121" t="s">
        <v>3009</v>
      </c>
      <c r="G2161" s="98" t="str">
        <f>HYPERLINK("http://mirror.ff7data.com.ar/ff7/data/battle/battle.lgp/ecbl.png","View Picture")</f>
        <v>View Picture</v>
      </c>
    </row>
    <row r="2162">
      <c r="A2162" s="55"/>
      <c r="B2162" s="119" t="s">
        <v>23156</v>
      </c>
      <c r="C2162" s="120" t="s">
        <v>7165</v>
      </c>
      <c r="D2162" s="33" t="s">
        <v>22960</v>
      </c>
      <c r="E2162" s="51" t="s">
        <v>452</v>
      </c>
      <c r="F2162" s="121" t="s">
        <v>3009</v>
      </c>
      <c r="G2162" s="98" t="str">
        <f>HYPERLINK("http://mirror.ff7data.com.ar/ff7/data/battle/battle.lgp/ecbm.png","View Picture")</f>
        <v>View Picture</v>
      </c>
    </row>
    <row r="2163">
      <c r="A2163" s="55"/>
      <c r="B2163" s="119" t="s">
        <v>23165</v>
      </c>
      <c r="C2163" s="120" t="s">
        <v>4439</v>
      </c>
      <c r="D2163" s="33" t="s">
        <v>22960</v>
      </c>
      <c r="E2163" s="51" t="s">
        <v>452</v>
      </c>
      <c r="F2163" s="121" t="s">
        <v>3009</v>
      </c>
      <c r="G2163" s="98" t="str">
        <f>HYPERLINK("http://mirror.ff7data.com.ar/ff7/data/battle/battle.lgp/ecbn.png","View Picture")</f>
        <v>View Picture</v>
      </c>
    </row>
    <row r="2164">
      <c r="A2164" s="55"/>
      <c r="B2164" s="119" t="s">
        <v>23173</v>
      </c>
      <c r="C2164" s="120" t="s">
        <v>4719</v>
      </c>
      <c r="D2164" s="33" t="s">
        <v>22960</v>
      </c>
      <c r="E2164" s="51" t="s">
        <v>452</v>
      </c>
      <c r="F2164" s="121" t="s">
        <v>3009</v>
      </c>
      <c r="G2164" s="98" t="str">
        <f>HYPERLINK("http://mirror.ff7data.com.ar/ff7/data/battle/battle.lgp/ecbp.png","View Picture")</f>
        <v>View Picture</v>
      </c>
    </row>
    <row r="2165">
      <c r="A2165" s="55"/>
      <c r="B2165" s="119" t="s">
        <v>23182</v>
      </c>
      <c r="C2165" s="120" t="s">
        <v>6029</v>
      </c>
      <c r="D2165" s="33" t="s">
        <v>22960</v>
      </c>
      <c r="E2165" s="51" t="s">
        <v>452</v>
      </c>
      <c r="F2165" s="121" t="s">
        <v>3009</v>
      </c>
      <c r="G2165" s="98" t="str">
        <f>HYPERLINK("http://mirror.ff7data.com.ar/ff7/data/battle/battle.lgp/ecbq.png","View Picture")</f>
        <v>View Picture</v>
      </c>
    </row>
    <row r="2166">
      <c r="A2166" s="55"/>
      <c r="B2166" s="119" t="s">
        <v>23191</v>
      </c>
      <c r="C2166" s="120" t="s">
        <v>23032</v>
      </c>
      <c r="D2166" s="33" t="s">
        <v>22960</v>
      </c>
      <c r="E2166" s="51" t="s">
        <v>452</v>
      </c>
      <c r="F2166" s="121" t="s">
        <v>3009</v>
      </c>
      <c r="G2166" s="98" t="str">
        <f>HYPERLINK("http://mirror.ff7data.com.ar/ff7/data/battle/battle.lgp/ecbr.png","View Picture")</f>
        <v>View Picture</v>
      </c>
    </row>
    <row r="2167">
      <c r="A2167" s="55"/>
      <c r="B2167" s="119" t="s">
        <v>23200</v>
      </c>
      <c r="C2167" s="120" t="s">
        <v>6029</v>
      </c>
      <c r="D2167" s="33" t="s">
        <v>22960</v>
      </c>
      <c r="E2167" s="51" t="s">
        <v>452</v>
      </c>
      <c r="F2167" s="121" t="s">
        <v>3009</v>
      </c>
      <c r="G2167" s="98" t="str">
        <f>HYPERLINK("http://mirror.ff7data.com.ar/ff7/data/battle/battle.lgp/ecbt.png","View Picture")</f>
        <v>View Picture</v>
      </c>
    </row>
    <row r="2168">
      <c r="A2168" s="55"/>
      <c r="B2168" s="119" t="s">
        <v>23208</v>
      </c>
      <c r="C2168" s="120" t="s">
        <v>23032</v>
      </c>
      <c r="D2168" s="33" t="s">
        <v>22960</v>
      </c>
      <c r="E2168" s="51" t="s">
        <v>452</v>
      </c>
      <c r="F2168" s="121" t="s">
        <v>3009</v>
      </c>
      <c r="G2168" s="98" t="str">
        <f>HYPERLINK("http://mirror.ff7data.com.ar/ff7/data/battle/battle.lgp/ecbu.png","View Picture")</f>
        <v>View Picture</v>
      </c>
    </row>
    <row r="2169">
      <c r="A2169" s="55"/>
      <c r="B2169" s="119" t="s">
        <v>23217</v>
      </c>
      <c r="C2169" s="120" t="s">
        <v>4719</v>
      </c>
      <c r="D2169" s="33" t="s">
        <v>22960</v>
      </c>
      <c r="E2169" s="51" t="s">
        <v>452</v>
      </c>
      <c r="F2169" s="121" t="s">
        <v>3009</v>
      </c>
      <c r="G2169" s="98" t="str">
        <f>HYPERLINK("http://mirror.ff7data.com.ar/ff7/data/battle/battle.lgp/ecbw.png","View Picture")</f>
        <v>View Picture</v>
      </c>
    </row>
    <row r="2170">
      <c r="A2170" s="55"/>
      <c r="B2170" s="119" t="s">
        <v>23224</v>
      </c>
      <c r="C2170" s="120" t="s">
        <v>6029</v>
      </c>
      <c r="D2170" s="33" t="s">
        <v>22960</v>
      </c>
      <c r="E2170" s="51" t="s">
        <v>452</v>
      </c>
      <c r="F2170" s="121" t="s">
        <v>3009</v>
      </c>
      <c r="G2170" s="98" t="str">
        <f>HYPERLINK("http://mirror.ff7data.com.ar/ff7/data/battle/battle.lgp/ecbx.png","View Picture")</f>
        <v>View Picture</v>
      </c>
    </row>
    <row r="2171">
      <c r="A2171" s="55"/>
      <c r="B2171" s="119" t="s">
        <v>23232</v>
      </c>
      <c r="C2171" s="120" t="s">
        <v>23032</v>
      </c>
      <c r="D2171" s="33" t="s">
        <v>22960</v>
      </c>
      <c r="E2171" s="51" t="s">
        <v>452</v>
      </c>
      <c r="F2171" s="121" t="s">
        <v>3009</v>
      </c>
      <c r="G2171" s="98" t="str">
        <f>HYPERLINK("http://mirror.ff7data.com.ar/ff7/data/battle/battle.lgp/ecby.png","View Picture")</f>
        <v>View Picture</v>
      </c>
    </row>
    <row r="2172">
      <c r="A2172" s="55"/>
      <c r="B2172" s="119" t="s">
        <v>23246</v>
      </c>
      <c r="C2172" s="120" t="s">
        <v>4372</v>
      </c>
      <c r="D2172" s="33" t="s">
        <v>22960</v>
      </c>
      <c r="E2172" s="51" t="s">
        <v>452</v>
      </c>
      <c r="F2172" s="121" t="s">
        <v>3009</v>
      </c>
      <c r="G2172" s="98" t="str">
        <f>HYPERLINK("http://mirror.ff7data.com.ar/ff7/data/battle/battle.lgp/ecca.png","View Picture")</f>
        <v>View Picture</v>
      </c>
    </row>
    <row r="2173">
      <c r="A2173" s="55"/>
      <c r="B2173" s="119" t="s">
        <v>23258</v>
      </c>
      <c r="C2173" s="120" t="s">
        <v>23032</v>
      </c>
      <c r="D2173" s="33" t="s">
        <v>22960</v>
      </c>
      <c r="E2173" s="51" t="s">
        <v>452</v>
      </c>
      <c r="F2173" s="121" t="s">
        <v>3009</v>
      </c>
      <c r="G2173" s="98" t="str">
        <f>HYPERLINK("http://mirror.ff7data.com.ar/ff7/data/battle/battle.lgp/eccb.png","View Picture")</f>
        <v>View Picture</v>
      </c>
    </row>
    <row r="2174">
      <c r="A2174" s="55"/>
      <c r="B2174" s="119" t="s">
        <v>23270</v>
      </c>
      <c r="C2174" s="120" t="s">
        <v>10195</v>
      </c>
      <c r="D2174" s="33" t="s">
        <v>22960</v>
      </c>
      <c r="E2174" s="51" t="s">
        <v>452</v>
      </c>
      <c r="F2174" s="121" t="s">
        <v>3025</v>
      </c>
      <c r="H2174" s="46" t="s">
        <v>3002</v>
      </c>
    </row>
    <row r="2175">
      <c r="A2175" s="82"/>
      <c r="B2175" s="119" t="s">
        <v>23274</v>
      </c>
      <c r="C2175" s="120" t="s">
        <v>11721</v>
      </c>
      <c r="D2175" s="33" t="s">
        <v>23276</v>
      </c>
      <c r="E2175" s="51" t="s">
        <v>455</v>
      </c>
      <c r="F2175" s="121" t="s">
        <v>2971</v>
      </c>
      <c r="G2175" s="98" t="str">
        <f>HYPERLINK("http://mirror.ff7data.com.ar/ff7/data/battle/battle.lgp/edaa.png","View Picture")</f>
        <v>View Picture</v>
      </c>
    </row>
    <row r="2176">
      <c r="A2176" s="55"/>
      <c r="B2176" s="119" t="s">
        <v>23286</v>
      </c>
      <c r="C2176" s="120" t="s">
        <v>8538</v>
      </c>
      <c r="D2176" s="33" t="s">
        <v>23288</v>
      </c>
      <c r="E2176" s="51" t="s">
        <v>455</v>
      </c>
      <c r="F2176" s="121" t="s">
        <v>2993</v>
      </c>
      <c r="H2176" s="46" t="s">
        <v>3002</v>
      </c>
    </row>
    <row r="2177">
      <c r="A2177" s="55"/>
      <c r="B2177" s="119" t="s">
        <v>23291</v>
      </c>
      <c r="C2177" s="120" t="s">
        <v>20864</v>
      </c>
      <c r="D2177" s="33" t="s">
        <v>23295</v>
      </c>
      <c r="E2177" s="51" t="s">
        <v>455</v>
      </c>
      <c r="F2177" s="121" t="s">
        <v>3009</v>
      </c>
      <c r="G2177" s="98" t="str">
        <f>HYPERLINK("http://mirror.ff7data.com.ar/ff7/data/battle/battle.lgp/edam.png","View Picture")</f>
        <v>View Picture</v>
      </c>
    </row>
    <row r="2178">
      <c r="A2178" s="55"/>
      <c r="B2178" s="119" t="s">
        <v>23304</v>
      </c>
      <c r="C2178" s="120" t="s">
        <v>4288</v>
      </c>
      <c r="D2178" s="33" t="s">
        <v>23288</v>
      </c>
      <c r="E2178" s="51" t="s">
        <v>455</v>
      </c>
      <c r="F2178" s="121" t="s">
        <v>3025</v>
      </c>
      <c r="H2178" s="46" t="s">
        <v>3002</v>
      </c>
    </row>
    <row r="2179">
      <c r="A2179" s="55"/>
      <c r="B2179" s="119" t="s">
        <v>23308</v>
      </c>
      <c r="C2179" s="120" t="s">
        <v>8004</v>
      </c>
      <c r="D2179" s="33" t="s">
        <v>23311</v>
      </c>
      <c r="E2179" s="51" t="s">
        <v>459</v>
      </c>
      <c r="F2179" s="121" t="s">
        <v>3009</v>
      </c>
      <c r="G2179" s="98" t="str">
        <f>HYPERLINK("http://mirror.ff7data.com.ar/ff7/data/battle/battle.lgp/eeaa.png","View Picture")</f>
        <v>View Picture</v>
      </c>
      <c r="H2179" s="46" t="s">
        <v>23319</v>
      </c>
    </row>
    <row r="2180">
      <c r="A2180" s="55"/>
      <c r="B2180" s="119" t="s">
        <v>23320</v>
      </c>
      <c r="C2180" s="120" t="s">
        <v>3299</v>
      </c>
      <c r="D2180" s="33" t="s">
        <v>23321</v>
      </c>
      <c r="E2180" s="51" t="s">
        <v>459</v>
      </c>
      <c r="F2180" s="121" t="s">
        <v>3009</v>
      </c>
      <c r="H2180" s="46" t="s">
        <v>3002</v>
      </c>
    </row>
    <row r="2181">
      <c r="A2181" s="55"/>
      <c r="B2181" s="119" t="s">
        <v>23324</v>
      </c>
      <c r="C2181" s="120" t="s">
        <v>7165</v>
      </c>
      <c r="D2181" s="33" t="s">
        <v>23321</v>
      </c>
      <c r="E2181" s="51" t="s">
        <v>459</v>
      </c>
      <c r="F2181" s="121" t="s">
        <v>3009</v>
      </c>
      <c r="G2181" s="98" t="str">
        <f>HYPERLINK("http://mirror.ff7data.com.ar/ff7/data/battle/battle.lgp/eeam.png","View Picture")</f>
        <v>View Picture</v>
      </c>
    </row>
    <row r="2182">
      <c r="A2182" s="55"/>
      <c r="B2182" s="119" t="s">
        <v>23333</v>
      </c>
      <c r="C2182" s="120" t="s">
        <v>4057</v>
      </c>
      <c r="D2182" s="33" t="s">
        <v>23321</v>
      </c>
      <c r="E2182" s="51" t="s">
        <v>459</v>
      </c>
      <c r="F2182" s="121" t="s">
        <v>3009</v>
      </c>
      <c r="G2182" s="98" t="str">
        <f>HYPERLINK("http://mirror.ff7data.com.ar/ff7/data/battle/battle.lgp/eean.png","View Picture")</f>
        <v>View Picture</v>
      </c>
    </row>
    <row r="2183">
      <c r="A2183" s="55"/>
      <c r="B2183" s="119" t="s">
        <v>23343</v>
      </c>
      <c r="C2183" s="120" t="s">
        <v>3434</v>
      </c>
      <c r="D2183" s="33" t="s">
        <v>23321</v>
      </c>
      <c r="E2183" s="51" t="s">
        <v>459</v>
      </c>
      <c r="F2183" s="121" t="s">
        <v>3009</v>
      </c>
      <c r="G2183" s="98" t="str">
        <f>HYPERLINK("http://mirror.ff7data.com.ar/ff7/data/battle/battle.lgp/eeao.png","View Picture")</f>
        <v>View Picture</v>
      </c>
    </row>
    <row r="2184">
      <c r="A2184" s="55"/>
      <c r="B2184" s="119" t="s">
        <v>23353</v>
      </c>
      <c r="C2184" s="120" t="s">
        <v>3494</v>
      </c>
      <c r="D2184" s="33" t="s">
        <v>23321</v>
      </c>
      <c r="E2184" s="51" t="s">
        <v>459</v>
      </c>
      <c r="F2184" s="121" t="s">
        <v>3009</v>
      </c>
      <c r="G2184" s="98" t="str">
        <f>HYPERLINK("http://mirror.ff7data.com.ar/ff7/data/battle/battle.lgp/eeap.png","View Picture")</f>
        <v>View Picture</v>
      </c>
    </row>
    <row r="2185">
      <c r="A2185" s="55"/>
      <c r="B2185" s="119" t="s">
        <v>23367</v>
      </c>
      <c r="C2185" s="120" t="s">
        <v>8063</v>
      </c>
      <c r="D2185" s="33" t="s">
        <v>23321</v>
      </c>
      <c r="E2185" s="51" t="s">
        <v>459</v>
      </c>
      <c r="F2185" s="121" t="s">
        <v>3009</v>
      </c>
      <c r="G2185" s="98" t="str">
        <f>HYPERLINK("http://mirror.ff7data.com.ar/ff7/data/battle/battle.lgp/eeaq.png","View Picture")</f>
        <v>View Picture</v>
      </c>
    </row>
    <row r="2186">
      <c r="A2186" s="55"/>
      <c r="B2186" s="119" t="s">
        <v>23382</v>
      </c>
      <c r="C2186" s="120" t="s">
        <v>4476</v>
      </c>
      <c r="D2186" s="33" t="s">
        <v>23321</v>
      </c>
      <c r="E2186" s="51" t="s">
        <v>459</v>
      </c>
      <c r="F2186" s="121" t="s">
        <v>3009</v>
      </c>
      <c r="G2186" s="98" t="str">
        <f>HYPERLINK("http://mirror.ff7data.com.ar/ff7/data/battle/battle.lgp/eeas.png","View Picture")</f>
        <v>View Picture</v>
      </c>
    </row>
    <row r="2187">
      <c r="A2187" s="55"/>
      <c r="B2187" s="119" t="s">
        <v>23395</v>
      </c>
      <c r="C2187" s="120" t="s">
        <v>4719</v>
      </c>
      <c r="D2187" s="33" t="s">
        <v>23321</v>
      </c>
      <c r="E2187" s="51" t="s">
        <v>459</v>
      </c>
      <c r="F2187" s="121" t="s">
        <v>3009</v>
      </c>
      <c r="G2187" s="98" t="str">
        <f>HYPERLINK("http://mirror.ff7data.com.ar/ff7/data/battle/battle.lgp/eeav.png","View Picture")</f>
        <v>View Picture</v>
      </c>
    </row>
    <row r="2188">
      <c r="A2188" s="55"/>
      <c r="B2188" s="119" t="s">
        <v>23408</v>
      </c>
      <c r="C2188" s="120" t="s">
        <v>4732</v>
      </c>
      <c r="D2188" s="33" t="s">
        <v>23321</v>
      </c>
      <c r="E2188" s="51" t="s">
        <v>459</v>
      </c>
      <c r="F2188" s="121" t="s">
        <v>3009</v>
      </c>
      <c r="G2188" s="98" t="str">
        <f>HYPERLINK("http://mirror.ff7data.com.ar/ff7/data/battle/battle.lgp/eeaw.png","View Picture")</f>
        <v>View Picture</v>
      </c>
    </row>
    <row r="2189">
      <c r="A2189" s="55"/>
      <c r="B2189" s="119" t="s">
        <v>23421</v>
      </c>
      <c r="C2189" s="120" t="s">
        <v>6029</v>
      </c>
      <c r="D2189" s="33" t="s">
        <v>23321</v>
      </c>
      <c r="E2189" s="51" t="s">
        <v>459</v>
      </c>
      <c r="F2189" s="121" t="s">
        <v>3009</v>
      </c>
      <c r="G2189" s="98" t="str">
        <f>HYPERLINK("http://mirror.ff7data.com.ar/ff7/data/battle/battle.lgp/eeax.png","View Picture")</f>
        <v>View Picture</v>
      </c>
    </row>
    <row r="2190">
      <c r="A2190" s="55"/>
      <c r="B2190" s="119" t="s">
        <v>23433</v>
      </c>
      <c r="C2190" s="120" t="s">
        <v>4264</v>
      </c>
      <c r="D2190" s="33" t="s">
        <v>23321</v>
      </c>
      <c r="E2190" s="51" t="s">
        <v>459</v>
      </c>
      <c r="F2190" s="121" t="s">
        <v>3009</v>
      </c>
      <c r="G2190" s="98" t="str">
        <f>HYPERLINK("http://mirror.ff7data.com.ar/ff7/data/battle/battle.lgp/eeaz.png","View Picture")</f>
        <v>View Picture</v>
      </c>
    </row>
    <row r="2191">
      <c r="A2191" s="55"/>
      <c r="B2191" s="119" t="s">
        <v>23444</v>
      </c>
      <c r="C2191" s="120" t="s">
        <v>4372</v>
      </c>
      <c r="D2191" s="33" t="s">
        <v>23321</v>
      </c>
      <c r="E2191" s="51" t="s">
        <v>459</v>
      </c>
      <c r="F2191" s="121" t="s">
        <v>3009</v>
      </c>
      <c r="G2191" s="98" t="str">
        <f>HYPERLINK("http://mirror.ff7data.com.ar/ff7/data/battle/battle.lgp/eebb.png","View Picture")</f>
        <v>View Picture</v>
      </c>
    </row>
    <row r="2192">
      <c r="A2192" s="55"/>
      <c r="B2192" s="119" t="s">
        <v>23453</v>
      </c>
      <c r="C2192" s="120" t="s">
        <v>4372</v>
      </c>
      <c r="D2192" s="33" t="s">
        <v>23321</v>
      </c>
      <c r="E2192" s="51" t="s">
        <v>459</v>
      </c>
      <c r="F2192" s="121" t="s">
        <v>3009</v>
      </c>
      <c r="G2192" s="98" t="str">
        <f>HYPERLINK("http://mirror.ff7data.com.ar/ff7/data/battle/battle.lgp/eebd.png","View Picture")</f>
        <v>View Picture</v>
      </c>
    </row>
    <row r="2193">
      <c r="A2193" s="55"/>
      <c r="B2193" s="119" t="s">
        <v>23464</v>
      </c>
      <c r="C2193" s="120" t="s">
        <v>4719</v>
      </c>
      <c r="D2193" s="33" t="s">
        <v>23321</v>
      </c>
      <c r="E2193" s="51" t="s">
        <v>459</v>
      </c>
      <c r="F2193" s="121" t="s">
        <v>3009</v>
      </c>
      <c r="G2193" s="98" t="str">
        <f>HYPERLINK("http://mirror.ff7data.com.ar/ff7/data/battle/battle.lgp/eebg.png","View Picture")</f>
        <v>View Picture</v>
      </c>
    </row>
    <row r="2194">
      <c r="A2194" s="55"/>
      <c r="B2194" s="119" t="s">
        <v>23472</v>
      </c>
      <c r="C2194" s="120" t="s">
        <v>4732</v>
      </c>
      <c r="D2194" s="33" t="s">
        <v>23321</v>
      </c>
      <c r="E2194" s="51" t="s">
        <v>459</v>
      </c>
      <c r="F2194" s="121" t="s">
        <v>3009</v>
      </c>
      <c r="G2194" s="98" t="str">
        <f>HYPERLINK("http://mirror.ff7data.com.ar/ff7/data/battle/battle.lgp/eebh.png","View Picture")</f>
        <v>View Picture</v>
      </c>
    </row>
    <row r="2195">
      <c r="A2195" s="55"/>
      <c r="B2195" s="119" t="s">
        <v>23483</v>
      </c>
      <c r="C2195" s="120" t="s">
        <v>6029</v>
      </c>
      <c r="D2195" s="33" t="s">
        <v>23321</v>
      </c>
      <c r="E2195" s="51" t="s">
        <v>459</v>
      </c>
      <c r="F2195" s="121" t="s">
        <v>3009</v>
      </c>
      <c r="G2195" s="98" t="str">
        <f>HYPERLINK("http://mirror.ff7data.com.ar/ff7/data/battle/battle.lgp/eebi.png","View Picture")</f>
        <v>View Picture</v>
      </c>
    </row>
    <row r="2196">
      <c r="A2196" s="55"/>
      <c r="B2196" s="119" t="s">
        <v>23497</v>
      </c>
      <c r="C2196" s="120" t="s">
        <v>4264</v>
      </c>
      <c r="D2196" s="33" t="s">
        <v>23321</v>
      </c>
      <c r="E2196" s="51" t="s">
        <v>459</v>
      </c>
      <c r="F2196" s="121" t="s">
        <v>3009</v>
      </c>
      <c r="G2196" s="98" t="str">
        <f>HYPERLINK("http://mirror.ff7data.com.ar/ff7/data/battle/battle.lgp/eebk.png","View Picture")</f>
        <v>View Picture</v>
      </c>
    </row>
    <row r="2197">
      <c r="A2197" s="55"/>
      <c r="B2197" s="119" t="s">
        <v>23508</v>
      </c>
      <c r="C2197" s="120" t="s">
        <v>4372</v>
      </c>
      <c r="D2197" s="33" t="s">
        <v>23321</v>
      </c>
      <c r="E2197" s="51" t="s">
        <v>459</v>
      </c>
      <c r="F2197" s="121" t="s">
        <v>3009</v>
      </c>
      <c r="G2197" s="98" t="str">
        <f>HYPERLINK("http://mirror.ff7data.com.ar/ff7/data/battle/battle.lgp/eebm.png","View Picture")</f>
        <v>View Picture</v>
      </c>
    </row>
    <row r="2198">
      <c r="A2198" s="55"/>
      <c r="B2198" s="119" t="s">
        <v>23516</v>
      </c>
      <c r="C2198" s="120" t="s">
        <v>4372</v>
      </c>
      <c r="D2198" s="33" t="s">
        <v>23321</v>
      </c>
      <c r="E2198" s="51" t="s">
        <v>459</v>
      </c>
      <c r="F2198" s="121" t="s">
        <v>3009</v>
      </c>
      <c r="G2198" s="98" t="str">
        <f>HYPERLINK("http://mirror.ff7data.com.ar/ff7/data/battle/battle.lgp/eebo.png","View Picture")</f>
        <v>View Picture</v>
      </c>
    </row>
    <row r="2199">
      <c r="A2199" s="55"/>
      <c r="B2199" s="119" t="s">
        <v>23527</v>
      </c>
      <c r="C2199" s="120" t="s">
        <v>4372</v>
      </c>
      <c r="D2199" s="33" t="s">
        <v>23321</v>
      </c>
      <c r="E2199" s="51" t="s">
        <v>459</v>
      </c>
      <c r="F2199" s="121" t="s">
        <v>3009</v>
      </c>
      <c r="G2199" s="98" t="str">
        <f>HYPERLINK("http://mirror.ff7data.com.ar/ff7/data/battle/battle.lgp/eebq.png","View Picture")</f>
        <v>View Picture</v>
      </c>
    </row>
    <row r="2200">
      <c r="A2200" s="55"/>
      <c r="B2200" s="119" t="s">
        <v>23541</v>
      </c>
      <c r="C2200" s="120" t="s">
        <v>4372</v>
      </c>
      <c r="D2200" s="33" t="s">
        <v>23321</v>
      </c>
      <c r="E2200" s="51" t="s">
        <v>459</v>
      </c>
      <c r="F2200" s="121" t="s">
        <v>3009</v>
      </c>
      <c r="G2200" s="98" t="str">
        <f>HYPERLINK("http://mirror.ff7data.com.ar/ff7/data/battle/battle.lgp/eebr.png","View Picture")</f>
        <v>View Picture</v>
      </c>
    </row>
    <row r="2201">
      <c r="A2201" s="55"/>
      <c r="B2201" s="119" t="s">
        <v>23553</v>
      </c>
      <c r="C2201" s="120" t="s">
        <v>4372</v>
      </c>
      <c r="D2201" s="33" t="s">
        <v>23321</v>
      </c>
      <c r="E2201" s="51" t="s">
        <v>459</v>
      </c>
      <c r="F2201" s="121" t="s">
        <v>3009</v>
      </c>
      <c r="G2201" s="98" t="str">
        <f>HYPERLINK("http://mirror.ff7data.com.ar/ff7/data/battle/battle.lgp/eebs.png","View Picture")</f>
        <v>View Picture</v>
      </c>
    </row>
    <row r="2202">
      <c r="A2202" s="55"/>
      <c r="B2202" s="119" t="s">
        <v>23561</v>
      </c>
      <c r="C2202" s="120" t="s">
        <v>4185</v>
      </c>
      <c r="D2202" s="33" t="s">
        <v>23321</v>
      </c>
      <c r="E2202" s="51" t="s">
        <v>459</v>
      </c>
      <c r="F2202" s="121" t="s">
        <v>3009</v>
      </c>
      <c r="G2202" s="98" t="str">
        <f>HYPERLINK("http://mirror.ff7data.com.ar/ff7/data/battle/battle.lgp/eebt.png","View Picture")</f>
        <v>View Picture</v>
      </c>
    </row>
    <row r="2203">
      <c r="A2203" s="55"/>
      <c r="B2203" s="119" t="s">
        <v>23572</v>
      </c>
      <c r="C2203" s="120" t="s">
        <v>4372</v>
      </c>
      <c r="D2203" s="33" t="s">
        <v>23321</v>
      </c>
      <c r="E2203" s="51" t="s">
        <v>459</v>
      </c>
      <c r="F2203" s="121" t="s">
        <v>3009</v>
      </c>
      <c r="G2203" s="98" t="str">
        <f>HYPERLINK("http://mirror.ff7data.com.ar/ff7/data/battle/battle.lgp/eebv.png","View Picture")</f>
        <v>View Picture</v>
      </c>
    </row>
    <row r="2204">
      <c r="A2204" s="55"/>
      <c r="B2204" s="119" t="s">
        <v>23580</v>
      </c>
      <c r="C2204" s="120" t="s">
        <v>4372</v>
      </c>
      <c r="D2204" s="33" t="s">
        <v>23321</v>
      </c>
      <c r="E2204" s="51" t="s">
        <v>459</v>
      </c>
      <c r="F2204" s="121" t="s">
        <v>3009</v>
      </c>
      <c r="G2204" s="98" t="str">
        <f>HYPERLINK("http://mirror.ff7data.com.ar/ff7/data/battle/battle.lgp/eebw.png","View Picture")</f>
        <v>View Picture</v>
      </c>
    </row>
    <row r="2205">
      <c r="A2205" s="55"/>
      <c r="B2205" s="119" t="s">
        <v>23586</v>
      </c>
      <c r="C2205" s="120" t="s">
        <v>4372</v>
      </c>
      <c r="D2205" s="33" t="s">
        <v>23321</v>
      </c>
      <c r="E2205" s="51" t="s">
        <v>459</v>
      </c>
      <c r="F2205" s="121" t="s">
        <v>3009</v>
      </c>
      <c r="G2205" s="98" t="str">
        <f>HYPERLINK("http://mirror.ff7data.com.ar/ff7/data/battle/battle.lgp/eebx.png","View Picture")</f>
        <v>View Picture</v>
      </c>
    </row>
    <row r="2206">
      <c r="A2206" s="55"/>
      <c r="B2206" s="119" t="s">
        <v>23594</v>
      </c>
      <c r="C2206" s="120" t="s">
        <v>4185</v>
      </c>
      <c r="D2206" s="33" t="s">
        <v>23321</v>
      </c>
      <c r="E2206" s="51" t="s">
        <v>459</v>
      </c>
      <c r="F2206" s="121" t="s">
        <v>3009</v>
      </c>
      <c r="G2206" s="98" t="str">
        <f>HYPERLINK("http://mirror.ff7data.com.ar/ff7/data/battle/battle.lgp/eeby.png","View Picture")</f>
        <v>View Picture</v>
      </c>
    </row>
    <row r="2207">
      <c r="A2207" s="55"/>
      <c r="B2207" s="119" t="s">
        <v>23607</v>
      </c>
      <c r="C2207" s="120" t="s">
        <v>6018</v>
      </c>
      <c r="D2207" s="33" t="s">
        <v>23321</v>
      </c>
      <c r="E2207" s="51" t="s">
        <v>459</v>
      </c>
      <c r="F2207" s="121" t="s">
        <v>3025</v>
      </c>
      <c r="H2207" s="46" t="s">
        <v>3002</v>
      </c>
    </row>
    <row r="2208">
      <c r="A2208" s="55"/>
      <c r="B2208" s="119" t="s">
        <v>23610</v>
      </c>
      <c r="C2208" s="120" t="s">
        <v>11208</v>
      </c>
      <c r="D2208" s="33" t="s">
        <v>23612</v>
      </c>
      <c r="E2208" s="51" t="s">
        <v>463</v>
      </c>
      <c r="F2208" s="121" t="s">
        <v>2971</v>
      </c>
      <c r="G2208" s="98" t="str">
        <f>HYPERLINK("http://mirror.ff7data.com.ar/ff7/data/battle/battle.lgp/efaa.png","View Picture")</f>
        <v>View Picture</v>
      </c>
    </row>
    <row r="2209">
      <c r="A2209" s="55"/>
      <c r="B2209" s="119" t="s">
        <v>23619</v>
      </c>
      <c r="C2209" s="120" t="s">
        <v>5222</v>
      </c>
      <c r="D2209" s="33" t="s">
        <v>23621</v>
      </c>
      <c r="E2209" s="51" t="s">
        <v>463</v>
      </c>
      <c r="F2209" s="121" t="s">
        <v>2993</v>
      </c>
      <c r="H2209" s="46" t="s">
        <v>3002</v>
      </c>
    </row>
    <row r="2210">
      <c r="A2210" s="55"/>
      <c r="B2210" s="119" t="s">
        <v>23624</v>
      </c>
      <c r="C2210" s="120" t="s">
        <v>3573</v>
      </c>
      <c r="D2210" s="33" t="s">
        <v>23621</v>
      </c>
      <c r="E2210" s="51" t="s">
        <v>463</v>
      </c>
      <c r="F2210" s="121" t="s">
        <v>3009</v>
      </c>
      <c r="G2210" s="98" t="str">
        <f>HYPERLINK("http://mirror.ff7data.com.ar/ff7/data/battle/battle.lgp/efan.png","View Picture")</f>
        <v>View Picture</v>
      </c>
    </row>
    <row r="2211">
      <c r="A2211" s="55"/>
      <c r="B2211" s="119" t="s">
        <v>23632</v>
      </c>
      <c r="C2211" s="120" t="s">
        <v>3412</v>
      </c>
      <c r="D2211" s="33" t="s">
        <v>23621</v>
      </c>
      <c r="E2211" s="51" t="s">
        <v>463</v>
      </c>
      <c r="F2211" s="121" t="s">
        <v>3009</v>
      </c>
      <c r="G2211" s="98" t="str">
        <f>HYPERLINK("http://mirror.ff7data.com.ar/ff7/data/battle/battle.lgp/efap.png","View Picture")</f>
        <v>View Picture</v>
      </c>
    </row>
    <row r="2212">
      <c r="A2212" s="55"/>
      <c r="B2212" s="119" t="s">
        <v>23641</v>
      </c>
      <c r="C2212" s="120" t="s">
        <v>3318</v>
      </c>
      <c r="D2212" s="33" t="s">
        <v>23621</v>
      </c>
      <c r="E2212" s="51" t="s">
        <v>463</v>
      </c>
      <c r="F2212" s="121" t="s">
        <v>3009</v>
      </c>
      <c r="G2212" s="98" t="str">
        <f>HYPERLINK("http://mirror.ff7data.com.ar/ff7/data/battle/battle.lgp/efaq.png","View Picture")</f>
        <v>View Picture</v>
      </c>
    </row>
    <row r="2213">
      <c r="A2213" s="55"/>
      <c r="B2213" s="119" t="s">
        <v>23648</v>
      </c>
      <c r="C2213" s="120" t="s">
        <v>3412</v>
      </c>
      <c r="D2213" s="33" t="s">
        <v>23621</v>
      </c>
      <c r="E2213" s="51" t="s">
        <v>463</v>
      </c>
      <c r="F2213" s="121" t="s">
        <v>3009</v>
      </c>
      <c r="G2213" s="98" t="str">
        <f>HYPERLINK("http://mirror.ff7data.com.ar/ff7/data/battle/battle.lgp/efas.png","View Picture")</f>
        <v>View Picture</v>
      </c>
    </row>
    <row r="2214">
      <c r="A2214" s="55"/>
      <c r="B2214" s="119" t="s">
        <v>23665</v>
      </c>
      <c r="C2214" s="120" t="s">
        <v>4719</v>
      </c>
      <c r="D2214" s="33" t="s">
        <v>23621</v>
      </c>
      <c r="E2214" s="51" t="s">
        <v>463</v>
      </c>
      <c r="F2214" s="121" t="s">
        <v>3009</v>
      </c>
      <c r="G2214" s="98" t="str">
        <f>HYPERLINK("http://mirror.ff7data.com.ar/ff7/data/battle/battle.lgp/efau.png","View Picture")</f>
        <v>View Picture</v>
      </c>
    </row>
    <row r="2215">
      <c r="A2215" s="55"/>
      <c r="B2215" s="119" t="s">
        <v>23678</v>
      </c>
      <c r="C2215" s="120" t="s">
        <v>5203</v>
      </c>
      <c r="D2215" s="33" t="s">
        <v>23621</v>
      </c>
      <c r="E2215" s="51" t="s">
        <v>463</v>
      </c>
      <c r="F2215" s="121" t="s">
        <v>3009</v>
      </c>
      <c r="G2215" s="98" t="str">
        <f>HYPERLINK("http://mirror.ff7data.com.ar/ff7/data/battle/battle.lgp/efaw.png","View Picture")</f>
        <v>View Picture</v>
      </c>
    </row>
    <row r="2216">
      <c r="A2216" s="55"/>
      <c r="B2216" s="119" t="s">
        <v>23686</v>
      </c>
      <c r="C2216" s="120" t="s">
        <v>4841</v>
      </c>
      <c r="D2216" s="33" t="s">
        <v>23621</v>
      </c>
      <c r="E2216" s="51" t="s">
        <v>463</v>
      </c>
      <c r="F2216" s="121" t="s">
        <v>3009</v>
      </c>
      <c r="G2216" s="98" t="str">
        <f>HYPERLINK("http://mirror.ff7data.com.ar/ff7/data/battle/battle.lgp/efay.png","View Picture")</f>
        <v>View Picture</v>
      </c>
    </row>
    <row r="2217">
      <c r="A2217" s="55"/>
      <c r="B2217" s="119" t="s">
        <v>23694</v>
      </c>
      <c r="C2217" s="120" t="s">
        <v>4372</v>
      </c>
      <c r="D2217" s="33" t="s">
        <v>23621</v>
      </c>
      <c r="E2217" s="51" t="s">
        <v>463</v>
      </c>
      <c r="F2217" s="121" t="s">
        <v>3009</v>
      </c>
      <c r="G2217" s="98" t="str">
        <f>HYPERLINK("http://mirror.ff7data.com.ar/ff7/data/battle/battle.lgp/efba.png","View Picture")</f>
        <v>View Picture</v>
      </c>
    </row>
    <row r="2218">
      <c r="A2218" s="55"/>
      <c r="B2218" s="119" t="s">
        <v>23700</v>
      </c>
      <c r="C2218" s="120" t="s">
        <v>7165</v>
      </c>
      <c r="D2218" s="33" t="s">
        <v>23621</v>
      </c>
      <c r="E2218" s="51" t="s">
        <v>463</v>
      </c>
      <c r="F2218" s="121" t="s">
        <v>3025</v>
      </c>
      <c r="H2218" s="46" t="s">
        <v>3002</v>
      </c>
    </row>
    <row r="2219">
      <c r="A2219" s="55"/>
      <c r="B2219" s="119" t="s">
        <v>23704</v>
      </c>
      <c r="C2219" s="120" t="s">
        <v>9973</v>
      </c>
      <c r="D2219" s="33" t="s">
        <v>23707</v>
      </c>
      <c r="E2219" s="51" t="s">
        <v>473</v>
      </c>
      <c r="F2219" s="121" t="s">
        <v>2971</v>
      </c>
      <c r="G2219" s="98" t="str">
        <f>HYPERLINK("http://mirror.ff7data.com.ar/ff7/data/battle/battle.lgp/egaa.png","View Picture")</f>
        <v>View Picture</v>
      </c>
    </row>
    <row r="2220">
      <c r="A2220" s="55"/>
      <c r="B2220" s="119" t="s">
        <v>23715</v>
      </c>
      <c r="C2220" s="120" t="s">
        <v>8538</v>
      </c>
      <c r="D2220" s="33" t="s">
        <v>23717</v>
      </c>
      <c r="E2220" s="51" t="s">
        <v>473</v>
      </c>
      <c r="F2220" s="121" t="s">
        <v>2993</v>
      </c>
      <c r="H2220" s="46" t="s">
        <v>3002</v>
      </c>
    </row>
    <row r="2221">
      <c r="A2221" s="55"/>
      <c r="B2221" s="119" t="s">
        <v>23722</v>
      </c>
      <c r="C2221" s="120" t="s">
        <v>3481</v>
      </c>
      <c r="D2221" s="33" t="s">
        <v>23717</v>
      </c>
      <c r="E2221" s="51" t="s">
        <v>473</v>
      </c>
      <c r="F2221" s="121" t="s">
        <v>3009</v>
      </c>
      <c r="G2221" s="98" t="str">
        <f>HYPERLINK("http://mirror.ff7data.com.ar/ff7/data/battle/battle.lgp/egam.png","View Picture")</f>
        <v>View Picture</v>
      </c>
    </row>
    <row r="2222">
      <c r="A2222" s="55"/>
      <c r="B2222" s="119" t="s">
        <v>23735</v>
      </c>
      <c r="C2222" s="120" t="s">
        <v>14030</v>
      </c>
      <c r="D2222" s="33" t="s">
        <v>23717</v>
      </c>
      <c r="E2222" s="51" t="s">
        <v>473</v>
      </c>
      <c r="F2222" s="121" t="s">
        <v>3009</v>
      </c>
      <c r="G2222" s="98" t="str">
        <f>HYPERLINK("http://mirror.ff7data.com.ar/ff7/data/battle/battle.lgp/egan.png","View Picture")</f>
        <v>View Picture</v>
      </c>
    </row>
    <row r="2223">
      <c r="A2223" s="55"/>
      <c r="B2223" s="119" t="s">
        <v>23747</v>
      </c>
      <c r="C2223" s="120" t="s">
        <v>9041</v>
      </c>
      <c r="D2223" s="33" t="s">
        <v>23717</v>
      </c>
      <c r="E2223" s="51" t="s">
        <v>473</v>
      </c>
      <c r="F2223" s="121" t="s">
        <v>3009</v>
      </c>
      <c r="G2223" s="98" t="str">
        <f>HYPERLINK("http://mirror.ff7data.com.ar/ff7/data/battle/battle.lgp/egao.png","View Picture")</f>
        <v>View Picture</v>
      </c>
    </row>
    <row r="2224">
      <c r="A2224" s="55"/>
      <c r="B2224" s="119" t="s">
        <v>23759</v>
      </c>
      <c r="C2224" s="120" t="s">
        <v>3465</v>
      </c>
      <c r="D2224" s="33" t="s">
        <v>23717</v>
      </c>
      <c r="E2224" s="51" t="s">
        <v>473</v>
      </c>
      <c r="F2224" s="121" t="s">
        <v>3009</v>
      </c>
      <c r="G2224" s="98" t="str">
        <f>HYPERLINK("http://mirror.ff7data.com.ar/ff7/data/battle/battle.lgp/egap.png","View Picture")</f>
        <v>View Picture</v>
      </c>
    </row>
    <row r="2225">
      <c r="A2225" s="55"/>
      <c r="B2225" s="119" t="s">
        <v>23773</v>
      </c>
      <c r="C2225" s="120" t="s">
        <v>4228</v>
      </c>
      <c r="D2225" s="33" t="s">
        <v>23717</v>
      </c>
      <c r="E2225" s="51" t="s">
        <v>473</v>
      </c>
      <c r="F2225" s="121" t="s">
        <v>3009</v>
      </c>
      <c r="G2225" s="98" t="str">
        <f>HYPERLINK("http://mirror.ff7data.com.ar/ff7/data/battle/battle.lgp/egaq.png","View Picture")</f>
        <v>View Picture</v>
      </c>
    </row>
    <row r="2226">
      <c r="A2226" s="55"/>
      <c r="B2226" s="119" t="s">
        <v>23787</v>
      </c>
      <c r="C2226" s="120" t="s">
        <v>3465</v>
      </c>
      <c r="D2226" s="33" t="s">
        <v>23717</v>
      </c>
      <c r="E2226" s="51" t="s">
        <v>473</v>
      </c>
      <c r="F2226" s="121" t="s">
        <v>3009</v>
      </c>
      <c r="G2226" s="98" t="str">
        <f>HYPERLINK("http://mirror.ff7data.com.ar/ff7/data/battle/battle.lgp/egas.png","View Picture")</f>
        <v>View Picture</v>
      </c>
    </row>
    <row r="2227">
      <c r="A2227" s="55"/>
      <c r="B2227" s="119" t="s">
        <v>23794</v>
      </c>
      <c r="C2227" s="120" t="s">
        <v>3007</v>
      </c>
      <c r="D2227" s="33" t="s">
        <v>23717</v>
      </c>
      <c r="E2227" s="51" t="s">
        <v>473</v>
      </c>
      <c r="F2227" s="121" t="s">
        <v>3009</v>
      </c>
      <c r="G2227" s="98" t="str">
        <f>HYPERLINK("http://mirror.ff7data.com.ar/ff7/data/battle/battle.lgp/egau.png","View Picture")</f>
        <v>View Picture</v>
      </c>
    </row>
    <row r="2228">
      <c r="A2228" s="55"/>
      <c r="B2228" s="119" t="s">
        <v>23806</v>
      </c>
      <c r="C2228" s="120" t="s">
        <v>3007</v>
      </c>
      <c r="D2228" s="33" t="s">
        <v>23717</v>
      </c>
      <c r="E2228" s="51" t="s">
        <v>473</v>
      </c>
      <c r="F2228" s="121" t="s">
        <v>3009</v>
      </c>
      <c r="G2228" s="98" t="str">
        <f>HYPERLINK("http://mirror.ff7data.com.ar/ff7/data/battle/battle.lgp/egav.png","View Picture")</f>
        <v>View Picture</v>
      </c>
    </row>
    <row r="2229">
      <c r="A2229" s="55"/>
      <c r="B2229" s="119" t="s">
        <v>23818</v>
      </c>
      <c r="C2229" s="120" t="s">
        <v>3007</v>
      </c>
      <c r="D2229" s="33" t="s">
        <v>23717</v>
      </c>
      <c r="E2229" s="51" t="s">
        <v>473</v>
      </c>
      <c r="F2229" s="121" t="s">
        <v>3009</v>
      </c>
      <c r="G2229" s="98" t="str">
        <f>HYPERLINK("http://mirror.ff7data.com.ar/ff7/data/battle/battle.lgp/egax.png","View Picture")</f>
        <v>View Picture</v>
      </c>
    </row>
    <row r="2230">
      <c r="A2230" s="55"/>
      <c r="B2230" s="119" t="s">
        <v>23831</v>
      </c>
      <c r="C2230" s="120" t="s">
        <v>3007</v>
      </c>
      <c r="D2230" s="33" t="s">
        <v>23717</v>
      </c>
      <c r="E2230" s="51" t="s">
        <v>473</v>
      </c>
      <c r="F2230" s="121" t="s">
        <v>3009</v>
      </c>
      <c r="G2230" s="98" t="str">
        <f>HYPERLINK("http://mirror.ff7data.com.ar/ff7/data/battle/battle.lgp/egay.png","View Picture")</f>
        <v>View Picture</v>
      </c>
    </row>
    <row r="2231">
      <c r="A2231" s="55"/>
      <c r="B2231" s="119" t="s">
        <v>23847</v>
      </c>
      <c r="C2231" s="120" t="s">
        <v>3007</v>
      </c>
      <c r="D2231" s="33" t="s">
        <v>23717</v>
      </c>
      <c r="E2231" s="51" t="s">
        <v>473</v>
      </c>
      <c r="F2231" s="121" t="s">
        <v>3009</v>
      </c>
      <c r="G2231" s="98" t="str">
        <f>HYPERLINK("http://mirror.ff7data.com.ar/ff7/data/battle/battle.lgp/egba.png","View Picture")</f>
        <v>View Picture</v>
      </c>
    </row>
    <row r="2232">
      <c r="A2232" s="55"/>
      <c r="B2232" s="119" t="s">
        <v>23857</v>
      </c>
      <c r="C2232" s="120" t="s">
        <v>3007</v>
      </c>
      <c r="D2232" s="33" t="s">
        <v>23717</v>
      </c>
      <c r="E2232" s="51" t="s">
        <v>473</v>
      </c>
      <c r="F2232" s="121" t="s">
        <v>3009</v>
      </c>
      <c r="G2232" s="98" t="str">
        <f>HYPERLINK("http://mirror.ff7data.com.ar/ff7/data/battle/battle.lgp/egbb.png","View Picture")</f>
        <v>View Picture</v>
      </c>
    </row>
    <row r="2233">
      <c r="A2233" s="55"/>
      <c r="B2233" s="119" t="s">
        <v>23869</v>
      </c>
      <c r="C2233" s="120" t="s">
        <v>3007</v>
      </c>
      <c r="D2233" s="33" t="s">
        <v>23717</v>
      </c>
      <c r="E2233" s="51" t="s">
        <v>473</v>
      </c>
      <c r="F2233" s="121" t="s">
        <v>3009</v>
      </c>
      <c r="G2233" s="98" t="str">
        <f>HYPERLINK("http://mirror.ff7data.com.ar/ff7/data/battle/battle.lgp/egbd.png","View Picture")</f>
        <v>View Picture</v>
      </c>
    </row>
    <row r="2234">
      <c r="A2234" s="55"/>
      <c r="B2234" s="119" t="s">
        <v>23882</v>
      </c>
      <c r="C2234" s="120" t="s">
        <v>3007</v>
      </c>
      <c r="D2234" s="33" t="s">
        <v>23717</v>
      </c>
      <c r="E2234" s="51" t="s">
        <v>473</v>
      </c>
      <c r="F2234" s="121" t="s">
        <v>3009</v>
      </c>
      <c r="G2234" s="98" t="str">
        <f>HYPERLINK("http://mirror.ff7data.com.ar/ff7/data/battle/battle.lgp/egbe.png","View Picture")</f>
        <v>View Picture</v>
      </c>
    </row>
    <row r="2235">
      <c r="A2235" s="55"/>
      <c r="B2235" s="119" t="s">
        <v>23890</v>
      </c>
      <c r="C2235" s="120" t="s">
        <v>3007</v>
      </c>
      <c r="D2235" s="33" t="s">
        <v>23717</v>
      </c>
      <c r="E2235" s="51" t="s">
        <v>473</v>
      </c>
      <c r="F2235" s="121" t="s">
        <v>3009</v>
      </c>
      <c r="G2235" s="98" t="str">
        <f>HYPERLINK("http://mirror.ff7data.com.ar/ff7/data/battle/battle.lgp/egbg.png","View Picture")</f>
        <v>View Picture</v>
      </c>
    </row>
    <row r="2236">
      <c r="A2236" s="55"/>
      <c r="B2236" s="119" t="s">
        <v>23902</v>
      </c>
      <c r="C2236" s="120" t="s">
        <v>3007</v>
      </c>
      <c r="D2236" s="33" t="s">
        <v>23717</v>
      </c>
      <c r="E2236" s="51" t="s">
        <v>473</v>
      </c>
      <c r="F2236" s="121" t="s">
        <v>3009</v>
      </c>
      <c r="G2236" s="98" t="str">
        <f>HYPERLINK("http://mirror.ff7data.com.ar/ff7/data/battle/battle.lgp/egbh.png","View Picture")</f>
        <v>View Picture</v>
      </c>
    </row>
    <row r="2237">
      <c r="A2237" s="55"/>
      <c r="B2237" s="119" t="s">
        <v>23915</v>
      </c>
      <c r="C2237" s="120" t="s">
        <v>3007</v>
      </c>
      <c r="D2237" s="33" t="s">
        <v>23717</v>
      </c>
      <c r="E2237" s="51" t="s">
        <v>473</v>
      </c>
      <c r="F2237" s="121" t="s">
        <v>3009</v>
      </c>
      <c r="G2237" s="98" t="str">
        <f>HYPERLINK("http://mirror.ff7data.com.ar/ff7/data/battle/battle.lgp/egbj.png","View Picture")</f>
        <v>View Picture</v>
      </c>
    </row>
    <row r="2238">
      <c r="A2238" s="55"/>
      <c r="B2238" s="119" t="s">
        <v>23927</v>
      </c>
      <c r="C2238" s="120" t="s">
        <v>3007</v>
      </c>
      <c r="D2238" s="33" t="s">
        <v>23717</v>
      </c>
      <c r="E2238" s="51" t="s">
        <v>473</v>
      </c>
      <c r="F2238" s="121" t="s">
        <v>3009</v>
      </c>
      <c r="G2238" s="98" t="str">
        <f>HYPERLINK("http://mirror.ff7data.com.ar/ff7/data/battle/battle.lgp/egbk.png","View Picture")</f>
        <v>View Picture</v>
      </c>
    </row>
    <row r="2239">
      <c r="A2239" s="55"/>
      <c r="B2239" s="119" t="s">
        <v>23938</v>
      </c>
      <c r="C2239" s="120" t="s">
        <v>3007</v>
      </c>
      <c r="D2239" s="33" t="s">
        <v>23717</v>
      </c>
      <c r="E2239" s="51" t="s">
        <v>473</v>
      </c>
      <c r="F2239" s="121" t="s">
        <v>3009</v>
      </c>
      <c r="G2239" s="98" t="str">
        <f>HYPERLINK("http://mirror.ff7data.com.ar/ff7/data/battle/battle.lgp/egbm.png","View Picture")</f>
        <v>View Picture</v>
      </c>
    </row>
    <row r="2240">
      <c r="A2240" s="55"/>
      <c r="B2240" s="119" t="s">
        <v>23946</v>
      </c>
      <c r="C2240" s="120" t="s">
        <v>3007</v>
      </c>
      <c r="D2240" s="33" t="s">
        <v>23717</v>
      </c>
      <c r="E2240" s="51" t="s">
        <v>473</v>
      </c>
      <c r="F2240" s="121" t="s">
        <v>3009</v>
      </c>
      <c r="G2240" s="98" t="str">
        <f>HYPERLINK("http://mirror.ff7data.com.ar/ff7/data/battle/battle.lgp/egbn.png","View Picture")</f>
        <v>View Picture</v>
      </c>
    </row>
    <row r="2241">
      <c r="A2241" s="55"/>
      <c r="B2241" s="119" t="s">
        <v>23954</v>
      </c>
      <c r="C2241" s="120" t="s">
        <v>3007</v>
      </c>
      <c r="D2241" s="33" t="s">
        <v>23717</v>
      </c>
      <c r="E2241" s="51" t="s">
        <v>473</v>
      </c>
      <c r="F2241" s="121" t="s">
        <v>3009</v>
      </c>
      <c r="G2241" s="98" t="str">
        <f>HYPERLINK("http://mirror.ff7data.com.ar/ff7/data/battle/battle.lgp/egbp.png","View Picture")</f>
        <v>View Picture</v>
      </c>
    </row>
    <row r="2242">
      <c r="A2242" s="55"/>
      <c r="B2242" s="119" t="s">
        <v>23963</v>
      </c>
      <c r="C2242" s="120" t="s">
        <v>3007</v>
      </c>
      <c r="D2242" s="33" t="s">
        <v>23717</v>
      </c>
      <c r="E2242" s="51" t="s">
        <v>473</v>
      </c>
      <c r="F2242" s="121" t="s">
        <v>3009</v>
      </c>
      <c r="G2242" s="98" t="str">
        <f>HYPERLINK("http://mirror.ff7data.com.ar/ff7/data/battle/battle.lgp/egbq.png","View Picture")</f>
        <v>View Picture</v>
      </c>
    </row>
    <row r="2243">
      <c r="A2243" s="55"/>
      <c r="B2243" s="119" t="s">
        <v>23976</v>
      </c>
      <c r="C2243" s="120" t="s">
        <v>4252</v>
      </c>
      <c r="D2243" s="33" t="s">
        <v>23717</v>
      </c>
      <c r="E2243" s="51" t="s">
        <v>473</v>
      </c>
      <c r="F2243" s="121" t="s">
        <v>3009</v>
      </c>
      <c r="G2243" s="98" t="str">
        <f>HYPERLINK("http://mirror.ff7data.com.ar/ff7/data/battle/battle.lgp/egbs.png","View Picture")</f>
        <v>View Picture</v>
      </c>
    </row>
    <row r="2244">
      <c r="A2244" s="55"/>
      <c r="B2244" s="119" t="s">
        <v>23984</v>
      </c>
      <c r="C2244" s="120" t="s">
        <v>10078</v>
      </c>
      <c r="D2244" s="33" t="s">
        <v>23717</v>
      </c>
      <c r="E2244" s="51" t="s">
        <v>473</v>
      </c>
      <c r="F2244" s="121" t="s">
        <v>3009</v>
      </c>
      <c r="G2244" s="98" t="str">
        <f>HYPERLINK("http://mirror.ff7data.com.ar/ff7/data/battle/battle.lgp/egbt.png","View Picture")</f>
        <v>View Picture</v>
      </c>
    </row>
    <row r="2245">
      <c r="A2245" s="55"/>
      <c r="B2245" s="119" t="s">
        <v>23994</v>
      </c>
      <c r="C2245" s="120" t="s">
        <v>10078</v>
      </c>
      <c r="D2245" s="33" t="s">
        <v>23717</v>
      </c>
      <c r="E2245" s="51" t="s">
        <v>473</v>
      </c>
      <c r="F2245" s="121" t="s">
        <v>3009</v>
      </c>
      <c r="G2245" s="98" t="str">
        <f>HYPERLINK("http://mirror.ff7data.com.ar/ff7/data/battle/battle.lgp/egbu.png","View Picture")</f>
        <v>View Picture</v>
      </c>
    </row>
    <row r="2246">
      <c r="A2246" s="55"/>
      <c r="B2246" s="119" t="s">
        <v>24004</v>
      </c>
      <c r="C2246" s="120" t="s">
        <v>10078</v>
      </c>
      <c r="D2246" s="33" t="s">
        <v>23717</v>
      </c>
      <c r="E2246" s="51" t="s">
        <v>473</v>
      </c>
      <c r="F2246" s="121" t="s">
        <v>3009</v>
      </c>
      <c r="G2246" s="98" t="str">
        <f>HYPERLINK("http://mirror.ff7data.com.ar/ff7/data/battle/battle.lgp/egbv.png","View Picture")</f>
        <v>View Picture</v>
      </c>
    </row>
    <row r="2247">
      <c r="A2247" s="55"/>
      <c r="B2247" s="119" t="s">
        <v>24014</v>
      </c>
      <c r="C2247" s="120" t="s">
        <v>10078</v>
      </c>
      <c r="D2247" s="33" t="s">
        <v>23717</v>
      </c>
      <c r="E2247" s="51" t="s">
        <v>473</v>
      </c>
      <c r="F2247" s="121" t="s">
        <v>3009</v>
      </c>
      <c r="G2247" s="98" t="str">
        <f>HYPERLINK("http://mirror.ff7data.com.ar/ff7/data/battle/battle.lgp/egbw.png","View Picture")</f>
        <v>View Picture</v>
      </c>
    </row>
    <row r="2248">
      <c r="A2248" s="55"/>
      <c r="B2248" s="119" t="s">
        <v>24023</v>
      </c>
      <c r="C2248" s="120" t="s">
        <v>4252</v>
      </c>
      <c r="D2248" s="33" t="s">
        <v>23717</v>
      </c>
      <c r="E2248" s="51" t="s">
        <v>473</v>
      </c>
      <c r="F2248" s="121" t="s">
        <v>3009</v>
      </c>
      <c r="G2248" s="98" t="str">
        <f>HYPERLINK("http://mirror.ff7data.com.ar/ff7/data/battle/battle.lgp/egbx.png","View Picture")</f>
        <v>View Picture</v>
      </c>
    </row>
    <row r="2249">
      <c r="A2249" s="55"/>
      <c r="B2249" s="119" t="s">
        <v>24033</v>
      </c>
      <c r="C2249" s="120" t="s">
        <v>7270</v>
      </c>
      <c r="D2249" s="33" t="s">
        <v>23717</v>
      </c>
      <c r="E2249" s="51" t="s">
        <v>473</v>
      </c>
      <c r="F2249" s="121" t="s">
        <v>3009</v>
      </c>
      <c r="G2249" s="98" t="str">
        <f>HYPERLINK("http://mirror.ff7data.com.ar/ff7/data/battle/battle.lgp/egby.png","View Picture")</f>
        <v>View Picture</v>
      </c>
    </row>
    <row r="2250">
      <c r="A2250" s="55"/>
      <c r="B2250" s="119" t="s">
        <v>24043</v>
      </c>
      <c r="C2250" s="120" t="s">
        <v>13619</v>
      </c>
      <c r="D2250" s="33" t="s">
        <v>23717</v>
      </c>
      <c r="E2250" s="51" t="s">
        <v>473</v>
      </c>
      <c r="F2250" s="121" t="s">
        <v>3009</v>
      </c>
      <c r="G2250" s="98" t="str">
        <f>HYPERLINK("http://mirror.ff7data.com.ar/ff7/data/battle/battle.lgp/egbz.png","View Picture")</f>
        <v>View Picture</v>
      </c>
    </row>
    <row r="2251">
      <c r="A2251" s="55"/>
      <c r="B2251" s="119" t="s">
        <v>24053</v>
      </c>
      <c r="C2251" s="120" t="s">
        <v>4228</v>
      </c>
      <c r="D2251" s="33" t="s">
        <v>23717</v>
      </c>
      <c r="E2251" s="51" t="s">
        <v>473</v>
      </c>
      <c r="F2251" s="121" t="s">
        <v>3025</v>
      </c>
      <c r="H2251" s="46" t="s">
        <v>3002</v>
      </c>
    </row>
    <row r="2252">
      <c r="A2252" s="55"/>
      <c r="B2252" s="119" t="s">
        <v>24058</v>
      </c>
      <c r="C2252" s="120" t="s">
        <v>4196</v>
      </c>
      <c r="D2252" s="33" t="s">
        <v>24061</v>
      </c>
      <c r="E2252" s="51" t="s">
        <v>476</v>
      </c>
      <c r="F2252" s="121" t="s">
        <v>2971</v>
      </c>
      <c r="G2252" s="98" t="str">
        <f>HYPERLINK("http://mirror.ff7data.com.ar/ff7/data/battle/battle.lgp/ehaa.png","View Picture")</f>
        <v>View Picture</v>
      </c>
    </row>
    <row r="2253">
      <c r="A2253" s="55"/>
      <c r="B2253" s="119" t="s">
        <v>24071</v>
      </c>
      <c r="C2253" s="120" t="s">
        <v>7606</v>
      </c>
      <c r="D2253" s="33" t="s">
        <v>24073</v>
      </c>
      <c r="E2253" s="51" t="s">
        <v>476</v>
      </c>
      <c r="F2253" s="121" t="s">
        <v>2993</v>
      </c>
      <c r="H2253" s="46" t="s">
        <v>3002</v>
      </c>
    </row>
    <row r="2254">
      <c r="A2254" s="55"/>
      <c r="B2254" s="119" t="s">
        <v>24076</v>
      </c>
      <c r="C2254" s="120" t="s">
        <v>7081</v>
      </c>
      <c r="D2254" s="33" t="s">
        <v>11506</v>
      </c>
      <c r="E2254" s="51" t="s">
        <v>476</v>
      </c>
      <c r="F2254" s="121" t="s">
        <v>1348</v>
      </c>
      <c r="G2254" s="98" t="str">
        <f>HYPERLINK("http://mirror.ff7data.com.ar/ff7/data/battle/battle.lgp/ehac.png","View Picture")</f>
        <v>View Picture</v>
      </c>
    </row>
    <row r="2255">
      <c r="A2255" s="55"/>
      <c r="B2255" s="119" t="s">
        <v>24086</v>
      </c>
      <c r="C2255" s="120" t="s">
        <v>10078</v>
      </c>
      <c r="D2255" s="33" t="s">
        <v>24073</v>
      </c>
      <c r="E2255" s="51" t="s">
        <v>476</v>
      </c>
      <c r="F2255" s="121" t="s">
        <v>3009</v>
      </c>
      <c r="G2255" s="98" t="str">
        <f>HYPERLINK("http://mirror.ff7data.com.ar/ff7/data/battle/battle.lgp/eham.png","View Picture")</f>
        <v>View Picture</v>
      </c>
    </row>
    <row r="2256">
      <c r="A2256" s="55"/>
      <c r="B2256" s="119" t="s">
        <v>24098</v>
      </c>
      <c r="C2256" s="120" t="s">
        <v>3573</v>
      </c>
      <c r="D2256" s="33" t="s">
        <v>24073</v>
      </c>
      <c r="E2256" s="51" t="s">
        <v>476</v>
      </c>
      <c r="F2256" s="121" t="s">
        <v>3009</v>
      </c>
      <c r="G2256" s="98" t="str">
        <f>HYPERLINK("http://mirror.ff7data.com.ar/ff7/data/battle/battle.lgp/ehan.png","View Picture")</f>
        <v>View Picture</v>
      </c>
    </row>
    <row r="2257">
      <c r="A2257" s="55"/>
      <c r="B2257" s="119" t="s">
        <v>24112</v>
      </c>
      <c r="C2257" s="120" t="s">
        <v>3318</v>
      </c>
      <c r="D2257" s="33" t="s">
        <v>24073</v>
      </c>
      <c r="E2257" s="51" t="s">
        <v>476</v>
      </c>
      <c r="F2257" s="121" t="s">
        <v>3009</v>
      </c>
      <c r="G2257" s="98" t="str">
        <f>HYPERLINK("http://mirror.ff7data.com.ar/ff7/data/battle/battle.lgp/ehap.png","View Picture")</f>
        <v>View Picture</v>
      </c>
    </row>
    <row r="2258">
      <c r="A2258" s="55"/>
      <c r="B2258" s="119" t="s">
        <v>24121</v>
      </c>
      <c r="C2258" s="120" t="s">
        <v>3566</v>
      </c>
      <c r="D2258" s="33" t="s">
        <v>24073</v>
      </c>
      <c r="E2258" s="51" t="s">
        <v>476</v>
      </c>
      <c r="F2258" s="121" t="s">
        <v>3009</v>
      </c>
      <c r="G2258" s="98" t="str">
        <f>HYPERLINK("http://mirror.ff7data.com.ar/ff7/data/battle/battle.lgp/ehar.png","View Picture")</f>
        <v>View Picture</v>
      </c>
    </row>
    <row r="2259">
      <c r="A2259" s="55"/>
      <c r="B2259" s="119" t="s">
        <v>24129</v>
      </c>
      <c r="C2259" s="120" t="s">
        <v>24131</v>
      </c>
      <c r="D2259" s="33" t="s">
        <v>24073</v>
      </c>
      <c r="E2259" s="51" t="s">
        <v>476</v>
      </c>
      <c r="F2259" s="121" t="s">
        <v>3009</v>
      </c>
      <c r="G2259" s="98" t="str">
        <f>HYPERLINK("http://mirror.ff7data.com.ar/ff7/data/battle/battle.lgp/ehas.png","View Picture")</f>
        <v>View Picture</v>
      </c>
    </row>
    <row r="2260">
      <c r="A2260" s="55"/>
      <c r="B2260" s="119" t="s">
        <v>24141</v>
      </c>
      <c r="C2260" s="120" t="s">
        <v>24142</v>
      </c>
      <c r="D2260" s="33" t="s">
        <v>24073</v>
      </c>
      <c r="E2260" s="51" t="s">
        <v>476</v>
      </c>
      <c r="F2260" s="121" t="s">
        <v>3009</v>
      </c>
      <c r="G2260" s="98" t="str">
        <f>HYPERLINK("http://mirror.ff7data.com.ar/ff7/data/battle/battle.lgp/ehat.png","View Picture")</f>
        <v>View Picture</v>
      </c>
    </row>
    <row r="2261">
      <c r="A2261" s="55"/>
      <c r="B2261" s="119" t="s">
        <v>24150</v>
      </c>
      <c r="C2261" s="120" t="s">
        <v>4696</v>
      </c>
      <c r="D2261" s="33" t="s">
        <v>24073</v>
      </c>
      <c r="E2261" s="51" t="s">
        <v>476</v>
      </c>
      <c r="F2261" s="121" t="s">
        <v>3009</v>
      </c>
      <c r="G2261" s="98" t="str">
        <f>HYPERLINK("http://mirror.ff7data.com.ar/ff7/data/battle/battle.lgp/ehau.png","View Picture")</f>
        <v>View Picture</v>
      </c>
    </row>
    <row r="2262">
      <c r="A2262" s="55"/>
      <c r="B2262" s="119" t="s">
        <v>24164</v>
      </c>
      <c r="C2262" s="120" t="s">
        <v>10078</v>
      </c>
      <c r="D2262" s="33" t="s">
        <v>24073</v>
      </c>
      <c r="E2262" s="51" t="s">
        <v>476</v>
      </c>
      <c r="F2262" s="121" t="s">
        <v>3009</v>
      </c>
      <c r="G2262" s="98" t="str">
        <f>HYPERLINK("http://mirror.ff7data.com.ar/ff7/data/battle/battle.lgp/ehax.png","View Picture")</f>
        <v>View Picture</v>
      </c>
    </row>
    <row r="2263">
      <c r="A2263" s="55"/>
      <c r="B2263" s="119" t="s">
        <v>24174</v>
      </c>
      <c r="C2263" s="120" t="s">
        <v>24176</v>
      </c>
      <c r="D2263" s="33" t="s">
        <v>24073</v>
      </c>
      <c r="E2263" s="51" t="s">
        <v>476</v>
      </c>
      <c r="F2263" s="121" t="s">
        <v>3009</v>
      </c>
      <c r="G2263" s="98" t="str">
        <f>HYPERLINK("http://mirror.ff7data.com.ar/ff7/data/battle/battle.lgp/ehay.png","View Picture")</f>
        <v>View Picture</v>
      </c>
    </row>
    <row r="2264">
      <c r="A2264" s="55"/>
      <c r="B2264" s="119" t="s">
        <v>24185</v>
      </c>
      <c r="C2264" s="120" t="s">
        <v>10078</v>
      </c>
      <c r="D2264" s="33" t="s">
        <v>24073</v>
      </c>
      <c r="E2264" s="51" t="s">
        <v>476</v>
      </c>
      <c r="F2264" s="121" t="s">
        <v>3009</v>
      </c>
      <c r="G2264" s="98" t="str">
        <f>HYPERLINK("http://mirror.ff7data.com.ar/ff7/data/battle/battle.lgp/ehbc.png","View Picture")</f>
        <v>View Picture</v>
      </c>
    </row>
    <row r="2265">
      <c r="A2265" s="55"/>
      <c r="B2265" s="119" t="s">
        <v>24195</v>
      </c>
      <c r="C2265" s="120" t="s">
        <v>4057</v>
      </c>
      <c r="D2265" s="33" t="s">
        <v>24073</v>
      </c>
      <c r="E2265" s="51" t="s">
        <v>476</v>
      </c>
      <c r="F2265" s="121" t="s">
        <v>3009</v>
      </c>
      <c r="G2265" s="98" t="str">
        <f>HYPERLINK("http://mirror.ff7data.com.ar/ff7/data/battle/battle.lgp/ehbd.png","View Picture")</f>
        <v>View Picture</v>
      </c>
    </row>
    <row r="2266">
      <c r="A2266" s="55"/>
      <c r="B2266" s="119" t="s">
        <v>24208</v>
      </c>
      <c r="C2266" s="120" t="s">
        <v>4372</v>
      </c>
      <c r="D2266" s="33" t="s">
        <v>24073</v>
      </c>
      <c r="E2266" s="51" t="s">
        <v>476</v>
      </c>
      <c r="F2266" s="121" t="s">
        <v>3009</v>
      </c>
      <c r="G2266" s="98" t="str">
        <f>HYPERLINK("http://mirror.ff7data.com.ar/ff7/data/battle/battle.lgp/ehbe.png","View Picture")</f>
        <v>View Picture</v>
      </c>
    </row>
    <row r="2267">
      <c r="A2267" s="55"/>
      <c r="B2267" s="119" t="s">
        <v>24220</v>
      </c>
      <c r="C2267" s="120" t="s">
        <v>4357</v>
      </c>
      <c r="D2267" s="33" t="s">
        <v>24073</v>
      </c>
      <c r="E2267" s="51" t="s">
        <v>476</v>
      </c>
      <c r="F2267" s="121" t="s">
        <v>3009</v>
      </c>
      <c r="G2267" s="98" t="str">
        <f>HYPERLINK("http://mirror.ff7data.com.ar/ff7/data/battle/battle.lgp/ehbg.png","View Picture")</f>
        <v>View Picture</v>
      </c>
    </row>
    <row r="2268">
      <c r="A2268" s="55"/>
      <c r="B2268" s="119" t="s">
        <v>24239</v>
      </c>
      <c r="C2268" s="120" t="s">
        <v>3648</v>
      </c>
      <c r="D2268" s="33" t="s">
        <v>24073</v>
      </c>
      <c r="E2268" s="51" t="s">
        <v>476</v>
      </c>
      <c r="F2268" s="121" t="s">
        <v>3009</v>
      </c>
      <c r="G2268" s="98" t="str">
        <f>HYPERLINK("http://mirror.ff7data.com.ar/ff7/data/battle/battle.lgp/ehbh.png","View Picture")</f>
        <v>View Picture</v>
      </c>
    </row>
    <row r="2269">
      <c r="A2269" s="55"/>
      <c r="B2269" s="119" t="s">
        <v>24250</v>
      </c>
      <c r="C2269" s="120" t="s">
        <v>3648</v>
      </c>
      <c r="D2269" s="33" t="s">
        <v>24073</v>
      </c>
      <c r="E2269" s="51" t="s">
        <v>476</v>
      </c>
      <c r="F2269" s="121" t="s">
        <v>3009</v>
      </c>
      <c r="G2269" s="98" t="str">
        <f>HYPERLINK("http://mirror.ff7data.com.ar/ff7/data/battle/battle.lgp/ehbi.png","View Picture")</f>
        <v>View Picture</v>
      </c>
    </row>
    <row r="2270">
      <c r="A2270" s="55"/>
      <c r="B2270" s="119" t="s">
        <v>24262</v>
      </c>
      <c r="C2270" s="120" t="s">
        <v>5419</v>
      </c>
      <c r="D2270" s="33" t="s">
        <v>24073</v>
      </c>
      <c r="E2270" s="51" t="s">
        <v>476</v>
      </c>
      <c r="F2270" s="121" t="s">
        <v>3009</v>
      </c>
      <c r="G2270" s="98" t="str">
        <f>HYPERLINK("http://mirror.ff7data.com.ar/ff7/data/battle/battle.lgp/ehbk.png","View Picture")</f>
        <v>View Picture</v>
      </c>
    </row>
    <row r="2271">
      <c r="A2271" s="55"/>
      <c r="B2271" s="119" t="s">
        <v>24274</v>
      </c>
      <c r="C2271" s="120" t="s">
        <v>3749</v>
      </c>
      <c r="D2271" s="33" t="s">
        <v>24073</v>
      </c>
      <c r="E2271" s="51" t="s">
        <v>476</v>
      </c>
      <c r="F2271" s="121" t="s">
        <v>3009</v>
      </c>
      <c r="G2271" s="98" t="str">
        <f>HYPERLINK("http://mirror.ff7data.com.ar/ff7/data/battle/battle.lgp/ehbl.png","View Picture")</f>
        <v>View Picture</v>
      </c>
    </row>
    <row r="2272">
      <c r="A2272" s="55"/>
      <c r="B2272" s="119" t="s">
        <v>24295</v>
      </c>
      <c r="C2272" s="120" t="s">
        <v>3648</v>
      </c>
      <c r="D2272" s="33" t="s">
        <v>24073</v>
      </c>
      <c r="E2272" s="51" t="s">
        <v>476</v>
      </c>
      <c r="F2272" s="121" t="s">
        <v>3009</v>
      </c>
      <c r="G2272" s="98" t="str">
        <f>HYPERLINK("http://mirror.ff7data.com.ar/ff7/data/battle/battle.lgp/ehbm.png","View Picture")</f>
        <v>View Picture</v>
      </c>
    </row>
    <row r="2273">
      <c r="A2273" s="55"/>
      <c r="B2273" s="119" t="s">
        <v>24311</v>
      </c>
      <c r="C2273" s="120" t="s">
        <v>3573</v>
      </c>
      <c r="D2273" s="33" t="s">
        <v>24073</v>
      </c>
      <c r="E2273" s="51" t="s">
        <v>476</v>
      </c>
      <c r="F2273" s="121" t="s">
        <v>3025</v>
      </c>
      <c r="H2273" s="46" t="s">
        <v>3002</v>
      </c>
    </row>
    <row r="2274">
      <c r="A2274" s="55"/>
      <c r="B2274" s="119" t="s">
        <v>24320</v>
      </c>
      <c r="C2274" s="120" t="s">
        <v>11208</v>
      </c>
      <c r="D2274" s="33" t="s">
        <v>24322</v>
      </c>
      <c r="E2274" s="51" t="s">
        <v>479</v>
      </c>
      <c r="F2274" s="121" t="s">
        <v>2971</v>
      </c>
      <c r="G2274" s="98" t="str">
        <f>HYPERLINK("http://mirror.ff7data.com.ar/ff7/data/battle/battle.lgp/eiaa.png","View Picture")</f>
        <v>View Picture</v>
      </c>
      <c r="H2274" s="46" t="s">
        <v>24335</v>
      </c>
    </row>
    <row r="2275">
      <c r="A2275" s="55"/>
      <c r="B2275" s="119" t="s">
        <v>24338</v>
      </c>
      <c r="C2275" s="120" t="s">
        <v>5222</v>
      </c>
      <c r="D2275" s="33" t="s">
        <v>23621</v>
      </c>
      <c r="E2275" s="51" t="s">
        <v>479</v>
      </c>
      <c r="F2275" s="121" t="s">
        <v>2993</v>
      </c>
      <c r="H2275" s="46" t="s">
        <v>3002</v>
      </c>
    </row>
    <row r="2276">
      <c r="A2276" s="55"/>
      <c r="B2276" s="119" t="s">
        <v>24343</v>
      </c>
      <c r="C2276" s="120" t="s">
        <v>3573</v>
      </c>
      <c r="D2276" s="33" t="s">
        <v>23621</v>
      </c>
      <c r="E2276" s="51" t="s">
        <v>479</v>
      </c>
      <c r="F2276" s="121" t="s">
        <v>3009</v>
      </c>
      <c r="G2276" s="98" t="str">
        <f>HYPERLINK("http://mirror.ff7data.com.ar/ff7/data/battle/battle.lgp/eian.png","View Picture")</f>
        <v>View Picture</v>
      </c>
    </row>
    <row r="2277">
      <c r="A2277" s="55"/>
      <c r="B2277" s="119" t="s">
        <v>24357</v>
      </c>
      <c r="C2277" s="120" t="s">
        <v>3412</v>
      </c>
      <c r="D2277" s="33" t="s">
        <v>23621</v>
      </c>
      <c r="E2277" s="51" t="s">
        <v>479</v>
      </c>
      <c r="F2277" s="121" t="s">
        <v>3009</v>
      </c>
      <c r="G2277" s="98" t="str">
        <f>HYPERLINK("http://mirror.ff7data.com.ar/ff7/data/battle/battle.lgp/eiap.png","View Picture")</f>
        <v>View Picture</v>
      </c>
    </row>
    <row r="2278">
      <c r="A2278" s="55"/>
      <c r="B2278" s="119" t="s">
        <v>24374</v>
      </c>
      <c r="C2278" s="120" t="s">
        <v>3318</v>
      </c>
      <c r="D2278" s="33" t="s">
        <v>23621</v>
      </c>
      <c r="E2278" s="51" t="s">
        <v>479</v>
      </c>
      <c r="F2278" s="121" t="s">
        <v>3009</v>
      </c>
      <c r="G2278" s="98" t="str">
        <f>HYPERLINK("http://mirror.ff7data.com.ar/ff7/data/battle/battle.lgp/eiaq.png","View Picture")</f>
        <v>View Picture</v>
      </c>
    </row>
    <row r="2279">
      <c r="A2279" s="55"/>
      <c r="B2279" s="119" t="s">
        <v>24387</v>
      </c>
      <c r="C2279" s="120" t="s">
        <v>3412</v>
      </c>
      <c r="D2279" s="33" t="s">
        <v>23621</v>
      </c>
      <c r="E2279" s="51" t="s">
        <v>479</v>
      </c>
      <c r="F2279" s="121" t="s">
        <v>3009</v>
      </c>
      <c r="G2279" s="98" t="str">
        <f>HYPERLINK("http://mirror.ff7data.com.ar/ff7/data/battle/battle.lgp/eias.png","View Picture")</f>
        <v>View Picture</v>
      </c>
    </row>
    <row r="2280">
      <c r="A2280" s="55"/>
      <c r="B2280" s="119" t="s">
        <v>24402</v>
      </c>
      <c r="C2280" s="120" t="s">
        <v>4719</v>
      </c>
      <c r="D2280" s="33" t="s">
        <v>23621</v>
      </c>
      <c r="E2280" s="51" t="s">
        <v>479</v>
      </c>
      <c r="F2280" s="121" t="s">
        <v>3009</v>
      </c>
      <c r="G2280" s="98" t="str">
        <f>HYPERLINK("http://mirror.ff7data.com.ar/ff7/data/battle/battle.lgp/eiau.png","View Picture")</f>
        <v>View Picture</v>
      </c>
    </row>
    <row r="2281">
      <c r="A2281" s="55"/>
      <c r="B2281" s="119" t="s">
        <v>24415</v>
      </c>
      <c r="C2281" s="120" t="s">
        <v>5203</v>
      </c>
      <c r="D2281" s="33" t="s">
        <v>23621</v>
      </c>
      <c r="E2281" s="51" t="s">
        <v>479</v>
      </c>
      <c r="F2281" s="121" t="s">
        <v>3009</v>
      </c>
      <c r="G2281" s="98" t="str">
        <f>HYPERLINK("http://mirror.ff7data.com.ar/ff7/data/battle/battle.lgp/eiaw.png","View Picture")</f>
        <v>View Picture</v>
      </c>
    </row>
    <row r="2282">
      <c r="A2282" s="55"/>
      <c r="B2282" s="119" t="s">
        <v>24429</v>
      </c>
      <c r="C2282" s="120" t="s">
        <v>4841</v>
      </c>
      <c r="D2282" s="33" t="s">
        <v>23621</v>
      </c>
      <c r="E2282" s="51" t="s">
        <v>479</v>
      </c>
      <c r="F2282" s="121" t="s">
        <v>3009</v>
      </c>
      <c r="G2282" s="98" t="str">
        <f>HYPERLINK("http://mirror.ff7data.com.ar/ff7/data/battle/battle.lgp/eiay.png","View Picture")</f>
        <v>View Picture</v>
      </c>
    </row>
    <row r="2283">
      <c r="A2283" s="55"/>
      <c r="B2283" s="119" t="s">
        <v>24440</v>
      </c>
      <c r="C2283" s="120" t="s">
        <v>4372</v>
      </c>
      <c r="D2283" s="33" t="s">
        <v>23621</v>
      </c>
      <c r="E2283" s="51" t="s">
        <v>479</v>
      </c>
      <c r="F2283" s="121" t="s">
        <v>3009</v>
      </c>
      <c r="G2283" s="98" t="str">
        <f>HYPERLINK("http://mirror.ff7data.com.ar/ff7/data/battle/battle.lgp/eiba.png","View Picture")</f>
        <v>View Picture</v>
      </c>
    </row>
    <row r="2284">
      <c r="A2284" s="55"/>
      <c r="B2284" s="119" t="s">
        <v>24451</v>
      </c>
      <c r="C2284" s="120" t="s">
        <v>7165</v>
      </c>
      <c r="D2284" s="33" t="s">
        <v>23621</v>
      </c>
      <c r="E2284" s="51" t="s">
        <v>479</v>
      </c>
      <c r="F2284" s="121" t="s">
        <v>3025</v>
      </c>
      <c r="H2284" s="46" t="s">
        <v>3002</v>
      </c>
    </row>
    <row r="2285">
      <c r="A2285" s="55"/>
      <c r="B2285" s="119" t="s">
        <v>24454</v>
      </c>
      <c r="C2285" s="120" t="s">
        <v>12090</v>
      </c>
      <c r="D2285" s="33" t="s">
        <v>24456</v>
      </c>
      <c r="E2285" s="51" t="s">
        <v>479</v>
      </c>
      <c r="F2285" s="121" t="s">
        <v>2971</v>
      </c>
      <c r="G2285" s="98" t="str">
        <f>HYPERLINK("http://mirror.ff7data.com.ar/ff7/data/battle/battle.lgp/ejaa.png","View Picture")</f>
        <v>View Picture</v>
      </c>
    </row>
    <row r="2286">
      <c r="A2286" s="55"/>
      <c r="B2286" s="119" t="s">
        <v>24465</v>
      </c>
      <c r="C2286" s="120" t="s">
        <v>9790</v>
      </c>
      <c r="D2286" s="33" t="s">
        <v>24468</v>
      </c>
      <c r="E2286" s="51" t="s">
        <v>482</v>
      </c>
      <c r="F2286" s="121" t="s">
        <v>2993</v>
      </c>
      <c r="H2286" s="46" t="s">
        <v>3002</v>
      </c>
    </row>
    <row r="2287">
      <c r="A2287" s="55"/>
      <c r="B2287" s="119" t="s">
        <v>24472</v>
      </c>
      <c r="C2287" s="120" t="s">
        <v>4191</v>
      </c>
      <c r="D2287" s="33" t="s">
        <v>24468</v>
      </c>
      <c r="E2287" s="51" t="s">
        <v>482</v>
      </c>
      <c r="F2287" s="121" t="s">
        <v>1348</v>
      </c>
      <c r="G2287" s="98" t="str">
        <f>HYPERLINK("http://mirror.ff7data.com.ar/ff7/data/battle/battle.lgp/ejac.png","View Picture")</f>
        <v>View Picture</v>
      </c>
    </row>
    <row r="2288">
      <c r="A2288" s="55"/>
      <c r="B2288" s="119" t="s">
        <v>24482</v>
      </c>
      <c r="C2288" s="120" t="s">
        <v>3552</v>
      </c>
      <c r="D2288" s="33" t="s">
        <v>24468</v>
      </c>
      <c r="E2288" s="51" t="s">
        <v>482</v>
      </c>
      <c r="F2288" s="121" t="s">
        <v>1348</v>
      </c>
      <c r="G2288" s="98" t="str">
        <f>HYPERLINK("http://mirror.ff7data.com.ar/ff7/data/battle/battle.lgp/ejad.png","View Picture")</f>
        <v>View Picture</v>
      </c>
    </row>
    <row r="2289">
      <c r="A2289" s="55"/>
      <c r="B2289" s="119" t="s">
        <v>24491</v>
      </c>
      <c r="C2289" s="120" t="s">
        <v>4191</v>
      </c>
      <c r="D2289" s="33" t="s">
        <v>24468</v>
      </c>
      <c r="E2289" s="51" t="s">
        <v>482</v>
      </c>
      <c r="F2289" s="121" t="s">
        <v>1348</v>
      </c>
      <c r="G2289" s="98" t="str">
        <f>HYPERLINK("http://mirror.ff7data.com.ar/ff7/data/battle/battle.lgp/ejae.png","View Picture")</f>
        <v>View Picture</v>
      </c>
    </row>
    <row r="2290">
      <c r="A2290" s="55"/>
      <c r="B2290" s="119" t="s">
        <v>24501</v>
      </c>
      <c r="C2290" s="120" t="s">
        <v>4057</v>
      </c>
      <c r="D2290" s="33" t="s">
        <v>24468</v>
      </c>
      <c r="E2290" s="51" t="s">
        <v>482</v>
      </c>
      <c r="F2290" s="121" t="s">
        <v>3009</v>
      </c>
      <c r="G2290" s="98" t="str">
        <f>HYPERLINK("http://mirror.ff7data.com.ar/ff7/data/battle/battle.lgp/ejam.png","View Picture")</f>
        <v>View Picture</v>
      </c>
    </row>
    <row r="2291">
      <c r="A2291" s="55"/>
      <c r="B2291" s="119" t="s">
        <v>24510</v>
      </c>
      <c r="C2291" s="120" t="s">
        <v>7165</v>
      </c>
      <c r="D2291" s="33" t="s">
        <v>24468</v>
      </c>
      <c r="E2291" s="51" t="s">
        <v>482</v>
      </c>
      <c r="F2291" s="121" t="s">
        <v>3009</v>
      </c>
      <c r="G2291" s="98" t="str">
        <f>HYPERLINK("http://mirror.ff7data.com.ar/ff7/data/battle/battle.lgp/ejan.png","View Picture")</f>
        <v>View Picture</v>
      </c>
    </row>
    <row r="2292">
      <c r="A2292" s="55"/>
      <c r="B2292" s="119" t="s">
        <v>24519</v>
      </c>
      <c r="C2292" s="120" t="s">
        <v>3842</v>
      </c>
      <c r="D2292" s="33" t="s">
        <v>24468</v>
      </c>
      <c r="E2292" s="51" t="s">
        <v>482</v>
      </c>
      <c r="F2292" s="121" t="s">
        <v>3009</v>
      </c>
      <c r="G2292" s="98" t="str">
        <f>HYPERLINK("http://mirror.ff7data.com.ar/ff7/data/battle/battle.lgp/ejao.png","View Picture")</f>
        <v>View Picture</v>
      </c>
    </row>
    <row r="2293">
      <c r="A2293" s="55"/>
      <c r="B2293" s="119" t="s">
        <v>24530</v>
      </c>
      <c r="C2293" s="120" t="s">
        <v>4357</v>
      </c>
      <c r="D2293" s="33" t="s">
        <v>24468</v>
      </c>
      <c r="E2293" s="51" t="s">
        <v>482</v>
      </c>
      <c r="F2293" s="121" t="s">
        <v>3009</v>
      </c>
      <c r="G2293" s="98" t="str">
        <f>HYPERLINK("http://mirror.ff7data.com.ar/ff7/data/battle/battle.lgp/ejap.png","View Picture")</f>
        <v>View Picture</v>
      </c>
    </row>
    <row r="2294">
      <c r="A2294" s="55"/>
      <c r="B2294" s="119" t="s">
        <v>24538</v>
      </c>
      <c r="C2294" s="120" t="s">
        <v>7062</v>
      </c>
      <c r="D2294" s="33" t="s">
        <v>24468</v>
      </c>
      <c r="E2294" s="51" t="s">
        <v>482</v>
      </c>
      <c r="F2294" s="121" t="s">
        <v>3009</v>
      </c>
      <c r="G2294" s="98" t="str">
        <f>HYPERLINK("http://mirror.ff7data.com.ar/ff7/data/battle/battle.lgp/ejaq.png","View Picture")</f>
        <v>View Picture</v>
      </c>
    </row>
    <row r="2295">
      <c r="A2295" s="55"/>
      <c r="B2295" s="119" t="s">
        <v>24547</v>
      </c>
      <c r="C2295" s="120" t="s">
        <v>3749</v>
      </c>
      <c r="D2295" s="33" t="s">
        <v>24468</v>
      </c>
      <c r="E2295" s="51" t="s">
        <v>482</v>
      </c>
      <c r="F2295" s="121" t="s">
        <v>3009</v>
      </c>
      <c r="G2295" s="98" t="str">
        <f>HYPERLINK("http://mirror.ff7data.com.ar/ff7/data/battle/battle.lgp/ejas.png","View Picture")</f>
        <v>View Picture</v>
      </c>
    </row>
    <row r="2296">
      <c r="A2296" s="55"/>
      <c r="B2296" s="119" t="s">
        <v>24554</v>
      </c>
      <c r="C2296" s="120" t="s">
        <v>4057</v>
      </c>
      <c r="D2296" s="33" t="s">
        <v>24468</v>
      </c>
      <c r="E2296" s="51" t="s">
        <v>482</v>
      </c>
      <c r="F2296" s="121" t="s">
        <v>3009</v>
      </c>
      <c r="G2296" s="98" t="str">
        <f>HYPERLINK("http://mirror.ff7data.com.ar/ff7/data/battle/battle.lgp/ejau.png","View Picture")</f>
        <v>View Picture</v>
      </c>
    </row>
    <row r="2297">
      <c r="A2297" s="55"/>
      <c r="B2297" s="119" t="s">
        <v>24559</v>
      </c>
      <c r="C2297" s="120" t="s">
        <v>4476</v>
      </c>
      <c r="D2297" s="33" t="s">
        <v>24468</v>
      </c>
      <c r="E2297" s="51" t="s">
        <v>482</v>
      </c>
      <c r="F2297" s="121" t="s">
        <v>3009</v>
      </c>
      <c r="G2297" s="98" t="str">
        <f>HYPERLINK("http://mirror.ff7data.com.ar/ff7/data/battle/battle.lgp/ejav.png","View Picture")</f>
        <v>View Picture</v>
      </c>
    </row>
    <row r="2298">
      <c r="A2298" s="55"/>
      <c r="B2298" s="119" t="s">
        <v>24570</v>
      </c>
      <c r="C2298" s="120" t="s">
        <v>4185</v>
      </c>
      <c r="D2298" s="33" t="s">
        <v>24468</v>
      </c>
      <c r="E2298" s="51" t="s">
        <v>482</v>
      </c>
      <c r="F2298" s="121" t="s">
        <v>3009</v>
      </c>
      <c r="G2298" s="98" t="str">
        <f>HYPERLINK("http://mirror.ff7data.com.ar/ff7/data/battle/battle.lgp/ejax.png","View Picture")</f>
        <v>View Picture</v>
      </c>
    </row>
    <row r="2299">
      <c r="A2299" s="55"/>
      <c r="B2299" s="119" t="s">
        <v>24577</v>
      </c>
      <c r="C2299" s="120" t="s">
        <v>3658</v>
      </c>
      <c r="D2299" s="33" t="s">
        <v>24468</v>
      </c>
      <c r="E2299" s="51" t="s">
        <v>482</v>
      </c>
      <c r="F2299" s="121" t="s">
        <v>3009</v>
      </c>
      <c r="G2299" s="98" t="str">
        <f>HYPERLINK("http://mirror.ff7data.com.ar/ff7/data/battle/battle.lgp/ejaz.png","View Picture")</f>
        <v>View Picture</v>
      </c>
    </row>
    <row r="2300">
      <c r="A2300" s="55"/>
      <c r="B2300" s="119" t="s">
        <v>24593</v>
      </c>
      <c r="C2300" s="120" t="s">
        <v>4185</v>
      </c>
      <c r="D2300" s="33" t="s">
        <v>24468</v>
      </c>
      <c r="E2300" s="51" t="s">
        <v>482</v>
      </c>
      <c r="F2300" s="121" t="s">
        <v>3009</v>
      </c>
      <c r="G2300" s="98" t="str">
        <f>HYPERLINK("http://mirror.ff7data.com.ar/ff7/data/battle/battle.lgp/ejbb.png","View Picture")</f>
        <v>View Picture</v>
      </c>
    </row>
    <row r="2301">
      <c r="A2301" s="55"/>
      <c r="B2301" s="119" t="s">
        <v>24598</v>
      </c>
      <c r="C2301" s="120" t="s">
        <v>4476</v>
      </c>
      <c r="D2301" s="33" t="s">
        <v>24468</v>
      </c>
      <c r="E2301" s="51" t="s">
        <v>482</v>
      </c>
      <c r="F2301" s="121" t="s">
        <v>3009</v>
      </c>
      <c r="G2301" s="98" t="str">
        <f>HYPERLINK("http://mirror.ff7data.com.ar/ff7/data/battle/battle.lgp/ejbc.png","View Picture")</f>
        <v>View Picture</v>
      </c>
    </row>
    <row r="2302">
      <c r="A2302" s="55"/>
      <c r="B2302" s="119" t="s">
        <v>24606</v>
      </c>
      <c r="C2302" s="120" t="s">
        <v>3658</v>
      </c>
      <c r="D2302" s="33" t="s">
        <v>24468</v>
      </c>
      <c r="E2302" s="51" t="s">
        <v>482</v>
      </c>
      <c r="F2302" s="121" t="s">
        <v>3009</v>
      </c>
      <c r="G2302" s="98" t="str">
        <f>HYPERLINK("http://mirror.ff7data.com.ar/ff7/data/battle/battle.lgp/ejbd.png","View Picture")</f>
        <v>View Picture</v>
      </c>
    </row>
    <row r="2303">
      <c r="A2303" s="55"/>
      <c r="B2303" s="119" t="s">
        <v>24612</v>
      </c>
      <c r="C2303" s="120" t="s">
        <v>4057</v>
      </c>
      <c r="D2303" s="33" t="s">
        <v>24468</v>
      </c>
      <c r="E2303" s="51" t="s">
        <v>482</v>
      </c>
      <c r="F2303" s="121" t="s">
        <v>3009</v>
      </c>
      <c r="G2303" s="98" t="str">
        <f>HYPERLINK("http://mirror.ff7data.com.ar/ff7/data/battle/battle.lgp/ejbe.png","View Picture")</f>
        <v>View Picture</v>
      </c>
    </row>
    <row r="2304">
      <c r="A2304" s="55"/>
      <c r="B2304" s="119" t="s">
        <v>24620</v>
      </c>
      <c r="C2304" s="120" t="s">
        <v>4719</v>
      </c>
      <c r="D2304" s="33" t="s">
        <v>24468</v>
      </c>
      <c r="E2304" s="51" t="s">
        <v>482</v>
      </c>
      <c r="F2304" s="121" t="s">
        <v>3009</v>
      </c>
      <c r="G2304" s="98" t="str">
        <f>HYPERLINK("http://mirror.ff7data.com.ar/ff7/data/battle/battle.lgp/ejbf.png","View Picture")</f>
        <v>View Picture</v>
      </c>
    </row>
    <row r="2305">
      <c r="A2305" s="55"/>
      <c r="B2305" s="119" t="s">
        <v>24627</v>
      </c>
      <c r="C2305" s="120" t="s">
        <v>5891</v>
      </c>
      <c r="D2305" s="33" t="s">
        <v>24468</v>
      </c>
      <c r="E2305" s="51" t="s">
        <v>482</v>
      </c>
      <c r="F2305" s="121" t="s">
        <v>3009</v>
      </c>
      <c r="G2305" s="98" t="str">
        <f>HYPERLINK("http://mirror.ff7data.com.ar/ff7/data/battle/battle.lgp/ejbg.png","View Picture")</f>
        <v>View Picture</v>
      </c>
    </row>
    <row r="2306">
      <c r="A2306" s="55"/>
      <c r="B2306" s="119" t="s">
        <v>24635</v>
      </c>
      <c r="C2306" s="120" t="s">
        <v>3343</v>
      </c>
      <c r="D2306" s="33" t="s">
        <v>24468</v>
      </c>
      <c r="E2306" s="51" t="s">
        <v>482</v>
      </c>
      <c r="F2306" s="121" t="s">
        <v>3025</v>
      </c>
      <c r="H2306" s="46" t="s">
        <v>3002</v>
      </c>
    </row>
    <row r="2307">
      <c r="A2307" s="55"/>
      <c r="B2307" s="119" t="s">
        <v>24638</v>
      </c>
      <c r="C2307" s="120" t="s">
        <v>6802</v>
      </c>
      <c r="D2307" s="33" t="s">
        <v>24639</v>
      </c>
      <c r="E2307" s="51" t="s">
        <v>485</v>
      </c>
      <c r="F2307" s="121" t="s">
        <v>2971</v>
      </c>
      <c r="G2307" s="98" t="str">
        <f>HYPERLINK("http://mirror.ff7data.com.ar/ff7/data/battle/battle.lgp/ekaa.png","View Picture")</f>
        <v>View Picture</v>
      </c>
    </row>
    <row r="2308">
      <c r="A2308" s="55"/>
      <c r="B2308" s="119" t="s">
        <v>24642</v>
      </c>
      <c r="C2308" s="120" t="s">
        <v>4209</v>
      </c>
      <c r="D2308" s="33" t="s">
        <v>24643</v>
      </c>
      <c r="E2308" s="51" t="s">
        <v>485</v>
      </c>
      <c r="F2308" s="121" t="s">
        <v>2993</v>
      </c>
      <c r="H2308" s="46" t="s">
        <v>3002</v>
      </c>
    </row>
    <row r="2309">
      <c r="A2309" s="55"/>
      <c r="B2309" s="119" t="s">
        <v>24645</v>
      </c>
      <c r="C2309" s="120" t="s">
        <v>4191</v>
      </c>
      <c r="D2309" s="33" t="s">
        <v>24647</v>
      </c>
      <c r="E2309" s="51" t="s">
        <v>485</v>
      </c>
      <c r="F2309" s="121" t="s">
        <v>1348</v>
      </c>
      <c r="G2309" s="98" t="str">
        <f>HYPERLINK("http://mirror.ff7data.com.ar/ff7/data/battle/battle.lgp/ekac.png","View Picture")</f>
        <v>View Picture</v>
      </c>
    </row>
    <row r="2310">
      <c r="A2310" s="55"/>
      <c r="B2310" s="119" t="s">
        <v>24656</v>
      </c>
      <c r="C2310" s="120" t="s">
        <v>7081</v>
      </c>
      <c r="D2310" s="33" t="s">
        <v>24658</v>
      </c>
      <c r="E2310" s="51" t="s">
        <v>485</v>
      </c>
      <c r="F2310" s="121" t="s">
        <v>1348</v>
      </c>
      <c r="G2310" s="98" t="str">
        <f>HYPERLINK("http://mirror.ff7data.com.ar/ff7/data/battle/battle.lgp/ekad.png","View Picture")</f>
        <v>View Picture</v>
      </c>
    </row>
    <row r="2311">
      <c r="A2311" s="55"/>
      <c r="B2311" s="119" t="s">
        <v>24664</v>
      </c>
      <c r="C2311" s="120" t="s">
        <v>3997</v>
      </c>
      <c r="D2311" s="33" t="s">
        <v>24666</v>
      </c>
      <c r="E2311" s="51" t="s">
        <v>485</v>
      </c>
      <c r="F2311" s="121" t="s">
        <v>1348</v>
      </c>
      <c r="G2311" s="98" t="str">
        <f>HYPERLINK("http://mirror.ff7data.com.ar/ff7/data/battle/battle.lgp/ekae.png","View Picture")</f>
        <v>View Picture</v>
      </c>
    </row>
    <row r="2312">
      <c r="A2312" s="55"/>
      <c r="B2312" s="119" t="s">
        <v>24674</v>
      </c>
      <c r="C2312" s="120" t="s">
        <v>5891</v>
      </c>
      <c r="D2312" s="33" t="s">
        <v>24643</v>
      </c>
      <c r="E2312" s="51" t="s">
        <v>485</v>
      </c>
      <c r="F2312" s="121" t="s">
        <v>3009</v>
      </c>
      <c r="G2312" s="98" t="str">
        <f>HYPERLINK("http://mirror.ff7data.com.ar/ff7/data/battle/battle.lgp/ekam.png","View Picture")</f>
        <v>View Picture</v>
      </c>
    </row>
    <row r="2313">
      <c r="A2313" s="55"/>
      <c r="B2313" s="119" t="s">
        <v>24684</v>
      </c>
      <c r="C2313" s="120" t="s">
        <v>3481</v>
      </c>
      <c r="D2313" s="33" t="s">
        <v>24643</v>
      </c>
      <c r="E2313" s="51" t="s">
        <v>485</v>
      </c>
      <c r="F2313" s="121" t="s">
        <v>3009</v>
      </c>
      <c r="G2313" s="98" t="str">
        <f>HYPERLINK("http://mirror.ff7data.com.ar/ff7/data/battle/battle.lgp/ekan.png","View Picture")</f>
        <v>View Picture</v>
      </c>
    </row>
    <row r="2314">
      <c r="A2314" s="55"/>
      <c r="B2314" s="119" t="s">
        <v>24694</v>
      </c>
      <c r="C2314" s="120" t="s">
        <v>4707</v>
      </c>
      <c r="D2314" s="33" t="s">
        <v>24643</v>
      </c>
      <c r="E2314" s="51" t="s">
        <v>485</v>
      </c>
      <c r="F2314" s="121" t="s">
        <v>3009</v>
      </c>
      <c r="G2314" s="98" t="str">
        <f>HYPERLINK("http://mirror.ff7data.com.ar/ff7/data/battle/battle.lgp/ekaq.png","View Picture")</f>
        <v>View Picture</v>
      </c>
    </row>
    <row r="2315">
      <c r="A2315" s="55"/>
      <c r="B2315" s="119" t="s">
        <v>24706</v>
      </c>
      <c r="C2315" s="120" t="s">
        <v>3842</v>
      </c>
      <c r="D2315" s="33" t="s">
        <v>24643</v>
      </c>
      <c r="E2315" s="51" t="s">
        <v>485</v>
      </c>
      <c r="F2315" s="121" t="s">
        <v>3009</v>
      </c>
      <c r="G2315" s="98" t="str">
        <f>HYPERLINK("http://mirror.ff7data.com.ar/ff7/data/battle/battle.lgp/ekar.png","View Picture")</f>
        <v>View Picture</v>
      </c>
    </row>
    <row r="2316">
      <c r="A2316" s="55"/>
      <c r="B2316" s="119" t="s">
        <v>24721</v>
      </c>
      <c r="C2316" s="120" t="s">
        <v>3768</v>
      </c>
      <c r="D2316" s="33" t="s">
        <v>24643</v>
      </c>
      <c r="E2316" s="51" t="s">
        <v>485</v>
      </c>
      <c r="F2316" s="121" t="s">
        <v>3009</v>
      </c>
      <c r="G2316" s="98" t="str">
        <f>HYPERLINK("http://mirror.ff7data.com.ar/ff7/data/battle/battle.lgp/ekas.png","View Picture")</f>
        <v>View Picture</v>
      </c>
    </row>
    <row r="2317">
      <c r="A2317" s="55"/>
      <c r="B2317" s="119" t="s">
        <v>24733</v>
      </c>
      <c r="C2317" s="120" t="s">
        <v>4841</v>
      </c>
      <c r="D2317" s="33" t="s">
        <v>24643</v>
      </c>
      <c r="E2317" s="51" t="s">
        <v>485</v>
      </c>
      <c r="F2317" s="121" t="s">
        <v>3009</v>
      </c>
      <c r="G2317" s="98" t="str">
        <f>HYPERLINK("http://mirror.ff7data.com.ar/ff7/data/battle/battle.lgp/ekat.png","View Picture")</f>
        <v>View Picture</v>
      </c>
    </row>
    <row r="2318">
      <c r="A2318" s="55"/>
      <c r="B2318" s="119" t="s">
        <v>24748</v>
      </c>
      <c r="C2318" s="120" t="s">
        <v>4288</v>
      </c>
      <c r="D2318" s="33" t="s">
        <v>24643</v>
      </c>
      <c r="E2318" s="51" t="s">
        <v>485</v>
      </c>
      <c r="F2318" s="121" t="s">
        <v>3009</v>
      </c>
      <c r="G2318" s="98" t="str">
        <f>HYPERLINK("http://mirror.ff7data.com.ar/ff7/data/battle/battle.lgp/ekav.png","View Picture")</f>
        <v>View Picture</v>
      </c>
    </row>
    <row r="2319">
      <c r="A2319" s="55"/>
      <c r="B2319" s="119" t="s">
        <v>24758</v>
      </c>
      <c r="C2319" s="120" t="s">
        <v>4439</v>
      </c>
      <c r="D2319" s="33" t="s">
        <v>24643</v>
      </c>
      <c r="E2319" s="51" t="s">
        <v>485</v>
      </c>
      <c r="F2319" s="121" t="s">
        <v>3009</v>
      </c>
      <c r="G2319" s="98" t="str">
        <f>HYPERLINK("http://mirror.ff7data.com.ar/ff7/data/battle/battle.lgp/ekaw.png","View Picture")</f>
        <v>View Picture</v>
      </c>
    </row>
    <row r="2320">
      <c r="A2320" s="55"/>
      <c r="B2320" s="119" t="s">
        <v>24769</v>
      </c>
      <c r="C2320" s="120" t="s">
        <v>4288</v>
      </c>
      <c r="D2320" s="33" t="s">
        <v>24643</v>
      </c>
      <c r="E2320" s="51" t="s">
        <v>485</v>
      </c>
      <c r="F2320" s="121" t="s">
        <v>3009</v>
      </c>
      <c r="G2320" s="98" t="str">
        <f>HYPERLINK("http://mirror.ff7data.com.ar/ff7/data/battle/battle.lgp/ekay.png","View Picture")</f>
        <v>View Picture</v>
      </c>
    </row>
    <row r="2321">
      <c r="A2321" s="55"/>
      <c r="B2321" s="119" t="s">
        <v>24777</v>
      </c>
      <c r="C2321" s="120" t="s">
        <v>4439</v>
      </c>
      <c r="D2321" s="33" t="s">
        <v>24643</v>
      </c>
      <c r="E2321" s="51" t="s">
        <v>485</v>
      </c>
      <c r="F2321" s="121" t="s">
        <v>3009</v>
      </c>
      <c r="G2321" s="98" t="str">
        <f>HYPERLINK("http://mirror.ff7data.com.ar/ff7/data/battle/battle.lgp/ekaz.png","View Picture")</f>
        <v>View Picture</v>
      </c>
    </row>
    <row r="2322">
      <c r="A2322" s="55"/>
      <c r="B2322" s="119" t="s">
        <v>24787</v>
      </c>
      <c r="C2322" s="120" t="s">
        <v>3842</v>
      </c>
      <c r="D2322" s="33" t="s">
        <v>24643</v>
      </c>
      <c r="E2322" s="51" t="s">
        <v>485</v>
      </c>
      <c r="F2322" s="121" t="s">
        <v>3009</v>
      </c>
      <c r="G2322" s="98" t="str">
        <f>HYPERLINK("http://mirror.ff7data.com.ar/ff7/data/battle/battle.lgp/ekbc.png","View Picture")</f>
        <v>View Picture</v>
      </c>
    </row>
    <row r="2323">
      <c r="A2323" s="55"/>
      <c r="B2323" s="119" t="s">
        <v>24801</v>
      </c>
      <c r="C2323" s="120" t="s">
        <v>4707</v>
      </c>
      <c r="D2323" s="33" t="s">
        <v>24643</v>
      </c>
      <c r="E2323" s="51" t="s">
        <v>485</v>
      </c>
      <c r="F2323" s="121" t="s">
        <v>3009</v>
      </c>
      <c r="G2323" s="98" t="str">
        <f>HYPERLINK("http://mirror.ff7data.com.ar/ff7/data/battle/battle.lgp/ekbf.png","View Picture")</f>
        <v>View Picture</v>
      </c>
    </row>
    <row r="2324">
      <c r="A2324" s="55"/>
      <c r="B2324" s="119" t="s">
        <v>24813</v>
      </c>
      <c r="C2324" s="120" t="s">
        <v>3842</v>
      </c>
      <c r="D2324" s="33" t="s">
        <v>24643</v>
      </c>
      <c r="E2324" s="51" t="s">
        <v>485</v>
      </c>
      <c r="F2324" s="121" t="s">
        <v>3009</v>
      </c>
      <c r="G2324" s="98" t="str">
        <f>HYPERLINK("http://mirror.ff7data.com.ar/ff7/data/battle/battle.lgp/ekbg.png","View Picture")</f>
        <v>View Picture</v>
      </c>
    </row>
    <row r="2325">
      <c r="A2325" s="55"/>
      <c r="B2325" s="119" t="s">
        <v>24825</v>
      </c>
      <c r="C2325" s="120" t="s">
        <v>3768</v>
      </c>
      <c r="D2325" s="33" t="s">
        <v>24643</v>
      </c>
      <c r="E2325" s="51" t="s">
        <v>485</v>
      </c>
      <c r="F2325" s="121" t="s">
        <v>3009</v>
      </c>
      <c r="G2325" s="98" t="str">
        <f>HYPERLINK("http://mirror.ff7data.com.ar/ff7/data/battle/battle.lgp/ekbh.png","View Picture")</f>
        <v>View Picture</v>
      </c>
    </row>
    <row r="2326">
      <c r="A2326" s="55"/>
      <c r="B2326" s="119" t="s">
        <v>24835</v>
      </c>
      <c r="C2326" s="120" t="s">
        <v>7871</v>
      </c>
      <c r="D2326" s="33" t="s">
        <v>24643</v>
      </c>
      <c r="E2326" s="51" t="s">
        <v>485</v>
      </c>
      <c r="F2326" s="121" t="s">
        <v>3009</v>
      </c>
      <c r="G2326" s="98" t="str">
        <f>HYPERLINK("http://mirror.ff7data.com.ar/ff7/data/battle/battle.lgp/ekbi.png","View Picture")</f>
        <v>View Picture</v>
      </c>
    </row>
    <row r="2327">
      <c r="A2327" s="55"/>
      <c r="B2327" s="119" t="s">
        <v>24844</v>
      </c>
      <c r="C2327" s="120" t="s">
        <v>4601</v>
      </c>
      <c r="D2327" s="33" t="s">
        <v>24643</v>
      </c>
      <c r="E2327" s="51" t="s">
        <v>485</v>
      </c>
      <c r="F2327" s="121" t="s">
        <v>3009</v>
      </c>
      <c r="G2327" s="98" t="str">
        <f>HYPERLINK("http://mirror.ff7data.com.ar/ff7/data/battle/battle.lgp/ekbk.png","View Picture")</f>
        <v>View Picture</v>
      </c>
    </row>
    <row r="2328">
      <c r="A2328" s="55"/>
      <c r="B2328" s="119" t="s">
        <v>24855</v>
      </c>
      <c r="C2328" s="120" t="s">
        <v>9041</v>
      </c>
      <c r="D2328" s="33" t="s">
        <v>24643</v>
      </c>
      <c r="E2328" s="51" t="s">
        <v>485</v>
      </c>
      <c r="F2328" s="121" t="s">
        <v>3009</v>
      </c>
      <c r="G2328" s="98" t="str">
        <f>HYPERLINK("http://mirror.ff7data.com.ar/ff7/data/battle/battle.lgp/ekbl.png","View Picture")</f>
        <v>View Picture</v>
      </c>
    </row>
    <row r="2329">
      <c r="A2329" s="55"/>
      <c r="B2329" s="119" t="s">
        <v>24867</v>
      </c>
      <c r="C2329" s="120" t="s">
        <v>4601</v>
      </c>
      <c r="D2329" s="33" t="s">
        <v>24643</v>
      </c>
      <c r="E2329" s="51" t="s">
        <v>485</v>
      </c>
      <c r="F2329" s="121" t="s">
        <v>3009</v>
      </c>
      <c r="G2329" s="98" t="str">
        <f>HYPERLINK("http://mirror.ff7data.com.ar/ff7/data/battle/battle.lgp/ekbn.png","View Picture")</f>
        <v>View Picture</v>
      </c>
    </row>
    <row r="2330">
      <c r="A2330" s="55"/>
      <c r="B2330" s="119" t="s">
        <v>24877</v>
      </c>
      <c r="C2330" s="120" t="s">
        <v>9041</v>
      </c>
      <c r="D2330" s="33" t="s">
        <v>24643</v>
      </c>
      <c r="E2330" s="51" t="s">
        <v>485</v>
      </c>
      <c r="F2330" s="121" t="s">
        <v>3009</v>
      </c>
      <c r="G2330" s="98" t="str">
        <f>HYPERLINK("http://mirror.ff7data.com.ar/ff7/data/battle/battle.lgp/ekbo.png","View Picture")</f>
        <v>View Picture</v>
      </c>
    </row>
    <row r="2331">
      <c r="A2331" s="55"/>
      <c r="B2331" s="119" t="s">
        <v>24887</v>
      </c>
      <c r="C2331" s="120" t="s">
        <v>18406</v>
      </c>
      <c r="D2331" s="33" t="s">
        <v>24643</v>
      </c>
      <c r="E2331" s="51" t="s">
        <v>485</v>
      </c>
      <c r="F2331" s="121" t="s">
        <v>3025</v>
      </c>
      <c r="H2331" s="46" t="s">
        <v>3002</v>
      </c>
    </row>
    <row r="2332">
      <c r="A2332" s="55"/>
      <c r="B2332" s="119" t="s">
        <v>24891</v>
      </c>
      <c r="C2332" s="120" t="s">
        <v>9973</v>
      </c>
      <c r="D2332" s="33" t="s">
        <v>24893</v>
      </c>
      <c r="E2332" s="51" t="s">
        <v>488</v>
      </c>
      <c r="F2332" s="121" t="s">
        <v>2971</v>
      </c>
      <c r="G2332" s="98" t="str">
        <f>HYPERLINK("http://mirror.ff7data.com.ar/ff7/data/battle/battle.lgp/elaa.png","View Picture")</f>
        <v>View Picture</v>
      </c>
      <c r="H2332" s="46" t="s">
        <v>24900</v>
      </c>
    </row>
    <row r="2333">
      <c r="A2333" s="55"/>
      <c r="B2333" s="119" t="s">
        <v>24902</v>
      </c>
      <c r="C2333" s="120" t="s">
        <v>3906</v>
      </c>
      <c r="D2333" s="33" t="s">
        <v>24904</v>
      </c>
      <c r="E2333" s="51" t="s">
        <v>488</v>
      </c>
      <c r="F2333" s="121" t="s">
        <v>2993</v>
      </c>
      <c r="H2333" s="46" t="s">
        <v>3002</v>
      </c>
    </row>
    <row r="2334">
      <c r="A2334" s="55"/>
      <c r="B2334" s="119" t="s">
        <v>24906</v>
      </c>
      <c r="C2334" s="120" t="s">
        <v>6029</v>
      </c>
      <c r="D2334" s="33" t="s">
        <v>24904</v>
      </c>
      <c r="E2334" s="51" t="s">
        <v>488</v>
      </c>
      <c r="F2334" s="121" t="s">
        <v>3009</v>
      </c>
      <c r="G2334" s="98" t="str">
        <f>HYPERLINK("http://mirror.ff7data.com.ar/ff7/data/battle/battle.lgp/elam.png","View Picture")</f>
        <v>View Picture</v>
      </c>
    </row>
    <row r="2335">
      <c r="A2335" s="55"/>
      <c r="B2335" s="119" t="s">
        <v>24922</v>
      </c>
      <c r="C2335" s="120" t="s">
        <v>6029</v>
      </c>
      <c r="D2335" s="33" t="s">
        <v>24904</v>
      </c>
      <c r="E2335" s="51" t="s">
        <v>488</v>
      </c>
      <c r="F2335" s="121" t="s">
        <v>3009</v>
      </c>
      <c r="G2335" s="98" t="str">
        <f>HYPERLINK("http://mirror.ff7data.com.ar/ff7/data/battle/battle.lgp/elan.png","View Picture")</f>
        <v>View Picture</v>
      </c>
    </row>
    <row r="2336">
      <c r="A2336" s="55"/>
      <c r="B2336" s="119" t="s">
        <v>24932</v>
      </c>
      <c r="C2336" s="120" t="s">
        <v>4357</v>
      </c>
      <c r="D2336" s="33" t="s">
        <v>24904</v>
      </c>
      <c r="E2336" s="51" t="s">
        <v>488</v>
      </c>
      <c r="F2336" s="121" t="s">
        <v>3009</v>
      </c>
      <c r="G2336" s="98" t="str">
        <f>HYPERLINK("http://mirror.ff7data.com.ar/ff7/data/battle/battle.lgp/elao.png","View Picture")</f>
        <v>View Picture</v>
      </c>
    </row>
    <row r="2337">
      <c r="A2337" s="55"/>
      <c r="B2337" s="119" t="s">
        <v>24940</v>
      </c>
      <c r="C2337" s="120" t="s">
        <v>4185</v>
      </c>
      <c r="D2337" s="33" t="s">
        <v>24904</v>
      </c>
      <c r="E2337" s="51" t="s">
        <v>488</v>
      </c>
      <c r="F2337" s="121" t="s">
        <v>3009</v>
      </c>
      <c r="G2337" s="98" t="str">
        <f>HYPERLINK("http://mirror.ff7data.com.ar/ff7/data/battle/battle.lgp/elap.png","View Picture")</f>
        <v>View Picture</v>
      </c>
    </row>
    <row r="2338">
      <c r="A2338" s="55"/>
      <c r="B2338" s="119" t="s">
        <v>24947</v>
      </c>
      <c r="C2338" s="120" t="s">
        <v>4185</v>
      </c>
      <c r="D2338" s="33" t="s">
        <v>24904</v>
      </c>
      <c r="E2338" s="51" t="s">
        <v>488</v>
      </c>
      <c r="F2338" s="121" t="s">
        <v>3009</v>
      </c>
      <c r="G2338" s="98" t="str">
        <f>HYPERLINK("http://mirror.ff7data.com.ar/ff7/data/battle/battle.lgp/elaq.png","View Picture")</f>
        <v>View Picture</v>
      </c>
    </row>
    <row r="2339">
      <c r="A2339" s="55"/>
      <c r="B2339" s="119" t="s">
        <v>24955</v>
      </c>
      <c r="C2339" s="120" t="s">
        <v>4057</v>
      </c>
      <c r="D2339" s="33" t="s">
        <v>24904</v>
      </c>
      <c r="E2339" s="51" t="s">
        <v>488</v>
      </c>
      <c r="F2339" s="121" t="s">
        <v>3009</v>
      </c>
      <c r="G2339" s="98" t="str">
        <f>HYPERLINK("http://mirror.ff7data.com.ar/ff7/data/battle/battle.lgp/elar.png","View Picture")</f>
        <v>View Picture</v>
      </c>
    </row>
    <row r="2340">
      <c r="A2340" s="55"/>
      <c r="B2340" s="119" t="s">
        <v>24963</v>
      </c>
      <c r="C2340" s="120" t="s">
        <v>3412</v>
      </c>
      <c r="D2340" s="33" t="s">
        <v>24904</v>
      </c>
      <c r="E2340" s="51" t="s">
        <v>488</v>
      </c>
      <c r="F2340" s="121" t="s">
        <v>3009</v>
      </c>
      <c r="G2340" s="98" t="str">
        <f>HYPERLINK("http://mirror.ff7data.com.ar/ff7/data/battle/battle.lgp/elat.png","View Picture")</f>
        <v>View Picture</v>
      </c>
    </row>
    <row r="2341">
      <c r="A2341" s="55"/>
      <c r="B2341" s="119" t="s">
        <v>24972</v>
      </c>
      <c r="C2341" s="120" t="s">
        <v>6830</v>
      </c>
      <c r="D2341" s="33" t="s">
        <v>24904</v>
      </c>
      <c r="E2341" s="51" t="s">
        <v>488</v>
      </c>
      <c r="F2341" s="121" t="s">
        <v>3009</v>
      </c>
      <c r="G2341" s="98" t="str">
        <f>HYPERLINK("http://mirror.ff7data.com.ar/ff7/data/battle/battle.lgp/elau.png","View Picture")</f>
        <v>View Picture</v>
      </c>
    </row>
    <row r="2342">
      <c r="A2342" s="55"/>
      <c r="B2342" s="119" t="s">
        <v>24980</v>
      </c>
      <c r="C2342" s="120" t="s">
        <v>4357</v>
      </c>
      <c r="D2342" s="33" t="s">
        <v>24904</v>
      </c>
      <c r="E2342" s="51" t="s">
        <v>488</v>
      </c>
      <c r="F2342" s="121" t="s">
        <v>3009</v>
      </c>
      <c r="G2342" s="98" t="str">
        <f>HYPERLINK("http://mirror.ff7data.com.ar/ff7/data/battle/battle.lgp/elaw.png","View Picture")</f>
        <v>View Picture</v>
      </c>
    </row>
    <row r="2343">
      <c r="A2343" s="55"/>
      <c r="B2343" s="119" t="s">
        <v>24987</v>
      </c>
      <c r="C2343" s="120" t="s">
        <v>4439</v>
      </c>
      <c r="D2343" s="33" t="s">
        <v>24904</v>
      </c>
      <c r="E2343" s="51" t="s">
        <v>488</v>
      </c>
      <c r="F2343" s="121" t="s">
        <v>3009</v>
      </c>
      <c r="G2343" s="98" t="str">
        <f>HYPERLINK("http://mirror.ff7data.com.ar/ff7/data/battle/battle.lgp/elax.png","View Picture")</f>
        <v>View Picture</v>
      </c>
    </row>
    <row r="2344">
      <c r="A2344" s="55"/>
      <c r="B2344" s="119" t="s">
        <v>24997</v>
      </c>
      <c r="C2344" s="120" t="s">
        <v>4396</v>
      </c>
      <c r="D2344" s="33" t="s">
        <v>24904</v>
      </c>
      <c r="E2344" s="51" t="s">
        <v>488</v>
      </c>
      <c r="F2344" s="121" t="s">
        <v>3009</v>
      </c>
      <c r="G2344" s="98" t="str">
        <f>HYPERLINK("http://mirror.ff7data.com.ar/ff7/data/battle/battle.lgp/elaz.png","View Picture")</f>
        <v>View Picture</v>
      </c>
    </row>
    <row r="2345">
      <c r="A2345" s="55"/>
      <c r="B2345" s="119" t="s">
        <v>25016</v>
      </c>
      <c r="C2345" s="120" t="s">
        <v>4719</v>
      </c>
      <c r="D2345" s="33" t="s">
        <v>24904</v>
      </c>
      <c r="E2345" s="51" t="s">
        <v>488</v>
      </c>
      <c r="F2345" s="121" t="s">
        <v>3009</v>
      </c>
      <c r="G2345" s="98" t="str">
        <f>HYPERLINK("http://mirror.ff7data.com.ar/ff7/data/battle/battle.lgp/elba.png","View Picture")</f>
        <v>View Picture</v>
      </c>
    </row>
    <row r="2346">
      <c r="A2346" s="55"/>
      <c r="B2346" s="119" t="s">
        <v>25026</v>
      </c>
      <c r="C2346" s="120" t="s">
        <v>7165</v>
      </c>
      <c r="D2346" s="33" t="s">
        <v>24904</v>
      </c>
      <c r="E2346" s="51" t="s">
        <v>488</v>
      </c>
      <c r="F2346" s="121" t="s">
        <v>3009</v>
      </c>
      <c r="G2346" s="98" t="str">
        <f>HYPERLINK("http://mirror.ff7data.com.ar/ff7/data/battle/battle.lgp/elbd.png","View Picture")</f>
        <v>View Picture</v>
      </c>
    </row>
    <row r="2347">
      <c r="A2347" s="55"/>
      <c r="B2347" s="119" t="s">
        <v>25035</v>
      </c>
      <c r="C2347" s="120" t="s">
        <v>4439</v>
      </c>
      <c r="D2347" s="33" t="s">
        <v>24904</v>
      </c>
      <c r="E2347" s="51" t="s">
        <v>488</v>
      </c>
      <c r="F2347" s="121" t="s">
        <v>3009</v>
      </c>
      <c r="G2347" s="98" t="str">
        <f>HYPERLINK("http://mirror.ff7data.com.ar/ff7/data/battle/battle.lgp/elbe.png","View Picture")</f>
        <v>View Picture</v>
      </c>
    </row>
    <row r="2348">
      <c r="A2348" s="55"/>
      <c r="B2348" s="119" t="s">
        <v>25047</v>
      </c>
      <c r="C2348" s="120" t="s">
        <v>10078</v>
      </c>
      <c r="D2348" s="33" t="s">
        <v>24904</v>
      </c>
      <c r="E2348" s="51" t="s">
        <v>488</v>
      </c>
      <c r="F2348" s="121" t="s">
        <v>3009</v>
      </c>
      <c r="G2348" s="98" t="str">
        <f>HYPERLINK("http://mirror.ff7data.com.ar/ff7/data/battle/battle.lgp/elbg.png","View Picture")</f>
        <v>View Picture</v>
      </c>
    </row>
    <row r="2349">
      <c r="A2349" s="55"/>
      <c r="B2349" s="119" t="s">
        <v>25058</v>
      </c>
      <c r="C2349" s="120" t="s">
        <v>4372</v>
      </c>
      <c r="D2349" s="33" t="s">
        <v>24904</v>
      </c>
      <c r="E2349" s="51" t="s">
        <v>488</v>
      </c>
      <c r="F2349" s="121" t="s">
        <v>3009</v>
      </c>
      <c r="G2349" s="98" t="str">
        <f>HYPERLINK("http://mirror.ff7data.com.ar/ff7/data/battle/battle.lgp/elbh.png","View Picture")</f>
        <v>View Picture</v>
      </c>
    </row>
    <row r="2350">
      <c r="A2350" s="55"/>
      <c r="B2350" s="119" t="s">
        <v>25066</v>
      </c>
      <c r="C2350" s="120" t="s">
        <v>4476</v>
      </c>
      <c r="D2350" s="33" t="s">
        <v>24904</v>
      </c>
      <c r="E2350" s="51" t="s">
        <v>488</v>
      </c>
      <c r="F2350" s="121" t="s">
        <v>3009</v>
      </c>
      <c r="G2350" s="98" t="str">
        <f>HYPERLINK("http://mirror.ff7data.com.ar/ff7/data/battle/battle.lgp/elbl.png","View Picture")</f>
        <v>View Picture</v>
      </c>
    </row>
    <row r="2351">
      <c r="A2351" s="55"/>
      <c r="B2351" s="119" t="s">
        <v>25076</v>
      </c>
      <c r="C2351" s="120" t="s">
        <v>4185</v>
      </c>
      <c r="D2351" s="33" t="s">
        <v>24904</v>
      </c>
      <c r="E2351" s="51" t="s">
        <v>488</v>
      </c>
      <c r="F2351" s="121" t="s">
        <v>3009</v>
      </c>
      <c r="G2351" s="98" t="str">
        <f>HYPERLINK("http://mirror.ff7data.com.ar/ff7/data/battle/battle.lgp/elbm.png","View Picture")</f>
        <v>View Picture</v>
      </c>
    </row>
    <row r="2352">
      <c r="A2352" s="55"/>
      <c r="B2352" s="119" t="s">
        <v>25087</v>
      </c>
      <c r="C2352" s="120" t="s">
        <v>4439</v>
      </c>
      <c r="D2352" s="33" t="s">
        <v>24904</v>
      </c>
      <c r="E2352" s="51" t="s">
        <v>488</v>
      </c>
      <c r="F2352" s="121" t="s">
        <v>3009</v>
      </c>
      <c r="G2352" s="98" t="str">
        <f>HYPERLINK("http://mirror.ff7data.com.ar/ff7/data/battle/battle.lgp/elbn.png","View Picture")</f>
        <v>View Picture</v>
      </c>
    </row>
    <row r="2353">
      <c r="A2353" s="55"/>
      <c r="B2353" s="119" t="s">
        <v>25096</v>
      </c>
      <c r="C2353" s="120" t="s">
        <v>4288</v>
      </c>
      <c r="D2353" s="33" t="s">
        <v>24904</v>
      </c>
      <c r="E2353" s="51" t="s">
        <v>488</v>
      </c>
      <c r="F2353" s="121" t="s">
        <v>3009</v>
      </c>
      <c r="G2353" s="98" t="str">
        <f>HYPERLINK("http://mirror.ff7data.com.ar/ff7/data/battle/battle.lgp/elbp.png","View Picture")</f>
        <v>View Picture</v>
      </c>
    </row>
    <row r="2354">
      <c r="A2354" s="55"/>
      <c r="B2354" s="119" t="s">
        <v>25107</v>
      </c>
      <c r="C2354" s="120" t="s">
        <v>4288</v>
      </c>
      <c r="D2354" s="33" t="s">
        <v>24904</v>
      </c>
      <c r="E2354" s="51" t="s">
        <v>488</v>
      </c>
      <c r="F2354" s="121" t="s">
        <v>3009</v>
      </c>
      <c r="G2354" s="98" t="str">
        <f>HYPERLINK("http://mirror.ff7data.com.ar/ff7/data/battle/battle.lgp/elbq.png","View Picture")</f>
        <v>View Picture</v>
      </c>
    </row>
    <row r="2355">
      <c r="A2355" s="55"/>
      <c r="B2355" s="119" t="s">
        <v>25116</v>
      </c>
      <c r="C2355" s="120" t="s">
        <v>4264</v>
      </c>
      <c r="D2355" s="33" t="s">
        <v>24904</v>
      </c>
      <c r="E2355" s="51" t="s">
        <v>488</v>
      </c>
      <c r="F2355" s="121" t="s">
        <v>3009</v>
      </c>
      <c r="G2355" s="98" t="str">
        <f>HYPERLINK("http://mirror.ff7data.com.ar/ff7/data/battle/battle.lgp/elbr.png","View Picture")</f>
        <v>View Picture</v>
      </c>
    </row>
    <row r="2356">
      <c r="A2356" s="55"/>
      <c r="B2356" s="119" t="s">
        <v>25125</v>
      </c>
      <c r="C2356" s="120" t="s">
        <v>4288</v>
      </c>
      <c r="D2356" s="33" t="s">
        <v>24904</v>
      </c>
      <c r="E2356" s="51" t="s">
        <v>488</v>
      </c>
      <c r="F2356" s="121" t="s">
        <v>3009</v>
      </c>
      <c r="G2356" s="98" t="str">
        <f>HYPERLINK("http://mirror.ff7data.com.ar/ff7/data/battle/battle.lgp/elbs.png","View Picture")</f>
        <v>View Picture</v>
      </c>
    </row>
    <row r="2357">
      <c r="A2357" s="55"/>
      <c r="B2357" s="119" t="s">
        <v>25133</v>
      </c>
      <c r="C2357" s="120" t="s">
        <v>4288</v>
      </c>
      <c r="D2357" s="33" t="s">
        <v>24904</v>
      </c>
      <c r="E2357" s="51" t="s">
        <v>488</v>
      </c>
      <c r="F2357" s="121" t="s">
        <v>3009</v>
      </c>
      <c r="G2357" s="98" t="str">
        <f>HYPERLINK("http://mirror.ff7data.com.ar/ff7/data/battle/battle.lgp/elbt.png","View Picture")</f>
        <v>View Picture</v>
      </c>
    </row>
    <row r="2358">
      <c r="A2358" s="55"/>
      <c r="B2358" s="119" t="s">
        <v>25140</v>
      </c>
      <c r="C2358" s="120" t="s">
        <v>3842</v>
      </c>
      <c r="D2358" s="33" t="s">
        <v>24904</v>
      </c>
      <c r="E2358" s="51" t="s">
        <v>488</v>
      </c>
      <c r="F2358" s="121" t="s">
        <v>3009</v>
      </c>
      <c r="G2358" s="98" t="str">
        <f>HYPERLINK("http://mirror.ff7data.com.ar/ff7/data/battle/battle.lgp/elbu.png","View Picture")</f>
        <v>View Picture</v>
      </c>
    </row>
    <row r="2359">
      <c r="A2359" s="55"/>
      <c r="B2359" s="119" t="s">
        <v>25149</v>
      </c>
      <c r="C2359" s="120" t="s">
        <v>4185</v>
      </c>
      <c r="D2359" s="33" t="s">
        <v>24904</v>
      </c>
      <c r="E2359" s="51" t="s">
        <v>488</v>
      </c>
      <c r="F2359" s="121" t="s">
        <v>3009</v>
      </c>
      <c r="G2359" s="98" t="str">
        <f>HYPERLINK("http://mirror.ff7data.com.ar/ff7/data/battle/battle.lgp/elbx.png","View Picture")</f>
        <v>View Picture</v>
      </c>
    </row>
    <row r="2360">
      <c r="A2360" s="55"/>
      <c r="B2360" s="119" t="s">
        <v>25158</v>
      </c>
      <c r="C2360" s="120" t="s">
        <v>4185</v>
      </c>
      <c r="D2360" s="33" t="s">
        <v>24904</v>
      </c>
      <c r="E2360" s="51" t="s">
        <v>488</v>
      </c>
      <c r="F2360" s="121" t="s">
        <v>3009</v>
      </c>
      <c r="G2360" s="98" t="str">
        <f>HYPERLINK("http://mirror.ff7data.com.ar/ff7/data/battle/battle.lgp/elby.png","View Picture")</f>
        <v>View Picture</v>
      </c>
    </row>
    <row r="2361">
      <c r="A2361" s="55"/>
      <c r="B2361" s="119" t="s">
        <v>25160</v>
      </c>
      <c r="C2361" s="120" t="s">
        <v>4439</v>
      </c>
      <c r="D2361" s="33" t="s">
        <v>24904</v>
      </c>
      <c r="E2361" s="51" t="s">
        <v>488</v>
      </c>
      <c r="F2361" s="121" t="s">
        <v>3009</v>
      </c>
      <c r="G2361" s="98" t="str">
        <f>HYPERLINK("http://mirror.ff7data.com.ar/ff7/data/battle/battle.lgp/elbz.png","View Picture")</f>
        <v>View Picture</v>
      </c>
    </row>
    <row r="2362">
      <c r="A2362" s="55"/>
      <c r="B2362" s="119" t="s">
        <v>25168</v>
      </c>
      <c r="C2362" s="120" t="s">
        <v>3434</v>
      </c>
      <c r="D2362" s="33" t="s">
        <v>24904</v>
      </c>
      <c r="E2362" s="51" t="s">
        <v>488</v>
      </c>
      <c r="F2362" s="121" t="s">
        <v>3025</v>
      </c>
      <c r="H2362" s="46" t="s">
        <v>3002</v>
      </c>
    </row>
    <row r="2363">
      <c r="A2363" s="55"/>
      <c r="B2363" s="119" t="s">
        <v>25171</v>
      </c>
      <c r="C2363" s="120" t="s">
        <v>6789</v>
      </c>
      <c r="D2363" s="33" t="s">
        <v>25173</v>
      </c>
      <c r="E2363" s="51" t="s">
        <v>492</v>
      </c>
      <c r="F2363" s="121" t="s">
        <v>2971</v>
      </c>
      <c r="G2363" s="98" t="str">
        <f>HYPERLINK("http://mirror.ff7data.com.ar/ff7/data/battle/battle.lgp/emaa.png","View Picture")</f>
        <v>View Picture</v>
      </c>
    </row>
    <row r="2364">
      <c r="A2364" s="55"/>
      <c r="B2364" s="119" t="s">
        <v>25180</v>
      </c>
      <c r="C2364" s="120" t="s">
        <v>4109</v>
      </c>
      <c r="D2364" s="33" t="s">
        <v>25181</v>
      </c>
      <c r="E2364" s="51" t="s">
        <v>492</v>
      </c>
      <c r="F2364" s="121" t="s">
        <v>2993</v>
      </c>
      <c r="H2364" s="46" t="s">
        <v>3002</v>
      </c>
    </row>
    <row r="2365">
      <c r="A2365" s="55"/>
      <c r="B2365" s="119" t="s">
        <v>25183</v>
      </c>
      <c r="C2365" s="120" t="s">
        <v>6010</v>
      </c>
      <c r="D2365" s="33" t="s">
        <v>25181</v>
      </c>
      <c r="E2365" s="51" t="s">
        <v>492</v>
      </c>
      <c r="F2365" s="121" t="s">
        <v>3009</v>
      </c>
      <c r="G2365" s="98" t="str">
        <f>HYPERLINK("http://mirror.ff7data.com.ar/ff7/data/battle/battle.lgp/emam.png","View Picture")</f>
        <v>View Picture</v>
      </c>
    </row>
    <row r="2366">
      <c r="A2366" s="55"/>
      <c r="B2366" s="119" t="s">
        <v>25191</v>
      </c>
      <c r="C2366" s="120" t="s">
        <v>7165</v>
      </c>
      <c r="D2366" s="33" t="s">
        <v>25181</v>
      </c>
      <c r="E2366" s="51" t="s">
        <v>492</v>
      </c>
      <c r="F2366" s="121" t="s">
        <v>3009</v>
      </c>
      <c r="G2366" s="98" t="str">
        <f>HYPERLINK("http://mirror.ff7data.com.ar/ff7/data/battle/battle.lgp/emao.png","View Picture")</f>
        <v>View Picture</v>
      </c>
    </row>
    <row r="2367">
      <c r="A2367" s="55"/>
      <c r="B2367" s="119" t="s">
        <v>25201</v>
      </c>
      <c r="C2367" s="120" t="s">
        <v>4228</v>
      </c>
      <c r="D2367" s="33" t="s">
        <v>25181</v>
      </c>
      <c r="E2367" s="51" t="s">
        <v>492</v>
      </c>
      <c r="F2367" s="121" t="s">
        <v>3009</v>
      </c>
      <c r="G2367" s="98" t="str">
        <f>HYPERLINK("http://mirror.ff7data.com.ar/ff7/data/battle/battle.lgp/emap.png","View Picture")</f>
        <v>View Picture</v>
      </c>
    </row>
    <row r="2368">
      <c r="A2368" s="55"/>
      <c r="B2368" s="119" t="s">
        <v>25206</v>
      </c>
      <c r="C2368" s="120" t="s">
        <v>3445</v>
      </c>
      <c r="D2368" s="33" t="s">
        <v>25181</v>
      </c>
      <c r="E2368" s="51" t="s">
        <v>492</v>
      </c>
      <c r="F2368" s="121" t="s">
        <v>3009</v>
      </c>
      <c r="G2368" s="98" t="str">
        <f>HYPERLINK("http://mirror.ff7data.com.ar/ff7/data/battle/battle.lgp/emaq.png","View Picture")</f>
        <v>View Picture</v>
      </c>
    </row>
    <row r="2369">
      <c r="A2369" s="55"/>
      <c r="B2369" s="119" t="s">
        <v>25212</v>
      </c>
      <c r="C2369" s="120" t="s">
        <v>5891</v>
      </c>
      <c r="D2369" s="33" t="s">
        <v>25181</v>
      </c>
      <c r="E2369" s="51" t="s">
        <v>492</v>
      </c>
      <c r="F2369" s="121" t="s">
        <v>3009</v>
      </c>
      <c r="G2369" s="98" t="str">
        <f>HYPERLINK("http://mirror.ff7data.com.ar/ff7/data/battle/battle.lgp/emas.png","View Picture")</f>
        <v>View Picture</v>
      </c>
    </row>
    <row r="2370">
      <c r="A2370" s="55"/>
      <c r="B2370" s="119" t="s">
        <v>25220</v>
      </c>
      <c r="C2370" s="120" t="s">
        <v>3370</v>
      </c>
      <c r="D2370" s="33" t="s">
        <v>25181</v>
      </c>
      <c r="E2370" s="51" t="s">
        <v>492</v>
      </c>
      <c r="F2370" s="121" t="s">
        <v>3009</v>
      </c>
      <c r="G2370" s="98" t="str">
        <f>HYPERLINK("http://mirror.ff7data.com.ar/ff7/data/battle/battle.lgp/emat.png","View Picture")</f>
        <v>View Picture</v>
      </c>
    </row>
    <row r="2371">
      <c r="A2371" s="55"/>
      <c r="B2371" s="119" t="s">
        <v>25228</v>
      </c>
      <c r="C2371" s="120" t="s">
        <v>4191</v>
      </c>
      <c r="D2371" s="33" t="s">
        <v>25181</v>
      </c>
      <c r="E2371" s="51" t="s">
        <v>492</v>
      </c>
      <c r="F2371" s="121" t="s">
        <v>3009</v>
      </c>
      <c r="G2371" s="98" t="str">
        <f>HYPERLINK("http://mirror.ff7data.com.ar/ff7/data/battle/battle.lgp/emau.png","View Picture")</f>
        <v>View Picture</v>
      </c>
    </row>
    <row r="2372">
      <c r="A2372" s="55"/>
      <c r="B2372" s="119" t="s">
        <v>25237</v>
      </c>
      <c r="C2372" s="120" t="s">
        <v>3749</v>
      </c>
      <c r="D2372" s="33" t="s">
        <v>25181</v>
      </c>
      <c r="E2372" s="51" t="s">
        <v>492</v>
      </c>
      <c r="F2372" s="121" t="s">
        <v>3009</v>
      </c>
      <c r="G2372" s="98" t="str">
        <f>HYPERLINK("http://mirror.ff7data.com.ar/ff7/data/battle/battle.lgp/emav.png","View Picture")</f>
        <v>View Picture</v>
      </c>
    </row>
    <row r="2373">
      <c r="A2373" s="55"/>
      <c r="B2373" s="119" t="s">
        <v>25243</v>
      </c>
      <c r="C2373" s="120" t="s">
        <v>4476</v>
      </c>
      <c r="D2373" s="33" t="s">
        <v>25181</v>
      </c>
      <c r="E2373" s="51" t="s">
        <v>492</v>
      </c>
      <c r="F2373" s="121" t="s">
        <v>3009</v>
      </c>
      <c r="G2373" s="98" t="str">
        <f>HYPERLINK("http://mirror.ff7data.com.ar/ff7/data/battle/battle.lgp/emax.png","View Picture")</f>
        <v>View Picture</v>
      </c>
    </row>
    <row r="2374">
      <c r="A2374" s="55"/>
      <c r="B2374" s="119" t="s">
        <v>25251</v>
      </c>
      <c r="C2374" s="120" t="s">
        <v>3573</v>
      </c>
      <c r="D2374" s="33" t="s">
        <v>25181</v>
      </c>
      <c r="E2374" s="51" t="s">
        <v>492</v>
      </c>
      <c r="F2374" s="121" t="s">
        <v>3009</v>
      </c>
      <c r="G2374" s="98" t="str">
        <f>HYPERLINK("http://mirror.ff7data.com.ar/ff7/data/battle/battle.lgp/emay.png","View Picture")</f>
        <v>View Picture</v>
      </c>
    </row>
    <row r="2375">
      <c r="A2375" s="55"/>
      <c r="B2375" s="119" t="s">
        <v>25260</v>
      </c>
      <c r="C2375" s="120" t="s">
        <v>25262</v>
      </c>
      <c r="D2375" s="33" t="s">
        <v>25181</v>
      </c>
      <c r="E2375" s="51" t="s">
        <v>492</v>
      </c>
      <c r="F2375" s="121" t="s">
        <v>3009</v>
      </c>
      <c r="G2375" s="98" t="str">
        <f>HYPERLINK("http://mirror.ff7data.com.ar/ff7/data/battle/battle.lgp/emaz.png","View Picture")</f>
        <v>View Picture</v>
      </c>
    </row>
    <row r="2376">
      <c r="A2376" s="55"/>
      <c r="B2376" s="119" t="s">
        <v>25269</v>
      </c>
      <c r="C2376" s="120" t="s">
        <v>3749</v>
      </c>
      <c r="D2376" s="33" t="s">
        <v>25181</v>
      </c>
      <c r="E2376" s="51" t="s">
        <v>492</v>
      </c>
      <c r="F2376" s="121" t="s">
        <v>3009</v>
      </c>
      <c r="G2376" s="98" t="str">
        <f>HYPERLINK("http://mirror.ff7data.com.ar/ff7/data/battle/battle.lgp/embb.png","View Picture")</f>
        <v>View Picture</v>
      </c>
    </row>
    <row r="2377">
      <c r="A2377" s="55"/>
      <c r="B2377" s="119" t="s">
        <v>25279</v>
      </c>
      <c r="C2377" s="120" t="s">
        <v>8649</v>
      </c>
      <c r="D2377" s="33" t="s">
        <v>25181</v>
      </c>
      <c r="E2377" s="51" t="s">
        <v>492</v>
      </c>
      <c r="F2377" s="121" t="s">
        <v>3009</v>
      </c>
      <c r="G2377" s="98" t="str">
        <f>HYPERLINK("http://mirror.ff7data.com.ar/ff7/data/battle/battle.lgp/embc.png","View Picture")</f>
        <v>View Picture</v>
      </c>
    </row>
    <row r="2378">
      <c r="A2378" s="55"/>
      <c r="B2378" s="119" t="s">
        <v>25288</v>
      </c>
      <c r="C2378" s="120" t="s">
        <v>10078</v>
      </c>
      <c r="D2378" s="33" t="s">
        <v>25181</v>
      </c>
      <c r="E2378" s="51" t="s">
        <v>492</v>
      </c>
      <c r="F2378" s="121" t="s">
        <v>3009</v>
      </c>
      <c r="G2378" s="98" t="str">
        <f>HYPERLINK("http://mirror.ff7data.com.ar/ff7/data/battle/battle.lgp/embe.png","View Picture")</f>
        <v>View Picture</v>
      </c>
    </row>
    <row r="2379">
      <c r="A2379" s="55"/>
      <c r="B2379" s="119" t="s">
        <v>25297</v>
      </c>
      <c r="C2379" s="120" t="s">
        <v>6029</v>
      </c>
      <c r="D2379" s="33" t="s">
        <v>25181</v>
      </c>
      <c r="E2379" s="51" t="s">
        <v>492</v>
      </c>
      <c r="F2379" s="121" t="s">
        <v>3009</v>
      </c>
      <c r="G2379" s="98" t="str">
        <f>HYPERLINK("http://mirror.ff7data.com.ar/ff7/data/battle/battle.lgp/embf.png","View Picture")</f>
        <v>View Picture</v>
      </c>
    </row>
    <row r="2380">
      <c r="A2380" s="55"/>
      <c r="B2380" s="119" t="s">
        <v>25309</v>
      </c>
      <c r="C2380" s="120" t="s">
        <v>4476</v>
      </c>
      <c r="D2380" s="33" t="s">
        <v>25181</v>
      </c>
      <c r="E2380" s="51" t="s">
        <v>492</v>
      </c>
      <c r="F2380" s="121" t="s">
        <v>3009</v>
      </c>
      <c r="G2380" s="98" t="str">
        <f>HYPERLINK("http://mirror.ff7data.com.ar/ff7/data/battle/battle.lgp/embg.png","View Picture")</f>
        <v>View Picture</v>
      </c>
    </row>
    <row r="2381">
      <c r="A2381" s="55"/>
      <c r="B2381" s="119" t="s">
        <v>25322</v>
      </c>
      <c r="C2381" s="120" t="s">
        <v>10078</v>
      </c>
      <c r="D2381" s="33" t="s">
        <v>25181</v>
      </c>
      <c r="E2381" s="51" t="s">
        <v>492</v>
      </c>
      <c r="F2381" s="121" t="s">
        <v>3009</v>
      </c>
      <c r="G2381" s="98" t="str">
        <f>HYPERLINK("http://mirror.ff7data.com.ar/ff7/data/battle/battle.lgp/embi.png","View Picture")</f>
        <v>View Picture</v>
      </c>
    </row>
    <row r="2382">
      <c r="A2382" s="55"/>
      <c r="B2382" s="119" t="s">
        <v>25330</v>
      </c>
      <c r="C2382" s="120" t="s">
        <v>6029</v>
      </c>
      <c r="D2382" s="33" t="s">
        <v>25181</v>
      </c>
      <c r="E2382" s="51" t="s">
        <v>492</v>
      </c>
      <c r="F2382" s="121" t="s">
        <v>3009</v>
      </c>
      <c r="G2382" s="98" t="str">
        <f>HYPERLINK("http://mirror.ff7data.com.ar/ff7/data/battle/battle.lgp/embj.png","View Picture")</f>
        <v>View Picture</v>
      </c>
    </row>
    <row r="2383">
      <c r="A2383" s="55"/>
      <c r="B2383" s="119" t="s">
        <v>25339</v>
      </c>
      <c r="C2383" s="120" t="s">
        <v>6029</v>
      </c>
      <c r="D2383" s="33" t="s">
        <v>25181</v>
      </c>
      <c r="E2383" s="51" t="s">
        <v>492</v>
      </c>
      <c r="F2383" s="121" t="s">
        <v>3009</v>
      </c>
      <c r="G2383" s="98" t="str">
        <f>HYPERLINK("http://mirror.ff7data.com.ar/ff7/data/battle/battle.lgp/embk.png","View Picture")</f>
        <v>View Picture</v>
      </c>
    </row>
    <row r="2384">
      <c r="A2384" s="55"/>
      <c r="B2384" s="119" t="s">
        <v>25347</v>
      </c>
      <c r="C2384" s="120" t="s">
        <v>3355</v>
      </c>
      <c r="D2384" s="33" t="s">
        <v>25181</v>
      </c>
      <c r="E2384" s="51" t="s">
        <v>492</v>
      </c>
      <c r="F2384" s="121" t="s">
        <v>3009</v>
      </c>
      <c r="G2384" s="98" t="str">
        <f>HYPERLINK("http://mirror.ff7data.com.ar/ff7/data/battle/battle.lgp/embl.png","View Picture")</f>
        <v>View Picture</v>
      </c>
    </row>
    <row r="2385">
      <c r="A2385" s="55"/>
      <c r="B2385" s="119" t="s">
        <v>25359</v>
      </c>
      <c r="C2385" s="120" t="s">
        <v>3842</v>
      </c>
      <c r="D2385" s="33" t="s">
        <v>25181</v>
      </c>
      <c r="E2385" s="51" t="s">
        <v>492</v>
      </c>
      <c r="F2385" s="121" t="s">
        <v>3009</v>
      </c>
      <c r="G2385" s="98" t="str">
        <f>HYPERLINK("http://mirror.ff7data.com.ar/ff7/data/battle/battle.lgp/embn.png","View Picture")</f>
        <v>View Picture</v>
      </c>
    </row>
    <row r="2386">
      <c r="A2386" s="55"/>
      <c r="B2386" s="119" t="s">
        <v>25371</v>
      </c>
      <c r="C2386" s="120" t="s">
        <v>4439</v>
      </c>
      <c r="D2386" s="33" t="s">
        <v>25181</v>
      </c>
      <c r="E2386" s="51" t="s">
        <v>492</v>
      </c>
      <c r="F2386" s="121" t="s">
        <v>3009</v>
      </c>
      <c r="G2386" s="98" t="str">
        <f>HYPERLINK("http://mirror.ff7data.com.ar/ff7/data/battle/battle.lgp/embo.png","View Picture")</f>
        <v>View Picture</v>
      </c>
    </row>
    <row r="2387">
      <c r="A2387" s="55"/>
      <c r="B2387" s="119" t="s">
        <v>25380</v>
      </c>
      <c r="C2387" s="120" t="s">
        <v>3481</v>
      </c>
      <c r="D2387" s="33" t="s">
        <v>25181</v>
      </c>
      <c r="E2387" s="51" t="s">
        <v>492</v>
      </c>
      <c r="F2387" s="121" t="s">
        <v>3009</v>
      </c>
      <c r="G2387" s="98" t="str">
        <f>HYPERLINK("http://mirror.ff7data.com.ar/ff7/data/battle/battle.lgp/embp.png","View Picture")</f>
        <v>View Picture</v>
      </c>
    </row>
    <row r="2388">
      <c r="A2388" s="55"/>
      <c r="B2388" s="119" t="s">
        <v>25389</v>
      </c>
      <c r="C2388" s="120" t="s">
        <v>3648</v>
      </c>
      <c r="D2388" s="33" t="s">
        <v>25181</v>
      </c>
      <c r="E2388" s="51" t="s">
        <v>492</v>
      </c>
      <c r="F2388" s="121" t="s">
        <v>3009</v>
      </c>
      <c r="G2388" s="98" t="str">
        <f>HYPERLINK("http://mirror.ff7data.com.ar/ff7/data/battle/battle.lgp/embr.png","View Picture")</f>
        <v>View Picture</v>
      </c>
    </row>
    <row r="2389">
      <c r="A2389" s="55"/>
      <c r="B2389" s="119" t="s">
        <v>25395</v>
      </c>
      <c r="C2389" s="120" t="s">
        <v>4439</v>
      </c>
      <c r="D2389" s="33" t="s">
        <v>25181</v>
      </c>
      <c r="E2389" s="51" t="s">
        <v>492</v>
      </c>
      <c r="F2389" s="121" t="s">
        <v>3009</v>
      </c>
      <c r="G2389" s="98" t="str">
        <f>HYPERLINK("http://mirror.ff7data.com.ar/ff7/data/battle/battle.lgp/embs.png","View Picture")</f>
        <v>View Picture</v>
      </c>
    </row>
    <row r="2390">
      <c r="A2390" s="55"/>
      <c r="B2390" s="119" t="s">
        <v>25401</v>
      </c>
      <c r="C2390" s="120" t="s">
        <v>3481</v>
      </c>
      <c r="D2390" s="33" t="s">
        <v>25181</v>
      </c>
      <c r="E2390" s="51" t="s">
        <v>492</v>
      </c>
      <c r="F2390" s="121" t="s">
        <v>3009</v>
      </c>
      <c r="G2390" s="98" t="str">
        <f>HYPERLINK("http://mirror.ff7data.com.ar/ff7/data/battle/battle.lgp/embt.png","View Picture")</f>
        <v>View Picture</v>
      </c>
    </row>
    <row r="2391">
      <c r="A2391" s="55"/>
      <c r="B2391" s="119" t="s">
        <v>25408</v>
      </c>
      <c r="C2391" s="120" t="s">
        <v>6029</v>
      </c>
      <c r="D2391" s="33" t="s">
        <v>25181</v>
      </c>
      <c r="E2391" s="51" t="s">
        <v>492</v>
      </c>
      <c r="F2391" s="121" t="s">
        <v>3009</v>
      </c>
      <c r="G2391" s="98" t="str">
        <f>HYPERLINK("http://mirror.ff7data.com.ar/ff7/data/battle/battle.lgp/embu.png","View Picture")</f>
        <v>View Picture</v>
      </c>
    </row>
    <row r="2392">
      <c r="A2392" s="55"/>
      <c r="B2392" s="119" t="s">
        <v>25414</v>
      </c>
      <c r="C2392" s="120" t="s">
        <v>4185</v>
      </c>
      <c r="D2392" s="33" t="s">
        <v>25181</v>
      </c>
      <c r="E2392" s="51" t="s">
        <v>492</v>
      </c>
      <c r="F2392" s="121" t="s">
        <v>3009</v>
      </c>
      <c r="G2392" s="98" t="str">
        <f>HYPERLINK("http://mirror.ff7data.com.ar/ff7/data/battle/battle.lgp/embv.png","View Picture")</f>
        <v>View Picture</v>
      </c>
    </row>
    <row r="2393">
      <c r="A2393" s="55"/>
      <c r="B2393" s="119" t="s">
        <v>25424</v>
      </c>
      <c r="C2393" s="120" t="s">
        <v>4439</v>
      </c>
      <c r="D2393" s="33" t="s">
        <v>25181</v>
      </c>
      <c r="E2393" s="51" t="s">
        <v>492</v>
      </c>
      <c r="F2393" s="121" t="s">
        <v>3009</v>
      </c>
      <c r="G2393" s="98" t="str">
        <f>HYPERLINK("http://mirror.ff7data.com.ar/ff7/data/battle/battle.lgp/embw.png","View Picture")</f>
        <v>View Picture</v>
      </c>
    </row>
    <row r="2394">
      <c r="A2394" s="55"/>
      <c r="B2394" s="119" t="s">
        <v>25435</v>
      </c>
      <c r="C2394" s="120" t="s">
        <v>3343</v>
      </c>
      <c r="D2394" s="33" t="s">
        <v>25181</v>
      </c>
      <c r="E2394" s="51" t="s">
        <v>492</v>
      </c>
      <c r="F2394" s="121" t="s">
        <v>3009</v>
      </c>
      <c r="G2394" s="98" t="str">
        <f>HYPERLINK("http://mirror.ff7data.com.ar/ff7/data/battle/battle.lgp/embx.png","View Picture")</f>
        <v>View Picture</v>
      </c>
    </row>
    <row r="2395">
      <c r="A2395" s="55"/>
      <c r="B2395" s="119" t="s">
        <v>25444</v>
      </c>
      <c r="C2395" s="120" t="s">
        <v>5419</v>
      </c>
      <c r="D2395" s="33" t="s">
        <v>25181</v>
      </c>
      <c r="E2395" s="51" t="s">
        <v>492</v>
      </c>
      <c r="F2395" s="121" t="s">
        <v>3009</v>
      </c>
      <c r="G2395" s="98" t="str">
        <f>HYPERLINK("http://mirror.ff7data.com.ar/ff7/data/battle/battle.lgp/emby.png","View Picture")</f>
        <v>View Picture</v>
      </c>
    </row>
    <row r="2396">
      <c r="A2396" s="55"/>
      <c r="B2396" s="119" t="s">
        <v>25453</v>
      </c>
      <c r="C2396" s="120" t="s">
        <v>4719</v>
      </c>
      <c r="D2396" s="33" t="s">
        <v>25181</v>
      </c>
      <c r="E2396" s="51" t="s">
        <v>492</v>
      </c>
      <c r="F2396" s="121" t="s">
        <v>3009</v>
      </c>
      <c r="G2396" s="98" t="str">
        <f>HYPERLINK("http://mirror.ff7data.com.ar/ff7/data/battle/battle.lgp/emcb.png","View Picture")</f>
        <v>View Picture</v>
      </c>
    </row>
    <row r="2397">
      <c r="A2397" s="55"/>
      <c r="B2397" s="119" t="s">
        <v>25463</v>
      </c>
      <c r="C2397" s="120" t="s">
        <v>4372</v>
      </c>
      <c r="D2397" s="33" t="s">
        <v>25181</v>
      </c>
      <c r="E2397" s="51" t="s">
        <v>492</v>
      </c>
      <c r="F2397" s="121" t="s">
        <v>3009</v>
      </c>
      <c r="G2397" s="98" t="str">
        <f>HYPERLINK("http://mirror.ff7data.com.ar/ff7/data/battle/battle.lgp/emcc.png","View Picture")</f>
        <v>View Picture</v>
      </c>
    </row>
    <row r="2398">
      <c r="A2398" s="55"/>
      <c r="B2398" s="119" t="s">
        <v>25473</v>
      </c>
      <c r="C2398" s="120" t="s">
        <v>4357</v>
      </c>
      <c r="D2398" s="33" t="s">
        <v>25181</v>
      </c>
      <c r="E2398" s="51" t="s">
        <v>492</v>
      </c>
      <c r="F2398" s="121" t="s">
        <v>3009</v>
      </c>
      <c r="G2398" s="98" t="str">
        <f>HYPERLINK("http://mirror.ff7data.com.ar/ff7/data/battle/battle.lgp/emcd.png","View Picture")</f>
        <v>View Picture</v>
      </c>
    </row>
    <row r="2399">
      <c r="A2399" s="55"/>
      <c r="B2399" s="119" t="s">
        <v>25483</v>
      </c>
      <c r="C2399" s="120" t="s">
        <v>4719</v>
      </c>
      <c r="D2399" s="33" t="s">
        <v>25181</v>
      </c>
      <c r="E2399" s="51" t="s">
        <v>492</v>
      </c>
      <c r="F2399" s="121" t="s">
        <v>3009</v>
      </c>
      <c r="G2399" s="98" t="str">
        <f>HYPERLINK("http://mirror.ff7data.com.ar/ff7/data/battle/battle.lgp/emcf.png","View Picture")</f>
        <v>View Picture</v>
      </c>
    </row>
    <row r="2400">
      <c r="A2400" s="55"/>
      <c r="B2400" s="119" t="s">
        <v>25497</v>
      </c>
      <c r="C2400" s="120" t="s">
        <v>4372</v>
      </c>
      <c r="D2400" s="33" t="s">
        <v>25181</v>
      </c>
      <c r="E2400" s="51" t="s">
        <v>492</v>
      </c>
      <c r="F2400" s="121" t="s">
        <v>3009</v>
      </c>
      <c r="G2400" s="98" t="str">
        <f>HYPERLINK("http://mirror.ff7data.com.ar/ff7/data/battle/battle.lgp/emcg.png","View Picture")</f>
        <v>View Picture</v>
      </c>
    </row>
    <row r="2401">
      <c r="A2401" s="55"/>
      <c r="B2401" s="119" t="s">
        <v>25507</v>
      </c>
      <c r="C2401" s="120" t="s">
        <v>5419</v>
      </c>
      <c r="D2401" s="33" t="s">
        <v>25181</v>
      </c>
      <c r="E2401" s="51" t="s">
        <v>492</v>
      </c>
      <c r="F2401" s="121" t="s">
        <v>3009</v>
      </c>
      <c r="G2401" s="98" t="str">
        <f>HYPERLINK("http://mirror.ff7data.com.ar/ff7/data/battle/battle.lgp/emch.png","View Picture")</f>
        <v>View Picture</v>
      </c>
    </row>
    <row r="2402">
      <c r="A2402" s="55"/>
      <c r="B2402" s="119" t="s">
        <v>25515</v>
      </c>
      <c r="C2402" s="120" t="s">
        <v>4122</v>
      </c>
      <c r="D2402" s="33" t="s">
        <v>25181</v>
      </c>
      <c r="E2402" s="51" t="s">
        <v>492</v>
      </c>
      <c r="F2402" s="121" t="s">
        <v>3025</v>
      </c>
      <c r="H2402" s="46" t="s">
        <v>3002</v>
      </c>
    </row>
    <row r="2403">
      <c r="A2403" s="55"/>
      <c r="B2403" s="119" t="s">
        <v>25518</v>
      </c>
      <c r="C2403" s="120" t="s">
        <v>2989</v>
      </c>
      <c r="D2403" s="33" t="s">
        <v>25520</v>
      </c>
      <c r="E2403" s="51" t="s">
        <v>498</v>
      </c>
      <c r="F2403" s="121" t="s">
        <v>2971</v>
      </c>
      <c r="G2403" s="98" t="str">
        <f>HYPERLINK("http://mirror.ff7data.com.ar/ff7/data/battle/battle.lgp/enaa.png","View Picture")</f>
        <v>View Picture</v>
      </c>
    </row>
    <row r="2404">
      <c r="A2404" s="55"/>
      <c r="B2404" s="119" t="s">
        <v>25527</v>
      </c>
      <c r="C2404" s="120" t="s">
        <v>5222</v>
      </c>
      <c r="D2404" s="33" t="s">
        <v>25529</v>
      </c>
      <c r="E2404" s="51" t="s">
        <v>498</v>
      </c>
      <c r="F2404" s="121" t="s">
        <v>2993</v>
      </c>
      <c r="H2404" s="46" t="s">
        <v>3002</v>
      </c>
    </row>
    <row r="2405">
      <c r="A2405" s="55"/>
      <c r="B2405" s="119" t="s">
        <v>25532</v>
      </c>
      <c r="C2405" s="120" t="s">
        <v>4046</v>
      </c>
      <c r="D2405" s="33" t="s">
        <v>25529</v>
      </c>
      <c r="E2405" s="51" t="s">
        <v>498</v>
      </c>
      <c r="F2405" s="121" t="s">
        <v>3009</v>
      </c>
      <c r="G2405" s="98" t="str">
        <f>HYPERLINK("http://mirror.ff7data.com.ar/ff7/data/battle/battle.lgp/enam.png","View Picture")</f>
        <v>View Picture</v>
      </c>
    </row>
    <row r="2406">
      <c r="A2406" s="55"/>
      <c r="B2406" s="119" t="s">
        <v>25540</v>
      </c>
      <c r="C2406" s="120" t="s">
        <v>5967</v>
      </c>
      <c r="D2406" s="33" t="s">
        <v>25529</v>
      </c>
      <c r="E2406" s="51" t="s">
        <v>498</v>
      </c>
      <c r="F2406" s="121" t="s">
        <v>3009</v>
      </c>
      <c r="G2406" s="98" t="str">
        <f>HYPERLINK("http://mirror.ff7data.com.ar/ff7/data/battle/battle.lgp/enan.png","View Picture")</f>
        <v>View Picture</v>
      </c>
    </row>
    <row r="2407">
      <c r="A2407" s="55"/>
      <c r="B2407" s="119" t="s">
        <v>25547</v>
      </c>
      <c r="C2407" s="120" t="s">
        <v>3768</v>
      </c>
      <c r="D2407" s="33" t="s">
        <v>25529</v>
      </c>
      <c r="E2407" s="51" t="s">
        <v>498</v>
      </c>
      <c r="F2407" s="121" t="s">
        <v>3009</v>
      </c>
      <c r="G2407" s="98" t="str">
        <f>HYPERLINK("http://mirror.ff7data.com.ar/ff7/data/battle/battle.lgp/enaq.png","View Picture")</f>
        <v>View Picture</v>
      </c>
    </row>
    <row r="2408">
      <c r="A2408" s="55"/>
      <c r="B2408" s="119" t="s">
        <v>25554</v>
      </c>
      <c r="C2408" s="120" t="s">
        <v>3434</v>
      </c>
      <c r="D2408" s="33" t="s">
        <v>25529</v>
      </c>
      <c r="E2408" s="51" t="s">
        <v>498</v>
      </c>
      <c r="F2408" s="121" t="s">
        <v>3009</v>
      </c>
      <c r="G2408" s="98" t="str">
        <f>HYPERLINK("http://mirror.ff7data.com.ar/ff7/data/battle/battle.lgp/enar.png","View Picture")</f>
        <v>View Picture</v>
      </c>
    </row>
    <row r="2409">
      <c r="A2409" s="55"/>
      <c r="B2409" s="119" t="s">
        <v>25560</v>
      </c>
      <c r="C2409" s="120" t="s">
        <v>4288</v>
      </c>
      <c r="D2409" s="33" t="s">
        <v>25529</v>
      </c>
      <c r="E2409" s="51" t="s">
        <v>498</v>
      </c>
      <c r="F2409" s="121" t="s">
        <v>3009</v>
      </c>
      <c r="G2409" s="98" t="str">
        <f>HYPERLINK("http://mirror.ff7data.com.ar/ff7/data/battle/battle.lgp/enat.png","View Picture")</f>
        <v>View Picture</v>
      </c>
    </row>
    <row r="2410">
      <c r="A2410" s="55"/>
      <c r="B2410" s="119" t="s">
        <v>25566</v>
      </c>
      <c r="C2410" s="120" t="s">
        <v>4288</v>
      </c>
      <c r="D2410" s="33" t="s">
        <v>25529</v>
      </c>
      <c r="E2410" s="51" t="s">
        <v>498</v>
      </c>
      <c r="F2410" s="121" t="s">
        <v>3009</v>
      </c>
      <c r="G2410" s="98" t="str">
        <f>HYPERLINK("http://mirror.ff7data.com.ar/ff7/data/battle/battle.lgp/enav.png","View Picture")</f>
        <v>View Picture</v>
      </c>
    </row>
    <row r="2411">
      <c r="A2411" s="55"/>
      <c r="B2411" s="119" t="s">
        <v>25573</v>
      </c>
      <c r="C2411" s="120" t="s">
        <v>4288</v>
      </c>
      <c r="D2411" s="33" t="s">
        <v>25529</v>
      </c>
      <c r="E2411" s="51" t="s">
        <v>498</v>
      </c>
      <c r="F2411" s="121" t="s">
        <v>3009</v>
      </c>
      <c r="G2411" s="98" t="str">
        <f>HYPERLINK("http://mirror.ff7data.com.ar/ff7/data/battle/battle.lgp/enax.png","View Picture")</f>
        <v>View Picture</v>
      </c>
    </row>
    <row r="2412">
      <c r="A2412" s="55"/>
      <c r="B2412" s="119" t="s">
        <v>25582</v>
      </c>
      <c r="C2412" s="120" t="s">
        <v>7894</v>
      </c>
      <c r="D2412" s="33" t="s">
        <v>25529</v>
      </c>
      <c r="E2412" s="51" t="s">
        <v>498</v>
      </c>
      <c r="F2412" s="121" t="s">
        <v>3009</v>
      </c>
      <c r="G2412" s="98" t="str">
        <f>HYPERLINK("http://mirror.ff7data.com.ar/ff7/data/battle/battle.lgp/enaz.png","View Picture")</f>
        <v>View Picture</v>
      </c>
    </row>
    <row r="2413">
      <c r="A2413" s="55"/>
      <c r="B2413" s="119" t="s">
        <v>25588</v>
      </c>
      <c r="C2413" s="120" t="s">
        <v>3412</v>
      </c>
      <c r="D2413" s="33" t="s">
        <v>25529</v>
      </c>
      <c r="E2413" s="51" t="s">
        <v>498</v>
      </c>
      <c r="F2413" s="121" t="s">
        <v>3009</v>
      </c>
      <c r="G2413" s="98" t="str">
        <f>HYPERLINK("http://mirror.ff7data.com.ar/ff7/data/battle/battle.lgp/enba.png","View Picture")</f>
        <v>View Picture</v>
      </c>
    </row>
    <row r="2414">
      <c r="A2414" s="55"/>
      <c r="B2414" s="119" t="s">
        <v>25594</v>
      </c>
      <c r="C2414" s="120" t="s">
        <v>3519</v>
      </c>
      <c r="D2414" s="33" t="s">
        <v>25529</v>
      </c>
      <c r="E2414" s="51" t="s">
        <v>498</v>
      </c>
      <c r="F2414" s="121" t="s">
        <v>3009</v>
      </c>
      <c r="G2414" s="98" t="str">
        <f>HYPERLINK("http://mirror.ff7data.com.ar/ff7/data/battle/battle.lgp/enbb.png","View Picture")</f>
        <v>View Picture</v>
      </c>
    </row>
    <row r="2415">
      <c r="A2415" s="55"/>
      <c r="B2415" s="119" t="s">
        <v>25601</v>
      </c>
      <c r="C2415" s="120" t="s">
        <v>3768</v>
      </c>
      <c r="D2415" s="33" t="s">
        <v>25529</v>
      </c>
      <c r="E2415" s="51" t="s">
        <v>498</v>
      </c>
      <c r="F2415" s="121" t="s">
        <v>3009</v>
      </c>
      <c r="G2415" s="98" t="str">
        <f>HYPERLINK("http://mirror.ff7data.com.ar/ff7/data/battle/battle.lgp/enbe.png","View Picture")</f>
        <v>View Picture</v>
      </c>
    </row>
    <row r="2416">
      <c r="A2416" s="55"/>
      <c r="B2416" s="119" t="s">
        <v>25610</v>
      </c>
      <c r="C2416" s="120" t="s">
        <v>3434</v>
      </c>
      <c r="D2416" s="33" t="s">
        <v>25529</v>
      </c>
      <c r="E2416" s="51" t="s">
        <v>498</v>
      </c>
      <c r="F2416" s="121" t="s">
        <v>3009</v>
      </c>
      <c r="G2416" s="98" t="str">
        <f>HYPERLINK("http://mirror.ff7data.com.ar/ff7/data/battle/battle.lgp/enbf.png","View Picture")</f>
        <v>View Picture</v>
      </c>
    </row>
    <row r="2417">
      <c r="A2417" s="55"/>
      <c r="B2417" s="119" t="s">
        <v>25620</v>
      </c>
      <c r="C2417" s="120" t="s">
        <v>4288</v>
      </c>
      <c r="D2417" s="33" t="s">
        <v>25529</v>
      </c>
      <c r="E2417" s="51" t="s">
        <v>498</v>
      </c>
      <c r="F2417" s="121" t="s">
        <v>3009</v>
      </c>
      <c r="G2417" s="98" t="str">
        <f>HYPERLINK("http://mirror.ff7data.com.ar/ff7/data/battle/battle.lgp/enbh.png","View Picture")</f>
        <v>View Picture</v>
      </c>
    </row>
    <row r="2418">
      <c r="A2418" s="55"/>
      <c r="B2418" s="119" t="s">
        <v>25627</v>
      </c>
      <c r="C2418" s="120" t="s">
        <v>4288</v>
      </c>
      <c r="D2418" s="33" t="s">
        <v>25529</v>
      </c>
      <c r="E2418" s="51" t="s">
        <v>498</v>
      </c>
      <c r="F2418" s="121" t="s">
        <v>3009</v>
      </c>
      <c r="G2418" s="98" t="str">
        <f>HYPERLINK("http://mirror.ff7data.com.ar/ff7/data/battle/battle.lgp/enbj.png","View Picture")</f>
        <v>View Picture</v>
      </c>
    </row>
    <row r="2419">
      <c r="A2419" s="55"/>
      <c r="B2419" s="119" t="s">
        <v>25636</v>
      </c>
      <c r="C2419" s="120" t="s">
        <v>4288</v>
      </c>
      <c r="D2419" s="33" t="s">
        <v>25529</v>
      </c>
      <c r="E2419" s="51" t="s">
        <v>498</v>
      </c>
      <c r="F2419" s="121" t="s">
        <v>3009</v>
      </c>
      <c r="G2419" s="98" t="str">
        <f>HYPERLINK("http://mirror.ff7data.com.ar/ff7/data/battle/battle.lgp/enbl.png","View Picture")</f>
        <v>View Picture</v>
      </c>
    </row>
    <row r="2420">
      <c r="A2420" s="55"/>
      <c r="B2420" s="119" t="s">
        <v>25642</v>
      </c>
      <c r="C2420" s="120" t="s">
        <v>7894</v>
      </c>
      <c r="D2420" s="33" t="s">
        <v>25529</v>
      </c>
      <c r="E2420" s="51" t="s">
        <v>498</v>
      </c>
      <c r="F2420" s="121" t="s">
        <v>3009</v>
      </c>
      <c r="G2420" s="98" t="str">
        <f>HYPERLINK("http://mirror.ff7data.com.ar/ff7/data/battle/battle.lgp/enbn.png","View Picture")</f>
        <v>View Picture</v>
      </c>
    </row>
    <row r="2421">
      <c r="A2421" s="55"/>
      <c r="B2421" s="119" t="s">
        <v>25651</v>
      </c>
      <c r="C2421" s="120" t="s">
        <v>7301</v>
      </c>
      <c r="D2421" s="33" t="s">
        <v>25529</v>
      </c>
      <c r="E2421" s="51" t="s">
        <v>498</v>
      </c>
      <c r="F2421" s="121" t="s">
        <v>3009</v>
      </c>
      <c r="G2421" s="98" t="str">
        <f>HYPERLINK("http://mirror.ff7data.com.ar/ff7/data/battle/battle.lgp/enbo.png","View Picture")</f>
        <v>View Picture</v>
      </c>
    </row>
    <row r="2422">
      <c r="A2422" s="55"/>
      <c r="B2422" s="119" t="s">
        <v>25658</v>
      </c>
      <c r="C2422" s="120" t="s">
        <v>3519</v>
      </c>
      <c r="D2422" s="33" t="s">
        <v>25529</v>
      </c>
      <c r="E2422" s="51" t="s">
        <v>498</v>
      </c>
      <c r="F2422" s="121" t="s">
        <v>3009</v>
      </c>
      <c r="G2422" s="98" t="str">
        <f>HYPERLINK("http://mirror.ff7data.com.ar/ff7/data/battle/battle.lgp/enbp.png","View Picture")</f>
        <v>View Picture</v>
      </c>
    </row>
    <row r="2423">
      <c r="A2423" s="55"/>
      <c r="B2423" s="119" t="s">
        <v>25665</v>
      </c>
      <c r="C2423" s="120" t="s">
        <v>5859</v>
      </c>
      <c r="D2423" s="33" t="s">
        <v>25529</v>
      </c>
      <c r="E2423" s="51" t="s">
        <v>498</v>
      </c>
      <c r="F2423" s="121" t="s">
        <v>3025</v>
      </c>
      <c r="H2423" s="46" t="s">
        <v>3002</v>
      </c>
    </row>
    <row r="2424">
      <c r="A2424" s="55"/>
      <c r="B2424" s="119" t="s">
        <v>25668</v>
      </c>
      <c r="C2424" s="120" t="s">
        <v>9973</v>
      </c>
      <c r="D2424" s="33" t="s">
        <v>25671</v>
      </c>
      <c r="E2424" s="51" t="s">
        <v>504</v>
      </c>
      <c r="F2424" s="121" t="s">
        <v>2971</v>
      </c>
      <c r="G2424" s="98" t="str">
        <f>HYPERLINK("http://mirror.ff7data.com.ar/ff7/data/battle/battle.lgp/eoaa.png","View Picture")</f>
        <v>View Picture</v>
      </c>
    </row>
    <row r="2425">
      <c r="A2425" s="55"/>
      <c r="B2425" s="119" t="s">
        <v>25678</v>
      </c>
      <c r="C2425" s="120" t="s">
        <v>5222</v>
      </c>
      <c r="D2425" s="33" t="s">
        <v>25679</v>
      </c>
      <c r="E2425" s="51" t="s">
        <v>504</v>
      </c>
      <c r="F2425" s="121" t="s">
        <v>2993</v>
      </c>
      <c r="H2425" s="46" t="s">
        <v>3002</v>
      </c>
    </row>
    <row r="2426">
      <c r="A2426" s="55"/>
      <c r="B2426" s="119" t="s">
        <v>25681</v>
      </c>
      <c r="C2426" s="120" t="s">
        <v>4057</v>
      </c>
      <c r="D2426" s="33" t="s">
        <v>25679</v>
      </c>
      <c r="E2426" s="51" t="s">
        <v>504</v>
      </c>
      <c r="F2426" s="121" t="s">
        <v>3009</v>
      </c>
      <c r="G2426" s="98" t="str">
        <f>HYPERLINK("http://mirror.ff7data.com.ar/ff7/data/battle/battle.lgp/eoam.png","View Picture")</f>
        <v>View Picture</v>
      </c>
    </row>
    <row r="2427">
      <c r="A2427" s="55"/>
      <c r="B2427" s="119" t="s">
        <v>25688</v>
      </c>
      <c r="C2427" s="120" t="s">
        <v>5419</v>
      </c>
      <c r="D2427" s="33" t="s">
        <v>25679</v>
      </c>
      <c r="E2427" s="51" t="s">
        <v>504</v>
      </c>
      <c r="F2427" s="121" t="s">
        <v>3009</v>
      </c>
      <c r="G2427" s="98" t="str">
        <f>HYPERLINK("http://mirror.ff7data.com.ar/ff7/data/battle/battle.lgp/eoan.png","View Picture")</f>
        <v>View Picture</v>
      </c>
    </row>
    <row r="2428">
      <c r="A2428" s="55"/>
      <c r="B2428" s="119" t="s">
        <v>25694</v>
      </c>
      <c r="C2428" s="120" t="s">
        <v>5419</v>
      </c>
      <c r="D2428" s="33" t="s">
        <v>25679</v>
      </c>
      <c r="E2428" s="51" t="s">
        <v>504</v>
      </c>
      <c r="F2428" s="121" t="s">
        <v>3009</v>
      </c>
      <c r="G2428" s="98" t="str">
        <f>HYPERLINK("http://mirror.ff7data.com.ar/ff7/data/battle/battle.lgp/eoao.png","View Picture")</f>
        <v>View Picture</v>
      </c>
    </row>
    <row r="2429">
      <c r="A2429" s="55"/>
      <c r="B2429" s="119" t="s">
        <v>25699</v>
      </c>
      <c r="C2429" s="120" t="s">
        <v>7062</v>
      </c>
      <c r="D2429" s="33" t="s">
        <v>25679</v>
      </c>
      <c r="E2429" s="51" t="s">
        <v>504</v>
      </c>
      <c r="F2429" s="121" t="s">
        <v>3009</v>
      </c>
      <c r="G2429" s="98" t="str">
        <f>HYPERLINK("http://mirror.ff7data.com.ar/ff7/data/battle/battle.lgp/eoap.png","View Picture")</f>
        <v>View Picture</v>
      </c>
    </row>
    <row r="2430">
      <c r="A2430" s="55"/>
      <c r="B2430" s="119" t="s">
        <v>25708</v>
      </c>
      <c r="C2430" s="120" t="s">
        <v>5891</v>
      </c>
      <c r="D2430" s="33" t="s">
        <v>25679</v>
      </c>
      <c r="E2430" s="51" t="s">
        <v>504</v>
      </c>
      <c r="F2430" s="121" t="s">
        <v>3009</v>
      </c>
      <c r="G2430" s="98" t="str">
        <f>HYPERLINK("http://mirror.ff7data.com.ar/ff7/data/battle/battle.lgp/eoaq.png","View Picture")</f>
        <v>View Picture</v>
      </c>
    </row>
    <row r="2431">
      <c r="A2431" s="55"/>
      <c r="B2431" s="119" t="s">
        <v>25715</v>
      </c>
      <c r="C2431" s="120" t="s">
        <v>4185</v>
      </c>
      <c r="D2431" s="33" t="s">
        <v>25679</v>
      </c>
      <c r="E2431" s="51" t="s">
        <v>504</v>
      </c>
      <c r="F2431" s="121" t="s">
        <v>3009</v>
      </c>
      <c r="G2431" s="98" t="str">
        <f>HYPERLINK("http://mirror.ff7data.com.ar/ff7/data/battle/battle.lgp/eoas.png","View Picture")</f>
        <v>View Picture</v>
      </c>
    </row>
    <row r="2432">
      <c r="A2432" s="55"/>
      <c r="B2432" s="119" t="s">
        <v>25723</v>
      </c>
      <c r="C2432" s="120" t="s">
        <v>6029</v>
      </c>
      <c r="D2432" s="33" t="s">
        <v>25679</v>
      </c>
      <c r="E2432" s="51" t="s">
        <v>504</v>
      </c>
      <c r="F2432" s="121" t="s">
        <v>3009</v>
      </c>
      <c r="G2432" s="98" t="str">
        <f>HYPERLINK("http://mirror.ff7data.com.ar/ff7/data/battle/battle.lgp/eoav.png","View Picture")</f>
        <v>View Picture</v>
      </c>
    </row>
    <row r="2433">
      <c r="A2433" s="55"/>
      <c r="B2433" s="119" t="s">
        <v>25729</v>
      </c>
      <c r="C2433" s="120" t="s">
        <v>4185</v>
      </c>
      <c r="D2433" s="33" t="s">
        <v>25679</v>
      </c>
      <c r="E2433" s="51" t="s">
        <v>504</v>
      </c>
      <c r="F2433" s="121" t="s">
        <v>3009</v>
      </c>
      <c r="G2433" s="98" t="str">
        <f>HYPERLINK("http://mirror.ff7data.com.ar/ff7/data/battle/battle.lgp/eobb.png","View Picture")</f>
        <v>View Picture</v>
      </c>
    </row>
    <row r="2434">
      <c r="A2434" s="55"/>
      <c r="B2434" s="119" t="s">
        <v>25736</v>
      </c>
      <c r="C2434" s="120" t="s">
        <v>4439</v>
      </c>
      <c r="D2434" s="33" t="s">
        <v>25679</v>
      </c>
      <c r="E2434" s="51" t="s">
        <v>504</v>
      </c>
      <c r="F2434" s="121" t="s">
        <v>3009</v>
      </c>
      <c r="G2434" s="98" t="str">
        <f>HYPERLINK("http://mirror.ff7data.com.ar/ff7/data/battle/battle.lgp/eobc.png","View Picture")</f>
        <v>View Picture</v>
      </c>
    </row>
    <row r="2435">
      <c r="A2435" s="55"/>
      <c r="B2435" s="119" t="s">
        <v>25742</v>
      </c>
      <c r="C2435" s="120" t="s">
        <v>3412</v>
      </c>
      <c r="D2435" s="33" t="s">
        <v>25679</v>
      </c>
      <c r="E2435" s="51" t="s">
        <v>504</v>
      </c>
      <c r="F2435" s="121" t="s">
        <v>3009</v>
      </c>
      <c r="G2435" s="98" t="str">
        <f>HYPERLINK("http://mirror.ff7data.com.ar/ff7/data/battle/battle.lgp/eobd.png","View Picture")</f>
        <v>View Picture</v>
      </c>
    </row>
    <row r="2436">
      <c r="A2436" s="55"/>
      <c r="B2436" s="119" t="s">
        <v>25748</v>
      </c>
      <c r="C2436" s="120" t="s">
        <v>4185</v>
      </c>
      <c r="D2436" s="33" t="s">
        <v>25679</v>
      </c>
      <c r="E2436" s="51" t="s">
        <v>504</v>
      </c>
      <c r="F2436" s="121" t="s">
        <v>3009</v>
      </c>
      <c r="G2436" s="98" t="str">
        <f>HYPERLINK("http://mirror.ff7data.com.ar/ff7/data/battle/battle.lgp/eobg.png","View Picture")</f>
        <v>View Picture</v>
      </c>
    </row>
    <row r="2437">
      <c r="A2437" s="55"/>
      <c r="B2437" s="119" t="s">
        <v>25754</v>
      </c>
      <c r="C2437" s="120" t="s">
        <v>4185</v>
      </c>
      <c r="D2437" s="33" t="s">
        <v>25679</v>
      </c>
      <c r="E2437" s="51" t="s">
        <v>504</v>
      </c>
      <c r="F2437" s="121" t="s">
        <v>3009</v>
      </c>
      <c r="G2437" s="98" t="str">
        <f>HYPERLINK("http://mirror.ff7data.com.ar/ff7/data/battle/battle.lgp/eobh.png","View Picture")</f>
        <v>View Picture</v>
      </c>
    </row>
    <row r="2438">
      <c r="A2438" s="55"/>
      <c r="B2438" s="119" t="s">
        <v>25760</v>
      </c>
      <c r="C2438" s="120" t="s">
        <v>3412</v>
      </c>
      <c r="D2438" s="33" t="s">
        <v>25679</v>
      </c>
      <c r="E2438" s="51" t="s">
        <v>504</v>
      </c>
      <c r="F2438" s="121" t="s">
        <v>3009</v>
      </c>
      <c r="G2438" s="98" t="str">
        <f>HYPERLINK("http://mirror.ff7data.com.ar/ff7/data/battle/battle.lgp/eobi.png","View Picture")</f>
        <v>View Picture</v>
      </c>
    </row>
    <row r="2439">
      <c r="A2439" s="55"/>
      <c r="B2439" s="119" t="s">
        <v>25768</v>
      </c>
      <c r="C2439" s="120" t="s">
        <v>4732</v>
      </c>
      <c r="D2439" s="33" t="s">
        <v>25679</v>
      </c>
      <c r="E2439" s="51" t="s">
        <v>504</v>
      </c>
      <c r="F2439" s="121" t="s">
        <v>3009</v>
      </c>
      <c r="G2439" s="98" t="str">
        <f>HYPERLINK("http://mirror.ff7data.com.ar/ff7/data/battle/battle.lgp/eobj.png","View Picture")</f>
        <v>View Picture</v>
      </c>
    </row>
    <row r="2440">
      <c r="A2440" s="55"/>
      <c r="B2440" s="119" t="s">
        <v>25777</v>
      </c>
      <c r="C2440" s="120" t="s">
        <v>4185</v>
      </c>
      <c r="D2440" s="33" t="s">
        <v>25679</v>
      </c>
      <c r="E2440" s="51" t="s">
        <v>504</v>
      </c>
      <c r="F2440" s="121" t="s">
        <v>3009</v>
      </c>
      <c r="G2440" s="98" t="str">
        <f>HYPERLINK("http://mirror.ff7data.com.ar/ff7/data/battle/battle.lgp/eobm.png","View Picture")</f>
        <v>View Picture</v>
      </c>
    </row>
    <row r="2441">
      <c r="A2441" s="55"/>
      <c r="B2441" s="119" t="s">
        <v>25788</v>
      </c>
      <c r="C2441" s="120" t="s">
        <v>4264</v>
      </c>
      <c r="D2441" s="33" t="s">
        <v>25679</v>
      </c>
      <c r="E2441" s="51" t="s">
        <v>504</v>
      </c>
      <c r="F2441" s="121" t="s">
        <v>3009</v>
      </c>
      <c r="G2441" s="98" t="str">
        <f>HYPERLINK("http://mirror.ff7data.com.ar/ff7/data/battle/battle.lgp/eobn.png","View Picture")</f>
        <v>View Picture</v>
      </c>
    </row>
    <row r="2442">
      <c r="A2442" s="55"/>
      <c r="B2442" s="119" t="s">
        <v>25798</v>
      </c>
      <c r="C2442" s="120" t="s">
        <v>4288</v>
      </c>
      <c r="D2442" s="33" t="s">
        <v>25679</v>
      </c>
      <c r="E2442" s="51" t="s">
        <v>504</v>
      </c>
      <c r="F2442" s="121" t="s">
        <v>3009</v>
      </c>
      <c r="G2442" s="98" t="str">
        <f>HYPERLINK("http://mirror.ff7data.com.ar/ff7/data/battle/battle.lgp/eobo.png","View Picture")</f>
        <v>View Picture</v>
      </c>
    </row>
    <row r="2443">
      <c r="A2443" s="55"/>
      <c r="B2443" s="119" t="s">
        <v>25810</v>
      </c>
      <c r="C2443" s="120" t="s">
        <v>3445</v>
      </c>
      <c r="D2443" s="33" t="s">
        <v>25679</v>
      </c>
      <c r="E2443" s="51" t="s">
        <v>504</v>
      </c>
      <c r="F2443" s="121" t="s">
        <v>3009</v>
      </c>
      <c r="G2443" s="98" t="str">
        <f>HYPERLINK("http://mirror.ff7data.com.ar/ff7/data/battle/battle.lgp/eobp.png","View Picture")</f>
        <v>View Picture</v>
      </c>
    </row>
    <row r="2444">
      <c r="A2444" s="55"/>
      <c r="B2444" s="119" t="s">
        <v>25820</v>
      </c>
      <c r="C2444" s="120" t="s">
        <v>4185</v>
      </c>
      <c r="D2444" s="33" t="s">
        <v>25679</v>
      </c>
      <c r="E2444" s="51" t="s">
        <v>504</v>
      </c>
      <c r="F2444" s="121" t="s">
        <v>3009</v>
      </c>
      <c r="G2444" s="98" t="str">
        <f>HYPERLINK("http://mirror.ff7data.com.ar/ff7/data/battle/battle.lgp/eobs.png","View Picture")</f>
        <v>View Picture</v>
      </c>
    </row>
    <row r="2445">
      <c r="A2445" s="55"/>
      <c r="B2445" s="119" t="s">
        <v>25829</v>
      </c>
      <c r="C2445" s="120" t="s">
        <v>4264</v>
      </c>
      <c r="D2445" s="33" t="s">
        <v>25679</v>
      </c>
      <c r="E2445" s="51" t="s">
        <v>504</v>
      </c>
      <c r="F2445" s="121" t="s">
        <v>3009</v>
      </c>
      <c r="G2445" s="98" t="str">
        <f>HYPERLINK("http://mirror.ff7data.com.ar/ff7/data/battle/battle.lgp/eobt.png","View Picture")</f>
        <v>View Picture</v>
      </c>
    </row>
    <row r="2446">
      <c r="A2446" s="55"/>
      <c r="B2446" s="119" t="s">
        <v>25840</v>
      </c>
      <c r="C2446" s="120" t="s">
        <v>4288</v>
      </c>
      <c r="D2446" s="33" t="s">
        <v>25679</v>
      </c>
      <c r="E2446" s="51" t="s">
        <v>504</v>
      </c>
      <c r="F2446" s="121" t="s">
        <v>3009</v>
      </c>
      <c r="G2446" s="98" t="str">
        <f>HYPERLINK("http://mirror.ff7data.com.ar/ff7/data/battle/battle.lgp/eobu.png","View Picture")</f>
        <v>View Picture</v>
      </c>
    </row>
    <row r="2447">
      <c r="A2447" s="55"/>
      <c r="B2447" s="119" t="s">
        <v>25849</v>
      </c>
      <c r="C2447" s="120" t="s">
        <v>3445</v>
      </c>
      <c r="D2447" s="33" t="s">
        <v>25679</v>
      </c>
      <c r="E2447" s="51" t="s">
        <v>504</v>
      </c>
      <c r="F2447" s="121" t="s">
        <v>3009</v>
      </c>
      <c r="G2447" s="98" t="str">
        <f>HYPERLINK("http://mirror.ff7data.com.ar/ff7/data/battle/battle.lgp/eobv.png","View Picture")</f>
        <v>View Picture</v>
      </c>
    </row>
    <row r="2448">
      <c r="A2448" s="55"/>
      <c r="B2448" s="119" t="s">
        <v>25858</v>
      </c>
      <c r="C2448" s="120" t="s">
        <v>4732</v>
      </c>
      <c r="D2448" s="33" t="s">
        <v>25679</v>
      </c>
      <c r="E2448" s="51" t="s">
        <v>504</v>
      </c>
      <c r="F2448" s="121" t="s">
        <v>3009</v>
      </c>
      <c r="G2448" s="98" t="str">
        <f>HYPERLINK("http://mirror.ff7data.com.ar/ff7/data/battle/battle.lgp/eobw.png","View Picture")</f>
        <v>View Picture</v>
      </c>
    </row>
    <row r="2449">
      <c r="A2449" s="55"/>
      <c r="B2449" s="119" t="s">
        <v>25869</v>
      </c>
      <c r="C2449" s="120" t="s">
        <v>4264</v>
      </c>
      <c r="D2449" s="33" t="s">
        <v>25679</v>
      </c>
      <c r="E2449" s="51" t="s">
        <v>504</v>
      </c>
      <c r="F2449" s="121" t="s">
        <v>3009</v>
      </c>
      <c r="G2449" s="98" t="str">
        <f>HYPERLINK("http://mirror.ff7data.com.ar/ff7/data/battle/battle.lgp/eobx.png","View Picture")</f>
        <v>View Picture</v>
      </c>
    </row>
    <row r="2450">
      <c r="A2450" s="55"/>
      <c r="B2450" s="119" t="s">
        <v>25877</v>
      </c>
      <c r="C2450" s="120" t="s">
        <v>4264</v>
      </c>
      <c r="D2450" s="33" t="s">
        <v>25679</v>
      </c>
      <c r="E2450" s="51" t="s">
        <v>504</v>
      </c>
      <c r="F2450" s="121" t="s">
        <v>3009</v>
      </c>
      <c r="G2450" s="98" t="str">
        <f>HYPERLINK("http://mirror.ff7data.com.ar/ff7/data/battle/battle.lgp/eoby.png","View Picture")</f>
        <v>View Picture</v>
      </c>
    </row>
    <row r="2451">
      <c r="A2451" s="55"/>
      <c r="B2451" s="119" t="s">
        <v>25884</v>
      </c>
      <c r="C2451" s="120" t="s">
        <v>4696</v>
      </c>
      <c r="D2451" s="33" t="s">
        <v>25679</v>
      </c>
      <c r="E2451" s="51" t="s">
        <v>504</v>
      </c>
      <c r="F2451" s="121" t="s">
        <v>3009</v>
      </c>
      <c r="G2451" s="98" t="str">
        <f>HYPERLINK("http://mirror.ff7data.com.ar/ff7/data/battle/battle.lgp/eobz.png","View Picture")</f>
        <v>View Picture</v>
      </c>
    </row>
    <row r="2452">
      <c r="A2452" s="55"/>
      <c r="B2452" s="119" t="s">
        <v>25892</v>
      </c>
      <c r="C2452" s="120" t="s">
        <v>7501</v>
      </c>
      <c r="D2452" s="33" t="s">
        <v>25679</v>
      </c>
      <c r="E2452" s="51" t="s">
        <v>504</v>
      </c>
      <c r="F2452" s="121" t="s">
        <v>3025</v>
      </c>
      <c r="H2452" s="46" t="s">
        <v>3002</v>
      </c>
    </row>
    <row r="2453">
      <c r="A2453" s="55"/>
      <c r="B2453" s="119" t="s">
        <v>25896</v>
      </c>
      <c r="C2453" s="120" t="s">
        <v>12090</v>
      </c>
      <c r="D2453" s="33" t="s">
        <v>25898</v>
      </c>
      <c r="E2453" s="51" t="s">
        <v>507</v>
      </c>
      <c r="F2453" s="121" t="s">
        <v>2971</v>
      </c>
      <c r="G2453" s="98" t="str">
        <f>HYPERLINK("http://mirror.ff7data.com.ar/ff7/data/battle/battle.lgp/epaa.png","View Picture")</f>
        <v>View Picture</v>
      </c>
    </row>
    <row r="2454">
      <c r="A2454" s="55"/>
      <c r="B2454" s="119" t="s">
        <v>25904</v>
      </c>
      <c r="C2454" s="120" t="s">
        <v>7375</v>
      </c>
      <c r="D2454" s="33" t="s">
        <v>25905</v>
      </c>
      <c r="E2454" s="51" t="s">
        <v>507</v>
      </c>
      <c r="F2454" s="121" t="s">
        <v>2993</v>
      </c>
      <c r="H2454" s="46" t="s">
        <v>3002</v>
      </c>
    </row>
    <row r="2455">
      <c r="A2455" s="55"/>
      <c r="B2455" s="119" t="s">
        <v>25906</v>
      </c>
      <c r="C2455" s="120" t="s">
        <v>5891</v>
      </c>
      <c r="D2455" s="33" t="s">
        <v>25905</v>
      </c>
      <c r="E2455" s="51" t="s">
        <v>507</v>
      </c>
      <c r="F2455" s="121" t="s">
        <v>3009</v>
      </c>
      <c r="G2455" s="98" t="str">
        <f>HYPERLINK("http://mirror.ff7data.com.ar/ff7/data/battle/battle.lgp/epan.png","View Picture")</f>
        <v>View Picture</v>
      </c>
    </row>
    <row r="2456">
      <c r="A2456" s="55"/>
      <c r="B2456" s="119" t="s">
        <v>25911</v>
      </c>
      <c r="C2456" s="120" t="s">
        <v>3723</v>
      </c>
      <c r="D2456" s="33" t="s">
        <v>25905</v>
      </c>
      <c r="E2456" s="51" t="s">
        <v>507</v>
      </c>
      <c r="F2456" s="121" t="s">
        <v>3009</v>
      </c>
      <c r="G2456" s="98" t="str">
        <f>HYPERLINK("http://mirror.ff7data.com.ar/ff7/data/battle/battle.lgp/epao.png","View Picture")</f>
        <v>View Picture</v>
      </c>
    </row>
    <row r="2457">
      <c r="A2457" s="55"/>
      <c r="B2457" s="119" t="s">
        <v>25917</v>
      </c>
      <c r="C2457" s="120" t="s">
        <v>4264</v>
      </c>
      <c r="D2457" s="33" t="s">
        <v>25905</v>
      </c>
      <c r="E2457" s="51" t="s">
        <v>507</v>
      </c>
      <c r="F2457" s="121" t="s">
        <v>3009</v>
      </c>
      <c r="G2457" s="98" t="str">
        <f>HYPERLINK("http://mirror.ff7data.com.ar/ff7/data/battle/battle.lgp/epar.png","View Picture")</f>
        <v>View Picture</v>
      </c>
    </row>
    <row r="2458">
      <c r="A2458" s="55"/>
      <c r="B2458" s="119" t="s">
        <v>25923</v>
      </c>
      <c r="C2458" s="120" t="s">
        <v>4288</v>
      </c>
      <c r="D2458" s="33" t="s">
        <v>25905</v>
      </c>
      <c r="E2458" s="51" t="s">
        <v>507</v>
      </c>
      <c r="F2458" s="121" t="s">
        <v>3009</v>
      </c>
      <c r="G2458" s="98" t="str">
        <f>HYPERLINK("http://mirror.ff7data.com.ar/ff7/data/battle/battle.lgp/epas.png","View Picture")</f>
        <v>View Picture</v>
      </c>
    </row>
    <row r="2459">
      <c r="A2459" s="55"/>
      <c r="B2459" s="119" t="s">
        <v>25932</v>
      </c>
      <c r="C2459" s="120" t="s">
        <v>6029</v>
      </c>
      <c r="D2459" s="33" t="s">
        <v>25905</v>
      </c>
      <c r="E2459" s="51" t="s">
        <v>507</v>
      </c>
      <c r="F2459" s="121" t="s">
        <v>3009</v>
      </c>
      <c r="G2459" s="98" t="str">
        <f>HYPERLINK("http://mirror.ff7data.com.ar/ff7/data/battle/battle.lgp/epat.png","View Picture")</f>
        <v>View Picture</v>
      </c>
    </row>
    <row r="2460">
      <c r="A2460" s="55"/>
      <c r="B2460" s="119" t="s">
        <v>25940</v>
      </c>
      <c r="C2460" s="120" t="s">
        <v>4288</v>
      </c>
      <c r="D2460" s="33" t="s">
        <v>25905</v>
      </c>
      <c r="E2460" s="51" t="s">
        <v>507</v>
      </c>
      <c r="F2460" s="121" t="s">
        <v>3009</v>
      </c>
      <c r="G2460" s="98" t="str">
        <f>HYPERLINK("http://mirror.ff7data.com.ar/ff7/data/battle/battle.lgp/epaw.png","View Picture")</f>
        <v>View Picture</v>
      </c>
    </row>
    <row r="2461">
      <c r="A2461" s="55"/>
      <c r="B2461" s="119" t="s">
        <v>25950</v>
      </c>
      <c r="C2461" s="120" t="s">
        <v>20338</v>
      </c>
      <c r="D2461" s="33" t="s">
        <v>25905</v>
      </c>
      <c r="E2461" s="51" t="s">
        <v>507</v>
      </c>
      <c r="F2461" s="121" t="s">
        <v>3009</v>
      </c>
      <c r="G2461" s="98" t="str">
        <f>HYPERLINK("http://mirror.ff7data.com.ar/ff7/data/battle/battle.lgp/epax.png","View Picture")</f>
        <v>View Picture</v>
      </c>
    </row>
    <row r="2462">
      <c r="A2462" s="55"/>
      <c r="B2462" s="119" t="s">
        <v>25959</v>
      </c>
      <c r="C2462" s="120" t="s">
        <v>6029</v>
      </c>
      <c r="D2462" s="33" t="s">
        <v>25905</v>
      </c>
      <c r="E2462" s="51" t="s">
        <v>507</v>
      </c>
      <c r="F2462" s="121" t="s">
        <v>3009</v>
      </c>
      <c r="G2462" s="98" t="str">
        <f>HYPERLINK("http://mirror.ff7data.com.ar/ff7/data/battle/battle.lgp/epay.png","View Picture")</f>
        <v>View Picture</v>
      </c>
    </row>
    <row r="2463">
      <c r="A2463" s="55"/>
      <c r="B2463" s="119" t="s">
        <v>25970</v>
      </c>
      <c r="C2463" s="120" t="s">
        <v>6029</v>
      </c>
      <c r="D2463" s="33" t="s">
        <v>25905</v>
      </c>
      <c r="E2463" s="51" t="s">
        <v>507</v>
      </c>
      <c r="F2463" s="121" t="s">
        <v>3009</v>
      </c>
      <c r="G2463" s="98" t="str">
        <f>HYPERLINK("http://mirror.ff7data.com.ar/ff7/data/battle/battle.lgp/epba.png","View Picture")</f>
        <v>View Picture</v>
      </c>
    </row>
    <row r="2464">
      <c r="A2464" s="55"/>
      <c r="B2464" s="119" t="s">
        <v>25979</v>
      </c>
      <c r="C2464" s="120" t="s">
        <v>10212</v>
      </c>
      <c r="D2464" s="33" t="s">
        <v>25905</v>
      </c>
      <c r="E2464" s="51" t="s">
        <v>507</v>
      </c>
      <c r="F2464" s="121" t="s">
        <v>3009</v>
      </c>
      <c r="G2464" s="98" t="str">
        <f>HYPERLINK("http://mirror.ff7data.com.ar/ff7/data/battle/battle.lgp/epbb.png","View Picture")</f>
        <v>View Picture</v>
      </c>
    </row>
    <row r="2465">
      <c r="A2465" s="55"/>
      <c r="B2465" s="119" t="s">
        <v>25982</v>
      </c>
      <c r="C2465" s="120" t="s">
        <v>4732</v>
      </c>
      <c r="D2465" s="33" t="s">
        <v>25905</v>
      </c>
      <c r="E2465" s="51" t="s">
        <v>507</v>
      </c>
      <c r="F2465" s="121" t="s">
        <v>3009</v>
      </c>
      <c r="G2465" s="98" t="str">
        <f>HYPERLINK("http://mirror.ff7data.com.ar/ff7/data/battle/battle.lgp/epbc.png","View Picture")</f>
        <v>View Picture</v>
      </c>
    </row>
    <row r="2466">
      <c r="A2466" s="55"/>
      <c r="B2466" s="119" t="s">
        <v>25990</v>
      </c>
      <c r="C2466" s="120" t="s">
        <v>4185</v>
      </c>
      <c r="D2466" s="33" t="s">
        <v>25905</v>
      </c>
      <c r="E2466" s="51" t="s">
        <v>507</v>
      </c>
      <c r="F2466" s="121" t="s">
        <v>3009</v>
      </c>
      <c r="G2466" s="98" t="str">
        <f>HYPERLINK("http://mirror.ff7data.com.ar/ff7/data/battle/battle.lgp/epbe.png","View Picture")</f>
        <v>View Picture</v>
      </c>
    </row>
    <row r="2467">
      <c r="A2467" s="55"/>
      <c r="B2467" s="119" t="s">
        <v>25999</v>
      </c>
      <c r="C2467" s="120" t="s">
        <v>4696</v>
      </c>
      <c r="D2467" s="33" t="s">
        <v>25905</v>
      </c>
      <c r="E2467" s="51" t="s">
        <v>507</v>
      </c>
      <c r="F2467" s="121" t="s">
        <v>3009</v>
      </c>
      <c r="G2467" s="98" t="str">
        <f>HYPERLINK("http://mirror.ff7data.com.ar/ff7/data/battle/battle.lgp/epbf.png","View Picture")</f>
        <v>View Picture</v>
      </c>
    </row>
    <row r="2468">
      <c r="A2468" s="55"/>
      <c r="B2468" s="119" t="s">
        <v>26007</v>
      </c>
      <c r="C2468" s="120" t="s">
        <v>4732</v>
      </c>
      <c r="D2468" s="33" t="s">
        <v>25905</v>
      </c>
      <c r="E2468" s="51" t="s">
        <v>507</v>
      </c>
      <c r="F2468" s="121" t="s">
        <v>3009</v>
      </c>
      <c r="G2468" s="98" t="str">
        <f>HYPERLINK("http://mirror.ff7data.com.ar/ff7/data/battle/battle.lgp/epbg.png","View Picture")</f>
        <v>View Picture</v>
      </c>
    </row>
    <row r="2469">
      <c r="A2469" s="55"/>
      <c r="B2469" s="119" t="s">
        <v>26013</v>
      </c>
      <c r="C2469" s="120" t="s">
        <v>9600</v>
      </c>
      <c r="D2469" s="33" t="s">
        <v>25905</v>
      </c>
      <c r="E2469" s="51" t="s">
        <v>507</v>
      </c>
      <c r="F2469" s="121" t="s">
        <v>3025</v>
      </c>
      <c r="H2469" s="46" t="s">
        <v>3002</v>
      </c>
    </row>
    <row r="2470">
      <c r="A2470" s="55"/>
      <c r="B2470" s="119" t="s">
        <v>26017</v>
      </c>
      <c r="C2470" s="120" t="s">
        <v>4456</v>
      </c>
      <c r="D2470" s="33" t="s">
        <v>26018</v>
      </c>
      <c r="E2470" s="51" t="s">
        <v>514</v>
      </c>
      <c r="F2470" s="121" t="s">
        <v>2971</v>
      </c>
      <c r="G2470" s="98" t="str">
        <f>HYPERLINK("http://mirror.ff7data.com.ar/ff7/data/battle/battle.lgp/eqaa.png","View Picture")</f>
        <v>View Picture</v>
      </c>
    </row>
    <row r="2471">
      <c r="A2471" s="55"/>
      <c r="B2471" s="119" t="s">
        <v>26026</v>
      </c>
      <c r="C2471" s="120" t="s">
        <v>4109</v>
      </c>
      <c r="D2471" s="33" t="s">
        <v>26027</v>
      </c>
      <c r="E2471" s="51" t="s">
        <v>514</v>
      </c>
      <c r="F2471" s="121" t="s">
        <v>2993</v>
      </c>
      <c r="H2471" s="46" t="s">
        <v>3002</v>
      </c>
    </row>
    <row r="2472">
      <c r="A2472" s="55"/>
      <c r="B2472" s="119" t="s">
        <v>26028</v>
      </c>
      <c r="C2472" s="120" t="s">
        <v>4841</v>
      </c>
      <c r="D2472" s="33" t="s">
        <v>26027</v>
      </c>
      <c r="E2472" s="51" t="s">
        <v>514</v>
      </c>
      <c r="F2472" s="121" t="s">
        <v>3009</v>
      </c>
      <c r="G2472" s="98" t="str">
        <f>HYPERLINK("http://mirror.ff7data.com.ar/ff7/data/battle/battle.lgp/eqam.png","View Picture")</f>
        <v>View Picture</v>
      </c>
    </row>
    <row r="2473">
      <c r="A2473" s="55"/>
      <c r="B2473" s="119" t="s">
        <v>26030</v>
      </c>
      <c r="C2473" s="120" t="s">
        <v>9041</v>
      </c>
      <c r="D2473" s="33" t="s">
        <v>26027</v>
      </c>
      <c r="E2473" s="51" t="s">
        <v>514</v>
      </c>
      <c r="F2473" s="121" t="s">
        <v>3009</v>
      </c>
      <c r="G2473" s="98" t="str">
        <f>HYPERLINK("http://mirror.ff7data.com.ar/ff7/data/battle/battle.lgp/eqao.png","View Picture")</f>
        <v>View Picture</v>
      </c>
    </row>
    <row r="2474">
      <c r="A2474" s="55"/>
      <c r="B2474" s="119" t="s">
        <v>26031</v>
      </c>
      <c r="C2474" s="120" t="s">
        <v>9041</v>
      </c>
      <c r="D2474" s="33" t="s">
        <v>26027</v>
      </c>
      <c r="E2474" s="51" t="s">
        <v>514</v>
      </c>
      <c r="F2474" s="121" t="s">
        <v>3009</v>
      </c>
      <c r="G2474" s="98" t="str">
        <f>HYPERLINK("http://mirror.ff7data.com.ar/ff7/data/battle/battle.lgp/eqaq.png","View Picture")</f>
        <v>View Picture</v>
      </c>
    </row>
    <row r="2475">
      <c r="A2475" s="55"/>
      <c r="B2475" s="119" t="s">
        <v>26033</v>
      </c>
      <c r="C2475" s="120" t="s">
        <v>5859</v>
      </c>
      <c r="D2475" s="33" t="s">
        <v>26027</v>
      </c>
      <c r="E2475" s="51" t="s">
        <v>514</v>
      </c>
      <c r="F2475" s="121" t="s">
        <v>3009</v>
      </c>
      <c r="G2475" s="98" t="str">
        <f>HYPERLINK("http://mirror.ff7data.com.ar/ff7/data/battle/battle.lgp/eqat.png","View Picture")</f>
        <v>View Picture</v>
      </c>
    </row>
    <row r="2476">
      <c r="A2476" s="55"/>
      <c r="B2476" s="119" t="s">
        <v>26035</v>
      </c>
      <c r="C2476" s="120" t="s">
        <v>9041</v>
      </c>
      <c r="D2476" s="33" t="s">
        <v>26027</v>
      </c>
      <c r="E2476" s="51" t="s">
        <v>514</v>
      </c>
      <c r="F2476" s="121" t="s">
        <v>3009</v>
      </c>
      <c r="G2476" s="98" t="str">
        <f>HYPERLINK("http://mirror.ff7data.com.ar/ff7/data/battle/battle.lgp/eqav.png","View Picture")</f>
        <v>View Picture</v>
      </c>
    </row>
    <row r="2477">
      <c r="A2477" s="55"/>
      <c r="B2477" s="119" t="s">
        <v>26037</v>
      </c>
      <c r="C2477" s="120" t="s">
        <v>9041</v>
      </c>
      <c r="D2477" s="33" t="s">
        <v>26027</v>
      </c>
      <c r="E2477" s="51" t="s">
        <v>514</v>
      </c>
      <c r="F2477" s="121" t="s">
        <v>3009</v>
      </c>
      <c r="G2477" s="98" t="str">
        <f>HYPERLINK("http://mirror.ff7data.com.ar/ff7/data/battle/battle.lgp/eqax.png","View Picture")</f>
        <v>View Picture</v>
      </c>
    </row>
    <row r="2478">
      <c r="A2478" s="55"/>
      <c r="B2478" s="119" t="s">
        <v>26039</v>
      </c>
      <c r="C2478" s="120" t="s">
        <v>26041</v>
      </c>
      <c r="D2478" s="33" t="s">
        <v>26027</v>
      </c>
      <c r="E2478" s="51" t="s">
        <v>514</v>
      </c>
      <c r="F2478" s="121" t="s">
        <v>3009</v>
      </c>
      <c r="G2478" s="98" t="str">
        <f>HYPERLINK("http://mirror.ff7data.com.ar/ff7/data/battle/battle.lgp/eqaz.png","View Picture")</f>
        <v>View Picture</v>
      </c>
    </row>
    <row r="2479">
      <c r="A2479" s="55"/>
      <c r="B2479" s="119" t="s">
        <v>26042</v>
      </c>
      <c r="C2479" s="120" t="s">
        <v>9134</v>
      </c>
      <c r="D2479" s="33" t="s">
        <v>26027</v>
      </c>
      <c r="E2479" s="51" t="s">
        <v>514</v>
      </c>
      <c r="F2479" s="121" t="s">
        <v>3009</v>
      </c>
      <c r="G2479" s="98" t="str">
        <f>HYPERLINK("http://mirror.ff7data.com.ar/ff7/data/battle/battle.lgp/eqba.png","View Picture")</f>
        <v>View Picture</v>
      </c>
    </row>
    <row r="2480">
      <c r="A2480" s="55"/>
      <c r="B2480" s="119" t="s">
        <v>26044</v>
      </c>
      <c r="C2480" s="120" t="s">
        <v>26045</v>
      </c>
      <c r="D2480" s="33" t="s">
        <v>26027</v>
      </c>
      <c r="E2480" s="51" t="s">
        <v>514</v>
      </c>
      <c r="F2480" s="121" t="s">
        <v>3009</v>
      </c>
      <c r="G2480" s="98" t="str">
        <f>HYPERLINK("http://mirror.ff7data.com.ar/ff7/data/battle/battle.lgp/eqbb.png","View Picture")</f>
        <v>View Picture</v>
      </c>
    </row>
    <row r="2481">
      <c r="A2481" s="55"/>
      <c r="B2481" s="119" t="s">
        <v>26047</v>
      </c>
      <c r="C2481" s="120" t="s">
        <v>4185</v>
      </c>
      <c r="D2481" s="33" t="s">
        <v>26027</v>
      </c>
      <c r="E2481" s="51" t="s">
        <v>514</v>
      </c>
      <c r="F2481" s="121" t="s">
        <v>3009</v>
      </c>
      <c r="G2481" s="98" t="str">
        <f>HYPERLINK("http://mirror.ff7data.com.ar/ff7/data/battle/battle.lgp/eqbc.png","View Picture")</f>
        <v>View Picture</v>
      </c>
    </row>
    <row r="2482">
      <c r="A2482" s="55"/>
      <c r="B2482" s="119" t="s">
        <v>26049</v>
      </c>
      <c r="C2482" s="120" t="s">
        <v>4565</v>
      </c>
      <c r="D2482" s="33" t="s">
        <v>26027</v>
      </c>
      <c r="E2482" s="51" t="s">
        <v>514</v>
      </c>
      <c r="F2482" s="121" t="s">
        <v>3009</v>
      </c>
      <c r="G2482" s="98" t="str">
        <f>HYPERLINK("http://mirror.ff7data.com.ar/ff7/data/battle/battle.lgp/eqbe.png","View Picture")</f>
        <v>View Picture</v>
      </c>
    </row>
    <row r="2483">
      <c r="A2483" s="55"/>
      <c r="B2483" s="119" t="s">
        <v>26051</v>
      </c>
      <c r="C2483" s="120" t="s">
        <v>11112</v>
      </c>
      <c r="D2483" s="33" t="s">
        <v>26027</v>
      </c>
      <c r="E2483" s="51" t="s">
        <v>514</v>
      </c>
      <c r="F2483" s="121" t="s">
        <v>3009</v>
      </c>
      <c r="G2483" s="98" t="str">
        <f>HYPERLINK("http://mirror.ff7data.com.ar/ff7/data/battle/battle.lgp/eqbf.png","View Picture")</f>
        <v>View Picture</v>
      </c>
    </row>
    <row r="2484">
      <c r="A2484" s="55"/>
      <c r="B2484" s="119" t="s">
        <v>26055</v>
      </c>
      <c r="C2484" s="120" t="s">
        <v>4601</v>
      </c>
      <c r="D2484" s="33" t="s">
        <v>26027</v>
      </c>
      <c r="E2484" s="51" t="s">
        <v>514</v>
      </c>
      <c r="F2484" s="121" t="s">
        <v>3009</v>
      </c>
      <c r="G2484" s="98" t="str">
        <f>HYPERLINK("http://mirror.ff7data.com.ar/ff7/data/battle/battle.lgp/eqbg.png","View Picture")</f>
        <v>View Picture</v>
      </c>
    </row>
    <row r="2485">
      <c r="A2485" s="55"/>
      <c r="B2485" s="119" t="s">
        <v>26057</v>
      </c>
      <c r="C2485" s="120" t="s">
        <v>4185</v>
      </c>
      <c r="D2485" s="33" t="s">
        <v>26027</v>
      </c>
      <c r="E2485" s="51" t="s">
        <v>514</v>
      </c>
      <c r="F2485" s="121" t="s">
        <v>3009</v>
      </c>
      <c r="G2485" s="98" t="str">
        <f>HYPERLINK("http://mirror.ff7data.com.ar/ff7/data/battle/battle.lgp/eqbh.png","View Picture")</f>
        <v>View Picture</v>
      </c>
    </row>
    <row r="2486">
      <c r="A2486" s="55"/>
      <c r="B2486" s="119" t="s">
        <v>26059</v>
      </c>
      <c r="C2486" s="120" t="s">
        <v>11112</v>
      </c>
      <c r="D2486" s="33" t="s">
        <v>26027</v>
      </c>
      <c r="E2486" s="51" t="s">
        <v>514</v>
      </c>
      <c r="F2486" s="121" t="s">
        <v>3009</v>
      </c>
      <c r="G2486" s="98" t="str">
        <f>HYPERLINK("http://mirror.ff7data.com.ar/ff7/data/battle/battle.lgp/eqbj.png","View Picture")</f>
        <v>View Picture</v>
      </c>
    </row>
    <row r="2487">
      <c r="A2487" s="55"/>
      <c r="B2487" s="119" t="s">
        <v>26061</v>
      </c>
      <c r="C2487" s="120" t="s">
        <v>4288</v>
      </c>
      <c r="D2487" s="33" t="s">
        <v>26027</v>
      </c>
      <c r="E2487" s="51" t="s">
        <v>514</v>
      </c>
      <c r="F2487" s="121" t="s">
        <v>3009</v>
      </c>
      <c r="G2487" s="98" t="str">
        <f>HYPERLINK("http://mirror.ff7data.com.ar/ff7/data/battle/battle.lgp/eqbk.png","View Picture")</f>
        <v>View Picture</v>
      </c>
    </row>
    <row r="2488">
      <c r="A2488" s="55"/>
      <c r="B2488" s="119" t="s">
        <v>26063</v>
      </c>
      <c r="C2488" s="120" t="s">
        <v>26045</v>
      </c>
      <c r="D2488" s="33" t="s">
        <v>26027</v>
      </c>
      <c r="E2488" s="51" t="s">
        <v>514</v>
      </c>
      <c r="F2488" s="121" t="s">
        <v>3009</v>
      </c>
      <c r="G2488" s="98" t="str">
        <f>HYPERLINK("http://mirror.ff7data.com.ar/ff7/data/battle/battle.lgp/eqbl.png","View Picture")</f>
        <v>View Picture</v>
      </c>
    </row>
    <row r="2489">
      <c r="A2489" s="55"/>
      <c r="B2489" s="119" t="s">
        <v>26065</v>
      </c>
      <c r="C2489" s="120" t="s">
        <v>4185</v>
      </c>
      <c r="D2489" s="33" t="s">
        <v>26027</v>
      </c>
      <c r="E2489" s="51" t="s">
        <v>514</v>
      </c>
      <c r="F2489" s="121" t="s">
        <v>3009</v>
      </c>
      <c r="G2489" s="98" t="str">
        <f>HYPERLINK("http://mirror.ff7data.com.ar/ff7/data/battle/battle.lgp/eqbm.png","View Picture")</f>
        <v>View Picture</v>
      </c>
    </row>
    <row r="2490">
      <c r="A2490" s="55"/>
      <c r="B2490" s="119" t="s">
        <v>26067</v>
      </c>
      <c r="C2490" s="120" t="s">
        <v>4601</v>
      </c>
      <c r="D2490" s="33" t="s">
        <v>26027</v>
      </c>
      <c r="E2490" s="51" t="s">
        <v>514</v>
      </c>
      <c r="F2490" s="121" t="s">
        <v>3009</v>
      </c>
      <c r="G2490" s="98" t="str">
        <f>HYPERLINK("http://mirror.ff7data.com.ar/ff7/data/battle/battle.lgp/eqbo.png","View Picture")</f>
        <v>View Picture</v>
      </c>
    </row>
    <row r="2491">
      <c r="A2491" s="55"/>
      <c r="B2491" s="119" t="s">
        <v>26069</v>
      </c>
      <c r="C2491" s="120" t="s">
        <v>4554</v>
      </c>
      <c r="D2491" s="33" t="s">
        <v>26027</v>
      </c>
      <c r="E2491" s="51" t="s">
        <v>514</v>
      </c>
      <c r="F2491" s="121" t="s">
        <v>3009</v>
      </c>
      <c r="G2491" s="98" t="str">
        <f>HYPERLINK("http://mirror.ff7data.com.ar/ff7/data/battle/battle.lgp/eqbp.png","View Picture")</f>
        <v>View Picture</v>
      </c>
    </row>
    <row r="2492">
      <c r="A2492" s="55"/>
      <c r="B2492" s="119" t="s">
        <v>26071</v>
      </c>
      <c r="C2492" s="120" t="s">
        <v>26041</v>
      </c>
      <c r="D2492" s="33" t="s">
        <v>26027</v>
      </c>
      <c r="E2492" s="51" t="s">
        <v>514</v>
      </c>
      <c r="F2492" s="121" t="s">
        <v>3009</v>
      </c>
      <c r="G2492" s="98" t="str">
        <f>HYPERLINK("http://mirror.ff7data.com.ar/ff7/data/battle/battle.lgp/eqbq.png","View Picture")</f>
        <v>View Picture</v>
      </c>
    </row>
    <row r="2493">
      <c r="A2493" s="55"/>
      <c r="B2493" s="119" t="s">
        <v>26072</v>
      </c>
      <c r="C2493" s="120" t="s">
        <v>4185</v>
      </c>
      <c r="D2493" s="33" t="s">
        <v>26027</v>
      </c>
      <c r="E2493" s="51" t="s">
        <v>514</v>
      </c>
      <c r="F2493" s="121" t="s">
        <v>3009</v>
      </c>
      <c r="G2493" s="98" t="str">
        <f>HYPERLINK("http://mirror.ff7data.com.ar/ff7/data/battle/battle.lgp/eqbr.png","View Picture")</f>
        <v>View Picture</v>
      </c>
    </row>
    <row r="2494">
      <c r="A2494" s="55"/>
      <c r="B2494" s="119" t="s">
        <v>26074</v>
      </c>
      <c r="C2494" s="120" t="s">
        <v>4601</v>
      </c>
      <c r="D2494" s="33" t="s">
        <v>26027</v>
      </c>
      <c r="E2494" s="51" t="s">
        <v>514</v>
      </c>
      <c r="F2494" s="121" t="s">
        <v>3009</v>
      </c>
      <c r="G2494" s="98" t="str">
        <f>HYPERLINK("http://mirror.ff7data.com.ar/ff7/data/battle/battle.lgp/eqbt.png","View Picture")</f>
        <v>View Picture</v>
      </c>
    </row>
    <row r="2495">
      <c r="A2495" s="55"/>
      <c r="B2495" s="119" t="s">
        <v>26076</v>
      </c>
      <c r="C2495" s="120" t="s">
        <v>4554</v>
      </c>
      <c r="D2495" s="33" t="s">
        <v>26027</v>
      </c>
      <c r="E2495" s="51" t="s">
        <v>514</v>
      </c>
      <c r="F2495" s="121" t="s">
        <v>3009</v>
      </c>
      <c r="G2495" s="98" t="str">
        <f>HYPERLINK("http://mirror.ff7data.com.ar/ff7/data/battle/battle.lgp/eqbu.png","View Picture")</f>
        <v>View Picture</v>
      </c>
    </row>
    <row r="2496">
      <c r="A2496" s="55"/>
      <c r="B2496" s="119" t="s">
        <v>26078</v>
      </c>
      <c r="C2496" s="120" t="s">
        <v>4601</v>
      </c>
      <c r="D2496" s="33" t="s">
        <v>26027</v>
      </c>
      <c r="E2496" s="51" t="s">
        <v>514</v>
      </c>
      <c r="F2496" s="121" t="s">
        <v>3009</v>
      </c>
      <c r="G2496" s="98" t="str">
        <f>HYPERLINK("http://mirror.ff7data.com.ar/ff7/data/battle/battle.lgp/eqbv.png","View Picture")</f>
        <v>View Picture</v>
      </c>
    </row>
    <row r="2497">
      <c r="A2497" s="55"/>
      <c r="B2497" s="119" t="s">
        <v>26082</v>
      </c>
      <c r="C2497" s="120" t="s">
        <v>4185</v>
      </c>
      <c r="D2497" s="33" t="s">
        <v>26027</v>
      </c>
      <c r="E2497" s="51" t="s">
        <v>514</v>
      </c>
      <c r="F2497" s="121" t="s">
        <v>3009</v>
      </c>
      <c r="G2497" s="98" t="str">
        <f>HYPERLINK("http://mirror.ff7data.com.ar/ff7/data/battle/battle.lgp/eqbw.png","View Picture")</f>
        <v>View Picture</v>
      </c>
    </row>
    <row r="2498">
      <c r="A2498" s="55"/>
      <c r="B2498" s="119" t="s">
        <v>26084</v>
      </c>
      <c r="C2498" s="120" t="s">
        <v>3573</v>
      </c>
      <c r="D2498" s="33" t="s">
        <v>26027</v>
      </c>
      <c r="E2498" s="51" t="s">
        <v>514</v>
      </c>
      <c r="F2498" s="121" t="s">
        <v>3025</v>
      </c>
      <c r="H2498" s="46" t="s">
        <v>3002</v>
      </c>
    </row>
    <row r="2499">
      <c r="A2499" s="55"/>
      <c r="B2499" s="119" t="s">
        <v>26085</v>
      </c>
      <c r="C2499" s="120" t="s">
        <v>13823</v>
      </c>
      <c r="D2499" s="33" t="s">
        <v>26086</v>
      </c>
      <c r="E2499" s="51" t="s">
        <v>518</v>
      </c>
      <c r="F2499" s="121" t="s">
        <v>2971</v>
      </c>
      <c r="G2499" s="98" t="str">
        <f>HYPERLINK("http://mirror.ff7data.com.ar/ff7/data/battle/battle.lgp/eraa.png","View Picture")</f>
        <v>View Picture</v>
      </c>
    </row>
    <row r="2500">
      <c r="A2500" s="55"/>
      <c r="B2500" s="119" t="s">
        <v>26089</v>
      </c>
      <c r="C2500" s="120" t="s">
        <v>12616</v>
      </c>
      <c r="D2500" s="33" t="s">
        <v>26090</v>
      </c>
      <c r="E2500" s="51" t="s">
        <v>518</v>
      </c>
      <c r="F2500" s="121" t="s">
        <v>2993</v>
      </c>
      <c r="H2500" s="46" t="s">
        <v>3002</v>
      </c>
    </row>
    <row r="2501">
      <c r="A2501" s="55"/>
      <c r="B2501" s="119" t="s">
        <v>26091</v>
      </c>
      <c r="C2501" s="120" t="s">
        <v>3997</v>
      </c>
      <c r="D2501" s="33" t="s">
        <v>26092</v>
      </c>
      <c r="E2501" s="51" t="s">
        <v>518</v>
      </c>
      <c r="F2501" s="121" t="s">
        <v>1348</v>
      </c>
      <c r="G2501" s="98" t="str">
        <f>HYPERLINK("http://mirror.ff7data.com.ar/ff7/data/battle/battle.lgp/erac.png","View Picture")</f>
        <v>View Picture</v>
      </c>
    </row>
    <row r="2502">
      <c r="A2502" s="55"/>
      <c r="B2502" s="119" t="s">
        <v>26097</v>
      </c>
      <c r="C2502" s="120" t="s">
        <v>3671</v>
      </c>
      <c r="D2502" s="33" t="s">
        <v>26098</v>
      </c>
      <c r="E2502" s="51" t="s">
        <v>518</v>
      </c>
      <c r="F2502" s="121" t="s">
        <v>1348</v>
      </c>
      <c r="G2502" s="98" t="str">
        <f>HYPERLINK("http://mirror.ff7data.com.ar/ff7/data/battle/battle.lgp/erad.png","View Picture")</f>
        <v>View Picture</v>
      </c>
    </row>
    <row r="2503">
      <c r="A2503" s="55"/>
      <c r="B2503" s="119" t="s">
        <v>26108</v>
      </c>
      <c r="C2503" s="120" t="s">
        <v>3637</v>
      </c>
      <c r="D2503" s="33" t="s">
        <v>26090</v>
      </c>
      <c r="E2503" s="51" t="s">
        <v>518</v>
      </c>
      <c r="F2503" s="121" t="s">
        <v>3009</v>
      </c>
      <c r="G2503" s="98" t="str">
        <f>HYPERLINK("http://mirror.ff7data.com.ar/ff7/data/battle/battle.lgp/eram.png","View Picture")</f>
        <v>View Picture</v>
      </c>
    </row>
    <row r="2504">
      <c r="A2504" s="55"/>
      <c r="B2504" s="119" t="s">
        <v>26118</v>
      </c>
      <c r="C2504" s="120" t="s">
        <v>5419</v>
      </c>
      <c r="D2504" s="33" t="s">
        <v>26090</v>
      </c>
      <c r="E2504" s="51" t="s">
        <v>518</v>
      </c>
      <c r="F2504" s="121" t="s">
        <v>3009</v>
      </c>
      <c r="G2504" s="98" t="str">
        <f>HYPERLINK("http://mirror.ff7data.com.ar/ff7/data/battle/battle.lgp/eran.png","View Picture")</f>
        <v>View Picture</v>
      </c>
    </row>
    <row r="2505">
      <c r="A2505" s="55"/>
      <c r="B2505" s="119" t="s">
        <v>26124</v>
      </c>
      <c r="C2505" s="120" t="s">
        <v>5419</v>
      </c>
      <c r="D2505" s="33" t="s">
        <v>26090</v>
      </c>
      <c r="E2505" s="51" t="s">
        <v>518</v>
      </c>
      <c r="F2505" s="121" t="s">
        <v>3009</v>
      </c>
      <c r="G2505" s="98" t="str">
        <f>HYPERLINK("http://mirror.ff7data.com.ar/ff7/data/battle/battle.lgp/erao.png","View Picture")</f>
        <v>View Picture</v>
      </c>
    </row>
    <row r="2506">
      <c r="A2506" s="55"/>
      <c r="B2506" s="119" t="s">
        <v>26131</v>
      </c>
      <c r="C2506" s="120" t="s">
        <v>5419</v>
      </c>
      <c r="D2506" s="33" t="s">
        <v>26090</v>
      </c>
      <c r="E2506" s="51" t="s">
        <v>518</v>
      </c>
      <c r="F2506" s="121" t="s">
        <v>3009</v>
      </c>
      <c r="G2506" s="98" t="str">
        <f>HYPERLINK("http://mirror.ff7data.com.ar/ff7/data/battle/battle.lgp/erap.png","View Picture")</f>
        <v>View Picture</v>
      </c>
    </row>
    <row r="2507">
      <c r="A2507" s="55"/>
      <c r="B2507" s="119" t="s">
        <v>26137</v>
      </c>
      <c r="C2507" s="120" t="s">
        <v>26138</v>
      </c>
      <c r="D2507" s="33" t="s">
        <v>26090</v>
      </c>
      <c r="E2507" s="51" t="s">
        <v>518</v>
      </c>
      <c r="F2507" s="121" t="s">
        <v>3009</v>
      </c>
      <c r="G2507" s="98" t="str">
        <f>HYPERLINK("http://mirror.ff7data.com.ar/ff7/data/battle/battle.lgp/eraq.png","View Picture")</f>
        <v>View Picture</v>
      </c>
    </row>
    <row r="2508">
      <c r="A2508" s="55"/>
      <c r="B2508" s="119" t="s">
        <v>26148</v>
      </c>
      <c r="C2508" s="120" t="s">
        <v>26149</v>
      </c>
      <c r="D2508" s="33" t="s">
        <v>26090</v>
      </c>
      <c r="E2508" s="51" t="s">
        <v>518</v>
      </c>
      <c r="F2508" s="121" t="s">
        <v>3009</v>
      </c>
      <c r="G2508" s="98" t="str">
        <f>HYPERLINK("http://mirror.ff7data.com.ar/ff7/data/battle/battle.lgp/erat.png","View Picture")</f>
        <v>View Picture</v>
      </c>
    </row>
    <row r="2509">
      <c r="A2509" s="55"/>
      <c r="B2509" s="119" t="s">
        <v>26157</v>
      </c>
      <c r="C2509" s="120" t="s">
        <v>23032</v>
      </c>
      <c r="D2509" s="33" t="s">
        <v>26090</v>
      </c>
      <c r="E2509" s="51" t="s">
        <v>518</v>
      </c>
      <c r="F2509" s="121" t="s">
        <v>3009</v>
      </c>
      <c r="G2509" s="98" t="str">
        <f>HYPERLINK("http://mirror.ff7data.com.ar/ff7/data/battle/battle.lgp/erav.png","View Picture")</f>
        <v>View Picture</v>
      </c>
    </row>
    <row r="2510">
      <c r="A2510" s="55"/>
      <c r="B2510" s="119" t="s">
        <v>26173</v>
      </c>
      <c r="C2510" s="120" t="s">
        <v>5891</v>
      </c>
      <c r="D2510" s="33" t="s">
        <v>26090</v>
      </c>
      <c r="E2510" s="51" t="s">
        <v>518</v>
      </c>
      <c r="F2510" s="121" t="s">
        <v>3025</v>
      </c>
      <c r="H2510" s="46" t="s">
        <v>3002</v>
      </c>
    </row>
    <row r="2511">
      <c r="A2511" s="55"/>
      <c r="B2511" s="119" t="s">
        <v>26178</v>
      </c>
      <c r="C2511" s="120" t="s">
        <v>4846</v>
      </c>
      <c r="D2511" s="33" t="s">
        <v>26181</v>
      </c>
      <c r="E2511" s="51" t="s">
        <v>522</v>
      </c>
      <c r="F2511" s="121" t="s">
        <v>2971</v>
      </c>
      <c r="G2511" s="98" t="str">
        <f>HYPERLINK("http://mirror.ff7data.com.ar/ff7/data/battle/battle.lgp/esaa.png","View Picture")</f>
        <v>View Picture</v>
      </c>
    </row>
    <row r="2512">
      <c r="A2512" s="55"/>
      <c r="B2512" s="119" t="s">
        <v>26195</v>
      </c>
      <c r="C2512" s="120" t="s">
        <v>12616</v>
      </c>
      <c r="D2512" s="33" t="s">
        <v>26197</v>
      </c>
      <c r="E2512" s="51" t="s">
        <v>522</v>
      </c>
      <c r="F2512" s="121" t="s">
        <v>2993</v>
      </c>
      <c r="H2512" s="46" t="s">
        <v>3002</v>
      </c>
    </row>
    <row r="2513">
      <c r="A2513" s="55"/>
      <c r="B2513" s="119" t="s">
        <v>26199</v>
      </c>
      <c r="C2513" s="120" t="s">
        <v>3997</v>
      </c>
      <c r="D2513" s="33" t="s">
        <v>26200</v>
      </c>
      <c r="E2513" s="51" t="s">
        <v>522</v>
      </c>
      <c r="F2513" s="121" t="s">
        <v>1348</v>
      </c>
      <c r="G2513" s="98" t="str">
        <f>HYPERLINK("http://mirror.ff7data.com.ar/ff7/data/battle/battle.lgp/esac.png","View Picture")</f>
        <v>View Picture</v>
      </c>
    </row>
    <row r="2514">
      <c r="A2514" s="55"/>
      <c r="B2514" s="119" t="s">
        <v>26209</v>
      </c>
      <c r="C2514" s="120" t="s">
        <v>3355</v>
      </c>
      <c r="D2514" s="33" t="s">
        <v>26197</v>
      </c>
      <c r="E2514" s="51" t="s">
        <v>522</v>
      </c>
      <c r="F2514" s="121" t="s">
        <v>3009</v>
      </c>
      <c r="G2514" s="98" t="str">
        <f>HYPERLINK("http://mirror.ff7data.com.ar/ff7/data/battle/battle.lgp/esam.png","View Picture")</f>
        <v>View Picture</v>
      </c>
    </row>
    <row r="2515">
      <c r="A2515" s="55"/>
      <c r="B2515" s="119" t="s">
        <v>26235</v>
      </c>
      <c r="C2515" s="120" t="s">
        <v>4357</v>
      </c>
      <c r="D2515" s="33" t="s">
        <v>26197</v>
      </c>
      <c r="E2515" s="51" t="s">
        <v>522</v>
      </c>
      <c r="F2515" s="121" t="s">
        <v>3009</v>
      </c>
      <c r="G2515" s="98" t="str">
        <f>HYPERLINK("http://mirror.ff7data.com.ar/ff7/data/battle/battle.lgp/esan.png","View Picture")</f>
        <v>View Picture</v>
      </c>
    </row>
    <row r="2516">
      <c r="A2516" s="55"/>
      <c r="B2516" s="119" t="s">
        <v>26248</v>
      </c>
      <c r="C2516" s="120" t="s">
        <v>4357</v>
      </c>
      <c r="D2516" s="33" t="s">
        <v>26197</v>
      </c>
      <c r="E2516" s="51" t="s">
        <v>522</v>
      </c>
      <c r="F2516" s="121" t="s">
        <v>3009</v>
      </c>
      <c r="G2516" s="98" t="str">
        <f>HYPERLINK("http://mirror.ff7data.com.ar/ff7/data/battle/battle.lgp/esao.png","View Picture")</f>
        <v>View Picture</v>
      </c>
    </row>
    <row r="2517">
      <c r="A2517" s="55"/>
      <c r="B2517" s="119" t="s">
        <v>26260</v>
      </c>
      <c r="C2517" s="120" t="s">
        <v>4719</v>
      </c>
      <c r="D2517" s="33" t="s">
        <v>26197</v>
      </c>
      <c r="E2517" s="51" t="s">
        <v>522</v>
      </c>
      <c r="F2517" s="121" t="s">
        <v>3009</v>
      </c>
      <c r="G2517" s="98" t="str">
        <f>HYPERLINK("http://mirror.ff7data.com.ar/ff7/data/battle/battle.lgp/esap.png","View Picture")</f>
        <v>View Picture</v>
      </c>
    </row>
    <row r="2518">
      <c r="A2518" s="55"/>
      <c r="B2518" s="119" t="s">
        <v>26273</v>
      </c>
      <c r="C2518" s="120" t="s">
        <v>3648</v>
      </c>
      <c r="D2518" s="33" t="s">
        <v>26197</v>
      </c>
      <c r="E2518" s="51" t="s">
        <v>522</v>
      </c>
      <c r="F2518" s="121" t="s">
        <v>3009</v>
      </c>
      <c r="G2518" s="98" t="str">
        <f>HYPERLINK("http://mirror.ff7data.com.ar/ff7/data/battle/battle.lgp/esaq.png","View Picture")</f>
        <v>View Picture</v>
      </c>
    </row>
    <row r="2519">
      <c r="A2519" s="55"/>
      <c r="B2519" s="119" t="s">
        <v>26284</v>
      </c>
      <c r="C2519" s="120" t="s">
        <v>9290</v>
      </c>
      <c r="D2519" s="33" t="s">
        <v>26197</v>
      </c>
      <c r="E2519" s="51" t="s">
        <v>522</v>
      </c>
      <c r="F2519" s="121" t="s">
        <v>3009</v>
      </c>
      <c r="G2519" s="98" t="str">
        <f>HYPERLINK("http://mirror.ff7data.com.ar/ff7/data/battle/battle.lgp/esar.png","View Picture")</f>
        <v>View Picture</v>
      </c>
    </row>
    <row r="2520">
      <c r="A2520" s="55"/>
      <c r="B2520" s="119" t="s">
        <v>26297</v>
      </c>
      <c r="C2520" s="120" t="s">
        <v>4565</v>
      </c>
      <c r="D2520" s="33" t="s">
        <v>26197</v>
      </c>
      <c r="E2520" s="51" t="s">
        <v>522</v>
      </c>
      <c r="F2520" s="121" t="s">
        <v>3009</v>
      </c>
      <c r="G2520" s="98" t="str">
        <f>HYPERLINK("http://mirror.ff7data.com.ar/ff7/data/battle/battle.lgp/esat.png","View Picture")</f>
        <v>View Picture</v>
      </c>
    </row>
    <row r="2521">
      <c r="A2521" s="55"/>
      <c r="B2521" s="119" t="s">
        <v>26305</v>
      </c>
      <c r="C2521" s="120" t="s">
        <v>4185</v>
      </c>
      <c r="D2521" s="33" t="s">
        <v>26197</v>
      </c>
      <c r="E2521" s="51" t="s">
        <v>522</v>
      </c>
      <c r="F2521" s="121" t="s">
        <v>3009</v>
      </c>
      <c r="G2521" s="98" t="str">
        <f>HYPERLINK("http://mirror.ff7data.com.ar/ff7/data/battle/battle.lgp/esau.png","View Picture")</f>
        <v>View Picture</v>
      </c>
    </row>
    <row r="2522">
      <c r="A2522" s="55"/>
      <c r="B2522" s="119" t="s">
        <v>26312</v>
      </c>
      <c r="C2522" s="120" t="s">
        <v>4185</v>
      </c>
      <c r="D2522" s="33" t="s">
        <v>26197</v>
      </c>
      <c r="E2522" s="51" t="s">
        <v>522</v>
      </c>
      <c r="F2522" s="121" t="s">
        <v>3009</v>
      </c>
      <c r="G2522" s="98" t="str">
        <f>HYPERLINK("http://mirror.ff7data.com.ar/ff7/data/battle/battle.lgp/esaw.png","View Picture")</f>
        <v>View Picture</v>
      </c>
    </row>
    <row r="2523">
      <c r="A2523" s="55"/>
      <c r="B2523" s="119" t="s">
        <v>26322</v>
      </c>
      <c r="C2523" s="120" t="s">
        <v>4185</v>
      </c>
      <c r="D2523" s="33" t="s">
        <v>26197</v>
      </c>
      <c r="E2523" s="51" t="s">
        <v>522</v>
      </c>
      <c r="F2523" s="121" t="s">
        <v>3009</v>
      </c>
      <c r="G2523" s="98" t="str">
        <f>HYPERLINK("http://mirror.ff7data.com.ar/ff7/data/battle/battle.lgp/esay.png","View Picture")</f>
        <v>View Picture</v>
      </c>
    </row>
    <row r="2524">
      <c r="A2524" s="55"/>
      <c r="B2524" s="119" t="s">
        <v>26327</v>
      </c>
      <c r="C2524" s="120" t="s">
        <v>4357</v>
      </c>
      <c r="D2524" s="33" t="s">
        <v>26197</v>
      </c>
      <c r="E2524" s="51" t="s">
        <v>522</v>
      </c>
      <c r="F2524" s="121" t="s">
        <v>3009</v>
      </c>
      <c r="G2524" s="98" t="str">
        <f>HYPERLINK("http://mirror.ff7data.com.ar/ff7/data/battle/battle.lgp/esba.png","View Picture")</f>
        <v>View Picture</v>
      </c>
    </row>
    <row r="2525">
      <c r="A2525" s="55"/>
      <c r="B2525" s="119" t="s">
        <v>26331</v>
      </c>
      <c r="C2525" s="120" t="s">
        <v>7165</v>
      </c>
      <c r="D2525" s="33" t="s">
        <v>26197</v>
      </c>
      <c r="E2525" s="51" t="s">
        <v>522</v>
      </c>
      <c r="F2525" s="121" t="s">
        <v>3009</v>
      </c>
      <c r="G2525" s="98" t="str">
        <f>HYPERLINK("http://mirror.ff7data.com.ar/ff7/data/battle/battle.lgp/esbc.png","View Picture")</f>
        <v>View Picture</v>
      </c>
    </row>
    <row r="2526">
      <c r="A2526" s="55"/>
      <c r="B2526" s="119" t="s">
        <v>26335</v>
      </c>
      <c r="C2526" s="120" t="s">
        <v>26336</v>
      </c>
      <c r="D2526" s="33" t="s">
        <v>26197</v>
      </c>
      <c r="E2526" s="51" t="s">
        <v>522</v>
      </c>
      <c r="F2526" s="121" t="s">
        <v>3009</v>
      </c>
      <c r="G2526" s="98" t="str">
        <f>HYPERLINK("http://mirror.ff7data.com.ar/ff7/data/battle/battle.lgp/esbe.png","View Picture")</f>
        <v>View Picture</v>
      </c>
    </row>
    <row r="2527">
      <c r="A2527" s="55"/>
      <c r="B2527" s="119" t="s">
        <v>26340</v>
      </c>
      <c r="C2527" s="120" t="s">
        <v>4357</v>
      </c>
      <c r="D2527" s="33" t="s">
        <v>26197</v>
      </c>
      <c r="E2527" s="51" t="s">
        <v>522</v>
      </c>
      <c r="F2527" s="121" t="s">
        <v>3009</v>
      </c>
      <c r="G2527" s="98" t="str">
        <f>HYPERLINK("http://mirror.ff7data.com.ar/ff7/data/battle/battle.lgp/esbf.png","View Picture")</f>
        <v>View Picture</v>
      </c>
    </row>
    <row r="2528">
      <c r="A2528" s="55"/>
      <c r="B2528" s="119" t="s">
        <v>26343</v>
      </c>
      <c r="C2528" s="120" t="s">
        <v>20274</v>
      </c>
      <c r="D2528" s="33" t="s">
        <v>26197</v>
      </c>
      <c r="E2528" s="51" t="s">
        <v>522</v>
      </c>
      <c r="F2528" s="121" t="s">
        <v>3009</v>
      </c>
      <c r="G2528" s="98" t="str">
        <f>HYPERLINK("http://mirror.ff7data.com.ar/ff7/data/battle/battle.lgp/esbg.png","View Picture")</f>
        <v>View Picture</v>
      </c>
    </row>
    <row r="2529">
      <c r="A2529" s="55"/>
      <c r="B2529" s="119" t="s">
        <v>26348</v>
      </c>
      <c r="C2529" s="120" t="s">
        <v>26045</v>
      </c>
      <c r="D2529" s="33" t="s">
        <v>26197</v>
      </c>
      <c r="E2529" s="51" t="s">
        <v>522</v>
      </c>
      <c r="F2529" s="121" t="s">
        <v>3009</v>
      </c>
      <c r="G2529" s="98" t="str">
        <f>HYPERLINK("http://mirror.ff7data.com.ar/ff7/data/battle/battle.lgp/esbh.png","View Picture")</f>
        <v>View Picture</v>
      </c>
    </row>
    <row r="2530">
      <c r="A2530" s="55"/>
      <c r="B2530" s="119" t="s">
        <v>26356</v>
      </c>
      <c r="C2530" s="120" t="s">
        <v>19043</v>
      </c>
      <c r="D2530" s="33" t="s">
        <v>26197</v>
      </c>
      <c r="E2530" s="51" t="s">
        <v>522</v>
      </c>
      <c r="F2530" s="121" t="s">
        <v>3009</v>
      </c>
      <c r="G2530" s="98" t="str">
        <f>HYPERLINK("http://mirror.ff7data.com.ar/ff7/data/battle/battle.lgp/esbi.png","View Picture")</f>
        <v>View Picture</v>
      </c>
    </row>
    <row r="2531">
      <c r="A2531" s="55"/>
      <c r="B2531" s="119" t="s">
        <v>26365</v>
      </c>
      <c r="C2531" s="120" t="s">
        <v>20391</v>
      </c>
      <c r="D2531" s="33" t="s">
        <v>26197</v>
      </c>
      <c r="E2531" s="51" t="s">
        <v>522</v>
      </c>
      <c r="F2531" s="121" t="s">
        <v>3009</v>
      </c>
      <c r="G2531" s="98" t="str">
        <f>HYPERLINK("http://mirror.ff7data.com.ar/ff7/data/battle/battle.lgp/esbk.png","View Picture")</f>
        <v>View Picture</v>
      </c>
    </row>
    <row r="2532">
      <c r="A2532" s="55"/>
      <c r="B2532" s="119" t="s">
        <v>26372</v>
      </c>
      <c r="C2532" s="120" t="s">
        <v>4357</v>
      </c>
      <c r="D2532" s="33" t="s">
        <v>26197</v>
      </c>
      <c r="E2532" s="51" t="s">
        <v>522</v>
      </c>
      <c r="F2532" s="121" t="s">
        <v>3009</v>
      </c>
      <c r="G2532" s="98" t="str">
        <f>HYPERLINK("http://mirror.ff7data.com.ar/ff7/data/battle/battle.lgp/esbl.png","View Picture")</f>
        <v>View Picture</v>
      </c>
    </row>
    <row r="2533">
      <c r="A2533" s="55"/>
      <c r="B2533" s="119" t="s">
        <v>26380</v>
      </c>
      <c r="C2533" s="120" t="s">
        <v>26381</v>
      </c>
      <c r="D2533" s="33" t="s">
        <v>26197</v>
      </c>
      <c r="E2533" s="51" t="s">
        <v>522</v>
      </c>
      <c r="F2533" s="121" t="s">
        <v>3009</v>
      </c>
      <c r="G2533" s="98" t="str">
        <f>HYPERLINK("http://mirror.ff7data.com.ar/ff7/data/battle/battle.lgp/esbm.png","View Picture")</f>
        <v>View Picture</v>
      </c>
    </row>
    <row r="2534">
      <c r="A2534" s="55"/>
      <c r="B2534" s="119" t="s">
        <v>26389</v>
      </c>
      <c r="C2534" s="120" t="s">
        <v>7148</v>
      </c>
      <c r="D2534" s="33" t="s">
        <v>26197</v>
      </c>
      <c r="E2534" s="51" t="s">
        <v>522</v>
      </c>
      <c r="F2534" s="121" t="s">
        <v>3009</v>
      </c>
      <c r="G2534" s="98" t="str">
        <f>HYPERLINK("http://mirror.ff7data.com.ar/ff7/data/battle/battle.lgp/esbn.png","View Picture")</f>
        <v>View Picture</v>
      </c>
    </row>
    <row r="2535">
      <c r="A2535" s="55"/>
      <c r="B2535" s="119" t="s">
        <v>26399</v>
      </c>
      <c r="C2535" s="120" t="s">
        <v>26400</v>
      </c>
      <c r="D2535" s="33" t="s">
        <v>26197</v>
      </c>
      <c r="E2535" s="51" t="s">
        <v>522</v>
      </c>
      <c r="F2535" s="121" t="s">
        <v>3009</v>
      </c>
      <c r="G2535" s="98" t="str">
        <f>HYPERLINK("http://mirror.ff7data.com.ar/ff7/data/battle/battle.lgp/esbo.png","View Picture")</f>
        <v>View Picture</v>
      </c>
    </row>
    <row r="2536">
      <c r="A2536" s="55"/>
      <c r="B2536" s="119" t="s">
        <v>26410</v>
      </c>
      <c r="C2536" s="120" t="s">
        <v>4565</v>
      </c>
      <c r="D2536" s="33" t="s">
        <v>26197</v>
      </c>
      <c r="E2536" s="51" t="s">
        <v>522</v>
      </c>
      <c r="F2536" s="121" t="s">
        <v>3009</v>
      </c>
      <c r="G2536" s="98" t="str">
        <f>HYPERLINK("http://mirror.ff7data.com.ar/ff7/data/battle/battle.lgp/esbq.png","View Picture")</f>
        <v>View Picture</v>
      </c>
    </row>
    <row r="2537">
      <c r="A2537" s="55"/>
      <c r="B2537" s="119" t="s">
        <v>26422</v>
      </c>
      <c r="C2537" s="120" t="s">
        <v>4476</v>
      </c>
      <c r="D2537" s="33" t="s">
        <v>26197</v>
      </c>
      <c r="E2537" s="51" t="s">
        <v>522</v>
      </c>
      <c r="F2537" s="121" t="s">
        <v>3009</v>
      </c>
      <c r="G2537" s="98" t="str">
        <f>HYPERLINK("http://mirror.ff7data.com.ar/ff7/data/battle/battle.lgp/esbr.png","View Picture")</f>
        <v>View Picture</v>
      </c>
    </row>
    <row r="2538">
      <c r="A2538" s="55"/>
      <c r="B2538" s="119" t="s">
        <v>26431</v>
      </c>
      <c r="C2538" s="120" t="s">
        <v>26433</v>
      </c>
      <c r="D2538" s="33" t="s">
        <v>26197</v>
      </c>
      <c r="E2538" s="51" t="s">
        <v>522</v>
      </c>
      <c r="F2538" s="121" t="s">
        <v>3025</v>
      </c>
      <c r="H2538" s="46" t="s">
        <v>3002</v>
      </c>
    </row>
    <row r="2539">
      <c r="A2539" s="55"/>
      <c r="B2539" s="119" t="s">
        <v>26438</v>
      </c>
      <c r="C2539" s="120" t="s">
        <v>7606</v>
      </c>
      <c r="D2539" s="33" t="s">
        <v>26440</v>
      </c>
      <c r="E2539" s="51" t="s">
        <v>526</v>
      </c>
      <c r="F2539" s="121" t="s">
        <v>2971</v>
      </c>
      <c r="G2539" s="98" t="str">
        <f>HYPERLINK("http://mirror.ff7data.com.ar/ff7/data/battle/battle.lgp/etaa.png","View Picture")</f>
        <v>View Picture</v>
      </c>
    </row>
    <row r="2540">
      <c r="A2540" s="55"/>
      <c r="B2540" s="119" t="s">
        <v>26451</v>
      </c>
      <c r="C2540" s="120" t="s">
        <v>12616</v>
      </c>
      <c r="D2540" s="33" t="s">
        <v>26452</v>
      </c>
      <c r="E2540" s="51" t="s">
        <v>526</v>
      </c>
      <c r="F2540" s="121" t="s">
        <v>2993</v>
      </c>
      <c r="H2540" s="46" t="s">
        <v>3002</v>
      </c>
    </row>
    <row r="2541">
      <c r="A2541" s="55"/>
      <c r="B2541" s="119" t="s">
        <v>26457</v>
      </c>
      <c r="C2541" s="120" t="s">
        <v>3997</v>
      </c>
      <c r="D2541" s="33" t="s">
        <v>26458</v>
      </c>
      <c r="E2541" s="51" t="s">
        <v>526</v>
      </c>
      <c r="F2541" s="121" t="s">
        <v>1348</v>
      </c>
      <c r="G2541" s="98" t="str">
        <f>HYPERLINK("http://mirror.ff7data.com.ar/ff7/data/battle/battle.lgp/etac.png","View Picture")</f>
        <v>View Picture</v>
      </c>
    </row>
    <row r="2542">
      <c r="A2542" s="55"/>
      <c r="B2542" s="119" t="s">
        <v>26466</v>
      </c>
      <c r="C2542" s="120" t="s">
        <v>3671</v>
      </c>
      <c r="D2542" s="33" t="s">
        <v>26468</v>
      </c>
      <c r="E2542" s="51" t="s">
        <v>526</v>
      </c>
      <c r="F2542" s="121" t="s">
        <v>1348</v>
      </c>
      <c r="G2542" s="98" t="str">
        <f>HYPERLINK("http://mirror.ff7data.com.ar/ff7/data/battle/battle.lgp/etad.png","View Picture")</f>
        <v>View Picture</v>
      </c>
    </row>
    <row r="2543">
      <c r="A2543" s="55"/>
      <c r="B2543" s="119" t="s">
        <v>26479</v>
      </c>
      <c r="C2543" s="120" t="s">
        <v>3723</v>
      </c>
      <c r="D2543" s="33" t="s">
        <v>26452</v>
      </c>
      <c r="E2543" s="51" t="s">
        <v>526</v>
      </c>
      <c r="F2543" s="121" t="s">
        <v>3009</v>
      </c>
      <c r="G2543" s="98" t="str">
        <f>HYPERLINK("http://mirror.ff7data.com.ar/ff7/data/battle/battle.lgp/etam.png","View Picture")</f>
        <v>View Picture</v>
      </c>
    </row>
    <row r="2544">
      <c r="A2544" s="55"/>
      <c r="B2544" s="119" t="s">
        <v>26485</v>
      </c>
      <c r="C2544" s="120" t="s">
        <v>7871</v>
      </c>
      <c r="D2544" s="33" t="s">
        <v>26452</v>
      </c>
      <c r="E2544" s="51" t="s">
        <v>526</v>
      </c>
      <c r="F2544" s="121" t="s">
        <v>3009</v>
      </c>
      <c r="G2544" s="98" t="str">
        <f>HYPERLINK("http://mirror.ff7data.com.ar/ff7/data/battle/battle.lgp/etan.png","View Picture")</f>
        <v>View Picture</v>
      </c>
    </row>
    <row r="2545">
      <c r="A2545" s="55"/>
      <c r="B2545" s="119" t="s">
        <v>26496</v>
      </c>
      <c r="C2545" s="120" t="s">
        <v>7871</v>
      </c>
      <c r="D2545" s="33" t="s">
        <v>26452</v>
      </c>
      <c r="E2545" s="51" t="s">
        <v>526</v>
      </c>
      <c r="F2545" s="121" t="s">
        <v>3009</v>
      </c>
      <c r="G2545" s="98" t="str">
        <f>HYPERLINK("http://mirror.ff7data.com.ar/ff7/data/battle/battle.lgp/etao.png","View Picture")</f>
        <v>View Picture</v>
      </c>
    </row>
    <row r="2546">
      <c r="A2546" s="55"/>
      <c r="B2546" s="119" t="s">
        <v>26505</v>
      </c>
      <c r="C2546" s="120" t="s">
        <v>7871</v>
      </c>
      <c r="D2546" s="33" t="s">
        <v>26452</v>
      </c>
      <c r="E2546" s="51" t="s">
        <v>526</v>
      </c>
      <c r="F2546" s="121" t="s">
        <v>3009</v>
      </c>
      <c r="G2546" s="98" t="str">
        <f>HYPERLINK("http://mirror.ff7data.com.ar/ff7/data/battle/battle.lgp/etap.png","View Picture")</f>
        <v>View Picture</v>
      </c>
    </row>
    <row r="2547">
      <c r="A2547" s="55"/>
      <c r="B2547" s="119" t="s">
        <v>26520</v>
      </c>
      <c r="C2547" s="120" t="s">
        <v>4719</v>
      </c>
      <c r="D2547" s="33" t="s">
        <v>26452</v>
      </c>
      <c r="E2547" s="51" t="s">
        <v>526</v>
      </c>
      <c r="F2547" s="121" t="s">
        <v>3009</v>
      </c>
      <c r="G2547" s="98" t="str">
        <f>HYPERLINK("http://mirror.ff7data.com.ar/ff7/data/battle/battle.lgp/etaq.png","View Picture")</f>
        <v>View Picture</v>
      </c>
    </row>
    <row r="2548">
      <c r="A2548" s="55"/>
      <c r="B2548" s="119" t="s">
        <v>26531</v>
      </c>
      <c r="C2548" s="120" t="s">
        <v>4476</v>
      </c>
      <c r="D2548" s="33" t="s">
        <v>26452</v>
      </c>
      <c r="E2548" s="51" t="s">
        <v>526</v>
      </c>
      <c r="F2548" s="121" t="s">
        <v>3009</v>
      </c>
      <c r="G2548" s="98" t="str">
        <f>HYPERLINK("http://mirror.ff7data.com.ar/ff7/data/battle/battle.lgp/etar.png","View Picture")</f>
        <v>View Picture</v>
      </c>
    </row>
    <row r="2549">
      <c r="A2549" s="55"/>
      <c r="B2549" s="119" t="s">
        <v>26540</v>
      </c>
      <c r="C2549" s="120" t="s">
        <v>6029</v>
      </c>
      <c r="D2549" s="33" t="s">
        <v>26452</v>
      </c>
      <c r="E2549" s="51" t="s">
        <v>526</v>
      </c>
      <c r="F2549" s="121" t="s">
        <v>3009</v>
      </c>
      <c r="G2549" s="98" t="str">
        <f>HYPERLINK("http://mirror.ff7data.com.ar/ff7/data/battle/battle.lgp/etas.png","View Picture")</f>
        <v>View Picture</v>
      </c>
    </row>
    <row r="2550">
      <c r="A2550" s="55"/>
      <c r="B2550" s="119" t="s">
        <v>26553</v>
      </c>
      <c r="C2550" s="120" t="s">
        <v>4372</v>
      </c>
      <c r="D2550" s="33" t="s">
        <v>26452</v>
      </c>
      <c r="E2550" s="51" t="s">
        <v>526</v>
      </c>
      <c r="F2550" s="121" t="s">
        <v>3009</v>
      </c>
      <c r="G2550" s="98" t="str">
        <f>HYPERLINK("http://mirror.ff7data.com.ar/ff7/data/battle/battle.lgp/etat.png","View Picture")</f>
        <v>View Picture</v>
      </c>
    </row>
    <row r="2551">
      <c r="A2551" s="55"/>
      <c r="B2551" s="119" t="s">
        <v>26568</v>
      </c>
      <c r="C2551" s="120" t="s">
        <v>6029</v>
      </c>
      <c r="D2551" s="33" t="s">
        <v>26452</v>
      </c>
      <c r="E2551" s="51" t="s">
        <v>526</v>
      </c>
      <c r="F2551" s="121" t="s">
        <v>3009</v>
      </c>
      <c r="G2551" s="98" t="str">
        <f>HYPERLINK("http://mirror.ff7data.com.ar/ff7/data/battle/battle.lgp/etau.png","View Picture")</f>
        <v>View Picture</v>
      </c>
    </row>
    <row r="2552">
      <c r="A2552" s="55"/>
      <c r="B2552" s="119" t="s">
        <v>26580</v>
      </c>
      <c r="C2552" s="120" t="s">
        <v>6029</v>
      </c>
      <c r="D2552" s="33" t="s">
        <v>26452</v>
      </c>
      <c r="E2552" s="51" t="s">
        <v>526</v>
      </c>
      <c r="F2552" s="121" t="s">
        <v>3009</v>
      </c>
      <c r="G2552" s="98" t="str">
        <f>HYPERLINK("http://mirror.ff7data.com.ar/ff7/data/battle/battle.lgp/etav.png","View Picture")</f>
        <v>View Picture</v>
      </c>
    </row>
    <row r="2553">
      <c r="A2553" s="55"/>
      <c r="B2553" s="119" t="s">
        <v>26591</v>
      </c>
      <c r="C2553" s="120" t="s">
        <v>4541</v>
      </c>
      <c r="D2553" s="33" t="s">
        <v>26452</v>
      </c>
      <c r="E2553" s="51" t="s">
        <v>526</v>
      </c>
      <c r="F2553" s="121" t="s">
        <v>3009</v>
      </c>
      <c r="G2553" s="98" t="str">
        <f>HYPERLINK("http://mirror.ff7data.com.ar/ff7/data/battle/battle.lgp/etax.png","View Picture")</f>
        <v>View Picture</v>
      </c>
    </row>
    <row r="2554">
      <c r="A2554" s="55"/>
      <c r="B2554" s="119" t="s">
        <v>26601</v>
      </c>
      <c r="C2554" s="120" t="s">
        <v>6029</v>
      </c>
      <c r="D2554" s="33" t="s">
        <v>26452</v>
      </c>
      <c r="E2554" s="51" t="s">
        <v>526</v>
      </c>
      <c r="F2554" s="121" t="s">
        <v>3009</v>
      </c>
      <c r="G2554" s="98" t="str">
        <f>HYPERLINK("http://mirror.ff7data.com.ar/ff7/data/battle/battle.lgp/etay.png","View Picture")</f>
        <v>View Picture</v>
      </c>
    </row>
    <row r="2555">
      <c r="A2555" s="55"/>
      <c r="B2555" s="119" t="s">
        <v>26612</v>
      </c>
      <c r="C2555" s="120" t="s">
        <v>4601</v>
      </c>
      <c r="D2555" s="33" t="s">
        <v>26452</v>
      </c>
      <c r="E2555" s="51" t="s">
        <v>526</v>
      </c>
      <c r="F2555" s="121" t="s">
        <v>3009</v>
      </c>
      <c r="G2555" s="98" t="str">
        <f>HYPERLINK("http://mirror.ff7data.com.ar/ff7/data/battle/battle.lgp/etba.png","View Picture")</f>
        <v>View Picture</v>
      </c>
    </row>
    <row r="2556">
      <c r="A2556" s="55"/>
      <c r="B2556" s="119" t="s">
        <v>26625</v>
      </c>
      <c r="C2556" s="120" t="s">
        <v>4476</v>
      </c>
      <c r="D2556" s="33" t="s">
        <v>26452</v>
      </c>
      <c r="E2556" s="51" t="s">
        <v>526</v>
      </c>
      <c r="F2556" s="121" t="s">
        <v>3009</v>
      </c>
      <c r="G2556" s="98" t="str">
        <f>HYPERLINK("http://mirror.ff7data.com.ar/ff7/data/battle/battle.lgp/etbb.png","View Picture")</f>
        <v>View Picture</v>
      </c>
    </row>
    <row r="2557">
      <c r="A2557" s="55"/>
      <c r="B2557" s="119" t="s">
        <v>26638</v>
      </c>
      <c r="C2557" s="120" t="s">
        <v>7165</v>
      </c>
      <c r="D2557" s="33" t="s">
        <v>26452</v>
      </c>
      <c r="E2557" s="51" t="s">
        <v>526</v>
      </c>
      <c r="F2557" s="121" t="s">
        <v>3009</v>
      </c>
      <c r="G2557" s="98" t="str">
        <f>HYPERLINK("http://mirror.ff7data.com.ar/ff7/data/battle/battle.lgp/etbc.png","View Picture")</f>
        <v>View Picture</v>
      </c>
    </row>
    <row r="2558">
      <c r="A2558" s="55"/>
      <c r="B2558" s="119" t="s">
        <v>26653</v>
      </c>
      <c r="C2558" s="120" t="s">
        <v>4357</v>
      </c>
      <c r="D2558" s="33" t="s">
        <v>26452</v>
      </c>
      <c r="E2558" s="51" t="s">
        <v>526</v>
      </c>
      <c r="F2558" s="121" t="s">
        <v>3009</v>
      </c>
      <c r="G2558" s="98" t="str">
        <f>HYPERLINK("http://mirror.ff7data.com.ar/ff7/data/battle/battle.lgp/etbd.png","View Picture")</f>
        <v>View Picture</v>
      </c>
    </row>
    <row r="2559">
      <c r="A2559" s="55"/>
      <c r="B2559" s="119" t="s">
        <v>26662</v>
      </c>
      <c r="C2559" s="120" t="s">
        <v>4191</v>
      </c>
      <c r="D2559" s="33" t="s">
        <v>26452</v>
      </c>
      <c r="E2559" s="51" t="s">
        <v>526</v>
      </c>
      <c r="F2559" s="121" t="s">
        <v>3009</v>
      </c>
      <c r="G2559" s="98" t="str">
        <f>HYPERLINK("http://mirror.ff7data.com.ar/ff7/data/battle/battle.lgp/etbe.png","View Picture")</f>
        <v>View Picture</v>
      </c>
    </row>
    <row r="2560">
      <c r="A2560" s="55"/>
      <c r="B2560" s="119" t="s">
        <v>26669</v>
      </c>
      <c r="C2560" s="120" t="s">
        <v>5203</v>
      </c>
      <c r="D2560" s="33" t="s">
        <v>26452</v>
      </c>
      <c r="E2560" s="51" t="s">
        <v>526</v>
      </c>
      <c r="F2560" s="121" t="s">
        <v>3009</v>
      </c>
      <c r="G2560" s="98" t="str">
        <f>HYPERLINK("http://mirror.ff7data.com.ar/ff7/data/battle/battle.lgp/etbg.png","View Picture")</f>
        <v>View Picture</v>
      </c>
    </row>
    <row r="2561">
      <c r="A2561" s="55"/>
      <c r="B2561" s="119" t="s">
        <v>26677</v>
      </c>
      <c r="C2561" s="120" t="s">
        <v>4565</v>
      </c>
      <c r="D2561" s="33" t="s">
        <v>26452</v>
      </c>
      <c r="E2561" s="51" t="s">
        <v>526</v>
      </c>
      <c r="F2561" s="121" t="s">
        <v>3009</v>
      </c>
      <c r="G2561" s="98" t="str">
        <f>HYPERLINK("http://mirror.ff7data.com.ar/ff7/data/battle/battle.lgp/etbh.png","View Picture")</f>
        <v>View Picture</v>
      </c>
    </row>
    <row r="2562">
      <c r="A2562" s="55"/>
      <c r="B2562" s="119" t="s">
        <v>26688</v>
      </c>
      <c r="C2562" s="120" t="s">
        <v>4601</v>
      </c>
      <c r="D2562" s="33" t="s">
        <v>26452</v>
      </c>
      <c r="E2562" s="51" t="s">
        <v>526</v>
      </c>
      <c r="F2562" s="121" t="s">
        <v>3009</v>
      </c>
      <c r="G2562" s="98" t="str">
        <f>HYPERLINK("http://mirror.ff7data.com.ar/ff7/data/battle/battle.lgp/etbi.png","View Picture")</f>
        <v>View Picture</v>
      </c>
    </row>
    <row r="2563">
      <c r="A2563" s="55"/>
      <c r="B2563" s="119" t="s">
        <v>26699</v>
      </c>
      <c r="C2563" s="120" t="s">
        <v>4601</v>
      </c>
      <c r="D2563" s="33" t="s">
        <v>26452</v>
      </c>
      <c r="E2563" s="51" t="s">
        <v>526</v>
      </c>
      <c r="F2563" s="121" t="s">
        <v>3009</v>
      </c>
      <c r="G2563" s="98" t="str">
        <f>HYPERLINK("http://mirror.ff7data.com.ar/ff7/data/battle/battle.lgp/etbj.png","View Picture")</f>
        <v>View Picture</v>
      </c>
    </row>
    <row r="2564">
      <c r="A2564" s="55"/>
      <c r="B2564" s="119" t="s">
        <v>26712</v>
      </c>
      <c r="C2564" s="120" t="s">
        <v>4565</v>
      </c>
      <c r="D2564" s="33" t="s">
        <v>26452</v>
      </c>
      <c r="E2564" s="51" t="s">
        <v>526</v>
      </c>
      <c r="F2564" s="121" t="s">
        <v>3009</v>
      </c>
      <c r="G2564" s="98" t="str">
        <f>HYPERLINK("http://mirror.ff7data.com.ar/ff7/data/battle/battle.lgp/etbk.png","View Picture")</f>
        <v>View Picture</v>
      </c>
    </row>
    <row r="2565">
      <c r="A2565" s="55"/>
      <c r="B2565" s="119" t="s">
        <v>26723</v>
      </c>
      <c r="C2565" s="120" t="s">
        <v>3445</v>
      </c>
      <c r="D2565" s="33" t="s">
        <v>26452</v>
      </c>
      <c r="E2565" s="51" t="s">
        <v>526</v>
      </c>
      <c r="F2565" s="121" t="s">
        <v>3009</v>
      </c>
      <c r="G2565" s="98" t="str">
        <f>HYPERLINK("http://mirror.ff7data.com.ar/ff7/data/battle/battle.lgp/etbl.png","View Picture")</f>
        <v>View Picture</v>
      </c>
    </row>
    <row r="2566">
      <c r="A2566" s="55"/>
      <c r="B2566" s="119" t="s">
        <v>26732</v>
      </c>
      <c r="C2566" s="120" t="s">
        <v>5904</v>
      </c>
      <c r="D2566" s="33" t="s">
        <v>26452</v>
      </c>
      <c r="E2566" s="51" t="s">
        <v>526</v>
      </c>
      <c r="F2566" s="121" t="s">
        <v>3009</v>
      </c>
      <c r="G2566" s="98" t="str">
        <f>HYPERLINK("http://mirror.ff7data.com.ar/ff7/data/battle/battle.lgp/etbn.png","View Picture")</f>
        <v>View Picture</v>
      </c>
    </row>
    <row r="2567">
      <c r="A2567" s="55"/>
      <c r="B2567" s="119" t="s">
        <v>26741</v>
      </c>
      <c r="C2567" s="120" t="s">
        <v>7148</v>
      </c>
      <c r="D2567" s="33" t="s">
        <v>26452</v>
      </c>
      <c r="E2567" s="51" t="s">
        <v>526</v>
      </c>
      <c r="F2567" s="121" t="s">
        <v>3009</v>
      </c>
      <c r="G2567" s="98" t="str">
        <f>HYPERLINK("http://mirror.ff7data.com.ar/ff7/data/battle/battle.lgp/etbo.png","View Picture")</f>
        <v>View Picture</v>
      </c>
    </row>
    <row r="2568">
      <c r="A2568" s="55"/>
      <c r="B2568" s="119" t="s">
        <v>26751</v>
      </c>
      <c r="C2568" s="120" t="s">
        <v>26045</v>
      </c>
      <c r="D2568" s="33" t="s">
        <v>26452</v>
      </c>
      <c r="E2568" s="51" t="s">
        <v>526</v>
      </c>
      <c r="F2568" s="121" t="s">
        <v>3009</v>
      </c>
      <c r="G2568" s="98" t="str">
        <f>HYPERLINK("http://mirror.ff7data.com.ar/ff7/data/battle/battle.lgp/etbp.png","View Picture")</f>
        <v>View Picture</v>
      </c>
    </row>
    <row r="2569">
      <c r="A2569" s="55"/>
      <c r="B2569" s="119" t="s">
        <v>26761</v>
      </c>
      <c r="C2569" s="120" t="s">
        <v>26763</v>
      </c>
      <c r="D2569" s="33" t="s">
        <v>26452</v>
      </c>
      <c r="E2569" s="51" t="s">
        <v>526</v>
      </c>
      <c r="F2569" s="121" t="s">
        <v>3009</v>
      </c>
      <c r="G2569" s="98" t="str">
        <f>HYPERLINK("http://mirror.ff7data.com.ar/ff7/data/battle/battle.lgp/etbq.png","View Picture")</f>
        <v>View Picture</v>
      </c>
    </row>
    <row r="2570">
      <c r="A2570" s="55"/>
      <c r="B2570" s="119" t="s">
        <v>26772</v>
      </c>
      <c r="C2570" s="120" t="s">
        <v>4601</v>
      </c>
      <c r="D2570" s="33" t="s">
        <v>26452</v>
      </c>
      <c r="E2570" s="51" t="s">
        <v>526</v>
      </c>
      <c r="F2570" s="121" t="s">
        <v>3009</v>
      </c>
      <c r="G2570" s="98" t="str">
        <f>HYPERLINK("http://mirror.ff7data.com.ar/ff7/data/battle/battle.lgp/etbr.png","View Picture")</f>
        <v>View Picture</v>
      </c>
    </row>
    <row r="2571">
      <c r="A2571" s="55"/>
      <c r="B2571" s="119" t="s">
        <v>26781</v>
      </c>
      <c r="C2571" s="120" t="s">
        <v>3445</v>
      </c>
      <c r="D2571" s="33" t="s">
        <v>26452</v>
      </c>
      <c r="E2571" s="51" t="s">
        <v>526</v>
      </c>
      <c r="F2571" s="121" t="s">
        <v>3009</v>
      </c>
      <c r="G2571" s="98" t="str">
        <f>HYPERLINK("http://mirror.ff7data.com.ar/ff7/data/battle/battle.lgp/etbs.png","View Picture")</f>
        <v>View Picture</v>
      </c>
    </row>
    <row r="2572">
      <c r="A2572" s="55"/>
      <c r="B2572" s="119" t="s">
        <v>26789</v>
      </c>
      <c r="C2572" s="120" t="s">
        <v>4841</v>
      </c>
      <c r="D2572" s="33" t="s">
        <v>26452</v>
      </c>
      <c r="E2572" s="51" t="s">
        <v>526</v>
      </c>
      <c r="F2572" s="121" t="s">
        <v>3025</v>
      </c>
      <c r="H2572" s="46" t="s">
        <v>3002</v>
      </c>
    </row>
    <row r="2573">
      <c r="A2573" s="55"/>
      <c r="B2573" s="119" t="s">
        <v>26793</v>
      </c>
      <c r="C2573" s="120" t="s">
        <v>4196</v>
      </c>
      <c r="D2573" s="33" t="s">
        <v>26794</v>
      </c>
      <c r="E2573" s="51" t="s">
        <v>530</v>
      </c>
      <c r="F2573" s="121" t="s">
        <v>2971</v>
      </c>
      <c r="G2573" s="98" t="str">
        <f>HYPERLINK("http://mirror.ff7data.com.ar/ff7/data/battle/battle.lgp/euaa.png","View Picture")</f>
        <v>View Picture</v>
      </c>
    </row>
    <row r="2574">
      <c r="A2574" s="55"/>
      <c r="B2574" s="119" t="s">
        <v>26806</v>
      </c>
      <c r="C2574" s="120" t="s">
        <v>8538</v>
      </c>
      <c r="D2574" s="33" t="s">
        <v>26808</v>
      </c>
      <c r="E2574" s="51" t="s">
        <v>530</v>
      </c>
      <c r="F2574" s="121" t="s">
        <v>2993</v>
      </c>
      <c r="H2574" s="46" t="s">
        <v>3002</v>
      </c>
    </row>
    <row r="2575">
      <c r="A2575" s="55"/>
      <c r="B2575" s="119" t="s">
        <v>26810</v>
      </c>
      <c r="C2575" s="120" t="s">
        <v>4030</v>
      </c>
      <c r="D2575" s="33" t="s">
        <v>26808</v>
      </c>
      <c r="E2575" s="51" t="s">
        <v>530</v>
      </c>
      <c r="F2575" s="121" t="s">
        <v>3009</v>
      </c>
      <c r="G2575" s="98" t="str">
        <f>HYPERLINK("http://mirror.ff7data.com.ar/ff7/data/battle/battle.lgp/euam.png","View Picture")</f>
        <v>View Picture</v>
      </c>
    </row>
    <row r="2576">
      <c r="A2576" s="55"/>
      <c r="B2576" s="119" t="s">
        <v>26819</v>
      </c>
      <c r="C2576" s="120" t="s">
        <v>4030</v>
      </c>
      <c r="D2576" s="33" t="s">
        <v>26808</v>
      </c>
      <c r="E2576" s="51" t="s">
        <v>530</v>
      </c>
      <c r="F2576" s="121" t="s">
        <v>3009</v>
      </c>
      <c r="G2576" s="98" t="str">
        <f>HYPERLINK("http://mirror.ff7data.com.ar/ff7/data/battle/battle.lgp/euao.png","View Picture")</f>
        <v>View Picture</v>
      </c>
    </row>
    <row r="2577">
      <c r="A2577" s="55"/>
      <c r="B2577" s="119" t="s">
        <v>26826</v>
      </c>
      <c r="C2577" s="120" t="s">
        <v>24131</v>
      </c>
      <c r="D2577" s="33" t="s">
        <v>26808</v>
      </c>
      <c r="E2577" s="51" t="s">
        <v>530</v>
      </c>
      <c r="F2577" s="121" t="s">
        <v>3009</v>
      </c>
      <c r="G2577" s="98" t="str">
        <f>HYPERLINK("http://mirror.ff7data.com.ar/ff7/data/battle/battle.lgp/euap.png","View Picture")</f>
        <v>View Picture</v>
      </c>
    </row>
    <row r="2578">
      <c r="A2578" s="55"/>
      <c r="B2578" s="119" t="s">
        <v>26835</v>
      </c>
      <c r="C2578" s="120" t="s">
        <v>24131</v>
      </c>
      <c r="D2578" s="33" t="s">
        <v>26808</v>
      </c>
      <c r="E2578" s="51" t="s">
        <v>530</v>
      </c>
      <c r="F2578" s="121" t="s">
        <v>3009</v>
      </c>
      <c r="G2578" s="98" t="str">
        <f>HYPERLINK("http://mirror.ff7data.com.ar/ff7/data/battle/battle.lgp/euaq.png","View Picture")</f>
        <v>View Picture</v>
      </c>
    </row>
    <row r="2579">
      <c r="A2579" s="55"/>
      <c r="B2579" s="119" t="s">
        <v>26842</v>
      </c>
      <c r="C2579" s="120" t="s">
        <v>4030</v>
      </c>
      <c r="D2579" s="33" t="s">
        <v>26808</v>
      </c>
      <c r="E2579" s="51" t="s">
        <v>530</v>
      </c>
      <c r="F2579" s="121" t="s">
        <v>3009</v>
      </c>
      <c r="G2579" s="98" t="str">
        <f>HYPERLINK("http://mirror.ff7data.com.ar/ff7/data/battle/battle.lgp/euas.png","View Picture")</f>
        <v>View Picture</v>
      </c>
    </row>
    <row r="2580">
      <c r="A2580" s="55"/>
      <c r="B2580" s="119" t="s">
        <v>26852</v>
      </c>
      <c r="C2580" s="120" t="s">
        <v>24131</v>
      </c>
      <c r="D2580" s="33" t="s">
        <v>26808</v>
      </c>
      <c r="E2580" s="51" t="s">
        <v>530</v>
      </c>
      <c r="F2580" s="121" t="s">
        <v>3009</v>
      </c>
      <c r="G2580" s="98" t="str">
        <f>HYPERLINK("http://mirror.ff7data.com.ar/ff7/data/battle/battle.lgp/euat.png","View Picture")</f>
        <v>View Picture</v>
      </c>
    </row>
    <row r="2581">
      <c r="A2581" s="55"/>
      <c r="B2581" s="119" t="s">
        <v>26867</v>
      </c>
      <c r="C2581" s="120" t="s">
        <v>24131</v>
      </c>
      <c r="D2581" s="33" t="s">
        <v>26808</v>
      </c>
      <c r="E2581" s="51" t="s">
        <v>530</v>
      </c>
      <c r="F2581" s="121" t="s">
        <v>3009</v>
      </c>
      <c r="G2581" s="98" t="str">
        <f>HYPERLINK("http://mirror.ff7data.com.ar/ff7/data/battle/battle.lgp/euau.png","View Picture")</f>
        <v>View Picture</v>
      </c>
    </row>
    <row r="2582">
      <c r="A2582" s="55"/>
      <c r="B2582" s="119" t="s">
        <v>26881</v>
      </c>
      <c r="C2582" s="120" t="s">
        <v>4030</v>
      </c>
      <c r="D2582" s="33" t="s">
        <v>26808</v>
      </c>
      <c r="E2582" s="51" t="s">
        <v>530</v>
      </c>
      <c r="F2582" s="121" t="s">
        <v>3009</v>
      </c>
      <c r="G2582" s="98" t="str">
        <f>HYPERLINK("http://mirror.ff7data.com.ar/ff7/data/battle/battle.lgp/euaw.png","View Picture")</f>
        <v>View Picture</v>
      </c>
    </row>
    <row r="2583">
      <c r="A2583" s="55"/>
      <c r="B2583" s="119" t="s">
        <v>26894</v>
      </c>
      <c r="C2583" s="120" t="s">
        <v>24131</v>
      </c>
      <c r="D2583" s="33" t="s">
        <v>26808</v>
      </c>
      <c r="E2583" s="51" t="s">
        <v>530</v>
      </c>
      <c r="F2583" s="121" t="s">
        <v>3009</v>
      </c>
      <c r="G2583" s="98" t="str">
        <f>HYPERLINK("http://mirror.ff7data.com.ar/ff7/data/battle/battle.lgp/euax.png","View Picture")</f>
        <v>View Picture</v>
      </c>
    </row>
    <row r="2584">
      <c r="A2584" s="55"/>
      <c r="B2584" s="119" t="s">
        <v>26904</v>
      </c>
      <c r="C2584" s="120" t="s">
        <v>24131</v>
      </c>
      <c r="D2584" s="33" t="s">
        <v>26808</v>
      </c>
      <c r="E2584" s="51" t="s">
        <v>530</v>
      </c>
      <c r="F2584" s="121" t="s">
        <v>3009</v>
      </c>
      <c r="G2584" s="98" t="str">
        <f>HYPERLINK("http://mirror.ff7data.com.ar/ff7/data/battle/battle.lgp/euay.png","View Picture")</f>
        <v>View Picture</v>
      </c>
    </row>
    <row r="2585">
      <c r="A2585" s="55"/>
      <c r="B2585" s="119" t="s">
        <v>26912</v>
      </c>
      <c r="C2585" s="120" t="s">
        <v>4030</v>
      </c>
      <c r="D2585" s="33" t="s">
        <v>26808</v>
      </c>
      <c r="E2585" s="51" t="s">
        <v>530</v>
      </c>
      <c r="F2585" s="121" t="s">
        <v>3009</v>
      </c>
      <c r="G2585" s="98" t="str">
        <f>HYPERLINK("http://mirror.ff7data.com.ar/ff7/data/battle/battle.lgp/euba.png","View Picture")</f>
        <v>View Picture</v>
      </c>
    </row>
    <row r="2586">
      <c r="A2586" s="55"/>
      <c r="B2586" s="119" t="s">
        <v>26924</v>
      </c>
      <c r="C2586" s="120" t="s">
        <v>24131</v>
      </c>
      <c r="D2586" s="33" t="s">
        <v>26808</v>
      </c>
      <c r="E2586" s="51" t="s">
        <v>530</v>
      </c>
      <c r="F2586" s="121" t="s">
        <v>3009</v>
      </c>
      <c r="G2586" s="98" t="str">
        <f>HYPERLINK("http://mirror.ff7data.com.ar/ff7/data/battle/battle.lgp/eubb.png","View Picture")</f>
        <v>View Picture</v>
      </c>
    </row>
    <row r="2587">
      <c r="A2587" s="55"/>
      <c r="B2587" s="119" t="s">
        <v>26935</v>
      </c>
      <c r="C2587" s="120" t="s">
        <v>24131</v>
      </c>
      <c r="D2587" s="33" t="s">
        <v>26808</v>
      </c>
      <c r="E2587" s="51" t="s">
        <v>530</v>
      </c>
      <c r="F2587" s="121" t="s">
        <v>3009</v>
      </c>
      <c r="G2587" s="98" t="str">
        <f>HYPERLINK("http://mirror.ff7data.com.ar/ff7/data/battle/battle.lgp/eubc.png","View Picture")</f>
        <v>View Picture</v>
      </c>
    </row>
    <row r="2588">
      <c r="A2588" s="55"/>
      <c r="B2588" s="119" t="s">
        <v>26947</v>
      </c>
      <c r="C2588" s="120" t="s">
        <v>4030</v>
      </c>
      <c r="D2588" s="33" t="s">
        <v>26808</v>
      </c>
      <c r="E2588" s="51" t="s">
        <v>530</v>
      </c>
      <c r="F2588" s="121" t="s">
        <v>3009</v>
      </c>
      <c r="G2588" s="98" t="str">
        <f>HYPERLINK("http://mirror.ff7data.com.ar/ff7/data/battle/battle.lgp/eube.png","View Picture")</f>
        <v>View Picture</v>
      </c>
    </row>
    <row r="2589">
      <c r="A2589" s="55"/>
      <c r="B2589" s="119" t="s">
        <v>26957</v>
      </c>
      <c r="C2589" s="120" t="s">
        <v>24131</v>
      </c>
      <c r="D2589" s="33" t="s">
        <v>26808</v>
      </c>
      <c r="E2589" s="51" t="s">
        <v>530</v>
      </c>
      <c r="F2589" s="121" t="s">
        <v>3009</v>
      </c>
      <c r="G2589" s="98" t="str">
        <f>HYPERLINK("http://mirror.ff7data.com.ar/ff7/data/battle/battle.lgp/eubf.png","View Picture")</f>
        <v>View Picture</v>
      </c>
    </row>
    <row r="2590">
      <c r="A2590" s="55"/>
      <c r="B2590" s="119" t="s">
        <v>26964</v>
      </c>
      <c r="C2590" s="120" t="s">
        <v>24131</v>
      </c>
      <c r="D2590" s="33" t="s">
        <v>26808</v>
      </c>
      <c r="E2590" s="51" t="s">
        <v>530</v>
      </c>
      <c r="F2590" s="121" t="s">
        <v>3009</v>
      </c>
      <c r="G2590" s="98" t="str">
        <f>HYPERLINK("http://mirror.ff7data.com.ar/ff7/data/battle/battle.lgp/eubg.png","View Picture")</f>
        <v>View Picture</v>
      </c>
    </row>
    <row r="2591">
      <c r="A2591" s="55"/>
      <c r="B2591" s="119" t="s">
        <v>26971</v>
      </c>
      <c r="C2591" s="120" t="s">
        <v>4030</v>
      </c>
      <c r="D2591" s="33" t="s">
        <v>26808</v>
      </c>
      <c r="E2591" s="51" t="s">
        <v>530</v>
      </c>
      <c r="F2591" s="121" t="s">
        <v>3009</v>
      </c>
      <c r="G2591" s="98" t="str">
        <f>HYPERLINK("http://mirror.ff7data.com.ar/ff7/data/battle/battle.lgp/eubi.png","View Picture")</f>
        <v>View Picture</v>
      </c>
    </row>
    <row r="2592">
      <c r="A2592" s="55"/>
      <c r="B2592" s="119" t="s">
        <v>26984</v>
      </c>
      <c r="C2592" s="120" t="s">
        <v>24131</v>
      </c>
      <c r="D2592" s="33" t="s">
        <v>26808</v>
      </c>
      <c r="E2592" s="51" t="s">
        <v>530</v>
      </c>
      <c r="F2592" s="121" t="s">
        <v>3009</v>
      </c>
      <c r="G2592" s="98" t="str">
        <f>HYPERLINK("http://mirror.ff7data.com.ar/ff7/data/battle/battle.lgp/eubj.png","View Picture")</f>
        <v>View Picture</v>
      </c>
    </row>
    <row r="2593">
      <c r="A2593" s="55"/>
      <c r="B2593" s="119" t="s">
        <v>26996</v>
      </c>
      <c r="C2593" s="120" t="s">
        <v>24131</v>
      </c>
      <c r="D2593" s="33" t="s">
        <v>26808</v>
      </c>
      <c r="E2593" s="51" t="s">
        <v>530</v>
      </c>
      <c r="F2593" s="121" t="s">
        <v>3009</v>
      </c>
      <c r="G2593" s="98" t="str">
        <f>HYPERLINK("http://mirror.ff7data.com.ar/ff7/data/battle/battle.lgp/eubk.png","View Picture")</f>
        <v>View Picture</v>
      </c>
    </row>
    <row r="2594">
      <c r="A2594" s="55"/>
      <c r="B2594" s="119" t="s">
        <v>27009</v>
      </c>
      <c r="C2594" s="120" t="s">
        <v>24131</v>
      </c>
      <c r="D2594" s="33" t="s">
        <v>26808</v>
      </c>
      <c r="E2594" s="51" t="s">
        <v>530</v>
      </c>
      <c r="F2594" s="121" t="s">
        <v>3009</v>
      </c>
      <c r="G2594" s="98" t="str">
        <f>HYPERLINK("http://mirror.ff7data.com.ar/ff7/data/battle/battle.lgp/eubl.png","View Picture")</f>
        <v>View Picture</v>
      </c>
    </row>
    <row r="2595">
      <c r="A2595" s="55"/>
      <c r="B2595" s="119" t="s">
        <v>27014</v>
      </c>
      <c r="C2595" s="120" t="s">
        <v>24131</v>
      </c>
      <c r="D2595" s="33" t="s">
        <v>26808</v>
      </c>
      <c r="E2595" s="51" t="s">
        <v>530</v>
      </c>
      <c r="F2595" s="121" t="s">
        <v>3009</v>
      </c>
      <c r="G2595" s="98" t="str">
        <f>HYPERLINK("http://mirror.ff7data.com.ar/ff7/data/battle/battle.lgp/eubm.png","View Picture")</f>
        <v>View Picture</v>
      </c>
    </row>
    <row r="2596">
      <c r="A2596" s="55"/>
      <c r="B2596" s="119" t="s">
        <v>27015</v>
      </c>
      <c r="C2596" s="120" t="s">
        <v>18144</v>
      </c>
      <c r="D2596" s="33" t="s">
        <v>26808</v>
      </c>
      <c r="E2596" s="51" t="s">
        <v>530</v>
      </c>
      <c r="F2596" s="121" t="s">
        <v>3025</v>
      </c>
      <c r="H2596" s="46" t="s">
        <v>3002</v>
      </c>
    </row>
    <row r="2597">
      <c r="A2597" s="55"/>
      <c r="B2597" s="119" t="s">
        <v>27016</v>
      </c>
      <c r="C2597" s="120" t="s">
        <v>3557</v>
      </c>
      <c r="D2597" s="33" t="s">
        <v>27018</v>
      </c>
      <c r="E2597" s="51" t="s">
        <v>534</v>
      </c>
      <c r="F2597" s="121" t="s">
        <v>2971</v>
      </c>
      <c r="G2597" s="98" t="str">
        <f>HYPERLINK("http://mirror.ff7data.com.ar/ff7/data/battle/battle.lgp/evaa.png","View Picture")</f>
        <v>View Picture</v>
      </c>
    </row>
    <row r="2598">
      <c r="A2598" s="55"/>
      <c r="B2598" s="119" t="s">
        <v>27023</v>
      </c>
      <c r="C2598" s="120" t="s">
        <v>7375</v>
      </c>
      <c r="D2598" s="33" t="s">
        <v>27024</v>
      </c>
      <c r="E2598" s="51" t="s">
        <v>534</v>
      </c>
      <c r="F2598" s="121" t="s">
        <v>2993</v>
      </c>
      <c r="H2598" s="46" t="s">
        <v>3002</v>
      </c>
    </row>
    <row r="2599">
      <c r="A2599" s="55"/>
      <c r="B2599" s="119" t="s">
        <v>27026</v>
      </c>
      <c r="C2599" s="120" t="s">
        <v>4191</v>
      </c>
      <c r="D2599" s="33" t="s">
        <v>27024</v>
      </c>
      <c r="E2599" s="51" t="s">
        <v>534</v>
      </c>
      <c r="F2599" s="121" t="s">
        <v>1348</v>
      </c>
      <c r="G2599" s="98" t="str">
        <f>HYPERLINK("http://mirror.ff7data.com.ar/ff7/data/battle/battle.lgp/evac.png","View Picture")</f>
        <v>View Picture</v>
      </c>
    </row>
    <row r="2600">
      <c r="A2600" s="55"/>
      <c r="B2600" s="119" t="s">
        <v>27039</v>
      </c>
      <c r="C2600" s="120" t="s">
        <v>4191</v>
      </c>
      <c r="D2600" s="33" t="s">
        <v>27024</v>
      </c>
      <c r="E2600" s="51" t="s">
        <v>534</v>
      </c>
      <c r="F2600" s="121" t="s">
        <v>1348</v>
      </c>
      <c r="G2600" s="98" t="str">
        <f>HYPERLINK("http://mirror.ff7data.com.ar/ff7/data/battle/battle.lgp/evad.png","View Picture")</f>
        <v>View Picture</v>
      </c>
    </row>
    <row r="2601">
      <c r="A2601" s="55"/>
      <c r="B2601" s="119" t="s">
        <v>27053</v>
      </c>
      <c r="C2601" s="120" t="s">
        <v>3412</v>
      </c>
      <c r="D2601" s="33" t="s">
        <v>27024</v>
      </c>
      <c r="E2601" s="51" t="s">
        <v>534</v>
      </c>
      <c r="F2601" s="121" t="s">
        <v>3009</v>
      </c>
      <c r="G2601" s="98" t="str">
        <f>HYPERLINK("http://mirror.ff7data.com.ar/ff7/data/battle/battle.lgp/evam.png","View Picture")</f>
        <v>View Picture</v>
      </c>
    </row>
    <row r="2602">
      <c r="A2602" s="55"/>
      <c r="B2602" s="119" t="s">
        <v>27070</v>
      </c>
      <c r="C2602" s="120" t="s">
        <v>3505</v>
      </c>
      <c r="D2602" s="33" t="s">
        <v>27024</v>
      </c>
      <c r="E2602" s="51" t="s">
        <v>534</v>
      </c>
      <c r="F2602" s="121" t="s">
        <v>3009</v>
      </c>
      <c r="G2602" s="98" t="str">
        <f>HYPERLINK("http://mirror.ff7data.com.ar/ff7/data/battle/battle.lgp/evan.png","View Picture")</f>
        <v>View Picture</v>
      </c>
    </row>
    <row r="2603">
      <c r="A2603" s="55"/>
      <c r="B2603" s="119" t="s">
        <v>27080</v>
      </c>
      <c r="C2603" s="120" t="s">
        <v>4357</v>
      </c>
      <c r="D2603" s="33" t="s">
        <v>27024</v>
      </c>
      <c r="E2603" s="51" t="s">
        <v>534</v>
      </c>
      <c r="F2603" s="121" t="s">
        <v>3009</v>
      </c>
      <c r="G2603" s="98" t="str">
        <f>HYPERLINK("http://mirror.ff7data.com.ar/ff7/data/battle/battle.lgp/evao.png","View Picture")</f>
        <v>View Picture</v>
      </c>
    </row>
    <row r="2604">
      <c r="A2604" s="55"/>
      <c r="B2604" s="119" t="s">
        <v>27090</v>
      </c>
      <c r="C2604" s="120" t="s">
        <v>6029</v>
      </c>
      <c r="D2604" s="33" t="s">
        <v>27024</v>
      </c>
      <c r="E2604" s="51" t="s">
        <v>534</v>
      </c>
      <c r="F2604" s="121" t="s">
        <v>3009</v>
      </c>
      <c r="G2604" s="98" t="str">
        <f>HYPERLINK("http://mirror.ff7data.com.ar/ff7/data/battle/battle.lgp/evap.png","View Picture")</f>
        <v>View Picture</v>
      </c>
    </row>
    <row r="2605">
      <c r="A2605" s="55"/>
      <c r="B2605" s="119" t="s">
        <v>27102</v>
      </c>
      <c r="C2605" s="120" t="s">
        <v>6010</v>
      </c>
      <c r="D2605" s="33" t="s">
        <v>27024</v>
      </c>
      <c r="E2605" s="51" t="s">
        <v>534</v>
      </c>
      <c r="F2605" s="121" t="s">
        <v>3009</v>
      </c>
      <c r="G2605" s="98" t="str">
        <f>HYPERLINK("http://mirror.ff7data.com.ar/ff7/data/battle/battle.lgp/evaq.png","View Picture")</f>
        <v>View Picture</v>
      </c>
    </row>
    <row r="2606">
      <c r="A2606" s="55"/>
      <c r="B2606" s="119" t="s">
        <v>27112</v>
      </c>
      <c r="C2606" s="120" t="s">
        <v>16878</v>
      </c>
      <c r="D2606" s="33" t="s">
        <v>27024</v>
      </c>
      <c r="E2606" s="51" t="s">
        <v>534</v>
      </c>
      <c r="F2606" s="121" t="s">
        <v>3009</v>
      </c>
      <c r="G2606" s="98" t="str">
        <f>HYPERLINK("http://mirror.ff7data.com.ar/ff7/data/battle/battle.lgp/evat.png","View Picture")</f>
        <v>View Picture</v>
      </c>
    </row>
    <row r="2607">
      <c r="A2607" s="55"/>
      <c r="B2607" s="119" t="s">
        <v>27122</v>
      </c>
      <c r="C2607" s="120" t="s">
        <v>4732</v>
      </c>
      <c r="D2607" s="33" t="s">
        <v>27024</v>
      </c>
      <c r="E2607" s="51" t="s">
        <v>534</v>
      </c>
      <c r="F2607" s="121" t="s">
        <v>3009</v>
      </c>
      <c r="G2607" s="98" t="str">
        <f>HYPERLINK("http://mirror.ff7data.com.ar/ff7/data/battle/battle.lgp/evav.png","View Picture")</f>
        <v>View Picture</v>
      </c>
    </row>
    <row r="2608">
      <c r="A2608" s="55"/>
      <c r="B2608" s="119" t="s">
        <v>27131</v>
      </c>
      <c r="C2608" s="120" t="s">
        <v>4707</v>
      </c>
      <c r="D2608" s="33" t="s">
        <v>27024</v>
      </c>
      <c r="E2608" s="51" t="s">
        <v>534</v>
      </c>
      <c r="F2608" s="121" t="s">
        <v>3009</v>
      </c>
      <c r="G2608" s="98" t="str">
        <f>HYPERLINK("http://mirror.ff7data.com.ar/ff7/data/battle/battle.lgp/evaw.png","View Picture")</f>
        <v>View Picture</v>
      </c>
    </row>
    <row r="2609">
      <c r="A2609" s="55"/>
      <c r="B2609" s="119" t="s">
        <v>27139</v>
      </c>
      <c r="C2609" s="120" t="s">
        <v>4658</v>
      </c>
      <c r="D2609" s="33" t="s">
        <v>27024</v>
      </c>
      <c r="E2609" s="51" t="s">
        <v>534</v>
      </c>
      <c r="F2609" s="121" t="s">
        <v>3009</v>
      </c>
      <c r="G2609" s="98" t="str">
        <f>HYPERLINK("http://mirror.ff7data.com.ar/ff7/data/battle/battle.lgp/evax.png","View Picture")</f>
        <v>View Picture</v>
      </c>
    </row>
    <row r="2610">
      <c r="A2610" s="55"/>
      <c r="B2610" s="119" t="s">
        <v>27148</v>
      </c>
      <c r="C2610" s="120" t="s">
        <v>4732</v>
      </c>
      <c r="D2610" s="33" t="s">
        <v>27024</v>
      </c>
      <c r="E2610" s="51" t="s">
        <v>534</v>
      </c>
      <c r="F2610" s="121" t="s">
        <v>3009</v>
      </c>
      <c r="G2610" s="98" t="str">
        <f>HYPERLINK("http://mirror.ff7data.com.ar/ff7/data/battle/battle.lgp/evaz.png","View Picture")</f>
        <v>View Picture</v>
      </c>
    </row>
    <row r="2611">
      <c r="A2611" s="55"/>
      <c r="B2611" s="119" t="s">
        <v>27153</v>
      </c>
      <c r="C2611" s="120" t="s">
        <v>4707</v>
      </c>
      <c r="D2611" s="33" t="s">
        <v>27024</v>
      </c>
      <c r="E2611" s="51" t="s">
        <v>534</v>
      </c>
      <c r="F2611" s="121" t="s">
        <v>3009</v>
      </c>
      <c r="G2611" s="98" t="str">
        <f>HYPERLINK("http://mirror.ff7data.com.ar/ff7/data/battle/battle.lgp/evba.png","View Picture")</f>
        <v>View Picture</v>
      </c>
    </row>
    <row r="2612">
      <c r="A2612" s="55"/>
      <c r="B2612" s="119" t="s">
        <v>27159</v>
      </c>
      <c r="C2612" s="120" t="s">
        <v>4658</v>
      </c>
      <c r="D2612" s="33" t="s">
        <v>27024</v>
      </c>
      <c r="E2612" s="51" t="s">
        <v>534</v>
      </c>
      <c r="F2612" s="121" t="s">
        <v>3009</v>
      </c>
      <c r="G2612" s="98" t="str">
        <f>HYPERLINK("http://mirror.ff7data.com.ar/ff7/data/battle/battle.lgp/evbb.png","View Picture")</f>
        <v>View Picture</v>
      </c>
    </row>
    <row r="2613">
      <c r="A2613" s="55"/>
      <c r="B2613" s="119" t="s">
        <v>27167</v>
      </c>
      <c r="C2613" s="120" t="s">
        <v>16878</v>
      </c>
      <c r="D2613" s="33" t="s">
        <v>27024</v>
      </c>
      <c r="E2613" s="51" t="s">
        <v>534</v>
      </c>
      <c r="F2613" s="121" t="s">
        <v>3009</v>
      </c>
      <c r="G2613" s="98" t="str">
        <f>HYPERLINK("http://mirror.ff7data.com.ar/ff7/data/battle/battle.lgp/evbd.png","View Picture")</f>
        <v>View Picture</v>
      </c>
    </row>
    <row r="2614">
      <c r="A2614" s="55"/>
      <c r="B2614" s="119" t="s">
        <v>27172</v>
      </c>
      <c r="C2614" s="120" t="s">
        <v>4476</v>
      </c>
      <c r="D2614" s="33" t="s">
        <v>27024</v>
      </c>
      <c r="E2614" s="51" t="s">
        <v>534</v>
      </c>
      <c r="F2614" s="121" t="s">
        <v>3009</v>
      </c>
      <c r="G2614" s="98" t="str">
        <f>HYPERLINK("http://mirror.ff7data.com.ar/ff7/data/battle/battle.lgp/evbf.png","View Picture")</f>
        <v>View Picture</v>
      </c>
    </row>
    <row r="2615">
      <c r="A2615" s="55"/>
      <c r="B2615" s="119" t="s">
        <v>27177</v>
      </c>
      <c r="C2615" s="120" t="s">
        <v>4372</v>
      </c>
      <c r="D2615" s="33" t="s">
        <v>27024</v>
      </c>
      <c r="E2615" s="51" t="s">
        <v>534</v>
      </c>
      <c r="F2615" s="121" t="s">
        <v>3009</v>
      </c>
      <c r="G2615" s="98" t="str">
        <f>HYPERLINK("http://mirror.ff7data.com.ar/ff7/data/battle/battle.lgp/evbg.png","View Picture")</f>
        <v>View Picture</v>
      </c>
    </row>
    <row r="2616">
      <c r="A2616" s="55"/>
      <c r="B2616" s="119" t="s">
        <v>27183</v>
      </c>
      <c r="C2616" s="120" t="s">
        <v>4264</v>
      </c>
      <c r="D2616" s="33" t="s">
        <v>27024</v>
      </c>
      <c r="E2616" s="51" t="s">
        <v>534</v>
      </c>
      <c r="F2616" s="121" t="s">
        <v>3009</v>
      </c>
      <c r="G2616" s="98" t="str">
        <f>HYPERLINK("http://mirror.ff7data.com.ar/ff7/data/battle/battle.lgp/evbh.png","View Picture")</f>
        <v>View Picture</v>
      </c>
    </row>
    <row r="2617">
      <c r="A2617" s="55"/>
      <c r="B2617" s="119" t="s">
        <v>27191</v>
      </c>
      <c r="C2617" s="120" t="s">
        <v>4476</v>
      </c>
      <c r="D2617" s="33" t="s">
        <v>27024</v>
      </c>
      <c r="E2617" s="51" t="s">
        <v>534</v>
      </c>
      <c r="F2617" s="121" t="s">
        <v>3009</v>
      </c>
      <c r="G2617" s="98" t="str">
        <f>HYPERLINK("http://mirror.ff7data.com.ar/ff7/data/battle/battle.lgp/evbj.png","View Picture")</f>
        <v>View Picture</v>
      </c>
    </row>
    <row r="2618">
      <c r="A2618" s="55"/>
      <c r="B2618" s="119" t="s">
        <v>27200</v>
      </c>
      <c r="C2618" s="120" t="s">
        <v>4372</v>
      </c>
      <c r="D2618" s="33" t="s">
        <v>27024</v>
      </c>
      <c r="E2618" s="51" t="s">
        <v>534</v>
      </c>
      <c r="F2618" s="121" t="s">
        <v>3009</v>
      </c>
      <c r="G2618" s="98" t="str">
        <f>HYPERLINK("http://mirror.ff7data.com.ar/ff7/data/battle/battle.lgp/evbk.png","View Picture")</f>
        <v>View Picture</v>
      </c>
    </row>
    <row r="2619">
      <c r="A2619" s="55"/>
      <c r="B2619" s="119" t="s">
        <v>27207</v>
      </c>
      <c r="C2619" s="120" t="s">
        <v>4264</v>
      </c>
      <c r="D2619" s="33" t="s">
        <v>27024</v>
      </c>
      <c r="E2619" s="51" t="s">
        <v>534</v>
      </c>
      <c r="F2619" s="121" t="s">
        <v>3009</v>
      </c>
      <c r="G2619" s="98" t="str">
        <f>HYPERLINK("http://mirror.ff7data.com.ar/ff7/data/battle/battle.lgp/evbl.png","View Picture")</f>
        <v>View Picture</v>
      </c>
    </row>
    <row r="2620">
      <c r="A2620" s="55"/>
      <c r="B2620" s="119" t="s">
        <v>27216</v>
      </c>
      <c r="C2620" s="120" t="s">
        <v>4264</v>
      </c>
      <c r="D2620" s="33" t="s">
        <v>27024</v>
      </c>
      <c r="E2620" s="51" t="s">
        <v>534</v>
      </c>
      <c r="F2620" s="121" t="s">
        <v>3009</v>
      </c>
      <c r="G2620" s="98" t="str">
        <f>HYPERLINK("http://mirror.ff7data.com.ar/ff7/data/battle/battle.lgp/evbn.png","View Picture")</f>
        <v>View Picture</v>
      </c>
    </row>
    <row r="2621">
      <c r="A2621" s="55"/>
      <c r="B2621" s="119" t="s">
        <v>27227</v>
      </c>
      <c r="C2621" s="120" t="s">
        <v>4185</v>
      </c>
      <c r="D2621" s="33" t="s">
        <v>27024</v>
      </c>
      <c r="E2621" s="51" t="s">
        <v>534</v>
      </c>
      <c r="F2621" s="121" t="s">
        <v>3009</v>
      </c>
      <c r="G2621" s="98" t="str">
        <f>HYPERLINK("http://mirror.ff7data.com.ar/ff7/data/battle/battle.lgp/evbp.png","View Picture")</f>
        <v>View Picture</v>
      </c>
    </row>
    <row r="2622">
      <c r="A2622" s="55"/>
      <c r="B2622" s="119" t="s">
        <v>27242</v>
      </c>
      <c r="C2622" s="120" t="s">
        <v>4185</v>
      </c>
      <c r="D2622" s="33" t="s">
        <v>27024</v>
      </c>
      <c r="E2622" s="51" t="s">
        <v>534</v>
      </c>
      <c r="F2622" s="121" t="s">
        <v>3009</v>
      </c>
      <c r="G2622" s="98" t="str">
        <f>HYPERLINK("http://mirror.ff7data.com.ar/ff7/data/battle/battle.lgp/evbr.png","View Picture")</f>
        <v>View Picture</v>
      </c>
    </row>
    <row r="2623">
      <c r="A2623" s="55"/>
      <c r="B2623" s="119" t="s">
        <v>27254</v>
      </c>
      <c r="C2623" s="120" t="s">
        <v>4185</v>
      </c>
      <c r="D2623" s="33" t="s">
        <v>27024</v>
      </c>
      <c r="E2623" s="51" t="s">
        <v>534</v>
      </c>
      <c r="F2623" s="121" t="s">
        <v>3009</v>
      </c>
      <c r="G2623" s="98" t="str">
        <f>HYPERLINK("http://mirror.ff7data.com.ar/ff7/data/battle/battle.lgp/evbs.png","View Picture")</f>
        <v>View Picture</v>
      </c>
    </row>
    <row r="2624">
      <c r="A2624" s="55"/>
      <c r="B2624" s="119" t="s">
        <v>27263</v>
      </c>
      <c r="C2624" s="120" t="s">
        <v>4264</v>
      </c>
      <c r="D2624" s="33" t="s">
        <v>27024</v>
      </c>
      <c r="E2624" s="51" t="s">
        <v>534</v>
      </c>
      <c r="F2624" s="121" t="s">
        <v>3009</v>
      </c>
      <c r="G2624" s="98" t="str">
        <f>HYPERLINK("http://mirror.ff7data.com.ar/ff7/data/battle/battle.lgp/evbt.png","View Picture")</f>
        <v>View Picture</v>
      </c>
    </row>
    <row r="2625">
      <c r="A2625" s="55"/>
      <c r="B2625" s="119" t="s">
        <v>27273</v>
      </c>
      <c r="C2625" s="120" t="s">
        <v>4185</v>
      </c>
      <c r="D2625" s="33" t="s">
        <v>27024</v>
      </c>
      <c r="E2625" s="51" t="s">
        <v>534</v>
      </c>
      <c r="F2625" s="121" t="s">
        <v>3009</v>
      </c>
      <c r="G2625" s="98" t="str">
        <f>HYPERLINK("http://mirror.ff7data.com.ar/ff7/data/battle/battle.lgp/evbv.png","View Picture")</f>
        <v>View Picture</v>
      </c>
    </row>
    <row r="2626">
      <c r="A2626" s="55"/>
      <c r="B2626" s="119" t="s">
        <v>27282</v>
      </c>
      <c r="C2626" s="120" t="s">
        <v>4185</v>
      </c>
      <c r="D2626" s="33" t="s">
        <v>27024</v>
      </c>
      <c r="E2626" s="51" t="s">
        <v>534</v>
      </c>
      <c r="F2626" s="121" t="s">
        <v>3009</v>
      </c>
      <c r="G2626" s="98" t="str">
        <f>HYPERLINK("http://mirror.ff7data.com.ar/ff7/data/battle/battle.lgp/evbw.png","View Picture")</f>
        <v>View Picture</v>
      </c>
    </row>
    <row r="2627">
      <c r="A2627" s="55"/>
      <c r="B2627" s="119" t="s">
        <v>27291</v>
      </c>
      <c r="C2627" s="120" t="s">
        <v>4264</v>
      </c>
      <c r="D2627" s="33" t="s">
        <v>27024</v>
      </c>
      <c r="E2627" s="51" t="s">
        <v>534</v>
      </c>
      <c r="F2627" s="121" t="s">
        <v>3009</v>
      </c>
      <c r="G2627" s="98" t="str">
        <f>HYPERLINK("http://mirror.ff7data.com.ar/ff7/data/battle/battle.lgp/evbx.png","View Picture")</f>
        <v>View Picture</v>
      </c>
    </row>
    <row r="2628">
      <c r="A2628" s="55"/>
      <c r="B2628" s="119" t="s">
        <v>27301</v>
      </c>
      <c r="C2628" s="120" t="s">
        <v>4167</v>
      </c>
      <c r="D2628" s="33" t="s">
        <v>27024</v>
      </c>
      <c r="E2628" s="51" t="s">
        <v>534</v>
      </c>
      <c r="F2628" s="121" t="s">
        <v>3025</v>
      </c>
      <c r="H2628" s="46" t="s">
        <v>3002</v>
      </c>
    </row>
    <row r="2629">
      <c r="A2629" s="55"/>
      <c r="B2629" s="119" t="s">
        <v>27303</v>
      </c>
      <c r="C2629" s="120" t="s">
        <v>2989</v>
      </c>
      <c r="D2629" s="33" t="s">
        <v>27305</v>
      </c>
      <c r="E2629" s="51" t="s">
        <v>537</v>
      </c>
      <c r="F2629" s="121" t="s">
        <v>2971</v>
      </c>
      <c r="G2629" s="98" t="str">
        <f>HYPERLINK("http://mirror.ff7data.com.ar/ff7/data/battle/battle.lgp/ewaa.png","View Picture")</f>
        <v>View Picture</v>
      </c>
    </row>
    <row r="2630">
      <c r="A2630" s="55"/>
      <c r="B2630" s="119" t="s">
        <v>27311</v>
      </c>
      <c r="C2630" s="120" t="s">
        <v>12616</v>
      </c>
      <c r="D2630" s="33" t="s">
        <v>27313</v>
      </c>
      <c r="E2630" s="51" t="s">
        <v>537</v>
      </c>
      <c r="F2630" s="121" t="s">
        <v>2993</v>
      </c>
      <c r="H2630" s="46" t="s">
        <v>3002</v>
      </c>
    </row>
    <row r="2631">
      <c r="A2631" s="55"/>
      <c r="B2631" s="119" t="s">
        <v>27316</v>
      </c>
      <c r="C2631" s="120" t="s">
        <v>3573</v>
      </c>
      <c r="D2631" s="33" t="s">
        <v>27313</v>
      </c>
      <c r="E2631" s="51" t="s">
        <v>537</v>
      </c>
      <c r="F2631" s="121" t="s">
        <v>3009</v>
      </c>
      <c r="G2631" s="98" t="str">
        <f>HYPERLINK("http://mirror.ff7data.com.ar/ff7/data/battle/battle.lgp/ewam.png","View Picture")</f>
        <v>View Picture</v>
      </c>
    </row>
    <row r="2632">
      <c r="A2632" s="55"/>
      <c r="B2632" s="119" t="s">
        <v>27326</v>
      </c>
      <c r="C2632" s="120" t="s">
        <v>7165</v>
      </c>
      <c r="D2632" s="33" t="s">
        <v>27313</v>
      </c>
      <c r="E2632" s="51" t="s">
        <v>537</v>
      </c>
      <c r="F2632" s="121" t="s">
        <v>3009</v>
      </c>
      <c r="G2632" s="98" t="str">
        <f>HYPERLINK("http://mirror.ff7data.com.ar/ff7/data/battle/battle.lgp/ewao.png","View Picture")</f>
        <v>View Picture</v>
      </c>
    </row>
    <row r="2633">
      <c r="A2633" s="55"/>
      <c r="B2633" s="119" t="s">
        <v>27335</v>
      </c>
      <c r="C2633" s="120" t="s">
        <v>4357</v>
      </c>
      <c r="D2633" s="33" t="s">
        <v>27313</v>
      </c>
      <c r="E2633" s="51" t="s">
        <v>537</v>
      </c>
      <c r="F2633" s="121" t="s">
        <v>3009</v>
      </c>
      <c r="G2633" s="98" t="str">
        <f>HYPERLINK("http://mirror.ff7data.com.ar/ff7/data/battle/battle.lgp/ewaq.png","View Picture")</f>
        <v>View Picture</v>
      </c>
    </row>
    <row r="2634">
      <c r="A2634" s="55"/>
      <c r="B2634" s="119" t="s">
        <v>27344</v>
      </c>
      <c r="C2634" s="120" t="s">
        <v>4357</v>
      </c>
      <c r="D2634" s="33" t="s">
        <v>27313</v>
      </c>
      <c r="E2634" s="51" t="s">
        <v>537</v>
      </c>
      <c r="F2634" s="121" t="s">
        <v>3009</v>
      </c>
      <c r="G2634" s="98" t="str">
        <f>HYPERLINK("http://mirror.ff7data.com.ar/ff7/data/battle/battle.lgp/ewas.png","View Picture")</f>
        <v>View Picture</v>
      </c>
    </row>
    <row r="2635">
      <c r="A2635" s="55"/>
      <c r="B2635" s="119" t="s">
        <v>27353</v>
      </c>
      <c r="C2635" s="120" t="s">
        <v>4357</v>
      </c>
      <c r="D2635" s="33" t="s">
        <v>27313</v>
      </c>
      <c r="E2635" s="51" t="s">
        <v>537</v>
      </c>
      <c r="F2635" s="121" t="s">
        <v>3009</v>
      </c>
      <c r="G2635" s="98" t="str">
        <f>HYPERLINK("http://mirror.ff7data.com.ar/ff7/data/battle/battle.lgp/ewau.png","View Picture")</f>
        <v>View Picture</v>
      </c>
    </row>
    <row r="2636">
      <c r="A2636" s="55"/>
      <c r="B2636" s="119" t="s">
        <v>27362</v>
      </c>
      <c r="C2636" s="120" t="s">
        <v>3355</v>
      </c>
      <c r="D2636" s="33" t="s">
        <v>27313</v>
      </c>
      <c r="E2636" s="51" t="s">
        <v>537</v>
      </c>
      <c r="F2636" s="121" t="s">
        <v>3009</v>
      </c>
      <c r="G2636" s="98" t="str">
        <f>HYPERLINK("http://mirror.ff7data.com.ar/ff7/data/battle/battle.lgp/ewav.png","View Picture")</f>
        <v>View Picture</v>
      </c>
    </row>
    <row r="2637">
      <c r="A2637" s="55"/>
      <c r="B2637" s="119" t="s">
        <v>27372</v>
      </c>
      <c r="C2637" s="120" t="s">
        <v>3573</v>
      </c>
      <c r="D2637" s="33" t="s">
        <v>27313</v>
      </c>
      <c r="E2637" s="51" t="s">
        <v>537</v>
      </c>
      <c r="F2637" s="121" t="s">
        <v>3009</v>
      </c>
      <c r="G2637" s="98" t="str">
        <f>HYPERLINK("http://mirror.ff7data.com.ar/ff7/data/battle/battle.lgp/ewaw.png","View Picture")</f>
        <v>View Picture</v>
      </c>
    </row>
    <row r="2638">
      <c r="A2638" s="55"/>
      <c r="B2638" s="119" t="s">
        <v>27381</v>
      </c>
      <c r="C2638" s="120" t="s">
        <v>4185</v>
      </c>
      <c r="D2638" s="33" t="s">
        <v>27313</v>
      </c>
      <c r="E2638" s="51" t="s">
        <v>537</v>
      </c>
      <c r="F2638" s="121" t="s">
        <v>3009</v>
      </c>
      <c r="G2638" s="98" t="str">
        <f>HYPERLINK("http://mirror.ff7data.com.ar/ff7/data/battle/battle.lgp/ewax.png","View Picture")</f>
        <v>View Picture</v>
      </c>
    </row>
    <row r="2639">
      <c r="A2639" s="55"/>
      <c r="B2639" s="119" t="s">
        <v>27388</v>
      </c>
      <c r="C2639" s="120" t="s">
        <v>3318</v>
      </c>
      <c r="D2639" s="33" t="s">
        <v>27313</v>
      </c>
      <c r="E2639" s="51" t="s">
        <v>537</v>
      </c>
      <c r="F2639" s="121" t="s">
        <v>3009</v>
      </c>
      <c r="G2639" s="98" t="str">
        <f>HYPERLINK("http://mirror.ff7data.com.ar/ff7/data/battle/battle.lgp/eway.png","View Picture")</f>
        <v>View Picture</v>
      </c>
    </row>
    <row r="2640">
      <c r="A2640" s="55"/>
      <c r="B2640" s="119" t="s">
        <v>27403</v>
      </c>
      <c r="C2640" s="120" t="s">
        <v>4185</v>
      </c>
      <c r="D2640" s="33" t="s">
        <v>27313</v>
      </c>
      <c r="E2640" s="51" t="s">
        <v>537</v>
      </c>
      <c r="F2640" s="121" t="s">
        <v>3009</v>
      </c>
      <c r="G2640" s="98" t="str">
        <f>HYPERLINK("http://mirror.ff7data.com.ar/ff7/data/battle/battle.lgp/ewaz.png","View Picture")</f>
        <v>View Picture</v>
      </c>
    </row>
    <row r="2641">
      <c r="A2641" s="55"/>
      <c r="B2641" s="119" t="s">
        <v>27416</v>
      </c>
      <c r="C2641" s="120" t="s">
        <v>3749</v>
      </c>
      <c r="D2641" s="33" t="s">
        <v>27313</v>
      </c>
      <c r="E2641" s="51" t="s">
        <v>537</v>
      </c>
      <c r="F2641" s="121" t="s">
        <v>3009</v>
      </c>
      <c r="G2641" s="98" t="str">
        <f>HYPERLINK("http://mirror.ff7data.com.ar/ff7/data/battle/battle.lgp/ewbc.png","View Picture")</f>
        <v>View Picture</v>
      </c>
    </row>
    <row r="2642">
      <c r="A2642" s="55"/>
      <c r="B2642" s="119" t="s">
        <v>27431</v>
      </c>
      <c r="C2642" s="120" t="s">
        <v>3749</v>
      </c>
      <c r="D2642" s="33" t="s">
        <v>27313</v>
      </c>
      <c r="E2642" s="51" t="s">
        <v>537</v>
      </c>
      <c r="F2642" s="121" t="s">
        <v>3009</v>
      </c>
      <c r="G2642" s="98" t="str">
        <f>HYPERLINK("http://mirror.ff7data.com.ar/ff7/data/battle/battle.lgp/ewbd.png","View Picture")</f>
        <v>View Picture</v>
      </c>
    </row>
    <row r="2643">
      <c r="A2643" s="55"/>
      <c r="B2643" s="119" t="s">
        <v>27441</v>
      </c>
      <c r="C2643" s="120" t="s">
        <v>3465</v>
      </c>
      <c r="D2643" s="33" t="s">
        <v>27313</v>
      </c>
      <c r="E2643" s="51" t="s">
        <v>537</v>
      </c>
      <c r="F2643" s="121" t="s">
        <v>3009</v>
      </c>
      <c r="G2643" s="98" t="str">
        <f>HYPERLINK("http://mirror.ff7data.com.ar/ff7/data/battle/battle.lgp/ewbe.png","View Picture")</f>
        <v>View Picture</v>
      </c>
    </row>
    <row r="2644">
      <c r="A2644" s="55"/>
      <c r="B2644" s="119" t="s">
        <v>27453</v>
      </c>
      <c r="C2644" s="120" t="s">
        <v>3749</v>
      </c>
      <c r="D2644" s="33" t="s">
        <v>27313</v>
      </c>
      <c r="E2644" s="51" t="s">
        <v>537</v>
      </c>
      <c r="F2644" s="121" t="s">
        <v>3009</v>
      </c>
      <c r="G2644" s="98" t="str">
        <f>HYPERLINK("http://mirror.ff7data.com.ar/ff7/data/battle/battle.lgp/ewbh.png","View Picture")</f>
        <v>View Picture</v>
      </c>
    </row>
    <row r="2645">
      <c r="A2645" s="55"/>
      <c r="B2645" s="119" t="s">
        <v>27465</v>
      </c>
      <c r="C2645" s="120" t="s">
        <v>10078</v>
      </c>
      <c r="D2645" s="33" t="s">
        <v>27313</v>
      </c>
      <c r="E2645" s="51" t="s">
        <v>537</v>
      </c>
      <c r="F2645" s="121" t="s">
        <v>3009</v>
      </c>
      <c r="G2645" s="98" t="str">
        <f>HYPERLINK("http://mirror.ff7data.com.ar/ff7/data/battle/battle.lgp/ewbi.png","View Picture")</f>
        <v>View Picture</v>
      </c>
    </row>
    <row r="2646">
      <c r="A2646" s="55"/>
      <c r="B2646" s="119" t="s">
        <v>27480</v>
      </c>
      <c r="C2646" s="120" t="s">
        <v>3434</v>
      </c>
      <c r="D2646" s="33" t="s">
        <v>27313</v>
      </c>
      <c r="E2646" s="51" t="s">
        <v>537</v>
      </c>
      <c r="F2646" s="121" t="s">
        <v>3009</v>
      </c>
      <c r="G2646" s="98" t="str">
        <f>HYPERLINK("http://mirror.ff7data.com.ar/ff7/data/battle/battle.lgp/ewbj.png","View Picture")</f>
        <v>View Picture</v>
      </c>
    </row>
    <row r="2647">
      <c r="A2647" s="55"/>
      <c r="B2647" s="119" t="s">
        <v>27492</v>
      </c>
      <c r="C2647" s="120" t="s">
        <v>8649</v>
      </c>
      <c r="D2647" s="33" t="s">
        <v>27313</v>
      </c>
      <c r="E2647" s="51" t="s">
        <v>537</v>
      </c>
      <c r="F2647" s="121" t="s">
        <v>3009</v>
      </c>
      <c r="G2647" s="98" t="str">
        <f>HYPERLINK("http://mirror.ff7data.com.ar/ff7/data/battle/battle.lgp/ewbl.png","View Picture")</f>
        <v>View Picture</v>
      </c>
    </row>
    <row r="2648">
      <c r="A2648" s="55"/>
      <c r="B2648" s="119" t="s">
        <v>27500</v>
      </c>
      <c r="C2648" s="120" t="s">
        <v>8649</v>
      </c>
      <c r="D2648" s="33" t="s">
        <v>27313</v>
      </c>
      <c r="E2648" s="51" t="s">
        <v>537</v>
      </c>
      <c r="F2648" s="121" t="s">
        <v>3009</v>
      </c>
      <c r="G2648" s="98" t="str">
        <f>HYPERLINK("http://mirror.ff7data.com.ar/ff7/data/battle/battle.lgp/ewbn.png","View Picture")</f>
        <v>View Picture</v>
      </c>
    </row>
    <row r="2649">
      <c r="A2649" s="55"/>
      <c r="B2649" s="119" t="s">
        <v>27508</v>
      </c>
      <c r="C2649" s="120" t="s">
        <v>4476</v>
      </c>
      <c r="D2649" s="33" t="s">
        <v>27313</v>
      </c>
      <c r="E2649" s="51" t="s">
        <v>537</v>
      </c>
      <c r="F2649" s="121" t="s">
        <v>3009</v>
      </c>
      <c r="G2649" s="98" t="str">
        <f>HYPERLINK("http://mirror.ff7data.com.ar/ff7/data/battle/battle.lgp/ewbo.png","View Picture")</f>
        <v>View Picture</v>
      </c>
    </row>
    <row r="2650">
      <c r="A2650" s="55"/>
      <c r="B2650" s="119" t="s">
        <v>27518</v>
      </c>
      <c r="C2650" s="120" t="s">
        <v>4732</v>
      </c>
      <c r="D2650" s="33" t="s">
        <v>27313</v>
      </c>
      <c r="E2650" s="51" t="s">
        <v>537</v>
      </c>
      <c r="F2650" s="121" t="s">
        <v>3009</v>
      </c>
      <c r="G2650" s="98" t="str">
        <f>HYPERLINK("http://mirror.ff7data.com.ar/ff7/data/battle/battle.lgp/ewbp.png","View Picture")</f>
        <v>View Picture</v>
      </c>
    </row>
    <row r="2651">
      <c r="A2651" s="55"/>
      <c r="B2651" s="119" t="s">
        <v>27528</v>
      </c>
      <c r="C2651" s="120" t="s">
        <v>5967</v>
      </c>
      <c r="D2651" s="33" t="s">
        <v>27313</v>
      </c>
      <c r="E2651" s="51" t="s">
        <v>537</v>
      </c>
      <c r="F2651" s="121" t="s">
        <v>3025</v>
      </c>
      <c r="H2651" s="46" t="s">
        <v>3002</v>
      </c>
    </row>
    <row r="2652" ht="22.5" customHeight="1">
      <c r="A2652" s="82"/>
      <c r="B2652" s="119" t="s">
        <v>27532</v>
      </c>
      <c r="C2652" s="120" t="s">
        <v>4846</v>
      </c>
      <c r="D2652" s="33" t="s">
        <v>10926</v>
      </c>
      <c r="E2652" s="51" t="s">
        <v>540</v>
      </c>
      <c r="F2652" s="121" t="s">
        <v>2971</v>
      </c>
      <c r="G2652" s="98" t="str">
        <f>HYPERLINK("http://mirror.ff7data.com.ar/ff7/data/battle/battle.lgp/exaa.png","View Picture")</f>
        <v>View Picture</v>
      </c>
      <c r="H2652" s="46" t="s">
        <v>27544</v>
      </c>
    </row>
    <row r="2653">
      <c r="A2653" s="55"/>
      <c r="B2653" s="119" t="s">
        <v>27546</v>
      </c>
      <c r="C2653" s="120" t="s">
        <v>3991</v>
      </c>
      <c r="D2653" s="33" t="s">
        <v>10938</v>
      </c>
      <c r="E2653" s="51" t="s">
        <v>540</v>
      </c>
      <c r="F2653" s="121" t="s">
        <v>2993</v>
      </c>
      <c r="H2653" s="46" t="s">
        <v>3002</v>
      </c>
    </row>
    <row r="2654">
      <c r="A2654" s="40"/>
      <c r="B2654" s="119" t="s">
        <v>27551</v>
      </c>
      <c r="C2654" s="120" t="s">
        <v>4191</v>
      </c>
      <c r="D2654" s="33" t="s">
        <v>10945</v>
      </c>
      <c r="E2654" s="51" t="s">
        <v>540</v>
      </c>
      <c r="F2654" s="121" t="s">
        <v>1348</v>
      </c>
      <c r="G2654" s="98" t="str">
        <f>HYPERLINK("http://mirror.ff7data.com.ar/ff7/data/battle/battle.lgp/exac.png","View Picture")</f>
        <v>View Picture</v>
      </c>
    </row>
    <row r="2655">
      <c r="A2655" s="82"/>
      <c r="B2655" s="119" t="s">
        <v>27567</v>
      </c>
      <c r="C2655" s="120" t="s">
        <v>10955</v>
      </c>
      <c r="D2655" s="33" t="s">
        <v>10957</v>
      </c>
      <c r="E2655" s="51" t="s">
        <v>540</v>
      </c>
      <c r="F2655" s="121" t="s">
        <v>3009</v>
      </c>
      <c r="G2655" s="98" t="str">
        <f>HYPERLINK("http://mirror.ff7data.com.ar/ff7/data/battle/battle.lgp/exam.png","View Picture")</f>
        <v>View Picture</v>
      </c>
    </row>
    <row r="2656">
      <c r="A2656" s="82"/>
      <c r="B2656" s="119" t="s">
        <v>27576</v>
      </c>
      <c r="C2656" s="120" t="s">
        <v>6018</v>
      </c>
      <c r="D2656" s="33" t="s">
        <v>10970</v>
      </c>
      <c r="E2656" s="51" t="s">
        <v>540</v>
      </c>
      <c r="F2656" s="121" t="s">
        <v>3009</v>
      </c>
      <c r="G2656" s="98" t="str">
        <f>HYPERLINK("http://mirror.ff7data.com.ar/ff7/data/battle/battle.lgp/exan.png","View Picture")</f>
        <v>View Picture</v>
      </c>
    </row>
    <row r="2657">
      <c r="A2657" s="21"/>
      <c r="B2657" s="119" t="s">
        <v>27585</v>
      </c>
      <c r="C2657" s="120" t="s">
        <v>7148</v>
      </c>
      <c r="D2657" s="33" t="s">
        <v>10983</v>
      </c>
      <c r="E2657" s="51" t="s">
        <v>540</v>
      </c>
      <c r="F2657" s="121" t="s">
        <v>3009</v>
      </c>
      <c r="G2657" s="98" t="str">
        <f>HYPERLINK("http://mirror.ff7data.com.ar/ff7/data/battle/battle.lgp/exap.png","View Picture")</f>
        <v>View Picture</v>
      </c>
    </row>
    <row r="2658">
      <c r="A2658" s="21"/>
      <c r="B2658" s="119" t="s">
        <v>27593</v>
      </c>
      <c r="C2658" s="120" t="s">
        <v>7148</v>
      </c>
      <c r="D2658" s="33" t="s">
        <v>10983</v>
      </c>
      <c r="E2658" s="51" t="s">
        <v>540</v>
      </c>
      <c r="F2658" s="121" t="s">
        <v>3009</v>
      </c>
      <c r="G2658" s="98" t="str">
        <f>HYPERLINK("http://mirror.ff7data.com.ar/ff7/data/battle/battle.lgp/exaq.png","View Picture")</f>
        <v>View Picture</v>
      </c>
    </row>
    <row r="2659">
      <c r="A2659" s="21"/>
      <c r="B2659" s="119" t="s">
        <v>27602</v>
      </c>
      <c r="C2659" s="120" t="s">
        <v>3007</v>
      </c>
      <c r="D2659" s="33" t="s">
        <v>10983</v>
      </c>
      <c r="E2659" s="51" t="s">
        <v>540</v>
      </c>
      <c r="F2659" s="121" t="s">
        <v>3009</v>
      </c>
      <c r="G2659" s="98" t="str">
        <f>HYPERLINK("http://mirror.ff7data.com.ar/ff7/data/battle/battle.lgp/exar.png","View Picture")</f>
        <v>View Picture</v>
      </c>
    </row>
    <row r="2660">
      <c r="A2660" s="82"/>
      <c r="B2660" s="119" t="s">
        <v>27614</v>
      </c>
      <c r="C2660" s="120" t="s">
        <v>7301</v>
      </c>
      <c r="D2660" s="33" t="s">
        <v>11011</v>
      </c>
      <c r="E2660" s="51" t="s">
        <v>540</v>
      </c>
      <c r="F2660" s="121" t="s">
        <v>3009</v>
      </c>
      <c r="G2660" s="98" t="str">
        <f>HYPERLINK("http://mirror.ff7data.com.ar/ff7/data/battle/battle.lgp/exas.png","View Picture")</f>
        <v>View Picture</v>
      </c>
    </row>
    <row r="2661">
      <c r="A2661" s="21"/>
      <c r="B2661" s="119" t="s">
        <v>27626</v>
      </c>
      <c r="C2661" s="120" t="s">
        <v>4185</v>
      </c>
      <c r="D2661" s="33" t="s">
        <v>11022</v>
      </c>
      <c r="E2661" s="51" t="s">
        <v>540</v>
      </c>
      <c r="F2661" s="121" t="s">
        <v>3009</v>
      </c>
      <c r="G2661" s="98" t="str">
        <f>HYPERLINK("http://mirror.ff7data.com.ar/ff7/data/battle/battle.lgp/exau.png","View Picture")</f>
        <v>View Picture</v>
      </c>
    </row>
    <row r="2662">
      <c r="A2662" s="21"/>
      <c r="B2662" s="119" t="s">
        <v>27635</v>
      </c>
      <c r="C2662" s="120" t="s">
        <v>4057</v>
      </c>
      <c r="D2662" s="33" t="s">
        <v>11034</v>
      </c>
      <c r="E2662" s="51" t="s">
        <v>540</v>
      </c>
      <c r="F2662" s="121" t="s">
        <v>3009</v>
      </c>
      <c r="G2662" s="98" t="str">
        <f>HYPERLINK("http://mirror.ff7data.com.ar/ff7/data/battle/battle.lgp/exav.png","View Picture")</f>
        <v>View Picture</v>
      </c>
    </row>
    <row r="2663">
      <c r="A2663" s="21"/>
      <c r="B2663" s="119" t="s">
        <v>27646</v>
      </c>
      <c r="C2663" s="120" t="s">
        <v>4185</v>
      </c>
      <c r="D2663" s="33" t="s">
        <v>11042</v>
      </c>
      <c r="E2663" s="51" t="s">
        <v>540</v>
      </c>
      <c r="F2663" s="121" t="s">
        <v>3009</v>
      </c>
      <c r="G2663" s="98" t="str">
        <f>HYPERLINK("http://mirror.ff7data.com.ar/ff7/data/battle/battle.lgp/exaw.png","View Picture")</f>
        <v>View Picture</v>
      </c>
    </row>
    <row r="2664">
      <c r="A2664" s="21"/>
      <c r="B2664" s="119" t="s">
        <v>27659</v>
      </c>
      <c r="C2664" s="120" t="s">
        <v>4732</v>
      </c>
      <c r="D2664" s="33" t="s">
        <v>11054</v>
      </c>
      <c r="E2664" s="51" t="s">
        <v>540</v>
      </c>
      <c r="F2664" s="121" t="s">
        <v>3009</v>
      </c>
      <c r="G2664" s="98" t="str">
        <f>HYPERLINK("http://mirror.ff7data.com.ar/ff7/data/battle/battle.lgp/exay.png","View Picture")</f>
        <v>View Picture</v>
      </c>
    </row>
    <row r="2665">
      <c r="A2665" s="21"/>
      <c r="B2665" s="119" t="s">
        <v>27671</v>
      </c>
      <c r="C2665" s="120" t="s">
        <v>4185</v>
      </c>
      <c r="D2665" s="33" t="s">
        <v>11022</v>
      </c>
      <c r="E2665" s="51" t="s">
        <v>540</v>
      </c>
      <c r="F2665" s="121" t="s">
        <v>3009</v>
      </c>
      <c r="G2665" s="98" t="str">
        <f>HYPERLINK("http://mirror.ff7data.com.ar/ff7/data/battle/battle.lgp/exba.png","View Picture")</f>
        <v>View Picture</v>
      </c>
    </row>
    <row r="2666">
      <c r="A2666" s="21"/>
      <c r="B2666" s="119" t="s">
        <v>27683</v>
      </c>
      <c r="C2666" s="120" t="s">
        <v>4719</v>
      </c>
      <c r="D2666" s="33" t="s">
        <v>11034</v>
      </c>
      <c r="E2666" s="51" t="s">
        <v>540</v>
      </c>
      <c r="F2666" s="121" t="s">
        <v>3009</v>
      </c>
      <c r="G2666" s="98" t="str">
        <f>HYPERLINK("http://mirror.ff7data.com.ar/ff7/data/battle/battle.lgp/exbb.png","View Picture")</f>
        <v>View Picture</v>
      </c>
    </row>
    <row r="2667">
      <c r="A2667" s="21"/>
      <c r="B2667" s="119" t="s">
        <v>27694</v>
      </c>
      <c r="C2667" s="120" t="s">
        <v>4185</v>
      </c>
      <c r="D2667" s="33" t="s">
        <v>11042</v>
      </c>
      <c r="E2667" s="51" t="s">
        <v>540</v>
      </c>
      <c r="F2667" s="121" t="s">
        <v>3009</v>
      </c>
      <c r="G2667" s="98" t="str">
        <f>HYPERLINK("http://mirror.ff7data.com.ar/ff7/data/battle/battle.lgp/exbc.png","View Picture")</f>
        <v>View Picture</v>
      </c>
    </row>
    <row r="2668">
      <c r="A2668" s="21"/>
      <c r="B2668" s="119" t="s">
        <v>27700</v>
      </c>
      <c r="C2668" s="120" t="s">
        <v>4732</v>
      </c>
      <c r="D2668" s="33" t="s">
        <v>11054</v>
      </c>
      <c r="E2668" s="51" t="s">
        <v>540</v>
      </c>
      <c r="F2668" s="121" t="s">
        <v>3009</v>
      </c>
      <c r="G2668" s="98" t="str">
        <f>HYPERLINK("http://mirror.ff7data.com.ar/ff7/data/battle/battle.lgp/exbe.png","View Picture")</f>
        <v>View Picture</v>
      </c>
    </row>
    <row r="2669">
      <c r="A2669" s="21"/>
      <c r="B2669" s="119" t="s">
        <v>27714</v>
      </c>
      <c r="C2669" s="120" t="s">
        <v>4476</v>
      </c>
      <c r="D2669" s="33" t="s">
        <v>11101</v>
      </c>
      <c r="E2669" s="51" t="s">
        <v>540</v>
      </c>
      <c r="F2669" s="121" t="s">
        <v>3009</v>
      </c>
      <c r="G2669" s="98" t="str">
        <f>HYPERLINK("http://mirror.ff7data.com.ar/ff7/data/battle/battle.lgp/exbh.png","View Picture")</f>
        <v>View Picture</v>
      </c>
    </row>
    <row r="2670">
      <c r="A2670" s="21"/>
      <c r="B2670" s="119" t="s">
        <v>27728</v>
      </c>
      <c r="C2670" s="120" t="s">
        <v>11112</v>
      </c>
      <c r="D2670" s="33" t="s">
        <v>11114</v>
      </c>
      <c r="E2670" s="51" t="s">
        <v>540</v>
      </c>
      <c r="F2670" s="121" t="s">
        <v>3009</v>
      </c>
      <c r="G2670" s="98" t="str">
        <f>HYPERLINK("http://mirror.ff7data.com.ar/ff7/data/battle/battle.lgp/exbi.png","View Picture")</f>
        <v>View Picture</v>
      </c>
    </row>
    <row r="2671">
      <c r="A2671" s="82"/>
      <c r="B2671" s="119" t="s">
        <v>27741</v>
      </c>
      <c r="C2671" s="120" t="s">
        <v>4252</v>
      </c>
      <c r="D2671" s="33" t="s">
        <v>11122</v>
      </c>
      <c r="E2671" s="51" t="s">
        <v>540</v>
      </c>
      <c r="F2671" s="121" t="s">
        <v>3009</v>
      </c>
      <c r="G2671" s="98" t="str">
        <f>HYPERLINK("http://mirror.ff7data.com.ar/ff7/data/battle/battle.lgp/exbj.png","View Picture")</f>
        <v>View Picture</v>
      </c>
    </row>
    <row r="2672">
      <c r="A2672" s="21"/>
      <c r="B2672" s="119" t="s">
        <v>27752</v>
      </c>
      <c r="C2672" s="120" t="s">
        <v>4185</v>
      </c>
      <c r="D2672" s="33" t="s">
        <v>11101</v>
      </c>
      <c r="E2672" s="51" t="s">
        <v>540</v>
      </c>
      <c r="F2672" s="121" t="s">
        <v>3009</v>
      </c>
      <c r="G2672" s="98" t="str">
        <f>HYPERLINK("http://mirror.ff7data.com.ar/ff7/data/battle/battle.lgp/exbm.png","View Picture")</f>
        <v>View Picture</v>
      </c>
    </row>
    <row r="2673">
      <c r="A2673" s="21"/>
      <c r="B2673" s="119" t="s">
        <v>27765</v>
      </c>
      <c r="C2673" s="120" t="s">
        <v>4288</v>
      </c>
      <c r="D2673" s="33" t="s">
        <v>11114</v>
      </c>
      <c r="E2673" s="51" t="s">
        <v>540</v>
      </c>
      <c r="F2673" s="121" t="s">
        <v>3009</v>
      </c>
      <c r="G2673" s="98" t="str">
        <f>HYPERLINK("http://mirror.ff7data.com.ar/ff7/data/battle/battle.lgp/exbn.png","View Picture")</f>
        <v>View Picture</v>
      </c>
    </row>
    <row r="2674">
      <c r="A2674" s="82"/>
      <c r="B2674" s="119" t="s">
        <v>27777</v>
      </c>
      <c r="C2674" s="120" t="s">
        <v>4252</v>
      </c>
      <c r="D2674" s="33" t="s">
        <v>11151</v>
      </c>
      <c r="E2674" s="51" t="s">
        <v>540</v>
      </c>
      <c r="F2674" s="121" t="s">
        <v>3009</v>
      </c>
      <c r="G2674" s="98" t="str">
        <f>HYPERLINK("http://mirror.ff7data.com.ar/ff7/data/battle/battle.lgp/exbo.png","View Picture")</f>
        <v>View Picture</v>
      </c>
    </row>
    <row r="2675">
      <c r="A2675" s="82"/>
      <c r="B2675" s="119" t="s">
        <v>27790</v>
      </c>
      <c r="C2675" s="120" t="s">
        <v>4252</v>
      </c>
      <c r="D2675" s="33" t="s">
        <v>11161</v>
      </c>
      <c r="E2675" s="51" t="s">
        <v>540</v>
      </c>
      <c r="F2675" s="121" t="s">
        <v>3009</v>
      </c>
      <c r="G2675" s="98" t="str">
        <f>HYPERLINK("http://mirror.ff7data.com.ar/ff7/data/battle/battle.lgp/exbq.png","View Picture")</f>
        <v>View Picture</v>
      </c>
    </row>
    <row r="2676">
      <c r="A2676" s="55"/>
      <c r="B2676" s="119" t="s">
        <v>27804</v>
      </c>
      <c r="C2676" s="120" t="s">
        <v>4228</v>
      </c>
      <c r="D2676" s="33" t="s">
        <v>10938</v>
      </c>
      <c r="E2676" s="51" t="s">
        <v>540</v>
      </c>
      <c r="F2676" s="121" t="s">
        <v>3025</v>
      </c>
      <c r="H2676" s="46" t="s">
        <v>3002</v>
      </c>
    </row>
    <row r="2677">
      <c r="A2677" s="82"/>
      <c r="B2677" s="119" t="s">
        <v>27808</v>
      </c>
      <c r="C2677" s="120" t="s">
        <v>8845</v>
      </c>
      <c r="D2677" s="33" t="s">
        <v>27810</v>
      </c>
      <c r="E2677" s="51" t="s">
        <v>544</v>
      </c>
      <c r="F2677" s="121" t="s">
        <v>2971</v>
      </c>
      <c r="G2677" s="98" t="str">
        <f>HYPERLINK("http://mirror.ff7data.com.ar/ff7/data/battle/battle.lgp/eyaa.png","View Picture")</f>
        <v>View Picture</v>
      </c>
      <c r="H2677" s="46" t="s">
        <v>27820</v>
      </c>
    </row>
    <row r="2678">
      <c r="A2678" s="55"/>
      <c r="B2678" s="119" t="s">
        <v>27821</v>
      </c>
      <c r="C2678" s="120" t="s">
        <v>3299</v>
      </c>
      <c r="D2678" s="33" t="s">
        <v>27823</v>
      </c>
      <c r="E2678" s="51" t="s">
        <v>544</v>
      </c>
      <c r="F2678" s="121" t="s">
        <v>2993</v>
      </c>
      <c r="H2678" s="46" t="s">
        <v>3002</v>
      </c>
    </row>
    <row r="2679">
      <c r="A2679" s="82"/>
      <c r="B2679" s="119" t="s">
        <v>27826</v>
      </c>
      <c r="C2679" s="120" t="s">
        <v>3671</v>
      </c>
      <c r="D2679" s="33" t="s">
        <v>27831</v>
      </c>
      <c r="E2679" s="51" t="s">
        <v>544</v>
      </c>
      <c r="F2679" s="121" t="s">
        <v>1348</v>
      </c>
      <c r="G2679" s="98" t="str">
        <f>HYPERLINK("http://mirror.ff7data.com.ar/ff7/data/battle/battle.lgp/eyac.png","View Picture")</f>
        <v>View Picture</v>
      </c>
    </row>
    <row r="2680">
      <c r="A2680" s="82"/>
      <c r="B2680" s="119" t="s">
        <v>27841</v>
      </c>
      <c r="C2680" s="120" t="s">
        <v>14502</v>
      </c>
      <c r="D2680" s="33" t="s">
        <v>27844</v>
      </c>
      <c r="E2680" s="51" t="s">
        <v>544</v>
      </c>
      <c r="F2680" s="121" t="s">
        <v>3009</v>
      </c>
      <c r="G2680" s="98" t="str">
        <f>HYPERLINK("http://mirror.ff7data.com.ar/ff7/data/battle/battle.lgp/eyam.png","View Picture")</f>
        <v>View Picture</v>
      </c>
    </row>
    <row r="2681">
      <c r="A2681" s="82"/>
      <c r="B2681" s="119" t="s">
        <v>27865</v>
      </c>
      <c r="C2681" s="120" t="s">
        <v>3318</v>
      </c>
      <c r="D2681" s="33" t="s">
        <v>27868</v>
      </c>
      <c r="E2681" s="51" t="s">
        <v>544</v>
      </c>
      <c r="F2681" s="121" t="s">
        <v>3009</v>
      </c>
      <c r="G2681" s="98" t="str">
        <f>HYPERLINK("http://mirror.ff7data.com.ar/ff7/data/battle/battle.lgp/eyan.png","View Picture")</f>
        <v>View Picture</v>
      </c>
    </row>
    <row r="2682">
      <c r="A2682" s="82"/>
      <c r="B2682" s="119" t="s">
        <v>27887</v>
      </c>
      <c r="C2682" s="120" t="s">
        <v>7871</v>
      </c>
      <c r="D2682" s="33" t="s">
        <v>27889</v>
      </c>
      <c r="E2682" s="51" t="s">
        <v>544</v>
      </c>
      <c r="F2682" s="121" t="s">
        <v>3009</v>
      </c>
      <c r="G2682" s="98" t="str">
        <f>HYPERLINK("http://mirror.ff7data.com.ar/ff7/data/battle/battle.lgp/eyao.png","View Picture")</f>
        <v>View Picture</v>
      </c>
    </row>
    <row r="2683">
      <c r="A2683" s="21"/>
      <c r="B2683" s="119" t="s">
        <v>27903</v>
      </c>
      <c r="C2683" s="120" t="s">
        <v>6029</v>
      </c>
      <c r="D2683" s="33" t="s">
        <v>27905</v>
      </c>
      <c r="E2683" s="51" t="s">
        <v>544</v>
      </c>
      <c r="F2683" s="121" t="s">
        <v>3009</v>
      </c>
      <c r="G2683" s="98" t="str">
        <f>HYPERLINK("http://mirror.ff7data.com.ar/ff7/data/battle/battle.lgp/eyaq.png","View Picture")</f>
        <v>View Picture</v>
      </c>
    </row>
    <row r="2684">
      <c r="A2684" s="21"/>
      <c r="B2684" s="119" t="s">
        <v>27921</v>
      </c>
      <c r="C2684" s="120" t="s">
        <v>5419</v>
      </c>
      <c r="D2684" s="33" t="s">
        <v>27923</v>
      </c>
      <c r="E2684" s="51" t="s">
        <v>544</v>
      </c>
      <c r="F2684" s="121" t="s">
        <v>3009</v>
      </c>
      <c r="G2684" s="98" t="str">
        <f>HYPERLINK("http://mirror.ff7data.com.ar/ff7/data/battle/battle.lgp/eyar.png","View Picture")</f>
        <v>View Picture</v>
      </c>
    </row>
    <row r="2685">
      <c r="A2685" s="21"/>
      <c r="B2685" s="119" t="s">
        <v>27940</v>
      </c>
      <c r="C2685" s="120" t="s">
        <v>4439</v>
      </c>
      <c r="D2685" s="33" t="s">
        <v>27941</v>
      </c>
      <c r="E2685" s="51" t="s">
        <v>544</v>
      </c>
      <c r="F2685" s="121" t="s">
        <v>3009</v>
      </c>
      <c r="G2685" s="98" t="str">
        <f>HYPERLINK("http://mirror.ff7data.com.ar/ff7/data/battle/battle.lgp/eyas.png","View Picture")</f>
        <v>View Picture</v>
      </c>
    </row>
    <row r="2686">
      <c r="A2686" s="21"/>
      <c r="B2686" s="119" t="s">
        <v>27954</v>
      </c>
      <c r="C2686" s="120" t="s">
        <v>4439</v>
      </c>
      <c r="D2686" s="33" t="s">
        <v>27956</v>
      </c>
      <c r="E2686" s="51" t="s">
        <v>544</v>
      </c>
      <c r="F2686" s="121" t="s">
        <v>3009</v>
      </c>
      <c r="G2686" s="98" t="str">
        <f>HYPERLINK("http://mirror.ff7data.com.ar/ff7/data/battle/battle.lgp/eyau.png","View Picture")</f>
        <v>View Picture</v>
      </c>
    </row>
    <row r="2687">
      <c r="A2687" s="21"/>
      <c r="B2687" s="119" t="s">
        <v>27971</v>
      </c>
      <c r="C2687" s="120" t="s">
        <v>6029</v>
      </c>
      <c r="D2687" s="33" t="s">
        <v>27905</v>
      </c>
      <c r="E2687" s="51" t="s">
        <v>544</v>
      </c>
      <c r="F2687" s="121" t="s">
        <v>3009</v>
      </c>
      <c r="G2687" s="98" t="str">
        <f>HYPERLINK("http://mirror.ff7data.com.ar/ff7/data/battle/battle.lgp/eyaw.png","View Picture")</f>
        <v>View Picture</v>
      </c>
    </row>
    <row r="2688">
      <c r="A2688" s="21"/>
      <c r="B2688" s="119" t="s">
        <v>27983</v>
      </c>
      <c r="C2688" s="120" t="s">
        <v>4372</v>
      </c>
      <c r="D2688" s="33" t="s">
        <v>27923</v>
      </c>
      <c r="E2688" s="51" t="s">
        <v>544</v>
      </c>
      <c r="F2688" s="121" t="s">
        <v>3009</v>
      </c>
      <c r="G2688" s="98" t="str">
        <f>HYPERLINK("http://mirror.ff7data.com.ar/ff7/data/battle/battle.lgp/eyax.png","View Picture")</f>
        <v>View Picture</v>
      </c>
    </row>
    <row r="2689">
      <c r="A2689" s="21"/>
      <c r="B2689" s="119" t="s">
        <v>27997</v>
      </c>
      <c r="C2689" s="120" t="s">
        <v>4439</v>
      </c>
      <c r="D2689" s="33" t="s">
        <v>27941</v>
      </c>
      <c r="E2689" s="51" t="s">
        <v>544</v>
      </c>
      <c r="F2689" s="121" t="s">
        <v>3009</v>
      </c>
      <c r="G2689" s="98" t="str">
        <f>HYPERLINK("http://mirror.ff7data.com.ar/ff7/data/battle/battle.lgp/eyay.png","View Picture")</f>
        <v>View Picture</v>
      </c>
    </row>
    <row r="2690">
      <c r="A2690" s="21"/>
      <c r="B2690" s="119" t="s">
        <v>28005</v>
      </c>
      <c r="C2690" s="120" t="s">
        <v>4439</v>
      </c>
      <c r="D2690" s="33" t="s">
        <v>27956</v>
      </c>
      <c r="E2690" s="51" t="s">
        <v>544</v>
      </c>
      <c r="F2690" s="121" t="s">
        <v>3009</v>
      </c>
      <c r="G2690" s="98" t="str">
        <f>HYPERLINK("http://mirror.ff7data.com.ar/ff7/data/battle/battle.lgp/eyba.png","View Picture")</f>
        <v>View Picture</v>
      </c>
    </row>
    <row r="2691">
      <c r="A2691" s="21"/>
      <c r="B2691" s="119" t="s">
        <v>28014</v>
      </c>
      <c r="C2691" s="120" t="s">
        <v>4185</v>
      </c>
      <c r="D2691" s="33" t="s">
        <v>28015</v>
      </c>
      <c r="E2691" s="51" t="s">
        <v>544</v>
      </c>
      <c r="F2691" s="121" t="s">
        <v>3009</v>
      </c>
      <c r="G2691" s="98" t="str">
        <f>HYPERLINK("http://mirror.ff7data.com.ar/ff7/data/battle/battle.lgp/eybd.png","View Picture")</f>
        <v>View Picture</v>
      </c>
    </row>
    <row r="2692">
      <c r="A2692" s="21"/>
      <c r="B2692" s="119" t="s">
        <v>28022</v>
      </c>
      <c r="C2692" s="120" t="s">
        <v>7148</v>
      </c>
      <c r="D2692" s="33" t="s">
        <v>28024</v>
      </c>
      <c r="E2692" s="51" t="s">
        <v>544</v>
      </c>
      <c r="F2692" s="121" t="s">
        <v>3009</v>
      </c>
      <c r="G2692" s="98" t="str">
        <f>HYPERLINK("http://mirror.ff7data.com.ar/ff7/data/battle/battle.lgp/eybe.png","View Picture")</f>
        <v>View Picture</v>
      </c>
    </row>
    <row r="2693">
      <c r="A2693" s="82"/>
      <c r="B2693" s="119" t="s">
        <v>28034</v>
      </c>
      <c r="C2693" s="120" t="s">
        <v>4252</v>
      </c>
      <c r="D2693" s="33" t="s">
        <v>28035</v>
      </c>
      <c r="E2693" s="51" t="s">
        <v>544</v>
      </c>
      <c r="F2693" s="121" t="s">
        <v>3009</v>
      </c>
      <c r="G2693" s="98" t="str">
        <f>HYPERLINK("http://mirror.ff7data.com.ar/ff7/data/battle/battle.lgp/eybf.png","View Picture")</f>
        <v>View Picture</v>
      </c>
    </row>
    <row r="2694">
      <c r="A2694" s="21"/>
      <c r="B2694" s="119" t="s">
        <v>28044</v>
      </c>
      <c r="C2694" s="120" t="s">
        <v>4185</v>
      </c>
      <c r="D2694" s="33" t="s">
        <v>28015</v>
      </c>
      <c r="E2694" s="51" t="s">
        <v>544</v>
      </c>
      <c r="F2694" s="121" t="s">
        <v>3009</v>
      </c>
      <c r="G2694" s="98" t="str">
        <f>HYPERLINK("http://mirror.ff7data.com.ar/ff7/data/battle/battle.lgp/eybi.png","View Picture")</f>
        <v>View Picture</v>
      </c>
    </row>
    <row r="2695">
      <c r="A2695" s="21"/>
      <c r="B2695" s="119" t="s">
        <v>28055</v>
      </c>
      <c r="C2695" s="120" t="s">
        <v>7148</v>
      </c>
      <c r="D2695" s="33" t="s">
        <v>28024</v>
      </c>
      <c r="E2695" s="51" t="s">
        <v>544</v>
      </c>
      <c r="F2695" s="121" t="s">
        <v>3009</v>
      </c>
      <c r="G2695" s="98" t="str">
        <f>HYPERLINK("http://mirror.ff7data.com.ar/ff7/data/battle/battle.lgp/eybj.png","View Picture")</f>
        <v>View Picture</v>
      </c>
    </row>
    <row r="2696">
      <c r="A2696" s="82"/>
      <c r="B2696" s="119" t="s">
        <v>28064</v>
      </c>
      <c r="C2696" s="120" t="s">
        <v>4252</v>
      </c>
      <c r="D2696" s="33" t="s">
        <v>28066</v>
      </c>
      <c r="E2696" s="51" t="s">
        <v>544</v>
      </c>
      <c r="F2696" s="121" t="s">
        <v>3009</v>
      </c>
      <c r="G2696" s="98" t="str">
        <f>HYPERLINK("http://mirror.ff7data.com.ar/ff7/data/battle/battle.lgp/eybk.png","View Picture")</f>
        <v>View Picture</v>
      </c>
    </row>
    <row r="2697">
      <c r="A2697" s="55"/>
      <c r="B2697" s="119" t="s">
        <v>28077</v>
      </c>
      <c r="C2697" s="120" t="s">
        <v>4841</v>
      </c>
      <c r="D2697" s="33" t="s">
        <v>27823</v>
      </c>
      <c r="E2697" s="51" t="s">
        <v>544</v>
      </c>
      <c r="F2697" s="121" t="s">
        <v>3025</v>
      </c>
      <c r="H2697" s="46" t="s">
        <v>3002</v>
      </c>
    </row>
    <row r="2698">
      <c r="A2698" s="55"/>
      <c r="B2698" s="119" t="s">
        <v>28082</v>
      </c>
      <c r="C2698" s="120" t="s">
        <v>9973</v>
      </c>
      <c r="D2698" s="33" t="s">
        <v>28084</v>
      </c>
      <c r="E2698" s="51" t="s">
        <v>548</v>
      </c>
      <c r="F2698" s="121" t="s">
        <v>2971</v>
      </c>
      <c r="G2698" s="98" t="str">
        <f>HYPERLINK("http://mirror.ff7data.com.ar/ff7/data/battle/battle.lgp/ezaa.png","View Picture")</f>
        <v>View Picture</v>
      </c>
    </row>
    <row r="2699">
      <c r="A2699" s="55"/>
      <c r="B2699" s="119" t="s">
        <v>28092</v>
      </c>
      <c r="C2699" s="120" t="s">
        <v>9790</v>
      </c>
      <c r="D2699" s="33" t="s">
        <v>28094</v>
      </c>
      <c r="E2699" s="51" t="s">
        <v>548</v>
      </c>
      <c r="F2699" s="121" t="s">
        <v>3025</v>
      </c>
      <c r="H2699" s="46" t="s">
        <v>3002</v>
      </c>
    </row>
    <row r="2700">
      <c r="A2700" s="55"/>
      <c r="B2700" s="119" t="s">
        <v>28098</v>
      </c>
      <c r="C2700" s="120" t="s">
        <v>4191</v>
      </c>
      <c r="D2700" s="33" t="s">
        <v>28100</v>
      </c>
      <c r="E2700" s="51" t="s">
        <v>548</v>
      </c>
      <c r="F2700" s="121" t="s">
        <v>1348</v>
      </c>
      <c r="G2700" s="98" t="str">
        <f>HYPERLINK("http://mirror.ff7data.com.ar/ff7/data/battle/battle.lgp/ezac.png","View Picture")</f>
        <v>View Picture</v>
      </c>
    </row>
    <row r="2701">
      <c r="A2701" s="55"/>
      <c r="B2701" s="119" t="s">
        <v>28110</v>
      </c>
      <c r="C2701" s="120" t="s">
        <v>3671</v>
      </c>
      <c r="D2701" s="33" t="s">
        <v>28094</v>
      </c>
      <c r="E2701" s="51" t="s">
        <v>548</v>
      </c>
      <c r="F2701" s="121" t="s">
        <v>3009</v>
      </c>
      <c r="G2701" s="98" t="str">
        <f>HYPERLINK("http://mirror.ff7data.com.ar/ff7/data/battle/battle.lgp/ezam.png","View Picture")</f>
        <v>View Picture</v>
      </c>
    </row>
    <row r="2702">
      <c r="A2702" s="55"/>
      <c r="B2702" s="119" t="s">
        <v>28119</v>
      </c>
      <c r="C2702" s="120" t="s">
        <v>7894</v>
      </c>
      <c r="D2702" s="33" t="s">
        <v>28094</v>
      </c>
      <c r="E2702" s="51" t="s">
        <v>548</v>
      </c>
      <c r="F2702" s="121" t="s">
        <v>3009</v>
      </c>
      <c r="G2702" s="98" t="str">
        <f>HYPERLINK("http://mirror.ff7data.com.ar/ff7/data/battle/battle.lgp/ezan.png","View Picture")</f>
        <v>View Picture</v>
      </c>
    </row>
    <row r="2703">
      <c r="A2703" s="55"/>
      <c r="B2703" s="119" t="s">
        <v>28132</v>
      </c>
      <c r="C2703" s="120" t="s">
        <v>4185</v>
      </c>
      <c r="D2703" s="33" t="s">
        <v>28094</v>
      </c>
      <c r="E2703" s="51" t="s">
        <v>548</v>
      </c>
      <c r="F2703" s="121" t="s">
        <v>3009</v>
      </c>
      <c r="G2703" s="98" t="str">
        <f>HYPERLINK("http://mirror.ff7data.com.ar/ff7/data/battle/battle.lgp/ezaq.png","View Picture")</f>
        <v>View Picture</v>
      </c>
    </row>
    <row r="2704">
      <c r="A2704" s="55"/>
      <c r="B2704" s="119" t="s">
        <v>28139</v>
      </c>
      <c r="C2704" s="120" t="s">
        <v>4185</v>
      </c>
      <c r="D2704" s="33" t="s">
        <v>28094</v>
      </c>
      <c r="E2704" s="51" t="s">
        <v>548</v>
      </c>
      <c r="F2704" s="121" t="s">
        <v>3009</v>
      </c>
      <c r="G2704" s="98" t="str">
        <f>HYPERLINK("http://mirror.ff7data.com.ar/ff7/data/battle/battle.lgp/ezas.png","View Picture")</f>
        <v>View Picture</v>
      </c>
    </row>
    <row r="2705">
      <c r="A2705" s="55"/>
      <c r="B2705" s="119" t="s">
        <v>28144</v>
      </c>
      <c r="C2705" s="120" t="s">
        <v>4732</v>
      </c>
      <c r="D2705" s="33" t="s">
        <v>28094</v>
      </c>
      <c r="E2705" s="51" t="s">
        <v>548</v>
      </c>
      <c r="F2705" s="121" t="s">
        <v>3009</v>
      </c>
      <c r="G2705" s="98" t="str">
        <f>HYPERLINK("http://mirror.ff7data.com.ar/ff7/data/battle/battle.lgp/ezau.png","View Picture")</f>
        <v>View Picture</v>
      </c>
    </row>
    <row r="2706">
      <c r="A2706" s="55"/>
      <c r="B2706" s="119" t="s">
        <v>28154</v>
      </c>
      <c r="C2706" s="120" t="s">
        <v>28156</v>
      </c>
      <c r="D2706" s="33" t="s">
        <v>28094</v>
      </c>
      <c r="E2706" s="51" t="s">
        <v>548</v>
      </c>
      <c r="F2706" s="121" t="s">
        <v>3009</v>
      </c>
      <c r="G2706" s="98" t="str">
        <f>HYPERLINK("http://mirror.ff7data.com.ar/ff7/data/battle/battle.lgp/ezav.png","View Picture")</f>
        <v>View Picture</v>
      </c>
    </row>
    <row r="2707">
      <c r="A2707" s="55"/>
      <c r="B2707" s="119" t="s">
        <v>28169</v>
      </c>
      <c r="C2707" s="120" t="s">
        <v>4264</v>
      </c>
      <c r="D2707" s="33" t="s">
        <v>28094</v>
      </c>
      <c r="E2707" s="51" t="s">
        <v>548</v>
      </c>
      <c r="F2707" s="121" t="s">
        <v>3009</v>
      </c>
      <c r="G2707" s="98" t="str">
        <f>HYPERLINK("http://mirror.ff7data.com.ar/ff7/data/battle/battle.lgp/ezax.png","View Picture")</f>
        <v>View Picture</v>
      </c>
    </row>
    <row r="2708">
      <c r="A2708" s="55"/>
      <c r="B2708" s="119" t="s">
        <v>28180</v>
      </c>
      <c r="C2708" s="120" t="s">
        <v>28156</v>
      </c>
      <c r="D2708" s="33" t="s">
        <v>28094</v>
      </c>
      <c r="E2708" s="51" t="s">
        <v>548</v>
      </c>
      <c r="F2708" s="121" t="s">
        <v>3009</v>
      </c>
      <c r="G2708" s="98" t="str">
        <f>HYPERLINK("http://mirror.ff7data.com.ar/ff7/data/battle/battle.lgp/ezay.png","View Picture")</f>
        <v>View Picture</v>
      </c>
    </row>
    <row r="2709">
      <c r="A2709" s="55"/>
      <c r="B2709" s="119" t="s">
        <v>28189</v>
      </c>
      <c r="C2709" s="120" t="s">
        <v>4264</v>
      </c>
      <c r="D2709" s="33" t="s">
        <v>28094</v>
      </c>
      <c r="E2709" s="51" t="s">
        <v>548</v>
      </c>
      <c r="F2709" s="121" t="s">
        <v>3009</v>
      </c>
      <c r="G2709" s="98" t="str">
        <f>HYPERLINK("http://mirror.ff7data.com.ar/ff7/data/battle/battle.lgp/ezba.png","View Picture")</f>
        <v>View Picture</v>
      </c>
    </row>
    <row r="2710">
      <c r="A2710" s="55"/>
      <c r="B2710" s="119" t="s">
        <v>28195</v>
      </c>
      <c r="C2710" s="120" t="s">
        <v>28156</v>
      </c>
      <c r="D2710" s="33" t="s">
        <v>28094</v>
      </c>
      <c r="E2710" s="51" t="s">
        <v>548</v>
      </c>
      <c r="F2710" s="121" t="s">
        <v>3009</v>
      </c>
      <c r="G2710" s="98" t="str">
        <f>HYPERLINK("http://mirror.ff7data.com.ar/ff7/data/battle/battle.lgp/ezbb.png","View Picture")</f>
        <v>View Picture</v>
      </c>
    </row>
    <row r="2711">
      <c r="A2711" s="55"/>
      <c r="B2711" s="119" t="s">
        <v>28200</v>
      </c>
      <c r="C2711" s="120" t="s">
        <v>4732</v>
      </c>
      <c r="D2711" s="33" t="s">
        <v>28094</v>
      </c>
      <c r="E2711" s="51" t="s">
        <v>548</v>
      </c>
      <c r="F2711" s="121" t="s">
        <v>3009</v>
      </c>
      <c r="G2711" s="98" t="str">
        <f>HYPERLINK("http://mirror.ff7data.com.ar/ff7/data/battle/battle.lgp/ezbd.png","View Picture")</f>
        <v>View Picture</v>
      </c>
    </row>
    <row r="2712">
      <c r="A2712" s="55"/>
      <c r="B2712" s="119" t="s">
        <v>28209</v>
      </c>
      <c r="C2712" s="120" t="s">
        <v>4264</v>
      </c>
      <c r="D2712" s="33" t="s">
        <v>28094</v>
      </c>
      <c r="E2712" s="51" t="s">
        <v>548</v>
      </c>
      <c r="F2712" s="121" t="s">
        <v>3009</v>
      </c>
      <c r="G2712" s="98" t="str">
        <f>HYPERLINK("http://mirror.ff7data.com.ar/ff7/data/battle/battle.lgp/ezbf.png","View Picture")</f>
        <v>View Picture</v>
      </c>
    </row>
    <row r="2713">
      <c r="A2713" s="55"/>
      <c r="B2713" s="119" t="s">
        <v>28215</v>
      </c>
      <c r="C2713" s="120" t="s">
        <v>4732</v>
      </c>
      <c r="D2713" s="33" t="s">
        <v>28094</v>
      </c>
      <c r="E2713" s="51" t="s">
        <v>548</v>
      </c>
      <c r="F2713" s="121" t="s">
        <v>3009</v>
      </c>
      <c r="G2713" s="98" t="str">
        <f>HYPERLINK("http://mirror.ff7data.com.ar/ff7/data/battle/battle.lgp/ezbh.png","View Picture")</f>
        <v>View Picture</v>
      </c>
    </row>
    <row r="2714">
      <c r="A2714" s="55"/>
      <c r="B2714" s="119" t="s">
        <v>28221</v>
      </c>
      <c r="C2714" s="120" t="s">
        <v>26336</v>
      </c>
      <c r="D2714" s="33" t="s">
        <v>28094</v>
      </c>
      <c r="E2714" s="51" t="s">
        <v>548</v>
      </c>
      <c r="F2714" s="121" t="s">
        <v>3009</v>
      </c>
      <c r="G2714" s="98" t="str">
        <f>HYPERLINK("http://mirror.ff7data.com.ar/ff7/data/battle/battle.lgp/ezbi.png","View Picture")</f>
        <v>View Picture</v>
      </c>
    </row>
    <row r="2715">
      <c r="A2715" s="55"/>
      <c r="B2715" s="119" t="s">
        <v>28230</v>
      </c>
      <c r="C2715" s="120" t="s">
        <v>4264</v>
      </c>
      <c r="D2715" s="33" t="s">
        <v>28094</v>
      </c>
      <c r="E2715" s="51" t="s">
        <v>548</v>
      </c>
      <c r="F2715" s="121" t="s">
        <v>3009</v>
      </c>
      <c r="G2715" s="98" t="str">
        <f>HYPERLINK("http://mirror.ff7data.com.ar/ff7/data/battle/battle.lgp/ezbk.png","View Picture")</f>
        <v>View Picture</v>
      </c>
    </row>
    <row r="2716">
      <c r="A2716" s="55"/>
      <c r="B2716" s="119" t="s">
        <v>28239</v>
      </c>
      <c r="C2716" s="120" t="s">
        <v>3658</v>
      </c>
      <c r="D2716" s="33" t="s">
        <v>28094</v>
      </c>
      <c r="E2716" s="51" t="s">
        <v>548</v>
      </c>
      <c r="F2716" s="121" t="s">
        <v>3009</v>
      </c>
      <c r="G2716" s="98" t="str">
        <f>HYPERLINK("http://mirror.ff7data.com.ar/ff7/data/battle/battle.lgp/ezbl.png","View Picture")</f>
        <v>View Picture</v>
      </c>
    </row>
    <row r="2717">
      <c r="A2717" s="55"/>
      <c r="B2717" s="119" t="s">
        <v>28246</v>
      </c>
      <c r="C2717" s="120" t="s">
        <v>3566</v>
      </c>
      <c r="D2717" s="33" t="s">
        <v>28094</v>
      </c>
      <c r="E2717" s="51" t="s">
        <v>548</v>
      </c>
      <c r="F2717" s="121" t="s">
        <v>3009</v>
      </c>
      <c r="G2717" s="98" t="str">
        <f>HYPERLINK("http://mirror.ff7data.com.ar/ff7/data/battle/battle.lgp/ezbn.png","View Picture")</f>
        <v>View Picture</v>
      </c>
    </row>
    <row r="2718">
      <c r="A2718" s="55"/>
      <c r="B2718" s="119" t="s">
        <v>28253</v>
      </c>
      <c r="C2718" s="120" t="s">
        <v>4288</v>
      </c>
      <c r="D2718" s="33" t="s">
        <v>28094</v>
      </c>
      <c r="E2718" s="51" t="s">
        <v>548</v>
      </c>
      <c r="F2718" s="121" t="s">
        <v>3009</v>
      </c>
      <c r="G2718" s="98" t="str">
        <f>HYPERLINK("http://mirror.ff7data.com.ar/ff7/data/battle/battle.lgp/ezbp.png","View Picture")</f>
        <v>View Picture</v>
      </c>
    </row>
    <row r="2719">
      <c r="A2719" s="55"/>
      <c r="B2719" s="119" t="s">
        <v>28262</v>
      </c>
      <c r="C2719" s="120" t="s">
        <v>3658</v>
      </c>
      <c r="D2719" s="33" t="s">
        <v>28094</v>
      </c>
      <c r="E2719" s="51" t="s">
        <v>548</v>
      </c>
      <c r="F2719" s="121" t="s">
        <v>3009</v>
      </c>
      <c r="G2719" s="98" t="str">
        <f>HYPERLINK("http://mirror.ff7data.com.ar/ff7/data/battle/battle.lgp/ezbq.png","View Picture")</f>
        <v>View Picture</v>
      </c>
    </row>
    <row r="2720">
      <c r="A2720" s="55"/>
      <c r="B2720" s="119" t="s">
        <v>28273</v>
      </c>
      <c r="C2720" s="120" t="s">
        <v>4396</v>
      </c>
      <c r="D2720" s="33" t="s">
        <v>28094</v>
      </c>
      <c r="E2720" s="51" t="s">
        <v>548</v>
      </c>
      <c r="F2720" s="121" t="s">
        <v>3009</v>
      </c>
      <c r="G2720" s="98" t="str">
        <f>HYPERLINK("http://mirror.ff7data.com.ar/ff7/data/battle/battle.lgp/ezbs.png","View Picture")</f>
        <v>View Picture</v>
      </c>
    </row>
    <row r="2721">
      <c r="A2721" s="55"/>
      <c r="B2721" s="119" t="s">
        <v>28280</v>
      </c>
      <c r="C2721" s="120" t="s">
        <v>4217</v>
      </c>
      <c r="D2721" s="33" t="s">
        <v>28094</v>
      </c>
      <c r="E2721" s="51" t="s">
        <v>548</v>
      </c>
      <c r="F2721" s="121" t="s">
        <v>3009</v>
      </c>
      <c r="G2721" s="98" t="str">
        <f>HYPERLINK("http://mirror.ff7data.com.ar/ff7/data/battle/battle.lgp/ezbt.png","View Picture")</f>
        <v>View Picture</v>
      </c>
    </row>
    <row r="2722">
      <c r="A2722" s="55"/>
      <c r="B2722" s="119" t="s">
        <v>28287</v>
      </c>
      <c r="C2722" s="120" t="s">
        <v>10078</v>
      </c>
      <c r="D2722" s="33" t="s">
        <v>28094</v>
      </c>
      <c r="E2722" s="51" t="s">
        <v>548</v>
      </c>
      <c r="F2722" s="121" t="s">
        <v>3009</v>
      </c>
      <c r="G2722" s="98" t="str">
        <f>HYPERLINK("http://mirror.ff7data.com.ar/ff7/data/battle/battle.lgp/ezbv.png","View Picture")</f>
        <v>View Picture</v>
      </c>
    </row>
    <row r="2723">
      <c r="A2723" s="55"/>
      <c r="B2723" s="119" t="s">
        <v>28293</v>
      </c>
      <c r="C2723" s="120" t="s">
        <v>4217</v>
      </c>
      <c r="D2723" s="33" t="s">
        <v>28094</v>
      </c>
      <c r="E2723" s="51" t="s">
        <v>548</v>
      </c>
      <c r="F2723" s="121" t="s">
        <v>3009</v>
      </c>
      <c r="G2723" s="98" t="str">
        <f>HYPERLINK("http://mirror.ff7data.com.ar/ff7/data/battle/battle.lgp/ezbw.png","View Picture")</f>
        <v>View Picture</v>
      </c>
    </row>
    <row r="2724">
      <c r="A2724" s="55"/>
      <c r="B2724" s="119" t="s">
        <v>28299</v>
      </c>
      <c r="C2724" s="120" t="s">
        <v>4057</v>
      </c>
      <c r="D2724" s="33" t="s">
        <v>28094</v>
      </c>
      <c r="E2724" s="51" t="s">
        <v>548</v>
      </c>
      <c r="F2724" s="121" t="s">
        <v>3009</v>
      </c>
      <c r="G2724" s="98" t="str">
        <f>HYPERLINK("http://mirror.ff7data.com.ar/ff7/data/battle/battle.lgp/ezbx.png","View Picture")</f>
        <v>View Picture</v>
      </c>
    </row>
    <row r="2725">
      <c r="A2725" s="55"/>
      <c r="B2725" s="119" t="s">
        <v>28308</v>
      </c>
      <c r="C2725" s="120" t="s">
        <v>4719</v>
      </c>
      <c r="D2725" s="33" t="s">
        <v>28094</v>
      </c>
      <c r="E2725" s="51" t="s">
        <v>548</v>
      </c>
      <c r="F2725" s="121" t="s">
        <v>3009</v>
      </c>
      <c r="G2725" s="98" t="str">
        <f>HYPERLINK("http://mirror.ff7data.com.ar/ff7/data/battle/battle.lgp/ezby.png","View Picture")</f>
        <v>View Picture</v>
      </c>
    </row>
    <row r="2726">
      <c r="A2726" s="55"/>
      <c r="B2726" s="119" t="s">
        <v>28319</v>
      </c>
      <c r="C2726" s="120" t="s">
        <v>4357</v>
      </c>
      <c r="D2726" s="33" t="s">
        <v>28094</v>
      </c>
      <c r="E2726" s="51" t="s">
        <v>548</v>
      </c>
      <c r="F2726" s="121" t="s">
        <v>3009</v>
      </c>
      <c r="G2726" s="98" t="str">
        <f>HYPERLINK("http://mirror.ff7data.com.ar/ff7/data/battle/battle.lgp/ezbz.png","View Picture")</f>
        <v>View Picture</v>
      </c>
    </row>
    <row r="2727">
      <c r="A2727" s="55"/>
      <c r="B2727" s="119" t="s">
        <v>28328</v>
      </c>
      <c r="C2727" s="120" t="s">
        <v>13619</v>
      </c>
      <c r="D2727" s="33" t="s">
        <v>28094</v>
      </c>
      <c r="E2727" s="51" t="s">
        <v>548</v>
      </c>
      <c r="F2727" s="121" t="s">
        <v>3025</v>
      </c>
      <c r="H2727" s="46" t="s">
        <v>3002</v>
      </c>
    </row>
    <row r="2728">
      <c r="A2728" s="55"/>
      <c r="B2728" s="119" t="s">
        <v>28331</v>
      </c>
      <c r="C2728" s="120" t="s">
        <v>6789</v>
      </c>
      <c r="D2728" s="33" t="s">
        <v>28332</v>
      </c>
      <c r="E2728" s="51" t="s">
        <v>551</v>
      </c>
      <c r="F2728" s="121" t="s">
        <v>2971</v>
      </c>
      <c r="G2728" s="98" t="str">
        <f>HYPERLINK("http://mirror.ff7data.com.ar/ff7/data/battle/battle.lgp/faaa.png","View Picture")</f>
        <v>View Picture</v>
      </c>
    </row>
    <row r="2729">
      <c r="A2729" s="55"/>
      <c r="B2729" s="119" t="s">
        <v>28340</v>
      </c>
      <c r="C2729" s="120" t="s">
        <v>4109</v>
      </c>
      <c r="D2729" s="33" t="s">
        <v>28341</v>
      </c>
      <c r="E2729" s="51" t="s">
        <v>551</v>
      </c>
      <c r="F2729" s="121" t="s">
        <v>2993</v>
      </c>
      <c r="H2729" s="46" t="s">
        <v>3002</v>
      </c>
    </row>
    <row r="2730">
      <c r="A2730" s="55"/>
      <c r="B2730" s="119" t="s">
        <v>28344</v>
      </c>
      <c r="C2730" s="120" t="s">
        <v>3997</v>
      </c>
      <c r="D2730" s="33" t="s">
        <v>28345</v>
      </c>
      <c r="E2730" s="51" t="s">
        <v>551</v>
      </c>
      <c r="F2730" s="121" t="s">
        <v>1348</v>
      </c>
      <c r="G2730" s="98" t="str">
        <f>HYPERLINK("http://mirror.ff7data.com.ar/ff7/data/battle/battle.lgp/faac.png","View Picture")</f>
        <v>View Picture</v>
      </c>
    </row>
    <row r="2731">
      <c r="A2731" s="55"/>
      <c r="B2731" s="119" t="s">
        <v>28357</v>
      </c>
      <c r="C2731" s="120" t="s">
        <v>4191</v>
      </c>
      <c r="D2731" s="33" t="s">
        <v>28345</v>
      </c>
      <c r="E2731" s="51" t="s">
        <v>551</v>
      </c>
      <c r="F2731" s="121" t="s">
        <v>1348</v>
      </c>
      <c r="G2731" s="98" t="str">
        <f>HYPERLINK("http://mirror.ff7data.com.ar/ff7/data/battle/battle.lgp/faad.png","View Picture")</f>
        <v>View Picture</v>
      </c>
    </row>
    <row r="2732">
      <c r="A2732" s="55"/>
      <c r="B2732" s="119" t="s">
        <v>28368</v>
      </c>
      <c r="C2732" s="120" t="s">
        <v>4191</v>
      </c>
      <c r="D2732" s="33" t="s">
        <v>28345</v>
      </c>
      <c r="E2732" s="51" t="s">
        <v>551</v>
      </c>
      <c r="F2732" s="121" t="s">
        <v>1348</v>
      </c>
      <c r="G2732" s="98" t="str">
        <f>HYPERLINK("http://mirror.ff7data.com.ar/ff7/data/battle/battle.lgp/faae.png","View Picture")</f>
        <v>View Picture</v>
      </c>
    </row>
    <row r="2733">
      <c r="A2733" s="55"/>
      <c r="B2733" s="119" t="s">
        <v>28378</v>
      </c>
      <c r="C2733" s="120" t="s">
        <v>4191</v>
      </c>
      <c r="D2733" s="33" t="s">
        <v>28345</v>
      </c>
      <c r="E2733" s="51" t="s">
        <v>551</v>
      </c>
      <c r="F2733" s="121" t="s">
        <v>1348</v>
      </c>
      <c r="G2733" s="98" t="str">
        <f>HYPERLINK("http://mirror.ff7data.com.ar/ff7/data/battle/battle.lgp/faaf.png","View Picture")</f>
        <v>View Picture</v>
      </c>
    </row>
    <row r="2734">
      <c r="A2734" s="55"/>
      <c r="B2734" s="119" t="s">
        <v>28386</v>
      </c>
      <c r="C2734" s="120" t="s">
        <v>7165</v>
      </c>
      <c r="D2734" s="33" t="s">
        <v>28341</v>
      </c>
      <c r="E2734" s="51" t="s">
        <v>551</v>
      </c>
      <c r="F2734" s="121" t="s">
        <v>3009</v>
      </c>
      <c r="G2734" s="98" t="str">
        <f>HYPERLINK("http://mirror.ff7data.com.ar/ff7/data/battle/battle.lgp/faao.png","View Picture")</f>
        <v>View Picture</v>
      </c>
      <c r="H2734" s="46" t="s">
        <v>28396</v>
      </c>
    </row>
    <row r="2735">
      <c r="A2735" s="55"/>
      <c r="B2735" s="119" t="s">
        <v>28398</v>
      </c>
      <c r="C2735" s="120" t="s">
        <v>6029</v>
      </c>
      <c r="D2735" s="33" t="s">
        <v>28341</v>
      </c>
      <c r="E2735" s="51" t="s">
        <v>551</v>
      </c>
      <c r="F2735" s="121" t="s">
        <v>3009</v>
      </c>
      <c r="G2735" s="98" t="str">
        <f>HYPERLINK("http://mirror.ff7data.com.ar/ff7/data/battle/battle.lgp/faap.png","View Picture")</f>
        <v>View Picture</v>
      </c>
    </row>
    <row r="2736">
      <c r="A2736" s="55"/>
      <c r="B2736" s="119" t="s">
        <v>28409</v>
      </c>
      <c r="C2736" s="120" t="s">
        <v>4057</v>
      </c>
      <c r="D2736" s="33" t="s">
        <v>28341</v>
      </c>
      <c r="E2736" s="51" t="s">
        <v>551</v>
      </c>
      <c r="F2736" s="121" t="s">
        <v>3009</v>
      </c>
      <c r="G2736" s="98" t="str">
        <f>HYPERLINK("http://mirror.ff7data.com.ar/ff7/data/battle/battle.lgp/faaq.png","View Picture")</f>
        <v>View Picture</v>
      </c>
    </row>
    <row r="2737">
      <c r="A2737" s="55"/>
      <c r="B2737" s="119" t="s">
        <v>28418</v>
      </c>
      <c r="C2737" s="120" t="s">
        <v>4057</v>
      </c>
      <c r="D2737" s="33" t="s">
        <v>28341</v>
      </c>
      <c r="E2737" s="51" t="s">
        <v>551</v>
      </c>
      <c r="F2737" s="121" t="s">
        <v>3009</v>
      </c>
      <c r="G2737" s="98" t="str">
        <f>HYPERLINK("http://mirror.ff7data.com.ar/ff7/data/battle/battle.lgp/faar.png","View Picture")</f>
        <v>View Picture</v>
      </c>
    </row>
    <row r="2738">
      <c r="A2738" s="55"/>
      <c r="B2738" s="119" t="s">
        <v>28427</v>
      </c>
      <c r="C2738" s="120" t="s">
        <v>4372</v>
      </c>
      <c r="D2738" s="33" t="s">
        <v>28341</v>
      </c>
      <c r="E2738" s="51" t="s">
        <v>551</v>
      </c>
      <c r="F2738" s="121" t="s">
        <v>3009</v>
      </c>
      <c r="G2738" s="98" t="str">
        <f>HYPERLINK("http://mirror.ff7data.com.ar/ff7/data/battle/battle.lgp/faas.png","View Picture")</f>
        <v>View Picture</v>
      </c>
    </row>
    <row r="2739">
      <c r="A2739" s="55"/>
      <c r="B2739" s="119" t="s">
        <v>28439</v>
      </c>
      <c r="C2739" s="120" t="s">
        <v>3658</v>
      </c>
      <c r="D2739" s="33" t="s">
        <v>28341</v>
      </c>
      <c r="E2739" s="51" t="s">
        <v>551</v>
      </c>
      <c r="F2739" s="121" t="s">
        <v>3009</v>
      </c>
      <c r="G2739" s="98" t="str">
        <f>HYPERLINK("http://mirror.ff7data.com.ar/ff7/data/battle/battle.lgp/faat.png","View Picture")</f>
        <v>View Picture</v>
      </c>
    </row>
    <row r="2740">
      <c r="A2740" s="55"/>
      <c r="B2740" s="119" t="s">
        <v>28448</v>
      </c>
      <c r="C2740" s="120" t="s">
        <v>7165</v>
      </c>
      <c r="D2740" s="33" t="s">
        <v>28341</v>
      </c>
      <c r="E2740" s="51" t="s">
        <v>551</v>
      </c>
      <c r="F2740" s="121" t="s">
        <v>3009</v>
      </c>
      <c r="G2740" s="98" t="str">
        <f>HYPERLINK("http://mirror.ff7data.com.ar/ff7/data/battle/battle.lgp/faau.png","View Picture")</f>
        <v>View Picture</v>
      </c>
    </row>
    <row r="2741">
      <c r="A2741" s="55"/>
      <c r="B2741" s="119" t="s">
        <v>28459</v>
      </c>
      <c r="C2741" s="120" t="s">
        <v>28460</v>
      </c>
      <c r="D2741" s="33" t="s">
        <v>28341</v>
      </c>
      <c r="E2741" s="51" t="s">
        <v>551</v>
      </c>
      <c r="F2741" s="121" t="s">
        <v>3009</v>
      </c>
      <c r="G2741" s="98" t="str">
        <f>HYPERLINK("http://mirror.ff7data.com.ar/ff7/data/battle/battle.lgp/faav.png","View Picture")</f>
        <v>View Picture</v>
      </c>
    </row>
    <row r="2742">
      <c r="A2742" s="55"/>
      <c r="B2742" s="119" t="s">
        <v>28472</v>
      </c>
      <c r="C2742" s="120" t="s">
        <v>7165</v>
      </c>
      <c r="D2742" s="33" t="s">
        <v>28341</v>
      </c>
      <c r="E2742" s="51" t="s">
        <v>551</v>
      </c>
      <c r="F2742" s="121" t="s">
        <v>3009</v>
      </c>
      <c r="G2742" s="98" t="str">
        <f>HYPERLINK("http://mirror.ff7data.com.ar/ff7/data/battle/battle.lgp/faaw.png","View Picture")</f>
        <v>View Picture</v>
      </c>
    </row>
    <row r="2743">
      <c r="A2743" s="55"/>
      <c r="B2743" s="119" t="s">
        <v>28485</v>
      </c>
      <c r="C2743" s="120" t="s">
        <v>7165</v>
      </c>
      <c r="D2743" s="33" t="s">
        <v>28341</v>
      </c>
      <c r="E2743" s="51" t="s">
        <v>551</v>
      </c>
      <c r="F2743" s="121" t="s">
        <v>3009</v>
      </c>
      <c r="G2743" s="98" t="str">
        <f>HYPERLINK("http://mirror.ff7data.com.ar/ff7/data/battle/battle.lgp/faax.png","View Picture")</f>
        <v>View Picture</v>
      </c>
    </row>
    <row r="2744">
      <c r="A2744" s="55"/>
      <c r="B2744" s="119" t="s">
        <v>28498</v>
      </c>
      <c r="C2744" s="120" t="s">
        <v>7301</v>
      </c>
      <c r="D2744" s="33" t="s">
        <v>28341</v>
      </c>
      <c r="E2744" s="51" t="s">
        <v>551</v>
      </c>
      <c r="F2744" s="121" t="s">
        <v>3009</v>
      </c>
      <c r="G2744" s="98" t="str">
        <f>HYPERLINK("http://mirror.ff7data.com.ar/ff7/data/battle/battle.lgp/faay.png","View Picture")</f>
        <v>View Picture</v>
      </c>
    </row>
    <row r="2745">
      <c r="A2745" s="55"/>
      <c r="B2745" s="119" t="s">
        <v>28510</v>
      </c>
      <c r="C2745" s="120" t="s">
        <v>4372</v>
      </c>
      <c r="D2745" s="33" t="s">
        <v>28341</v>
      </c>
      <c r="E2745" s="51" t="s">
        <v>551</v>
      </c>
      <c r="F2745" s="121" t="s">
        <v>3009</v>
      </c>
      <c r="G2745" s="98" t="str">
        <f>HYPERLINK("http://mirror.ff7data.com.ar/ff7/data/battle/battle.lgp/faba.png","View Picture")</f>
        <v>View Picture</v>
      </c>
    </row>
    <row r="2746">
      <c r="A2746" s="55"/>
      <c r="B2746" s="119" t="s">
        <v>28522</v>
      </c>
      <c r="C2746" s="120" t="s">
        <v>4732</v>
      </c>
      <c r="D2746" s="33" t="s">
        <v>28341</v>
      </c>
      <c r="E2746" s="51" t="s">
        <v>551</v>
      </c>
      <c r="F2746" s="121" t="s">
        <v>3009</v>
      </c>
      <c r="G2746" s="98" t="str">
        <f>HYPERLINK("http://mirror.ff7data.com.ar/ff7/data/battle/battle.lgp/fabb.png","View Picture")</f>
        <v>View Picture</v>
      </c>
    </row>
    <row r="2747">
      <c r="A2747" s="55"/>
      <c r="B2747" s="119" t="s">
        <v>28535</v>
      </c>
      <c r="C2747" s="120" t="s">
        <v>4357</v>
      </c>
      <c r="D2747" s="33" t="s">
        <v>28341</v>
      </c>
      <c r="E2747" s="51" t="s">
        <v>551</v>
      </c>
      <c r="F2747" s="121" t="s">
        <v>3009</v>
      </c>
      <c r="G2747" s="98" t="str">
        <f>HYPERLINK("http://mirror.ff7data.com.ar/ff7/data/battle/battle.lgp/fabc.png","View Picture")</f>
        <v>View Picture</v>
      </c>
    </row>
    <row r="2748">
      <c r="A2748" s="55"/>
      <c r="B2748" s="119" t="s">
        <v>28545</v>
      </c>
      <c r="C2748" s="120" t="s">
        <v>5891</v>
      </c>
      <c r="D2748" s="33" t="s">
        <v>28341</v>
      </c>
      <c r="E2748" s="51" t="s">
        <v>551</v>
      </c>
      <c r="F2748" s="121" t="s">
        <v>3009</v>
      </c>
      <c r="G2748" s="98" t="str">
        <f>HYPERLINK("http://mirror.ff7data.com.ar/ff7/data/battle/battle.lgp/fabe.png","View Picture")</f>
        <v>View Picture</v>
      </c>
    </row>
    <row r="2749">
      <c r="A2749" s="55"/>
      <c r="B2749" s="119" t="s">
        <v>28556</v>
      </c>
      <c r="C2749" s="120" t="s">
        <v>4372</v>
      </c>
      <c r="D2749" s="33" t="s">
        <v>28341</v>
      </c>
      <c r="E2749" s="51" t="s">
        <v>551</v>
      </c>
      <c r="F2749" s="121" t="s">
        <v>3009</v>
      </c>
      <c r="G2749" s="98" t="str">
        <f>HYPERLINK("http://mirror.ff7data.com.ar/ff7/data/battle/battle.lgp/fabg.png","View Picture")</f>
        <v>View Picture</v>
      </c>
    </row>
    <row r="2750">
      <c r="A2750" s="55"/>
      <c r="B2750" s="119" t="s">
        <v>28568</v>
      </c>
      <c r="C2750" s="120" t="s">
        <v>7165</v>
      </c>
      <c r="D2750" s="33" t="s">
        <v>28341</v>
      </c>
      <c r="E2750" s="51" t="s">
        <v>551</v>
      </c>
      <c r="F2750" s="121" t="s">
        <v>3009</v>
      </c>
      <c r="G2750" s="98" t="str">
        <f>HYPERLINK("http://mirror.ff7data.com.ar/ff7/data/battle/battle.lgp/fabh.png","View Picture")</f>
        <v>View Picture</v>
      </c>
    </row>
    <row r="2751">
      <c r="A2751" s="55"/>
      <c r="B2751" s="119" t="s">
        <v>28584</v>
      </c>
      <c r="C2751" s="120" t="s">
        <v>5891</v>
      </c>
      <c r="D2751" s="33" t="s">
        <v>28341</v>
      </c>
      <c r="E2751" s="51" t="s">
        <v>551</v>
      </c>
      <c r="F2751" s="121" t="s">
        <v>3009</v>
      </c>
      <c r="G2751" s="98" t="str">
        <f>HYPERLINK("http://mirror.ff7data.com.ar/ff7/data/battle/battle.lgp/fabi.png","View Picture")</f>
        <v>View Picture</v>
      </c>
    </row>
    <row r="2752">
      <c r="A2752" s="55"/>
      <c r="B2752" s="119" t="s">
        <v>28599</v>
      </c>
      <c r="C2752" s="120" t="s">
        <v>4372</v>
      </c>
      <c r="D2752" s="33" t="s">
        <v>28341</v>
      </c>
      <c r="E2752" s="51" t="s">
        <v>551</v>
      </c>
      <c r="F2752" s="121" t="s">
        <v>3009</v>
      </c>
      <c r="G2752" s="98" t="str">
        <f>HYPERLINK("http://mirror.ff7data.com.ar/ff7/data/battle/battle.lgp/fabk.png","View Picture")</f>
        <v>View Picture</v>
      </c>
    </row>
    <row r="2753">
      <c r="A2753" s="55"/>
      <c r="B2753" s="119" t="s">
        <v>28612</v>
      </c>
      <c r="C2753" s="120" t="s">
        <v>4357</v>
      </c>
      <c r="D2753" s="33" t="s">
        <v>28341</v>
      </c>
      <c r="E2753" s="51" t="s">
        <v>551</v>
      </c>
      <c r="F2753" s="121" t="s">
        <v>3009</v>
      </c>
      <c r="G2753" s="98" t="str">
        <f>HYPERLINK("http://mirror.ff7data.com.ar/ff7/data/battle/battle.lgp/fabl.png","View Picture")</f>
        <v>View Picture</v>
      </c>
    </row>
    <row r="2754">
      <c r="A2754" s="55"/>
      <c r="B2754" s="119" t="s">
        <v>28623</v>
      </c>
      <c r="C2754" s="120" t="s">
        <v>3648</v>
      </c>
      <c r="D2754" s="33" t="s">
        <v>28341</v>
      </c>
      <c r="E2754" s="51" t="s">
        <v>551</v>
      </c>
      <c r="F2754" s="121" t="s">
        <v>3009</v>
      </c>
      <c r="G2754" s="98" t="str">
        <f>HYPERLINK("http://mirror.ff7data.com.ar/ff7/data/battle/battle.lgp/fabm.png","View Picture")</f>
        <v>View Picture</v>
      </c>
    </row>
    <row r="2755">
      <c r="A2755" s="55"/>
      <c r="B2755" s="119" t="s">
        <v>28642</v>
      </c>
      <c r="C2755" s="120" t="s">
        <v>4732</v>
      </c>
      <c r="D2755" s="33" t="s">
        <v>28341</v>
      </c>
      <c r="E2755" s="51" t="s">
        <v>551</v>
      </c>
      <c r="F2755" s="121" t="s">
        <v>3009</v>
      </c>
      <c r="G2755" s="98" t="str">
        <f>HYPERLINK("http://mirror.ff7data.com.ar/ff7/data/battle/battle.lgp/fabo.png","View Picture")</f>
        <v>View Picture</v>
      </c>
    </row>
    <row r="2756">
      <c r="A2756" s="55"/>
      <c r="B2756" s="119" t="s">
        <v>28654</v>
      </c>
      <c r="C2756" s="120" t="s">
        <v>4732</v>
      </c>
      <c r="D2756" s="33" t="s">
        <v>28341</v>
      </c>
      <c r="E2756" s="51" t="s">
        <v>551</v>
      </c>
      <c r="F2756" s="121" t="s">
        <v>3009</v>
      </c>
      <c r="G2756" s="98" t="str">
        <f>HYPERLINK("http://mirror.ff7data.com.ar/ff7/data/battle/battle.lgp/fabp.png","View Picture")</f>
        <v>View Picture</v>
      </c>
    </row>
    <row r="2757">
      <c r="A2757" s="55"/>
      <c r="B2757" s="119" t="s">
        <v>28668</v>
      </c>
      <c r="C2757" s="120" t="s">
        <v>4046</v>
      </c>
      <c r="D2757" s="33" t="s">
        <v>28341</v>
      </c>
      <c r="E2757" s="51" t="s">
        <v>551</v>
      </c>
      <c r="F2757" s="121" t="s">
        <v>3009</v>
      </c>
      <c r="G2757" s="98" t="str">
        <f>HYPERLINK("http://mirror.ff7data.com.ar/ff7/data/battle/battle.lgp/fabq.png","View Picture")</f>
        <v>View Picture</v>
      </c>
    </row>
    <row r="2758">
      <c r="A2758" s="55"/>
      <c r="B2758" s="119" t="s">
        <v>28683</v>
      </c>
      <c r="C2758" s="120" t="s">
        <v>4264</v>
      </c>
      <c r="D2758" s="33" t="s">
        <v>28341</v>
      </c>
      <c r="E2758" s="51" t="s">
        <v>551</v>
      </c>
      <c r="F2758" s="121" t="s">
        <v>3009</v>
      </c>
      <c r="G2758" s="98" t="str">
        <f>HYPERLINK("http://mirror.ff7data.com.ar/ff7/data/battle/battle.lgp/fabr.png","View Picture")</f>
        <v>View Picture</v>
      </c>
    </row>
    <row r="2759">
      <c r="A2759" s="55"/>
      <c r="B2759" s="119" t="s">
        <v>28692</v>
      </c>
      <c r="C2759" s="120" t="s">
        <v>4372</v>
      </c>
      <c r="D2759" s="33" t="s">
        <v>28341</v>
      </c>
      <c r="E2759" s="51" t="s">
        <v>551</v>
      </c>
      <c r="F2759" s="121" t="s">
        <v>3009</v>
      </c>
      <c r="G2759" s="98" t="str">
        <f>HYPERLINK("http://mirror.ff7data.com.ar/ff7/data/battle/battle.lgp/fabt.png","View Picture")</f>
        <v>View Picture</v>
      </c>
    </row>
    <row r="2760">
      <c r="A2760" s="55"/>
      <c r="B2760" s="119" t="s">
        <v>28706</v>
      </c>
      <c r="C2760" s="120" t="s">
        <v>4732</v>
      </c>
      <c r="D2760" s="33" t="s">
        <v>28341</v>
      </c>
      <c r="E2760" s="51" t="s">
        <v>551</v>
      </c>
      <c r="F2760" s="121" t="s">
        <v>3009</v>
      </c>
      <c r="G2760" s="98" t="str">
        <f>HYPERLINK("http://mirror.ff7data.com.ar/ff7/data/battle/battle.lgp/fabu.png","View Picture")</f>
        <v>View Picture</v>
      </c>
    </row>
    <row r="2761">
      <c r="A2761" s="55"/>
      <c r="B2761" s="119" t="s">
        <v>28715</v>
      </c>
      <c r="C2761" s="120" t="s">
        <v>4357</v>
      </c>
      <c r="D2761" s="33" t="s">
        <v>28341</v>
      </c>
      <c r="E2761" s="51" t="s">
        <v>551</v>
      </c>
      <c r="F2761" s="121" t="s">
        <v>3009</v>
      </c>
      <c r="G2761" s="98" t="str">
        <f>HYPERLINK("http://mirror.ff7data.com.ar/ff7/data/battle/battle.lgp/fabv.png","View Picture")</f>
        <v>View Picture</v>
      </c>
    </row>
    <row r="2762">
      <c r="A2762" s="55"/>
      <c r="B2762" s="119" t="s">
        <v>28729</v>
      </c>
      <c r="C2762" s="120" t="s">
        <v>3842</v>
      </c>
      <c r="D2762" s="33" t="s">
        <v>28341</v>
      </c>
      <c r="E2762" s="51" t="s">
        <v>551</v>
      </c>
      <c r="F2762" s="121" t="s">
        <v>3009</v>
      </c>
      <c r="G2762" s="98" t="str">
        <f>HYPERLINK("http://mirror.ff7data.com.ar/ff7/data/battle/battle.lgp/fabx.png","View Picture")</f>
        <v>View Picture</v>
      </c>
    </row>
    <row r="2763">
      <c r="A2763" s="55"/>
      <c r="B2763" s="119" t="s">
        <v>28738</v>
      </c>
      <c r="C2763" s="120" t="s">
        <v>4476</v>
      </c>
      <c r="D2763" s="33" t="s">
        <v>28341</v>
      </c>
      <c r="E2763" s="51" t="s">
        <v>551</v>
      </c>
      <c r="F2763" s="121" t="s">
        <v>3009</v>
      </c>
      <c r="G2763" s="98" t="str">
        <f>HYPERLINK("http://mirror.ff7data.com.ar/ff7/data/battle/battle.lgp/fabz.png","View Picture")</f>
        <v>View Picture</v>
      </c>
    </row>
    <row r="2764">
      <c r="A2764" s="55"/>
      <c r="B2764" s="119" t="s">
        <v>28746</v>
      </c>
      <c r="C2764" s="120" t="s">
        <v>4288</v>
      </c>
      <c r="D2764" s="33" t="s">
        <v>28341</v>
      </c>
      <c r="E2764" s="51" t="s">
        <v>551</v>
      </c>
      <c r="F2764" s="121" t="s">
        <v>3009</v>
      </c>
      <c r="G2764" s="98" t="str">
        <f>HYPERLINK("http://mirror.ff7data.com.ar/ff7/data/battle/battle.lgp/faca.png","View Picture")</f>
        <v>View Picture</v>
      </c>
    </row>
    <row r="2765">
      <c r="A2765" s="55"/>
      <c r="B2765" s="119" t="s">
        <v>28754</v>
      </c>
      <c r="C2765" s="120" t="s">
        <v>4439</v>
      </c>
      <c r="D2765" s="33" t="s">
        <v>28341</v>
      </c>
      <c r="E2765" s="51" t="s">
        <v>551</v>
      </c>
      <c r="F2765" s="121" t="s">
        <v>3009</v>
      </c>
      <c r="G2765" s="98" t="str">
        <f>HYPERLINK("http://mirror.ff7data.com.ar/ff7/data/battle/battle.lgp/facb.png","View Picture")</f>
        <v>View Picture</v>
      </c>
    </row>
    <row r="2766">
      <c r="A2766" s="55"/>
      <c r="B2766" s="119" t="s">
        <v>28760</v>
      </c>
      <c r="C2766" s="120" t="s">
        <v>3842</v>
      </c>
      <c r="D2766" s="33" t="s">
        <v>28341</v>
      </c>
      <c r="E2766" s="51" t="s">
        <v>551</v>
      </c>
      <c r="F2766" s="121" t="s">
        <v>3009</v>
      </c>
      <c r="G2766" s="98" t="str">
        <f>HYPERLINK("http://mirror.ff7data.com.ar/ff7/data/battle/battle.lgp/facc.png","View Picture")</f>
        <v>View Picture</v>
      </c>
    </row>
    <row r="2767">
      <c r="A2767" s="55"/>
      <c r="B2767" s="119" t="s">
        <v>28770</v>
      </c>
      <c r="C2767" s="120" t="s">
        <v>6029</v>
      </c>
      <c r="D2767" s="33" t="s">
        <v>28341</v>
      </c>
      <c r="E2767" s="51" t="s">
        <v>551</v>
      </c>
      <c r="F2767" s="121" t="s">
        <v>3009</v>
      </c>
      <c r="G2767" s="98" t="str">
        <f>HYPERLINK("http://mirror.ff7data.com.ar/ff7/data/battle/battle.lgp/facd.png","View Picture")</f>
        <v>View Picture</v>
      </c>
    </row>
    <row r="2768">
      <c r="A2768" s="55"/>
      <c r="B2768" s="119" t="s">
        <v>28777</v>
      </c>
      <c r="C2768" s="120" t="s">
        <v>4476</v>
      </c>
      <c r="D2768" s="33" t="s">
        <v>28341</v>
      </c>
      <c r="E2768" s="51" t="s">
        <v>551</v>
      </c>
      <c r="F2768" s="121" t="s">
        <v>3009</v>
      </c>
      <c r="G2768" s="98" t="str">
        <f>HYPERLINK("http://mirror.ff7data.com.ar/ff7/data/battle/battle.lgp/face.png","View Picture")</f>
        <v>View Picture</v>
      </c>
    </row>
    <row r="2769">
      <c r="A2769" s="55"/>
      <c r="B2769" s="119" t="s">
        <v>28783</v>
      </c>
      <c r="C2769" s="120" t="s">
        <v>4288</v>
      </c>
      <c r="D2769" s="33" t="s">
        <v>28341</v>
      </c>
      <c r="E2769" s="51" t="s">
        <v>551</v>
      </c>
      <c r="F2769" s="121" t="s">
        <v>3009</v>
      </c>
      <c r="G2769" s="98" t="str">
        <f>HYPERLINK("http://mirror.ff7data.com.ar/ff7/data/battle/battle.lgp/facf.png","View Picture")</f>
        <v>View Picture</v>
      </c>
    </row>
    <row r="2770">
      <c r="A2770" s="55"/>
      <c r="B2770" s="119" t="s">
        <v>28789</v>
      </c>
      <c r="C2770" s="120" t="s">
        <v>4439</v>
      </c>
      <c r="D2770" s="33" t="s">
        <v>28341</v>
      </c>
      <c r="E2770" s="51" t="s">
        <v>551</v>
      </c>
      <c r="F2770" s="121" t="s">
        <v>3009</v>
      </c>
      <c r="G2770" s="98" t="str">
        <f>HYPERLINK("http://mirror.ff7data.com.ar/ff7/data/battle/battle.lgp/facg.png","View Picture")</f>
        <v>View Picture</v>
      </c>
    </row>
    <row r="2771">
      <c r="A2771" s="55"/>
      <c r="B2771" s="119" t="s">
        <v>28796</v>
      </c>
      <c r="C2771" s="120" t="s">
        <v>3842</v>
      </c>
      <c r="D2771" s="33" t="s">
        <v>28341</v>
      </c>
      <c r="E2771" s="51" t="s">
        <v>551</v>
      </c>
      <c r="F2771" s="121" t="s">
        <v>3009</v>
      </c>
      <c r="G2771" s="98" t="str">
        <f>HYPERLINK("http://mirror.ff7data.com.ar/ff7/data/battle/battle.lgp/fach.png","View Picture")</f>
        <v>View Picture</v>
      </c>
    </row>
    <row r="2772">
      <c r="A2772" s="55"/>
      <c r="B2772" s="119" t="s">
        <v>28805</v>
      </c>
      <c r="C2772" s="120" t="s">
        <v>26120</v>
      </c>
      <c r="D2772" s="33" t="s">
        <v>28341</v>
      </c>
      <c r="E2772" s="51" t="s">
        <v>551</v>
      </c>
      <c r="F2772" s="121" t="s">
        <v>3025</v>
      </c>
      <c r="H2772" s="46" t="s">
        <v>3002</v>
      </c>
    </row>
    <row r="2773">
      <c r="A2773" s="55"/>
      <c r="B2773" s="119" t="s">
        <v>28809</v>
      </c>
      <c r="C2773" s="120" t="s">
        <v>4196</v>
      </c>
      <c r="D2773" s="33" t="s">
        <v>28811</v>
      </c>
      <c r="E2773" s="51" t="s">
        <v>554</v>
      </c>
      <c r="F2773" s="121" t="s">
        <v>2971</v>
      </c>
      <c r="G2773" s="98" t="str">
        <f>HYPERLINK("http://mirror.ff7data.com.ar/ff7/data/battle/battle.lgp/fbaa.png","View Picture")</f>
        <v>View Picture</v>
      </c>
    </row>
    <row r="2774">
      <c r="A2774" s="55"/>
      <c r="B2774" s="119" t="s">
        <v>28820</v>
      </c>
      <c r="C2774" s="120" t="s">
        <v>4926</v>
      </c>
      <c r="D2774" s="33" t="s">
        <v>28821</v>
      </c>
      <c r="E2774" s="51" t="s">
        <v>554</v>
      </c>
      <c r="F2774" s="121" t="s">
        <v>2993</v>
      </c>
      <c r="H2774" s="46" t="s">
        <v>3002</v>
      </c>
    </row>
    <row r="2775">
      <c r="A2775" s="55"/>
      <c r="B2775" s="119" t="s">
        <v>28824</v>
      </c>
      <c r="C2775" s="120" t="s">
        <v>3552</v>
      </c>
      <c r="D2775" s="33" t="s">
        <v>28825</v>
      </c>
      <c r="E2775" s="51" t="s">
        <v>554</v>
      </c>
      <c r="F2775" s="121" t="s">
        <v>1348</v>
      </c>
      <c r="G2775" s="98" t="str">
        <f>HYPERLINK("http://mirror.ff7data.com.ar/ff7/data/battle/battle.lgp/fbac.png","View Picture")</f>
        <v>View Picture</v>
      </c>
    </row>
    <row r="2776">
      <c r="A2776" s="55"/>
      <c r="B2776" s="119" t="s">
        <v>28835</v>
      </c>
      <c r="C2776" s="120" t="s">
        <v>4191</v>
      </c>
      <c r="D2776" s="33" t="s">
        <v>28825</v>
      </c>
      <c r="E2776" s="51" t="s">
        <v>554</v>
      </c>
      <c r="F2776" s="121" t="s">
        <v>1348</v>
      </c>
      <c r="G2776" s="98" t="str">
        <f>HYPERLINK("http://mirror.ff7data.com.ar/ff7/data/battle/battle.lgp/fbad.png","View Picture")</f>
        <v>View Picture</v>
      </c>
    </row>
    <row r="2777">
      <c r="A2777" s="55"/>
      <c r="B2777" s="119" t="s">
        <v>28840</v>
      </c>
      <c r="C2777" s="120" t="s">
        <v>4732</v>
      </c>
      <c r="D2777" s="33" t="s">
        <v>28825</v>
      </c>
      <c r="E2777" s="51" t="s">
        <v>554</v>
      </c>
      <c r="F2777" s="121" t="s">
        <v>1348</v>
      </c>
      <c r="G2777" s="98" t="str">
        <f>HYPERLINK("http://mirror.ff7data.com.ar/ff7/data/battle/battle.lgp/fbae.png","View Picture")</f>
        <v>View Picture</v>
      </c>
    </row>
    <row r="2778">
      <c r="A2778" s="55"/>
      <c r="B2778" s="119" t="s">
        <v>28848</v>
      </c>
      <c r="C2778" s="120" t="s">
        <v>5203</v>
      </c>
      <c r="D2778" s="33" t="s">
        <v>28821</v>
      </c>
      <c r="E2778" s="51" t="s">
        <v>554</v>
      </c>
      <c r="F2778" s="121" t="s">
        <v>3009</v>
      </c>
      <c r="G2778" s="98" t="str">
        <f>HYPERLINK("http://mirror.ff7data.com.ar/ff7/data/battle/battle.lgp/fbam.png","View Picture")</f>
        <v>View Picture</v>
      </c>
    </row>
    <row r="2779">
      <c r="A2779" s="55"/>
      <c r="B2779" s="119" t="s">
        <v>28861</v>
      </c>
      <c r="C2779" s="120" t="s">
        <v>6830</v>
      </c>
      <c r="D2779" s="33" t="s">
        <v>28821</v>
      </c>
      <c r="E2779" s="51" t="s">
        <v>554</v>
      </c>
      <c r="F2779" s="121" t="s">
        <v>3009</v>
      </c>
      <c r="G2779" s="98" t="str">
        <f>HYPERLINK("http://mirror.ff7data.com.ar/ff7/data/battle/battle.lgp/fban.png","View Picture")</f>
        <v>View Picture</v>
      </c>
    </row>
    <row r="2780">
      <c r="A2780" s="55"/>
      <c r="B2780" s="119" t="s">
        <v>28873</v>
      </c>
      <c r="C2780" s="120" t="s">
        <v>3399</v>
      </c>
      <c r="D2780" s="33" t="s">
        <v>28821</v>
      </c>
      <c r="E2780" s="51" t="s">
        <v>554</v>
      </c>
      <c r="F2780" s="121" t="s">
        <v>3009</v>
      </c>
      <c r="G2780" s="98" t="str">
        <f>HYPERLINK("http://mirror.ff7data.com.ar/ff7/data/battle/battle.lgp/fbao.png","View Picture")</f>
        <v>View Picture</v>
      </c>
    </row>
    <row r="2781">
      <c r="A2781" s="55"/>
      <c r="B2781" s="119" t="s">
        <v>28889</v>
      </c>
      <c r="C2781" s="120" t="s">
        <v>3481</v>
      </c>
      <c r="D2781" s="33" t="s">
        <v>28821</v>
      </c>
      <c r="E2781" s="51" t="s">
        <v>554</v>
      </c>
      <c r="F2781" s="121" t="s">
        <v>3009</v>
      </c>
      <c r="G2781" s="98" t="str">
        <f>HYPERLINK("http://mirror.ff7data.com.ar/ff7/data/battle/battle.lgp/fbar.png","View Picture")</f>
        <v>View Picture</v>
      </c>
    </row>
    <row r="2782">
      <c r="A2782" s="55"/>
      <c r="B2782" s="119" t="s">
        <v>28901</v>
      </c>
      <c r="C2782" s="120" t="s">
        <v>3505</v>
      </c>
      <c r="D2782" s="33" t="s">
        <v>28821</v>
      </c>
      <c r="E2782" s="51" t="s">
        <v>554</v>
      </c>
      <c r="F2782" s="121" t="s">
        <v>3009</v>
      </c>
      <c r="G2782" s="98" t="str">
        <f>HYPERLINK("http://mirror.ff7data.com.ar/ff7/data/battle/battle.lgp/fbas.png","View Picture")</f>
        <v>View Picture</v>
      </c>
    </row>
    <row r="2783">
      <c r="A2783" s="55"/>
      <c r="B2783" s="119" t="s">
        <v>28910</v>
      </c>
      <c r="C2783" s="120" t="s">
        <v>3614</v>
      </c>
      <c r="D2783" s="33" t="s">
        <v>28821</v>
      </c>
      <c r="E2783" s="51" t="s">
        <v>554</v>
      </c>
      <c r="F2783" s="121" t="s">
        <v>3009</v>
      </c>
      <c r="G2783" s="98" t="str">
        <f>HYPERLINK("http://mirror.ff7data.com.ar/ff7/data/battle/battle.lgp/fbat.png","View Picture")</f>
        <v>View Picture</v>
      </c>
    </row>
    <row r="2784">
      <c r="A2784" s="55"/>
      <c r="B2784" s="119" t="s">
        <v>28917</v>
      </c>
      <c r="C2784" s="120" t="s">
        <v>4439</v>
      </c>
      <c r="D2784" s="33" t="s">
        <v>28821</v>
      </c>
      <c r="E2784" s="51" t="s">
        <v>554</v>
      </c>
      <c r="F2784" s="121" t="s">
        <v>3009</v>
      </c>
      <c r="G2784" s="98" t="str">
        <f>HYPERLINK("http://mirror.ff7data.com.ar/ff7/data/battle/battle.lgp/fbav.png","View Picture")</f>
        <v>View Picture</v>
      </c>
    </row>
    <row r="2785">
      <c r="A2785" s="55"/>
      <c r="B2785" s="119" t="s">
        <v>28927</v>
      </c>
      <c r="C2785" s="120" t="s">
        <v>3481</v>
      </c>
      <c r="D2785" s="33" t="s">
        <v>28821</v>
      </c>
      <c r="E2785" s="51" t="s">
        <v>554</v>
      </c>
      <c r="F2785" s="121" t="s">
        <v>3009</v>
      </c>
      <c r="G2785" s="98" t="str">
        <f>HYPERLINK("http://mirror.ff7data.com.ar/ff7/data/battle/battle.lgp/fbay.png","View Picture")</f>
        <v>View Picture</v>
      </c>
    </row>
    <row r="2786">
      <c r="A2786" s="55"/>
      <c r="B2786" s="119" t="s">
        <v>28936</v>
      </c>
      <c r="C2786" s="120" t="s">
        <v>13957</v>
      </c>
      <c r="D2786" s="33" t="s">
        <v>28821</v>
      </c>
      <c r="E2786" s="51" t="s">
        <v>554</v>
      </c>
      <c r="F2786" s="121" t="s">
        <v>3009</v>
      </c>
      <c r="G2786" s="98" t="str">
        <f>HYPERLINK("http://mirror.ff7data.com.ar/ff7/data/battle/battle.lgp/fbaz.png","View Picture")</f>
        <v>View Picture</v>
      </c>
    </row>
    <row r="2787">
      <c r="A2787" s="55"/>
      <c r="B2787" s="119" t="s">
        <v>28949</v>
      </c>
      <c r="C2787" s="120" t="s">
        <v>3445</v>
      </c>
      <c r="D2787" s="33" t="s">
        <v>28821</v>
      </c>
      <c r="E2787" s="51" t="s">
        <v>554</v>
      </c>
      <c r="F2787" s="121" t="s">
        <v>3009</v>
      </c>
      <c r="G2787" s="98" t="str">
        <f>HYPERLINK("http://mirror.ff7data.com.ar/ff7/data/battle/battle.lgp/fbba.png","View Picture")</f>
        <v>View Picture</v>
      </c>
    </row>
    <row r="2788">
      <c r="A2788" s="55"/>
      <c r="B2788" s="119" t="s">
        <v>28960</v>
      </c>
      <c r="C2788" s="120" t="s">
        <v>4439</v>
      </c>
      <c r="D2788" s="33" t="s">
        <v>28821</v>
      </c>
      <c r="E2788" s="51" t="s">
        <v>554</v>
      </c>
      <c r="F2788" s="121" t="s">
        <v>3009</v>
      </c>
      <c r="G2788" s="98" t="str">
        <f>HYPERLINK("http://mirror.ff7data.com.ar/ff7/data/battle/battle.lgp/fbbc.png","View Picture")</f>
        <v>View Picture</v>
      </c>
    </row>
    <row r="2789">
      <c r="A2789" s="55"/>
      <c r="B2789" s="119" t="s">
        <v>28968</v>
      </c>
      <c r="C2789" s="120" t="s">
        <v>5762</v>
      </c>
      <c r="D2789" s="33" t="s">
        <v>28821</v>
      </c>
      <c r="E2789" s="51" t="s">
        <v>554</v>
      </c>
      <c r="F2789" s="121" t="s">
        <v>3009</v>
      </c>
      <c r="G2789" s="98" t="str">
        <f>HYPERLINK("http://mirror.ff7data.com.ar/ff7/data/battle/battle.lgp/fbbe.png","View Picture")</f>
        <v>View Picture</v>
      </c>
    </row>
    <row r="2790">
      <c r="A2790" s="55"/>
      <c r="B2790" s="119" t="s">
        <v>28977</v>
      </c>
      <c r="C2790" s="120" t="s">
        <v>4240</v>
      </c>
      <c r="D2790" s="33" t="s">
        <v>28821</v>
      </c>
      <c r="E2790" s="51" t="s">
        <v>554</v>
      </c>
      <c r="F2790" s="121" t="s">
        <v>3009</v>
      </c>
      <c r="G2790" s="98" t="str">
        <f>HYPERLINK("http://mirror.ff7data.com.ar/ff7/data/battle/battle.lgp/fbbf.png","View Picture")</f>
        <v>View Picture</v>
      </c>
    </row>
    <row r="2791">
      <c r="A2791" s="55"/>
      <c r="B2791" s="119" t="s">
        <v>28983</v>
      </c>
      <c r="C2791" s="120" t="s">
        <v>4185</v>
      </c>
      <c r="D2791" s="33" t="s">
        <v>28821</v>
      </c>
      <c r="E2791" s="51" t="s">
        <v>554</v>
      </c>
      <c r="F2791" s="121" t="s">
        <v>3009</v>
      </c>
      <c r="G2791" s="98" t="str">
        <f>HYPERLINK("http://mirror.ff7data.com.ar/ff7/data/battle/battle.lgp/fbbh.png","View Picture")</f>
        <v>View Picture</v>
      </c>
    </row>
    <row r="2792">
      <c r="A2792" s="55"/>
      <c r="B2792" s="119" t="s">
        <v>28993</v>
      </c>
      <c r="C2792" s="120" t="s">
        <v>4185</v>
      </c>
      <c r="D2792" s="33" t="s">
        <v>28821</v>
      </c>
      <c r="E2792" s="51" t="s">
        <v>554</v>
      </c>
      <c r="F2792" s="121" t="s">
        <v>3009</v>
      </c>
      <c r="G2792" s="98" t="str">
        <f>HYPERLINK("http://mirror.ff7data.com.ar/ff7/data/battle/battle.lgp/fbbi.png","View Picture")</f>
        <v>View Picture</v>
      </c>
    </row>
    <row r="2793">
      <c r="A2793" s="55"/>
      <c r="B2793" s="119" t="s">
        <v>29000</v>
      </c>
      <c r="C2793" s="120" t="s">
        <v>4185</v>
      </c>
      <c r="D2793" s="33" t="s">
        <v>28821</v>
      </c>
      <c r="E2793" s="51" t="s">
        <v>554</v>
      </c>
      <c r="F2793" s="121" t="s">
        <v>3009</v>
      </c>
      <c r="G2793" s="98" t="str">
        <f>HYPERLINK("http://mirror.ff7data.com.ar/ff7/data/battle/battle.lgp/fbbj.png","View Picture")</f>
        <v>View Picture</v>
      </c>
    </row>
    <row r="2794">
      <c r="A2794" s="55"/>
      <c r="B2794" s="119" t="s">
        <v>29012</v>
      </c>
      <c r="C2794" s="120" t="s">
        <v>5762</v>
      </c>
      <c r="D2794" s="33" t="s">
        <v>28821</v>
      </c>
      <c r="E2794" s="51" t="s">
        <v>554</v>
      </c>
      <c r="F2794" s="121" t="s">
        <v>3009</v>
      </c>
      <c r="G2794" s="98" t="str">
        <f>HYPERLINK("http://mirror.ff7data.com.ar/ff7/data/battle/battle.lgp/fbbl.png","View Picture")</f>
        <v>View Picture</v>
      </c>
    </row>
    <row r="2795">
      <c r="A2795" s="55"/>
      <c r="B2795" s="119" t="s">
        <v>29021</v>
      </c>
      <c r="C2795" s="120" t="s">
        <v>18406</v>
      </c>
      <c r="D2795" s="33" t="s">
        <v>28821</v>
      </c>
      <c r="E2795" s="51" t="s">
        <v>554</v>
      </c>
      <c r="F2795" s="121" t="s">
        <v>3009</v>
      </c>
      <c r="G2795" s="98" t="str">
        <f>HYPERLINK("http://mirror.ff7data.com.ar/ff7/data/battle/battle.lgp/fbbm.png","View Picture")</f>
        <v>View Picture</v>
      </c>
    </row>
    <row r="2796">
      <c r="A2796" s="55"/>
      <c r="B2796" s="119" t="s">
        <v>29030</v>
      </c>
      <c r="C2796" s="120" t="s">
        <v>6018</v>
      </c>
      <c r="D2796" s="33" t="s">
        <v>28821</v>
      </c>
      <c r="E2796" s="51" t="s">
        <v>554</v>
      </c>
      <c r="F2796" s="121" t="s">
        <v>3025</v>
      </c>
      <c r="H2796" s="46" t="s">
        <v>3002</v>
      </c>
    </row>
    <row r="2797">
      <c r="A2797" s="55"/>
      <c r="B2797" s="119" t="s">
        <v>29038</v>
      </c>
      <c r="C2797" s="120" t="s">
        <v>8004</v>
      </c>
      <c r="D2797" s="33" t="s">
        <v>29042</v>
      </c>
      <c r="E2797" s="51" t="s">
        <v>557</v>
      </c>
      <c r="F2797" s="121" t="s">
        <v>2971</v>
      </c>
      <c r="G2797" s="98" t="str">
        <f>HYPERLINK("http://mirror.ff7data.com.ar/ff7/data/battle/battle.lgp/fcaa.png","View Picture")</f>
        <v>View Picture</v>
      </c>
    </row>
    <row r="2798">
      <c r="A2798" s="55"/>
      <c r="B2798" s="119" t="s">
        <v>29052</v>
      </c>
      <c r="C2798" s="120" t="s">
        <v>7375</v>
      </c>
      <c r="D2798" s="33" t="s">
        <v>29054</v>
      </c>
      <c r="E2798" s="51" t="s">
        <v>557</v>
      </c>
      <c r="F2798" s="121" t="s">
        <v>2993</v>
      </c>
      <c r="H2798" s="46" t="s">
        <v>3002</v>
      </c>
    </row>
    <row r="2799">
      <c r="A2799" s="55"/>
      <c r="B2799" s="119" t="s">
        <v>29059</v>
      </c>
      <c r="C2799" s="120" t="s">
        <v>7081</v>
      </c>
      <c r="D2799" s="33" t="s">
        <v>29061</v>
      </c>
      <c r="E2799" s="51" t="s">
        <v>557</v>
      </c>
      <c r="F2799" s="121" t="s">
        <v>3009</v>
      </c>
      <c r="G2799" s="98" t="str">
        <f>HYPERLINK("http://mirror.ff7data.com.ar/ff7/data/battle/battle.lgp/fcac.png","View Picture")</f>
        <v>View Picture</v>
      </c>
    </row>
    <row r="2800">
      <c r="A2800" s="55"/>
      <c r="B2800" s="119" t="s">
        <v>29069</v>
      </c>
      <c r="C2800" s="120" t="s">
        <v>5891</v>
      </c>
      <c r="D2800" s="33" t="s">
        <v>29054</v>
      </c>
      <c r="E2800" s="51" t="s">
        <v>557</v>
      </c>
      <c r="F2800" s="121" t="s">
        <v>3009</v>
      </c>
      <c r="G2800" s="98" t="str">
        <f>HYPERLINK("http://mirror.ff7data.com.ar/ff7/data/battle/battle.lgp/fcam.png","View Picture")</f>
        <v>View Picture</v>
      </c>
    </row>
    <row r="2801">
      <c r="A2801" s="55"/>
      <c r="B2801" s="119" t="s">
        <v>29079</v>
      </c>
      <c r="C2801" s="120" t="s">
        <v>4185</v>
      </c>
      <c r="D2801" s="33" t="s">
        <v>29054</v>
      </c>
      <c r="E2801" s="51" t="s">
        <v>557</v>
      </c>
      <c r="F2801" s="121" t="s">
        <v>3009</v>
      </c>
      <c r="G2801" s="98" t="str">
        <f>HYPERLINK("http://mirror.ff7data.com.ar/ff7/data/battle/battle.lgp/fcan.png","View Picture")</f>
        <v>View Picture</v>
      </c>
    </row>
    <row r="2802">
      <c r="A2802" s="55"/>
      <c r="B2802" s="119" t="s">
        <v>29089</v>
      </c>
      <c r="C2802" s="120" t="s">
        <v>4030</v>
      </c>
      <c r="D2802" s="33" t="s">
        <v>29054</v>
      </c>
      <c r="E2802" s="51" t="s">
        <v>557</v>
      </c>
      <c r="F2802" s="121" t="s">
        <v>3009</v>
      </c>
      <c r="G2802" s="98" t="str">
        <f>HYPERLINK("http://mirror.ff7data.com.ar/ff7/data/battle/battle.lgp/fcao.png","View Picture")</f>
        <v>View Picture</v>
      </c>
    </row>
    <row r="2803">
      <c r="A2803" s="55"/>
      <c r="B2803" s="119" t="s">
        <v>29101</v>
      </c>
      <c r="C2803" s="120" t="s">
        <v>4696</v>
      </c>
      <c r="D2803" s="33" t="s">
        <v>29054</v>
      </c>
      <c r="E2803" s="51" t="s">
        <v>557</v>
      </c>
      <c r="F2803" s="121" t="s">
        <v>3009</v>
      </c>
      <c r="G2803" s="98" t="str">
        <f>HYPERLINK("http://mirror.ff7data.com.ar/ff7/data/battle/battle.lgp/fcar.png","View Picture")</f>
        <v>View Picture</v>
      </c>
    </row>
    <row r="2804">
      <c r="A2804" s="55"/>
      <c r="B2804" s="119" t="s">
        <v>29111</v>
      </c>
      <c r="C2804" s="120" t="s">
        <v>4372</v>
      </c>
      <c r="D2804" s="33" t="s">
        <v>29054</v>
      </c>
      <c r="E2804" s="51" t="s">
        <v>557</v>
      </c>
      <c r="F2804" s="121" t="s">
        <v>3009</v>
      </c>
      <c r="G2804" s="98" t="str">
        <f>HYPERLINK("http://mirror.ff7data.com.ar/ff7/data/battle/battle.lgp/fcas.png","View Picture")</f>
        <v>View Picture</v>
      </c>
    </row>
    <row r="2805">
      <c r="A2805" s="55"/>
      <c r="B2805" s="119" t="s">
        <v>29121</v>
      </c>
      <c r="C2805" s="120" t="s">
        <v>4357</v>
      </c>
      <c r="D2805" s="33" t="s">
        <v>29054</v>
      </c>
      <c r="E2805" s="51" t="s">
        <v>557</v>
      </c>
      <c r="F2805" s="121" t="s">
        <v>3009</v>
      </c>
      <c r="G2805" s="98" t="str">
        <f>HYPERLINK("http://mirror.ff7data.com.ar/ff7/data/battle/battle.lgp/fcau.png","View Picture")</f>
        <v>View Picture</v>
      </c>
    </row>
    <row r="2806">
      <c r="A2806" s="55"/>
      <c r="B2806" s="119" t="s">
        <v>29131</v>
      </c>
      <c r="C2806" s="120" t="s">
        <v>4264</v>
      </c>
      <c r="D2806" s="33" t="s">
        <v>29054</v>
      </c>
      <c r="E2806" s="51" t="s">
        <v>557</v>
      </c>
      <c r="F2806" s="121" t="s">
        <v>3009</v>
      </c>
      <c r="G2806" s="98" t="str">
        <f>HYPERLINK("http://mirror.ff7data.com.ar/ff7/data/battle/battle.lgp/fcaw.png","View Picture")</f>
        <v>View Picture</v>
      </c>
    </row>
    <row r="2807">
      <c r="A2807" s="55"/>
      <c r="B2807" s="119" t="s">
        <v>29144</v>
      </c>
      <c r="C2807" s="120" t="s">
        <v>4185</v>
      </c>
      <c r="D2807" s="33" t="s">
        <v>29054</v>
      </c>
      <c r="E2807" s="51" t="s">
        <v>557</v>
      </c>
      <c r="F2807" s="121" t="s">
        <v>3009</v>
      </c>
      <c r="G2807" s="98" t="str">
        <f>HYPERLINK("http://mirror.ff7data.com.ar/ff7/data/battle/battle.lgp/fcaz.png","View Picture")</f>
        <v>View Picture</v>
      </c>
    </row>
    <row r="2808">
      <c r="A2808" s="55"/>
      <c r="B2808" s="119" t="s">
        <v>29154</v>
      </c>
      <c r="C2808" s="120" t="s">
        <v>4707</v>
      </c>
      <c r="D2808" s="33" t="s">
        <v>29054</v>
      </c>
      <c r="E2808" s="51" t="s">
        <v>557</v>
      </c>
      <c r="F2808" s="121" t="s">
        <v>3009</v>
      </c>
      <c r="G2808" s="98" t="str">
        <f>HYPERLINK("http://mirror.ff7data.com.ar/ff7/data/battle/battle.lgp/fcba.png","View Picture")</f>
        <v>View Picture</v>
      </c>
    </row>
    <row r="2809">
      <c r="A2809" s="55"/>
      <c r="B2809" s="119" t="s">
        <v>29162</v>
      </c>
      <c r="C2809" s="120" t="s">
        <v>6029</v>
      </c>
      <c r="D2809" s="33" t="s">
        <v>29054</v>
      </c>
      <c r="E2809" s="51" t="s">
        <v>557</v>
      </c>
      <c r="F2809" s="121" t="s">
        <v>3009</v>
      </c>
      <c r="G2809" s="98" t="str">
        <f>HYPERLINK("http://mirror.ff7data.com.ar/ff7/data/battle/battle.lgp/fcbb.png","View Picture")</f>
        <v>View Picture</v>
      </c>
    </row>
    <row r="2810">
      <c r="A2810" s="55"/>
      <c r="B2810" s="119" t="s">
        <v>29169</v>
      </c>
      <c r="C2810" s="120" t="s">
        <v>4732</v>
      </c>
      <c r="D2810" s="33" t="s">
        <v>29054</v>
      </c>
      <c r="E2810" s="51" t="s">
        <v>557</v>
      </c>
      <c r="F2810" s="121" t="s">
        <v>3009</v>
      </c>
      <c r="G2810" s="98" t="str">
        <f>HYPERLINK("http://mirror.ff7data.com.ar/ff7/data/battle/battle.lgp/fcbd.png","View Picture")</f>
        <v>View Picture</v>
      </c>
    </row>
    <row r="2811">
      <c r="A2811" s="55"/>
      <c r="B2811" s="119" t="s">
        <v>29176</v>
      </c>
      <c r="C2811" s="120" t="s">
        <v>4707</v>
      </c>
      <c r="D2811" s="33" t="s">
        <v>29054</v>
      </c>
      <c r="E2811" s="51" t="s">
        <v>557</v>
      </c>
      <c r="F2811" s="121" t="s">
        <v>3009</v>
      </c>
      <c r="G2811" s="98" t="str">
        <f>HYPERLINK("http://mirror.ff7data.com.ar/ff7/data/battle/battle.lgp/fcbe.png","View Picture")</f>
        <v>View Picture</v>
      </c>
    </row>
    <row r="2812">
      <c r="A2812" s="55"/>
      <c r="B2812" s="119" t="s">
        <v>29183</v>
      </c>
      <c r="C2812" s="120" t="s">
        <v>6029</v>
      </c>
      <c r="D2812" s="33" t="s">
        <v>29054</v>
      </c>
      <c r="E2812" s="51" t="s">
        <v>557</v>
      </c>
      <c r="F2812" s="121" t="s">
        <v>3009</v>
      </c>
      <c r="G2812" s="98" t="str">
        <f>HYPERLINK("http://mirror.ff7data.com.ar/ff7/data/battle/battle.lgp/fcbf.png","View Picture")</f>
        <v>View Picture</v>
      </c>
    </row>
    <row r="2813">
      <c r="A2813" s="55"/>
      <c r="B2813" s="119" t="s">
        <v>29191</v>
      </c>
      <c r="C2813" s="120" t="s">
        <v>4732</v>
      </c>
      <c r="D2813" s="33" t="s">
        <v>29054</v>
      </c>
      <c r="E2813" s="51" t="s">
        <v>557</v>
      </c>
      <c r="F2813" s="121" t="s">
        <v>3009</v>
      </c>
      <c r="G2813" s="98" t="str">
        <f>HYPERLINK("http://mirror.ff7data.com.ar/ff7/data/battle/battle.lgp/fcbh.png","View Picture")</f>
        <v>View Picture</v>
      </c>
    </row>
    <row r="2814">
      <c r="A2814" s="55"/>
      <c r="B2814" s="119" t="s">
        <v>29198</v>
      </c>
      <c r="C2814" s="120" t="s">
        <v>4707</v>
      </c>
      <c r="D2814" s="33" t="s">
        <v>29054</v>
      </c>
      <c r="E2814" s="51" t="s">
        <v>557</v>
      </c>
      <c r="F2814" s="121" t="s">
        <v>3009</v>
      </c>
      <c r="G2814" s="98" t="str">
        <f>HYPERLINK("http://mirror.ff7data.com.ar/ff7/data/battle/battle.lgp/fcbi.png","View Picture")</f>
        <v>View Picture</v>
      </c>
    </row>
    <row r="2815">
      <c r="A2815" s="55"/>
      <c r="B2815" s="119" t="s">
        <v>29205</v>
      </c>
      <c r="C2815" s="120" t="s">
        <v>6029</v>
      </c>
      <c r="D2815" s="33" t="s">
        <v>29054</v>
      </c>
      <c r="E2815" s="51" t="s">
        <v>557</v>
      </c>
      <c r="F2815" s="121" t="s">
        <v>3009</v>
      </c>
      <c r="G2815" s="98" t="str">
        <f>HYPERLINK("http://mirror.ff7data.com.ar/ff7/data/battle/battle.lgp/fcbj.png","View Picture")</f>
        <v>View Picture</v>
      </c>
    </row>
    <row r="2816">
      <c r="A2816" s="55"/>
      <c r="B2816" s="119" t="s">
        <v>29212</v>
      </c>
      <c r="C2816" s="120" t="s">
        <v>4439</v>
      </c>
      <c r="D2816" s="33" t="s">
        <v>29054</v>
      </c>
      <c r="E2816" s="51" t="s">
        <v>557</v>
      </c>
      <c r="F2816" s="121" t="s">
        <v>3009</v>
      </c>
      <c r="G2816" s="98" t="str">
        <f>HYPERLINK("http://mirror.ff7data.com.ar/ff7/data/battle/battle.lgp/fcbl.png","View Picture")</f>
        <v>View Picture</v>
      </c>
    </row>
    <row r="2817">
      <c r="A2817" s="55"/>
      <c r="B2817" s="119" t="s">
        <v>29220</v>
      </c>
      <c r="C2817" s="120" t="s">
        <v>4707</v>
      </c>
      <c r="D2817" s="33" t="s">
        <v>29054</v>
      </c>
      <c r="E2817" s="51" t="s">
        <v>557</v>
      </c>
      <c r="F2817" s="121" t="s">
        <v>3009</v>
      </c>
      <c r="G2817" s="98" t="str">
        <f>HYPERLINK("http://mirror.ff7data.com.ar/ff7/data/battle/battle.lgp/fcbm.png","View Picture")</f>
        <v>View Picture</v>
      </c>
    </row>
    <row r="2818">
      <c r="A2818" s="55"/>
      <c r="B2818" s="119" t="s">
        <v>29225</v>
      </c>
      <c r="C2818" s="120" t="s">
        <v>6029</v>
      </c>
      <c r="D2818" s="33" t="s">
        <v>29054</v>
      </c>
      <c r="E2818" s="51" t="s">
        <v>557</v>
      </c>
      <c r="F2818" s="121" t="s">
        <v>3009</v>
      </c>
      <c r="G2818" s="98" t="str">
        <f>HYPERLINK("http://mirror.ff7data.com.ar/ff7/data/battle/battle.lgp/fcbn.png","View Picture")</f>
        <v>View Picture</v>
      </c>
    </row>
    <row r="2819">
      <c r="A2819" s="55"/>
      <c r="B2819" s="119" t="s">
        <v>29229</v>
      </c>
      <c r="C2819" s="120" t="s">
        <v>4732</v>
      </c>
      <c r="D2819" s="33" t="s">
        <v>29054</v>
      </c>
      <c r="E2819" s="51" t="s">
        <v>557</v>
      </c>
      <c r="F2819" s="121" t="s">
        <v>3009</v>
      </c>
      <c r="G2819" s="98" t="str">
        <f>HYPERLINK("http://mirror.ff7data.com.ar/ff7/data/battle/battle.lgp/fcbp.png","View Picture")</f>
        <v>View Picture</v>
      </c>
    </row>
    <row r="2820">
      <c r="A2820" s="55"/>
      <c r="B2820" s="119" t="s">
        <v>29234</v>
      </c>
      <c r="C2820" s="120" t="s">
        <v>4707</v>
      </c>
      <c r="D2820" s="33" t="s">
        <v>29054</v>
      </c>
      <c r="E2820" s="51" t="s">
        <v>557</v>
      </c>
      <c r="F2820" s="121" t="s">
        <v>3009</v>
      </c>
      <c r="G2820" s="98" t="str">
        <f>HYPERLINK("http://mirror.ff7data.com.ar/ff7/data/battle/battle.lgp/fcbq.png","View Picture")</f>
        <v>View Picture</v>
      </c>
    </row>
    <row r="2821">
      <c r="A2821" s="55"/>
      <c r="B2821" s="119" t="s">
        <v>29241</v>
      </c>
      <c r="C2821" s="120" t="s">
        <v>6029</v>
      </c>
      <c r="D2821" s="33" t="s">
        <v>29054</v>
      </c>
      <c r="E2821" s="51" t="s">
        <v>557</v>
      </c>
      <c r="F2821" s="121" t="s">
        <v>3009</v>
      </c>
      <c r="G2821" s="98" t="str">
        <f>HYPERLINK("http://mirror.ff7data.com.ar/ff7/data/battle/battle.lgp/fcbr.png","View Picture")</f>
        <v>View Picture</v>
      </c>
    </row>
    <row r="2822">
      <c r="A2822" s="55"/>
      <c r="B2822" s="119" t="s">
        <v>29245</v>
      </c>
      <c r="C2822" s="120" t="s">
        <v>4732</v>
      </c>
      <c r="D2822" s="33" t="s">
        <v>29054</v>
      </c>
      <c r="E2822" s="51" t="s">
        <v>557</v>
      </c>
      <c r="F2822" s="121" t="s">
        <v>3009</v>
      </c>
      <c r="G2822" s="98" t="str">
        <f>HYPERLINK("http://mirror.ff7data.com.ar/ff7/data/battle/battle.lgp/fcbt.png","View Picture")</f>
        <v>View Picture</v>
      </c>
    </row>
    <row r="2823">
      <c r="A2823" s="55"/>
      <c r="B2823" s="119" t="s">
        <v>29248</v>
      </c>
      <c r="C2823" s="120" t="s">
        <v>4707</v>
      </c>
      <c r="D2823" s="33" t="s">
        <v>29054</v>
      </c>
      <c r="E2823" s="51" t="s">
        <v>557</v>
      </c>
      <c r="F2823" s="121" t="s">
        <v>3009</v>
      </c>
      <c r="G2823" s="98" t="str">
        <f>HYPERLINK("http://mirror.ff7data.com.ar/ff7/data/battle/battle.lgp/fcbu.png","View Picture")</f>
        <v>View Picture</v>
      </c>
    </row>
    <row r="2824">
      <c r="A2824" s="55"/>
      <c r="B2824" s="119" t="s">
        <v>29270</v>
      </c>
      <c r="C2824" s="120" t="s">
        <v>6029</v>
      </c>
      <c r="D2824" s="33" t="s">
        <v>29054</v>
      </c>
      <c r="E2824" s="51" t="s">
        <v>557</v>
      </c>
      <c r="F2824" s="121" t="s">
        <v>3009</v>
      </c>
      <c r="G2824" s="98" t="str">
        <f>HYPERLINK("http://mirror.ff7data.com.ar/ff7/data/battle/battle.lgp/fcbv.png","View Picture")</f>
        <v>View Picture</v>
      </c>
    </row>
    <row r="2825">
      <c r="A2825" s="55"/>
      <c r="B2825" s="119" t="s">
        <v>29279</v>
      </c>
      <c r="C2825" s="120" t="s">
        <v>7148</v>
      </c>
      <c r="D2825" s="33" t="s">
        <v>29054</v>
      </c>
      <c r="E2825" s="51" t="s">
        <v>557</v>
      </c>
      <c r="F2825" s="121" t="s">
        <v>3009</v>
      </c>
      <c r="G2825" s="98" t="str">
        <f>HYPERLINK("http://mirror.ff7data.com.ar/ff7/data/battle/battle.lgp/fcbw.png","View Picture")</f>
        <v>View Picture</v>
      </c>
    </row>
    <row r="2826">
      <c r="A2826" s="55"/>
      <c r="B2826" s="119" t="s">
        <v>29289</v>
      </c>
      <c r="C2826" s="120" t="s">
        <v>7148</v>
      </c>
      <c r="D2826" s="33" t="s">
        <v>29054</v>
      </c>
      <c r="E2826" s="51" t="s">
        <v>557</v>
      </c>
      <c r="F2826" s="121" t="s">
        <v>3009</v>
      </c>
      <c r="G2826" s="98" t="str">
        <f>HYPERLINK("http://mirror.ff7data.com.ar/ff7/data/battle/battle.lgp/fcbx.png","View Picture")</f>
        <v>View Picture</v>
      </c>
    </row>
    <row r="2827">
      <c r="A2827" s="55"/>
      <c r="B2827" s="119" t="s">
        <v>29298</v>
      </c>
      <c r="C2827" s="120" t="s">
        <v>29299</v>
      </c>
      <c r="D2827" s="33" t="s">
        <v>29054</v>
      </c>
      <c r="E2827" s="51" t="s">
        <v>557</v>
      </c>
      <c r="F2827" s="121" t="s">
        <v>3009</v>
      </c>
      <c r="G2827" s="98" t="str">
        <f>HYPERLINK("http://mirror.ff7data.com.ar/ff7/data/battle/battle.lgp/fcby.png","View Picture")</f>
        <v>View Picture</v>
      </c>
    </row>
    <row r="2828">
      <c r="A2828" s="55"/>
      <c r="B2828" s="119" t="s">
        <v>29310</v>
      </c>
      <c r="C2828" s="120" t="s">
        <v>3318</v>
      </c>
      <c r="D2828" s="33" t="s">
        <v>29054</v>
      </c>
      <c r="E2828" s="51" t="s">
        <v>557</v>
      </c>
      <c r="F2828" s="121" t="s">
        <v>3025</v>
      </c>
      <c r="H2828" s="46" t="s">
        <v>3002</v>
      </c>
    </row>
    <row r="2829">
      <c r="A2829" s="55"/>
      <c r="B2829" s="119" t="s">
        <v>29315</v>
      </c>
      <c r="C2829" s="120" t="s">
        <v>8845</v>
      </c>
      <c r="D2829" s="33" t="s">
        <v>29316</v>
      </c>
      <c r="E2829" s="51" t="s">
        <v>561</v>
      </c>
      <c r="F2829" s="121" t="s">
        <v>2971</v>
      </c>
      <c r="G2829" s="98" t="str">
        <f>HYPERLINK("http://mirror.ff7data.com.ar/ff7/data/battle/battle.lgp/fdaa.png","View Picture")</f>
        <v>View Picture</v>
      </c>
      <c r="H2829" s="46" t="s">
        <v>29326</v>
      </c>
    </row>
    <row r="2830">
      <c r="A2830" s="55"/>
      <c r="B2830" s="119" t="s">
        <v>29329</v>
      </c>
      <c r="C2830" s="120" t="s">
        <v>4209</v>
      </c>
      <c r="D2830" s="33" t="s">
        <v>29331</v>
      </c>
      <c r="E2830" s="51" t="s">
        <v>561</v>
      </c>
      <c r="F2830" s="121" t="s">
        <v>2993</v>
      </c>
      <c r="H2830" s="46" t="s">
        <v>3002</v>
      </c>
    </row>
    <row r="2831">
      <c r="A2831" s="55"/>
      <c r="B2831" s="119" t="s">
        <v>29335</v>
      </c>
      <c r="C2831" s="120" t="s">
        <v>3552</v>
      </c>
      <c r="D2831" s="33" t="s">
        <v>29337</v>
      </c>
      <c r="E2831" s="51" t="s">
        <v>561</v>
      </c>
      <c r="F2831" s="121" t="s">
        <v>1348</v>
      </c>
      <c r="G2831" s="98" t="str">
        <f>HYPERLINK("http://mirror.ff7data.com.ar/ff7/data/battle/battle.lgp/fdac.png","View Picture")</f>
        <v>View Picture</v>
      </c>
    </row>
    <row r="2832">
      <c r="A2832" s="55"/>
      <c r="B2832" s="119" t="s">
        <v>29345</v>
      </c>
      <c r="C2832" s="120" t="s">
        <v>4191</v>
      </c>
      <c r="D2832" s="33" t="s">
        <v>29337</v>
      </c>
      <c r="E2832" s="51" t="s">
        <v>561</v>
      </c>
      <c r="F2832" s="121" t="s">
        <v>1348</v>
      </c>
      <c r="G2832" s="98" t="str">
        <f>HYPERLINK("http://mirror.ff7data.com.ar/ff7/data/battle/battle.lgp/fdad.png","View Picture")</f>
        <v>View Picture</v>
      </c>
    </row>
    <row r="2833">
      <c r="A2833" s="55"/>
      <c r="B2833" s="119" t="s">
        <v>29359</v>
      </c>
      <c r="C2833" s="120" t="s">
        <v>7062</v>
      </c>
      <c r="D2833" s="33" t="s">
        <v>29331</v>
      </c>
      <c r="E2833" s="51" t="s">
        <v>561</v>
      </c>
      <c r="F2833" s="121" t="s">
        <v>3009</v>
      </c>
      <c r="G2833" s="98" t="str">
        <f>HYPERLINK("http://mirror.ff7data.com.ar/ff7/data/battle/battle.lgp/fdam.png","View Picture")</f>
        <v>View Picture</v>
      </c>
    </row>
    <row r="2834">
      <c r="A2834" s="55"/>
      <c r="B2834" s="119" t="s">
        <v>29369</v>
      </c>
      <c r="C2834" s="120" t="s">
        <v>4264</v>
      </c>
      <c r="D2834" s="33" t="s">
        <v>29331</v>
      </c>
      <c r="E2834" s="51" t="s">
        <v>561</v>
      </c>
      <c r="F2834" s="121" t="s">
        <v>3009</v>
      </c>
      <c r="G2834" s="98" t="str">
        <f>HYPERLINK("http://mirror.ff7data.com.ar/ff7/data/battle/battle.lgp/fdao.png","View Picture")</f>
        <v>View Picture</v>
      </c>
    </row>
    <row r="2835">
      <c r="A2835" s="55"/>
      <c r="B2835" s="119" t="s">
        <v>29381</v>
      </c>
      <c r="C2835" s="120" t="s">
        <v>4719</v>
      </c>
      <c r="D2835" s="33" t="s">
        <v>29331</v>
      </c>
      <c r="E2835" s="51" t="s">
        <v>561</v>
      </c>
      <c r="F2835" s="121" t="s">
        <v>3009</v>
      </c>
      <c r="G2835" s="98" t="str">
        <f>HYPERLINK("http://mirror.ff7data.com.ar/ff7/data/battle/battle.lgp/fdap.png","View Picture")</f>
        <v>View Picture</v>
      </c>
    </row>
    <row r="2836">
      <c r="A2836" s="55"/>
      <c r="B2836" s="119" t="s">
        <v>29391</v>
      </c>
      <c r="C2836" s="120" t="s">
        <v>3658</v>
      </c>
      <c r="D2836" s="33" t="s">
        <v>29331</v>
      </c>
      <c r="E2836" s="51" t="s">
        <v>561</v>
      </c>
      <c r="F2836" s="121" t="s">
        <v>3009</v>
      </c>
      <c r="G2836" s="98" t="str">
        <f>HYPERLINK("http://mirror.ff7data.com.ar/ff7/data/battle/battle.lgp/fdaq.png","View Picture")</f>
        <v>View Picture</v>
      </c>
    </row>
    <row r="2837">
      <c r="A2837" s="55"/>
      <c r="B2837" s="119" t="s">
        <v>29404</v>
      </c>
      <c r="C2837" s="120" t="s">
        <v>3494</v>
      </c>
      <c r="D2837" s="33" t="s">
        <v>29331</v>
      </c>
      <c r="E2837" s="51" t="s">
        <v>561</v>
      </c>
      <c r="F2837" s="121" t="s">
        <v>3009</v>
      </c>
      <c r="G2837" s="98" t="str">
        <f>HYPERLINK("http://mirror.ff7data.com.ar/ff7/data/battle/battle.lgp/fdas.png","View Picture")</f>
        <v>View Picture</v>
      </c>
    </row>
    <row r="2838">
      <c r="A2838" s="55"/>
      <c r="B2838" s="119" t="s">
        <v>29412</v>
      </c>
      <c r="C2838" s="120" t="s">
        <v>8923</v>
      </c>
      <c r="D2838" s="33" t="s">
        <v>29331</v>
      </c>
      <c r="E2838" s="51" t="s">
        <v>561</v>
      </c>
      <c r="F2838" s="121" t="s">
        <v>3009</v>
      </c>
      <c r="G2838" s="98" t="str">
        <f>HYPERLINK("http://mirror.ff7data.com.ar/ff7/data/battle/battle.lgp/fdat.png","View Picture")</f>
        <v>View Picture</v>
      </c>
    </row>
    <row r="2839">
      <c r="A2839" s="55"/>
      <c r="B2839" s="119" t="s">
        <v>29420</v>
      </c>
      <c r="C2839" s="120" t="s">
        <v>4264</v>
      </c>
      <c r="D2839" s="33" t="s">
        <v>29331</v>
      </c>
      <c r="E2839" s="51" t="s">
        <v>561</v>
      </c>
      <c r="F2839" s="121" t="s">
        <v>3009</v>
      </c>
      <c r="G2839" s="98" t="str">
        <f>HYPERLINK("http://mirror.ff7data.com.ar/ff7/data/battle/battle.lgp/fdav.png","View Picture")</f>
        <v>View Picture</v>
      </c>
    </row>
    <row r="2840">
      <c r="A2840" s="55"/>
      <c r="B2840" s="119" t="s">
        <v>29430</v>
      </c>
      <c r="C2840" s="120" t="s">
        <v>4719</v>
      </c>
      <c r="D2840" s="33" t="s">
        <v>29331</v>
      </c>
      <c r="E2840" s="51" t="s">
        <v>561</v>
      </c>
      <c r="F2840" s="121" t="s">
        <v>3009</v>
      </c>
      <c r="G2840" s="98" t="str">
        <f>HYPERLINK("http://mirror.ff7data.com.ar/ff7/data/battle/battle.lgp/fdaw.png","View Picture")</f>
        <v>View Picture</v>
      </c>
    </row>
    <row r="2841">
      <c r="A2841" s="55"/>
      <c r="B2841" s="119" t="s">
        <v>29439</v>
      </c>
      <c r="C2841" s="120" t="s">
        <v>3842</v>
      </c>
      <c r="D2841" s="33" t="s">
        <v>29331</v>
      </c>
      <c r="E2841" s="51" t="s">
        <v>561</v>
      </c>
      <c r="F2841" s="121" t="s">
        <v>3009</v>
      </c>
      <c r="G2841" s="98" t="str">
        <f>HYPERLINK("http://mirror.ff7data.com.ar/ff7/data/battle/battle.lgp/fdax.png","View Picture")</f>
        <v>View Picture</v>
      </c>
    </row>
    <row r="2842">
      <c r="A2842" s="55"/>
      <c r="B2842" s="119" t="s">
        <v>29450</v>
      </c>
      <c r="C2842" s="120" t="s">
        <v>4217</v>
      </c>
      <c r="D2842" s="33" t="s">
        <v>29331</v>
      </c>
      <c r="E2842" s="51" t="s">
        <v>561</v>
      </c>
      <c r="F2842" s="121" t="s">
        <v>3009</v>
      </c>
      <c r="G2842" s="98" t="str">
        <f>HYPERLINK("http://mirror.ff7data.com.ar/ff7/data/battle/battle.lgp/fday.png","View Picture")</f>
        <v>View Picture</v>
      </c>
    </row>
    <row r="2843">
      <c r="A2843" s="55"/>
      <c r="B2843" s="119" t="s">
        <v>29459</v>
      </c>
      <c r="C2843" s="120" t="s">
        <v>4732</v>
      </c>
      <c r="D2843" s="33" t="s">
        <v>29331</v>
      </c>
      <c r="E2843" s="51" t="s">
        <v>561</v>
      </c>
      <c r="F2843" s="121" t="s">
        <v>3009</v>
      </c>
      <c r="G2843" s="98" t="str">
        <f>HYPERLINK("http://mirror.ff7data.com.ar/ff7/data/battle/battle.lgp/fdba.png","View Picture")</f>
        <v>View Picture</v>
      </c>
    </row>
    <row r="2844">
      <c r="A2844" s="55"/>
      <c r="B2844" s="119" t="s">
        <v>29467</v>
      </c>
      <c r="C2844" s="120" t="s">
        <v>4185</v>
      </c>
      <c r="D2844" s="33" t="s">
        <v>29331</v>
      </c>
      <c r="E2844" s="51" t="s">
        <v>561</v>
      </c>
      <c r="F2844" s="121" t="s">
        <v>3009</v>
      </c>
      <c r="G2844" s="98" t="str">
        <f>HYPERLINK("http://mirror.ff7data.com.ar/ff7/data/battle/battle.lgp/fdbb.png","View Picture")</f>
        <v>View Picture</v>
      </c>
    </row>
    <row r="2845">
      <c r="A2845" s="55"/>
      <c r="B2845" s="119" t="s">
        <v>29477</v>
      </c>
      <c r="C2845" s="120" t="s">
        <v>4252</v>
      </c>
      <c r="D2845" s="33" t="s">
        <v>29331</v>
      </c>
      <c r="E2845" s="51" t="s">
        <v>561</v>
      </c>
      <c r="F2845" s="121" t="s">
        <v>3009</v>
      </c>
      <c r="G2845" s="98" t="str">
        <f>HYPERLINK("http://mirror.ff7data.com.ar/ff7/data/battle/battle.lgp/fdbc.png","View Picture")</f>
        <v>View Picture</v>
      </c>
    </row>
    <row r="2846">
      <c r="A2846" s="55"/>
      <c r="B2846" s="119" t="s">
        <v>29487</v>
      </c>
      <c r="C2846" s="120" t="s">
        <v>4926</v>
      </c>
      <c r="D2846" s="33" t="s">
        <v>29331</v>
      </c>
      <c r="E2846" s="51" t="s">
        <v>561</v>
      </c>
      <c r="F2846" s="121" t="s">
        <v>3009</v>
      </c>
      <c r="G2846" s="98" t="str">
        <f>HYPERLINK("http://mirror.ff7data.com.ar/ff7/data/battle/battle.lgp/fdbe.png","View Picture")</f>
        <v>View Picture</v>
      </c>
    </row>
    <row r="2847">
      <c r="A2847" s="55"/>
      <c r="B2847" s="119" t="s">
        <v>29498</v>
      </c>
      <c r="C2847" s="120" t="s">
        <v>4926</v>
      </c>
      <c r="D2847" s="33" t="s">
        <v>29331</v>
      </c>
      <c r="E2847" s="51" t="s">
        <v>561</v>
      </c>
      <c r="F2847" s="121" t="s">
        <v>3009</v>
      </c>
      <c r="G2847" s="98" t="str">
        <f>HYPERLINK("http://mirror.ff7data.com.ar/ff7/data/battle/battle.lgp/fdbf.png","View Picture")</f>
        <v>View Picture</v>
      </c>
    </row>
    <row r="2848">
      <c r="A2848" s="55"/>
      <c r="B2848" s="119" t="s">
        <v>29509</v>
      </c>
      <c r="C2848" s="120" t="s">
        <v>7148</v>
      </c>
      <c r="D2848" s="33" t="s">
        <v>29331</v>
      </c>
      <c r="E2848" s="51" t="s">
        <v>561</v>
      </c>
      <c r="F2848" s="121" t="s">
        <v>3009</v>
      </c>
      <c r="G2848" s="98" t="str">
        <f>HYPERLINK("http://mirror.ff7data.com.ar/ff7/data/battle/battle.lgp/fdbg.png","View Picture")</f>
        <v>View Picture</v>
      </c>
    </row>
    <row r="2849">
      <c r="A2849" s="55"/>
      <c r="B2849" s="119" t="s">
        <v>29520</v>
      </c>
      <c r="C2849" s="120" t="s">
        <v>4732</v>
      </c>
      <c r="D2849" s="33" t="s">
        <v>29331</v>
      </c>
      <c r="E2849" s="51" t="s">
        <v>561</v>
      </c>
      <c r="F2849" s="121" t="s">
        <v>3009</v>
      </c>
      <c r="G2849" s="98" t="str">
        <f>HYPERLINK("http://mirror.ff7data.com.ar/ff7/data/battle/battle.lgp/fdbi.png","View Picture")</f>
        <v>View Picture</v>
      </c>
    </row>
    <row r="2850">
      <c r="A2850" s="55"/>
      <c r="B2850" s="119" t="s">
        <v>29529</v>
      </c>
      <c r="C2850" s="120" t="s">
        <v>4185</v>
      </c>
      <c r="D2850" s="33" t="s">
        <v>29331</v>
      </c>
      <c r="E2850" s="51" t="s">
        <v>561</v>
      </c>
      <c r="F2850" s="121" t="s">
        <v>3009</v>
      </c>
      <c r="G2850" s="98" t="str">
        <f>HYPERLINK("http://mirror.ff7data.com.ar/ff7/data/battle/battle.lgp/fdbj.png","View Picture")</f>
        <v>View Picture</v>
      </c>
    </row>
    <row r="2851">
      <c r="A2851" s="55"/>
      <c r="B2851" s="119" t="s">
        <v>29536</v>
      </c>
      <c r="C2851" s="120" t="s">
        <v>4217</v>
      </c>
      <c r="D2851" s="33" t="s">
        <v>29331</v>
      </c>
      <c r="E2851" s="51" t="s">
        <v>561</v>
      </c>
      <c r="F2851" s="121" t="s">
        <v>3009</v>
      </c>
      <c r="G2851" s="98" t="str">
        <f>HYPERLINK("http://mirror.ff7data.com.ar/ff7/data/battle/battle.lgp/fdbk.png","View Picture")</f>
        <v>View Picture</v>
      </c>
    </row>
    <row r="2852">
      <c r="A2852" s="55"/>
      <c r="B2852" s="119" t="s">
        <v>29554</v>
      </c>
      <c r="C2852" s="120" t="s">
        <v>9041</v>
      </c>
      <c r="D2852" s="33" t="s">
        <v>29331</v>
      </c>
      <c r="E2852" s="51" t="s">
        <v>561</v>
      </c>
      <c r="F2852" s="121" t="s">
        <v>3025</v>
      </c>
      <c r="H2852" s="46" t="s">
        <v>3002</v>
      </c>
    </row>
    <row r="2853">
      <c r="A2853" s="55"/>
      <c r="B2853" s="119" t="s">
        <v>29559</v>
      </c>
      <c r="C2853" s="120" t="s">
        <v>9973</v>
      </c>
      <c r="D2853" s="33" t="s">
        <v>29562</v>
      </c>
      <c r="E2853" s="51" t="s">
        <v>564</v>
      </c>
      <c r="F2853" s="121" t="s">
        <v>2971</v>
      </c>
      <c r="G2853" s="98" t="str">
        <f>HYPERLINK("http://mirror.ff7data.com.ar/ff7/data/battle/battle.lgp/feaa.png","View Picture")</f>
        <v>View Picture</v>
      </c>
    </row>
    <row r="2854">
      <c r="A2854" s="55"/>
      <c r="B2854" s="119" t="s">
        <v>29570</v>
      </c>
      <c r="C2854" s="120" t="s">
        <v>12616</v>
      </c>
      <c r="D2854" s="33" t="s">
        <v>29571</v>
      </c>
      <c r="E2854" s="51" t="s">
        <v>564</v>
      </c>
      <c r="F2854" s="121" t="s">
        <v>2993</v>
      </c>
      <c r="H2854" s="46" t="s">
        <v>3002</v>
      </c>
    </row>
    <row r="2855">
      <c r="A2855" s="55"/>
      <c r="B2855" s="119" t="s">
        <v>29577</v>
      </c>
      <c r="C2855" s="120" t="s">
        <v>4191</v>
      </c>
      <c r="D2855" s="33" t="s">
        <v>29578</v>
      </c>
      <c r="E2855" s="51" t="s">
        <v>564</v>
      </c>
      <c r="F2855" s="121" t="s">
        <v>1348</v>
      </c>
      <c r="G2855" s="98" t="str">
        <f>HYPERLINK("http://mirror.ff7data.com.ar/ff7/data/battle/battle.lgp/feac.png","View Picture")</f>
        <v>View Picture</v>
      </c>
    </row>
    <row r="2856">
      <c r="A2856" s="55"/>
      <c r="B2856" s="119" t="s">
        <v>29585</v>
      </c>
      <c r="C2856" s="120" t="s">
        <v>13957</v>
      </c>
      <c r="D2856" s="33" t="s">
        <v>29571</v>
      </c>
      <c r="E2856" s="51" t="s">
        <v>564</v>
      </c>
      <c r="F2856" s="121" t="s">
        <v>3009</v>
      </c>
      <c r="G2856" s="98" t="str">
        <f>HYPERLINK("http://mirror.ff7data.com.ar/ff7/data/battle/battle.lgp/feam.png","View Picture")</f>
        <v>View Picture</v>
      </c>
    </row>
    <row r="2857">
      <c r="A2857" s="55"/>
      <c r="B2857" s="119" t="s">
        <v>29594</v>
      </c>
      <c r="C2857" s="120" t="s">
        <v>4476</v>
      </c>
      <c r="D2857" s="33" t="s">
        <v>29571</v>
      </c>
      <c r="E2857" s="51" t="s">
        <v>564</v>
      </c>
      <c r="F2857" s="121" t="s">
        <v>3009</v>
      </c>
      <c r="G2857" s="98" t="str">
        <f>HYPERLINK("http://mirror.ff7data.com.ar/ff7/data/battle/battle.lgp/feap.png","View Picture")</f>
        <v>View Picture</v>
      </c>
    </row>
    <row r="2858">
      <c r="A2858" s="55"/>
      <c r="B2858" s="119" t="s">
        <v>29600</v>
      </c>
      <c r="C2858" s="120" t="s">
        <v>4396</v>
      </c>
      <c r="D2858" s="33" t="s">
        <v>29571</v>
      </c>
      <c r="E2858" s="51" t="s">
        <v>564</v>
      </c>
      <c r="F2858" s="121" t="s">
        <v>3009</v>
      </c>
      <c r="G2858" s="98" t="str">
        <f>HYPERLINK("http://mirror.ff7data.com.ar/ff7/data/battle/battle.lgp/feaq.png","View Picture")</f>
        <v>View Picture</v>
      </c>
    </row>
    <row r="2859">
      <c r="A2859" s="55"/>
      <c r="B2859" s="119" t="s">
        <v>29608</v>
      </c>
      <c r="C2859" s="120" t="s">
        <v>4185</v>
      </c>
      <c r="D2859" s="33" t="s">
        <v>29571</v>
      </c>
      <c r="E2859" s="51" t="s">
        <v>564</v>
      </c>
      <c r="F2859" s="121" t="s">
        <v>3009</v>
      </c>
      <c r="G2859" s="98" t="str">
        <f>HYPERLINK("http://mirror.ff7data.com.ar/ff7/data/battle/battle.lgp/fear.png","View Picture")</f>
        <v>View Picture</v>
      </c>
    </row>
    <row r="2860">
      <c r="A2860" s="55"/>
      <c r="B2860" s="119" t="s">
        <v>29614</v>
      </c>
      <c r="C2860" s="120" t="s">
        <v>3658</v>
      </c>
      <c r="D2860" s="33" t="s">
        <v>29571</v>
      </c>
      <c r="E2860" s="51" t="s">
        <v>564</v>
      </c>
      <c r="F2860" s="121" t="s">
        <v>3009</v>
      </c>
      <c r="G2860" s="98" t="str">
        <f>HYPERLINK("http://mirror.ff7data.com.ar/ff7/data/battle/battle.lgp/feas.png","View Picture")</f>
        <v>View Picture</v>
      </c>
    </row>
    <row r="2861">
      <c r="A2861" s="55"/>
      <c r="B2861" s="119" t="s">
        <v>29628</v>
      </c>
      <c r="C2861" s="120" t="s">
        <v>4476</v>
      </c>
      <c r="D2861" s="33" t="s">
        <v>29571</v>
      </c>
      <c r="E2861" s="51" t="s">
        <v>564</v>
      </c>
      <c r="F2861" s="121" t="s">
        <v>3009</v>
      </c>
      <c r="G2861" s="98" t="str">
        <f>HYPERLINK("http://mirror.ff7data.com.ar/ff7/data/battle/battle.lgp/feav.png","View Picture")</f>
        <v>View Picture</v>
      </c>
    </row>
    <row r="2862">
      <c r="A2862" s="55"/>
      <c r="B2862" s="119" t="s">
        <v>29640</v>
      </c>
      <c r="C2862" s="120" t="s">
        <v>4217</v>
      </c>
      <c r="D2862" s="33" t="s">
        <v>29571</v>
      </c>
      <c r="E2862" s="51" t="s">
        <v>564</v>
      </c>
      <c r="F2862" s="121" t="s">
        <v>3009</v>
      </c>
      <c r="G2862" s="98" t="str">
        <f>HYPERLINK("http://mirror.ff7data.com.ar/ff7/data/battle/battle.lgp/feaw.png","View Picture")</f>
        <v>View Picture</v>
      </c>
    </row>
    <row r="2863">
      <c r="A2863" s="55"/>
      <c r="B2863" s="119" t="s">
        <v>29651</v>
      </c>
      <c r="C2863" s="120" t="s">
        <v>4732</v>
      </c>
      <c r="D2863" s="33" t="s">
        <v>29571</v>
      </c>
      <c r="E2863" s="51" t="s">
        <v>564</v>
      </c>
      <c r="F2863" s="121" t="s">
        <v>3009</v>
      </c>
      <c r="G2863" s="98" t="str">
        <f>HYPERLINK("http://mirror.ff7data.com.ar/ff7/data/battle/battle.lgp/feax.png","View Picture")</f>
        <v>View Picture</v>
      </c>
    </row>
    <row r="2864">
      <c r="A2864" s="55"/>
      <c r="B2864" s="119" t="s">
        <v>29661</v>
      </c>
      <c r="C2864" s="120" t="s">
        <v>4372</v>
      </c>
      <c r="D2864" s="33" t="s">
        <v>29571</v>
      </c>
      <c r="E2864" s="51" t="s">
        <v>564</v>
      </c>
      <c r="F2864" s="121" t="s">
        <v>3009</v>
      </c>
      <c r="G2864" s="98" t="str">
        <f>HYPERLINK("http://mirror.ff7data.com.ar/ff7/data/battle/battle.lgp/feay.png","View Picture")</f>
        <v>View Picture</v>
      </c>
    </row>
    <row r="2865">
      <c r="A2865" s="55"/>
      <c r="B2865" s="119" t="s">
        <v>29671</v>
      </c>
      <c r="C2865" s="120" t="s">
        <v>6029</v>
      </c>
      <c r="D2865" s="33" t="s">
        <v>29571</v>
      </c>
      <c r="E2865" s="51" t="s">
        <v>564</v>
      </c>
      <c r="F2865" s="121" t="s">
        <v>3009</v>
      </c>
      <c r="G2865" s="98" t="str">
        <f>HYPERLINK("http://mirror.ff7data.com.ar/ff7/data/battle/battle.lgp/feaz.png","View Picture")</f>
        <v>View Picture</v>
      </c>
    </row>
    <row r="2866">
      <c r="A2866" s="55"/>
      <c r="B2866" s="119" t="s">
        <v>29682</v>
      </c>
      <c r="C2866" s="120" t="s">
        <v>6029</v>
      </c>
      <c r="D2866" s="33" t="s">
        <v>29571</v>
      </c>
      <c r="E2866" s="51" t="s">
        <v>564</v>
      </c>
      <c r="F2866" s="121" t="s">
        <v>3009</v>
      </c>
      <c r="G2866" s="98" t="str">
        <f>HYPERLINK("http://mirror.ff7data.com.ar/ff7/data/battle/battle.lgp/feba.png","View Picture")</f>
        <v>View Picture</v>
      </c>
    </row>
    <row r="2867">
      <c r="A2867" s="55"/>
      <c r="B2867" s="119" t="s">
        <v>29698</v>
      </c>
      <c r="C2867" s="120" t="s">
        <v>5419</v>
      </c>
      <c r="D2867" s="33" t="s">
        <v>29571</v>
      </c>
      <c r="E2867" s="51" t="s">
        <v>564</v>
      </c>
      <c r="F2867" s="121" t="s">
        <v>3009</v>
      </c>
      <c r="G2867" s="98" t="str">
        <f>HYPERLINK("http://mirror.ff7data.com.ar/ff7/data/battle/battle.lgp/febb.png","View Picture")</f>
        <v>View Picture</v>
      </c>
    </row>
    <row r="2868">
      <c r="A2868" s="55"/>
      <c r="B2868" s="119" t="s">
        <v>29708</v>
      </c>
      <c r="C2868" s="120" t="s">
        <v>3658</v>
      </c>
      <c r="D2868" s="33" t="s">
        <v>29571</v>
      </c>
      <c r="E2868" s="51" t="s">
        <v>564</v>
      </c>
      <c r="F2868" s="121" t="s">
        <v>3009</v>
      </c>
      <c r="G2868" s="98" t="str">
        <f>HYPERLINK("http://mirror.ff7data.com.ar/ff7/data/battle/battle.lgp/febd.png","View Picture")</f>
        <v>View Picture</v>
      </c>
    </row>
    <row r="2869">
      <c r="A2869" s="55"/>
      <c r="B2869" s="119" t="s">
        <v>29716</v>
      </c>
      <c r="C2869" s="120" t="s">
        <v>3648</v>
      </c>
      <c r="D2869" s="33" t="s">
        <v>29571</v>
      </c>
      <c r="E2869" s="51" t="s">
        <v>564</v>
      </c>
      <c r="F2869" s="121" t="s">
        <v>3009</v>
      </c>
      <c r="G2869" s="98" t="str">
        <f>HYPERLINK("http://mirror.ff7data.com.ar/ff7/data/battle/battle.lgp/febe.png","View Picture")</f>
        <v>View Picture</v>
      </c>
    </row>
    <row r="2870">
      <c r="A2870" s="55"/>
      <c r="B2870" s="119" t="s">
        <v>29726</v>
      </c>
      <c r="C2870" s="120" t="s">
        <v>5419</v>
      </c>
      <c r="D2870" s="33" t="s">
        <v>29571</v>
      </c>
      <c r="E2870" s="51" t="s">
        <v>564</v>
      </c>
      <c r="F2870" s="121" t="s">
        <v>3009</v>
      </c>
      <c r="G2870" s="98" t="str">
        <f>HYPERLINK("http://mirror.ff7data.com.ar/ff7/data/battle/battle.lgp/febf.png","View Picture")</f>
        <v>View Picture</v>
      </c>
    </row>
    <row r="2871">
      <c r="A2871" s="55"/>
      <c r="B2871" s="119" t="s">
        <v>29731</v>
      </c>
      <c r="C2871" s="120" t="s">
        <v>3658</v>
      </c>
      <c r="D2871" s="33" t="s">
        <v>29571</v>
      </c>
      <c r="E2871" s="51" t="s">
        <v>564</v>
      </c>
      <c r="F2871" s="121" t="s">
        <v>3009</v>
      </c>
      <c r="G2871" s="98" t="str">
        <f>HYPERLINK("http://mirror.ff7data.com.ar/ff7/data/battle/battle.lgp/febh.png","View Picture")</f>
        <v>View Picture</v>
      </c>
    </row>
    <row r="2872">
      <c r="A2872" s="55"/>
      <c r="B2872" s="119" t="s">
        <v>29740</v>
      </c>
      <c r="C2872" s="120" t="s">
        <v>3749</v>
      </c>
      <c r="D2872" s="33" t="s">
        <v>29571</v>
      </c>
      <c r="E2872" s="51" t="s">
        <v>564</v>
      </c>
      <c r="F2872" s="121" t="s">
        <v>3009</v>
      </c>
      <c r="G2872" s="98" t="str">
        <f>HYPERLINK("http://mirror.ff7data.com.ar/ff7/data/battle/battle.lgp/febi.png","View Picture")</f>
        <v>View Picture</v>
      </c>
    </row>
    <row r="2873">
      <c r="A2873" s="55"/>
      <c r="B2873" s="119" t="s">
        <v>29751</v>
      </c>
      <c r="C2873" s="120" t="s">
        <v>5419</v>
      </c>
      <c r="D2873" s="33" t="s">
        <v>29571</v>
      </c>
      <c r="E2873" s="51" t="s">
        <v>564</v>
      </c>
      <c r="F2873" s="121" t="s">
        <v>3009</v>
      </c>
      <c r="G2873" s="98" t="str">
        <f>HYPERLINK("http://mirror.ff7data.com.ar/ff7/data/battle/battle.lgp/febj.png","View Picture")</f>
        <v>View Picture</v>
      </c>
    </row>
    <row r="2874">
      <c r="A2874" s="55"/>
      <c r="B2874" s="119" t="s">
        <v>29759</v>
      </c>
      <c r="C2874" s="120" t="s">
        <v>9041</v>
      </c>
      <c r="D2874" s="33" t="s">
        <v>29571</v>
      </c>
      <c r="E2874" s="51" t="s">
        <v>564</v>
      </c>
      <c r="F2874" s="121" t="s">
        <v>3009</v>
      </c>
      <c r="G2874" s="98" t="str">
        <f>HYPERLINK("http://mirror.ff7data.com.ar/ff7/data/battle/battle.lgp/febk.png","View Picture")</f>
        <v>View Picture</v>
      </c>
    </row>
    <row r="2875">
      <c r="A2875" s="55"/>
      <c r="B2875" s="119" t="s">
        <v>29766</v>
      </c>
      <c r="C2875" s="120" t="s">
        <v>12399</v>
      </c>
      <c r="D2875" s="33" t="s">
        <v>29571</v>
      </c>
      <c r="E2875" s="51" t="s">
        <v>564</v>
      </c>
      <c r="F2875" s="121" t="s">
        <v>3009</v>
      </c>
      <c r="G2875" s="98" t="str">
        <f>HYPERLINK("http://mirror.ff7data.com.ar/ff7/data/battle/battle.lgp/febl.png","View Picture")</f>
        <v>View Picture</v>
      </c>
    </row>
    <row r="2876">
      <c r="A2876" s="55"/>
      <c r="B2876" s="119" t="s">
        <v>29775</v>
      </c>
      <c r="C2876" s="120" t="s">
        <v>29777</v>
      </c>
      <c r="D2876" s="33" t="s">
        <v>29571</v>
      </c>
      <c r="E2876" s="51" t="s">
        <v>564</v>
      </c>
      <c r="F2876" s="121" t="s">
        <v>3009</v>
      </c>
      <c r="G2876" s="98" t="str">
        <f>HYPERLINK("http://mirror.ff7data.com.ar/ff7/data/battle/battle.lgp/febn.png","View Picture")</f>
        <v>View Picture</v>
      </c>
    </row>
    <row r="2877">
      <c r="A2877" s="55"/>
      <c r="B2877" s="119" t="s">
        <v>29785</v>
      </c>
      <c r="C2877" s="120" t="s">
        <v>29787</v>
      </c>
      <c r="D2877" s="33" t="s">
        <v>29571</v>
      </c>
      <c r="E2877" s="51" t="s">
        <v>564</v>
      </c>
      <c r="F2877" s="121" t="s">
        <v>3009</v>
      </c>
      <c r="G2877" s="98" t="str">
        <f>HYPERLINK("http://mirror.ff7data.com.ar/ff7/data/battle/battle.lgp/febo.png","View Picture")</f>
        <v>View Picture</v>
      </c>
    </row>
    <row r="2878">
      <c r="A2878" s="55"/>
      <c r="B2878" s="119" t="s">
        <v>29797</v>
      </c>
      <c r="C2878" s="120" t="s">
        <v>4288</v>
      </c>
      <c r="D2878" s="33" t="s">
        <v>29571</v>
      </c>
      <c r="E2878" s="51" t="s">
        <v>564</v>
      </c>
      <c r="F2878" s="121" t="s">
        <v>3009</v>
      </c>
      <c r="G2878" s="98" t="str">
        <f>HYPERLINK("http://mirror.ff7data.com.ar/ff7/data/battle/battle.lgp/febp.png","View Picture")</f>
        <v>View Picture</v>
      </c>
    </row>
    <row r="2879">
      <c r="A2879" s="55"/>
      <c r="B2879" s="119" t="s">
        <v>29808</v>
      </c>
      <c r="C2879" s="120" t="s">
        <v>29810</v>
      </c>
      <c r="D2879" s="33" t="s">
        <v>29571</v>
      </c>
      <c r="E2879" s="51" t="s">
        <v>564</v>
      </c>
      <c r="F2879" s="121" t="s">
        <v>3009</v>
      </c>
      <c r="G2879" s="98" t="str">
        <f>HYPERLINK("http://mirror.ff7data.com.ar/ff7/data/battle/battle.lgp/febq.png","View Picture")</f>
        <v>View Picture</v>
      </c>
    </row>
    <row r="2880">
      <c r="A2880" s="55"/>
      <c r="B2880" s="119" t="s">
        <v>29819</v>
      </c>
      <c r="C2880" s="120" t="s">
        <v>4057</v>
      </c>
      <c r="D2880" s="33" t="s">
        <v>29571</v>
      </c>
      <c r="E2880" s="51" t="s">
        <v>564</v>
      </c>
      <c r="F2880" s="121" t="s">
        <v>3009</v>
      </c>
      <c r="G2880" s="98" t="str">
        <f>HYPERLINK("http://mirror.ff7data.com.ar/ff7/data/battle/battle.lgp/febs.png","View Picture")</f>
        <v>View Picture</v>
      </c>
    </row>
    <row r="2881">
      <c r="A2881" s="55"/>
      <c r="B2881" s="119" t="s">
        <v>29829</v>
      </c>
      <c r="C2881" s="120" t="s">
        <v>4439</v>
      </c>
      <c r="D2881" s="33" t="s">
        <v>29571</v>
      </c>
      <c r="E2881" s="51" t="s">
        <v>564</v>
      </c>
      <c r="F2881" s="121" t="s">
        <v>3009</v>
      </c>
      <c r="G2881" s="98" t="str">
        <f>HYPERLINK("http://mirror.ff7data.com.ar/ff7/data/battle/battle.lgp/febt.png","View Picture")</f>
        <v>View Picture</v>
      </c>
    </row>
    <row r="2882">
      <c r="A2882" s="55"/>
      <c r="B2882" s="119" t="s">
        <v>29839</v>
      </c>
      <c r="C2882" s="120" t="s">
        <v>3658</v>
      </c>
      <c r="D2882" s="33" t="s">
        <v>29571</v>
      </c>
      <c r="E2882" s="51" t="s">
        <v>564</v>
      </c>
      <c r="F2882" s="121" t="s">
        <v>3009</v>
      </c>
      <c r="G2882" s="98" t="str">
        <f>HYPERLINK("http://mirror.ff7data.com.ar/ff7/data/battle/battle.lgp/febv.png","View Picture")</f>
        <v>View Picture</v>
      </c>
    </row>
    <row r="2883">
      <c r="A2883" s="55"/>
      <c r="B2883" s="119" t="s">
        <v>29848</v>
      </c>
      <c r="C2883" s="120" t="s">
        <v>4057</v>
      </c>
      <c r="D2883" s="33" t="s">
        <v>29571</v>
      </c>
      <c r="E2883" s="51" t="s">
        <v>564</v>
      </c>
      <c r="F2883" s="121" t="s">
        <v>3009</v>
      </c>
      <c r="G2883" s="98" t="str">
        <f>HYPERLINK("http://mirror.ff7data.com.ar/ff7/data/battle/battle.lgp/febw.png","View Picture")</f>
        <v>View Picture</v>
      </c>
    </row>
    <row r="2884">
      <c r="A2884" s="55"/>
      <c r="B2884" s="119" t="s">
        <v>29856</v>
      </c>
      <c r="C2884" s="120" t="s">
        <v>4057</v>
      </c>
      <c r="D2884" s="33" t="s">
        <v>29571</v>
      </c>
      <c r="E2884" s="51" t="s">
        <v>564</v>
      </c>
      <c r="F2884" s="121" t="s">
        <v>3009</v>
      </c>
      <c r="G2884" s="98" t="str">
        <f>HYPERLINK("http://mirror.ff7data.com.ar/ff7/data/battle/battle.lgp/feby.png","View Picture")</f>
        <v>View Picture</v>
      </c>
    </row>
    <row r="2885">
      <c r="A2885" s="55"/>
      <c r="B2885" s="119" t="s">
        <v>29867</v>
      </c>
      <c r="C2885" s="120" t="s">
        <v>4732</v>
      </c>
      <c r="D2885" s="33" t="s">
        <v>29571</v>
      </c>
      <c r="E2885" s="51" t="s">
        <v>564</v>
      </c>
      <c r="F2885" s="121" t="s">
        <v>3009</v>
      </c>
      <c r="G2885" s="98" t="str">
        <f>HYPERLINK("http://mirror.ff7data.com.ar/ff7/data/battle/battle.lgp/febz.png","View Picture")</f>
        <v>View Picture</v>
      </c>
    </row>
    <row r="2886">
      <c r="A2886" s="55"/>
      <c r="B2886" s="119" t="s">
        <v>29875</v>
      </c>
      <c r="C2886" s="120" t="s">
        <v>4841</v>
      </c>
      <c r="D2886" s="33" t="s">
        <v>29571</v>
      </c>
      <c r="E2886" s="51" t="s">
        <v>564</v>
      </c>
      <c r="F2886" s="121" t="s">
        <v>3025</v>
      </c>
      <c r="H2886" s="46" t="s">
        <v>3002</v>
      </c>
    </row>
    <row r="2887">
      <c r="A2887" s="55"/>
      <c r="B2887" s="119" t="s">
        <v>29878</v>
      </c>
      <c r="C2887" s="120" t="s">
        <v>4109</v>
      </c>
      <c r="D2887" s="33" t="s">
        <v>29879</v>
      </c>
      <c r="E2887" s="51" t="s">
        <v>567</v>
      </c>
      <c r="F2887" s="121" t="s">
        <v>2971</v>
      </c>
      <c r="G2887" s="98" t="str">
        <f>HYPERLINK("http://mirror.ff7data.com.ar/ff7/data/battle/battle.lgp/ffaa.png","View Picture")</f>
        <v>View Picture</v>
      </c>
      <c r="H2887" s="46" t="s">
        <v>29887</v>
      </c>
    </row>
    <row r="2888">
      <c r="A2888" s="55"/>
      <c r="B2888" s="119" t="s">
        <v>29889</v>
      </c>
      <c r="C2888" s="120" t="s">
        <v>9790</v>
      </c>
      <c r="D2888" s="33" t="s">
        <v>29892</v>
      </c>
      <c r="E2888" s="51" t="s">
        <v>567</v>
      </c>
      <c r="F2888" s="121" t="s">
        <v>2993</v>
      </c>
      <c r="H2888" s="46" t="s">
        <v>3002</v>
      </c>
    </row>
    <row r="2889">
      <c r="A2889" s="55"/>
      <c r="B2889" s="119" t="s">
        <v>29895</v>
      </c>
      <c r="C2889" s="120" t="s">
        <v>29896</v>
      </c>
      <c r="D2889" s="33" t="s">
        <v>29898</v>
      </c>
      <c r="E2889" s="51" t="s">
        <v>567</v>
      </c>
      <c r="F2889" s="121" t="s">
        <v>1348</v>
      </c>
      <c r="G2889" s="98" t="str">
        <f>HYPERLINK("http://mirror.ff7data.com.ar/ff7/data/battle/battle.lgp/ffac.png","View Picture")</f>
        <v>View Picture</v>
      </c>
    </row>
    <row r="2890">
      <c r="A2890" s="55"/>
      <c r="B2890" s="119" t="s">
        <v>29905</v>
      </c>
      <c r="C2890" s="120" t="s">
        <v>4439</v>
      </c>
      <c r="D2890" s="33" t="s">
        <v>29892</v>
      </c>
      <c r="E2890" s="51" t="s">
        <v>567</v>
      </c>
      <c r="F2890" s="121" t="s">
        <v>3009</v>
      </c>
      <c r="G2890" s="98" t="str">
        <f>HYPERLINK("http://mirror.ff7data.com.ar/ff7/data/battle/battle.lgp/ffam.png","View Picture")</f>
        <v>View Picture</v>
      </c>
    </row>
    <row r="2891">
      <c r="A2891" s="55"/>
      <c r="B2891" s="119" t="s">
        <v>29912</v>
      </c>
      <c r="C2891" s="120" t="s">
        <v>4707</v>
      </c>
      <c r="D2891" s="33" t="s">
        <v>29892</v>
      </c>
      <c r="E2891" s="51" t="s">
        <v>567</v>
      </c>
      <c r="F2891" s="121" t="s">
        <v>3009</v>
      </c>
      <c r="G2891" s="98" t="str">
        <f>HYPERLINK("http://mirror.ff7data.com.ar/ff7/data/battle/battle.lgp/ffao.png","View Picture")</f>
        <v>View Picture</v>
      </c>
    </row>
    <row r="2892">
      <c r="A2892" s="55"/>
      <c r="B2892" s="119" t="s">
        <v>29921</v>
      </c>
      <c r="C2892" s="120" t="s">
        <v>4707</v>
      </c>
      <c r="D2892" s="33" t="s">
        <v>29892</v>
      </c>
      <c r="E2892" s="51" t="s">
        <v>567</v>
      </c>
      <c r="F2892" s="121" t="s">
        <v>3009</v>
      </c>
      <c r="G2892" s="98" t="str">
        <f>HYPERLINK("http://mirror.ff7data.com.ar/ff7/data/battle/battle.lgp/ffap.png","View Picture")</f>
        <v>View Picture</v>
      </c>
    </row>
    <row r="2893">
      <c r="A2893" s="55"/>
      <c r="B2893" s="119" t="s">
        <v>29929</v>
      </c>
      <c r="C2893" s="120" t="s">
        <v>7148</v>
      </c>
      <c r="D2893" s="33" t="s">
        <v>29892</v>
      </c>
      <c r="E2893" s="51" t="s">
        <v>567</v>
      </c>
      <c r="F2893" s="121" t="s">
        <v>3009</v>
      </c>
      <c r="G2893" s="98" t="str">
        <f>HYPERLINK("http://mirror.ff7data.com.ar/ff7/data/battle/battle.lgp/ffaq.png","View Picture")</f>
        <v>View Picture</v>
      </c>
    </row>
    <row r="2894">
      <c r="A2894" s="55"/>
      <c r="B2894" s="119" t="s">
        <v>29938</v>
      </c>
      <c r="C2894" s="120" t="s">
        <v>3749</v>
      </c>
      <c r="D2894" s="33" t="s">
        <v>29892</v>
      </c>
      <c r="E2894" s="51" t="s">
        <v>567</v>
      </c>
      <c r="F2894" s="121" t="s">
        <v>3009</v>
      </c>
      <c r="G2894" s="98" t="str">
        <f>HYPERLINK("http://mirror.ff7data.com.ar/ff7/data/battle/battle.lgp/ffar.png","View Picture")</f>
        <v>View Picture</v>
      </c>
    </row>
    <row r="2895">
      <c r="A2895" s="55"/>
      <c r="B2895" s="119" t="s">
        <v>29949</v>
      </c>
      <c r="C2895" s="120" t="s">
        <v>4707</v>
      </c>
      <c r="D2895" s="33" t="s">
        <v>29892</v>
      </c>
      <c r="E2895" s="51" t="s">
        <v>567</v>
      </c>
      <c r="F2895" s="121" t="s">
        <v>3009</v>
      </c>
      <c r="G2895" s="98" t="str">
        <f>HYPERLINK("http://mirror.ff7data.com.ar/ff7/data/battle/battle.lgp/ffat.png","View Picture")</f>
        <v>View Picture</v>
      </c>
    </row>
    <row r="2896">
      <c r="A2896" s="55"/>
      <c r="B2896" s="119" t="s">
        <v>29958</v>
      </c>
      <c r="C2896" s="120" t="s">
        <v>4707</v>
      </c>
      <c r="D2896" s="33" t="s">
        <v>29892</v>
      </c>
      <c r="E2896" s="51" t="s">
        <v>567</v>
      </c>
      <c r="F2896" s="121" t="s">
        <v>3009</v>
      </c>
      <c r="G2896" s="98" t="str">
        <f>HYPERLINK("http://mirror.ff7data.com.ar/ff7/data/battle/battle.lgp/ffau.png","View Picture")</f>
        <v>View Picture</v>
      </c>
    </row>
    <row r="2897">
      <c r="A2897" s="55"/>
      <c r="B2897" s="119" t="s">
        <v>29969</v>
      </c>
      <c r="C2897" s="120" t="s">
        <v>7148</v>
      </c>
      <c r="D2897" s="33" t="s">
        <v>29892</v>
      </c>
      <c r="E2897" s="51" t="s">
        <v>567</v>
      </c>
      <c r="F2897" s="121" t="s">
        <v>3009</v>
      </c>
      <c r="G2897" s="98" t="str">
        <f>HYPERLINK("http://mirror.ff7data.com.ar/ff7/data/battle/battle.lgp/ffav.png","View Picture")</f>
        <v>View Picture</v>
      </c>
    </row>
    <row r="2898">
      <c r="A2898" s="55"/>
      <c r="B2898" s="119" t="s">
        <v>29973</v>
      </c>
      <c r="C2898" s="120" t="s">
        <v>3749</v>
      </c>
      <c r="D2898" s="33" t="s">
        <v>29892</v>
      </c>
      <c r="E2898" s="51" t="s">
        <v>567</v>
      </c>
      <c r="F2898" s="121" t="s">
        <v>3009</v>
      </c>
      <c r="G2898" s="98" t="str">
        <f>HYPERLINK("http://mirror.ff7data.com.ar/ff7/data/battle/battle.lgp/ffaw.png","View Picture")</f>
        <v>View Picture</v>
      </c>
    </row>
    <row r="2899">
      <c r="A2899" s="55"/>
      <c r="B2899" s="119" t="s">
        <v>29980</v>
      </c>
      <c r="C2899" s="120" t="s">
        <v>4217</v>
      </c>
      <c r="D2899" s="33" t="s">
        <v>29892</v>
      </c>
      <c r="E2899" s="51" t="s">
        <v>567</v>
      </c>
      <c r="F2899" s="121" t="s">
        <v>3009</v>
      </c>
      <c r="G2899" s="98" t="str">
        <f>HYPERLINK("http://mirror.ff7data.com.ar/ff7/data/battle/battle.lgp/ffax.png","View Picture")</f>
        <v>View Picture</v>
      </c>
    </row>
    <row r="2900">
      <c r="A2900" s="55"/>
      <c r="B2900" s="119" t="s">
        <v>29991</v>
      </c>
      <c r="C2900" s="120" t="s">
        <v>3648</v>
      </c>
      <c r="D2900" s="33" t="s">
        <v>29892</v>
      </c>
      <c r="E2900" s="51" t="s">
        <v>567</v>
      </c>
      <c r="F2900" s="121" t="s">
        <v>3009</v>
      </c>
      <c r="G2900" s="98" t="str">
        <f>HYPERLINK("http://mirror.ff7data.com.ar/ff7/data/battle/battle.lgp/ffay.png","View Picture")</f>
        <v>View Picture</v>
      </c>
    </row>
    <row r="2901">
      <c r="A2901" s="55"/>
      <c r="B2901" s="119" t="s">
        <v>30001</v>
      </c>
      <c r="C2901" s="120" t="s">
        <v>3573</v>
      </c>
      <c r="D2901" s="33" t="s">
        <v>29892</v>
      </c>
      <c r="E2901" s="51" t="s">
        <v>567</v>
      </c>
      <c r="F2901" s="121" t="s">
        <v>3009</v>
      </c>
      <c r="G2901" s="98" t="str">
        <f>HYPERLINK("http://mirror.ff7data.com.ar/ff7/data/battle/battle.lgp/ffaz.png","View Picture")</f>
        <v>View Picture</v>
      </c>
    </row>
    <row r="2902">
      <c r="A2902" s="55"/>
      <c r="B2902" s="119" t="s">
        <v>30016</v>
      </c>
      <c r="C2902" s="120" t="s">
        <v>3343</v>
      </c>
      <c r="D2902" s="33" t="s">
        <v>29892</v>
      </c>
      <c r="E2902" s="51" t="s">
        <v>567</v>
      </c>
      <c r="F2902" s="121" t="s">
        <v>3009</v>
      </c>
      <c r="G2902" s="98" t="str">
        <f>HYPERLINK("http://mirror.ff7data.com.ar/ff7/data/battle/battle.lgp/ffbb.png","View Picture")</f>
        <v>View Picture</v>
      </c>
    </row>
    <row r="2903">
      <c r="A2903" s="55"/>
      <c r="B2903" s="119" t="s">
        <v>30026</v>
      </c>
      <c r="C2903" s="120" t="s">
        <v>4658</v>
      </c>
      <c r="D2903" s="33" t="s">
        <v>29892</v>
      </c>
      <c r="E2903" s="51" t="s">
        <v>567</v>
      </c>
      <c r="F2903" s="121" t="s">
        <v>3009</v>
      </c>
      <c r="G2903" s="98" t="str">
        <f>HYPERLINK("http://mirror.ff7data.com.ar/ff7/data/battle/battle.lgp/ffbd.png","View Picture")</f>
        <v>View Picture</v>
      </c>
    </row>
    <row r="2904">
      <c r="A2904" s="55"/>
      <c r="B2904" s="119" t="s">
        <v>30036</v>
      </c>
      <c r="C2904" s="120" t="s">
        <v>4185</v>
      </c>
      <c r="D2904" s="33" t="s">
        <v>29892</v>
      </c>
      <c r="E2904" s="51" t="s">
        <v>567</v>
      </c>
      <c r="F2904" s="121" t="s">
        <v>3009</v>
      </c>
      <c r="G2904" s="98" t="str">
        <f>HYPERLINK("http://mirror.ff7data.com.ar/ff7/data/battle/battle.lgp/ffbe.png","View Picture")</f>
        <v>View Picture</v>
      </c>
    </row>
    <row r="2905">
      <c r="A2905" s="55"/>
      <c r="B2905" s="119" t="s">
        <v>30045</v>
      </c>
      <c r="C2905" s="120" t="s">
        <v>4372</v>
      </c>
      <c r="D2905" s="33" t="s">
        <v>29892</v>
      </c>
      <c r="E2905" s="51" t="s">
        <v>567</v>
      </c>
      <c r="F2905" s="121" t="s">
        <v>3009</v>
      </c>
      <c r="G2905" s="98" t="str">
        <f>HYPERLINK("http://mirror.ff7data.com.ar/ff7/data/battle/battle.lgp/ffbf.png","View Picture")</f>
        <v>View Picture</v>
      </c>
    </row>
    <row r="2906">
      <c r="A2906" s="55"/>
      <c r="B2906" s="119" t="s">
        <v>30055</v>
      </c>
      <c r="C2906" s="120" t="s">
        <v>6029</v>
      </c>
      <c r="D2906" s="33" t="s">
        <v>29892</v>
      </c>
      <c r="E2906" s="51" t="s">
        <v>567</v>
      </c>
      <c r="F2906" s="121" t="s">
        <v>3009</v>
      </c>
      <c r="G2906" s="98" t="str">
        <f>HYPERLINK("http://mirror.ff7data.com.ar/ff7/data/battle/battle.lgp/ffbh.png","View Picture")</f>
        <v>View Picture</v>
      </c>
    </row>
    <row r="2907">
      <c r="A2907" s="55"/>
      <c r="B2907" s="119" t="s">
        <v>30068</v>
      </c>
      <c r="C2907" s="120" t="s">
        <v>4707</v>
      </c>
      <c r="D2907" s="33" t="s">
        <v>29892</v>
      </c>
      <c r="E2907" s="51" t="s">
        <v>567</v>
      </c>
      <c r="F2907" s="121" t="s">
        <v>3009</v>
      </c>
      <c r="G2907" s="98" t="str">
        <f>HYPERLINK("http://mirror.ff7data.com.ar/ff7/data/battle/battle.lgp/ffbj.png","View Picture")</f>
        <v>View Picture</v>
      </c>
    </row>
    <row r="2908">
      <c r="A2908" s="55"/>
      <c r="B2908" s="119" t="s">
        <v>30077</v>
      </c>
      <c r="C2908" s="120" t="s">
        <v>4476</v>
      </c>
      <c r="D2908" s="33" t="s">
        <v>29892</v>
      </c>
      <c r="E2908" s="51" t="s">
        <v>567</v>
      </c>
      <c r="F2908" s="121" t="s">
        <v>3009</v>
      </c>
      <c r="G2908" s="98" t="str">
        <f>HYPERLINK("http://mirror.ff7data.com.ar/ff7/data/battle/battle.lgp/ffbk.png","View Picture")</f>
        <v>View Picture</v>
      </c>
    </row>
    <row r="2909">
      <c r="A2909" s="55"/>
      <c r="B2909" s="119" t="s">
        <v>30086</v>
      </c>
      <c r="C2909" s="120" t="s">
        <v>4357</v>
      </c>
      <c r="D2909" s="33" t="s">
        <v>29892</v>
      </c>
      <c r="E2909" s="51" t="s">
        <v>567</v>
      </c>
      <c r="F2909" s="121" t="s">
        <v>3009</v>
      </c>
      <c r="G2909" s="98" t="str">
        <f>HYPERLINK("http://mirror.ff7data.com.ar/ff7/data/battle/battle.lgp/ffbl.png","View Picture")</f>
        <v>View Picture</v>
      </c>
    </row>
    <row r="2910">
      <c r="A2910" s="55"/>
      <c r="B2910" s="119" t="s">
        <v>30102</v>
      </c>
      <c r="C2910" s="120" t="s">
        <v>4057</v>
      </c>
      <c r="D2910" s="33" t="s">
        <v>29892</v>
      </c>
      <c r="E2910" s="51" t="s">
        <v>567</v>
      </c>
      <c r="F2910" s="121" t="s">
        <v>3009</v>
      </c>
      <c r="G2910" s="98" t="str">
        <f>HYPERLINK("http://mirror.ff7data.com.ar/ff7/data/battle/battle.lgp/ffbn.png","View Picture")</f>
        <v>View Picture</v>
      </c>
    </row>
    <row r="2911">
      <c r="A2911" s="55"/>
      <c r="B2911" s="119" t="s">
        <v>30109</v>
      </c>
      <c r="C2911" s="120" t="s">
        <v>7148</v>
      </c>
      <c r="D2911" s="33" t="s">
        <v>29892</v>
      </c>
      <c r="E2911" s="51" t="s">
        <v>567</v>
      </c>
      <c r="F2911" s="121" t="s">
        <v>3009</v>
      </c>
      <c r="G2911" s="98" t="str">
        <f>HYPERLINK("http://mirror.ff7data.com.ar/ff7/data/battle/battle.lgp/ffbo.png","View Picture")</f>
        <v>View Picture</v>
      </c>
    </row>
    <row r="2912">
      <c r="A2912" s="55"/>
      <c r="B2912" s="119" t="s">
        <v>30119</v>
      </c>
      <c r="C2912" s="120" t="s">
        <v>7148</v>
      </c>
      <c r="D2912" s="33" t="s">
        <v>29892</v>
      </c>
      <c r="E2912" s="51" t="s">
        <v>567</v>
      </c>
      <c r="F2912" s="121" t="s">
        <v>3009</v>
      </c>
      <c r="G2912" s="98" t="str">
        <f>HYPERLINK("http://mirror.ff7data.com.ar/ff7/data/battle/battle.lgp/ffbp.png","View Picture")</f>
        <v>View Picture</v>
      </c>
    </row>
    <row r="2913">
      <c r="A2913" s="55"/>
      <c r="B2913" s="119" t="s">
        <v>30130</v>
      </c>
      <c r="C2913" s="120" t="s">
        <v>7148</v>
      </c>
      <c r="D2913" s="33" t="s">
        <v>29892</v>
      </c>
      <c r="E2913" s="51" t="s">
        <v>567</v>
      </c>
      <c r="F2913" s="121" t="s">
        <v>3009</v>
      </c>
      <c r="G2913" s="98" t="str">
        <f>HYPERLINK("http://mirror.ff7data.com.ar/ff7/data/battle/battle.lgp/ffbq.png","View Picture")</f>
        <v>View Picture</v>
      </c>
    </row>
    <row r="2914">
      <c r="A2914" s="55"/>
      <c r="B2914" s="119" t="s">
        <v>30140</v>
      </c>
      <c r="C2914" s="120" t="s">
        <v>5356</v>
      </c>
      <c r="D2914" s="33" t="s">
        <v>29892</v>
      </c>
      <c r="E2914" s="51" t="s">
        <v>567</v>
      </c>
      <c r="F2914" s="121" t="s">
        <v>3009</v>
      </c>
      <c r="G2914" s="98" t="str">
        <f>HYPERLINK("http://mirror.ff7data.com.ar/ff7/data/battle/battle.lgp/ffbr.png","View Picture")</f>
        <v>View Picture</v>
      </c>
    </row>
    <row r="2915">
      <c r="A2915" s="55"/>
      <c r="B2915" s="119" t="s">
        <v>30150</v>
      </c>
      <c r="C2915" s="120" t="s">
        <v>4372</v>
      </c>
      <c r="D2915" s="33" t="s">
        <v>29892</v>
      </c>
      <c r="E2915" s="51" t="s">
        <v>567</v>
      </c>
      <c r="F2915" s="121" t="s">
        <v>3009</v>
      </c>
      <c r="G2915" s="98" t="str">
        <f>HYPERLINK("http://mirror.ff7data.com.ar/ff7/data/battle/battle.lgp/ffbs.png","View Picture")</f>
        <v>View Picture</v>
      </c>
    </row>
    <row r="2916">
      <c r="A2916" s="55"/>
      <c r="B2916" s="119" t="s">
        <v>30159</v>
      </c>
      <c r="C2916" s="120" t="s">
        <v>7062</v>
      </c>
      <c r="D2916" s="33" t="s">
        <v>29892</v>
      </c>
      <c r="E2916" s="51" t="s">
        <v>567</v>
      </c>
      <c r="F2916" s="121" t="s">
        <v>3025</v>
      </c>
      <c r="H2916" s="46" t="s">
        <v>3002</v>
      </c>
    </row>
    <row r="2917">
      <c r="A2917" s="55"/>
      <c r="B2917" s="119" t="s">
        <v>30162</v>
      </c>
      <c r="C2917" s="120" t="s">
        <v>18047</v>
      </c>
      <c r="D2917" s="33" t="s">
        <v>30164</v>
      </c>
      <c r="E2917" s="51" t="s">
        <v>580</v>
      </c>
      <c r="F2917" s="121" t="s">
        <v>2971</v>
      </c>
      <c r="G2917" s="98" t="str">
        <f>HYPERLINK("http://mirror.ff7data.com.ar/ff7/data/battle/battle.lgp/fgaa.png","View Picture")</f>
        <v>View Picture</v>
      </c>
      <c r="H2917" s="46" t="s">
        <v>30171</v>
      </c>
    </row>
    <row r="2918">
      <c r="A2918" s="55"/>
      <c r="B2918" s="119" t="s">
        <v>30173</v>
      </c>
      <c r="C2918" s="120" t="s">
        <v>4209</v>
      </c>
      <c r="D2918" s="33" t="s">
        <v>30175</v>
      </c>
      <c r="E2918" s="51" t="s">
        <v>580</v>
      </c>
      <c r="F2918" s="121" t="s">
        <v>2993</v>
      </c>
      <c r="H2918" s="46" t="s">
        <v>3002</v>
      </c>
    </row>
    <row r="2919">
      <c r="A2919" s="55"/>
      <c r="B2919" s="119" t="s">
        <v>30179</v>
      </c>
      <c r="C2919" s="120" t="s">
        <v>3648</v>
      </c>
      <c r="D2919" s="33" t="s">
        <v>30175</v>
      </c>
      <c r="E2919" s="51" t="s">
        <v>580</v>
      </c>
      <c r="F2919" s="121" t="s">
        <v>3009</v>
      </c>
      <c r="G2919" s="98" t="str">
        <f>HYPERLINK("http://mirror.ff7data.com.ar/ff7/data/battle/battle.lgp/fgam.png","View Picture")</f>
        <v>View Picture</v>
      </c>
    </row>
    <row r="2920">
      <c r="A2920" s="55"/>
      <c r="B2920" s="119" t="s">
        <v>30186</v>
      </c>
      <c r="C2920" s="120" t="s">
        <v>5891</v>
      </c>
      <c r="D2920" s="33" t="s">
        <v>30175</v>
      </c>
      <c r="E2920" s="51" t="s">
        <v>580</v>
      </c>
      <c r="F2920" s="121" t="s">
        <v>3009</v>
      </c>
      <c r="G2920" s="98" t="str">
        <f>HYPERLINK("http://mirror.ff7data.com.ar/ff7/data/battle/battle.lgp/fgan.png","View Picture")</f>
        <v>View Picture</v>
      </c>
    </row>
    <row r="2921">
      <c r="A2921" s="55"/>
      <c r="B2921" s="119" t="s">
        <v>30192</v>
      </c>
      <c r="C2921" s="120" t="s">
        <v>5891</v>
      </c>
      <c r="D2921" s="33" t="s">
        <v>30175</v>
      </c>
      <c r="E2921" s="51" t="s">
        <v>580</v>
      </c>
      <c r="F2921" s="121" t="s">
        <v>3009</v>
      </c>
      <c r="G2921" s="98" t="str">
        <f>HYPERLINK("http://mirror.ff7data.com.ar/ff7/data/battle/battle.lgp/fgao.png","View Picture")</f>
        <v>View Picture</v>
      </c>
    </row>
    <row r="2922">
      <c r="A2922" s="55"/>
      <c r="B2922" s="119" t="s">
        <v>30201</v>
      </c>
      <c r="C2922" s="120" t="s">
        <v>8649</v>
      </c>
      <c r="D2922" s="33" t="s">
        <v>30175</v>
      </c>
      <c r="E2922" s="51" t="s">
        <v>580</v>
      </c>
      <c r="F2922" s="121" t="s">
        <v>3009</v>
      </c>
      <c r="G2922" s="98" t="str">
        <f>HYPERLINK("http://mirror.ff7data.com.ar/ff7/data/battle/battle.lgp/fgap.png","View Picture")</f>
        <v>View Picture</v>
      </c>
    </row>
    <row r="2923">
      <c r="A2923" s="55"/>
      <c r="B2923" s="119" t="s">
        <v>30209</v>
      </c>
      <c r="C2923" s="120" t="s">
        <v>5203</v>
      </c>
      <c r="D2923" s="33" t="s">
        <v>30175</v>
      </c>
      <c r="E2923" s="51" t="s">
        <v>580</v>
      </c>
      <c r="F2923" s="121" t="s">
        <v>3009</v>
      </c>
      <c r="G2923" s="98" t="str">
        <f>HYPERLINK("http://mirror.ff7data.com.ar/ff7/data/battle/battle.lgp/fgaq.png","View Picture")</f>
        <v>View Picture</v>
      </c>
    </row>
    <row r="2924">
      <c r="A2924" s="55"/>
      <c r="B2924" s="119" t="s">
        <v>30218</v>
      </c>
      <c r="C2924" s="120" t="s">
        <v>3355</v>
      </c>
      <c r="D2924" s="33" t="s">
        <v>30175</v>
      </c>
      <c r="E2924" s="51" t="s">
        <v>580</v>
      </c>
      <c r="F2924" s="121" t="s">
        <v>3009</v>
      </c>
      <c r="G2924" s="98" t="str">
        <f>HYPERLINK("http://mirror.ff7data.com.ar/ff7/data/battle/battle.lgp/fgas.png","View Picture")</f>
        <v>View Picture</v>
      </c>
    </row>
    <row r="2925">
      <c r="A2925" s="55"/>
      <c r="B2925" s="119" t="s">
        <v>30232</v>
      </c>
      <c r="C2925" s="120" t="s">
        <v>4719</v>
      </c>
      <c r="D2925" s="33" t="s">
        <v>30175</v>
      </c>
      <c r="E2925" s="51" t="s">
        <v>580</v>
      </c>
      <c r="F2925" s="121" t="s">
        <v>3009</v>
      </c>
      <c r="G2925" s="98" t="str">
        <f>HYPERLINK("http://mirror.ff7data.com.ar/ff7/data/battle/battle.lgp/fgat.png","View Picture")</f>
        <v>View Picture</v>
      </c>
    </row>
    <row r="2926">
      <c r="A2926" s="55"/>
      <c r="B2926" s="119" t="s">
        <v>30247</v>
      </c>
      <c r="C2926" s="120" t="s">
        <v>4719</v>
      </c>
      <c r="D2926" s="33" t="s">
        <v>30175</v>
      </c>
      <c r="E2926" s="51" t="s">
        <v>580</v>
      </c>
      <c r="F2926" s="121" t="s">
        <v>3009</v>
      </c>
      <c r="G2926" s="98" t="str">
        <f>HYPERLINK("http://mirror.ff7data.com.ar/ff7/data/battle/battle.lgp/fgau.png","View Picture")</f>
        <v>View Picture</v>
      </c>
    </row>
    <row r="2927">
      <c r="A2927" s="55"/>
      <c r="B2927" s="119" t="s">
        <v>30258</v>
      </c>
      <c r="C2927" s="120" t="s">
        <v>4057</v>
      </c>
      <c r="D2927" s="33" t="s">
        <v>30175</v>
      </c>
      <c r="E2927" s="51" t="s">
        <v>580</v>
      </c>
      <c r="F2927" s="121" t="s">
        <v>3009</v>
      </c>
      <c r="G2927" s="98" t="str">
        <f>HYPERLINK("http://mirror.ff7data.com.ar/ff7/data/battle/battle.lgp/fgav.png","View Picture")</f>
        <v>View Picture</v>
      </c>
    </row>
    <row r="2928">
      <c r="A2928" s="55"/>
      <c r="B2928" s="119" t="s">
        <v>30281</v>
      </c>
      <c r="C2928" s="120" t="s">
        <v>4696</v>
      </c>
      <c r="D2928" s="33" t="s">
        <v>30175</v>
      </c>
      <c r="E2928" s="51" t="s">
        <v>580</v>
      </c>
      <c r="F2928" s="121" t="s">
        <v>3009</v>
      </c>
      <c r="G2928" s="98" t="str">
        <f>HYPERLINK("http://mirror.ff7data.com.ar/ff7/data/battle/battle.lgp/fgax.png","View Picture")</f>
        <v>View Picture</v>
      </c>
    </row>
    <row r="2929">
      <c r="A2929" s="55"/>
      <c r="B2929" s="119" t="s">
        <v>30291</v>
      </c>
      <c r="C2929" s="120" t="s">
        <v>4696</v>
      </c>
      <c r="D2929" s="33" t="s">
        <v>30175</v>
      </c>
      <c r="E2929" s="51" t="s">
        <v>580</v>
      </c>
      <c r="F2929" s="121" t="s">
        <v>3009</v>
      </c>
      <c r="G2929" s="98" t="str">
        <f>HYPERLINK("http://mirror.ff7data.com.ar/ff7/data/battle/battle.lgp/fgay.png","View Picture")</f>
        <v>View Picture</v>
      </c>
    </row>
    <row r="2930">
      <c r="A2930" s="55"/>
      <c r="B2930" s="119" t="s">
        <v>30302</v>
      </c>
      <c r="C2930" s="120" t="s">
        <v>4696</v>
      </c>
      <c r="D2930" s="33" t="s">
        <v>30175</v>
      </c>
      <c r="E2930" s="51" t="s">
        <v>580</v>
      </c>
      <c r="F2930" s="121" t="s">
        <v>3009</v>
      </c>
      <c r="G2930" s="98" t="str">
        <f>HYPERLINK("http://mirror.ff7data.com.ar/ff7/data/battle/battle.lgp/fgaz.png","View Picture")</f>
        <v>View Picture</v>
      </c>
    </row>
    <row r="2931">
      <c r="A2931" s="55"/>
      <c r="B2931" s="119" t="s">
        <v>30313</v>
      </c>
      <c r="C2931" s="120" t="s">
        <v>4696</v>
      </c>
      <c r="D2931" s="33" t="s">
        <v>30175</v>
      </c>
      <c r="E2931" s="51" t="s">
        <v>580</v>
      </c>
      <c r="F2931" s="121" t="s">
        <v>3009</v>
      </c>
      <c r="G2931" s="98" t="str">
        <f>HYPERLINK("http://mirror.ff7data.com.ar/ff7/data/battle/battle.lgp/fgba.png","View Picture")</f>
        <v>View Picture</v>
      </c>
    </row>
    <row r="2932">
      <c r="A2932" s="55"/>
      <c r="B2932" s="119" t="s">
        <v>30323</v>
      </c>
      <c r="C2932" s="120" t="s">
        <v>4696</v>
      </c>
      <c r="D2932" s="33" t="s">
        <v>30175</v>
      </c>
      <c r="E2932" s="51" t="s">
        <v>580</v>
      </c>
      <c r="F2932" s="121" t="s">
        <v>3009</v>
      </c>
      <c r="G2932" s="98" t="str">
        <f>HYPERLINK("http://mirror.ff7data.com.ar/ff7/data/battle/battle.lgp/fgbc.png","View Picture")</f>
        <v>View Picture</v>
      </c>
    </row>
    <row r="2933">
      <c r="A2933" s="55"/>
      <c r="B2933" s="119" t="s">
        <v>30346</v>
      </c>
      <c r="C2933" s="120" t="s">
        <v>4696</v>
      </c>
      <c r="D2933" s="33" t="s">
        <v>30175</v>
      </c>
      <c r="E2933" s="51" t="s">
        <v>580</v>
      </c>
      <c r="F2933" s="121" t="s">
        <v>3009</v>
      </c>
      <c r="G2933" s="98" t="str">
        <f>HYPERLINK("http://mirror.ff7data.com.ar/ff7/data/battle/battle.lgp/fgbd.png","View Picture")</f>
        <v>View Picture</v>
      </c>
    </row>
    <row r="2934">
      <c r="A2934" s="55"/>
      <c r="B2934" s="119" t="s">
        <v>30364</v>
      </c>
      <c r="C2934" s="120" t="s">
        <v>4696</v>
      </c>
      <c r="D2934" s="33" t="s">
        <v>30175</v>
      </c>
      <c r="E2934" s="51" t="s">
        <v>580</v>
      </c>
      <c r="F2934" s="121" t="s">
        <v>3009</v>
      </c>
      <c r="G2934" s="98" t="str">
        <f>HYPERLINK("http://mirror.ff7data.com.ar/ff7/data/battle/battle.lgp/fgbe.png","View Picture")</f>
        <v>View Picture</v>
      </c>
    </row>
    <row r="2935">
      <c r="A2935" s="55"/>
      <c r="B2935" s="119" t="s">
        <v>30376</v>
      </c>
      <c r="C2935" s="120" t="s">
        <v>4696</v>
      </c>
      <c r="D2935" s="33" t="s">
        <v>30175</v>
      </c>
      <c r="E2935" s="51" t="s">
        <v>580</v>
      </c>
      <c r="F2935" s="121" t="s">
        <v>3009</v>
      </c>
      <c r="G2935" s="98" t="str">
        <f>HYPERLINK("http://mirror.ff7data.com.ar/ff7/data/battle/battle.lgp/fgbf.png","View Picture")</f>
        <v>View Picture</v>
      </c>
    </row>
    <row r="2936">
      <c r="A2936" s="55"/>
      <c r="B2936" s="119" t="s">
        <v>30384</v>
      </c>
      <c r="C2936" s="120" t="s">
        <v>3481</v>
      </c>
      <c r="D2936" s="33" t="s">
        <v>30175</v>
      </c>
      <c r="E2936" s="51" t="s">
        <v>580</v>
      </c>
      <c r="F2936" s="121" t="s">
        <v>3025</v>
      </c>
      <c r="H2936" s="46" t="s">
        <v>3002</v>
      </c>
    </row>
    <row r="2937">
      <c r="A2937" s="55"/>
      <c r="B2937" s="119" t="s">
        <v>30388</v>
      </c>
      <c r="C2937" s="120" t="s">
        <v>6802</v>
      </c>
      <c r="D2937" s="33" t="s">
        <v>30391</v>
      </c>
      <c r="E2937" s="51" t="s">
        <v>580</v>
      </c>
      <c r="F2937" s="121" t="s">
        <v>2971</v>
      </c>
      <c r="G2937" s="98" t="str">
        <f>HYPERLINK("http://mirror.ff7data.com.ar/ff7/data/battle/battle.lgp/fhaa.png","View Picture")</f>
        <v>View Picture</v>
      </c>
    </row>
    <row r="2938">
      <c r="A2938" s="55"/>
      <c r="B2938" s="119" t="s">
        <v>30399</v>
      </c>
      <c r="C2938" s="120" t="s">
        <v>4846</v>
      </c>
      <c r="D2938" s="33" t="s">
        <v>30401</v>
      </c>
      <c r="E2938" s="51" t="s">
        <v>580</v>
      </c>
      <c r="F2938" s="121" t="s">
        <v>2993</v>
      </c>
      <c r="H2938" s="46" t="s">
        <v>3002</v>
      </c>
    </row>
    <row r="2939">
      <c r="A2939" s="55"/>
      <c r="B2939" s="119" t="s">
        <v>30405</v>
      </c>
      <c r="C2939" s="120" t="s">
        <v>8550</v>
      </c>
      <c r="D2939" s="33" t="s">
        <v>30401</v>
      </c>
      <c r="E2939" s="51" t="s">
        <v>580</v>
      </c>
      <c r="F2939" s="121" t="s">
        <v>3009</v>
      </c>
      <c r="G2939" s="98" t="str">
        <f>HYPERLINK("http://mirror.ff7data.com.ar/ff7/data/battle/battle.lgp/fham.png","View Picture")</f>
        <v>View Picture</v>
      </c>
    </row>
    <row r="2940">
      <c r="A2940" s="55"/>
      <c r="B2940" s="119" t="s">
        <v>30418</v>
      </c>
      <c r="C2940" s="120" t="s">
        <v>30420</v>
      </c>
      <c r="D2940" s="33" t="s">
        <v>30401</v>
      </c>
      <c r="E2940" s="51" t="s">
        <v>580</v>
      </c>
      <c r="F2940" s="121" t="s">
        <v>3009</v>
      </c>
      <c r="G2940" s="98" t="str">
        <f>HYPERLINK("http://mirror.ff7data.com.ar/ff7/data/battle/battle.lgp/fhao.png","View Picture")</f>
        <v>View Picture</v>
      </c>
    </row>
    <row r="2941">
      <c r="A2941" s="55"/>
      <c r="B2941" s="119" t="s">
        <v>30439</v>
      </c>
      <c r="C2941" s="120" t="s">
        <v>8063</v>
      </c>
      <c r="D2941" s="33" t="s">
        <v>30401</v>
      </c>
      <c r="E2941" s="51" t="s">
        <v>580</v>
      </c>
      <c r="F2941" s="121" t="s">
        <v>3009</v>
      </c>
      <c r="G2941" s="98" t="str">
        <f>HYPERLINK("http://mirror.ff7data.com.ar/ff7/data/battle/battle.lgp/fhaq.png","View Picture")</f>
        <v>View Picture</v>
      </c>
    </row>
    <row r="2942">
      <c r="A2942" s="55"/>
      <c r="B2942" s="119" t="s">
        <v>30453</v>
      </c>
      <c r="C2942" s="120" t="s">
        <v>3991</v>
      </c>
      <c r="D2942" s="33" t="s">
        <v>30401</v>
      </c>
      <c r="E2942" s="51" t="s">
        <v>580</v>
      </c>
      <c r="F2942" s="121" t="s">
        <v>3009</v>
      </c>
      <c r="G2942" s="98" t="str">
        <f>HYPERLINK("http://mirror.ff7data.com.ar/ff7/data/battle/battle.lgp/fhas.png","View Picture")</f>
        <v>View Picture</v>
      </c>
    </row>
    <row r="2943">
      <c r="A2943" s="55"/>
      <c r="B2943" s="119" t="s">
        <v>30459</v>
      </c>
      <c r="C2943" s="120" t="s">
        <v>4372</v>
      </c>
      <c r="D2943" s="33" t="s">
        <v>30401</v>
      </c>
      <c r="E2943" s="51" t="s">
        <v>580</v>
      </c>
      <c r="F2943" s="121" t="s">
        <v>3009</v>
      </c>
      <c r="G2943" s="98" t="str">
        <f>HYPERLINK("http://mirror.ff7data.com.ar/ff7/data/battle/battle.lgp/fhav.png","View Picture")</f>
        <v>View Picture</v>
      </c>
    </row>
    <row r="2944">
      <c r="A2944" s="55"/>
      <c r="B2944" s="119" t="s">
        <v>30467</v>
      </c>
      <c r="C2944" s="120" t="s">
        <v>3648</v>
      </c>
      <c r="D2944" s="33" t="s">
        <v>30401</v>
      </c>
      <c r="E2944" s="51" t="s">
        <v>580</v>
      </c>
      <c r="F2944" s="121" t="s">
        <v>3009</v>
      </c>
      <c r="G2944" s="98" t="str">
        <f>HYPERLINK("http://mirror.ff7data.com.ar/ff7/data/battle/battle.lgp/fhaw.png","View Picture")</f>
        <v>View Picture</v>
      </c>
    </row>
    <row r="2945">
      <c r="A2945" s="55"/>
      <c r="B2945" s="119" t="s">
        <v>30474</v>
      </c>
      <c r="C2945" s="120" t="s">
        <v>4185</v>
      </c>
      <c r="D2945" s="33" t="s">
        <v>30401</v>
      </c>
      <c r="E2945" s="51" t="s">
        <v>580</v>
      </c>
      <c r="F2945" s="121" t="s">
        <v>3009</v>
      </c>
      <c r="G2945" s="98" t="str">
        <f>HYPERLINK("http://mirror.ff7data.com.ar/ff7/data/battle/battle.lgp/fhax.png","View Picture")</f>
        <v>View Picture</v>
      </c>
    </row>
    <row r="2946">
      <c r="A2946" s="55"/>
      <c r="B2946" s="119" t="s">
        <v>30483</v>
      </c>
      <c r="C2946" s="120" t="s">
        <v>4252</v>
      </c>
      <c r="D2946" s="33" t="s">
        <v>30401</v>
      </c>
      <c r="E2946" s="51" t="s">
        <v>580</v>
      </c>
      <c r="F2946" s="121" t="s">
        <v>3009</v>
      </c>
      <c r="G2946" s="98" t="str">
        <f>HYPERLINK("http://mirror.ff7data.com.ar/ff7/data/battle/battle.lgp/fhba.png","View Picture")</f>
        <v>View Picture</v>
      </c>
    </row>
    <row r="2947">
      <c r="A2947" s="55"/>
      <c r="B2947" s="119" t="s">
        <v>30494</v>
      </c>
      <c r="C2947" s="120" t="s">
        <v>5419</v>
      </c>
      <c r="D2947" s="33" t="s">
        <v>30401</v>
      </c>
      <c r="E2947" s="51" t="s">
        <v>580</v>
      </c>
      <c r="F2947" s="121" t="s">
        <v>3009</v>
      </c>
      <c r="G2947" s="98" t="str">
        <f>HYPERLINK("http://mirror.ff7data.com.ar/ff7/data/battle/battle.lgp/fhbb.png","View Picture")</f>
        <v>View Picture</v>
      </c>
    </row>
    <row r="2948">
      <c r="A2948" s="55"/>
      <c r="B2948" s="119" t="s">
        <v>30505</v>
      </c>
      <c r="C2948" s="120" t="s">
        <v>4252</v>
      </c>
      <c r="D2948" s="33" t="s">
        <v>30401</v>
      </c>
      <c r="E2948" s="51" t="s">
        <v>580</v>
      </c>
      <c r="F2948" s="121" t="s">
        <v>3009</v>
      </c>
      <c r="G2948" s="98" t="str">
        <f>HYPERLINK("http://mirror.ff7data.com.ar/ff7/data/battle/battle.lgp/fhbd.png","View Picture")</f>
        <v>View Picture</v>
      </c>
    </row>
    <row r="2949">
      <c r="A2949" s="55"/>
      <c r="B2949" s="119" t="s">
        <v>30518</v>
      </c>
      <c r="C2949" s="120" t="s">
        <v>5419</v>
      </c>
      <c r="D2949" s="33" t="s">
        <v>30401</v>
      </c>
      <c r="E2949" s="51" t="s">
        <v>580</v>
      </c>
      <c r="F2949" s="121" t="s">
        <v>3009</v>
      </c>
      <c r="G2949" s="98" t="str">
        <f>HYPERLINK("http://mirror.ff7data.com.ar/ff7/data/battle/battle.lgp/fhbe.png","View Picture")</f>
        <v>View Picture</v>
      </c>
    </row>
    <row r="2950">
      <c r="A2950" s="55"/>
      <c r="B2950" s="119" t="s">
        <v>30530</v>
      </c>
      <c r="C2950" s="120" t="s">
        <v>4372</v>
      </c>
      <c r="D2950" s="33" t="s">
        <v>30401</v>
      </c>
      <c r="E2950" s="51" t="s">
        <v>580</v>
      </c>
      <c r="F2950" s="121" t="s">
        <v>3009</v>
      </c>
      <c r="G2950" s="98" t="str">
        <f>HYPERLINK("http://mirror.ff7data.com.ar/ff7/data/battle/battle.lgp/fhbg.png","View Picture")</f>
        <v>View Picture</v>
      </c>
    </row>
    <row r="2951">
      <c r="A2951" s="55"/>
      <c r="B2951" s="119" t="s">
        <v>30546</v>
      </c>
      <c r="C2951" s="120" t="s">
        <v>3648</v>
      </c>
      <c r="D2951" s="33" t="s">
        <v>30401</v>
      </c>
      <c r="E2951" s="51" t="s">
        <v>580</v>
      </c>
      <c r="F2951" s="121" t="s">
        <v>3009</v>
      </c>
      <c r="G2951" s="98" t="str">
        <f>HYPERLINK("http://mirror.ff7data.com.ar/ff7/data/battle/battle.lgp/fhbh.png","View Picture")</f>
        <v>View Picture</v>
      </c>
    </row>
    <row r="2952">
      <c r="A2952" s="55"/>
      <c r="B2952" s="119" t="s">
        <v>30559</v>
      </c>
      <c r="C2952" s="120" t="s">
        <v>4185</v>
      </c>
      <c r="D2952" s="33" t="s">
        <v>30401</v>
      </c>
      <c r="E2952" s="51" t="s">
        <v>580</v>
      </c>
      <c r="F2952" s="121" t="s">
        <v>3009</v>
      </c>
      <c r="G2952" s="98" t="str">
        <f>HYPERLINK("http://mirror.ff7data.com.ar/ff7/data/battle/battle.lgp/fhbi.png","View Picture")</f>
        <v>View Picture</v>
      </c>
    </row>
    <row r="2953">
      <c r="A2953" s="55"/>
      <c r="B2953" s="119" t="s">
        <v>30568</v>
      </c>
      <c r="C2953" s="120" t="s">
        <v>3991</v>
      </c>
      <c r="D2953" s="33" t="s">
        <v>30401</v>
      </c>
      <c r="E2953" s="51" t="s">
        <v>580</v>
      </c>
      <c r="F2953" s="121" t="s">
        <v>3009</v>
      </c>
      <c r="G2953" s="98" t="str">
        <f>HYPERLINK("http://mirror.ff7data.com.ar/ff7/data/battle/battle.lgp/fhbk.png","View Picture")</f>
        <v>View Picture</v>
      </c>
    </row>
    <row r="2954">
      <c r="A2954" s="55"/>
      <c r="B2954" s="119" t="s">
        <v>30576</v>
      </c>
      <c r="C2954" s="120" t="s">
        <v>3991</v>
      </c>
      <c r="D2954" s="33" t="s">
        <v>30401</v>
      </c>
      <c r="E2954" s="51" t="s">
        <v>580</v>
      </c>
      <c r="F2954" s="121" t="s">
        <v>3009</v>
      </c>
      <c r="G2954" s="98" t="str">
        <f>HYPERLINK("http://mirror.ff7data.com.ar/ff7/data/battle/battle.lgp/fhbm.png","View Picture")</f>
        <v>View Picture</v>
      </c>
    </row>
    <row r="2955">
      <c r="A2955" s="55"/>
      <c r="B2955" s="119" t="s">
        <v>30588</v>
      </c>
      <c r="C2955" s="120" t="s">
        <v>19043</v>
      </c>
      <c r="D2955" s="33" t="s">
        <v>30401</v>
      </c>
      <c r="E2955" s="51" t="s">
        <v>580</v>
      </c>
      <c r="F2955" s="121" t="s">
        <v>3009</v>
      </c>
      <c r="G2955" s="98" t="str">
        <f>HYPERLINK("http://mirror.ff7data.com.ar/ff7/data/battle/battle.lgp/fhbo.png","View Picture")</f>
        <v>View Picture</v>
      </c>
    </row>
    <row r="2956">
      <c r="A2956" s="55"/>
      <c r="B2956" s="119" t="s">
        <v>30599</v>
      </c>
      <c r="C2956" s="120" t="s">
        <v>3853</v>
      </c>
      <c r="D2956" s="33" t="s">
        <v>30401</v>
      </c>
      <c r="E2956" s="51" t="s">
        <v>580</v>
      </c>
      <c r="F2956" s="121" t="s">
        <v>3025</v>
      </c>
      <c r="H2956" s="46" t="s">
        <v>3002</v>
      </c>
    </row>
    <row r="2957">
      <c r="A2957" s="55"/>
      <c r="B2957" s="119" t="s">
        <v>30603</v>
      </c>
      <c r="C2957" s="120" t="s">
        <v>11721</v>
      </c>
      <c r="D2957" s="33" t="s">
        <v>30605</v>
      </c>
      <c r="E2957" s="51" t="s">
        <v>580</v>
      </c>
      <c r="F2957" s="121" t="s">
        <v>2971</v>
      </c>
      <c r="G2957" s="98" t="str">
        <f>HYPERLINK("http://mirror.ff7data.com.ar/ff7/data/battle/battle.lgp/fiaa.png","View Picture")</f>
        <v>View Picture</v>
      </c>
    </row>
    <row r="2958">
      <c r="A2958" s="55"/>
      <c r="B2958" s="119" t="s">
        <v>30615</v>
      </c>
      <c r="C2958" s="120" t="s">
        <v>3299</v>
      </c>
      <c r="D2958" s="33" t="s">
        <v>30618</v>
      </c>
      <c r="E2958" s="51" t="s">
        <v>580</v>
      </c>
      <c r="F2958" s="121" t="s">
        <v>2993</v>
      </c>
      <c r="H2958" s="46" t="s">
        <v>3002</v>
      </c>
    </row>
    <row r="2959">
      <c r="A2959" s="55"/>
      <c r="B2959" s="119" t="s">
        <v>30621</v>
      </c>
      <c r="C2959" s="120" t="s">
        <v>3552</v>
      </c>
      <c r="D2959" s="33" t="s">
        <v>30623</v>
      </c>
      <c r="E2959" s="51" t="s">
        <v>580</v>
      </c>
      <c r="F2959" s="121" t="s">
        <v>1348</v>
      </c>
      <c r="G2959" s="98" t="str">
        <f>HYPERLINK("http://mirror.ff7data.com.ar/ff7/data/battle/battle.lgp/fiac.png","View Picture")</f>
        <v>View Picture</v>
      </c>
    </row>
    <row r="2960">
      <c r="A2960" s="55"/>
      <c r="B2960" s="119" t="s">
        <v>30633</v>
      </c>
      <c r="C2960" s="120" t="s">
        <v>4264</v>
      </c>
      <c r="D2960" s="33" t="s">
        <v>30635</v>
      </c>
      <c r="E2960" s="51" t="s">
        <v>580</v>
      </c>
      <c r="F2960" s="121" t="s">
        <v>3009</v>
      </c>
      <c r="G2960" s="98" t="str">
        <f>HYPERLINK("http://mirror.ff7data.com.ar/ff7/data/battle/battle.lgp/fiam.png","View Picture")</f>
        <v>View Picture</v>
      </c>
    </row>
    <row r="2961">
      <c r="A2961" s="55"/>
      <c r="B2961" s="119" t="s">
        <v>30643</v>
      </c>
      <c r="C2961" s="120" t="s">
        <v>26381</v>
      </c>
      <c r="D2961" s="33" t="s">
        <v>30618</v>
      </c>
      <c r="E2961" s="51" t="s">
        <v>580</v>
      </c>
      <c r="F2961" s="121" t="s">
        <v>3025</v>
      </c>
      <c r="H2961" s="46" t="s">
        <v>3002</v>
      </c>
    </row>
    <row r="2962">
      <c r="A2962" s="55"/>
      <c r="B2962" s="119" t="s">
        <v>30647</v>
      </c>
      <c r="C2962" s="120" t="s">
        <v>10217</v>
      </c>
      <c r="D2962" s="33" t="s">
        <v>30650</v>
      </c>
      <c r="E2962" s="51" t="s">
        <v>580</v>
      </c>
      <c r="F2962" s="121" t="s">
        <v>2971</v>
      </c>
      <c r="G2962" s="98" t="str">
        <f>HYPERLINK("http://mirror.ff7data.com.ar/ff7/data/battle/battle.lgp/fjaa.png","View Picture")</f>
        <v>View Picture</v>
      </c>
    </row>
    <row r="2963">
      <c r="A2963" s="55"/>
      <c r="B2963" s="119" t="s">
        <v>30661</v>
      </c>
      <c r="C2963" s="120" t="s">
        <v>30662</v>
      </c>
      <c r="D2963" s="33" t="s">
        <v>30664</v>
      </c>
      <c r="E2963" s="51" t="s">
        <v>580</v>
      </c>
      <c r="F2963" s="121" t="s">
        <v>2993</v>
      </c>
      <c r="H2963" s="46" t="s">
        <v>3002</v>
      </c>
    </row>
    <row r="2964">
      <c r="A2964" s="55"/>
      <c r="B2964" s="119" t="s">
        <v>30667</v>
      </c>
      <c r="C2964" s="120" t="s">
        <v>26104</v>
      </c>
      <c r="D2964" s="33" t="s">
        <v>30664</v>
      </c>
      <c r="E2964" s="51" t="s">
        <v>580</v>
      </c>
      <c r="F2964" s="121" t="s">
        <v>3009</v>
      </c>
      <c r="G2964" s="98" t="str">
        <f>HYPERLINK("http://mirror.ff7data.com.ar/ff7/data/battle/battle.lgp/fjam.png","View Picture")</f>
        <v>View Picture</v>
      </c>
    </row>
    <row r="2965">
      <c r="A2965" s="55"/>
      <c r="B2965" s="119" t="s">
        <v>30678</v>
      </c>
      <c r="C2965" s="120" t="s">
        <v>8550</v>
      </c>
      <c r="D2965" s="33" t="s">
        <v>30664</v>
      </c>
      <c r="E2965" s="51" t="s">
        <v>580</v>
      </c>
      <c r="F2965" s="121" t="s">
        <v>3009</v>
      </c>
      <c r="G2965" s="98" t="str">
        <f>HYPERLINK("http://mirror.ff7data.com.ar/ff7/data/battle/battle.lgp/fjan.png","View Picture")</f>
        <v>View Picture</v>
      </c>
    </row>
    <row r="2966">
      <c r="A2966" s="55"/>
      <c r="B2966" s="119" t="s">
        <v>30689</v>
      </c>
      <c r="C2966" s="120" t="s">
        <v>23032</v>
      </c>
      <c r="D2966" s="33" t="s">
        <v>30664</v>
      </c>
      <c r="E2966" s="51" t="s">
        <v>580</v>
      </c>
      <c r="F2966" s="121" t="s">
        <v>3009</v>
      </c>
      <c r="G2966" s="98" t="str">
        <f>HYPERLINK("http://mirror.ff7data.com.ar/ff7/data/battle/battle.lgp/fjap.png","View Picture")</f>
        <v>View Picture</v>
      </c>
    </row>
    <row r="2967">
      <c r="A2967" s="55"/>
      <c r="B2967" s="119" t="s">
        <v>30698</v>
      </c>
      <c r="C2967" s="120" t="s">
        <v>12616</v>
      </c>
      <c r="D2967" s="33" t="s">
        <v>30664</v>
      </c>
      <c r="E2967" s="51" t="s">
        <v>580</v>
      </c>
      <c r="F2967" s="121" t="s">
        <v>3009</v>
      </c>
      <c r="G2967" s="98" t="str">
        <f>HYPERLINK("http://mirror.ff7data.com.ar/ff7/data/battle/battle.lgp/fjaq.png","View Picture")</f>
        <v>View Picture</v>
      </c>
    </row>
    <row r="2968">
      <c r="A2968" s="55"/>
      <c r="B2968" s="119" t="s">
        <v>30708</v>
      </c>
      <c r="C2968" s="120" t="s">
        <v>12616</v>
      </c>
      <c r="D2968" s="33" t="s">
        <v>30664</v>
      </c>
      <c r="E2968" s="51" t="s">
        <v>580</v>
      </c>
      <c r="F2968" s="121" t="s">
        <v>3009</v>
      </c>
      <c r="G2968" s="98" t="str">
        <f>HYPERLINK("http://mirror.ff7data.com.ar/ff7/data/battle/battle.lgp/fjas.png","View Picture")</f>
        <v>View Picture</v>
      </c>
    </row>
    <row r="2969">
      <c r="A2969" s="55"/>
      <c r="B2969" s="119" t="s">
        <v>30719</v>
      </c>
      <c r="C2969" s="120" t="s">
        <v>4565</v>
      </c>
      <c r="D2969" s="33" t="s">
        <v>30664</v>
      </c>
      <c r="E2969" s="51" t="s">
        <v>580</v>
      </c>
      <c r="F2969" s="121" t="s">
        <v>3009</v>
      </c>
      <c r="G2969" s="98" t="str">
        <f>HYPERLINK("http://mirror.ff7data.com.ar/ff7/data/battle/battle.lgp/fjau.png","View Picture")</f>
        <v>View Picture</v>
      </c>
    </row>
    <row r="2970">
      <c r="A2970" s="55"/>
      <c r="B2970" s="119" t="s">
        <v>30728</v>
      </c>
      <c r="C2970" s="120" t="s">
        <v>25262</v>
      </c>
      <c r="D2970" s="33" t="s">
        <v>30664</v>
      </c>
      <c r="E2970" s="51" t="s">
        <v>580</v>
      </c>
      <c r="F2970" s="121" t="s">
        <v>3009</v>
      </c>
      <c r="G2970" s="98" t="str">
        <f>HYPERLINK("http://mirror.ff7data.com.ar/ff7/data/battle/battle.lgp/fjaw.png","View Picture")</f>
        <v>View Picture</v>
      </c>
    </row>
    <row r="2971">
      <c r="A2971" s="55"/>
      <c r="B2971" s="119" t="s">
        <v>30735</v>
      </c>
      <c r="C2971" s="120" t="s">
        <v>4926</v>
      </c>
      <c r="D2971" s="33" t="s">
        <v>30664</v>
      </c>
      <c r="E2971" s="51" t="s">
        <v>580</v>
      </c>
      <c r="F2971" s="121" t="s">
        <v>3009</v>
      </c>
      <c r="G2971" s="98" t="str">
        <f>HYPERLINK("http://mirror.ff7data.com.ar/ff7/data/battle/battle.lgp/fjax.png","View Picture")</f>
        <v>View Picture</v>
      </c>
    </row>
    <row r="2972">
      <c r="A2972" s="55"/>
      <c r="B2972" s="119" t="s">
        <v>30755</v>
      </c>
      <c r="C2972" s="120" t="s">
        <v>25262</v>
      </c>
      <c r="D2972" s="33" t="s">
        <v>30664</v>
      </c>
      <c r="E2972" s="51" t="s">
        <v>580</v>
      </c>
      <c r="F2972" s="121" t="s">
        <v>3009</v>
      </c>
      <c r="G2972" s="98" t="str">
        <f>HYPERLINK("http://mirror.ff7data.com.ar/ff7/data/battle/battle.lgp/fjaz.png","View Picture")</f>
        <v>View Picture</v>
      </c>
    </row>
    <row r="2973">
      <c r="A2973" s="55"/>
      <c r="B2973" s="119" t="s">
        <v>30775</v>
      </c>
      <c r="C2973" s="120" t="s">
        <v>4926</v>
      </c>
      <c r="D2973" s="33" t="s">
        <v>30664</v>
      </c>
      <c r="E2973" s="51" t="s">
        <v>580</v>
      </c>
      <c r="F2973" s="121" t="s">
        <v>3009</v>
      </c>
      <c r="G2973" s="98" t="str">
        <f>HYPERLINK("http://mirror.ff7data.com.ar/ff7/data/battle/battle.lgp/fjba.png","View Picture")</f>
        <v>View Picture</v>
      </c>
    </row>
    <row r="2974">
      <c r="A2974" s="55"/>
      <c r="B2974" s="119" t="s">
        <v>30786</v>
      </c>
      <c r="C2974" s="120" t="s">
        <v>4732</v>
      </c>
      <c r="D2974" s="33" t="s">
        <v>30664</v>
      </c>
      <c r="E2974" s="51" t="s">
        <v>580</v>
      </c>
      <c r="F2974" s="121" t="s">
        <v>3009</v>
      </c>
      <c r="G2974" s="98" t="str">
        <f>HYPERLINK("http://mirror.ff7data.com.ar/ff7/data/battle/battle.lgp/fjbc.png","View Picture")</f>
        <v>View Picture</v>
      </c>
    </row>
    <row r="2975">
      <c r="A2975" s="55"/>
      <c r="B2975" s="119" t="s">
        <v>30796</v>
      </c>
      <c r="C2975" s="120" t="s">
        <v>4439</v>
      </c>
      <c r="D2975" s="33" t="s">
        <v>30664</v>
      </c>
      <c r="E2975" s="51" t="s">
        <v>580</v>
      </c>
      <c r="F2975" s="121" t="s">
        <v>3009</v>
      </c>
      <c r="G2975" s="98" t="str">
        <f>HYPERLINK("http://mirror.ff7data.com.ar/ff7/data/battle/battle.lgp/fjbd.png","View Picture")</f>
        <v>View Picture</v>
      </c>
    </row>
    <row r="2976">
      <c r="A2976" s="55"/>
      <c r="B2976" s="119" t="s">
        <v>30808</v>
      </c>
      <c r="C2976" s="120" t="s">
        <v>4732</v>
      </c>
      <c r="D2976" s="33" t="s">
        <v>30664</v>
      </c>
      <c r="E2976" s="51" t="s">
        <v>580</v>
      </c>
      <c r="F2976" s="121" t="s">
        <v>3009</v>
      </c>
      <c r="G2976" s="98" t="str">
        <f>HYPERLINK("http://mirror.ff7data.com.ar/ff7/data/battle/battle.lgp/fjbe.png","View Picture")</f>
        <v>View Picture</v>
      </c>
    </row>
    <row r="2977">
      <c r="A2977" s="55"/>
      <c r="B2977" s="119" t="s">
        <v>30821</v>
      </c>
      <c r="C2977" s="120" t="s">
        <v>5419</v>
      </c>
      <c r="D2977" s="33" t="s">
        <v>30664</v>
      </c>
      <c r="E2977" s="51" t="s">
        <v>580</v>
      </c>
      <c r="F2977" s="121" t="s">
        <v>3009</v>
      </c>
      <c r="G2977" s="98" t="str">
        <f>HYPERLINK("http://mirror.ff7data.com.ar/ff7/data/battle/battle.lgp/fjbf.png","View Picture")</f>
        <v>View Picture</v>
      </c>
    </row>
    <row r="2978">
      <c r="A2978" s="55"/>
      <c r="B2978" s="119" t="s">
        <v>30839</v>
      </c>
      <c r="C2978" s="120" t="s">
        <v>3412</v>
      </c>
      <c r="D2978" s="33" t="s">
        <v>30664</v>
      </c>
      <c r="E2978" s="51" t="s">
        <v>580</v>
      </c>
      <c r="F2978" s="121" t="s">
        <v>3009</v>
      </c>
      <c r="G2978" s="98" t="str">
        <f>HYPERLINK("http://mirror.ff7data.com.ar/ff7/data/battle/battle.lgp/fjbh.png","View Picture")</f>
        <v>View Picture</v>
      </c>
    </row>
    <row r="2979">
      <c r="A2979" s="55"/>
      <c r="B2979" s="119" t="s">
        <v>30842</v>
      </c>
      <c r="C2979" s="120" t="s">
        <v>3573</v>
      </c>
      <c r="D2979" s="33" t="s">
        <v>30664</v>
      </c>
      <c r="E2979" s="51" t="s">
        <v>580</v>
      </c>
      <c r="F2979" s="121" t="s">
        <v>3009</v>
      </c>
      <c r="G2979" s="98" t="str">
        <f>HYPERLINK("http://mirror.ff7data.com.ar/ff7/data/battle/battle.lgp/fjbi.png","View Picture")</f>
        <v>View Picture</v>
      </c>
    </row>
    <row r="2980">
      <c r="A2980" s="55"/>
      <c r="B2980" s="119" t="s">
        <v>30844</v>
      </c>
      <c r="C2980" s="120" t="s">
        <v>12616</v>
      </c>
      <c r="D2980" s="33" t="s">
        <v>30664</v>
      </c>
      <c r="E2980" s="51" t="s">
        <v>580</v>
      </c>
      <c r="F2980" s="121" t="s">
        <v>3009</v>
      </c>
      <c r="G2980" s="98" t="str">
        <f>HYPERLINK("http://mirror.ff7data.com.ar/ff7/data/battle/battle.lgp/fjbk.png","View Picture")</f>
        <v>View Picture</v>
      </c>
    </row>
    <row r="2981">
      <c r="A2981" s="55"/>
      <c r="B2981" s="119" t="s">
        <v>30852</v>
      </c>
      <c r="C2981" s="120" t="s">
        <v>30853</v>
      </c>
      <c r="D2981" s="33" t="s">
        <v>30664</v>
      </c>
      <c r="E2981" s="51" t="s">
        <v>580</v>
      </c>
      <c r="F2981" s="121" t="s">
        <v>3009</v>
      </c>
      <c r="G2981" s="98" t="str">
        <f>HYPERLINK("http://mirror.ff7data.com.ar/ff7/data/battle/battle.lgp/fjbl.png","View Picture")</f>
        <v>View Picture</v>
      </c>
    </row>
    <row r="2982">
      <c r="A2982" s="55"/>
      <c r="B2982" s="119" t="s">
        <v>30873</v>
      </c>
      <c r="C2982" s="120" t="s">
        <v>6004</v>
      </c>
      <c r="D2982" s="33" t="s">
        <v>30664</v>
      </c>
      <c r="E2982" s="51" t="s">
        <v>580</v>
      </c>
      <c r="F2982" s="121" t="s">
        <v>3009</v>
      </c>
      <c r="G2982" s="98" t="str">
        <f>HYPERLINK("http://mirror.ff7data.com.ar/ff7/data/battle/battle.lgp/fjbm.png","View Picture")</f>
        <v>View Picture</v>
      </c>
    </row>
    <row r="2983">
      <c r="A2983" s="55"/>
      <c r="B2983" s="119" t="s">
        <v>30888</v>
      </c>
      <c r="C2983" s="120" t="s">
        <v>6004</v>
      </c>
      <c r="D2983" s="33" t="s">
        <v>30664</v>
      </c>
      <c r="E2983" s="51" t="s">
        <v>580</v>
      </c>
      <c r="F2983" s="121" t="s">
        <v>3009</v>
      </c>
      <c r="G2983" s="98" t="str">
        <f>HYPERLINK("http://mirror.ff7data.com.ar/ff7/data/battle/battle.lgp/fjbn.png","View Picture")</f>
        <v>View Picture</v>
      </c>
    </row>
    <row r="2984">
      <c r="A2984" s="55"/>
      <c r="B2984" s="119" t="s">
        <v>30898</v>
      </c>
      <c r="C2984" s="120" t="s">
        <v>6004</v>
      </c>
      <c r="D2984" s="33" t="s">
        <v>30664</v>
      </c>
      <c r="E2984" s="51" t="s">
        <v>580</v>
      </c>
      <c r="F2984" s="121" t="s">
        <v>3009</v>
      </c>
      <c r="G2984" s="98" t="str">
        <f>HYPERLINK("http://mirror.ff7data.com.ar/ff7/data/battle/battle.lgp/fjbo.png","View Picture")</f>
        <v>View Picture</v>
      </c>
    </row>
    <row r="2985">
      <c r="A2985" s="55"/>
      <c r="B2985" s="119" t="s">
        <v>30910</v>
      </c>
      <c r="C2985" s="120" t="s">
        <v>10899</v>
      </c>
      <c r="D2985" s="33" t="s">
        <v>30664</v>
      </c>
      <c r="E2985" s="51" t="s">
        <v>580</v>
      </c>
      <c r="F2985" s="121" t="s">
        <v>3009</v>
      </c>
      <c r="G2985" s="98" t="str">
        <f>HYPERLINK("http://mirror.ff7data.com.ar/ff7/data/battle/battle.lgp/fjbq.png","View Picture")</f>
        <v>View Picture</v>
      </c>
    </row>
    <row r="2986">
      <c r="A2986" s="55"/>
      <c r="B2986" s="119" t="s">
        <v>30919</v>
      </c>
      <c r="C2986" s="120" t="s">
        <v>4565</v>
      </c>
      <c r="D2986" s="33" t="s">
        <v>30664</v>
      </c>
      <c r="E2986" s="51" t="s">
        <v>580</v>
      </c>
      <c r="F2986" s="121" t="s">
        <v>3009</v>
      </c>
      <c r="G2986" s="98" t="str">
        <f>HYPERLINK("http://mirror.ff7data.com.ar/ff7/data/battle/battle.lgp/fjbs.png","View Picture")</f>
        <v>View Picture</v>
      </c>
    </row>
    <row r="2987">
      <c r="A2987" s="55"/>
      <c r="B2987" s="119" t="s">
        <v>30932</v>
      </c>
      <c r="C2987" s="120" t="s">
        <v>4926</v>
      </c>
      <c r="D2987" s="33" t="s">
        <v>30664</v>
      </c>
      <c r="E2987" s="51" t="s">
        <v>580</v>
      </c>
      <c r="F2987" s="121" t="s">
        <v>3009</v>
      </c>
      <c r="G2987" s="98" t="str">
        <f>HYPERLINK("http://mirror.ff7data.com.ar/ff7/data/battle/battle.lgp/fjbu.png","View Picture")</f>
        <v>View Picture</v>
      </c>
    </row>
    <row r="2988">
      <c r="A2988" s="55"/>
      <c r="B2988" s="119" t="s">
        <v>30944</v>
      </c>
      <c r="C2988" s="120" t="s">
        <v>6667</v>
      </c>
      <c r="D2988" s="33" t="s">
        <v>30664</v>
      </c>
      <c r="E2988" s="51" t="s">
        <v>580</v>
      </c>
      <c r="F2988" s="121" t="s">
        <v>3009</v>
      </c>
      <c r="G2988" s="98" t="str">
        <f>HYPERLINK("http://mirror.ff7data.com.ar/ff7/data/battle/battle.lgp/fjbw.png","View Picture")</f>
        <v>View Picture</v>
      </c>
    </row>
    <row r="2989">
      <c r="A2989" s="55"/>
      <c r="B2989" s="119" t="s">
        <v>30954</v>
      </c>
      <c r="C2989" s="120" t="s">
        <v>10899</v>
      </c>
      <c r="D2989" s="33" t="s">
        <v>30664</v>
      </c>
      <c r="E2989" s="51" t="s">
        <v>580</v>
      </c>
      <c r="F2989" s="121" t="s">
        <v>3009</v>
      </c>
      <c r="G2989" s="98" t="str">
        <f>HYPERLINK("http://mirror.ff7data.com.ar/ff7/data/battle/battle.lgp/fjby.png","View Picture")</f>
        <v>View Picture</v>
      </c>
    </row>
    <row r="2990">
      <c r="A2990" s="55"/>
      <c r="B2990" s="119" t="s">
        <v>30957</v>
      </c>
      <c r="C2990" s="120" t="s">
        <v>3412</v>
      </c>
      <c r="D2990" s="33" t="s">
        <v>30664</v>
      </c>
      <c r="E2990" s="51" t="s">
        <v>580</v>
      </c>
      <c r="F2990" s="121" t="s">
        <v>3009</v>
      </c>
      <c r="G2990" s="98" t="str">
        <f>HYPERLINK("http://mirror.ff7data.com.ar/ff7/data/battle/battle.lgp/fjca.png","View Picture")</f>
        <v>View Picture</v>
      </c>
    </row>
    <row r="2991">
      <c r="A2991" s="55"/>
      <c r="B2991" s="119" t="s">
        <v>30961</v>
      </c>
      <c r="C2991" s="120" t="s">
        <v>3465</v>
      </c>
      <c r="D2991" s="33" t="s">
        <v>30664</v>
      </c>
      <c r="E2991" s="51" t="s">
        <v>580</v>
      </c>
      <c r="F2991" s="121" t="s">
        <v>3009</v>
      </c>
      <c r="G2991" s="98" t="str">
        <f>HYPERLINK("http://mirror.ff7data.com.ar/ff7/data/battle/battle.lgp/fjcb.png","View Picture")</f>
        <v>View Picture</v>
      </c>
    </row>
    <row r="2992">
      <c r="A2992" s="55"/>
      <c r="B2992" s="119" t="s">
        <v>30965</v>
      </c>
      <c r="C2992" s="120" t="s">
        <v>12616</v>
      </c>
      <c r="D2992" s="33" t="s">
        <v>30664</v>
      </c>
      <c r="E2992" s="51" t="s">
        <v>580</v>
      </c>
      <c r="F2992" s="121" t="s">
        <v>3009</v>
      </c>
      <c r="G2992" s="98" t="str">
        <f>HYPERLINK("http://mirror.ff7data.com.ar/ff7/data/battle/battle.lgp/fjcd.png","View Picture")</f>
        <v>View Picture</v>
      </c>
    </row>
    <row r="2993">
      <c r="A2993" s="55"/>
      <c r="B2993" s="119" t="s">
        <v>30979</v>
      </c>
      <c r="C2993" s="120" t="s">
        <v>4167</v>
      </c>
      <c r="D2993" s="33" t="s">
        <v>30664</v>
      </c>
      <c r="E2993" s="51" t="s">
        <v>580</v>
      </c>
      <c r="F2993" s="121" t="s">
        <v>3025</v>
      </c>
      <c r="H2993" s="46" t="s">
        <v>3002</v>
      </c>
    </row>
    <row r="2994">
      <c r="A2994" s="55"/>
      <c r="B2994" s="119" t="s">
        <v>30983</v>
      </c>
      <c r="C2994" s="120" t="s">
        <v>6802</v>
      </c>
      <c r="D2994" s="33" t="s">
        <v>30984</v>
      </c>
      <c r="E2994" s="51" t="s">
        <v>584</v>
      </c>
      <c r="F2994" s="121" t="s">
        <v>2971</v>
      </c>
      <c r="G2994" s="98" t="str">
        <f>HYPERLINK("http://mirror.ff7data.com.ar/ff7/data/battle/battle.lgp/fkaa.png","View Picture")</f>
        <v>View Picture</v>
      </c>
      <c r="H2994" s="46" t="s">
        <v>30995</v>
      </c>
    </row>
    <row r="2995">
      <c r="A2995" s="55"/>
      <c r="B2995" s="119" t="s">
        <v>30997</v>
      </c>
      <c r="C2995" s="120" t="s">
        <v>5724</v>
      </c>
      <c r="D2995" s="33" t="s">
        <v>30999</v>
      </c>
      <c r="E2995" s="51" t="s">
        <v>584</v>
      </c>
      <c r="F2995" s="121" t="s">
        <v>2993</v>
      </c>
      <c r="H2995" s="46" t="s">
        <v>3002</v>
      </c>
    </row>
    <row r="2996">
      <c r="A2996" s="55"/>
      <c r="B2996" s="119" t="s">
        <v>31001</v>
      </c>
      <c r="C2996" s="120" t="s">
        <v>4439</v>
      </c>
      <c r="D2996" s="33" t="s">
        <v>30999</v>
      </c>
      <c r="E2996" s="51" t="s">
        <v>584</v>
      </c>
      <c r="F2996" s="121" t="s">
        <v>3009</v>
      </c>
      <c r="G2996" s="98" t="str">
        <f>HYPERLINK("http://mirror.ff7data.com.ar/ff7/data/battle/battle.lgp/fkam.png","View Picture")</f>
        <v>View Picture</v>
      </c>
    </row>
    <row r="2997">
      <c r="A2997" s="55"/>
      <c r="B2997" s="119" t="s">
        <v>31010</v>
      </c>
      <c r="C2997" s="120" t="s">
        <v>4476</v>
      </c>
      <c r="D2997" s="33" t="s">
        <v>30999</v>
      </c>
      <c r="E2997" s="51" t="s">
        <v>584</v>
      </c>
      <c r="F2997" s="121" t="s">
        <v>3009</v>
      </c>
      <c r="G2997" s="98" t="str">
        <f>HYPERLINK("http://mirror.ff7data.com.ar/ff7/data/battle/battle.lgp/fkan.png","View Picture")</f>
        <v>View Picture</v>
      </c>
    </row>
    <row r="2998">
      <c r="A2998" s="55"/>
      <c r="B2998" s="119" t="s">
        <v>31020</v>
      </c>
      <c r="C2998" s="120" t="s">
        <v>4185</v>
      </c>
      <c r="D2998" s="33" t="s">
        <v>30999</v>
      </c>
      <c r="E2998" s="51" t="s">
        <v>584</v>
      </c>
      <c r="F2998" s="121" t="s">
        <v>3009</v>
      </c>
      <c r="G2998" s="98" t="str">
        <f>HYPERLINK("http://mirror.ff7data.com.ar/ff7/data/battle/battle.lgp/fkao.png","View Picture")</f>
        <v>View Picture</v>
      </c>
    </row>
    <row r="2999">
      <c r="A2999" s="55"/>
      <c r="B2999" s="119" t="s">
        <v>31029</v>
      </c>
      <c r="C2999" s="120" t="s">
        <v>4841</v>
      </c>
      <c r="D2999" s="33" t="s">
        <v>30999</v>
      </c>
      <c r="E2999" s="51" t="s">
        <v>584</v>
      </c>
      <c r="F2999" s="121" t="s">
        <v>3009</v>
      </c>
      <c r="G2999" s="98" t="str">
        <f>HYPERLINK("http://mirror.ff7data.com.ar/ff7/data/battle/battle.lgp/fkap.png","View Picture")</f>
        <v>View Picture</v>
      </c>
    </row>
    <row r="3000">
      <c r="A3000" s="55"/>
      <c r="B3000" s="119" t="s">
        <v>31040</v>
      </c>
      <c r="C3000" s="120" t="s">
        <v>4719</v>
      </c>
      <c r="D3000" s="33" t="s">
        <v>30999</v>
      </c>
      <c r="E3000" s="51" t="s">
        <v>584</v>
      </c>
      <c r="F3000" s="121" t="s">
        <v>3009</v>
      </c>
      <c r="G3000" s="98" t="str">
        <f>HYPERLINK("http://mirror.ff7data.com.ar/ff7/data/battle/battle.lgp/fkar.png","View Picture")</f>
        <v>View Picture</v>
      </c>
    </row>
    <row r="3001">
      <c r="A3001" s="55"/>
      <c r="B3001" s="119" t="s">
        <v>31050</v>
      </c>
      <c r="C3001" s="120" t="s">
        <v>4185</v>
      </c>
      <c r="D3001" s="33" t="s">
        <v>30999</v>
      </c>
      <c r="E3001" s="51" t="s">
        <v>584</v>
      </c>
      <c r="F3001" s="121" t="s">
        <v>3009</v>
      </c>
      <c r="G3001" s="98" t="str">
        <f>HYPERLINK("http://mirror.ff7data.com.ar/ff7/data/battle/battle.lgp/fkat.png","View Picture")</f>
        <v>View Picture</v>
      </c>
    </row>
    <row r="3002">
      <c r="A3002" s="55"/>
      <c r="B3002" s="119" t="s">
        <v>31062</v>
      </c>
      <c r="C3002" s="120" t="s">
        <v>4264</v>
      </c>
      <c r="D3002" s="33" t="s">
        <v>30999</v>
      </c>
      <c r="E3002" s="51" t="s">
        <v>584</v>
      </c>
      <c r="F3002" s="121" t="s">
        <v>3009</v>
      </c>
      <c r="G3002" s="98" t="str">
        <f>HYPERLINK("http://mirror.ff7data.com.ar/ff7/data/battle/battle.lgp/fkau.png","View Picture")</f>
        <v>View Picture</v>
      </c>
    </row>
    <row r="3003">
      <c r="A3003" s="55"/>
      <c r="B3003" s="119" t="s">
        <v>31073</v>
      </c>
      <c r="C3003" s="120" t="s">
        <v>4554</v>
      </c>
      <c r="D3003" s="33" t="s">
        <v>30999</v>
      </c>
      <c r="E3003" s="51" t="s">
        <v>584</v>
      </c>
      <c r="F3003" s="121" t="s">
        <v>3009</v>
      </c>
      <c r="G3003" s="98" t="str">
        <f>HYPERLINK("http://mirror.ff7data.com.ar/ff7/data/battle/battle.lgp/fkav.png","View Picture")</f>
        <v>View Picture</v>
      </c>
    </row>
    <row r="3004">
      <c r="A3004" s="55"/>
      <c r="B3004" s="119" t="s">
        <v>31085</v>
      </c>
      <c r="C3004" s="120" t="s">
        <v>3842</v>
      </c>
      <c r="D3004" s="33" t="s">
        <v>30999</v>
      </c>
      <c r="E3004" s="51" t="s">
        <v>584</v>
      </c>
      <c r="F3004" s="121" t="s">
        <v>3009</v>
      </c>
      <c r="G3004" s="98" t="str">
        <f>HYPERLINK("http://mirror.ff7data.com.ar/ff7/data/battle/battle.lgp/fkaw.png","View Picture")</f>
        <v>View Picture</v>
      </c>
    </row>
    <row r="3005">
      <c r="A3005" s="55"/>
      <c r="B3005" s="119" t="s">
        <v>31096</v>
      </c>
      <c r="C3005" s="120" t="s">
        <v>4185</v>
      </c>
      <c r="D3005" s="33" t="s">
        <v>30999</v>
      </c>
      <c r="E3005" s="51" t="s">
        <v>584</v>
      </c>
      <c r="F3005" s="121" t="s">
        <v>3009</v>
      </c>
      <c r="G3005" s="98" t="str">
        <f>HYPERLINK("http://mirror.ff7data.com.ar/ff7/data/battle/battle.lgp/fkay.png","View Picture")</f>
        <v>View Picture</v>
      </c>
    </row>
    <row r="3006">
      <c r="A3006" s="55"/>
      <c r="B3006" s="119" t="s">
        <v>31106</v>
      </c>
      <c r="C3006" s="120" t="s">
        <v>4264</v>
      </c>
      <c r="D3006" s="33" t="s">
        <v>30999</v>
      </c>
      <c r="E3006" s="51" t="s">
        <v>584</v>
      </c>
      <c r="F3006" s="121" t="s">
        <v>3009</v>
      </c>
      <c r="G3006" s="98" t="str">
        <f>HYPERLINK("http://mirror.ff7data.com.ar/ff7/data/battle/battle.lgp/fkaz.png","View Picture")</f>
        <v>View Picture</v>
      </c>
    </row>
    <row r="3007">
      <c r="A3007" s="55"/>
      <c r="B3007" s="119" t="s">
        <v>31117</v>
      </c>
      <c r="C3007" s="120" t="s">
        <v>11112</v>
      </c>
      <c r="D3007" s="33" t="s">
        <v>30999</v>
      </c>
      <c r="E3007" s="51" t="s">
        <v>584</v>
      </c>
      <c r="F3007" s="121" t="s">
        <v>3009</v>
      </c>
      <c r="G3007" s="98" t="str">
        <f>HYPERLINK("http://mirror.ff7data.com.ar/ff7/data/battle/battle.lgp/fkba.png","View Picture")</f>
        <v>View Picture</v>
      </c>
    </row>
    <row r="3008">
      <c r="A3008" s="55"/>
      <c r="B3008" s="119" t="s">
        <v>31129</v>
      </c>
      <c r="C3008" s="120" t="s">
        <v>5891</v>
      </c>
      <c r="D3008" s="33" t="s">
        <v>30999</v>
      </c>
      <c r="E3008" s="51" t="s">
        <v>584</v>
      </c>
      <c r="F3008" s="121" t="s">
        <v>3009</v>
      </c>
      <c r="G3008" s="98" t="str">
        <f>HYPERLINK("http://mirror.ff7data.com.ar/ff7/data/battle/battle.lgp/fkbb.png","View Picture")</f>
        <v>View Picture</v>
      </c>
    </row>
    <row r="3009">
      <c r="A3009" s="55"/>
      <c r="B3009" s="119" t="s">
        <v>31140</v>
      </c>
      <c r="C3009" s="120" t="s">
        <v>4185</v>
      </c>
      <c r="D3009" s="33" t="s">
        <v>30999</v>
      </c>
      <c r="E3009" s="51" t="s">
        <v>584</v>
      </c>
      <c r="F3009" s="121" t="s">
        <v>3009</v>
      </c>
      <c r="G3009" s="98" t="str">
        <f>HYPERLINK("http://mirror.ff7data.com.ar/ff7/data/battle/battle.lgp/fkbd.png","View Picture")</f>
        <v>View Picture</v>
      </c>
    </row>
    <row r="3010">
      <c r="A3010" s="55"/>
      <c r="B3010" s="119" t="s">
        <v>31150</v>
      </c>
      <c r="C3010" s="120" t="s">
        <v>4439</v>
      </c>
      <c r="D3010" s="33" t="s">
        <v>30999</v>
      </c>
      <c r="E3010" s="51" t="s">
        <v>584</v>
      </c>
      <c r="F3010" s="121" t="s">
        <v>3009</v>
      </c>
      <c r="G3010" s="98" t="str">
        <f>HYPERLINK("http://mirror.ff7data.com.ar/ff7/data/battle/battle.lgp/fkbe.png","View Picture")</f>
        <v>View Picture</v>
      </c>
    </row>
    <row r="3011">
      <c r="A3011" s="55"/>
      <c r="B3011" s="119" t="s">
        <v>31160</v>
      </c>
      <c r="C3011" s="120" t="s">
        <v>4264</v>
      </c>
      <c r="D3011" s="33" t="s">
        <v>30999</v>
      </c>
      <c r="E3011" s="51" t="s">
        <v>584</v>
      </c>
      <c r="F3011" s="121" t="s">
        <v>3009</v>
      </c>
      <c r="G3011" s="98" t="str">
        <f>HYPERLINK("http://mirror.ff7data.com.ar/ff7/data/battle/battle.lgp/fkbf.png","View Picture")</f>
        <v>View Picture</v>
      </c>
    </row>
    <row r="3012">
      <c r="A3012" s="55"/>
      <c r="B3012" s="119" t="s">
        <v>31170</v>
      </c>
      <c r="C3012" s="120" t="s">
        <v>3842</v>
      </c>
      <c r="D3012" s="33" t="s">
        <v>30999</v>
      </c>
      <c r="E3012" s="51" t="s">
        <v>584</v>
      </c>
      <c r="F3012" s="121" t="s">
        <v>3009</v>
      </c>
      <c r="G3012" s="98" t="str">
        <f>HYPERLINK("http://mirror.ff7data.com.ar/ff7/data/battle/battle.lgp/fkbg.png","View Picture")</f>
        <v>View Picture</v>
      </c>
    </row>
    <row r="3013">
      <c r="A3013" s="55"/>
      <c r="B3013" s="119" t="s">
        <v>31181</v>
      </c>
      <c r="C3013" s="120" t="s">
        <v>4439</v>
      </c>
      <c r="D3013" s="33" t="s">
        <v>30999</v>
      </c>
      <c r="E3013" s="51" t="s">
        <v>584</v>
      </c>
      <c r="F3013" s="121" t="s">
        <v>3009</v>
      </c>
      <c r="G3013" s="98" t="str">
        <f>HYPERLINK("http://mirror.ff7data.com.ar/ff7/data/battle/battle.lgp/fkbi.png","View Picture")</f>
        <v>View Picture</v>
      </c>
    </row>
    <row r="3014">
      <c r="A3014" s="55"/>
      <c r="B3014" s="119" t="s">
        <v>31191</v>
      </c>
      <c r="C3014" s="120" t="s">
        <v>4439</v>
      </c>
      <c r="D3014" s="33" t="s">
        <v>30999</v>
      </c>
      <c r="E3014" s="51" t="s">
        <v>584</v>
      </c>
      <c r="F3014" s="121" t="s">
        <v>3009</v>
      </c>
      <c r="G3014" s="98" t="str">
        <f>HYPERLINK("http://mirror.ff7data.com.ar/ff7/data/battle/battle.lgp/fkbj.png","View Picture")</f>
        <v>View Picture</v>
      </c>
    </row>
    <row r="3015">
      <c r="A3015" s="55"/>
      <c r="B3015" s="119" t="s">
        <v>31204</v>
      </c>
      <c r="C3015" s="120" t="s">
        <v>4288</v>
      </c>
      <c r="D3015" s="33" t="s">
        <v>30999</v>
      </c>
      <c r="E3015" s="51" t="s">
        <v>584</v>
      </c>
      <c r="F3015" s="121" t="s">
        <v>3009</v>
      </c>
      <c r="G3015" s="98" t="str">
        <f>HYPERLINK("http://mirror.ff7data.com.ar/ff7/data/battle/battle.lgp/fkbk.png","View Picture")</f>
        <v>View Picture</v>
      </c>
    </row>
    <row r="3016">
      <c r="A3016" s="55"/>
      <c r="B3016" s="119" t="s">
        <v>31221</v>
      </c>
      <c r="C3016" s="120" t="s">
        <v>3842</v>
      </c>
      <c r="D3016" s="33" t="s">
        <v>30999</v>
      </c>
      <c r="E3016" s="51" t="s">
        <v>584</v>
      </c>
      <c r="F3016" s="121" t="s">
        <v>3009</v>
      </c>
      <c r="G3016" s="98" t="str">
        <f>HYPERLINK("http://mirror.ff7data.com.ar/ff7/data/battle/battle.lgp/fkbl.png","View Picture")</f>
        <v>View Picture</v>
      </c>
    </row>
    <row r="3017">
      <c r="A3017" s="55"/>
      <c r="B3017" s="119" t="s">
        <v>31230</v>
      </c>
      <c r="C3017" s="120" t="s">
        <v>6029</v>
      </c>
      <c r="D3017" s="33" t="s">
        <v>30999</v>
      </c>
      <c r="E3017" s="51" t="s">
        <v>584</v>
      </c>
      <c r="F3017" s="121" t="s">
        <v>3009</v>
      </c>
      <c r="G3017" s="98" t="str">
        <f>HYPERLINK("http://mirror.ff7data.com.ar/ff7/data/battle/battle.lgp/fkbm.png","View Picture")</f>
        <v>View Picture</v>
      </c>
    </row>
    <row r="3018">
      <c r="A3018" s="55"/>
      <c r="B3018" s="119" t="s">
        <v>31240</v>
      </c>
      <c r="C3018" s="120" t="s">
        <v>4264</v>
      </c>
      <c r="D3018" s="33" t="s">
        <v>30999</v>
      </c>
      <c r="E3018" s="51" t="s">
        <v>584</v>
      </c>
      <c r="F3018" s="121" t="s">
        <v>3009</v>
      </c>
      <c r="G3018" s="98" t="str">
        <f>HYPERLINK("http://mirror.ff7data.com.ar/ff7/data/battle/battle.lgp/fkbn.png","View Picture")</f>
        <v>View Picture</v>
      </c>
    </row>
    <row r="3019">
      <c r="A3019" s="55"/>
      <c r="B3019" s="119" t="s">
        <v>31249</v>
      </c>
      <c r="C3019" s="120" t="s">
        <v>4883</v>
      </c>
      <c r="D3019" s="33" t="s">
        <v>30999</v>
      </c>
      <c r="E3019" s="51" t="s">
        <v>584</v>
      </c>
      <c r="F3019" s="121" t="s">
        <v>3009</v>
      </c>
      <c r="G3019" s="98" t="str">
        <f>HYPERLINK("http://mirror.ff7data.com.ar/ff7/data/battle/battle.lgp/fkbo.png","View Picture")</f>
        <v>View Picture</v>
      </c>
    </row>
    <row r="3020">
      <c r="A3020" s="55"/>
      <c r="B3020" s="119" t="s">
        <v>31259</v>
      </c>
      <c r="C3020" s="120" t="s">
        <v>10195</v>
      </c>
      <c r="D3020" s="33" t="s">
        <v>30999</v>
      </c>
      <c r="E3020" s="51" t="s">
        <v>584</v>
      </c>
      <c r="F3020" s="121" t="s">
        <v>3025</v>
      </c>
      <c r="H3020" s="46" t="s">
        <v>3002</v>
      </c>
    </row>
    <row r="3021">
      <c r="A3021" s="55"/>
      <c r="B3021" s="119" t="s">
        <v>31264</v>
      </c>
      <c r="C3021" s="120" t="s">
        <v>3557</v>
      </c>
      <c r="D3021" s="33" t="s">
        <v>31266</v>
      </c>
      <c r="E3021" s="51" t="s">
        <v>588</v>
      </c>
      <c r="F3021" s="121" t="s">
        <v>2971</v>
      </c>
      <c r="G3021" s="98" t="str">
        <f>HYPERLINK("http://mirror.ff7data.com.ar/ff7/data/battle/battle.lgp/flaa.png","View Picture")</f>
        <v>View Picture</v>
      </c>
    </row>
    <row r="3022">
      <c r="A3022" s="55"/>
      <c r="B3022" s="119" t="s">
        <v>31275</v>
      </c>
      <c r="C3022" s="120" t="s">
        <v>4209</v>
      </c>
      <c r="D3022" s="33" t="s">
        <v>31277</v>
      </c>
      <c r="E3022" s="51" t="s">
        <v>588</v>
      </c>
      <c r="F3022" s="121" t="s">
        <v>2993</v>
      </c>
      <c r="H3022" s="46" t="s">
        <v>3002</v>
      </c>
    </row>
    <row r="3023">
      <c r="A3023" s="55"/>
      <c r="B3023" s="119" t="s">
        <v>31279</v>
      </c>
      <c r="C3023" s="120" t="s">
        <v>4476</v>
      </c>
      <c r="D3023" s="33" t="s">
        <v>31277</v>
      </c>
      <c r="E3023" s="51" t="s">
        <v>588</v>
      </c>
      <c r="F3023" s="121" t="s">
        <v>3009</v>
      </c>
      <c r="G3023" s="98" t="str">
        <f>HYPERLINK("http://mirror.ff7data.com.ar/ff7/data/battle/battle.lgp/flam.png","View Picture")</f>
        <v>View Picture</v>
      </c>
    </row>
    <row r="3024">
      <c r="A3024" s="55"/>
      <c r="B3024" s="119" t="s">
        <v>31290</v>
      </c>
      <c r="C3024" s="120" t="s">
        <v>10078</v>
      </c>
      <c r="D3024" s="33" t="s">
        <v>31277</v>
      </c>
      <c r="E3024" s="51" t="s">
        <v>588</v>
      </c>
      <c r="F3024" s="121" t="s">
        <v>3009</v>
      </c>
      <c r="G3024" s="98" t="str">
        <f>HYPERLINK("http://mirror.ff7data.com.ar/ff7/data/battle/battle.lgp/flan.png","View Picture")</f>
        <v>View Picture</v>
      </c>
    </row>
    <row r="3025">
      <c r="A3025" s="55"/>
      <c r="B3025" s="119" t="s">
        <v>31298</v>
      </c>
      <c r="C3025" s="120" t="s">
        <v>4719</v>
      </c>
      <c r="D3025" s="33" t="s">
        <v>31277</v>
      </c>
      <c r="E3025" s="51" t="s">
        <v>588</v>
      </c>
      <c r="F3025" s="121" t="s">
        <v>3009</v>
      </c>
      <c r="G3025" s="98" t="str">
        <f>HYPERLINK("http://mirror.ff7data.com.ar/ff7/data/battle/battle.lgp/flao.png","View Picture")</f>
        <v>View Picture</v>
      </c>
    </row>
    <row r="3026">
      <c r="A3026" s="55"/>
      <c r="B3026" s="119" t="s">
        <v>31310</v>
      </c>
      <c r="C3026" s="120" t="s">
        <v>4228</v>
      </c>
      <c r="D3026" s="33" t="s">
        <v>31277</v>
      </c>
      <c r="E3026" s="51" t="s">
        <v>588</v>
      </c>
      <c r="F3026" s="121" t="s">
        <v>3009</v>
      </c>
      <c r="G3026" s="98" t="str">
        <f>HYPERLINK("http://mirror.ff7data.com.ar/ff7/data/battle/battle.lgp/flap.png","View Picture")</f>
        <v>View Picture</v>
      </c>
    </row>
    <row r="3027">
      <c r="A3027" s="55"/>
      <c r="B3027" s="119" t="s">
        <v>31321</v>
      </c>
      <c r="C3027" s="120" t="s">
        <v>7270</v>
      </c>
      <c r="D3027" s="33" t="s">
        <v>31277</v>
      </c>
      <c r="E3027" s="51" t="s">
        <v>588</v>
      </c>
      <c r="F3027" s="121" t="s">
        <v>3009</v>
      </c>
      <c r="G3027" s="98" t="str">
        <f>HYPERLINK("http://mirror.ff7data.com.ar/ff7/data/battle/battle.lgp/flar.png","View Picture")</f>
        <v>View Picture</v>
      </c>
    </row>
    <row r="3028">
      <c r="A3028" s="55"/>
      <c r="B3028" s="119" t="s">
        <v>31334</v>
      </c>
      <c r="C3028" s="120" t="s">
        <v>4719</v>
      </c>
      <c r="D3028" s="33" t="s">
        <v>31277</v>
      </c>
      <c r="E3028" s="51" t="s">
        <v>588</v>
      </c>
      <c r="F3028" s="121" t="s">
        <v>3009</v>
      </c>
      <c r="G3028" s="98" t="str">
        <f>HYPERLINK("http://mirror.ff7data.com.ar/ff7/data/battle/battle.lgp/flat.png","View Picture")</f>
        <v>View Picture</v>
      </c>
    </row>
    <row r="3029">
      <c r="A3029" s="55"/>
      <c r="B3029" s="119" t="s">
        <v>31340</v>
      </c>
      <c r="C3029" s="120" t="s">
        <v>4057</v>
      </c>
      <c r="D3029" s="33" t="s">
        <v>31277</v>
      </c>
      <c r="E3029" s="51" t="s">
        <v>588</v>
      </c>
      <c r="F3029" s="121" t="s">
        <v>3009</v>
      </c>
      <c r="G3029" s="98" t="str">
        <f>HYPERLINK("http://mirror.ff7data.com.ar/ff7/data/battle/battle.lgp/flau.png","View Picture")</f>
        <v>View Picture</v>
      </c>
    </row>
    <row r="3030">
      <c r="A3030" s="55"/>
      <c r="B3030" s="119" t="s">
        <v>31350</v>
      </c>
      <c r="C3030" s="120" t="s">
        <v>4057</v>
      </c>
      <c r="D3030" s="33" t="s">
        <v>31277</v>
      </c>
      <c r="E3030" s="51" t="s">
        <v>588</v>
      </c>
      <c r="F3030" s="121" t="s">
        <v>3009</v>
      </c>
      <c r="G3030" s="98" t="str">
        <f>HYPERLINK("http://mirror.ff7data.com.ar/ff7/data/battle/battle.lgp/flav.png","View Picture")</f>
        <v>View Picture</v>
      </c>
    </row>
    <row r="3031">
      <c r="A3031" s="55"/>
      <c r="B3031" s="119" t="s">
        <v>31360</v>
      </c>
      <c r="C3031" s="120" t="s">
        <v>4719</v>
      </c>
      <c r="D3031" s="33" t="s">
        <v>31277</v>
      </c>
      <c r="E3031" s="51" t="s">
        <v>588</v>
      </c>
      <c r="F3031" s="121" t="s">
        <v>3009</v>
      </c>
      <c r="G3031" s="98" t="str">
        <f>HYPERLINK("http://mirror.ff7data.com.ar/ff7/data/battle/battle.lgp/flax.png","View Picture")</f>
        <v>View Picture</v>
      </c>
    </row>
    <row r="3032">
      <c r="A3032" s="55"/>
      <c r="B3032" s="119" t="s">
        <v>31369</v>
      </c>
      <c r="C3032" s="120" t="s">
        <v>4057</v>
      </c>
      <c r="D3032" s="33" t="s">
        <v>31277</v>
      </c>
      <c r="E3032" s="51" t="s">
        <v>588</v>
      </c>
      <c r="F3032" s="121" t="s">
        <v>3009</v>
      </c>
      <c r="G3032" s="98" t="str">
        <f>HYPERLINK("http://mirror.ff7data.com.ar/ff7/data/battle/battle.lgp/flay.png","View Picture")</f>
        <v>View Picture</v>
      </c>
    </row>
    <row r="3033">
      <c r="A3033" s="55"/>
      <c r="B3033" s="119" t="s">
        <v>31379</v>
      </c>
      <c r="C3033" s="120" t="s">
        <v>4057</v>
      </c>
      <c r="D3033" s="33" t="s">
        <v>31277</v>
      </c>
      <c r="E3033" s="51" t="s">
        <v>588</v>
      </c>
      <c r="F3033" s="121" t="s">
        <v>3009</v>
      </c>
      <c r="G3033" s="98" t="str">
        <f>HYPERLINK("http://mirror.ff7data.com.ar/ff7/data/battle/battle.lgp/flaz.png","View Picture")</f>
        <v>View Picture</v>
      </c>
    </row>
    <row r="3034">
      <c r="A3034" s="55"/>
      <c r="B3034" s="119" t="s">
        <v>31386</v>
      </c>
      <c r="C3034" s="120" t="s">
        <v>4476</v>
      </c>
      <c r="D3034" s="33" t="s">
        <v>31277</v>
      </c>
      <c r="E3034" s="51" t="s">
        <v>588</v>
      </c>
      <c r="F3034" s="121" t="s">
        <v>3009</v>
      </c>
      <c r="G3034" s="98" t="str">
        <f>HYPERLINK("http://mirror.ff7data.com.ar/ff7/data/battle/battle.lgp/flbb.png","View Picture")</f>
        <v>View Picture</v>
      </c>
    </row>
    <row r="3035">
      <c r="A3035" s="55"/>
      <c r="B3035" s="119" t="s">
        <v>31396</v>
      </c>
      <c r="C3035" s="120" t="s">
        <v>4439</v>
      </c>
      <c r="D3035" s="33" t="s">
        <v>31277</v>
      </c>
      <c r="E3035" s="51" t="s">
        <v>588</v>
      </c>
      <c r="F3035" s="121" t="s">
        <v>3009</v>
      </c>
      <c r="G3035" s="98" t="str">
        <f>HYPERLINK("http://mirror.ff7data.com.ar/ff7/data/battle/battle.lgp/flbc.png","View Picture")</f>
        <v>View Picture</v>
      </c>
    </row>
    <row r="3036">
      <c r="A3036" s="55"/>
      <c r="B3036" s="119" t="s">
        <v>31406</v>
      </c>
      <c r="C3036" s="120" t="s">
        <v>4357</v>
      </c>
      <c r="D3036" s="33" t="s">
        <v>31277</v>
      </c>
      <c r="E3036" s="51" t="s">
        <v>588</v>
      </c>
      <c r="F3036" s="121" t="s">
        <v>3009</v>
      </c>
      <c r="G3036" s="98" t="str">
        <f>HYPERLINK("http://mirror.ff7data.com.ar/ff7/data/battle/battle.lgp/flbf.png","View Picture")</f>
        <v>View Picture</v>
      </c>
    </row>
    <row r="3037">
      <c r="A3037" s="55"/>
      <c r="B3037" s="119" t="s">
        <v>31416</v>
      </c>
      <c r="C3037" s="120" t="s">
        <v>4185</v>
      </c>
      <c r="D3037" s="33" t="s">
        <v>31277</v>
      </c>
      <c r="E3037" s="51" t="s">
        <v>588</v>
      </c>
      <c r="F3037" s="121" t="s">
        <v>3009</v>
      </c>
      <c r="G3037" s="98" t="str">
        <f>HYPERLINK("http://mirror.ff7data.com.ar/ff7/data/battle/battle.lgp/flbh.png","View Picture")</f>
        <v>View Picture</v>
      </c>
    </row>
    <row r="3038">
      <c r="A3038" s="55"/>
      <c r="B3038" s="119" t="s">
        <v>31424</v>
      </c>
      <c r="C3038" s="120" t="s">
        <v>4439</v>
      </c>
      <c r="D3038" s="33" t="s">
        <v>31277</v>
      </c>
      <c r="E3038" s="51" t="s">
        <v>588</v>
      </c>
      <c r="F3038" s="121" t="s">
        <v>3009</v>
      </c>
      <c r="G3038" s="98" t="str">
        <f>HYPERLINK("http://mirror.ff7data.com.ar/ff7/data/battle/battle.lgp/flbi.png","View Picture")</f>
        <v>View Picture</v>
      </c>
    </row>
    <row r="3039">
      <c r="A3039" s="55"/>
      <c r="B3039" s="119" t="s">
        <v>31433</v>
      </c>
      <c r="C3039" s="120" t="s">
        <v>7165</v>
      </c>
      <c r="D3039" s="33" t="s">
        <v>31277</v>
      </c>
      <c r="E3039" s="51" t="s">
        <v>588</v>
      </c>
      <c r="F3039" s="121" t="s">
        <v>3009</v>
      </c>
      <c r="G3039" s="98" t="str">
        <f>HYPERLINK("http://mirror.ff7data.com.ar/ff7/data/battle/battle.lgp/flbl.png","View Picture")</f>
        <v>View Picture</v>
      </c>
    </row>
    <row r="3040">
      <c r="A3040" s="55"/>
      <c r="B3040" s="119" t="s">
        <v>31442</v>
      </c>
      <c r="C3040" s="120" t="s">
        <v>4476</v>
      </c>
      <c r="D3040" s="33" t="s">
        <v>31277</v>
      </c>
      <c r="E3040" s="51" t="s">
        <v>588</v>
      </c>
      <c r="F3040" s="121" t="s">
        <v>3009</v>
      </c>
      <c r="G3040" s="98" t="str">
        <f>HYPERLINK("http://mirror.ff7data.com.ar/ff7/data/battle/battle.lgp/flbn.png","View Picture")</f>
        <v>View Picture</v>
      </c>
    </row>
    <row r="3041">
      <c r="A3041" s="55"/>
      <c r="B3041" s="119" t="s">
        <v>31452</v>
      </c>
      <c r="C3041" s="120" t="s">
        <v>4732</v>
      </c>
      <c r="D3041" s="33" t="s">
        <v>31277</v>
      </c>
      <c r="E3041" s="51" t="s">
        <v>588</v>
      </c>
      <c r="F3041" s="121" t="s">
        <v>3009</v>
      </c>
      <c r="G3041" s="98" t="str">
        <f>HYPERLINK("http://mirror.ff7data.com.ar/ff7/data/battle/battle.lgp/flbo.png","View Picture")</f>
        <v>View Picture</v>
      </c>
    </row>
    <row r="3042">
      <c r="A3042" s="55"/>
      <c r="B3042" s="119" t="s">
        <v>31470</v>
      </c>
      <c r="C3042" s="120" t="s">
        <v>5891</v>
      </c>
      <c r="D3042" s="33" t="s">
        <v>31277</v>
      </c>
      <c r="E3042" s="51" t="s">
        <v>588</v>
      </c>
      <c r="F3042" s="121" t="s">
        <v>3009</v>
      </c>
      <c r="G3042" s="98" t="str">
        <f>HYPERLINK("http://mirror.ff7data.com.ar/ff7/data/battle/battle.lgp/flbp.png","View Picture")</f>
        <v>View Picture</v>
      </c>
    </row>
    <row r="3043">
      <c r="A3043" s="55"/>
      <c r="B3043" s="119" t="s">
        <v>31481</v>
      </c>
      <c r="C3043" s="120" t="s">
        <v>4476</v>
      </c>
      <c r="D3043" s="33" t="s">
        <v>31277</v>
      </c>
      <c r="E3043" s="51" t="s">
        <v>588</v>
      </c>
      <c r="F3043" s="121" t="s">
        <v>3009</v>
      </c>
      <c r="G3043" s="98" t="str">
        <f>HYPERLINK("http://mirror.ff7data.com.ar/ff7/data/battle/battle.lgp/flbr.png","View Picture")</f>
        <v>View Picture</v>
      </c>
    </row>
    <row r="3044">
      <c r="A3044" s="55"/>
      <c r="B3044" s="119" t="s">
        <v>31491</v>
      </c>
      <c r="C3044" s="120" t="s">
        <v>4732</v>
      </c>
      <c r="D3044" s="33" t="s">
        <v>31277</v>
      </c>
      <c r="E3044" s="51" t="s">
        <v>588</v>
      </c>
      <c r="F3044" s="121" t="s">
        <v>3009</v>
      </c>
      <c r="G3044" s="98" t="str">
        <f>HYPERLINK("http://mirror.ff7data.com.ar/ff7/data/battle/battle.lgp/flbs.png","View Picture")</f>
        <v>View Picture</v>
      </c>
    </row>
    <row r="3045">
      <c r="A3045" s="55"/>
      <c r="B3045" s="119" t="s">
        <v>31501</v>
      </c>
      <c r="C3045" s="120" t="s">
        <v>5891</v>
      </c>
      <c r="D3045" s="33" t="s">
        <v>31277</v>
      </c>
      <c r="E3045" s="51" t="s">
        <v>588</v>
      </c>
      <c r="F3045" s="121" t="s">
        <v>3009</v>
      </c>
      <c r="G3045" s="98" t="str">
        <f>HYPERLINK("http://mirror.ff7data.com.ar/ff7/data/battle/battle.lgp/flbt.png","View Picture")</f>
        <v>View Picture</v>
      </c>
    </row>
    <row r="3046">
      <c r="A3046" s="55"/>
      <c r="B3046" s="119" t="s">
        <v>31511</v>
      </c>
      <c r="C3046" s="120" t="s">
        <v>7148</v>
      </c>
      <c r="D3046" s="33" t="s">
        <v>31277</v>
      </c>
      <c r="E3046" s="51" t="s">
        <v>588</v>
      </c>
      <c r="F3046" s="121" t="s">
        <v>3009</v>
      </c>
      <c r="G3046" s="98" t="str">
        <f>HYPERLINK("http://mirror.ff7data.com.ar/ff7/data/battle/battle.lgp/flbu.png","View Picture")</f>
        <v>View Picture</v>
      </c>
    </row>
    <row r="3047">
      <c r="A3047" s="55"/>
      <c r="B3047" s="119" t="s">
        <v>31523</v>
      </c>
      <c r="C3047" s="120" t="s">
        <v>4883</v>
      </c>
      <c r="D3047" s="33" t="s">
        <v>31277</v>
      </c>
      <c r="E3047" s="51" t="s">
        <v>588</v>
      </c>
      <c r="F3047" s="121" t="s">
        <v>3009</v>
      </c>
      <c r="G3047" s="98" t="str">
        <f>HYPERLINK("http://mirror.ff7data.com.ar/ff7/data/battle/battle.lgp/flbv.png","View Picture")</f>
        <v>View Picture</v>
      </c>
    </row>
    <row r="3048">
      <c r="A3048" s="55"/>
      <c r="B3048" s="119" t="s">
        <v>31534</v>
      </c>
      <c r="C3048" s="120" t="s">
        <v>4883</v>
      </c>
      <c r="D3048" s="33" t="s">
        <v>31277</v>
      </c>
      <c r="E3048" s="51" t="s">
        <v>588</v>
      </c>
      <c r="F3048" s="121" t="s">
        <v>3009</v>
      </c>
      <c r="G3048" s="98" t="str">
        <f>HYPERLINK("http://mirror.ff7data.com.ar/ff7/data/battle/battle.lgp/flbw.png","View Picture")</f>
        <v>View Picture</v>
      </c>
    </row>
    <row r="3049">
      <c r="A3049" s="55"/>
      <c r="B3049" s="119" t="s">
        <v>31543</v>
      </c>
      <c r="C3049" s="120" t="s">
        <v>7148</v>
      </c>
      <c r="D3049" s="33" t="s">
        <v>31277</v>
      </c>
      <c r="E3049" s="51" t="s">
        <v>588</v>
      </c>
      <c r="F3049" s="121" t="s">
        <v>3009</v>
      </c>
      <c r="G3049" s="98" t="str">
        <f>HYPERLINK("http://mirror.ff7data.com.ar/ff7/data/battle/battle.lgp/flbx.png","View Picture")</f>
        <v>View Picture</v>
      </c>
    </row>
    <row r="3050">
      <c r="A3050" s="55"/>
      <c r="B3050" s="119" t="s">
        <v>31552</v>
      </c>
      <c r="C3050" s="120" t="s">
        <v>4841</v>
      </c>
      <c r="D3050" s="33" t="s">
        <v>31277</v>
      </c>
      <c r="E3050" s="51" t="s">
        <v>588</v>
      </c>
      <c r="F3050" s="121" t="s">
        <v>3025</v>
      </c>
      <c r="H3050" s="46" t="s">
        <v>3002</v>
      </c>
    </row>
    <row r="3051">
      <c r="A3051" s="55"/>
      <c r="B3051" s="119" t="s">
        <v>31557</v>
      </c>
      <c r="C3051" s="120" t="s">
        <v>2989</v>
      </c>
      <c r="D3051" s="33" t="s">
        <v>31559</v>
      </c>
      <c r="E3051" s="51" t="s">
        <v>593</v>
      </c>
      <c r="F3051" s="121" t="s">
        <v>2971</v>
      </c>
      <c r="G3051" s="98" t="str">
        <f>HYPERLINK("http://mirror.ff7data.com.ar/ff7/data/battle/battle.lgp/fmaa.png","View Picture")</f>
        <v>View Picture</v>
      </c>
    </row>
    <row r="3052">
      <c r="A3052" s="55"/>
      <c r="B3052" s="119" t="s">
        <v>31571</v>
      </c>
      <c r="C3052" s="120" t="s">
        <v>4846</v>
      </c>
      <c r="D3052" s="33" t="s">
        <v>31573</v>
      </c>
      <c r="E3052" s="51" t="s">
        <v>593</v>
      </c>
      <c r="F3052" s="121" t="s">
        <v>2993</v>
      </c>
      <c r="H3052" s="46" t="s">
        <v>3002</v>
      </c>
    </row>
    <row r="3053">
      <c r="A3053" s="55"/>
      <c r="B3053" s="119" t="s">
        <v>31576</v>
      </c>
      <c r="C3053" s="120" t="s">
        <v>4191</v>
      </c>
      <c r="D3053" s="33" t="s">
        <v>31578</v>
      </c>
      <c r="E3053" s="51" t="s">
        <v>593</v>
      </c>
      <c r="F3053" s="121" t="s">
        <v>1348</v>
      </c>
      <c r="G3053" s="98" t="str">
        <f>HYPERLINK("http://mirror.ff7data.com.ar/ff7/data/battle/battle.lgp/fmac.png","View Picture")</f>
        <v>View Picture</v>
      </c>
    </row>
    <row r="3054">
      <c r="A3054" s="55"/>
      <c r="B3054" s="119" t="s">
        <v>31587</v>
      </c>
      <c r="C3054" s="120" t="s">
        <v>4167</v>
      </c>
      <c r="D3054" s="33" t="s">
        <v>31573</v>
      </c>
      <c r="E3054" s="51" t="s">
        <v>593</v>
      </c>
      <c r="F3054" s="121" t="s">
        <v>3009</v>
      </c>
      <c r="G3054" s="98" t="str">
        <f>HYPERLINK("http://mirror.ff7data.com.ar/ff7/data/battle/battle.lgp/fmam.png","View Picture")</f>
        <v>View Picture</v>
      </c>
    </row>
    <row r="3055">
      <c r="A3055" s="55"/>
      <c r="B3055" s="119" t="s">
        <v>31599</v>
      </c>
      <c r="C3055" s="120" t="s">
        <v>4057</v>
      </c>
      <c r="D3055" s="33" t="s">
        <v>31573</v>
      </c>
      <c r="E3055" s="51" t="s">
        <v>593</v>
      </c>
      <c r="F3055" s="121" t="s">
        <v>3009</v>
      </c>
      <c r="G3055" s="98" t="str">
        <f>HYPERLINK("http://mirror.ff7data.com.ar/ff7/data/battle/battle.lgp/fman.png","View Picture")</f>
        <v>View Picture</v>
      </c>
    </row>
    <row r="3056">
      <c r="A3056" s="55"/>
      <c r="B3056" s="119" t="s">
        <v>31609</v>
      </c>
      <c r="C3056" s="120" t="s">
        <v>6029</v>
      </c>
      <c r="D3056" s="33" t="s">
        <v>31573</v>
      </c>
      <c r="E3056" s="51" t="s">
        <v>593</v>
      </c>
      <c r="F3056" s="121" t="s">
        <v>3009</v>
      </c>
      <c r="G3056" s="98" t="str">
        <f>HYPERLINK("http://mirror.ff7data.com.ar/ff7/data/battle/battle.lgp/fmao.png","View Picture")</f>
        <v>View Picture</v>
      </c>
    </row>
    <row r="3057">
      <c r="A3057" s="55"/>
      <c r="B3057" s="119" t="s">
        <v>31619</v>
      </c>
      <c r="C3057" s="120" t="s">
        <v>4057</v>
      </c>
      <c r="D3057" s="33" t="s">
        <v>31573</v>
      </c>
      <c r="E3057" s="51" t="s">
        <v>593</v>
      </c>
      <c r="F3057" s="121" t="s">
        <v>3009</v>
      </c>
      <c r="G3057" s="98" t="str">
        <f>HYPERLINK("http://mirror.ff7data.com.ar/ff7/data/battle/battle.lgp/fmap.png","View Picture")</f>
        <v>View Picture</v>
      </c>
    </row>
    <row r="3058">
      <c r="A3058" s="55"/>
      <c r="B3058" s="119" t="s">
        <v>31628</v>
      </c>
      <c r="C3058" s="120" t="s">
        <v>4217</v>
      </c>
      <c r="D3058" s="33" t="s">
        <v>31573</v>
      </c>
      <c r="E3058" s="51" t="s">
        <v>593</v>
      </c>
      <c r="F3058" s="121" t="s">
        <v>3009</v>
      </c>
      <c r="G3058" s="98" t="str">
        <f>HYPERLINK("http://mirror.ff7data.com.ar/ff7/data/battle/battle.lgp/fmar.png","View Picture")</f>
        <v>View Picture</v>
      </c>
    </row>
    <row r="3059">
      <c r="A3059" s="55"/>
      <c r="B3059" s="119" t="s">
        <v>31639</v>
      </c>
      <c r="C3059" s="120" t="s">
        <v>5891</v>
      </c>
      <c r="D3059" s="33" t="s">
        <v>31573</v>
      </c>
      <c r="E3059" s="51" t="s">
        <v>593</v>
      </c>
      <c r="F3059" s="121" t="s">
        <v>3009</v>
      </c>
      <c r="G3059" s="98" t="str">
        <f>HYPERLINK("http://mirror.ff7data.com.ar/ff7/data/battle/battle.lgp/fmas.png","View Picture")</f>
        <v>View Picture</v>
      </c>
    </row>
    <row r="3060">
      <c r="A3060" s="55"/>
      <c r="B3060" s="119" t="s">
        <v>31649</v>
      </c>
      <c r="C3060" s="120" t="s">
        <v>4264</v>
      </c>
      <c r="D3060" s="33" t="s">
        <v>31573</v>
      </c>
      <c r="E3060" s="51" t="s">
        <v>593</v>
      </c>
      <c r="F3060" s="121" t="s">
        <v>3009</v>
      </c>
      <c r="G3060" s="98" t="str">
        <f>HYPERLINK("http://mirror.ff7data.com.ar/ff7/data/battle/battle.lgp/fmat.png","View Picture")</f>
        <v>View Picture</v>
      </c>
    </row>
    <row r="3061">
      <c r="A3061" s="55"/>
      <c r="B3061" s="119" t="s">
        <v>31658</v>
      </c>
      <c r="C3061" s="120" t="s">
        <v>4883</v>
      </c>
      <c r="D3061" s="33" t="s">
        <v>31573</v>
      </c>
      <c r="E3061" s="51" t="s">
        <v>593</v>
      </c>
      <c r="F3061" s="121" t="s">
        <v>3009</v>
      </c>
      <c r="G3061" s="98" t="str">
        <f>HYPERLINK("http://mirror.ff7data.com.ar/ff7/data/battle/battle.lgp/fmav.png","View Picture")</f>
        <v>View Picture</v>
      </c>
    </row>
    <row r="3062">
      <c r="A3062" s="55"/>
      <c r="B3062" s="119" t="s">
        <v>31667</v>
      </c>
      <c r="C3062" s="120" t="s">
        <v>3946</v>
      </c>
      <c r="D3062" s="33" t="s">
        <v>31573</v>
      </c>
      <c r="E3062" s="51" t="s">
        <v>593</v>
      </c>
      <c r="F3062" s="121" t="s">
        <v>3009</v>
      </c>
      <c r="G3062" s="98" t="str">
        <f>HYPERLINK("http://mirror.ff7data.com.ar/ff7/data/battle/battle.lgp/fmaw.png","View Picture")</f>
        <v>View Picture</v>
      </c>
    </row>
    <row r="3063">
      <c r="A3063" s="55"/>
      <c r="B3063" s="119" t="s">
        <v>31679</v>
      </c>
      <c r="C3063" s="120" t="s">
        <v>4883</v>
      </c>
      <c r="D3063" s="33" t="s">
        <v>31573</v>
      </c>
      <c r="E3063" s="51" t="s">
        <v>593</v>
      </c>
      <c r="F3063" s="121" t="s">
        <v>3009</v>
      </c>
      <c r="G3063" s="98" t="str">
        <f>HYPERLINK("http://mirror.ff7data.com.ar/ff7/data/battle/battle.lgp/fmay.png","View Picture")</f>
        <v>View Picture</v>
      </c>
    </row>
    <row r="3064">
      <c r="A3064" s="55"/>
      <c r="B3064" s="119" t="s">
        <v>31693</v>
      </c>
      <c r="C3064" s="120" t="s">
        <v>19043</v>
      </c>
      <c r="D3064" s="33" t="s">
        <v>31573</v>
      </c>
      <c r="E3064" s="51" t="s">
        <v>593</v>
      </c>
      <c r="F3064" s="121" t="s">
        <v>3009</v>
      </c>
      <c r="G3064" s="98" t="str">
        <f>HYPERLINK("http://mirror.ff7data.com.ar/ff7/data/battle/battle.lgp/fmaz.png","View Picture")</f>
        <v>View Picture</v>
      </c>
    </row>
    <row r="3065">
      <c r="A3065" s="55"/>
      <c r="B3065" s="119" t="s">
        <v>31705</v>
      </c>
      <c r="C3065" s="120" t="s">
        <v>4883</v>
      </c>
      <c r="D3065" s="33" t="s">
        <v>31573</v>
      </c>
      <c r="E3065" s="51" t="s">
        <v>593</v>
      </c>
      <c r="F3065" s="121" t="s">
        <v>3009</v>
      </c>
      <c r="G3065" s="98" t="str">
        <f>HYPERLINK("http://mirror.ff7data.com.ar/ff7/data/battle/battle.lgp/fmbb.png","View Picture")</f>
        <v>View Picture</v>
      </c>
    </row>
    <row r="3066">
      <c r="A3066" s="55"/>
      <c r="B3066" s="119" t="s">
        <v>31715</v>
      </c>
      <c r="C3066" s="120" t="s">
        <v>3007</v>
      </c>
      <c r="D3066" s="33" t="s">
        <v>31573</v>
      </c>
      <c r="E3066" s="51" t="s">
        <v>593</v>
      </c>
      <c r="F3066" s="121" t="s">
        <v>3009</v>
      </c>
      <c r="G3066" s="98" t="str">
        <f>HYPERLINK("http://mirror.ff7data.com.ar/ff7/data/battle/battle.lgp/fmbc.png","View Picture")</f>
        <v>View Picture</v>
      </c>
    </row>
    <row r="3067">
      <c r="A3067" s="55"/>
      <c r="B3067" s="119" t="s">
        <v>31726</v>
      </c>
      <c r="C3067" s="120" t="s">
        <v>4252</v>
      </c>
      <c r="D3067" s="33" t="s">
        <v>31573</v>
      </c>
      <c r="E3067" s="51" t="s">
        <v>593</v>
      </c>
      <c r="F3067" s="121" t="s">
        <v>3009</v>
      </c>
      <c r="G3067" s="98" t="str">
        <f>HYPERLINK("http://mirror.ff7data.com.ar/ff7/data/battle/battle.lgp/fmbe.png","View Picture")</f>
        <v>View Picture</v>
      </c>
    </row>
    <row r="3068">
      <c r="A3068" s="55"/>
      <c r="B3068" s="119" t="s">
        <v>31735</v>
      </c>
      <c r="C3068" s="120" t="s">
        <v>5891</v>
      </c>
      <c r="D3068" s="33" t="s">
        <v>31573</v>
      </c>
      <c r="E3068" s="51" t="s">
        <v>593</v>
      </c>
      <c r="F3068" s="121" t="s">
        <v>3009</v>
      </c>
      <c r="G3068" s="98" t="str">
        <f>HYPERLINK("http://mirror.ff7data.com.ar/ff7/data/battle/battle.lgp/fmbf.png","View Picture")</f>
        <v>View Picture</v>
      </c>
    </row>
    <row r="3069">
      <c r="A3069" s="55"/>
      <c r="B3069" s="119" t="s">
        <v>31744</v>
      </c>
      <c r="C3069" s="120" t="s">
        <v>4264</v>
      </c>
      <c r="D3069" s="33" t="s">
        <v>31573</v>
      </c>
      <c r="E3069" s="51" t="s">
        <v>593</v>
      </c>
      <c r="F3069" s="121" t="s">
        <v>3009</v>
      </c>
      <c r="G3069" s="98" t="str">
        <f>HYPERLINK("http://mirror.ff7data.com.ar/ff7/data/battle/battle.lgp/fmbg.png","View Picture")</f>
        <v>View Picture</v>
      </c>
    </row>
    <row r="3070">
      <c r="A3070" s="55"/>
      <c r="B3070" s="119" t="s">
        <v>31755</v>
      </c>
      <c r="C3070" s="120" t="s">
        <v>4883</v>
      </c>
      <c r="D3070" s="33" t="s">
        <v>31573</v>
      </c>
      <c r="E3070" s="51" t="s">
        <v>593</v>
      </c>
      <c r="F3070" s="121" t="s">
        <v>3009</v>
      </c>
      <c r="G3070" s="98" t="str">
        <f>HYPERLINK("http://mirror.ff7data.com.ar/ff7/data/battle/battle.lgp/fmbi.png","View Picture")</f>
        <v>View Picture</v>
      </c>
    </row>
    <row r="3071">
      <c r="A3071" s="55"/>
      <c r="B3071" s="119" t="s">
        <v>31765</v>
      </c>
      <c r="C3071" s="120" t="s">
        <v>3991</v>
      </c>
      <c r="D3071" s="33" t="s">
        <v>31573</v>
      </c>
      <c r="E3071" s="51" t="s">
        <v>593</v>
      </c>
      <c r="F3071" s="121" t="s">
        <v>3009</v>
      </c>
      <c r="G3071" s="98" t="str">
        <f>HYPERLINK("http://mirror.ff7data.com.ar/ff7/data/battle/battle.lgp/fmbj.png","View Picture")</f>
        <v>View Picture</v>
      </c>
    </row>
    <row r="3072">
      <c r="A3072" s="55"/>
      <c r="B3072" s="119" t="s">
        <v>31776</v>
      </c>
      <c r="C3072" s="120" t="s">
        <v>5356</v>
      </c>
      <c r="D3072" s="33" t="s">
        <v>31573</v>
      </c>
      <c r="E3072" s="51" t="s">
        <v>593</v>
      </c>
      <c r="F3072" s="121" t="s">
        <v>3009</v>
      </c>
      <c r="G3072" s="98" t="str">
        <f>HYPERLINK("http://mirror.ff7data.com.ar/ff7/data/battle/battle.lgp/fmbl.png","View Picture")</f>
        <v>View Picture</v>
      </c>
    </row>
    <row r="3073">
      <c r="A3073" s="55"/>
      <c r="B3073" s="119" t="s">
        <v>31789</v>
      </c>
      <c r="C3073" s="120" t="s">
        <v>29787</v>
      </c>
      <c r="D3073" s="33" t="s">
        <v>31573</v>
      </c>
      <c r="E3073" s="51" t="s">
        <v>593</v>
      </c>
      <c r="F3073" s="121" t="s">
        <v>3009</v>
      </c>
      <c r="G3073" s="98" t="str">
        <f>HYPERLINK("http://mirror.ff7data.com.ar/ff7/data/battle/battle.lgp/fmbm.png","View Picture")</f>
        <v>View Picture</v>
      </c>
    </row>
    <row r="3074">
      <c r="A3074" s="55"/>
      <c r="B3074" s="119" t="s">
        <v>31798</v>
      </c>
      <c r="C3074" s="120" t="s">
        <v>4883</v>
      </c>
      <c r="D3074" s="33" t="s">
        <v>31573</v>
      </c>
      <c r="E3074" s="51" t="s">
        <v>593</v>
      </c>
      <c r="F3074" s="121" t="s">
        <v>3009</v>
      </c>
      <c r="G3074" s="98" t="str">
        <f>HYPERLINK("http://mirror.ff7data.com.ar/ff7/data/battle/battle.lgp/fmbo.png","View Picture")</f>
        <v>View Picture</v>
      </c>
    </row>
    <row r="3075">
      <c r="A3075" s="55"/>
      <c r="B3075" s="119" t="s">
        <v>31807</v>
      </c>
      <c r="C3075" s="120" t="s">
        <v>3946</v>
      </c>
      <c r="D3075" s="33" t="s">
        <v>31573</v>
      </c>
      <c r="E3075" s="51" t="s">
        <v>593</v>
      </c>
      <c r="F3075" s="121" t="s">
        <v>3009</v>
      </c>
      <c r="G3075" s="98" t="str">
        <f>HYPERLINK("http://mirror.ff7data.com.ar/ff7/data/battle/battle.lgp/fmbp.png","View Picture")</f>
        <v>View Picture</v>
      </c>
    </row>
    <row r="3076">
      <c r="A3076" s="55"/>
      <c r="B3076" s="119" t="s">
        <v>31816</v>
      </c>
      <c r="C3076" s="120" t="s">
        <v>5925</v>
      </c>
      <c r="D3076" s="33" t="s">
        <v>31573</v>
      </c>
      <c r="E3076" s="51" t="s">
        <v>593</v>
      </c>
      <c r="F3076" s="121" t="s">
        <v>3025</v>
      </c>
      <c r="H3076" s="46" t="s">
        <v>3002</v>
      </c>
    </row>
    <row r="3077">
      <c r="A3077" s="55"/>
      <c r="B3077" s="119" t="s">
        <v>31821</v>
      </c>
      <c r="C3077" s="120" t="s">
        <v>3299</v>
      </c>
      <c r="D3077" s="33" t="s">
        <v>31823</v>
      </c>
      <c r="E3077" s="51" t="s">
        <v>597</v>
      </c>
      <c r="F3077" s="121" t="s">
        <v>2971</v>
      </c>
      <c r="G3077" s="98" t="str">
        <f>HYPERLINK("http://mirror.ff7data.com.ar/ff7/data/battle/battle.lgp/fnaa.png","View Picture")</f>
        <v>View Picture</v>
      </c>
    </row>
    <row r="3078">
      <c r="A3078" s="55"/>
      <c r="B3078" s="119" t="s">
        <v>31834</v>
      </c>
      <c r="C3078" s="120" t="s">
        <v>4109</v>
      </c>
      <c r="D3078" s="33" t="s">
        <v>31838</v>
      </c>
      <c r="E3078" s="51" t="s">
        <v>597</v>
      </c>
      <c r="F3078" s="121" t="s">
        <v>2993</v>
      </c>
      <c r="H3078" s="46" t="s">
        <v>3002</v>
      </c>
    </row>
    <row r="3079">
      <c r="A3079" s="55"/>
      <c r="B3079" s="119" t="s">
        <v>31841</v>
      </c>
      <c r="C3079" s="120" t="s">
        <v>3671</v>
      </c>
      <c r="D3079" s="33" t="s">
        <v>31838</v>
      </c>
      <c r="E3079" s="51" t="s">
        <v>597</v>
      </c>
      <c r="F3079" s="121" t="s">
        <v>3009</v>
      </c>
      <c r="G3079" s="98" t="str">
        <f>HYPERLINK("http://mirror.ff7data.com.ar/ff7/data/battle/battle.lgp/fnam.png","View Picture")</f>
        <v>View Picture</v>
      </c>
    </row>
    <row r="3080">
      <c r="A3080" s="55"/>
      <c r="B3080" s="119" t="s">
        <v>31851</v>
      </c>
      <c r="C3080" s="120" t="s">
        <v>4240</v>
      </c>
      <c r="D3080" s="33" t="s">
        <v>31838</v>
      </c>
      <c r="E3080" s="51" t="s">
        <v>597</v>
      </c>
      <c r="F3080" s="121" t="s">
        <v>3009</v>
      </c>
      <c r="G3080" s="98" t="str">
        <f>HYPERLINK("http://mirror.ff7data.com.ar/ff7/data/battle/battle.lgp/fnan.png","View Picture")</f>
        <v>View Picture</v>
      </c>
    </row>
    <row r="3081">
      <c r="A3081" s="55"/>
      <c r="B3081" s="119" t="s">
        <v>31862</v>
      </c>
      <c r="C3081" s="120" t="s">
        <v>4565</v>
      </c>
      <c r="D3081" s="33" t="s">
        <v>31838</v>
      </c>
      <c r="E3081" s="51" t="s">
        <v>597</v>
      </c>
      <c r="F3081" s="121" t="s">
        <v>3009</v>
      </c>
      <c r="G3081" s="98" t="str">
        <f>HYPERLINK("http://mirror.ff7data.com.ar/ff7/data/battle/battle.lgp/fnao.png","View Picture")</f>
        <v>View Picture</v>
      </c>
    </row>
    <row r="3082">
      <c r="A3082" s="55"/>
      <c r="B3082" s="119" t="s">
        <v>31874</v>
      </c>
      <c r="C3082" s="120" t="s">
        <v>5891</v>
      </c>
      <c r="D3082" s="33" t="s">
        <v>31838</v>
      </c>
      <c r="E3082" s="51" t="s">
        <v>597</v>
      </c>
      <c r="F3082" s="121" t="s">
        <v>3009</v>
      </c>
      <c r="G3082" s="98" t="str">
        <f>HYPERLINK("http://mirror.ff7data.com.ar/ff7/data/battle/battle.lgp/fnap.png","View Picture")</f>
        <v>View Picture</v>
      </c>
    </row>
    <row r="3083">
      <c r="A3083" s="55"/>
      <c r="B3083" s="119" t="s">
        <v>31884</v>
      </c>
      <c r="C3083" s="120" t="s">
        <v>4372</v>
      </c>
      <c r="D3083" s="33" t="s">
        <v>31838</v>
      </c>
      <c r="E3083" s="51" t="s">
        <v>597</v>
      </c>
      <c r="F3083" s="121" t="s">
        <v>3009</v>
      </c>
      <c r="G3083" s="98" t="str">
        <f>HYPERLINK("http://mirror.ff7data.com.ar/ff7/data/battle/battle.lgp/fnaq.png","View Picture")</f>
        <v>View Picture</v>
      </c>
    </row>
    <row r="3084">
      <c r="A3084" s="55"/>
      <c r="B3084" s="119" t="s">
        <v>31897</v>
      </c>
      <c r="C3084" s="120" t="s">
        <v>4288</v>
      </c>
      <c r="D3084" s="33" t="s">
        <v>31838</v>
      </c>
      <c r="E3084" s="51" t="s">
        <v>597</v>
      </c>
      <c r="F3084" s="121" t="s">
        <v>3009</v>
      </c>
      <c r="G3084" s="98" t="str">
        <f>HYPERLINK("http://mirror.ff7data.com.ar/ff7/data/battle/battle.lgp/fnas.png","View Picture")</f>
        <v>View Picture</v>
      </c>
    </row>
    <row r="3085">
      <c r="A3085" s="55"/>
      <c r="B3085" s="119" t="s">
        <v>31908</v>
      </c>
      <c r="C3085" s="120" t="s">
        <v>4732</v>
      </c>
      <c r="D3085" s="33" t="s">
        <v>31838</v>
      </c>
      <c r="E3085" s="51" t="s">
        <v>597</v>
      </c>
      <c r="F3085" s="121" t="s">
        <v>3009</v>
      </c>
      <c r="G3085" s="98" t="str">
        <f>HYPERLINK("http://mirror.ff7data.com.ar/ff7/data/battle/battle.lgp/fnat.png","View Picture")</f>
        <v>View Picture</v>
      </c>
    </row>
    <row r="3086">
      <c r="A3086" s="55"/>
      <c r="B3086" s="119" t="s">
        <v>31918</v>
      </c>
      <c r="C3086" s="120" t="s">
        <v>4439</v>
      </c>
      <c r="D3086" s="33" t="s">
        <v>31838</v>
      </c>
      <c r="E3086" s="51" t="s">
        <v>597</v>
      </c>
      <c r="F3086" s="121" t="s">
        <v>3009</v>
      </c>
      <c r="G3086" s="98" t="str">
        <f>HYPERLINK("http://mirror.ff7data.com.ar/ff7/data/battle/battle.lgp/fnau.png","View Picture")</f>
        <v>View Picture</v>
      </c>
    </row>
    <row r="3087">
      <c r="A3087" s="55"/>
      <c r="B3087" s="119" t="s">
        <v>31930</v>
      </c>
      <c r="C3087" s="120" t="s">
        <v>3648</v>
      </c>
      <c r="D3087" s="33" t="s">
        <v>31838</v>
      </c>
      <c r="E3087" s="51" t="s">
        <v>597</v>
      </c>
      <c r="F3087" s="121" t="s">
        <v>3009</v>
      </c>
      <c r="G3087" s="98" t="str">
        <f>HYPERLINK("http://mirror.ff7data.com.ar/ff7/data/battle/battle.lgp/fnav.png","View Picture")</f>
        <v>View Picture</v>
      </c>
    </row>
    <row r="3088">
      <c r="A3088" s="55"/>
      <c r="B3088" s="119" t="s">
        <v>31940</v>
      </c>
      <c r="C3088" s="120" t="s">
        <v>4288</v>
      </c>
      <c r="D3088" s="33" t="s">
        <v>31838</v>
      </c>
      <c r="E3088" s="51" t="s">
        <v>597</v>
      </c>
      <c r="F3088" s="121" t="s">
        <v>3009</v>
      </c>
      <c r="G3088" s="98" t="str">
        <f>HYPERLINK("http://mirror.ff7data.com.ar/ff7/data/battle/battle.lgp/fnax.png","View Picture")</f>
        <v>View Picture</v>
      </c>
    </row>
    <row r="3089">
      <c r="A3089" s="55"/>
      <c r="B3089" s="119" t="s">
        <v>31951</v>
      </c>
      <c r="C3089" s="120" t="s">
        <v>4732</v>
      </c>
      <c r="D3089" s="33" t="s">
        <v>31838</v>
      </c>
      <c r="E3089" s="51" t="s">
        <v>597</v>
      </c>
      <c r="F3089" s="121" t="s">
        <v>3009</v>
      </c>
      <c r="G3089" s="98" t="str">
        <f>HYPERLINK("http://mirror.ff7data.com.ar/ff7/data/battle/battle.lgp/fnay.png","View Picture")</f>
        <v>View Picture</v>
      </c>
    </row>
    <row r="3090">
      <c r="A3090" s="55"/>
      <c r="B3090" s="119" t="s">
        <v>31959</v>
      </c>
      <c r="C3090" s="120" t="s">
        <v>4439</v>
      </c>
      <c r="D3090" s="33" t="s">
        <v>31838</v>
      </c>
      <c r="E3090" s="51" t="s">
        <v>597</v>
      </c>
      <c r="F3090" s="121" t="s">
        <v>3009</v>
      </c>
      <c r="G3090" s="98" t="str">
        <f>HYPERLINK("http://mirror.ff7data.com.ar/ff7/data/battle/battle.lgp/fnaz.png","View Picture")</f>
        <v>View Picture</v>
      </c>
    </row>
    <row r="3091">
      <c r="A3091" s="55"/>
      <c r="B3091" s="119" t="s">
        <v>31969</v>
      </c>
      <c r="C3091" s="120" t="s">
        <v>3648</v>
      </c>
      <c r="D3091" s="33" t="s">
        <v>31838</v>
      </c>
      <c r="E3091" s="51" t="s">
        <v>597</v>
      </c>
      <c r="F3091" s="121" t="s">
        <v>3009</v>
      </c>
      <c r="G3091" s="98" t="str">
        <f>HYPERLINK("http://mirror.ff7data.com.ar/ff7/data/battle/battle.lgp/fnba.png","View Picture")</f>
        <v>View Picture</v>
      </c>
    </row>
    <row r="3092">
      <c r="A3092" s="55"/>
      <c r="B3092" s="119" t="s">
        <v>31979</v>
      </c>
      <c r="C3092" s="120" t="s">
        <v>7148</v>
      </c>
      <c r="D3092" s="33" t="s">
        <v>31838</v>
      </c>
      <c r="E3092" s="51" t="s">
        <v>597</v>
      </c>
      <c r="F3092" s="121" t="s">
        <v>3009</v>
      </c>
      <c r="G3092" s="98" t="str">
        <f>HYPERLINK("http://mirror.ff7data.com.ar/ff7/data/battle/battle.lgp/fnbb.png","View Picture")</f>
        <v>View Picture</v>
      </c>
    </row>
    <row r="3093">
      <c r="A3093" s="55"/>
      <c r="B3093" s="119" t="s">
        <v>31987</v>
      </c>
      <c r="C3093" s="120" t="s">
        <v>7148</v>
      </c>
      <c r="D3093" s="33" t="s">
        <v>31838</v>
      </c>
      <c r="E3093" s="51" t="s">
        <v>597</v>
      </c>
      <c r="F3093" s="121" t="s">
        <v>3009</v>
      </c>
      <c r="G3093" s="98" t="str">
        <f>HYPERLINK("http://mirror.ff7data.com.ar/ff7/data/battle/battle.lgp/fnbc.png","View Picture")</f>
        <v>View Picture</v>
      </c>
    </row>
    <row r="3094">
      <c r="A3094" s="55"/>
      <c r="B3094" s="119" t="s">
        <v>31995</v>
      </c>
      <c r="C3094" s="120" t="s">
        <v>7148</v>
      </c>
      <c r="D3094" s="33" t="s">
        <v>31838</v>
      </c>
      <c r="E3094" s="51" t="s">
        <v>597</v>
      </c>
      <c r="F3094" s="121" t="s">
        <v>3009</v>
      </c>
      <c r="G3094" s="98" t="str">
        <f>HYPERLINK("http://mirror.ff7data.com.ar/ff7/data/battle/battle.lgp/fnbd.png","View Picture")</f>
        <v>View Picture</v>
      </c>
    </row>
    <row r="3095">
      <c r="A3095" s="55"/>
      <c r="B3095" s="119" t="s">
        <v>32002</v>
      </c>
      <c r="C3095" s="120" t="s">
        <v>3007</v>
      </c>
      <c r="D3095" s="33" t="s">
        <v>31838</v>
      </c>
      <c r="E3095" s="51" t="s">
        <v>597</v>
      </c>
      <c r="F3095" s="121" t="s">
        <v>3009</v>
      </c>
      <c r="G3095" s="98" t="str">
        <f>HYPERLINK("http://mirror.ff7data.com.ar/ff7/data/battle/battle.lgp/fnbe.png","View Picture")</f>
        <v>View Picture</v>
      </c>
    </row>
    <row r="3096">
      <c r="A3096" s="55"/>
      <c r="B3096" s="119" t="s">
        <v>32009</v>
      </c>
      <c r="C3096" s="120" t="s">
        <v>4057</v>
      </c>
      <c r="D3096" s="33" t="s">
        <v>31838</v>
      </c>
      <c r="E3096" s="51" t="s">
        <v>597</v>
      </c>
      <c r="F3096" s="121" t="s">
        <v>3009</v>
      </c>
      <c r="G3096" s="98" t="str">
        <f>HYPERLINK("http://mirror.ff7data.com.ar/ff7/data/battle/battle.lgp/fnbh.png","View Picture")</f>
        <v>View Picture</v>
      </c>
    </row>
    <row r="3097">
      <c r="A3097" s="55"/>
      <c r="B3097" s="119" t="s">
        <v>32016</v>
      </c>
      <c r="C3097" s="120" t="s">
        <v>4476</v>
      </c>
      <c r="D3097" s="33" t="s">
        <v>31838</v>
      </c>
      <c r="E3097" s="51" t="s">
        <v>597</v>
      </c>
      <c r="F3097" s="121" t="s">
        <v>3009</v>
      </c>
      <c r="G3097" s="98" t="str">
        <f>HYPERLINK("http://mirror.ff7data.com.ar/ff7/data/battle/battle.lgp/fnbi.png","View Picture")</f>
        <v>View Picture</v>
      </c>
    </row>
    <row r="3098">
      <c r="A3098" s="55"/>
      <c r="B3098" s="119" t="s">
        <v>32023</v>
      </c>
      <c r="C3098" s="120" t="s">
        <v>3768</v>
      </c>
      <c r="D3098" s="33" t="s">
        <v>31838</v>
      </c>
      <c r="E3098" s="51" t="s">
        <v>597</v>
      </c>
      <c r="F3098" s="121" t="s">
        <v>3009</v>
      </c>
      <c r="G3098" s="98" t="str">
        <f>HYPERLINK("http://mirror.ff7data.com.ar/ff7/data/battle/battle.lgp/fnbj.png","View Picture")</f>
        <v>View Picture</v>
      </c>
    </row>
    <row r="3099">
      <c r="A3099" s="55"/>
      <c r="B3099" s="119" t="s">
        <v>32028</v>
      </c>
      <c r="C3099" s="120" t="s">
        <v>4476</v>
      </c>
      <c r="D3099" s="33" t="s">
        <v>31838</v>
      </c>
      <c r="E3099" s="51" t="s">
        <v>597</v>
      </c>
      <c r="F3099" s="121" t="s">
        <v>3009</v>
      </c>
      <c r="G3099" s="98" t="str">
        <f>HYPERLINK("http://mirror.ff7data.com.ar/ff7/data/battle/battle.lgp/fnbk.png","View Picture")</f>
        <v>View Picture</v>
      </c>
    </row>
    <row r="3100">
      <c r="A3100" s="55"/>
      <c r="B3100" s="119" t="s">
        <v>32031</v>
      </c>
      <c r="C3100" s="120" t="s">
        <v>23032</v>
      </c>
      <c r="D3100" s="33" t="s">
        <v>31838</v>
      </c>
      <c r="E3100" s="51" t="s">
        <v>597</v>
      </c>
      <c r="F3100" s="121" t="s">
        <v>3009</v>
      </c>
      <c r="G3100" s="98" t="str">
        <f>HYPERLINK("http://mirror.ff7data.com.ar/ff7/data/battle/battle.lgp/fnbl.png","View Picture")</f>
        <v>View Picture</v>
      </c>
    </row>
    <row r="3101">
      <c r="A3101" s="55"/>
      <c r="B3101" s="119" t="s">
        <v>32041</v>
      </c>
      <c r="C3101" s="120" t="s">
        <v>4264</v>
      </c>
      <c r="D3101" s="33" t="s">
        <v>31838</v>
      </c>
      <c r="E3101" s="51" t="s">
        <v>597</v>
      </c>
      <c r="F3101" s="121" t="s">
        <v>3009</v>
      </c>
      <c r="G3101" s="98" t="str">
        <f>HYPERLINK("http://mirror.ff7data.com.ar/ff7/data/battle/battle.lgp/fnbm.png","View Picture")</f>
        <v>View Picture</v>
      </c>
    </row>
    <row r="3102">
      <c r="A3102" s="55"/>
      <c r="B3102" s="119" t="s">
        <v>32051</v>
      </c>
      <c r="C3102" s="120" t="s">
        <v>4057</v>
      </c>
      <c r="D3102" s="33" t="s">
        <v>31838</v>
      </c>
      <c r="E3102" s="51" t="s">
        <v>597</v>
      </c>
      <c r="F3102" s="121" t="s">
        <v>3009</v>
      </c>
      <c r="G3102" s="98" t="str">
        <f>HYPERLINK("http://mirror.ff7data.com.ar/ff7/data/battle/battle.lgp/fnbp.png","View Picture")</f>
        <v>View Picture</v>
      </c>
    </row>
    <row r="3103">
      <c r="A3103" s="55"/>
      <c r="B3103" s="119" t="s">
        <v>32061</v>
      </c>
      <c r="C3103" s="120" t="s">
        <v>4476</v>
      </c>
      <c r="D3103" s="33" t="s">
        <v>31838</v>
      </c>
      <c r="E3103" s="51" t="s">
        <v>597</v>
      </c>
      <c r="F3103" s="121" t="s">
        <v>3009</v>
      </c>
      <c r="G3103" s="98" t="str">
        <f>HYPERLINK("http://mirror.ff7data.com.ar/ff7/data/battle/battle.lgp/fnbq.png","View Picture")</f>
        <v>View Picture</v>
      </c>
    </row>
    <row r="3104">
      <c r="A3104" s="55"/>
      <c r="B3104" s="119" t="s">
        <v>32070</v>
      </c>
      <c r="C3104" s="120" t="s">
        <v>3723</v>
      </c>
      <c r="D3104" s="33" t="s">
        <v>31838</v>
      </c>
      <c r="E3104" s="51" t="s">
        <v>597</v>
      </c>
      <c r="F3104" s="121" t="s">
        <v>3009</v>
      </c>
      <c r="G3104" s="98" t="str">
        <f>HYPERLINK("http://mirror.ff7data.com.ar/ff7/data/battle/battle.lgp/fnbr.png","View Picture")</f>
        <v>View Picture</v>
      </c>
    </row>
    <row r="3105">
      <c r="A3105" s="55"/>
      <c r="B3105" s="119" t="s">
        <v>32080</v>
      </c>
      <c r="C3105" s="120" t="s">
        <v>4476</v>
      </c>
      <c r="D3105" s="33" t="s">
        <v>31838</v>
      </c>
      <c r="E3105" s="51" t="s">
        <v>597</v>
      </c>
      <c r="F3105" s="121" t="s">
        <v>3009</v>
      </c>
      <c r="G3105" s="98" t="str">
        <f>HYPERLINK("http://mirror.ff7data.com.ar/ff7/data/battle/battle.lgp/fnbs.png","View Picture")</f>
        <v>View Picture</v>
      </c>
    </row>
    <row r="3106">
      <c r="A3106" s="55"/>
      <c r="B3106" s="119" t="s">
        <v>32089</v>
      </c>
      <c r="C3106" s="120" t="s">
        <v>10899</v>
      </c>
      <c r="D3106" s="33" t="s">
        <v>31838</v>
      </c>
      <c r="E3106" s="51" t="s">
        <v>597</v>
      </c>
      <c r="F3106" s="121" t="s">
        <v>3009</v>
      </c>
      <c r="G3106" s="98" t="str">
        <f>HYPERLINK("http://mirror.ff7data.com.ar/ff7/data/battle/battle.lgp/fnbt.png","View Picture")</f>
        <v>View Picture</v>
      </c>
    </row>
    <row r="3107">
      <c r="A3107" s="55"/>
      <c r="B3107" s="119" t="s">
        <v>32100</v>
      </c>
      <c r="C3107" s="120" t="s">
        <v>4439</v>
      </c>
      <c r="D3107" s="33" t="s">
        <v>31838</v>
      </c>
      <c r="E3107" s="51" t="s">
        <v>597</v>
      </c>
      <c r="F3107" s="121" t="s">
        <v>3009</v>
      </c>
      <c r="G3107" s="98" t="str">
        <f>HYPERLINK("http://mirror.ff7data.com.ar/ff7/data/battle/battle.lgp/fnbu.png","View Picture")</f>
        <v>View Picture</v>
      </c>
    </row>
    <row r="3108">
      <c r="A3108" s="55"/>
      <c r="B3108" s="119" t="s">
        <v>32115</v>
      </c>
      <c r="C3108" s="120" t="s">
        <v>3318</v>
      </c>
      <c r="D3108" s="33" t="s">
        <v>31838</v>
      </c>
      <c r="E3108" s="51" t="s">
        <v>597</v>
      </c>
      <c r="F3108" s="121" t="s">
        <v>3025</v>
      </c>
      <c r="H3108" s="46" t="s">
        <v>3002</v>
      </c>
    </row>
    <row r="3109">
      <c r="A3109" s="55"/>
      <c r="B3109" s="119" t="s">
        <v>32118</v>
      </c>
      <c r="C3109" s="120" t="s">
        <v>10179</v>
      </c>
      <c r="D3109" s="33" t="s">
        <v>32120</v>
      </c>
      <c r="E3109" s="51" t="s">
        <v>600</v>
      </c>
      <c r="F3109" s="121" t="s">
        <v>2971</v>
      </c>
      <c r="G3109" s="98" t="str">
        <f>HYPERLINK("http://mirror.ff7data.com.ar/ff7/data/battle/battle.lgp/foaa.png","View Picture")</f>
        <v>View Picture</v>
      </c>
      <c r="H3109" s="46" t="s">
        <v>32131</v>
      </c>
    </row>
    <row r="3110">
      <c r="A3110" s="55"/>
      <c r="B3110" s="119" t="s">
        <v>32134</v>
      </c>
      <c r="C3110" s="120" t="s">
        <v>3906</v>
      </c>
      <c r="D3110" s="33" t="s">
        <v>32136</v>
      </c>
      <c r="E3110" s="51" t="s">
        <v>600</v>
      </c>
      <c r="F3110" s="121" t="s">
        <v>2993</v>
      </c>
      <c r="H3110" s="46" t="s">
        <v>3002</v>
      </c>
    </row>
    <row r="3111">
      <c r="A3111" s="55"/>
      <c r="B3111" s="119" t="s">
        <v>32138</v>
      </c>
      <c r="C3111" s="120" t="s">
        <v>5904</v>
      </c>
      <c r="D3111" s="33" t="s">
        <v>32136</v>
      </c>
      <c r="E3111" s="51" t="s">
        <v>600</v>
      </c>
      <c r="F3111" s="121" t="s">
        <v>3009</v>
      </c>
      <c r="G3111" s="98" t="str">
        <f>HYPERLINK("http://mirror.ff7data.com.ar/ff7/data/battle/battle.lgp/foam.png","View Picture")</f>
        <v>View Picture</v>
      </c>
    </row>
    <row r="3112">
      <c r="A3112" s="55"/>
      <c r="B3112" s="119" t="s">
        <v>32149</v>
      </c>
      <c r="C3112" s="120" t="s">
        <v>18406</v>
      </c>
      <c r="D3112" s="33" t="s">
        <v>32136</v>
      </c>
      <c r="E3112" s="51" t="s">
        <v>600</v>
      </c>
      <c r="F3112" s="121" t="s">
        <v>3009</v>
      </c>
      <c r="G3112" s="98" t="str">
        <f>HYPERLINK("http://mirror.ff7data.com.ar/ff7/data/battle/battle.lgp/foan.png","View Picture")</f>
        <v>View Picture</v>
      </c>
    </row>
    <row r="3113">
      <c r="A3113" s="55"/>
      <c r="B3113" s="119" t="s">
        <v>32159</v>
      </c>
      <c r="C3113" s="120" t="s">
        <v>5573</v>
      </c>
      <c r="D3113" s="33" t="s">
        <v>32136</v>
      </c>
      <c r="E3113" s="51" t="s">
        <v>600</v>
      </c>
      <c r="F3113" s="121" t="s">
        <v>3009</v>
      </c>
      <c r="G3113" s="98" t="str">
        <f>HYPERLINK("http://mirror.ff7data.com.ar/ff7/data/battle/battle.lgp/foao.png","View Picture")</f>
        <v>View Picture</v>
      </c>
    </row>
    <row r="3114">
      <c r="A3114" s="55"/>
      <c r="B3114" s="119" t="s">
        <v>32167</v>
      </c>
      <c r="C3114" s="120" t="s">
        <v>3875</v>
      </c>
      <c r="D3114" s="33" t="s">
        <v>32136</v>
      </c>
      <c r="E3114" s="51" t="s">
        <v>600</v>
      </c>
      <c r="F3114" s="121" t="s">
        <v>3009</v>
      </c>
      <c r="G3114" s="98" t="str">
        <f>HYPERLINK("http://mirror.ff7data.com.ar/ff7/data/battle/battle.lgp/foap.png","View Picture")</f>
        <v>View Picture</v>
      </c>
    </row>
    <row r="3115">
      <c r="A3115" s="55"/>
      <c r="B3115" s="119" t="s">
        <v>32177</v>
      </c>
      <c r="C3115" s="120" t="s">
        <v>9290</v>
      </c>
      <c r="D3115" s="33" t="s">
        <v>32136</v>
      </c>
      <c r="E3115" s="51" t="s">
        <v>600</v>
      </c>
      <c r="F3115" s="121" t="s">
        <v>3009</v>
      </c>
      <c r="G3115" s="98" t="str">
        <f>HYPERLINK("http://mirror.ff7data.com.ar/ff7/data/battle/battle.lgp/foaq.png","View Picture")</f>
        <v>View Picture</v>
      </c>
    </row>
    <row r="3116">
      <c r="A3116" s="55"/>
      <c r="B3116" s="119" t="s">
        <v>32185</v>
      </c>
      <c r="C3116" s="120" t="s">
        <v>4264</v>
      </c>
      <c r="D3116" s="33" t="s">
        <v>32136</v>
      </c>
      <c r="E3116" s="51" t="s">
        <v>600</v>
      </c>
      <c r="F3116" s="121" t="s">
        <v>3025</v>
      </c>
      <c r="H3116" s="46" t="s">
        <v>3002</v>
      </c>
    </row>
    <row r="3117">
      <c r="A3117" s="55"/>
      <c r="B3117" s="119" t="s">
        <v>32190</v>
      </c>
      <c r="C3117" s="120" t="s">
        <v>21537</v>
      </c>
      <c r="D3117" s="33" t="s">
        <v>32192</v>
      </c>
      <c r="E3117" s="51" t="s">
        <v>603</v>
      </c>
      <c r="F3117" s="121" t="s">
        <v>2971</v>
      </c>
      <c r="G3117" s="98" t="str">
        <f>HYPERLINK("http://mirror.ff7data.com.ar/ff7/data/battle/battle.lgp/fpaa.png","View Picture")</f>
        <v>View Picture</v>
      </c>
    </row>
    <row r="3118">
      <c r="A3118" s="55"/>
      <c r="B3118" s="119" t="s">
        <v>32199</v>
      </c>
      <c r="C3118" s="120" t="s">
        <v>5222</v>
      </c>
      <c r="D3118" s="33" t="s">
        <v>32201</v>
      </c>
      <c r="E3118" s="51" t="s">
        <v>603</v>
      </c>
      <c r="F3118" s="121" t="s">
        <v>2993</v>
      </c>
      <c r="H3118" s="46" t="s">
        <v>3002</v>
      </c>
    </row>
    <row r="3119">
      <c r="A3119" s="55"/>
      <c r="B3119" s="119" t="s">
        <v>32206</v>
      </c>
      <c r="C3119" s="120" t="s">
        <v>7115</v>
      </c>
      <c r="D3119" s="33" t="s">
        <v>32201</v>
      </c>
      <c r="E3119" s="51" t="s">
        <v>603</v>
      </c>
      <c r="F3119" s="121" t="s">
        <v>3009</v>
      </c>
      <c r="G3119" s="98" t="str">
        <f>HYPERLINK("http://mirror.ff7data.com.ar/ff7/data/battle/battle.lgp/fpam.png","View Picture")</f>
        <v>View Picture</v>
      </c>
    </row>
    <row r="3120">
      <c r="A3120" s="55"/>
      <c r="B3120" s="119" t="s">
        <v>32211</v>
      </c>
      <c r="C3120" s="120" t="s">
        <v>9571</v>
      </c>
      <c r="D3120" s="33" t="s">
        <v>32201</v>
      </c>
      <c r="E3120" s="51" t="s">
        <v>603</v>
      </c>
      <c r="F3120" s="121" t="s">
        <v>3009</v>
      </c>
      <c r="G3120" s="98" t="str">
        <f>HYPERLINK("http://mirror.ff7data.com.ar/ff7/data/battle/battle.lgp/fpaq.png","View Picture")</f>
        <v>View Picture</v>
      </c>
    </row>
    <row r="3121">
      <c r="A3121" s="55"/>
      <c r="B3121" s="119" t="s">
        <v>32220</v>
      </c>
      <c r="C3121" s="120" t="s">
        <v>7081</v>
      </c>
      <c r="D3121" s="33" t="s">
        <v>32201</v>
      </c>
      <c r="E3121" s="51" t="s">
        <v>603</v>
      </c>
      <c r="F3121" s="121" t="s">
        <v>3009</v>
      </c>
      <c r="G3121" s="98" t="str">
        <f>HYPERLINK("http://mirror.ff7data.com.ar/ff7/data/battle/battle.lgp/fpas.png","View Picture")</f>
        <v>View Picture</v>
      </c>
    </row>
    <row r="3122">
      <c r="A3122" s="55"/>
      <c r="B3122" s="119" t="s">
        <v>32227</v>
      </c>
      <c r="C3122" s="120" t="s">
        <v>32228</v>
      </c>
      <c r="D3122" s="33" t="s">
        <v>32201</v>
      </c>
      <c r="E3122" s="51" t="s">
        <v>603</v>
      </c>
      <c r="F3122" s="121" t="s">
        <v>3025</v>
      </c>
      <c r="H3122" s="46" t="s">
        <v>3002</v>
      </c>
    </row>
    <row r="3123">
      <c r="A3123" s="55"/>
      <c r="B3123" s="119" t="s">
        <v>32237</v>
      </c>
      <c r="C3123" s="120" t="s">
        <v>4846</v>
      </c>
      <c r="D3123" s="33" t="s">
        <v>32240</v>
      </c>
      <c r="E3123" s="51" t="s">
        <v>606</v>
      </c>
      <c r="F3123" s="121" t="s">
        <v>2971</v>
      </c>
      <c r="G3123" s="98" t="str">
        <f>HYPERLINK("http://mirror.ff7data.com.ar/ff7/data/battle/battle.lgp/fqaa.png","View Picture")</f>
        <v>View Picture</v>
      </c>
    </row>
    <row r="3124">
      <c r="A3124" s="55"/>
      <c r="B3124" s="119" t="s">
        <v>32248</v>
      </c>
      <c r="C3124" s="120" t="s">
        <v>7606</v>
      </c>
      <c r="D3124" s="33" t="s">
        <v>32251</v>
      </c>
      <c r="E3124" s="51" t="s">
        <v>606</v>
      </c>
      <c r="F3124" s="121" t="s">
        <v>2993</v>
      </c>
      <c r="H3124" s="46" t="s">
        <v>3002</v>
      </c>
    </row>
    <row r="3125">
      <c r="A3125" s="55"/>
      <c r="B3125" s="119" t="s">
        <v>32253</v>
      </c>
      <c r="C3125" s="120" t="s">
        <v>7081</v>
      </c>
      <c r="D3125" s="33" t="s">
        <v>32254</v>
      </c>
      <c r="E3125" s="51" t="s">
        <v>606</v>
      </c>
      <c r="F3125" s="121" t="s">
        <v>1348</v>
      </c>
      <c r="G3125" s="98" t="str">
        <f>HYPERLINK("http://mirror.ff7data.com.ar/ff7/data/battle/battle.lgp/fqac.png","View Picture")</f>
        <v>View Picture</v>
      </c>
    </row>
    <row r="3126">
      <c r="A3126" s="55"/>
      <c r="B3126" s="119" t="s">
        <v>32264</v>
      </c>
      <c r="C3126" s="120" t="s">
        <v>7081</v>
      </c>
      <c r="D3126" s="33" t="s">
        <v>32254</v>
      </c>
      <c r="E3126" s="51" t="s">
        <v>606</v>
      </c>
      <c r="F3126" s="121" t="s">
        <v>1348</v>
      </c>
      <c r="G3126" s="98" t="str">
        <f>HYPERLINK("http://mirror.ff7data.com.ar/ff7/data/battle/battle.lgp/fqad.png","View Picture")</f>
        <v>View Picture</v>
      </c>
    </row>
    <row r="3127">
      <c r="A3127" s="55"/>
      <c r="B3127" s="119" t="s">
        <v>32272</v>
      </c>
      <c r="C3127" s="120" t="s">
        <v>7081</v>
      </c>
      <c r="D3127" s="33" t="s">
        <v>32254</v>
      </c>
      <c r="E3127" s="51" t="s">
        <v>606</v>
      </c>
      <c r="F3127" s="121" t="s">
        <v>1348</v>
      </c>
      <c r="G3127" s="98" t="str">
        <f>HYPERLINK("http://mirror.ff7data.com.ar/ff7/data/battle/battle.lgp/fqae.png","View Picture")</f>
        <v>View Picture</v>
      </c>
    </row>
    <row r="3128">
      <c r="A3128" s="55"/>
      <c r="B3128" s="119" t="s">
        <v>32277</v>
      </c>
      <c r="C3128" s="120" t="s">
        <v>4046</v>
      </c>
      <c r="D3128" s="33" t="s">
        <v>32251</v>
      </c>
      <c r="E3128" s="51" t="s">
        <v>606</v>
      </c>
      <c r="F3128" s="121" t="s">
        <v>3009</v>
      </c>
      <c r="G3128" s="98" t="str">
        <f>HYPERLINK("http://mirror.ff7data.com.ar/ff7/data/battle/battle.lgp/fqam.png","View Picture")</f>
        <v>View Picture</v>
      </c>
    </row>
    <row r="3129">
      <c r="A3129" s="55"/>
      <c r="B3129" s="119" t="s">
        <v>32285</v>
      </c>
      <c r="C3129" s="120" t="s">
        <v>4439</v>
      </c>
      <c r="D3129" s="33" t="s">
        <v>32251</v>
      </c>
      <c r="E3129" s="51" t="s">
        <v>606</v>
      </c>
      <c r="F3129" s="121" t="s">
        <v>3009</v>
      </c>
      <c r="G3129" s="98" t="str">
        <f>HYPERLINK("http://mirror.ff7data.com.ar/ff7/data/battle/battle.lgp/fqan.png","View Picture")</f>
        <v>View Picture</v>
      </c>
    </row>
    <row r="3130">
      <c r="A3130" s="55"/>
      <c r="B3130" s="119" t="s">
        <v>32292</v>
      </c>
      <c r="C3130" s="120" t="s">
        <v>4288</v>
      </c>
      <c r="D3130" s="33" t="s">
        <v>32251</v>
      </c>
      <c r="E3130" s="51" t="s">
        <v>606</v>
      </c>
      <c r="F3130" s="121" t="s">
        <v>3009</v>
      </c>
      <c r="G3130" s="98" t="str">
        <f>HYPERLINK("http://mirror.ff7data.com.ar/ff7/data/battle/battle.lgp/fqao.png","View Picture")</f>
        <v>View Picture</v>
      </c>
    </row>
    <row r="3131">
      <c r="A3131" s="55"/>
      <c r="B3131" s="119" t="s">
        <v>32297</v>
      </c>
      <c r="C3131" s="120" t="s">
        <v>4439</v>
      </c>
      <c r="D3131" s="33" t="s">
        <v>32251</v>
      </c>
      <c r="E3131" s="51" t="s">
        <v>606</v>
      </c>
      <c r="F3131" s="121" t="s">
        <v>3009</v>
      </c>
      <c r="G3131" s="98" t="str">
        <f>HYPERLINK("http://mirror.ff7data.com.ar/ff7/data/battle/battle.lgp/fqap.png","View Picture")</f>
        <v>View Picture</v>
      </c>
    </row>
    <row r="3132">
      <c r="A3132" s="55"/>
      <c r="B3132" s="119" t="s">
        <v>32311</v>
      </c>
      <c r="C3132" s="120" t="s">
        <v>4288</v>
      </c>
      <c r="D3132" s="33" t="s">
        <v>32251</v>
      </c>
      <c r="E3132" s="51" t="s">
        <v>606</v>
      </c>
      <c r="F3132" s="121" t="s">
        <v>3009</v>
      </c>
      <c r="G3132" s="98" t="str">
        <f>HYPERLINK("http://mirror.ff7data.com.ar/ff7/data/battle/battle.lgp/fqaq.png","View Picture")</f>
        <v>View Picture</v>
      </c>
    </row>
    <row r="3133">
      <c r="A3133" s="55"/>
      <c r="B3133" s="119" t="s">
        <v>32322</v>
      </c>
      <c r="C3133" s="120" t="s">
        <v>7871</v>
      </c>
      <c r="D3133" s="33" t="s">
        <v>32251</v>
      </c>
      <c r="E3133" s="51" t="s">
        <v>606</v>
      </c>
      <c r="F3133" s="121" t="s">
        <v>3009</v>
      </c>
      <c r="G3133" s="98" t="str">
        <f>HYPERLINK("http://mirror.ff7data.com.ar/ff7/data/battle/battle.lgp/fqas.png","View Picture")</f>
        <v>View Picture</v>
      </c>
    </row>
    <row r="3134">
      <c r="A3134" s="55"/>
      <c r="B3134" s="119" t="s">
        <v>32335</v>
      </c>
      <c r="C3134" s="120" t="s">
        <v>3434</v>
      </c>
      <c r="D3134" s="33" t="s">
        <v>32251</v>
      </c>
      <c r="E3134" s="51" t="s">
        <v>606</v>
      </c>
      <c r="F3134" s="121" t="s">
        <v>3009</v>
      </c>
      <c r="G3134" s="98" t="str">
        <f>HYPERLINK("http://mirror.ff7data.com.ar/ff7/data/battle/battle.lgp/fqat.png","View Picture")</f>
        <v>View Picture</v>
      </c>
    </row>
    <row r="3135">
      <c r="A3135" s="55"/>
      <c r="B3135" s="119" t="s">
        <v>32343</v>
      </c>
      <c r="C3135" s="120" t="s">
        <v>4732</v>
      </c>
      <c r="D3135" s="33" t="s">
        <v>32251</v>
      </c>
      <c r="E3135" s="51" t="s">
        <v>606</v>
      </c>
      <c r="F3135" s="121" t="s">
        <v>3009</v>
      </c>
      <c r="G3135" s="98" t="str">
        <f>HYPERLINK("http://mirror.ff7data.com.ar/ff7/data/battle/battle.lgp/fqav.png","View Picture")</f>
        <v>View Picture</v>
      </c>
    </row>
    <row r="3136">
      <c r="A3136" s="55"/>
      <c r="B3136" s="119" t="s">
        <v>32351</v>
      </c>
      <c r="C3136" s="120" t="s">
        <v>4732</v>
      </c>
      <c r="D3136" s="33" t="s">
        <v>32251</v>
      </c>
      <c r="E3136" s="51" t="s">
        <v>606</v>
      </c>
      <c r="F3136" s="121" t="s">
        <v>3009</v>
      </c>
      <c r="G3136" s="98" t="str">
        <f>HYPERLINK("http://mirror.ff7data.com.ar/ff7/data/battle/battle.lgp/fqax.png","View Picture")</f>
        <v>View Picture</v>
      </c>
    </row>
    <row r="3137">
      <c r="A3137" s="55"/>
      <c r="B3137" s="119" t="s">
        <v>32358</v>
      </c>
      <c r="C3137" s="120" t="s">
        <v>4732</v>
      </c>
      <c r="D3137" s="33" t="s">
        <v>32251</v>
      </c>
      <c r="E3137" s="51" t="s">
        <v>606</v>
      </c>
      <c r="F3137" s="121" t="s">
        <v>3009</v>
      </c>
      <c r="G3137" s="98" t="str">
        <f>HYPERLINK("http://mirror.ff7data.com.ar/ff7/data/battle/battle.lgp/fqaz.png","View Picture")</f>
        <v>View Picture</v>
      </c>
    </row>
    <row r="3138">
      <c r="A3138" s="55"/>
      <c r="B3138" s="119" t="s">
        <v>32366</v>
      </c>
      <c r="C3138" s="120" t="s">
        <v>4732</v>
      </c>
      <c r="D3138" s="33" t="s">
        <v>32251</v>
      </c>
      <c r="E3138" s="51" t="s">
        <v>606</v>
      </c>
      <c r="F3138" s="121" t="s">
        <v>3009</v>
      </c>
      <c r="G3138" s="98" t="str">
        <f>HYPERLINK("http://mirror.ff7data.com.ar/ff7/data/battle/battle.lgp/fqbb.png","View Picture")</f>
        <v>View Picture</v>
      </c>
    </row>
    <row r="3139">
      <c r="A3139" s="55"/>
      <c r="B3139" s="119" t="s">
        <v>32373</v>
      </c>
      <c r="C3139" s="120" t="s">
        <v>4732</v>
      </c>
      <c r="D3139" s="33" t="s">
        <v>32251</v>
      </c>
      <c r="E3139" s="51" t="s">
        <v>606</v>
      </c>
      <c r="F3139" s="121" t="s">
        <v>3009</v>
      </c>
      <c r="G3139" s="98" t="str">
        <f>HYPERLINK("http://mirror.ff7data.com.ar/ff7/data/battle/battle.lgp/fqbd.png","View Picture")</f>
        <v>View Picture</v>
      </c>
    </row>
    <row r="3140">
      <c r="A3140" s="55"/>
      <c r="B3140" s="119" t="s">
        <v>32381</v>
      </c>
      <c r="C3140" s="120" t="s">
        <v>4732</v>
      </c>
      <c r="D3140" s="33" t="s">
        <v>32251</v>
      </c>
      <c r="E3140" s="51" t="s">
        <v>606</v>
      </c>
      <c r="F3140" s="121" t="s">
        <v>3009</v>
      </c>
      <c r="G3140" s="98" t="str">
        <f>HYPERLINK("http://mirror.ff7data.com.ar/ff7/data/battle/battle.lgp/fqbf.png","View Picture")</f>
        <v>View Picture</v>
      </c>
    </row>
    <row r="3141">
      <c r="A3141" s="55"/>
      <c r="B3141" s="119" t="s">
        <v>32387</v>
      </c>
      <c r="C3141" s="120" t="s">
        <v>4732</v>
      </c>
      <c r="D3141" s="33" t="s">
        <v>32251</v>
      </c>
      <c r="E3141" s="51" t="s">
        <v>606</v>
      </c>
      <c r="F3141" s="121" t="s">
        <v>3009</v>
      </c>
      <c r="G3141" s="98" t="str">
        <f>HYPERLINK("http://mirror.ff7data.com.ar/ff7/data/battle/battle.lgp/fqbh.png","View Picture")</f>
        <v>View Picture</v>
      </c>
    </row>
    <row r="3142">
      <c r="A3142" s="55"/>
      <c r="B3142" s="119" t="s">
        <v>32393</v>
      </c>
      <c r="C3142" s="120" t="s">
        <v>4732</v>
      </c>
      <c r="D3142" s="33" t="s">
        <v>32251</v>
      </c>
      <c r="E3142" s="51" t="s">
        <v>606</v>
      </c>
      <c r="F3142" s="121" t="s">
        <v>3009</v>
      </c>
      <c r="G3142" s="98" t="str">
        <f>HYPERLINK("http://mirror.ff7data.com.ar/ff7/data/battle/battle.lgp/fqbj.png","View Picture")</f>
        <v>View Picture</v>
      </c>
    </row>
    <row r="3143">
      <c r="A3143" s="55"/>
      <c r="B3143" s="119" t="s">
        <v>32408</v>
      </c>
      <c r="C3143" s="120" t="s">
        <v>4732</v>
      </c>
      <c r="D3143" s="33" t="s">
        <v>32251</v>
      </c>
      <c r="E3143" s="51" t="s">
        <v>606</v>
      </c>
      <c r="F3143" s="121" t="s">
        <v>3009</v>
      </c>
      <c r="G3143" s="98" t="str">
        <f>HYPERLINK("http://mirror.ff7data.com.ar/ff7/data/battle/battle.lgp/fqbl.png","View Picture")</f>
        <v>View Picture</v>
      </c>
    </row>
    <row r="3144">
      <c r="A3144" s="55"/>
      <c r="B3144" s="119" t="s">
        <v>32416</v>
      </c>
      <c r="C3144" s="120" t="s">
        <v>4732</v>
      </c>
      <c r="D3144" s="33" t="s">
        <v>32251</v>
      </c>
      <c r="E3144" s="51" t="s">
        <v>606</v>
      </c>
      <c r="F3144" s="121" t="s">
        <v>3009</v>
      </c>
      <c r="G3144" s="98" t="str">
        <f>HYPERLINK("http://mirror.ff7data.com.ar/ff7/data/battle/battle.lgp/fqbn.png","View Picture")</f>
        <v>View Picture</v>
      </c>
    </row>
    <row r="3145">
      <c r="A3145" s="55"/>
      <c r="B3145" s="119" t="s">
        <v>32425</v>
      </c>
      <c r="C3145" s="120" t="s">
        <v>4732</v>
      </c>
      <c r="D3145" s="33" t="s">
        <v>32251</v>
      </c>
      <c r="E3145" s="51" t="s">
        <v>606</v>
      </c>
      <c r="F3145" s="121" t="s">
        <v>3009</v>
      </c>
      <c r="G3145" s="98" t="str">
        <f>HYPERLINK("http://mirror.ff7data.com.ar/ff7/data/battle/battle.lgp/fqbp.png","View Picture")</f>
        <v>View Picture</v>
      </c>
    </row>
    <row r="3146">
      <c r="A3146" s="55"/>
      <c r="B3146" s="119" t="s">
        <v>32436</v>
      </c>
      <c r="C3146" s="120" t="s">
        <v>4732</v>
      </c>
      <c r="D3146" s="33" t="s">
        <v>32251</v>
      </c>
      <c r="E3146" s="51" t="s">
        <v>606</v>
      </c>
      <c r="F3146" s="121" t="s">
        <v>3009</v>
      </c>
      <c r="G3146" s="98" t="str">
        <f>HYPERLINK("http://mirror.ff7data.com.ar/ff7/data/battle/battle.lgp/fqbr.png","View Picture")</f>
        <v>View Picture</v>
      </c>
    </row>
    <row r="3147">
      <c r="A3147" s="55"/>
      <c r="B3147" s="119" t="s">
        <v>32441</v>
      </c>
      <c r="C3147" s="120" t="s">
        <v>3875</v>
      </c>
      <c r="D3147" s="33" t="s">
        <v>32251</v>
      </c>
      <c r="E3147" s="51" t="s">
        <v>606</v>
      </c>
      <c r="F3147" s="121" t="s">
        <v>3025</v>
      </c>
      <c r="H3147" s="46" t="s">
        <v>3002</v>
      </c>
    </row>
    <row r="3148">
      <c r="A3148" s="55"/>
      <c r="B3148" s="119" t="s">
        <v>32445</v>
      </c>
      <c r="C3148" s="120" t="s">
        <v>4096</v>
      </c>
      <c r="D3148" s="33" t="s">
        <v>32448</v>
      </c>
      <c r="E3148" s="51" t="s">
        <v>609</v>
      </c>
      <c r="F3148" s="121" t="s">
        <v>2971</v>
      </c>
      <c r="G3148" s="98" t="str">
        <f>HYPERLINK("http://mirror.ff7data.com.ar/ff7/data/battle/battle.lgp/fraa.png","View Picture")</f>
        <v>View Picture</v>
      </c>
    </row>
    <row r="3149">
      <c r="A3149" s="55"/>
      <c r="B3149" s="119" t="s">
        <v>32456</v>
      </c>
      <c r="C3149" s="120" t="s">
        <v>3312</v>
      </c>
      <c r="D3149" s="33" t="s">
        <v>32458</v>
      </c>
      <c r="E3149" s="51" t="s">
        <v>609</v>
      </c>
      <c r="F3149" s="121" t="s">
        <v>2993</v>
      </c>
      <c r="H3149" s="46" t="s">
        <v>3002</v>
      </c>
    </row>
    <row r="3150">
      <c r="A3150" s="55"/>
      <c r="B3150" s="119" t="s">
        <v>32463</v>
      </c>
      <c r="C3150" s="120" t="s">
        <v>7115</v>
      </c>
      <c r="D3150" s="33" t="s">
        <v>32458</v>
      </c>
      <c r="E3150" s="51" t="s">
        <v>609</v>
      </c>
      <c r="F3150" s="121" t="s">
        <v>3009</v>
      </c>
      <c r="G3150" s="98" t="str">
        <f>HYPERLINK("http://mirror.ff7data.com.ar/ff7/data/battle/battle.lgp/fram.png","View Picture")</f>
        <v>View Picture</v>
      </c>
    </row>
    <row r="3151">
      <c r="A3151" s="55"/>
      <c r="B3151" s="119" t="s">
        <v>32474</v>
      </c>
      <c r="C3151" s="120" t="s">
        <v>4357</v>
      </c>
      <c r="D3151" s="33" t="s">
        <v>32458</v>
      </c>
      <c r="E3151" s="51" t="s">
        <v>609</v>
      </c>
      <c r="F3151" s="121" t="s">
        <v>3009</v>
      </c>
      <c r="G3151" s="98" t="str">
        <f>HYPERLINK("http://mirror.ff7data.com.ar/ff7/data/battle/battle.lgp/fran.png","View Picture")</f>
        <v>View Picture</v>
      </c>
    </row>
    <row r="3152">
      <c r="A3152" s="55"/>
      <c r="B3152" s="119" t="s">
        <v>32480</v>
      </c>
      <c r="C3152" s="120" t="s">
        <v>4167</v>
      </c>
      <c r="D3152" s="33" t="s">
        <v>32458</v>
      </c>
      <c r="E3152" s="51" t="s">
        <v>609</v>
      </c>
      <c r="F3152" s="121" t="s">
        <v>3009</v>
      </c>
      <c r="G3152" s="98" t="str">
        <f>HYPERLINK("http://mirror.ff7data.com.ar/ff7/data/battle/battle.lgp/frao.png","View Picture")</f>
        <v>View Picture</v>
      </c>
    </row>
    <row r="3153">
      <c r="A3153" s="55"/>
      <c r="B3153" s="119" t="s">
        <v>32490</v>
      </c>
      <c r="C3153" s="120" t="s">
        <v>4357</v>
      </c>
      <c r="D3153" s="33" t="s">
        <v>32458</v>
      </c>
      <c r="E3153" s="51" t="s">
        <v>609</v>
      </c>
      <c r="F3153" s="121" t="s">
        <v>3009</v>
      </c>
      <c r="G3153" s="98" t="str">
        <f>HYPERLINK("http://mirror.ff7data.com.ar/ff7/data/battle/battle.lgp/frap.png","View Picture")</f>
        <v>View Picture</v>
      </c>
    </row>
    <row r="3154">
      <c r="A3154" s="55"/>
      <c r="B3154" s="119" t="s">
        <v>32499</v>
      </c>
      <c r="C3154" s="120" t="s">
        <v>4357</v>
      </c>
      <c r="D3154" s="33" t="s">
        <v>32458</v>
      </c>
      <c r="E3154" s="51" t="s">
        <v>609</v>
      </c>
      <c r="F3154" s="121" t="s">
        <v>3009</v>
      </c>
      <c r="G3154" s="98" t="str">
        <f>HYPERLINK("http://mirror.ff7data.com.ar/ff7/data/battle/battle.lgp/frar.png","View Picture")</f>
        <v>View Picture</v>
      </c>
    </row>
    <row r="3155">
      <c r="A3155" s="55"/>
      <c r="B3155" s="119" t="s">
        <v>32506</v>
      </c>
      <c r="C3155" s="120" t="s">
        <v>3007</v>
      </c>
      <c r="D3155" s="33" t="s">
        <v>32458</v>
      </c>
      <c r="E3155" s="51" t="s">
        <v>609</v>
      </c>
      <c r="F3155" s="121" t="s">
        <v>3009</v>
      </c>
      <c r="G3155" s="98" t="str">
        <f>HYPERLINK("http://mirror.ff7data.com.ar/ff7/data/battle/battle.lgp/fras.png","View Picture")</f>
        <v>View Picture</v>
      </c>
    </row>
    <row r="3156">
      <c r="A3156" s="55"/>
      <c r="B3156" s="119" t="s">
        <v>32515</v>
      </c>
      <c r="C3156" s="120" t="s">
        <v>3007</v>
      </c>
      <c r="D3156" s="33" t="s">
        <v>32458</v>
      </c>
      <c r="E3156" s="51" t="s">
        <v>609</v>
      </c>
      <c r="F3156" s="121" t="s">
        <v>3009</v>
      </c>
      <c r="G3156" s="98" t="str">
        <f>HYPERLINK("http://mirror.ff7data.com.ar/ff7/data/battle/battle.lgp/frat.png","View Picture")</f>
        <v>View Picture</v>
      </c>
    </row>
    <row r="3157">
      <c r="A3157" s="55"/>
      <c r="B3157" s="119" t="s">
        <v>32524</v>
      </c>
      <c r="C3157" s="120" t="s">
        <v>3481</v>
      </c>
      <c r="D3157" s="33" t="s">
        <v>32458</v>
      </c>
      <c r="E3157" s="51" t="s">
        <v>609</v>
      </c>
      <c r="F3157" s="121" t="s">
        <v>3025</v>
      </c>
      <c r="H3157" s="46" t="s">
        <v>3002</v>
      </c>
    </row>
    <row r="3158">
      <c r="A3158" s="55"/>
      <c r="B3158" s="119" t="s">
        <v>32528</v>
      </c>
      <c r="C3158" s="120" t="s">
        <v>3980</v>
      </c>
      <c r="D3158" s="33" t="s">
        <v>32531</v>
      </c>
      <c r="E3158" s="51" t="s">
        <v>612</v>
      </c>
      <c r="F3158" s="121" t="s">
        <v>2971</v>
      </c>
      <c r="G3158" s="98" t="str">
        <f>HYPERLINK("http://mirror.ff7data.com.ar/ff7/data/battle/battle.lgp/fsaa.png","View Picture")</f>
        <v>View Picture</v>
      </c>
    </row>
    <row r="3159">
      <c r="A3159" s="55"/>
      <c r="B3159" s="119" t="s">
        <v>32541</v>
      </c>
      <c r="C3159" s="120" t="s">
        <v>32542</v>
      </c>
      <c r="D3159" s="33" t="s">
        <v>32544</v>
      </c>
      <c r="E3159" s="51" t="s">
        <v>612</v>
      </c>
      <c r="F3159" s="121" t="s">
        <v>2993</v>
      </c>
      <c r="H3159" s="46" t="s">
        <v>3002</v>
      </c>
    </row>
    <row r="3160">
      <c r="A3160" s="55"/>
      <c r="B3160" s="119" t="s">
        <v>32546</v>
      </c>
      <c r="C3160" s="120" t="s">
        <v>3465</v>
      </c>
      <c r="D3160" s="33" t="s">
        <v>32544</v>
      </c>
      <c r="E3160" s="51" t="s">
        <v>612</v>
      </c>
      <c r="F3160" s="121" t="s">
        <v>3009</v>
      </c>
      <c r="G3160" s="98" t="str">
        <f>HYPERLINK("http://mirror.ff7data.com.ar/ff7/data/battle/battle.lgp/fsam.png","View Picture")</f>
        <v>View Picture</v>
      </c>
    </row>
    <row r="3161">
      <c r="A3161" s="55"/>
      <c r="B3161" s="119" t="s">
        <v>32557</v>
      </c>
      <c r="C3161" s="120" t="s">
        <v>4357</v>
      </c>
      <c r="D3161" s="33" t="s">
        <v>32544</v>
      </c>
      <c r="E3161" s="51" t="s">
        <v>612</v>
      </c>
      <c r="F3161" s="121" t="s">
        <v>3009</v>
      </c>
      <c r="G3161" s="98" t="str">
        <f>HYPERLINK("http://mirror.ff7data.com.ar/ff7/data/battle/battle.lgp/fsao.png","View Picture")</f>
        <v>View Picture</v>
      </c>
    </row>
    <row r="3162">
      <c r="A3162" s="55"/>
      <c r="B3162" s="119" t="s">
        <v>32566</v>
      </c>
      <c r="C3162" s="120" t="s">
        <v>5419</v>
      </c>
      <c r="D3162" s="33" t="s">
        <v>32544</v>
      </c>
      <c r="E3162" s="51" t="s">
        <v>612</v>
      </c>
      <c r="F3162" s="121" t="s">
        <v>3009</v>
      </c>
      <c r="G3162" s="98" t="str">
        <f>HYPERLINK("http://mirror.ff7data.com.ar/ff7/data/battle/battle.lgp/fsap.png","View Picture")</f>
        <v>View Picture</v>
      </c>
    </row>
    <row r="3163">
      <c r="A3163" s="55"/>
      <c r="B3163" s="119" t="s">
        <v>32575</v>
      </c>
      <c r="C3163" s="120" t="s">
        <v>4057</v>
      </c>
      <c r="D3163" s="33" t="s">
        <v>32544</v>
      </c>
      <c r="E3163" s="51" t="s">
        <v>612</v>
      </c>
      <c r="F3163" s="121" t="s">
        <v>3009</v>
      </c>
      <c r="G3163" s="98" t="str">
        <f>HYPERLINK("http://mirror.ff7data.com.ar/ff7/data/battle/battle.lgp/fsar.png","View Picture")</f>
        <v>View Picture</v>
      </c>
    </row>
    <row r="3164">
      <c r="A3164" s="55"/>
      <c r="B3164" s="119" t="s">
        <v>32585</v>
      </c>
      <c r="C3164" s="120" t="s">
        <v>4372</v>
      </c>
      <c r="D3164" s="33" t="s">
        <v>32544</v>
      </c>
      <c r="E3164" s="51" t="s">
        <v>612</v>
      </c>
      <c r="F3164" s="121" t="s">
        <v>3009</v>
      </c>
      <c r="G3164" s="98" t="str">
        <f>HYPERLINK("http://mirror.ff7data.com.ar/ff7/data/battle/battle.lgp/fsas.png","View Picture")</f>
        <v>View Picture</v>
      </c>
    </row>
    <row r="3165">
      <c r="A3165" s="55"/>
      <c r="B3165" s="119" t="s">
        <v>32592</v>
      </c>
      <c r="C3165" s="120" t="s">
        <v>4372</v>
      </c>
      <c r="D3165" s="33" t="s">
        <v>32544</v>
      </c>
      <c r="E3165" s="51" t="s">
        <v>612</v>
      </c>
      <c r="F3165" s="121" t="s">
        <v>3009</v>
      </c>
      <c r="G3165" s="98" t="str">
        <f>HYPERLINK("http://mirror.ff7data.com.ar/ff7/data/battle/battle.lgp/fsat.png","View Picture")</f>
        <v>View Picture</v>
      </c>
    </row>
    <row r="3166">
      <c r="A3166" s="55"/>
      <c r="B3166" s="119" t="s">
        <v>32601</v>
      </c>
      <c r="C3166" s="120" t="s">
        <v>3671</v>
      </c>
      <c r="D3166" s="33" t="s">
        <v>32544</v>
      </c>
      <c r="E3166" s="51" t="s">
        <v>612</v>
      </c>
      <c r="F3166" s="121" t="s">
        <v>3009</v>
      </c>
      <c r="G3166" s="98" t="str">
        <f>HYPERLINK("http://mirror.ff7data.com.ar/ff7/data/battle/battle.lgp/fsau.png","View Picture")</f>
        <v>View Picture</v>
      </c>
    </row>
    <row r="3167">
      <c r="A3167" s="55"/>
      <c r="B3167" s="119" t="s">
        <v>32609</v>
      </c>
      <c r="C3167" s="120" t="s">
        <v>4732</v>
      </c>
      <c r="D3167" s="33" t="s">
        <v>32544</v>
      </c>
      <c r="E3167" s="51" t="s">
        <v>612</v>
      </c>
      <c r="F3167" s="121" t="s">
        <v>3009</v>
      </c>
      <c r="G3167" s="98" t="str">
        <f>HYPERLINK("http://mirror.ff7data.com.ar/ff7/data/battle/battle.lgp/fsav.png","View Picture")</f>
        <v>View Picture</v>
      </c>
    </row>
    <row r="3168">
      <c r="A3168" s="55"/>
      <c r="B3168" s="119" t="s">
        <v>32614</v>
      </c>
      <c r="C3168" s="120" t="s">
        <v>4288</v>
      </c>
      <c r="D3168" s="33" t="s">
        <v>32544</v>
      </c>
      <c r="E3168" s="51" t="s">
        <v>612</v>
      </c>
      <c r="F3168" s="121" t="s">
        <v>3009</v>
      </c>
      <c r="G3168" s="98" t="str">
        <f>HYPERLINK("http://mirror.ff7data.com.ar/ff7/data/battle/battle.lgp/fsax.png","View Picture")</f>
        <v>View Picture</v>
      </c>
    </row>
    <row r="3169">
      <c r="A3169" s="55"/>
      <c r="B3169" s="119" t="s">
        <v>32623</v>
      </c>
      <c r="C3169" s="120" t="s">
        <v>21725</v>
      </c>
      <c r="D3169" s="33" t="s">
        <v>32544</v>
      </c>
      <c r="E3169" s="51" t="s">
        <v>612</v>
      </c>
      <c r="F3169" s="121" t="s">
        <v>3009</v>
      </c>
      <c r="G3169" s="98" t="str">
        <f>HYPERLINK("http://mirror.ff7data.com.ar/ff7/data/battle/battle.lgp/fsaz.png","View Picture")</f>
        <v>View Picture</v>
      </c>
    </row>
    <row r="3170">
      <c r="A3170" s="55"/>
      <c r="B3170" s="119" t="s">
        <v>32630</v>
      </c>
      <c r="C3170" s="120" t="s">
        <v>5419</v>
      </c>
      <c r="D3170" s="33" t="s">
        <v>32544</v>
      </c>
      <c r="E3170" s="51" t="s">
        <v>612</v>
      </c>
      <c r="F3170" s="121" t="s">
        <v>3009</v>
      </c>
      <c r="G3170" s="98" t="str">
        <f>HYPERLINK("http://mirror.ff7data.com.ar/ff7/data/battle/battle.lgp/fsbb.png","View Picture")</f>
        <v>View Picture</v>
      </c>
    </row>
    <row r="3171">
      <c r="A3171" s="55"/>
      <c r="B3171" s="119" t="s">
        <v>32639</v>
      </c>
      <c r="C3171" s="120" t="s">
        <v>5419</v>
      </c>
      <c r="D3171" s="33" t="s">
        <v>32544</v>
      </c>
      <c r="E3171" s="51" t="s">
        <v>612</v>
      </c>
      <c r="F3171" s="121" t="s">
        <v>3009</v>
      </c>
      <c r="G3171" s="98" t="str">
        <f>HYPERLINK("http://mirror.ff7data.com.ar/ff7/data/battle/battle.lgp/fsbd.png","View Picture")</f>
        <v>View Picture</v>
      </c>
    </row>
    <row r="3172">
      <c r="A3172" s="55"/>
      <c r="B3172" s="119" t="s">
        <v>32647</v>
      </c>
      <c r="C3172" s="120" t="s">
        <v>4264</v>
      </c>
      <c r="D3172" s="33" t="s">
        <v>32544</v>
      </c>
      <c r="E3172" s="51" t="s">
        <v>612</v>
      </c>
      <c r="F3172" s="121" t="s">
        <v>3009</v>
      </c>
      <c r="G3172" s="98" t="str">
        <f>HYPERLINK("http://mirror.ff7data.com.ar/ff7/data/battle/battle.lgp/fsbg.png","View Picture")</f>
        <v>View Picture</v>
      </c>
    </row>
    <row r="3173">
      <c r="A3173" s="55"/>
      <c r="B3173" s="119" t="s">
        <v>32653</v>
      </c>
      <c r="C3173" s="120" t="s">
        <v>4288</v>
      </c>
      <c r="D3173" s="33" t="s">
        <v>32544</v>
      </c>
      <c r="E3173" s="51" t="s">
        <v>612</v>
      </c>
      <c r="F3173" s="121" t="s">
        <v>3009</v>
      </c>
      <c r="G3173" s="98" t="str">
        <f>HYPERLINK("http://mirror.ff7data.com.ar/ff7/data/battle/battle.lgp/fsbh.png","View Picture")</f>
        <v>View Picture</v>
      </c>
    </row>
    <row r="3174">
      <c r="A3174" s="55"/>
      <c r="B3174" s="119" t="s">
        <v>32660</v>
      </c>
      <c r="C3174" s="120" t="s">
        <v>8063</v>
      </c>
      <c r="D3174" s="33" t="s">
        <v>32544</v>
      </c>
      <c r="E3174" s="51" t="s">
        <v>612</v>
      </c>
      <c r="F3174" s="121" t="s">
        <v>3009</v>
      </c>
      <c r="G3174" s="98" t="str">
        <f>HYPERLINK("http://mirror.ff7data.com.ar/ff7/data/battle/battle.lgp/fsbi.png","View Picture")</f>
        <v>View Picture</v>
      </c>
    </row>
    <row r="3175">
      <c r="A3175" s="55"/>
      <c r="B3175" s="119" t="s">
        <v>32674</v>
      </c>
      <c r="C3175" s="120" t="s">
        <v>4217</v>
      </c>
      <c r="D3175" s="33" t="s">
        <v>32544</v>
      </c>
      <c r="E3175" s="51" t="s">
        <v>612</v>
      </c>
      <c r="F3175" s="121" t="s">
        <v>3025</v>
      </c>
      <c r="H3175" s="46" t="s">
        <v>3002</v>
      </c>
    </row>
    <row r="3176">
      <c r="A3176" s="55"/>
      <c r="B3176" s="119" t="s">
        <v>32677</v>
      </c>
      <c r="C3176" s="120" t="s">
        <v>6611</v>
      </c>
      <c r="D3176" s="33" t="s">
        <v>32681</v>
      </c>
      <c r="E3176" s="51" t="s">
        <v>616</v>
      </c>
      <c r="F3176" s="121" t="s">
        <v>2971</v>
      </c>
      <c r="G3176" s="98" t="str">
        <f>HYPERLINK("http://mirror.ff7data.com.ar/ff7/data/battle/battle.lgp/ftaa.png","View Picture")</f>
        <v>View Picture</v>
      </c>
    </row>
    <row r="3177">
      <c r="A3177" s="55"/>
      <c r="B3177" s="119" t="s">
        <v>32689</v>
      </c>
      <c r="C3177" s="120" t="s">
        <v>12616</v>
      </c>
      <c r="D3177" s="33" t="s">
        <v>32691</v>
      </c>
      <c r="E3177" s="51" t="s">
        <v>616</v>
      </c>
      <c r="F3177" s="121" t="s">
        <v>2993</v>
      </c>
      <c r="H3177" s="46" t="s">
        <v>3002</v>
      </c>
    </row>
    <row r="3178">
      <c r="A3178" s="55"/>
      <c r="B3178" s="119" t="s">
        <v>32694</v>
      </c>
      <c r="C3178" s="120" t="s">
        <v>15135</v>
      </c>
      <c r="D3178" s="33" t="s">
        <v>32691</v>
      </c>
      <c r="E3178" s="51" t="s">
        <v>616</v>
      </c>
      <c r="F3178" s="121" t="s">
        <v>3009</v>
      </c>
      <c r="G3178" s="98" t="str">
        <f>HYPERLINK("http://mirror.ff7data.com.ar/ff7/data/battle/battle.lgp/ftam.png","View Picture")</f>
        <v>View Picture</v>
      </c>
    </row>
    <row r="3179">
      <c r="A3179" s="55"/>
      <c r="B3179" s="119" t="s">
        <v>32703</v>
      </c>
      <c r="C3179" s="120" t="s">
        <v>5419</v>
      </c>
      <c r="D3179" s="33" t="s">
        <v>32691</v>
      </c>
      <c r="E3179" s="51" t="s">
        <v>616</v>
      </c>
      <c r="F3179" s="121" t="s">
        <v>3009</v>
      </c>
      <c r="G3179" s="98" t="str">
        <f>HYPERLINK("http://mirror.ff7data.com.ar/ff7/data/battle/battle.lgp/ftan.png","View Picture")</f>
        <v>View Picture</v>
      </c>
    </row>
    <row r="3180">
      <c r="A3180" s="55"/>
      <c r="B3180" s="119" t="s">
        <v>32710</v>
      </c>
      <c r="C3180" s="120" t="s">
        <v>3481</v>
      </c>
      <c r="D3180" s="33" t="s">
        <v>32691</v>
      </c>
      <c r="E3180" s="51" t="s">
        <v>616</v>
      </c>
      <c r="F3180" s="121" t="s">
        <v>3009</v>
      </c>
      <c r="G3180" s="98" t="str">
        <f>HYPERLINK("http://mirror.ff7data.com.ar/ff7/data/battle/battle.lgp/ftao.png","View Picture")</f>
        <v>View Picture</v>
      </c>
    </row>
    <row r="3181">
      <c r="A3181" s="55"/>
      <c r="B3181" s="119" t="s">
        <v>32719</v>
      </c>
      <c r="C3181" s="120" t="s">
        <v>3494</v>
      </c>
      <c r="D3181" s="33" t="s">
        <v>32691</v>
      </c>
      <c r="E3181" s="51" t="s">
        <v>616</v>
      </c>
      <c r="F3181" s="121" t="s">
        <v>3009</v>
      </c>
      <c r="G3181" s="98" t="str">
        <f>HYPERLINK("http://mirror.ff7data.com.ar/ff7/data/battle/battle.lgp/ftap.png","View Picture")</f>
        <v>View Picture</v>
      </c>
    </row>
    <row r="3182">
      <c r="A3182" s="55"/>
      <c r="B3182" s="119" t="s">
        <v>32728</v>
      </c>
      <c r="C3182" s="120" t="s">
        <v>4057</v>
      </c>
      <c r="D3182" s="33" t="s">
        <v>32691</v>
      </c>
      <c r="E3182" s="51" t="s">
        <v>616</v>
      </c>
      <c r="F3182" s="121" t="s">
        <v>3009</v>
      </c>
      <c r="G3182" s="98" t="str">
        <f>HYPERLINK("http://mirror.ff7data.com.ar/ff7/data/battle/battle.lgp/ftar.png","View Picture")</f>
        <v>View Picture</v>
      </c>
    </row>
    <row r="3183">
      <c r="A3183" s="55"/>
      <c r="B3183" s="119" t="s">
        <v>32738</v>
      </c>
      <c r="C3183" s="120" t="s">
        <v>5419</v>
      </c>
      <c r="D3183" s="33" t="s">
        <v>32691</v>
      </c>
      <c r="E3183" s="51" t="s">
        <v>616</v>
      </c>
      <c r="F3183" s="121" t="s">
        <v>3009</v>
      </c>
      <c r="G3183" s="98" t="str">
        <f>HYPERLINK("http://mirror.ff7data.com.ar/ff7/data/battle/battle.lgp/ftas.png","View Picture")</f>
        <v>View Picture</v>
      </c>
    </row>
    <row r="3184">
      <c r="A3184" s="55"/>
      <c r="B3184" s="119" t="s">
        <v>32750</v>
      </c>
      <c r="C3184" s="120" t="s">
        <v>6029</v>
      </c>
      <c r="D3184" s="33" t="s">
        <v>32691</v>
      </c>
      <c r="E3184" s="51" t="s">
        <v>616</v>
      </c>
      <c r="F3184" s="121" t="s">
        <v>3009</v>
      </c>
      <c r="G3184" s="98" t="str">
        <f>HYPERLINK("http://mirror.ff7data.com.ar/ff7/data/battle/battle.lgp/ftav.png","View Picture")</f>
        <v>View Picture</v>
      </c>
    </row>
    <row r="3185">
      <c r="A3185" s="55"/>
      <c r="B3185" s="119" t="s">
        <v>32757</v>
      </c>
      <c r="C3185" s="120" t="s">
        <v>4185</v>
      </c>
      <c r="D3185" s="33" t="s">
        <v>32691</v>
      </c>
      <c r="E3185" s="51" t="s">
        <v>616</v>
      </c>
      <c r="F3185" s="121" t="s">
        <v>3009</v>
      </c>
      <c r="G3185" s="98" t="str">
        <f>HYPERLINK("http://mirror.ff7data.com.ar/ff7/data/battle/battle.lgp/ftaw.png","View Picture")</f>
        <v>View Picture</v>
      </c>
    </row>
    <row r="3186">
      <c r="A3186" s="55"/>
      <c r="B3186" s="119" t="s">
        <v>32767</v>
      </c>
      <c r="C3186" s="120" t="s">
        <v>4476</v>
      </c>
      <c r="D3186" s="33" t="s">
        <v>32691</v>
      </c>
      <c r="E3186" s="51" t="s">
        <v>616</v>
      </c>
      <c r="F3186" s="121" t="s">
        <v>3009</v>
      </c>
      <c r="G3186" s="98" t="str">
        <f>HYPERLINK("http://mirror.ff7data.com.ar/ff7/data/battle/battle.lgp/ftax.png","View Picture")</f>
        <v>View Picture</v>
      </c>
    </row>
    <row r="3187">
      <c r="A3187" s="55"/>
      <c r="B3187" s="119" t="s">
        <v>32775</v>
      </c>
      <c r="C3187" s="120" t="s">
        <v>4476</v>
      </c>
      <c r="D3187" s="33" t="s">
        <v>32691</v>
      </c>
      <c r="E3187" s="51" t="s">
        <v>616</v>
      </c>
      <c r="F3187" s="121" t="s">
        <v>3009</v>
      </c>
      <c r="G3187" s="98" t="str">
        <f>HYPERLINK("http://mirror.ff7data.com.ar/ff7/data/battle/battle.lgp/ftba.png","View Picture")</f>
        <v>View Picture</v>
      </c>
    </row>
    <row r="3188">
      <c r="A3188" s="55"/>
      <c r="B3188" s="119" t="s">
        <v>32781</v>
      </c>
      <c r="C3188" s="120" t="s">
        <v>4439</v>
      </c>
      <c r="D3188" s="33" t="s">
        <v>32691</v>
      </c>
      <c r="E3188" s="51" t="s">
        <v>616</v>
      </c>
      <c r="F3188" s="121" t="s">
        <v>3009</v>
      </c>
      <c r="G3188" s="98" t="str">
        <f>HYPERLINK("http://mirror.ff7data.com.ar/ff7/data/battle/battle.lgp/ftbb.png","View Picture")</f>
        <v>View Picture</v>
      </c>
    </row>
    <row r="3189">
      <c r="A3189" s="55"/>
      <c r="B3189" s="119" t="s">
        <v>32790</v>
      </c>
      <c r="C3189" s="120" t="s">
        <v>4476</v>
      </c>
      <c r="D3189" s="33" t="s">
        <v>32691</v>
      </c>
      <c r="E3189" s="51" t="s">
        <v>616</v>
      </c>
      <c r="F3189" s="121" t="s">
        <v>3009</v>
      </c>
      <c r="G3189" s="98" t="str">
        <f>HYPERLINK("http://mirror.ff7data.com.ar/ff7/data/battle/battle.lgp/ftbc.png","View Picture")</f>
        <v>View Picture</v>
      </c>
    </row>
    <row r="3190">
      <c r="A3190" s="55"/>
      <c r="B3190" s="119" t="s">
        <v>32798</v>
      </c>
      <c r="C3190" s="120" t="s">
        <v>13957</v>
      </c>
      <c r="D3190" s="33" t="s">
        <v>32691</v>
      </c>
      <c r="E3190" s="51" t="s">
        <v>616</v>
      </c>
      <c r="F3190" s="121" t="s">
        <v>3009</v>
      </c>
      <c r="G3190" s="98" t="str">
        <f>HYPERLINK("http://mirror.ff7data.com.ar/ff7/data/battle/battle.lgp/ftbe.png","View Picture")</f>
        <v>View Picture</v>
      </c>
    </row>
    <row r="3191">
      <c r="A3191" s="55"/>
      <c r="B3191" s="119" t="s">
        <v>32806</v>
      </c>
      <c r="C3191" s="120" t="s">
        <v>9290</v>
      </c>
      <c r="D3191" s="33" t="s">
        <v>32691</v>
      </c>
      <c r="E3191" s="51" t="s">
        <v>616</v>
      </c>
      <c r="F3191" s="121" t="s">
        <v>3025</v>
      </c>
      <c r="H3191" s="46" t="s">
        <v>3002</v>
      </c>
    </row>
    <row r="3192">
      <c r="A3192" s="55"/>
      <c r="B3192" s="119" t="s">
        <v>32808</v>
      </c>
      <c r="C3192" s="120" t="s">
        <v>32810</v>
      </c>
      <c r="D3192" s="33" t="s">
        <v>32811</v>
      </c>
      <c r="E3192" s="51" t="s">
        <v>621</v>
      </c>
      <c r="F3192" s="121" t="s">
        <v>2971</v>
      </c>
      <c r="G3192" s="98" t="str">
        <f>HYPERLINK("http://mirror.ff7data.com.ar/ff7/data/battle/battle.lgp/fuaa.png","View Picture")</f>
        <v>View Picture</v>
      </c>
    </row>
    <row r="3193">
      <c r="A3193" s="55"/>
      <c r="B3193" s="119" t="s">
        <v>32819</v>
      </c>
      <c r="C3193" s="120" t="s">
        <v>32821</v>
      </c>
      <c r="D3193" s="33" t="s">
        <v>32822</v>
      </c>
      <c r="E3193" s="51" t="s">
        <v>621</v>
      </c>
      <c r="F3193" s="121" t="s">
        <v>2993</v>
      </c>
      <c r="H3193" s="46" t="s">
        <v>3002</v>
      </c>
    </row>
    <row r="3194">
      <c r="A3194" s="55"/>
      <c r="B3194" s="119" t="s">
        <v>32826</v>
      </c>
      <c r="C3194" s="120" t="s">
        <v>4372</v>
      </c>
      <c r="D3194" s="33" t="s">
        <v>32822</v>
      </c>
      <c r="E3194" s="51" t="s">
        <v>621</v>
      </c>
      <c r="F3194" s="121" t="s">
        <v>3009</v>
      </c>
      <c r="G3194" s="98" t="str">
        <f>HYPERLINK("http://mirror.ff7data.com.ar/ff7/data/battle/battle.lgp/fuao.png","View Picture")</f>
        <v>View Picture</v>
      </c>
    </row>
    <row r="3195">
      <c r="A3195" s="55"/>
      <c r="B3195" s="119" t="s">
        <v>32833</v>
      </c>
      <c r="C3195" s="120" t="s">
        <v>4372</v>
      </c>
      <c r="D3195" s="33" t="s">
        <v>32822</v>
      </c>
      <c r="E3195" s="51" t="s">
        <v>621</v>
      </c>
      <c r="F3195" s="121" t="s">
        <v>3009</v>
      </c>
      <c r="G3195" s="98" t="str">
        <f>HYPERLINK("http://mirror.ff7data.com.ar/ff7/data/battle/battle.lgp/fuap.png","View Picture")</f>
        <v>View Picture</v>
      </c>
    </row>
    <row r="3196">
      <c r="A3196" s="55"/>
      <c r="B3196" s="119" t="s">
        <v>32840</v>
      </c>
      <c r="C3196" s="120" t="s">
        <v>4372</v>
      </c>
      <c r="D3196" s="33" t="s">
        <v>32822</v>
      </c>
      <c r="E3196" s="51" t="s">
        <v>621</v>
      </c>
      <c r="F3196" s="121" t="s">
        <v>3009</v>
      </c>
      <c r="G3196" s="98" t="str">
        <f>HYPERLINK("http://mirror.ff7data.com.ar/ff7/data/battle/battle.lgp/fuaq.png","View Picture")</f>
        <v>View Picture</v>
      </c>
    </row>
    <row r="3197">
      <c r="A3197" s="55"/>
      <c r="B3197" s="119" t="s">
        <v>32847</v>
      </c>
      <c r="C3197" s="120" t="s">
        <v>4372</v>
      </c>
      <c r="D3197" s="33" t="s">
        <v>32822</v>
      </c>
      <c r="E3197" s="51" t="s">
        <v>621</v>
      </c>
      <c r="F3197" s="121" t="s">
        <v>3009</v>
      </c>
      <c r="G3197" s="98" t="str">
        <f>HYPERLINK("http://mirror.ff7data.com.ar/ff7/data/battle/battle.lgp/fuar.png","View Picture")</f>
        <v>View Picture</v>
      </c>
    </row>
    <row r="3198">
      <c r="A3198" s="55"/>
      <c r="B3198" s="119" t="s">
        <v>32854</v>
      </c>
      <c r="C3198" s="120" t="s">
        <v>4264</v>
      </c>
      <c r="D3198" s="33" t="s">
        <v>32822</v>
      </c>
      <c r="E3198" s="51" t="s">
        <v>621</v>
      </c>
      <c r="F3198" s="121" t="s">
        <v>3009</v>
      </c>
      <c r="G3198" s="98" t="str">
        <f>HYPERLINK("http://mirror.ff7data.com.ar/ff7/data/battle/battle.lgp/fuas.png","View Picture")</f>
        <v>View Picture</v>
      </c>
    </row>
    <row r="3199">
      <c r="A3199" s="55"/>
      <c r="B3199" s="119" t="s">
        <v>32859</v>
      </c>
      <c r="C3199" s="120" t="s">
        <v>4264</v>
      </c>
      <c r="D3199" s="33" t="s">
        <v>32822</v>
      </c>
      <c r="E3199" s="51" t="s">
        <v>621</v>
      </c>
      <c r="F3199" s="121" t="s">
        <v>3009</v>
      </c>
      <c r="G3199" s="98" t="str">
        <f>HYPERLINK("http://mirror.ff7data.com.ar/ff7/data/battle/battle.lgp/fuat.png","View Picture")</f>
        <v>View Picture</v>
      </c>
    </row>
    <row r="3200">
      <c r="A3200" s="55"/>
      <c r="B3200" s="119" t="s">
        <v>32866</v>
      </c>
      <c r="C3200" s="120" t="s">
        <v>3614</v>
      </c>
      <c r="D3200" s="33" t="s">
        <v>32822</v>
      </c>
      <c r="E3200" s="51" t="s">
        <v>621</v>
      </c>
      <c r="F3200" s="121" t="s">
        <v>3009</v>
      </c>
      <c r="G3200" s="98" t="str">
        <f>HYPERLINK("http://mirror.ff7data.com.ar/ff7/data/battle/battle.lgp/fuau.png","View Picture")</f>
        <v>View Picture</v>
      </c>
    </row>
    <row r="3201">
      <c r="A3201" s="55"/>
      <c r="B3201" s="119" t="s">
        <v>32873</v>
      </c>
      <c r="C3201" s="120" t="s">
        <v>4252</v>
      </c>
      <c r="D3201" s="33" t="s">
        <v>32822</v>
      </c>
      <c r="E3201" s="51" t="s">
        <v>621</v>
      </c>
      <c r="F3201" s="121" t="s">
        <v>3025</v>
      </c>
      <c r="H3201" s="46" t="s">
        <v>3002</v>
      </c>
    </row>
    <row r="3202">
      <c r="A3202" s="55"/>
      <c r="B3202" s="119" t="s">
        <v>32876</v>
      </c>
      <c r="C3202" s="120" t="s">
        <v>18047</v>
      </c>
      <c r="D3202" s="33" t="s">
        <v>32878</v>
      </c>
      <c r="E3202" s="51" t="s">
        <v>624</v>
      </c>
      <c r="F3202" s="121" t="s">
        <v>2971</v>
      </c>
      <c r="G3202" s="98" t="str">
        <f>HYPERLINK("http://mirror.ff7data.com.ar/ff7/data/battle/battle.lgp/fvaa.png","View Picture")</f>
        <v>View Picture</v>
      </c>
    </row>
    <row r="3203">
      <c r="A3203" s="55"/>
      <c r="B3203" s="119" t="s">
        <v>32886</v>
      </c>
      <c r="C3203" s="120" t="s">
        <v>20511</v>
      </c>
      <c r="D3203" s="33" t="s">
        <v>32887</v>
      </c>
      <c r="E3203" s="51" t="s">
        <v>624</v>
      </c>
      <c r="F3203" s="121" t="s">
        <v>2993</v>
      </c>
      <c r="H3203" s="46" t="s">
        <v>3002</v>
      </c>
    </row>
    <row r="3204">
      <c r="A3204" s="55"/>
      <c r="B3204" s="119" t="s">
        <v>32889</v>
      </c>
      <c r="C3204" s="120" t="s">
        <v>5573</v>
      </c>
      <c r="D3204" s="33" t="s">
        <v>32887</v>
      </c>
      <c r="E3204" s="51" t="s">
        <v>624</v>
      </c>
      <c r="F3204" s="121" t="s">
        <v>3009</v>
      </c>
      <c r="G3204" s="98" t="str">
        <f>HYPERLINK("http://mirror.ff7data.com.ar/ff7/data/battle/battle.lgp/fvap.png","View Picture")</f>
        <v>View Picture</v>
      </c>
    </row>
    <row r="3205">
      <c r="A3205" s="55"/>
      <c r="B3205" s="119" t="s">
        <v>32895</v>
      </c>
      <c r="C3205" s="120" t="s">
        <v>3723</v>
      </c>
      <c r="D3205" s="33" t="s">
        <v>32887</v>
      </c>
      <c r="E3205" s="51" t="s">
        <v>624</v>
      </c>
      <c r="F3205" s="121" t="s">
        <v>3009</v>
      </c>
      <c r="G3205" s="98" t="str">
        <f>HYPERLINK("http://mirror.ff7data.com.ar/ff7/data/battle/battle.lgp/fvar.png","View Picture")</f>
        <v>View Picture</v>
      </c>
    </row>
    <row r="3206">
      <c r="A3206" s="55"/>
      <c r="B3206" s="119" t="s">
        <v>32901</v>
      </c>
      <c r="C3206" s="120" t="s">
        <v>7301</v>
      </c>
      <c r="D3206" s="33" t="s">
        <v>32887</v>
      </c>
      <c r="E3206" s="51" t="s">
        <v>624</v>
      </c>
      <c r="F3206" s="121" t="s">
        <v>3009</v>
      </c>
      <c r="G3206" s="98" t="str">
        <f>HYPERLINK("http://mirror.ff7data.com.ar/ff7/data/battle/battle.lgp/fvas.png","View Picture")</f>
        <v>View Picture</v>
      </c>
    </row>
    <row r="3207">
      <c r="A3207" s="55"/>
      <c r="B3207" s="119" t="s">
        <v>32907</v>
      </c>
      <c r="C3207" s="120" t="s">
        <v>7270</v>
      </c>
      <c r="D3207" s="33" t="s">
        <v>32887</v>
      </c>
      <c r="E3207" s="51" t="s">
        <v>624</v>
      </c>
      <c r="F3207" s="121" t="s">
        <v>3009</v>
      </c>
      <c r="G3207" s="98" t="str">
        <f>HYPERLINK("http://mirror.ff7data.com.ar/ff7/data/battle/battle.lgp/fvat.png","View Picture")</f>
        <v>View Picture</v>
      </c>
    </row>
    <row r="3208">
      <c r="A3208" s="55"/>
      <c r="B3208" s="119" t="s">
        <v>32915</v>
      </c>
      <c r="C3208" s="120" t="s">
        <v>4057</v>
      </c>
      <c r="D3208" s="33" t="s">
        <v>32887</v>
      </c>
      <c r="E3208" s="51" t="s">
        <v>624</v>
      </c>
      <c r="F3208" s="121" t="s">
        <v>3009</v>
      </c>
      <c r="G3208" s="98" t="str">
        <f>HYPERLINK("http://mirror.ff7data.com.ar/ff7/data/battle/battle.lgp/fvav.png","View Picture")</f>
        <v>View Picture</v>
      </c>
    </row>
    <row r="3209">
      <c r="A3209" s="55"/>
      <c r="B3209" s="119" t="s">
        <v>32922</v>
      </c>
      <c r="C3209" s="120" t="s">
        <v>4476</v>
      </c>
      <c r="D3209" s="33" t="s">
        <v>32887</v>
      </c>
      <c r="E3209" s="51" t="s">
        <v>624</v>
      </c>
      <c r="F3209" s="121" t="s">
        <v>3009</v>
      </c>
      <c r="G3209" s="98" t="str">
        <f>HYPERLINK("http://mirror.ff7data.com.ar/ff7/data/battle/battle.lgp/fvax.png","View Picture")</f>
        <v>View Picture</v>
      </c>
    </row>
    <row r="3210">
      <c r="A3210" s="55"/>
      <c r="B3210" s="119" t="s">
        <v>32929</v>
      </c>
      <c r="C3210" s="120" t="s">
        <v>4476</v>
      </c>
      <c r="D3210" s="33" t="s">
        <v>32887</v>
      </c>
      <c r="E3210" s="51" t="s">
        <v>624</v>
      </c>
      <c r="F3210" s="121" t="s">
        <v>3009</v>
      </c>
      <c r="G3210" s="98" t="str">
        <f>HYPERLINK("http://mirror.ff7data.com.ar/ff7/data/battle/battle.lgp/fvaz.png","View Picture")</f>
        <v>View Picture</v>
      </c>
    </row>
    <row r="3211">
      <c r="A3211" s="55"/>
      <c r="B3211" s="119" t="s">
        <v>32938</v>
      </c>
      <c r="C3211" s="120" t="s">
        <v>6029</v>
      </c>
      <c r="D3211" s="33" t="s">
        <v>32887</v>
      </c>
      <c r="E3211" s="51" t="s">
        <v>624</v>
      </c>
      <c r="F3211" s="121" t="s">
        <v>3009</v>
      </c>
      <c r="G3211" s="98" t="str">
        <f>HYPERLINK("http://mirror.ff7data.com.ar/ff7/data/battle/battle.lgp/fvbb.png","View Picture")</f>
        <v>View Picture</v>
      </c>
    </row>
    <row r="3212">
      <c r="A3212" s="55"/>
      <c r="B3212" s="119" t="s">
        <v>32946</v>
      </c>
      <c r="C3212" s="120" t="s">
        <v>12399</v>
      </c>
      <c r="D3212" s="33" t="s">
        <v>32887</v>
      </c>
      <c r="E3212" s="51" t="s">
        <v>624</v>
      </c>
      <c r="F3212" s="121" t="s">
        <v>3009</v>
      </c>
      <c r="G3212" s="98" t="str">
        <f>HYPERLINK("http://mirror.ff7data.com.ar/ff7/data/battle/battle.lgp/fvbd.png","View Picture")</f>
        <v>View Picture</v>
      </c>
    </row>
    <row r="3213">
      <c r="A3213" s="55"/>
      <c r="B3213" s="119" t="s">
        <v>32956</v>
      </c>
      <c r="C3213" s="120" t="s">
        <v>3434</v>
      </c>
      <c r="D3213" s="33" t="s">
        <v>32887</v>
      </c>
      <c r="E3213" s="51" t="s">
        <v>624</v>
      </c>
      <c r="F3213" s="121" t="s">
        <v>3009</v>
      </c>
      <c r="G3213" s="98" t="str">
        <f>HYPERLINK("http://mirror.ff7data.com.ar/ff7/data/battle/battle.lgp/fvbe.png","View Picture")</f>
        <v>View Picture</v>
      </c>
    </row>
    <row r="3214">
      <c r="A3214" s="55"/>
      <c r="B3214" s="119" t="s">
        <v>32964</v>
      </c>
      <c r="C3214" s="120" t="s">
        <v>7129</v>
      </c>
      <c r="D3214" s="33" t="s">
        <v>32887</v>
      </c>
      <c r="E3214" s="51" t="s">
        <v>624</v>
      </c>
      <c r="F3214" s="121" t="s">
        <v>3009</v>
      </c>
      <c r="G3214" s="98" t="str">
        <f>HYPERLINK("http://mirror.ff7data.com.ar/ff7/data/battle/battle.lgp/fvbf.png","View Picture")</f>
        <v>View Picture</v>
      </c>
    </row>
    <row r="3215">
      <c r="A3215" s="55"/>
      <c r="B3215" s="119" t="s">
        <v>32973</v>
      </c>
      <c r="C3215" s="120" t="s">
        <v>4046</v>
      </c>
      <c r="D3215" s="33" t="s">
        <v>32887</v>
      </c>
      <c r="E3215" s="51" t="s">
        <v>624</v>
      </c>
      <c r="F3215" s="121" t="s">
        <v>3025</v>
      </c>
      <c r="H3215" s="46" t="s">
        <v>3002</v>
      </c>
    </row>
    <row r="3216">
      <c r="A3216" s="55"/>
      <c r="B3216" s="119" t="s">
        <v>32976</v>
      </c>
      <c r="C3216" s="120" t="s">
        <v>18047</v>
      </c>
      <c r="D3216" s="33" t="s">
        <v>32978</v>
      </c>
      <c r="E3216" s="51" t="s">
        <v>627</v>
      </c>
      <c r="F3216" s="121" t="s">
        <v>2971</v>
      </c>
      <c r="G3216" s="98" t="str">
        <f>HYPERLINK("http://mirror.ff7data.com.ar/ff7/data/battle/battle.lgp/fwaa.png","View Picture")</f>
        <v>View Picture</v>
      </c>
    </row>
    <row r="3217">
      <c r="A3217" s="55"/>
      <c r="B3217" s="119" t="s">
        <v>32984</v>
      </c>
      <c r="C3217" s="120" t="s">
        <v>4456</v>
      </c>
      <c r="D3217" s="33" t="s">
        <v>32986</v>
      </c>
      <c r="E3217" s="51" t="s">
        <v>627</v>
      </c>
      <c r="F3217" s="121" t="s">
        <v>2993</v>
      </c>
      <c r="H3217" s="46" t="s">
        <v>3002</v>
      </c>
    </row>
    <row r="3218">
      <c r="A3218" s="55"/>
      <c r="B3218" s="119" t="s">
        <v>32988</v>
      </c>
      <c r="C3218" s="120" t="s">
        <v>9290</v>
      </c>
      <c r="D3218" s="33" t="s">
        <v>32986</v>
      </c>
      <c r="E3218" s="51" t="s">
        <v>627</v>
      </c>
      <c r="F3218" s="121" t="s">
        <v>3009</v>
      </c>
      <c r="G3218" s="98" t="str">
        <f>HYPERLINK("http://mirror.ff7data.com.ar/ff7/data/battle/battle.lgp/fwap.png","View Picture")</f>
        <v>View Picture</v>
      </c>
    </row>
    <row r="3219">
      <c r="A3219" s="55"/>
      <c r="B3219" s="119" t="s">
        <v>32994</v>
      </c>
      <c r="C3219" s="120" t="s">
        <v>3434</v>
      </c>
      <c r="D3219" s="33" t="s">
        <v>32986</v>
      </c>
      <c r="E3219" s="51" t="s">
        <v>627</v>
      </c>
      <c r="F3219" s="121" t="s">
        <v>3009</v>
      </c>
      <c r="G3219" s="98" t="str">
        <f>HYPERLINK("http://mirror.ff7data.com.ar/ff7/data/battle/battle.lgp/fwar.png","View Picture")</f>
        <v>View Picture</v>
      </c>
    </row>
    <row r="3220">
      <c r="A3220" s="55"/>
      <c r="B3220" s="119" t="s">
        <v>32999</v>
      </c>
      <c r="C3220" s="120" t="s">
        <v>3343</v>
      </c>
      <c r="D3220" s="33" t="s">
        <v>32986</v>
      </c>
      <c r="E3220" s="51" t="s">
        <v>627</v>
      </c>
      <c r="F3220" s="121" t="s">
        <v>3009</v>
      </c>
      <c r="G3220" s="98" t="str">
        <f>HYPERLINK("http://mirror.ff7data.com.ar/ff7/data/battle/battle.lgp/fwat.png","View Picture")</f>
        <v>View Picture</v>
      </c>
    </row>
    <row r="3221">
      <c r="A3221" s="55"/>
      <c r="B3221" s="119" t="s">
        <v>33006</v>
      </c>
      <c r="C3221" s="120" t="s">
        <v>3412</v>
      </c>
      <c r="D3221" s="33" t="s">
        <v>32986</v>
      </c>
      <c r="E3221" s="51" t="s">
        <v>627</v>
      </c>
      <c r="F3221" s="121" t="s">
        <v>3009</v>
      </c>
      <c r="G3221" s="98" t="str">
        <f>HYPERLINK("http://mirror.ff7data.com.ar/ff7/data/battle/battle.lgp/fwau.png","View Picture")</f>
        <v>View Picture</v>
      </c>
    </row>
    <row r="3222">
      <c r="A3222" s="55"/>
      <c r="B3222" s="119" t="s">
        <v>33014</v>
      </c>
      <c r="C3222" s="120" t="s">
        <v>4252</v>
      </c>
      <c r="D3222" s="33" t="s">
        <v>32986</v>
      </c>
      <c r="E3222" s="51" t="s">
        <v>627</v>
      </c>
      <c r="F3222" s="121" t="s">
        <v>3009</v>
      </c>
      <c r="G3222" s="98" t="str">
        <f>HYPERLINK("http://mirror.ff7data.com.ar/ff7/data/battle/battle.lgp/fwav.png","View Picture")</f>
        <v>View Picture</v>
      </c>
    </row>
    <row r="3223">
      <c r="A3223" s="55"/>
      <c r="B3223" s="119" t="s">
        <v>33022</v>
      </c>
      <c r="C3223" s="120" t="s">
        <v>6029</v>
      </c>
      <c r="D3223" s="33" t="s">
        <v>32986</v>
      </c>
      <c r="E3223" s="51" t="s">
        <v>627</v>
      </c>
      <c r="F3223" s="121" t="s">
        <v>3009</v>
      </c>
      <c r="G3223" s="98" t="str">
        <f>HYPERLINK("http://mirror.ff7data.com.ar/ff7/data/battle/battle.lgp/fwax.png","View Picture")</f>
        <v>View Picture</v>
      </c>
    </row>
    <row r="3224">
      <c r="A3224" s="55"/>
      <c r="B3224" s="119" t="s">
        <v>33028</v>
      </c>
      <c r="C3224" s="120" t="s">
        <v>4057</v>
      </c>
      <c r="D3224" s="33" t="s">
        <v>32986</v>
      </c>
      <c r="E3224" s="51" t="s">
        <v>627</v>
      </c>
      <c r="F3224" s="121" t="s">
        <v>3009</v>
      </c>
      <c r="G3224" s="98" t="str">
        <f>HYPERLINK("http://mirror.ff7data.com.ar/ff7/data/battle/battle.lgp/fwaz.png","View Picture")</f>
        <v>View Picture</v>
      </c>
    </row>
    <row r="3225">
      <c r="A3225" s="55"/>
      <c r="B3225" s="119" t="s">
        <v>33036</v>
      </c>
      <c r="C3225" s="120" t="s">
        <v>6029</v>
      </c>
      <c r="D3225" s="33" t="s">
        <v>32986</v>
      </c>
      <c r="E3225" s="51" t="s">
        <v>627</v>
      </c>
      <c r="F3225" s="121" t="s">
        <v>3009</v>
      </c>
      <c r="G3225" s="98" t="str">
        <f>HYPERLINK("http://mirror.ff7data.com.ar/ff7/data/battle/battle.lgp/fwbb.png","View Picture")</f>
        <v>View Picture</v>
      </c>
    </row>
    <row r="3226">
      <c r="A3226" s="55"/>
      <c r="B3226" s="119" t="s">
        <v>33045</v>
      </c>
      <c r="C3226" s="120" t="s">
        <v>6029</v>
      </c>
      <c r="D3226" s="33" t="s">
        <v>32986</v>
      </c>
      <c r="E3226" s="51" t="s">
        <v>627</v>
      </c>
      <c r="F3226" s="121" t="s">
        <v>3009</v>
      </c>
      <c r="G3226" s="98" t="str">
        <f>HYPERLINK("http://mirror.ff7data.com.ar/ff7/data/battle/battle.lgp/fwbd.png","View Picture")</f>
        <v>View Picture</v>
      </c>
    </row>
    <row r="3227">
      <c r="A3227" s="55"/>
      <c r="B3227" s="119" t="s">
        <v>33052</v>
      </c>
      <c r="C3227" s="120" t="s">
        <v>3853</v>
      </c>
      <c r="D3227" s="33" t="s">
        <v>32986</v>
      </c>
      <c r="E3227" s="51" t="s">
        <v>627</v>
      </c>
      <c r="F3227" s="121" t="s">
        <v>3009</v>
      </c>
      <c r="G3227" s="98" t="str">
        <f>HYPERLINK("http://mirror.ff7data.com.ar/ff7/data/battle/battle.lgp/fwbe.png","View Picture")</f>
        <v>View Picture</v>
      </c>
    </row>
    <row r="3228">
      <c r="A3228" s="55"/>
      <c r="B3228" s="119" t="s">
        <v>33059</v>
      </c>
      <c r="C3228" s="120" t="s">
        <v>7129</v>
      </c>
      <c r="D3228" s="33" t="s">
        <v>32986</v>
      </c>
      <c r="E3228" s="51" t="s">
        <v>627</v>
      </c>
      <c r="F3228" s="121" t="s">
        <v>3009</v>
      </c>
      <c r="G3228" s="98" t="str">
        <f>HYPERLINK("http://mirror.ff7data.com.ar/ff7/data/battle/battle.lgp/fwbf.png","View Picture")</f>
        <v>View Picture</v>
      </c>
    </row>
    <row r="3229">
      <c r="A3229" s="55"/>
      <c r="B3229" s="119" t="s">
        <v>33066</v>
      </c>
      <c r="C3229" s="120" t="s">
        <v>4191</v>
      </c>
      <c r="D3229" s="33" t="s">
        <v>32986</v>
      </c>
      <c r="E3229" s="51" t="s">
        <v>627</v>
      </c>
      <c r="F3229" s="121" t="s">
        <v>3025</v>
      </c>
      <c r="H3229" s="46" t="s">
        <v>3002</v>
      </c>
    </row>
    <row r="3230">
      <c r="A3230" s="55"/>
      <c r="B3230" s="119" t="s">
        <v>33069</v>
      </c>
      <c r="C3230" s="120" t="s">
        <v>11208</v>
      </c>
      <c r="D3230" s="33" t="s">
        <v>33070</v>
      </c>
      <c r="E3230" s="51" t="s">
        <v>630</v>
      </c>
      <c r="F3230" s="121" t="s">
        <v>2971</v>
      </c>
      <c r="G3230" s="98" t="str">
        <f>HYPERLINK("http://mirror.ff7data.com.ar/ff7/data/battle/battle.lgp/fxaa.png","View Picture")</f>
        <v>View Picture</v>
      </c>
    </row>
    <row r="3231">
      <c r="A3231" s="55"/>
      <c r="B3231" s="119" t="s">
        <v>33076</v>
      </c>
      <c r="C3231" s="120" t="s">
        <v>4846</v>
      </c>
      <c r="D3231" s="33" t="s">
        <v>33078</v>
      </c>
      <c r="E3231" s="51" t="s">
        <v>630</v>
      </c>
      <c r="F3231" s="121" t="s">
        <v>2993</v>
      </c>
      <c r="H3231" s="46" t="s">
        <v>3002</v>
      </c>
    </row>
    <row r="3232">
      <c r="A3232" s="55"/>
      <c r="B3232" s="119" t="s">
        <v>33080</v>
      </c>
      <c r="C3232" s="120" t="s">
        <v>3519</v>
      </c>
      <c r="D3232" s="33" t="s">
        <v>33078</v>
      </c>
      <c r="E3232" s="51" t="s">
        <v>630</v>
      </c>
      <c r="F3232" s="121" t="s">
        <v>3009</v>
      </c>
      <c r="G3232" s="98" t="str">
        <f>HYPERLINK("http://mirror.ff7data.com.ar/ff7/data/battle/battle.lgp/fxam.png","View Picture")</f>
        <v>View Picture</v>
      </c>
    </row>
    <row r="3233">
      <c r="A3233" s="55"/>
      <c r="B3233" s="119" t="s">
        <v>33086</v>
      </c>
      <c r="C3233" s="120" t="s">
        <v>18144</v>
      </c>
      <c r="D3233" s="33" t="s">
        <v>33078</v>
      </c>
      <c r="E3233" s="51" t="s">
        <v>630</v>
      </c>
      <c r="F3233" s="121" t="s">
        <v>3009</v>
      </c>
      <c r="G3233" s="98" t="str">
        <f>HYPERLINK("http://mirror.ff7data.com.ar/ff7/data/battle/battle.lgp/fxan.png","View Picture")</f>
        <v>View Picture</v>
      </c>
    </row>
    <row r="3234">
      <c r="A3234" s="55"/>
      <c r="B3234" s="119" t="s">
        <v>33100</v>
      </c>
      <c r="C3234" s="120" t="s">
        <v>3318</v>
      </c>
      <c r="D3234" s="33" t="s">
        <v>33078</v>
      </c>
      <c r="E3234" s="51" t="s">
        <v>630</v>
      </c>
      <c r="F3234" s="121" t="s">
        <v>3009</v>
      </c>
      <c r="G3234" s="98" t="str">
        <f>HYPERLINK("http://mirror.ff7data.com.ar/ff7/data/battle/battle.lgp/fxao.png","View Picture")</f>
        <v>View Picture</v>
      </c>
    </row>
    <row r="3235">
      <c r="A3235" s="55"/>
      <c r="B3235" s="119" t="s">
        <v>33108</v>
      </c>
      <c r="C3235" s="120" t="s">
        <v>7301</v>
      </c>
      <c r="D3235" s="33" t="s">
        <v>33078</v>
      </c>
      <c r="E3235" s="51" t="s">
        <v>630</v>
      </c>
      <c r="F3235" s="121" t="s">
        <v>3009</v>
      </c>
      <c r="G3235" s="98" t="str">
        <f>HYPERLINK("http://mirror.ff7data.com.ar/ff7/data/battle/battle.lgp/fxaq.png","View Picture")</f>
        <v>View Picture</v>
      </c>
    </row>
    <row r="3236">
      <c r="A3236" s="55"/>
      <c r="B3236" s="119" t="s">
        <v>33114</v>
      </c>
      <c r="C3236" s="120" t="s">
        <v>4252</v>
      </c>
      <c r="D3236" s="33" t="s">
        <v>33078</v>
      </c>
      <c r="E3236" s="51" t="s">
        <v>630</v>
      </c>
      <c r="F3236" s="121" t="s">
        <v>3009</v>
      </c>
      <c r="G3236" s="98" t="str">
        <f>HYPERLINK("http://mirror.ff7data.com.ar/ff7/data/battle/battle.lgp/fxar.png","View Picture")</f>
        <v>View Picture</v>
      </c>
    </row>
    <row r="3237">
      <c r="A3237" s="55"/>
      <c r="B3237" s="119" t="s">
        <v>33118</v>
      </c>
      <c r="C3237" s="120" t="s">
        <v>7165</v>
      </c>
      <c r="D3237" s="33" t="s">
        <v>33078</v>
      </c>
      <c r="E3237" s="51" t="s">
        <v>630</v>
      </c>
      <c r="F3237" s="121" t="s">
        <v>3009</v>
      </c>
      <c r="G3237" s="98" t="str">
        <f>HYPERLINK("http://mirror.ff7data.com.ar/ff7/data/battle/battle.lgp/fxas.png","View Picture")</f>
        <v>View Picture</v>
      </c>
    </row>
    <row r="3238">
      <c r="A3238" s="55"/>
      <c r="B3238" s="119" t="s">
        <v>33126</v>
      </c>
      <c r="C3238" s="120" t="s">
        <v>3519</v>
      </c>
      <c r="D3238" s="33" t="s">
        <v>33078</v>
      </c>
      <c r="E3238" s="51" t="s">
        <v>630</v>
      </c>
      <c r="F3238" s="121" t="s">
        <v>3009</v>
      </c>
      <c r="G3238" s="98" t="str">
        <f>HYPERLINK("http://mirror.ff7data.com.ar/ff7/data/battle/battle.lgp/fxau.png","View Picture")</f>
        <v>View Picture</v>
      </c>
    </row>
    <row r="3239">
      <c r="A3239" s="55"/>
      <c r="B3239" s="119" t="s">
        <v>33133</v>
      </c>
      <c r="C3239" s="120" t="s">
        <v>3412</v>
      </c>
      <c r="D3239" s="33" t="s">
        <v>33078</v>
      </c>
      <c r="E3239" s="51" t="s">
        <v>630</v>
      </c>
      <c r="F3239" s="121" t="s">
        <v>3009</v>
      </c>
      <c r="G3239" s="98" t="str">
        <f>HYPERLINK("http://mirror.ff7data.com.ar/ff7/data/battle/battle.lgp/fxaw.png","View Picture")</f>
        <v>View Picture</v>
      </c>
    </row>
    <row r="3240">
      <c r="A3240" s="55"/>
      <c r="B3240" s="119" t="s">
        <v>33142</v>
      </c>
      <c r="C3240" s="120" t="s">
        <v>4252</v>
      </c>
      <c r="D3240" s="33" t="s">
        <v>33078</v>
      </c>
      <c r="E3240" s="51" t="s">
        <v>630</v>
      </c>
      <c r="F3240" s="121" t="s">
        <v>3009</v>
      </c>
      <c r="G3240" s="98" t="str">
        <f>HYPERLINK("http://mirror.ff7data.com.ar/ff7/data/battle/battle.lgp/fxax.png","View Picture")</f>
        <v>View Picture</v>
      </c>
    </row>
    <row r="3241">
      <c r="A3241" s="55"/>
      <c r="B3241" s="119" t="s">
        <v>33151</v>
      </c>
      <c r="C3241" s="120" t="s">
        <v>7165</v>
      </c>
      <c r="D3241" s="33" t="s">
        <v>33078</v>
      </c>
      <c r="E3241" s="51" t="s">
        <v>630</v>
      </c>
      <c r="F3241" s="121" t="s">
        <v>3009</v>
      </c>
      <c r="G3241" s="98" t="str">
        <f>HYPERLINK("http://mirror.ff7data.com.ar/ff7/data/battle/battle.lgp/fxay.png","View Picture")</f>
        <v>View Picture</v>
      </c>
    </row>
    <row r="3242">
      <c r="A3242" s="55"/>
      <c r="B3242" s="119" t="s">
        <v>33159</v>
      </c>
      <c r="C3242" s="120" t="s">
        <v>3481</v>
      </c>
      <c r="D3242" s="33" t="s">
        <v>33078</v>
      </c>
      <c r="E3242" s="51" t="s">
        <v>630</v>
      </c>
      <c r="F3242" s="121" t="s">
        <v>3009</v>
      </c>
      <c r="G3242" s="98" t="str">
        <f>HYPERLINK("http://mirror.ff7data.com.ar/ff7/data/battle/battle.lgp/fxba.png","View Picture")</f>
        <v>View Picture</v>
      </c>
    </row>
    <row r="3243">
      <c r="A3243" s="55"/>
      <c r="B3243" s="119" t="s">
        <v>33164</v>
      </c>
      <c r="C3243" s="120" t="s">
        <v>3318</v>
      </c>
      <c r="D3243" s="33" t="s">
        <v>33078</v>
      </c>
      <c r="E3243" s="51" t="s">
        <v>630</v>
      </c>
      <c r="F3243" s="121" t="s">
        <v>3025</v>
      </c>
      <c r="H3243" s="46" t="s">
        <v>3002</v>
      </c>
    </row>
    <row r="3244">
      <c r="A3244" s="55"/>
      <c r="B3244" s="119" t="s">
        <v>33166</v>
      </c>
      <c r="C3244" s="120" t="s">
        <v>3980</v>
      </c>
      <c r="D3244" s="33" t="s">
        <v>33168</v>
      </c>
      <c r="E3244" s="51" t="s">
        <v>636</v>
      </c>
      <c r="F3244" s="121" t="s">
        <v>2971</v>
      </c>
      <c r="G3244" s="98" t="str">
        <f>HYPERLINK("http://mirror.ff7data.com.ar/ff7/data/battle/battle.lgp/fyaa.png","View Picture")</f>
        <v>View Picture</v>
      </c>
    </row>
    <row r="3245">
      <c r="A3245" s="55"/>
      <c r="B3245" s="119" t="s">
        <v>33175</v>
      </c>
      <c r="C3245" s="120" t="s">
        <v>4846</v>
      </c>
      <c r="D3245" s="33" t="s">
        <v>33177</v>
      </c>
      <c r="E3245" s="51" t="s">
        <v>636</v>
      </c>
      <c r="F3245" s="121" t="s">
        <v>2993</v>
      </c>
      <c r="H3245" s="46" t="s">
        <v>3002</v>
      </c>
    </row>
    <row r="3246">
      <c r="A3246" s="55"/>
      <c r="B3246" s="119" t="s">
        <v>33179</v>
      </c>
      <c r="C3246" s="120" t="s">
        <v>33181</v>
      </c>
      <c r="D3246" s="33" t="s">
        <v>33177</v>
      </c>
      <c r="E3246" s="51" t="s">
        <v>636</v>
      </c>
      <c r="F3246" s="121" t="s">
        <v>3009</v>
      </c>
      <c r="G3246" s="98" t="str">
        <f>HYPERLINK("http://mirror.ff7data.com.ar/ff7/data/battle/battle.lgp/fyam.png","View Picture")</f>
        <v>View Picture</v>
      </c>
    </row>
    <row r="3247">
      <c r="A3247" s="55"/>
      <c r="B3247" s="119" t="s">
        <v>33197</v>
      </c>
      <c r="C3247" s="120" t="s">
        <v>4396</v>
      </c>
      <c r="D3247" s="33" t="s">
        <v>33177</v>
      </c>
      <c r="E3247" s="51" t="s">
        <v>636</v>
      </c>
      <c r="F3247" s="121" t="s">
        <v>3009</v>
      </c>
      <c r="G3247" s="98" t="str">
        <f>HYPERLINK("http://mirror.ff7data.com.ar/ff7/data/battle/battle.lgp/fyan.png","View Picture")</f>
        <v>View Picture</v>
      </c>
    </row>
    <row r="3248">
      <c r="A3248" s="55"/>
      <c r="B3248" s="119" t="s">
        <v>33209</v>
      </c>
      <c r="C3248" s="120" t="s">
        <v>4732</v>
      </c>
      <c r="D3248" s="33" t="s">
        <v>33177</v>
      </c>
      <c r="E3248" s="51" t="s">
        <v>636</v>
      </c>
      <c r="F3248" s="121" t="s">
        <v>3009</v>
      </c>
      <c r="G3248" s="98" t="str">
        <f>HYPERLINK("http://mirror.ff7data.com.ar/ff7/data/battle/battle.lgp/fyap.png","View Picture")</f>
        <v>View Picture</v>
      </c>
    </row>
    <row r="3249">
      <c r="A3249" s="55"/>
      <c r="B3249" s="119" t="s">
        <v>33218</v>
      </c>
      <c r="C3249" s="120" t="s">
        <v>4439</v>
      </c>
      <c r="D3249" s="33" t="s">
        <v>33177</v>
      </c>
      <c r="E3249" s="51" t="s">
        <v>636</v>
      </c>
      <c r="F3249" s="121" t="s">
        <v>3009</v>
      </c>
      <c r="G3249" s="98" t="str">
        <f>HYPERLINK("http://mirror.ff7data.com.ar/ff7/data/battle/battle.lgp/fyaq.png","View Picture")</f>
        <v>View Picture</v>
      </c>
    </row>
    <row r="3250">
      <c r="A3250" s="55"/>
      <c r="B3250" s="119" t="s">
        <v>33226</v>
      </c>
      <c r="C3250" s="120" t="s">
        <v>4372</v>
      </c>
      <c r="D3250" s="33" t="s">
        <v>33177</v>
      </c>
      <c r="E3250" s="51" t="s">
        <v>636</v>
      </c>
      <c r="F3250" s="121" t="s">
        <v>3009</v>
      </c>
      <c r="G3250" s="98" t="str">
        <f>HYPERLINK("http://mirror.ff7data.com.ar/ff7/data/battle/battle.lgp/fyar.png","View Picture")</f>
        <v>View Picture</v>
      </c>
    </row>
    <row r="3251">
      <c r="A3251" s="55"/>
      <c r="B3251" s="119" t="s">
        <v>33237</v>
      </c>
      <c r="C3251" s="120" t="s">
        <v>7270</v>
      </c>
      <c r="D3251" s="33" t="s">
        <v>33177</v>
      </c>
      <c r="E3251" s="51" t="s">
        <v>636</v>
      </c>
      <c r="F3251" s="121" t="s">
        <v>3009</v>
      </c>
      <c r="G3251" s="98" t="str">
        <f>HYPERLINK("http://mirror.ff7data.com.ar/ff7/data/battle/battle.lgp/fyas.png","View Picture")</f>
        <v>View Picture</v>
      </c>
    </row>
    <row r="3252">
      <c r="A3252" s="55"/>
      <c r="B3252" s="119" t="s">
        <v>33247</v>
      </c>
      <c r="C3252" s="120" t="s">
        <v>4264</v>
      </c>
      <c r="D3252" s="33" t="s">
        <v>33177</v>
      </c>
      <c r="E3252" s="51" t="s">
        <v>636</v>
      </c>
      <c r="F3252" s="121" t="s">
        <v>3009</v>
      </c>
      <c r="G3252" s="98" t="str">
        <f>HYPERLINK("http://mirror.ff7data.com.ar/ff7/data/battle/battle.lgp/fyau.png","View Picture")</f>
        <v>View Picture</v>
      </c>
    </row>
    <row r="3253">
      <c r="A3253" s="55"/>
      <c r="B3253" s="119" t="s">
        <v>33255</v>
      </c>
      <c r="C3253" s="120" t="s">
        <v>4288</v>
      </c>
      <c r="D3253" s="33" t="s">
        <v>33177</v>
      </c>
      <c r="E3253" s="51" t="s">
        <v>636</v>
      </c>
      <c r="F3253" s="121" t="s">
        <v>3009</v>
      </c>
      <c r="G3253" s="98" t="str">
        <f>HYPERLINK("http://mirror.ff7data.com.ar/ff7/data/battle/battle.lgp/fyav.png","View Picture")</f>
        <v>View Picture</v>
      </c>
    </row>
    <row r="3254">
      <c r="A3254" s="55"/>
      <c r="B3254" s="119" t="s">
        <v>33262</v>
      </c>
      <c r="C3254" s="120" t="s">
        <v>4732</v>
      </c>
      <c r="D3254" s="33" t="s">
        <v>33177</v>
      </c>
      <c r="E3254" s="51" t="s">
        <v>636</v>
      </c>
      <c r="F3254" s="121" t="s">
        <v>3009</v>
      </c>
      <c r="G3254" s="98" t="str">
        <f>HYPERLINK("http://mirror.ff7data.com.ar/ff7/data/battle/battle.lgp/fyaw.png","View Picture")</f>
        <v>View Picture</v>
      </c>
    </row>
    <row r="3255">
      <c r="A3255" s="55"/>
      <c r="B3255" s="119" t="s">
        <v>33267</v>
      </c>
      <c r="C3255" s="120" t="s">
        <v>4396</v>
      </c>
      <c r="D3255" s="33" t="s">
        <v>33177</v>
      </c>
      <c r="E3255" s="51" t="s">
        <v>636</v>
      </c>
      <c r="F3255" s="121" t="s">
        <v>3009</v>
      </c>
      <c r="G3255" s="98" t="str">
        <f>HYPERLINK("http://mirror.ff7data.com.ar/ff7/data/battle/battle.lgp/fyax.png","View Picture")</f>
        <v>View Picture</v>
      </c>
    </row>
    <row r="3256">
      <c r="A3256" s="55"/>
      <c r="B3256" s="119" t="s">
        <v>33278</v>
      </c>
      <c r="C3256" s="120" t="s">
        <v>4707</v>
      </c>
      <c r="D3256" s="33" t="s">
        <v>33177</v>
      </c>
      <c r="E3256" s="51" t="s">
        <v>636</v>
      </c>
      <c r="F3256" s="121" t="s">
        <v>3009</v>
      </c>
      <c r="G3256" s="98" t="str">
        <f>HYPERLINK("http://mirror.ff7data.com.ar/ff7/data/battle/battle.lgp/fyaz.png","View Picture")</f>
        <v>View Picture</v>
      </c>
    </row>
    <row r="3257">
      <c r="A3257" s="55"/>
      <c r="B3257" s="119" t="s">
        <v>33287</v>
      </c>
      <c r="C3257" s="120" t="s">
        <v>7148</v>
      </c>
      <c r="D3257" s="33" t="s">
        <v>33177</v>
      </c>
      <c r="E3257" s="51" t="s">
        <v>636</v>
      </c>
      <c r="F3257" s="121" t="s">
        <v>3009</v>
      </c>
      <c r="G3257" s="98" t="str">
        <f>HYPERLINK("http://mirror.ff7data.com.ar/ff7/data/battle/battle.lgp/fyba.png","View Picture")</f>
        <v>View Picture</v>
      </c>
    </row>
    <row r="3258">
      <c r="A3258" s="55"/>
      <c r="B3258" s="119" t="s">
        <v>33295</v>
      </c>
      <c r="C3258" s="120" t="s">
        <v>7148</v>
      </c>
      <c r="D3258" s="33" t="s">
        <v>33177</v>
      </c>
      <c r="E3258" s="51" t="s">
        <v>636</v>
      </c>
      <c r="F3258" s="121" t="s">
        <v>3009</v>
      </c>
      <c r="G3258" s="98" t="str">
        <f>HYPERLINK("http://mirror.ff7data.com.ar/ff7/data/battle/battle.lgp/fybb.png","View Picture")</f>
        <v>View Picture</v>
      </c>
    </row>
    <row r="3259">
      <c r="A3259" s="55"/>
      <c r="B3259" s="119" t="s">
        <v>33303</v>
      </c>
      <c r="C3259" s="120" t="s">
        <v>7148</v>
      </c>
      <c r="D3259" s="33" t="s">
        <v>33177</v>
      </c>
      <c r="E3259" s="51" t="s">
        <v>636</v>
      </c>
      <c r="F3259" s="121" t="s">
        <v>3009</v>
      </c>
      <c r="G3259" s="98" t="str">
        <f>HYPERLINK("http://mirror.ff7data.com.ar/ff7/data/battle/battle.lgp/fybc.png","View Picture")</f>
        <v>View Picture</v>
      </c>
    </row>
    <row r="3260">
      <c r="A3260" s="55"/>
      <c r="B3260" s="119" t="s">
        <v>33311</v>
      </c>
      <c r="C3260" s="120" t="s">
        <v>7148</v>
      </c>
      <c r="D3260" s="33" t="s">
        <v>33177</v>
      </c>
      <c r="E3260" s="51" t="s">
        <v>636</v>
      </c>
      <c r="F3260" s="121" t="s">
        <v>3009</v>
      </c>
      <c r="G3260" s="98" t="str">
        <f>HYPERLINK("http://mirror.ff7data.com.ar/ff7/data/battle/battle.lgp/fybd.png","View Picture")</f>
        <v>View Picture</v>
      </c>
    </row>
    <row r="3261">
      <c r="A3261" s="55"/>
      <c r="B3261" s="119" t="s">
        <v>33321</v>
      </c>
      <c r="C3261" s="120" t="s">
        <v>4707</v>
      </c>
      <c r="D3261" s="33" t="s">
        <v>33177</v>
      </c>
      <c r="E3261" s="51" t="s">
        <v>636</v>
      </c>
      <c r="F3261" s="121" t="s">
        <v>3009</v>
      </c>
      <c r="G3261" s="98" t="str">
        <f>HYPERLINK("http://mirror.ff7data.com.ar/ff7/data/battle/battle.lgp/fybf.png","View Picture")</f>
        <v>View Picture</v>
      </c>
    </row>
    <row r="3262">
      <c r="A3262" s="55"/>
      <c r="B3262" s="119" t="s">
        <v>33333</v>
      </c>
      <c r="C3262" s="120" t="s">
        <v>7148</v>
      </c>
      <c r="D3262" s="33" t="s">
        <v>33177</v>
      </c>
      <c r="E3262" s="51" t="s">
        <v>636</v>
      </c>
      <c r="F3262" s="121" t="s">
        <v>3009</v>
      </c>
      <c r="G3262" s="98" t="str">
        <f>HYPERLINK("http://mirror.ff7data.com.ar/ff7/data/battle/battle.lgp/fybg.png","View Picture")</f>
        <v>View Picture</v>
      </c>
    </row>
    <row r="3263">
      <c r="A3263" s="55"/>
      <c r="B3263" s="119" t="s">
        <v>33341</v>
      </c>
      <c r="C3263" s="120" t="s">
        <v>7148</v>
      </c>
      <c r="D3263" s="33" t="s">
        <v>33177</v>
      </c>
      <c r="E3263" s="51" t="s">
        <v>636</v>
      </c>
      <c r="F3263" s="121" t="s">
        <v>3009</v>
      </c>
      <c r="G3263" s="98" t="str">
        <f>HYPERLINK("http://mirror.ff7data.com.ar/ff7/data/battle/battle.lgp/fybh.png","View Picture")</f>
        <v>View Picture</v>
      </c>
    </row>
    <row r="3264">
      <c r="A3264" s="55"/>
      <c r="B3264" s="119" t="s">
        <v>33348</v>
      </c>
      <c r="C3264" s="120" t="s">
        <v>7148</v>
      </c>
      <c r="D3264" s="33" t="s">
        <v>33177</v>
      </c>
      <c r="E3264" s="51" t="s">
        <v>636</v>
      </c>
      <c r="F3264" s="121" t="s">
        <v>3009</v>
      </c>
      <c r="G3264" s="98" t="str">
        <f>HYPERLINK("http://mirror.ff7data.com.ar/ff7/data/battle/battle.lgp/fybi.png","View Picture")</f>
        <v>View Picture</v>
      </c>
    </row>
    <row r="3265">
      <c r="A3265" s="55"/>
      <c r="B3265" s="119" t="s">
        <v>33358</v>
      </c>
      <c r="C3265" s="120" t="s">
        <v>3494</v>
      </c>
      <c r="D3265" s="33" t="s">
        <v>33177</v>
      </c>
      <c r="E3265" s="51" t="s">
        <v>636</v>
      </c>
      <c r="F3265" s="121" t="s">
        <v>3025</v>
      </c>
      <c r="H3265" s="46" t="s">
        <v>3002</v>
      </c>
    </row>
    <row r="3266">
      <c r="A3266" s="55"/>
      <c r="B3266" s="119" t="s">
        <v>33361</v>
      </c>
      <c r="C3266" s="120" t="s">
        <v>15139</v>
      </c>
      <c r="D3266" s="33" t="s">
        <v>33363</v>
      </c>
      <c r="E3266" s="51" t="s">
        <v>643</v>
      </c>
      <c r="F3266" s="121" t="s">
        <v>2971</v>
      </c>
      <c r="G3266" s="98" t="str">
        <f>HYPERLINK("http://mirror.ff7data.com.ar/ff7/data/battle/battle.lgp/fzaa.png","View Picture")</f>
        <v>View Picture</v>
      </c>
    </row>
    <row r="3267">
      <c r="A3267" s="55"/>
      <c r="B3267" s="119" t="s">
        <v>33370</v>
      </c>
      <c r="C3267" s="120" t="s">
        <v>4846</v>
      </c>
      <c r="D3267" s="33" t="s">
        <v>33371</v>
      </c>
      <c r="E3267" s="51" t="s">
        <v>643</v>
      </c>
      <c r="F3267" s="121" t="s">
        <v>2993</v>
      </c>
      <c r="H3267" s="46" t="s">
        <v>3002</v>
      </c>
    </row>
    <row r="3268">
      <c r="A3268" s="55"/>
      <c r="B3268" s="119" t="s">
        <v>33374</v>
      </c>
      <c r="C3268" s="120" t="s">
        <v>5730</v>
      </c>
      <c r="D3268" s="33" t="s">
        <v>33371</v>
      </c>
      <c r="E3268" s="51" t="s">
        <v>643</v>
      </c>
      <c r="F3268" s="121" t="s">
        <v>3009</v>
      </c>
      <c r="G3268" s="98" t="str">
        <f>HYPERLINK("http://mirror.ff7data.com.ar/ff7/data/battle/battle.lgp/fzam.png","View Picture")</f>
        <v>View Picture</v>
      </c>
    </row>
    <row r="3269">
      <c r="A3269" s="55"/>
      <c r="B3269" s="119" t="s">
        <v>33387</v>
      </c>
      <c r="C3269" s="120" t="s">
        <v>5419</v>
      </c>
      <c r="D3269" s="33" t="s">
        <v>33371</v>
      </c>
      <c r="E3269" s="51" t="s">
        <v>643</v>
      </c>
      <c r="F3269" s="121" t="s">
        <v>3009</v>
      </c>
      <c r="G3269" s="98" t="str">
        <f>HYPERLINK("http://mirror.ff7data.com.ar/ff7/data/battle/battle.lgp/fzan.png","View Picture")</f>
        <v>View Picture</v>
      </c>
    </row>
    <row r="3270">
      <c r="A3270" s="55"/>
      <c r="B3270" s="119" t="s">
        <v>33397</v>
      </c>
      <c r="C3270" s="120" t="s">
        <v>4707</v>
      </c>
      <c r="D3270" s="33" t="s">
        <v>33371</v>
      </c>
      <c r="E3270" s="51" t="s">
        <v>643</v>
      </c>
      <c r="F3270" s="121" t="s">
        <v>3009</v>
      </c>
      <c r="G3270" s="98" t="str">
        <f>HYPERLINK("http://mirror.ff7data.com.ar/ff7/data/battle/battle.lgp/fzap.png","View Picture")</f>
        <v>View Picture</v>
      </c>
    </row>
    <row r="3271">
      <c r="A3271" s="55"/>
      <c r="B3271" s="119" t="s">
        <v>33408</v>
      </c>
      <c r="C3271" s="120" t="s">
        <v>7148</v>
      </c>
      <c r="D3271" s="33" t="s">
        <v>33371</v>
      </c>
      <c r="E3271" s="51" t="s">
        <v>643</v>
      </c>
      <c r="F3271" s="121" t="s">
        <v>3009</v>
      </c>
      <c r="G3271" s="98" t="str">
        <f>HYPERLINK("http://mirror.ff7data.com.ar/ff7/data/battle/battle.lgp/fzaq.png","View Picture")</f>
        <v>View Picture</v>
      </c>
    </row>
    <row r="3272">
      <c r="A3272" s="55"/>
      <c r="B3272" s="119" t="s">
        <v>33420</v>
      </c>
      <c r="C3272" s="120" t="s">
        <v>7148</v>
      </c>
      <c r="D3272" s="33" t="s">
        <v>33371</v>
      </c>
      <c r="E3272" s="51" t="s">
        <v>643</v>
      </c>
      <c r="F3272" s="121" t="s">
        <v>3009</v>
      </c>
      <c r="G3272" s="98" t="str">
        <f>HYPERLINK("http://mirror.ff7data.com.ar/ff7/data/battle/battle.lgp/fzar.png","View Picture")</f>
        <v>View Picture</v>
      </c>
    </row>
    <row r="3273">
      <c r="A3273" s="55"/>
      <c r="B3273" s="119" t="s">
        <v>33427</v>
      </c>
      <c r="C3273" s="120" t="s">
        <v>7148</v>
      </c>
      <c r="D3273" s="33" t="s">
        <v>33371</v>
      </c>
      <c r="E3273" s="51" t="s">
        <v>643</v>
      </c>
      <c r="F3273" s="121" t="s">
        <v>3009</v>
      </c>
      <c r="G3273" s="98" t="str">
        <f>HYPERLINK("http://mirror.ff7data.com.ar/ff7/data/battle/battle.lgp/fzas.png","View Picture")</f>
        <v>View Picture</v>
      </c>
    </row>
    <row r="3274">
      <c r="A3274" s="55"/>
      <c r="B3274" s="119" t="s">
        <v>33438</v>
      </c>
      <c r="C3274" s="120" t="s">
        <v>4601</v>
      </c>
      <c r="D3274" s="33" t="s">
        <v>33371</v>
      </c>
      <c r="E3274" s="51" t="s">
        <v>643</v>
      </c>
      <c r="F3274" s="121" t="s">
        <v>3009</v>
      </c>
      <c r="G3274" s="98" t="str">
        <f>HYPERLINK("http://mirror.ff7data.com.ar/ff7/data/battle/battle.lgp/fzat.png","View Picture")</f>
        <v>View Picture</v>
      </c>
    </row>
    <row r="3275">
      <c r="A3275" s="55"/>
      <c r="B3275" s="119" t="s">
        <v>33445</v>
      </c>
      <c r="C3275" s="120" t="s">
        <v>4707</v>
      </c>
      <c r="D3275" s="33" t="s">
        <v>33371</v>
      </c>
      <c r="E3275" s="51" t="s">
        <v>643</v>
      </c>
      <c r="F3275" s="121" t="s">
        <v>3009</v>
      </c>
      <c r="G3275" s="98" t="str">
        <f>HYPERLINK("http://mirror.ff7data.com.ar/ff7/data/battle/battle.lgp/fzav.png","View Picture")</f>
        <v>View Picture</v>
      </c>
    </row>
    <row r="3276">
      <c r="A3276" s="55"/>
      <c r="B3276" s="119" t="s">
        <v>33451</v>
      </c>
      <c r="C3276" s="120" t="s">
        <v>7148</v>
      </c>
      <c r="D3276" s="33" t="s">
        <v>33371</v>
      </c>
      <c r="E3276" s="51" t="s">
        <v>643</v>
      </c>
      <c r="F3276" s="121" t="s">
        <v>3009</v>
      </c>
      <c r="G3276" s="98" t="str">
        <f>HYPERLINK("http://mirror.ff7data.com.ar/ff7/data/battle/battle.lgp/fzaw.png","View Picture")</f>
        <v>View Picture</v>
      </c>
    </row>
    <row r="3277">
      <c r="A3277" s="55"/>
      <c r="B3277" s="119" t="s">
        <v>33460</v>
      </c>
      <c r="C3277" s="120" t="s">
        <v>4601</v>
      </c>
      <c r="D3277" s="33" t="s">
        <v>33371</v>
      </c>
      <c r="E3277" s="51" t="s">
        <v>643</v>
      </c>
      <c r="F3277" s="121" t="s">
        <v>3009</v>
      </c>
      <c r="G3277" s="98" t="str">
        <f>HYPERLINK("http://mirror.ff7data.com.ar/ff7/data/battle/battle.lgp/fzax.png","View Picture")</f>
        <v>View Picture</v>
      </c>
    </row>
    <row r="3278">
      <c r="A3278" s="55"/>
      <c r="B3278" s="119" t="s">
        <v>33470</v>
      </c>
      <c r="C3278" s="120" t="s">
        <v>7148</v>
      </c>
      <c r="D3278" s="33" t="s">
        <v>33371</v>
      </c>
      <c r="E3278" s="51" t="s">
        <v>643</v>
      </c>
      <c r="F3278" s="121" t="s">
        <v>3009</v>
      </c>
      <c r="G3278" s="98" t="str">
        <f>HYPERLINK("http://mirror.ff7data.com.ar/ff7/data/battle/battle.lgp/fzay.png","View Picture")</f>
        <v>View Picture</v>
      </c>
    </row>
    <row r="3279">
      <c r="A3279" s="55"/>
      <c r="B3279" s="119" t="s">
        <v>33480</v>
      </c>
      <c r="C3279" s="120" t="s">
        <v>4707</v>
      </c>
      <c r="D3279" s="33" t="s">
        <v>33371</v>
      </c>
      <c r="E3279" s="51" t="s">
        <v>643</v>
      </c>
      <c r="F3279" s="121" t="s">
        <v>3009</v>
      </c>
      <c r="G3279" s="98" t="str">
        <f>HYPERLINK("http://mirror.ff7data.com.ar/ff7/data/battle/battle.lgp/fzba.png","View Picture")</f>
        <v>View Picture</v>
      </c>
    </row>
    <row r="3280">
      <c r="A3280" s="55"/>
      <c r="B3280" s="119" t="s">
        <v>33488</v>
      </c>
      <c r="C3280" s="120" t="s">
        <v>7148</v>
      </c>
      <c r="D3280" s="33" t="s">
        <v>33371</v>
      </c>
      <c r="E3280" s="51" t="s">
        <v>643</v>
      </c>
      <c r="F3280" s="121" t="s">
        <v>3009</v>
      </c>
      <c r="G3280" s="98" t="str">
        <f>HYPERLINK("http://mirror.ff7data.com.ar/ff7/data/battle/battle.lgp/fzbb.png","View Picture")</f>
        <v>View Picture</v>
      </c>
    </row>
    <row r="3281">
      <c r="A3281" s="55"/>
      <c r="B3281" s="119" t="s">
        <v>33496</v>
      </c>
      <c r="C3281" s="120" t="s">
        <v>7148</v>
      </c>
      <c r="D3281" s="33" t="s">
        <v>33371</v>
      </c>
      <c r="E3281" s="51" t="s">
        <v>643</v>
      </c>
      <c r="F3281" s="121" t="s">
        <v>3009</v>
      </c>
      <c r="G3281" s="98" t="str">
        <f>HYPERLINK("http://mirror.ff7data.com.ar/ff7/data/battle/battle.lgp/fzbc.png","View Picture")</f>
        <v>View Picture</v>
      </c>
    </row>
    <row r="3282">
      <c r="A3282" s="55"/>
      <c r="B3282" s="119" t="s">
        <v>33503</v>
      </c>
      <c r="C3282" s="120" t="s">
        <v>7148</v>
      </c>
      <c r="D3282" s="33" t="s">
        <v>33371</v>
      </c>
      <c r="E3282" s="51" t="s">
        <v>643</v>
      </c>
      <c r="F3282" s="121" t="s">
        <v>3009</v>
      </c>
      <c r="G3282" s="98" t="str">
        <f>HYPERLINK("http://mirror.ff7data.com.ar/ff7/data/battle/battle.lgp/fzbd.png","View Picture")</f>
        <v>View Picture</v>
      </c>
    </row>
    <row r="3283">
      <c r="A3283" s="55"/>
      <c r="B3283" s="119" t="s">
        <v>33509</v>
      </c>
      <c r="C3283" s="120" t="s">
        <v>7148</v>
      </c>
      <c r="D3283" s="33" t="s">
        <v>33371</v>
      </c>
      <c r="E3283" s="51" t="s">
        <v>643</v>
      </c>
      <c r="F3283" s="121" t="s">
        <v>3009</v>
      </c>
      <c r="G3283" s="98" t="str">
        <f>HYPERLINK("http://mirror.ff7data.com.ar/ff7/data/battle/battle.lgp/fzbe.png","View Picture")</f>
        <v>View Picture</v>
      </c>
    </row>
    <row r="3284">
      <c r="A3284" s="55"/>
      <c r="B3284" s="119" t="s">
        <v>33515</v>
      </c>
      <c r="C3284" s="120" t="s">
        <v>4707</v>
      </c>
      <c r="D3284" s="33" t="s">
        <v>33371</v>
      </c>
      <c r="E3284" s="51" t="s">
        <v>643</v>
      </c>
      <c r="F3284" s="121" t="s">
        <v>3009</v>
      </c>
      <c r="G3284" s="98" t="str">
        <f>HYPERLINK("http://mirror.ff7data.com.ar/ff7/data/battle/battle.lgp/fzbg.png","View Picture")</f>
        <v>View Picture</v>
      </c>
    </row>
    <row r="3285">
      <c r="A3285" s="55"/>
      <c r="B3285" s="119" t="s">
        <v>33525</v>
      </c>
      <c r="C3285" s="120" t="s">
        <v>7148</v>
      </c>
      <c r="D3285" s="33" t="s">
        <v>33371</v>
      </c>
      <c r="E3285" s="51" t="s">
        <v>643</v>
      </c>
      <c r="F3285" s="121" t="s">
        <v>3009</v>
      </c>
      <c r="G3285" s="98" t="str">
        <f>HYPERLINK("http://mirror.ff7data.com.ar/ff7/data/battle/battle.lgp/fzbh.png","View Picture")</f>
        <v>View Picture</v>
      </c>
    </row>
    <row r="3286">
      <c r="A3286" s="55"/>
      <c r="B3286" s="119" t="s">
        <v>33536</v>
      </c>
      <c r="C3286" s="120" t="s">
        <v>7148</v>
      </c>
      <c r="D3286" s="33" t="s">
        <v>33371</v>
      </c>
      <c r="E3286" s="51" t="s">
        <v>643</v>
      </c>
      <c r="F3286" s="121" t="s">
        <v>3009</v>
      </c>
      <c r="G3286" s="98" t="str">
        <f>HYPERLINK("http://mirror.ff7data.com.ar/ff7/data/battle/battle.lgp/fzbi.png","View Picture")</f>
        <v>View Picture</v>
      </c>
    </row>
    <row r="3287">
      <c r="A3287" s="55"/>
      <c r="B3287" s="119" t="s">
        <v>33544</v>
      </c>
      <c r="C3287" s="120" t="s">
        <v>7148</v>
      </c>
      <c r="D3287" s="33" t="s">
        <v>33371</v>
      </c>
      <c r="E3287" s="51" t="s">
        <v>643</v>
      </c>
      <c r="F3287" s="121" t="s">
        <v>3009</v>
      </c>
      <c r="G3287" s="98" t="str">
        <f>HYPERLINK("http://mirror.ff7data.com.ar/ff7/data/battle/battle.lgp/fzbj.png","View Picture")</f>
        <v>View Picture</v>
      </c>
    </row>
    <row r="3288">
      <c r="A3288" s="55"/>
      <c r="B3288" s="119" t="s">
        <v>33551</v>
      </c>
      <c r="C3288" s="120" t="s">
        <v>6830</v>
      </c>
      <c r="D3288" s="33" t="s">
        <v>33371</v>
      </c>
      <c r="E3288" s="51" t="s">
        <v>643</v>
      </c>
      <c r="F3288" s="121" t="s">
        <v>3025</v>
      </c>
      <c r="H3288" s="46" t="s">
        <v>3002</v>
      </c>
    </row>
    <row r="3289">
      <c r="A3289" s="55"/>
      <c r="B3289" s="119" t="s">
        <v>33554</v>
      </c>
      <c r="C3289" s="120" t="s">
        <v>11751</v>
      </c>
      <c r="D3289" s="33" t="s">
        <v>33556</v>
      </c>
      <c r="E3289" s="51" t="s">
        <v>652</v>
      </c>
      <c r="F3289" s="121" t="s">
        <v>2971</v>
      </c>
      <c r="G3289" s="98" t="str">
        <f>HYPERLINK("http://mirror.ff7data.com.ar/ff7/data/battle/battle.lgp/gaaa.png","View Picture")</f>
        <v>View Picture</v>
      </c>
    </row>
    <row r="3290">
      <c r="A3290" s="55"/>
      <c r="B3290" s="119" t="s">
        <v>33562</v>
      </c>
      <c r="C3290" s="120" t="s">
        <v>5724</v>
      </c>
      <c r="D3290" s="33" t="s">
        <v>33564</v>
      </c>
      <c r="E3290" s="51" t="s">
        <v>652</v>
      </c>
      <c r="F3290" s="121" t="s">
        <v>2993</v>
      </c>
      <c r="H3290" s="46" t="s">
        <v>3002</v>
      </c>
    </row>
    <row r="3291">
      <c r="A3291" s="55"/>
      <c r="B3291" s="119" t="s">
        <v>33566</v>
      </c>
      <c r="C3291" s="120" t="s">
        <v>9290</v>
      </c>
      <c r="D3291" s="33" t="s">
        <v>33564</v>
      </c>
      <c r="E3291" s="51" t="s">
        <v>652</v>
      </c>
      <c r="F3291" s="121" t="s">
        <v>3009</v>
      </c>
      <c r="G3291" s="98" t="str">
        <f>HYPERLINK("http://mirror.ff7data.com.ar/ff7/data/battle/battle.lgp/gaam.png","View Picture")</f>
        <v>View Picture</v>
      </c>
    </row>
    <row r="3292">
      <c r="A3292" s="55"/>
      <c r="B3292" s="119" t="s">
        <v>33575</v>
      </c>
      <c r="C3292" s="120" t="s">
        <v>7871</v>
      </c>
      <c r="D3292" s="33" t="s">
        <v>33564</v>
      </c>
      <c r="E3292" s="51" t="s">
        <v>652</v>
      </c>
      <c r="F3292" s="121" t="s">
        <v>3009</v>
      </c>
      <c r="G3292" s="98" t="str">
        <f>HYPERLINK("http://mirror.ff7data.com.ar/ff7/data/battle/battle.lgp/gaan.png","View Picture")</f>
        <v>View Picture</v>
      </c>
    </row>
    <row r="3293">
      <c r="A3293" s="55"/>
      <c r="B3293" s="119" t="s">
        <v>33581</v>
      </c>
      <c r="C3293" s="120" t="s">
        <v>4732</v>
      </c>
      <c r="D3293" s="33" t="s">
        <v>33564</v>
      </c>
      <c r="E3293" s="51" t="s">
        <v>652</v>
      </c>
      <c r="F3293" s="121" t="s">
        <v>3009</v>
      </c>
      <c r="G3293" s="98" t="str">
        <f>HYPERLINK("http://mirror.ff7data.com.ar/ff7/data/battle/battle.lgp/gaap.png","View Picture")</f>
        <v>View Picture</v>
      </c>
    </row>
    <row r="3294">
      <c r="A3294" s="55"/>
      <c r="B3294" s="119" t="s">
        <v>33590</v>
      </c>
      <c r="C3294" s="120" t="s">
        <v>4439</v>
      </c>
      <c r="D3294" s="33" t="s">
        <v>33564</v>
      </c>
      <c r="E3294" s="51" t="s">
        <v>652</v>
      </c>
      <c r="F3294" s="121" t="s">
        <v>3009</v>
      </c>
      <c r="G3294" s="98" t="str">
        <f>HYPERLINK("http://mirror.ff7data.com.ar/ff7/data/battle/battle.lgp/gaaq.png","View Picture")</f>
        <v>View Picture</v>
      </c>
    </row>
    <row r="3295">
      <c r="A3295" s="55"/>
      <c r="B3295" s="119" t="s">
        <v>33599</v>
      </c>
      <c r="C3295" s="120" t="s">
        <v>4372</v>
      </c>
      <c r="D3295" s="33" t="s">
        <v>33564</v>
      </c>
      <c r="E3295" s="51" t="s">
        <v>652</v>
      </c>
      <c r="F3295" s="121" t="s">
        <v>3009</v>
      </c>
      <c r="G3295" s="98" t="str">
        <f>HYPERLINK("http://mirror.ff7data.com.ar/ff7/data/battle/battle.lgp/gaar.png","View Picture")</f>
        <v>View Picture</v>
      </c>
    </row>
    <row r="3296">
      <c r="A3296" s="55"/>
      <c r="B3296" s="119" t="s">
        <v>33609</v>
      </c>
      <c r="C3296" s="120" t="s">
        <v>4252</v>
      </c>
      <c r="D3296" s="33" t="s">
        <v>33564</v>
      </c>
      <c r="E3296" s="51" t="s">
        <v>652</v>
      </c>
      <c r="F3296" s="121" t="s">
        <v>3009</v>
      </c>
      <c r="G3296" s="98" t="str">
        <f>HYPERLINK("http://mirror.ff7data.com.ar/ff7/data/battle/battle.lgp/gaas.png","View Picture")</f>
        <v>View Picture</v>
      </c>
    </row>
    <row r="3297">
      <c r="A3297" s="55"/>
      <c r="B3297" s="119" t="s">
        <v>33615</v>
      </c>
      <c r="C3297" s="120" t="s">
        <v>4264</v>
      </c>
      <c r="D3297" s="33" t="s">
        <v>33564</v>
      </c>
      <c r="E3297" s="51" t="s">
        <v>652</v>
      </c>
      <c r="F3297" s="121" t="s">
        <v>3009</v>
      </c>
      <c r="G3297" s="98" t="str">
        <f>HYPERLINK("http://mirror.ff7data.com.ar/ff7/data/battle/battle.lgp/gaau.png","View Picture")</f>
        <v>View Picture</v>
      </c>
    </row>
    <row r="3298">
      <c r="A3298" s="55"/>
      <c r="B3298" s="119" t="s">
        <v>33621</v>
      </c>
      <c r="C3298" s="120" t="s">
        <v>4288</v>
      </c>
      <c r="D3298" s="33" t="s">
        <v>33564</v>
      </c>
      <c r="E3298" s="51" t="s">
        <v>652</v>
      </c>
      <c r="F3298" s="121" t="s">
        <v>3009</v>
      </c>
      <c r="G3298" s="98" t="str">
        <f>HYPERLINK("http://mirror.ff7data.com.ar/ff7/data/battle/battle.lgp/gaav.png","View Picture")</f>
        <v>View Picture</v>
      </c>
    </row>
    <row r="3299">
      <c r="A3299" s="55"/>
      <c r="B3299" s="119" t="s">
        <v>33628</v>
      </c>
      <c r="C3299" s="120" t="s">
        <v>4732</v>
      </c>
      <c r="D3299" s="33" t="s">
        <v>33564</v>
      </c>
      <c r="E3299" s="51" t="s">
        <v>652</v>
      </c>
      <c r="F3299" s="121" t="s">
        <v>3009</v>
      </c>
      <c r="G3299" s="98" t="str">
        <f>HYPERLINK("http://mirror.ff7data.com.ar/ff7/data/battle/battle.lgp/gaaw.png","View Picture")</f>
        <v>View Picture</v>
      </c>
    </row>
    <row r="3300">
      <c r="A3300" s="55"/>
      <c r="B3300" s="119" t="s">
        <v>33633</v>
      </c>
      <c r="C3300" s="120" t="s">
        <v>4396</v>
      </c>
      <c r="D3300" s="33" t="s">
        <v>33564</v>
      </c>
      <c r="E3300" s="51" t="s">
        <v>652</v>
      </c>
      <c r="F3300" s="121" t="s">
        <v>3009</v>
      </c>
      <c r="G3300" s="98" t="str">
        <f>HYPERLINK("http://mirror.ff7data.com.ar/ff7/data/battle/battle.lgp/gaax.png","View Picture")</f>
        <v>View Picture</v>
      </c>
    </row>
    <row r="3301">
      <c r="A3301" s="55"/>
      <c r="B3301" s="119" t="s">
        <v>33639</v>
      </c>
      <c r="C3301" s="120" t="s">
        <v>4732</v>
      </c>
      <c r="D3301" s="33" t="s">
        <v>33564</v>
      </c>
      <c r="E3301" s="51" t="s">
        <v>652</v>
      </c>
      <c r="F3301" s="121" t="s">
        <v>3009</v>
      </c>
      <c r="G3301" s="98" t="str">
        <f>HYPERLINK("http://mirror.ff7data.com.ar/ff7/data/battle/battle.lgp/gaaz.png","View Picture")</f>
        <v>View Picture</v>
      </c>
    </row>
    <row r="3302">
      <c r="A3302" s="55"/>
      <c r="B3302" s="119" t="s">
        <v>33646</v>
      </c>
      <c r="C3302" s="120" t="s">
        <v>4439</v>
      </c>
      <c r="D3302" s="33" t="s">
        <v>33564</v>
      </c>
      <c r="E3302" s="51" t="s">
        <v>652</v>
      </c>
      <c r="F3302" s="121" t="s">
        <v>3009</v>
      </c>
      <c r="G3302" s="98" t="str">
        <f>HYPERLINK("http://mirror.ff7data.com.ar/ff7/data/battle/battle.lgp/gaba.png","View Picture")</f>
        <v>View Picture</v>
      </c>
    </row>
    <row r="3303">
      <c r="A3303" s="55"/>
      <c r="B3303" s="119" t="s">
        <v>33651</v>
      </c>
      <c r="C3303" s="120" t="s">
        <v>4372</v>
      </c>
      <c r="D3303" s="33" t="s">
        <v>33564</v>
      </c>
      <c r="E3303" s="51" t="s">
        <v>652</v>
      </c>
      <c r="F3303" s="121" t="s">
        <v>3009</v>
      </c>
      <c r="G3303" s="98" t="str">
        <f>HYPERLINK("http://mirror.ff7data.com.ar/ff7/data/battle/battle.lgp/gabb.png","View Picture")</f>
        <v>View Picture</v>
      </c>
    </row>
    <row r="3304">
      <c r="A3304" s="55"/>
      <c r="B3304" s="119" t="s">
        <v>33658</v>
      </c>
      <c r="C3304" s="120" t="s">
        <v>7270</v>
      </c>
      <c r="D3304" s="33" t="s">
        <v>33564</v>
      </c>
      <c r="E3304" s="51" t="s">
        <v>652</v>
      </c>
      <c r="F3304" s="121" t="s">
        <v>3009</v>
      </c>
      <c r="G3304" s="98" t="str">
        <f>HYPERLINK("http://mirror.ff7data.com.ar/ff7/data/battle/battle.lgp/gabc.png","View Picture")</f>
        <v>View Picture</v>
      </c>
    </row>
    <row r="3305">
      <c r="A3305" s="55"/>
      <c r="B3305" s="119" t="s">
        <v>33666</v>
      </c>
      <c r="C3305" s="120" t="s">
        <v>4264</v>
      </c>
      <c r="D3305" s="33" t="s">
        <v>33564</v>
      </c>
      <c r="E3305" s="51" t="s">
        <v>652</v>
      </c>
      <c r="F3305" s="121" t="s">
        <v>3009</v>
      </c>
      <c r="G3305" s="98" t="str">
        <f>HYPERLINK("http://mirror.ff7data.com.ar/ff7/data/battle/battle.lgp/gabe.png","View Picture")</f>
        <v>View Picture</v>
      </c>
    </row>
    <row r="3306">
      <c r="A3306" s="55"/>
      <c r="B3306" s="119" t="s">
        <v>33675</v>
      </c>
      <c r="C3306" s="120" t="s">
        <v>4288</v>
      </c>
      <c r="D3306" s="33" t="s">
        <v>33564</v>
      </c>
      <c r="E3306" s="51" t="s">
        <v>652</v>
      </c>
      <c r="F3306" s="121" t="s">
        <v>3009</v>
      </c>
      <c r="G3306" s="98" t="str">
        <f>HYPERLINK("http://mirror.ff7data.com.ar/ff7/data/battle/battle.lgp/gabf.png","View Picture")</f>
        <v>View Picture</v>
      </c>
    </row>
    <row r="3307">
      <c r="A3307" s="55"/>
      <c r="B3307" s="119" t="s">
        <v>33685</v>
      </c>
      <c r="C3307" s="120" t="s">
        <v>4732</v>
      </c>
      <c r="D3307" s="33" t="s">
        <v>33564</v>
      </c>
      <c r="E3307" s="51" t="s">
        <v>652</v>
      </c>
      <c r="F3307" s="121" t="s">
        <v>3009</v>
      </c>
      <c r="G3307" s="98" t="str">
        <f>HYPERLINK("http://mirror.ff7data.com.ar/ff7/data/battle/battle.lgp/gabg.png","View Picture")</f>
        <v>View Picture</v>
      </c>
    </row>
    <row r="3308">
      <c r="A3308" s="55"/>
      <c r="B3308" s="119" t="s">
        <v>33692</v>
      </c>
      <c r="C3308" s="120" t="s">
        <v>4396</v>
      </c>
      <c r="D3308" s="33" t="s">
        <v>33564</v>
      </c>
      <c r="E3308" s="51" t="s">
        <v>652</v>
      </c>
      <c r="F3308" s="121" t="s">
        <v>3009</v>
      </c>
      <c r="G3308" s="98" t="str">
        <f>HYPERLINK("http://mirror.ff7data.com.ar/ff7/data/battle/battle.lgp/gabh.png","View Picture")</f>
        <v>View Picture</v>
      </c>
    </row>
    <row r="3309">
      <c r="A3309" s="55"/>
      <c r="B3309" s="119" t="s">
        <v>33699</v>
      </c>
      <c r="C3309" s="120" t="s">
        <v>3768</v>
      </c>
      <c r="D3309" s="33" t="s">
        <v>33564</v>
      </c>
      <c r="E3309" s="51" t="s">
        <v>652</v>
      </c>
      <c r="F3309" s="121" t="s">
        <v>3025</v>
      </c>
      <c r="H3309" s="46" t="s">
        <v>3002</v>
      </c>
    </row>
    <row r="3310">
      <c r="A3310" s="55"/>
      <c r="B3310" s="119" t="s">
        <v>33702</v>
      </c>
      <c r="C3310" s="120" t="s">
        <v>3557</v>
      </c>
      <c r="D3310" s="33" t="s">
        <v>33704</v>
      </c>
      <c r="E3310" s="51" t="s">
        <v>661</v>
      </c>
      <c r="F3310" s="121" t="s">
        <v>2971</v>
      </c>
      <c r="G3310" s="98" t="str">
        <f>HYPERLINK("http://mirror.ff7data.com.ar/ff7/data/battle/battle.lgp/gbaa.png","View Picture")</f>
        <v>View Picture</v>
      </c>
    </row>
    <row r="3311">
      <c r="A3311" s="55"/>
      <c r="B3311" s="119" t="s">
        <v>33712</v>
      </c>
      <c r="C3311" s="120" t="s">
        <v>4846</v>
      </c>
      <c r="D3311" s="33" t="s">
        <v>33714</v>
      </c>
      <c r="E3311" s="51" t="s">
        <v>661</v>
      </c>
      <c r="F3311" s="121" t="s">
        <v>2993</v>
      </c>
      <c r="H3311" s="46" t="s">
        <v>3002</v>
      </c>
    </row>
    <row r="3312">
      <c r="A3312" s="55"/>
      <c r="B3312" s="119" t="s">
        <v>33715</v>
      </c>
      <c r="C3312" s="120" t="s">
        <v>4396</v>
      </c>
      <c r="D3312" s="33" t="s">
        <v>33714</v>
      </c>
      <c r="E3312" s="51" t="s">
        <v>661</v>
      </c>
      <c r="F3312" s="121" t="s">
        <v>3009</v>
      </c>
      <c r="G3312" s="98" t="str">
        <f>HYPERLINK("http://mirror.ff7data.com.ar/ff7/data/battle/battle.lgp/gbam.png","View Picture")</f>
        <v>View Picture</v>
      </c>
    </row>
    <row r="3313">
      <c r="A3313" s="55"/>
      <c r="B3313" s="119" t="s">
        <v>33721</v>
      </c>
      <c r="C3313" s="120" t="s">
        <v>4372</v>
      </c>
      <c r="D3313" s="33" t="s">
        <v>33714</v>
      </c>
      <c r="E3313" s="51" t="s">
        <v>661</v>
      </c>
      <c r="F3313" s="121" t="s">
        <v>3009</v>
      </c>
      <c r="G3313" s="98" t="str">
        <f>HYPERLINK("http://mirror.ff7data.com.ar/ff7/data/battle/battle.lgp/gban.png","View Picture")</f>
        <v>View Picture</v>
      </c>
    </row>
    <row r="3314">
      <c r="A3314" s="55"/>
      <c r="B3314" s="119" t="s">
        <v>33727</v>
      </c>
      <c r="C3314" s="120" t="s">
        <v>4719</v>
      </c>
      <c r="D3314" s="33" t="s">
        <v>33714</v>
      </c>
      <c r="E3314" s="51" t="s">
        <v>661</v>
      </c>
      <c r="F3314" s="121" t="s">
        <v>3009</v>
      </c>
      <c r="G3314" s="98" t="str">
        <f>HYPERLINK("http://mirror.ff7data.com.ar/ff7/data/battle/battle.lgp/gbao.png","View Picture")</f>
        <v>View Picture</v>
      </c>
    </row>
    <row r="3315">
      <c r="A3315" s="55"/>
      <c r="B3315" s="119" t="s">
        <v>33733</v>
      </c>
      <c r="C3315" s="120" t="s">
        <v>4357</v>
      </c>
      <c r="D3315" s="33" t="s">
        <v>33714</v>
      </c>
      <c r="E3315" s="51" t="s">
        <v>661</v>
      </c>
      <c r="F3315" s="121" t="s">
        <v>3009</v>
      </c>
      <c r="G3315" s="98" t="str">
        <f>HYPERLINK("http://mirror.ff7data.com.ar/ff7/data/battle/battle.lgp/gbap.png","View Picture")</f>
        <v>View Picture</v>
      </c>
    </row>
    <row r="3316">
      <c r="A3316" s="55"/>
      <c r="B3316" s="119" t="s">
        <v>33744</v>
      </c>
      <c r="C3316" s="120" t="s">
        <v>4841</v>
      </c>
      <c r="D3316" s="33" t="s">
        <v>33714</v>
      </c>
      <c r="E3316" s="51" t="s">
        <v>661</v>
      </c>
      <c r="F3316" s="121" t="s">
        <v>3009</v>
      </c>
      <c r="G3316" s="98" t="str">
        <f>HYPERLINK("http://mirror.ff7data.com.ar/ff7/data/battle/battle.lgp/gbaq.png","View Picture")</f>
        <v>View Picture</v>
      </c>
    </row>
    <row r="3317">
      <c r="A3317" s="55"/>
      <c r="B3317" s="119" t="s">
        <v>33753</v>
      </c>
      <c r="C3317" s="120" t="s">
        <v>3723</v>
      </c>
      <c r="D3317" s="33" t="s">
        <v>33714</v>
      </c>
      <c r="E3317" s="51" t="s">
        <v>661</v>
      </c>
      <c r="F3317" s="121" t="s">
        <v>3009</v>
      </c>
      <c r="G3317" s="98" t="str">
        <f>HYPERLINK("http://mirror.ff7data.com.ar/ff7/data/battle/battle.lgp/gbar.png","View Picture")</f>
        <v>View Picture</v>
      </c>
    </row>
    <row r="3318">
      <c r="A3318" s="55"/>
      <c r="B3318" s="119" t="s">
        <v>33762</v>
      </c>
      <c r="C3318" s="120" t="s">
        <v>3749</v>
      </c>
      <c r="D3318" s="33" t="s">
        <v>33714</v>
      </c>
      <c r="E3318" s="51" t="s">
        <v>661</v>
      </c>
      <c r="F3318" s="121" t="s">
        <v>3009</v>
      </c>
      <c r="G3318" s="98" t="str">
        <f>HYPERLINK("http://mirror.ff7data.com.ar/ff7/data/battle/battle.lgp/gbat.png","View Picture")</f>
        <v>View Picture</v>
      </c>
    </row>
    <row r="3319">
      <c r="A3319" s="55"/>
      <c r="B3319" s="119" t="s">
        <v>33770</v>
      </c>
      <c r="C3319" s="120" t="s">
        <v>4732</v>
      </c>
      <c r="D3319" s="33" t="s">
        <v>33714</v>
      </c>
      <c r="E3319" s="51" t="s">
        <v>661</v>
      </c>
      <c r="F3319" s="121" t="s">
        <v>3009</v>
      </c>
      <c r="G3319" s="98" t="str">
        <f>HYPERLINK("http://mirror.ff7data.com.ar/ff7/data/battle/battle.lgp/gbau.png","View Picture")</f>
        <v>View Picture</v>
      </c>
    </row>
    <row r="3320">
      <c r="A3320" s="55"/>
      <c r="B3320" s="119" t="s">
        <v>33780</v>
      </c>
      <c r="C3320" s="120" t="s">
        <v>3658</v>
      </c>
      <c r="D3320" s="33" t="s">
        <v>33714</v>
      </c>
      <c r="E3320" s="51" t="s">
        <v>661</v>
      </c>
      <c r="F3320" s="121" t="s">
        <v>3009</v>
      </c>
      <c r="G3320" s="98" t="str">
        <f>HYPERLINK("http://mirror.ff7data.com.ar/ff7/data/battle/battle.lgp/gbav.png","View Picture")</f>
        <v>View Picture</v>
      </c>
    </row>
    <row r="3321">
      <c r="A3321" s="55"/>
      <c r="B3321" s="119" t="s">
        <v>33787</v>
      </c>
      <c r="C3321" s="120" t="s">
        <v>4357</v>
      </c>
      <c r="D3321" s="33" t="s">
        <v>33714</v>
      </c>
      <c r="E3321" s="51" t="s">
        <v>661</v>
      </c>
      <c r="F3321" s="121" t="s">
        <v>3009</v>
      </c>
      <c r="G3321" s="98" t="str">
        <f>HYPERLINK("http://mirror.ff7data.com.ar/ff7/data/battle/battle.lgp/gbaw.png","View Picture")</f>
        <v>View Picture</v>
      </c>
    </row>
    <row r="3322">
      <c r="A3322" s="55"/>
      <c r="B3322" s="119" t="s">
        <v>33794</v>
      </c>
      <c r="C3322" s="120" t="s">
        <v>4476</v>
      </c>
      <c r="D3322" s="33" t="s">
        <v>33714</v>
      </c>
      <c r="E3322" s="51" t="s">
        <v>661</v>
      </c>
      <c r="F3322" s="121" t="s">
        <v>3009</v>
      </c>
      <c r="G3322" s="98" t="str">
        <f>HYPERLINK("http://mirror.ff7data.com.ar/ff7/data/battle/battle.lgp/gbay.png","View Picture")</f>
        <v>View Picture</v>
      </c>
    </row>
    <row r="3323">
      <c r="A3323" s="55"/>
      <c r="B3323" s="119" t="s">
        <v>33799</v>
      </c>
      <c r="C3323" s="120" t="s">
        <v>7165</v>
      </c>
      <c r="D3323" s="33" t="s">
        <v>33714</v>
      </c>
      <c r="E3323" s="51" t="s">
        <v>661</v>
      </c>
      <c r="F3323" s="121" t="s">
        <v>3009</v>
      </c>
      <c r="G3323" s="98" t="str">
        <f>HYPERLINK("http://mirror.ff7data.com.ar/ff7/data/battle/battle.lgp/gbaz.png","View Picture")</f>
        <v>View Picture</v>
      </c>
    </row>
    <row r="3324">
      <c r="A3324" s="55"/>
      <c r="B3324" s="119" t="s">
        <v>33807</v>
      </c>
      <c r="C3324" s="120" t="s">
        <v>4185</v>
      </c>
      <c r="D3324" s="33" t="s">
        <v>33714</v>
      </c>
      <c r="E3324" s="51" t="s">
        <v>661</v>
      </c>
      <c r="F3324" s="121" t="s">
        <v>3009</v>
      </c>
      <c r="G3324" s="98" t="str">
        <f>HYPERLINK("http://mirror.ff7data.com.ar/ff7/data/battle/battle.lgp/gbba.png","View Picture")</f>
        <v>View Picture</v>
      </c>
    </row>
    <row r="3325">
      <c r="A3325" s="55"/>
      <c r="B3325" s="119" t="s">
        <v>33813</v>
      </c>
      <c r="C3325" s="120" t="s">
        <v>3749</v>
      </c>
      <c r="D3325" s="33" t="s">
        <v>33714</v>
      </c>
      <c r="E3325" s="51" t="s">
        <v>661</v>
      </c>
      <c r="F3325" s="121" t="s">
        <v>3009</v>
      </c>
      <c r="G3325" s="98" t="str">
        <f>HYPERLINK("http://mirror.ff7data.com.ar/ff7/data/battle/battle.lgp/gbbc.png","View Picture")</f>
        <v>View Picture</v>
      </c>
    </row>
    <row r="3326">
      <c r="A3326" s="55"/>
      <c r="B3326" s="119" t="s">
        <v>33824</v>
      </c>
      <c r="C3326" s="120" t="s">
        <v>4185</v>
      </c>
      <c r="D3326" s="33" t="s">
        <v>33714</v>
      </c>
      <c r="E3326" s="51" t="s">
        <v>661</v>
      </c>
      <c r="F3326" s="121" t="s">
        <v>3009</v>
      </c>
      <c r="G3326" s="98" t="str">
        <f>HYPERLINK("http://mirror.ff7data.com.ar/ff7/data/battle/battle.lgp/gbbe.png","View Picture")</f>
        <v>View Picture</v>
      </c>
    </row>
    <row r="3327">
      <c r="A3327" s="55"/>
      <c r="B3327" s="119" t="s">
        <v>33831</v>
      </c>
      <c r="C3327" s="120" t="s">
        <v>7165</v>
      </c>
      <c r="D3327" s="33" t="s">
        <v>33714</v>
      </c>
      <c r="E3327" s="51" t="s">
        <v>661</v>
      </c>
      <c r="F3327" s="121" t="s">
        <v>3009</v>
      </c>
      <c r="G3327" s="98" t="str">
        <f>HYPERLINK("http://mirror.ff7data.com.ar/ff7/data/battle/battle.lgp/gbbf.png","View Picture")</f>
        <v>View Picture</v>
      </c>
    </row>
    <row r="3328">
      <c r="A3328" s="55"/>
      <c r="B3328" s="119" t="s">
        <v>33838</v>
      </c>
      <c r="C3328" s="120" t="s">
        <v>4185</v>
      </c>
      <c r="D3328" s="33" t="s">
        <v>33714</v>
      </c>
      <c r="E3328" s="51" t="s">
        <v>661</v>
      </c>
      <c r="F3328" s="121" t="s">
        <v>3009</v>
      </c>
      <c r="G3328" s="98" t="str">
        <f>HYPERLINK("http://mirror.ff7data.com.ar/ff7/data/battle/battle.lgp/gbbg.png","View Picture")</f>
        <v>View Picture</v>
      </c>
    </row>
    <row r="3329">
      <c r="A3329" s="55"/>
      <c r="B3329" s="119" t="s">
        <v>33844</v>
      </c>
      <c r="C3329" s="120" t="s">
        <v>4732</v>
      </c>
      <c r="D3329" s="33" t="s">
        <v>33714</v>
      </c>
      <c r="E3329" s="51" t="s">
        <v>661</v>
      </c>
      <c r="F3329" s="121" t="s">
        <v>3009</v>
      </c>
      <c r="G3329" s="98" t="str">
        <f>HYPERLINK("http://mirror.ff7data.com.ar/ff7/data/battle/battle.lgp/gbbh.png","View Picture")</f>
        <v>View Picture</v>
      </c>
    </row>
    <row r="3330">
      <c r="A3330" s="55"/>
      <c r="B3330" s="119" t="s">
        <v>33850</v>
      </c>
      <c r="C3330" s="120" t="s">
        <v>3658</v>
      </c>
      <c r="D3330" s="33" t="s">
        <v>33714</v>
      </c>
      <c r="E3330" s="51" t="s">
        <v>661</v>
      </c>
      <c r="F3330" s="121" t="s">
        <v>3009</v>
      </c>
      <c r="G3330" s="98" t="str">
        <f>HYPERLINK("http://mirror.ff7data.com.ar/ff7/data/battle/battle.lgp/gbbi.png","View Picture")</f>
        <v>View Picture</v>
      </c>
    </row>
    <row r="3331">
      <c r="A3331" s="55"/>
      <c r="B3331" s="119" t="s">
        <v>33856</v>
      </c>
      <c r="C3331" s="120" t="s">
        <v>4357</v>
      </c>
      <c r="D3331" s="33" t="s">
        <v>33714</v>
      </c>
      <c r="E3331" s="51" t="s">
        <v>661</v>
      </c>
      <c r="F3331" s="121" t="s">
        <v>3009</v>
      </c>
      <c r="G3331" s="98" t="str">
        <f>HYPERLINK("http://mirror.ff7data.com.ar/ff7/data/battle/battle.lgp/gbbj.png","View Picture")</f>
        <v>View Picture</v>
      </c>
    </row>
    <row r="3332">
      <c r="A3332" s="55"/>
      <c r="B3332" s="119" t="s">
        <v>33862</v>
      </c>
      <c r="C3332" s="120" t="s">
        <v>3658</v>
      </c>
      <c r="D3332" s="33" t="s">
        <v>33714</v>
      </c>
      <c r="E3332" s="51" t="s">
        <v>661</v>
      </c>
      <c r="F3332" s="121" t="s">
        <v>3009</v>
      </c>
      <c r="G3332" s="98" t="str">
        <f>HYPERLINK("http://mirror.ff7data.com.ar/ff7/data/battle/battle.lgp/gbbl.png","View Picture")</f>
        <v>View Picture</v>
      </c>
    </row>
    <row r="3333">
      <c r="A3333" s="55"/>
      <c r="B3333" s="119" t="s">
        <v>33868</v>
      </c>
      <c r="C3333" s="120" t="s">
        <v>4357</v>
      </c>
      <c r="D3333" s="33" t="s">
        <v>33714</v>
      </c>
      <c r="E3333" s="51" t="s">
        <v>661</v>
      </c>
      <c r="F3333" s="121" t="s">
        <v>3009</v>
      </c>
      <c r="G3333" s="98" t="str">
        <f>HYPERLINK("http://mirror.ff7data.com.ar/ff7/data/battle/battle.lgp/gbbm.png","View Picture")</f>
        <v>View Picture</v>
      </c>
    </row>
    <row r="3334">
      <c r="A3334" s="55"/>
      <c r="B3334" s="119" t="s">
        <v>33876</v>
      </c>
      <c r="C3334" s="120" t="s">
        <v>4288</v>
      </c>
      <c r="D3334" s="33" t="s">
        <v>33714</v>
      </c>
      <c r="E3334" s="51" t="s">
        <v>661</v>
      </c>
      <c r="F3334" s="121" t="s">
        <v>3009</v>
      </c>
      <c r="G3334" s="98" t="str">
        <f>HYPERLINK("http://mirror.ff7data.com.ar/ff7/data/battle/battle.lgp/gbbn.png","View Picture")</f>
        <v>View Picture</v>
      </c>
    </row>
    <row r="3335">
      <c r="A3335" s="55"/>
      <c r="B3335" s="119" t="s">
        <v>33883</v>
      </c>
      <c r="C3335" s="120" t="s">
        <v>4288</v>
      </c>
      <c r="D3335" s="33" t="s">
        <v>33714</v>
      </c>
      <c r="E3335" s="51" t="s">
        <v>661</v>
      </c>
      <c r="F3335" s="121" t="s">
        <v>3009</v>
      </c>
      <c r="G3335" s="98" t="str">
        <f>HYPERLINK("http://mirror.ff7data.com.ar/ff7/data/battle/battle.lgp/gbbo.png","View Picture")</f>
        <v>View Picture</v>
      </c>
    </row>
    <row r="3336">
      <c r="A3336" s="55"/>
      <c r="B3336" s="119" t="s">
        <v>33890</v>
      </c>
      <c r="C3336" s="120" t="s">
        <v>3614</v>
      </c>
      <c r="D3336" s="33" t="s">
        <v>33714</v>
      </c>
      <c r="E3336" s="51" t="s">
        <v>661</v>
      </c>
      <c r="F3336" s="121" t="s">
        <v>3009</v>
      </c>
      <c r="G3336" s="98" t="str">
        <f>HYPERLINK("http://mirror.ff7data.com.ar/ff7/data/battle/battle.lgp/gbbp.png","View Picture")</f>
        <v>View Picture</v>
      </c>
    </row>
    <row r="3337">
      <c r="A3337" s="55"/>
      <c r="B3337" s="119" t="s">
        <v>33903</v>
      </c>
      <c r="C3337" s="120" t="s">
        <v>4476</v>
      </c>
      <c r="D3337" s="33" t="s">
        <v>33714</v>
      </c>
      <c r="E3337" s="51" t="s">
        <v>661</v>
      </c>
      <c r="F3337" s="121" t="s">
        <v>3009</v>
      </c>
      <c r="G3337" s="98" t="str">
        <f>HYPERLINK("http://mirror.ff7data.com.ar/ff7/data/battle/battle.lgp/gbbr.png","View Picture")</f>
        <v>View Picture</v>
      </c>
    </row>
    <row r="3338">
      <c r="A3338" s="55"/>
      <c r="B3338" s="119" t="s">
        <v>33913</v>
      </c>
      <c r="C3338" s="120" t="s">
        <v>4372</v>
      </c>
      <c r="D3338" s="33" t="s">
        <v>33714</v>
      </c>
      <c r="E3338" s="51" t="s">
        <v>661</v>
      </c>
      <c r="F3338" s="121" t="s">
        <v>3009</v>
      </c>
      <c r="G3338" s="98" t="str">
        <f>HYPERLINK("http://mirror.ff7data.com.ar/ff7/data/battle/battle.lgp/gbbs.png","View Picture")</f>
        <v>View Picture</v>
      </c>
    </row>
    <row r="3339">
      <c r="A3339" s="55"/>
      <c r="B3339" s="119" t="s">
        <v>33919</v>
      </c>
      <c r="C3339" s="120" t="s">
        <v>7301</v>
      </c>
      <c r="D3339" s="33" t="s">
        <v>33714</v>
      </c>
      <c r="E3339" s="51" t="s">
        <v>661</v>
      </c>
      <c r="F3339" s="121" t="s">
        <v>3009</v>
      </c>
      <c r="G3339" s="98" t="str">
        <f>HYPERLINK("http://mirror.ff7data.com.ar/ff7/data/battle/battle.lgp/gbbt.png","View Picture")</f>
        <v>View Picture</v>
      </c>
    </row>
    <row r="3340">
      <c r="A3340" s="55"/>
      <c r="B3340" s="119" t="s">
        <v>33925</v>
      </c>
      <c r="C3340" s="120" t="s">
        <v>4476</v>
      </c>
      <c r="D3340" s="33" t="s">
        <v>33714</v>
      </c>
      <c r="E3340" s="51" t="s">
        <v>661</v>
      </c>
      <c r="F3340" s="121" t="s">
        <v>3009</v>
      </c>
      <c r="G3340" s="98" t="str">
        <f>HYPERLINK("http://mirror.ff7data.com.ar/ff7/data/battle/battle.lgp/gbbv.png","View Picture")</f>
        <v>View Picture</v>
      </c>
    </row>
    <row r="3341">
      <c r="A3341" s="55"/>
      <c r="B3341" s="119" t="s">
        <v>33931</v>
      </c>
      <c r="C3341" s="120" t="s">
        <v>4372</v>
      </c>
      <c r="D3341" s="33" t="s">
        <v>33714</v>
      </c>
      <c r="E3341" s="51" t="s">
        <v>661</v>
      </c>
      <c r="F3341" s="121" t="s">
        <v>3009</v>
      </c>
      <c r="G3341" s="98" t="str">
        <f>HYPERLINK("http://mirror.ff7data.com.ar/ff7/data/battle/battle.lgp/gbbw.png","View Picture")</f>
        <v>View Picture</v>
      </c>
    </row>
    <row r="3342">
      <c r="A3342" s="55"/>
      <c r="B3342" s="119" t="s">
        <v>33940</v>
      </c>
      <c r="C3342" s="120" t="s">
        <v>3412</v>
      </c>
      <c r="D3342" s="33" t="s">
        <v>33714</v>
      </c>
      <c r="E3342" s="51" t="s">
        <v>661</v>
      </c>
      <c r="F3342" s="121" t="s">
        <v>3009</v>
      </c>
      <c r="G3342" s="98" t="str">
        <f>HYPERLINK("http://mirror.ff7data.com.ar/ff7/data/battle/battle.lgp/gbbx.png","View Picture")</f>
        <v>View Picture</v>
      </c>
    </row>
    <row r="3343">
      <c r="A3343" s="55"/>
      <c r="B3343" s="119" t="s">
        <v>33949</v>
      </c>
      <c r="C3343" s="120" t="s">
        <v>4228</v>
      </c>
      <c r="D3343" s="33" t="s">
        <v>33714</v>
      </c>
      <c r="E3343" s="51" t="s">
        <v>661</v>
      </c>
      <c r="F3343" s="121" t="s">
        <v>3025</v>
      </c>
      <c r="H3343" s="46" t="s">
        <v>3002</v>
      </c>
    </row>
    <row r="3344">
      <c r="A3344" s="55"/>
      <c r="B3344" s="119" t="s">
        <v>33953</v>
      </c>
      <c r="C3344" s="120" t="s">
        <v>2989</v>
      </c>
      <c r="D3344" s="33" t="s">
        <v>33955</v>
      </c>
      <c r="E3344" s="51" t="s">
        <v>665</v>
      </c>
      <c r="F3344" s="121" t="s">
        <v>2971</v>
      </c>
      <c r="G3344" s="98" t="str">
        <f>HYPERLINK("http://mirror.ff7data.com.ar/ff7/data/battle/battle.lgp/gcaa.png","View Picture")</f>
        <v>View Picture</v>
      </c>
      <c r="H3344" s="46" t="s">
        <v>33960</v>
      </c>
    </row>
    <row r="3345">
      <c r="A3345" s="55"/>
      <c r="B3345" s="119" t="s">
        <v>33962</v>
      </c>
      <c r="C3345" s="120" t="s">
        <v>4209</v>
      </c>
      <c r="D3345" s="33" t="s">
        <v>33963</v>
      </c>
      <c r="E3345" s="51" t="s">
        <v>665</v>
      </c>
      <c r="F3345" s="121" t="s">
        <v>2993</v>
      </c>
      <c r="H3345" s="46" t="s">
        <v>3002</v>
      </c>
    </row>
    <row r="3346">
      <c r="A3346" s="55"/>
      <c r="B3346" s="119" t="s">
        <v>33967</v>
      </c>
      <c r="C3346" s="120" t="s">
        <v>3552</v>
      </c>
      <c r="D3346" s="33" t="s">
        <v>33969</v>
      </c>
      <c r="E3346" s="51" t="s">
        <v>665</v>
      </c>
      <c r="F3346" s="121" t="s">
        <v>1348</v>
      </c>
      <c r="G3346" s="98" t="str">
        <f>HYPERLINK("http://mirror.ff7data.com.ar/ff7/data/battle/battle.lgp/gcac.png","View Picture")</f>
        <v>View Picture</v>
      </c>
    </row>
    <row r="3347">
      <c r="A3347" s="55"/>
      <c r="B3347" s="119" t="s">
        <v>33975</v>
      </c>
      <c r="C3347" s="120" t="s">
        <v>7871</v>
      </c>
      <c r="D3347" s="33" t="s">
        <v>33963</v>
      </c>
      <c r="E3347" s="51" t="s">
        <v>665</v>
      </c>
      <c r="F3347" s="121" t="s">
        <v>3009</v>
      </c>
      <c r="G3347" s="98" t="str">
        <f>HYPERLINK("http://mirror.ff7data.com.ar/ff7/data/battle/battle.lgp/gcam.png","View Picture")</f>
        <v>View Picture</v>
      </c>
    </row>
    <row r="3348">
      <c r="A3348" s="55"/>
      <c r="B3348" s="119" t="s">
        <v>33982</v>
      </c>
      <c r="C3348" s="120" t="s">
        <v>3648</v>
      </c>
      <c r="D3348" s="33" t="s">
        <v>33963</v>
      </c>
      <c r="E3348" s="51" t="s">
        <v>665</v>
      </c>
      <c r="F3348" s="121" t="s">
        <v>3009</v>
      </c>
      <c r="G3348" s="98" t="str">
        <f>HYPERLINK("http://mirror.ff7data.com.ar/ff7/data/battle/battle.lgp/gcan.png","View Picture")</f>
        <v>View Picture</v>
      </c>
    </row>
    <row r="3349">
      <c r="A3349" s="55"/>
      <c r="B3349" s="119" t="s">
        <v>33989</v>
      </c>
      <c r="C3349" s="120" t="s">
        <v>7894</v>
      </c>
      <c r="D3349" s="33" t="s">
        <v>33963</v>
      </c>
      <c r="E3349" s="51" t="s">
        <v>665</v>
      </c>
      <c r="F3349" s="121" t="s">
        <v>3009</v>
      </c>
      <c r="G3349" s="98" t="str">
        <f>HYPERLINK("http://mirror.ff7data.com.ar/ff7/data/battle/battle.lgp/gcao.png","View Picture")</f>
        <v>View Picture</v>
      </c>
    </row>
    <row r="3350">
      <c r="A3350" s="55"/>
      <c r="B3350" s="119" t="s">
        <v>33997</v>
      </c>
      <c r="C3350" s="120" t="s">
        <v>9041</v>
      </c>
      <c r="D3350" s="33" t="s">
        <v>33963</v>
      </c>
      <c r="E3350" s="51" t="s">
        <v>665</v>
      </c>
      <c r="F3350" s="121" t="s">
        <v>3009</v>
      </c>
      <c r="G3350" s="98" t="str">
        <f>HYPERLINK("http://mirror.ff7data.com.ar/ff7/data/battle/battle.lgp/gcaq.png","View Picture")</f>
        <v>View Picture</v>
      </c>
    </row>
    <row r="3351">
      <c r="A3351" s="55"/>
      <c r="B3351" s="119" t="s">
        <v>34004</v>
      </c>
      <c r="C3351" s="120" t="s">
        <v>4264</v>
      </c>
      <c r="D3351" s="33" t="s">
        <v>33963</v>
      </c>
      <c r="E3351" s="51" t="s">
        <v>665</v>
      </c>
      <c r="F3351" s="121" t="s">
        <v>3009</v>
      </c>
      <c r="G3351" s="98" t="str">
        <f>HYPERLINK("http://mirror.ff7data.com.ar/ff7/data/battle/battle.lgp/gcas.png","View Picture")</f>
        <v>View Picture</v>
      </c>
    </row>
    <row r="3352">
      <c r="A3352" s="55"/>
      <c r="B3352" s="119" t="s">
        <v>34008</v>
      </c>
      <c r="C3352" s="120" t="s">
        <v>4288</v>
      </c>
      <c r="D3352" s="33" t="s">
        <v>33963</v>
      </c>
      <c r="E3352" s="51" t="s">
        <v>665</v>
      </c>
      <c r="F3352" s="121" t="s">
        <v>3009</v>
      </c>
      <c r="G3352" s="98" t="str">
        <f>HYPERLINK("http://mirror.ff7data.com.ar/ff7/data/battle/battle.lgp/gcat.png","View Picture")</f>
        <v>View Picture</v>
      </c>
    </row>
    <row r="3353">
      <c r="A3353" s="55"/>
      <c r="B3353" s="119" t="s">
        <v>34013</v>
      </c>
      <c r="C3353" s="120" t="s">
        <v>4185</v>
      </c>
      <c r="D3353" s="33" t="s">
        <v>33963</v>
      </c>
      <c r="E3353" s="51" t="s">
        <v>665</v>
      </c>
      <c r="F3353" s="121" t="s">
        <v>3009</v>
      </c>
      <c r="G3353" s="98" t="str">
        <f>HYPERLINK("http://mirror.ff7data.com.ar/ff7/data/battle/battle.lgp/gcav.png","View Picture")</f>
        <v>View Picture</v>
      </c>
    </row>
    <row r="3354">
      <c r="A3354" s="55"/>
      <c r="B3354" s="119" t="s">
        <v>34020</v>
      </c>
      <c r="C3354" s="120" t="s">
        <v>3445</v>
      </c>
      <c r="D3354" s="33" t="s">
        <v>33963</v>
      </c>
      <c r="E3354" s="51" t="s">
        <v>665</v>
      </c>
      <c r="F3354" s="121" t="s">
        <v>3009</v>
      </c>
      <c r="G3354" s="98" t="str">
        <f>HYPERLINK("http://mirror.ff7data.com.ar/ff7/data/battle/battle.lgp/gcaw.png","View Picture")</f>
        <v>View Picture</v>
      </c>
    </row>
    <row r="3355">
      <c r="A3355" s="55"/>
      <c r="B3355" s="119" t="s">
        <v>34034</v>
      </c>
      <c r="C3355" s="120" t="s">
        <v>4476</v>
      </c>
      <c r="D3355" s="33" t="s">
        <v>33963</v>
      </c>
      <c r="E3355" s="51" t="s">
        <v>665</v>
      </c>
      <c r="F3355" s="121" t="s">
        <v>3009</v>
      </c>
      <c r="G3355" s="98" t="str">
        <f>HYPERLINK("http://mirror.ff7data.com.ar/ff7/data/battle/battle.lgp/gcax.png","View Picture")</f>
        <v>View Picture</v>
      </c>
    </row>
    <row r="3356">
      <c r="A3356" s="55"/>
      <c r="B3356" s="119" t="s">
        <v>34044</v>
      </c>
      <c r="C3356" s="120" t="s">
        <v>4732</v>
      </c>
      <c r="D3356" s="33" t="s">
        <v>33963</v>
      </c>
      <c r="E3356" s="51" t="s">
        <v>665</v>
      </c>
      <c r="F3356" s="121" t="s">
        <v>3009</v>
      </c>
      <c r="G3356" s="98" t="str">
        <f>HYPERLINK("http://mirror.ff7data.com.ar/ff7/data/battle/battle.lgp/gcay.png","View Picture")</f>
        <v>View Picture</v>
      </c>
    </row>
    <row r="3357">
      <c r="A3357" s="55"/>
      <c r="B3357" s="119" t="s">
        <v>34052</v>
      </c>
      <c r="C3357" s="120" t="s">
        <v>6029</v>
      </c>
      <c r="D3357" s="33" t="s">
        <v>33963</v>
      </c>
      <c r="E3357" s="51" t="s">
        <v>665</v>
      </c>
      <c r="F3357" s="121" t="s">
        <v>3009</v>
      </c>
      <c r="G3357" s="98" t="str">
        <f>HYPERLINK("http://mirror.ff7data.com.ar/ff7/data/battle/battle.lgp/gcba.png","View Picture")</f>
        <v>View Picture</v>
      </c>
    </row>
    <row r="3358">
      <c r="A3358" s="55"/>
      <c r="B3358" s="119" t="s">
        <v>34063</v>
      </c>
      <c r="C3358" s="120" t="s">
        <v>3370</v>
      </c>
      <c r="D3358" s="33" t="s">
        <v>33963</v>
      </c>
      <c r="E3358" s="51" t="s">
        <v>665</v>
      </c>
      <c r="F3358" s="121" t="s">
        <v>3009</v>
      </c>
      <c r="G3358" s="98" t="str">
        <f>HYPERLINK("http://mirror.ff7data.com.ar/ff7/data/battle/battle.lgp/gcbc.png","View Picture")</f>
        <v>View Picture</v>
      </c>
    </row>
    <row r="3359">
      <c r="A3359" s="55"/>
      <c r="B3359" s="119" t="s">
        <v>34071</v>
      </c>
      <c r="C3359" s="120" t="s">
        <v>4288</v>
      </c>
      <c r="D3359" s="33" t="s">
        <v>33963</v>
      </c>
      <c r="E3359" s="51" t="s">
        <v>665</v>
      </c>
      <c r="F3359" s="121" t="s">
        <v>3009</v>
      </c>
      <c r="G3359" s="98" t="str">
        <f>HYPERLINK("http://mirror.ff7data.com.ar/ff7/data/battle/battle.lgp/gcbe.png","View Picture")</f>
        <v>View Picture</v>
      </c>
    </row>
    <row r="3360">
      <c r="A3360" s="55"/>
      <c r="B3360" s="119" t="s">
        <v>34081</v>
      </c>
      <c r="C3360" s="120" t="s">
        <v>4288</v>
      </c>
      <c r="D3360" s="33" t="s">
        <v>33963</v>
      </c>
      <c r="E3360" s="51" t="s">
        <v>665</v>
      </c>
      <c r="F3360" s="121" t="s">
        <v>3009</v>
      </c>
      <c r="G3360" s="98" t="str">
        <f>HYPERLINK("http://mirror.ff7data.com.ar/ff7/data/battle/battle.lgp/gcbf.png","View Picture")</f>
        <v>View Picture</v>
      </c>
    </row>
    <row r="3361">
      <c r="A3361" s="55"/>
      <c r="B3361" s="119" t="s">
        <v>34089</v>
      </c>
      <c r="C3361" s="120" t="s">
        <v>4185</v>
      </c>
      <c r="D3361" s="33" t="s">
        <v>33963</v>
      </c>
      <c r="E3361" s="51" t="s">
        <v>665</v>
      </c>
      <c r="F3361" s="121" t="s">
        <v>3009</v>
      </c>
      <c r="G3361" s="98" t="str">
        <f>HYPERLINK("http://mirror.ff7data.com.ar/ff7/data/battle/battle.lgp/gcbh.png","View Picture")</f>
        <v>View Picture</v>
      </c>
    </row>
    <row r="3362">
      <c r="A3362" s="55"/>
      <c r="B3362" s="119" t="s">
        <v>34099</v>
      </c>
      <c r="C3362" s="120" t="s">
        <v>3614</v>
      </c>
      <c r="D3362" s="33" t="s">
        <v>33963</v>
      </c>
      <c r="E3362" s="51" t="s">
        <v>665</v>
      </c>
      <c r="F3362" s="121" t="s">
        <v>3009</v>
      </c>
      <c r="G3362" s="98" t="str">
        <f>HYPERLINK("http://mirror.ff7data.com.ar/ff7/data/battle/battle.lgp/gcbi.png","View Picture")</f>
        <v>View Picture</v>
      </c>
    </row>
    <row r="3363">
      <c r="A3363" s="55"/>
      <c r="B3363" s="119" t="s">
        <v>34108</v>
      </c>
      <c r="C3363" s="120" t="s">
        <v>4476</v>
      </c>
      <c r="D3363" s="33" t="s">
        <v>33963</v>
      </c>
      <c r="E3363" s="51" t="s">
        <v>665</v>
      </c>
      <c r="F3363" s="121" t="s">
        <v>3009</v>
      </c>
      <c r="G3363" s="98" t="str">
        <f>HYPERLINK("http://mirror.ff7data.com.ar/ff7/data/battle/battle.lgp/gcbj.png","View Picture")</f>
        <v>View Picture</v>
      </c>
    </row>
    <row r="3364">
      <c r="A3364" s="55"/>
      <c r="B3364" s="119" t="s">
        <v>34120</v>
      </c>
      <c r="C3364" s="120" t="s">
        <v>4732</v>
      </c>
      <c r="D3364" s="33" t="s">
        <v>33963</v>
      </c>
      <c r="E3364" s="51" t="s">
        <v>665</v>
      </c>
      <c r="F3364" s="121" t="s">
        <v>3009</v>
      </c>
      <c r="G3364" s="98" t="str">
        <f>HYPERLINK("http://mirror.ff7data.com.ar/ff7/data/battle/battle.lgp/gcbk.png","View Picture")</f>
        <v>View Picture</v>
      </c>
    </row>
    <row r="3365">
      <c r="A3365" s="55"/>
      <c r="B3365" s="119" t="s">
        <v>34139</v>
      </c>
      <c r="C3365" s="120" t="s">
        <v>6029</v>
      </c>
      <c r="D3365" s="33" t="s">
        <v>33963</v>
      </c>
      <c r="E3365" s="51" t="s">
        <v>665</v>
      </c>
      <c r="F3365" s="121" t="s">
        <v>3009</v>
      </c>
      <c r="G3365" s="98" t="str">
        <f>HYPERLINK("http://mirror.ff7data.com.ar/ff7/data/battle/battle.lgp/gcbm.png","View Picture")</f>
        <v>View Picture</v>
      </c>
    </row>
    <row r="3366">
      <c r="A3366" s="55"/>
      <c r="B3366" s="119" t="s">
        <v>34149</v>
      </c>
      <c r="C3366" s="120" t="s">
        <v>4185</v>
      </c>
      <c r="D3366" s="33" t="s">
        <v>33963</v>
      </c>
      <c r="E3366" s="51" t="s">
        <v>665</v>
      </c>
      <c r="F3366" s="121" t="s">
        <v>3009</v>
      </c>
      <c r="G3366" s="98" t="str">
        <f>HYPERLINK("http://mirror.ff7data.com.ar/ff7/data/battle/battle.lgp/gcbn.png","View Picture")</f>
        <v>View Picture</v>
      </c>
    </row>
    <row r="3367">
      <c r="A3367" s="55"/>
      <c r="B3367" s="119" t="s">
        <v>34158</v>
      </c>
      <c r="C3367" s="120" t="s">
        <v>4185</v>
      </c>
      <c r="D3367" s="33" t="s">
        <v>33963</v>
      </c>
      <c r="E3367" s="51" t="s">
        <v>665</v>
      </c>
      <c r="F3367" s="121" t="s">
        <v>3009</v>
      </c>
      <c r="G3367" s="98" t="str">
        <f>HYPERLINK("http://mirror.ff7data.com.ar/ff7/data/battle/battle.lgp/gcbo.png","View Picture")</f>
        <v>View Picture</v>
      </c>
    </row>
    <row r="3368">
      <c r="A3368" s="55"/>
      <c r="B3368" s="119" t="s">
        <v>34166</v>
      </c>
      <c r="C3368" s="120" t="s">
        <v>4288</v>
      </c>
      <c r="D3368" s="33" t="s">
        <v>33963</v>
      </c>
      <c r="E3368" s="51" t="s">
        <v>665</v>
      </c>
      <c r="F3368" s="121" t="s">
        <v>3009</v>
      </c>
      <c r="G3368" s="98" t="str">
        <f>HYPERLINK("http://mirror.ff7data.com.ar/ff7/data/battle/battle.lgp/gcbp.png","View Picture")</f>
        <v>View Picture</v>
      </c>
    </row>
    <row r="3369">
      <c r="A3369" s="55"/>
      <c r="B3369" s="119" t="s">
        <v>34176</v>
      </c>
      <c r="C3369" s="120" t="s">
        <v>5762</v>
      </c>
      <c r="D3369" s="33" t="s">
        <v>33963</v>
      </c>
      <c r="E3369" s="51" t="s">
        <v>665</v>
      </c>
      <c r="F3369" s="121" t="s">
        <v>3025</v>
      </c>
      <c r="H3369" s="46" t="s">
        <v>3002</v>
      </c>
    </row>
    <row r="3370">
      <c r="A3370" s="55"/>
      <c r="B3370" s="119" t="s">
        <v>34180</v>
      </c>
      <c r="C3370" s="120" t="s">
        <v>4846</v>
      </c>
      <c r="D3370" s="33" t="s">
        <v>34182</v>
      </c>
      <c r="E3370" s="51" t="s">
        <v>672</v>
      </c>
      <c r="F3370" s="121" t="s">
        <v>2971</v>
      </c>
      <c r="G3370" s="98" t="str">
        <f>HYPERLINK("http://mirror.ff7data.com.ar/ff7/data/battle/battle.lgp/gdaa.png","View Picture")</f>
        <v>View Picture</v>
      </c>
      <c r="H3370" s="46" t="s">
        <v>34187</v>
      </c>
    </row>
    <row r="3371">
      <c r="A3371" s="55"/>
      <c r="B3371" s="119" t="s">
        <v>34190</v>
      </c>
      <c r="C3371" s="120" t="s">
        <v>4846</v>
      </c>
      <c r="D3371" s="33" t="s">
        <v>34192</v>
      </c>
      <c r="E3371" s="51" t="s">
        <v>672</v>
      </c>
      <c r="F3371" s="121" t="s">
        <v>2993</v>
      </c>
      <c r="H3371" s="46" t="s">
        <v>3002</v>
      </c>
    </row>
    <row r="3372">
      <c r="A3372" s="55"/>
      <c r="B3372" s="119" t="s">
        <v>34194</v>
      </c>
      <c r="C3372" s="120" t="s">
        <v>4057</v>
      </c>
      <c r="D3372" s="33" t="s">
        <v>34192</v>
      </c>
      <c r="E3372" s="51" t="s">
        <v>672</v>
      </c>
      <c r="F3372" s="121" t="s">
        <v>3009</v>
      </c>
      <c r="G3372" s="98" t="str">
        <f>HYPERLINK("http://mirror.ff7data.com.ar/ff7/data/battle/battle.lgp/gdam.png","View Picture")</f>
        <v>View Picture</v>
      </c>
    </row>
    <row r="3373">
      <c r="A3373" s="55"/>
      <c r="B3373" s="119" t="s">
        <v>34203</v>
      </c>
      <c r="C3373" s="120" t="s">
        <v>4252</v>
      </c>
      <c r="D3373" s="33" t="s">
        <v>34192</v>
      </c>
      <c r="E3373" s="51" t="s">
        <v>672</v>
      </c>
      <c r="F3373" s="121" t="s">
        <v>3009</v>
      </c>
      <c r="G3373" s="98" t="str">
        <f>HYPERLINK("http://mirror.ff7data.com.ar/ff7/data/battle/battle.lgp/gdan.png","View Picture")</f>
        <v>View Picture</v>
      </c>
    </row>
    <row r="3374">
      <c r="A3374" s="55"/>
      <c r="B3374" s="119" t="s">
        <v>34210</v>
      </c>
      <c r="C3374" s="120" t="s">
        <v>3875</v>
      </c>
      <c r="D3374" s="33" t="s">
        <v>34192</v>
      </c>
      <c r="E3374" s="51" t="s">
        <v>672</v>
      </c>
      <c r="F3374" s="121" t="s">
        <v>3009</v>
      </c>
      <c r="G3374" s="98" t="str">
        <f>HYPERLINK("http://mirror.ff7data.com.ar/ff7/data/battle/battle.lgp/gdao.png","View Picture")</f>
        <v>View Picture</v>
      </c>
    </row>
    <row r="3375">
      <c r="A3375" s="55"/>
      <c r="B3375" s="119" t="s">
        <v>34216</v>
      </c>
      <c r="C3375" s="120" t="s">
        <v>4288</v>
      </c>
      <c r="D3375" s="33" t="s">
        <v>34192</v>
      </c>
      <c r="E3375" s="51" t="s">
        <v>672</v>
      </c>
      <c r="F3375" s="121" t="s">
        <v>3009</v>
      </c>
      <c r="G3375" s="98" t="str">
        <f>HYPERLINK("http://mirror.ff7data.com.ar/ff7/data/battle/battle.lgp/gdaq.png","View Picture")</f>
        <v>View Picture</v>
      </c>
    </row>
    <row r="3376">
      <c r="A3376" s="55"/>
      <c r="B3376" s="119" t="s">
        <v>34223</v>
      </c>
      <c r="C3376" s="120" t="s">
        <v>4732</v>
      </c>
      <c r="D3376" s="33" t="s">
        <v>34192</v>
      </c>
      <c r="E3376" s="51" t="s">
        <v>672</v>
      </c>
      <c r="F3376" s="121" t="s">
        <v>3009</v>
      </c>
      <c r="G3376" s="98" t="str">
        <f>HYPERLINK("http://mirror.ff7data.com.ar/ff7/data/battle/battle.lgp/gdar.png","View Picture")</f>
        <v>View Picture</v>
      </c>
    </row>
    <row r="3377">
      <c r="A3377" s="55"/>
      <c r="B3377" s="119" t="s">
        <v>34228</v>
      </c>
      <c r="C3377" s="120" t="s">
        <v>4288</v>
      </c>
      <c r="D3377" s="33" t="s">
        <v>34192</v>
      </c>
      <c r="E3377" s="51" t="s">
        <v>672</v>
      </c>
      <c r="F3377" s="121" t="s">
        <v>3009</v>
      </c>
      <c r="G3377" s="98" t="str">
        <f>HYPERLINK("http://mirror.ff7data.com.ar/ff7/data/battle/battle.lgp/gdat.png","View Picture")</f>
        <v>View Picture</v>
      </c>
    </row>
    <row r="3378">
      <c r="A3378" s="55"/>
      <c r="B3378" s="119" t="s">
        <v>34231</v>
      </c>
      <c r="C3378" s="120" t="s">
        <v>4732</v>
      </c>
      <c r="D3378" s="33" t="s">
        <v>34192</v>
      </c>
      <c r="E3378" s="51" t="s">
        <v>672</v>
      </c>
      <c r="F3378" s="121" t="s">
        <v>3009</v>
      </c>
      <c r="G3378" s="98" t="str">
        <f>HYPERLINK("http://mirror.ff7data.com.ar/ff7/data/battle/battle.lgp/gdau.png","View Picture")</f>
        <v>View Picture</v>
      </c>
    </row>
    <row r="3379">
      <c r="A3379" s="55"/>
      <c r="B3379" s="119" t="s">
        <v>34237</v>
      </c>
      <c r="C3379" s="120" t="s">
        <v>4707</v>
      </c>
      <c r="D3379" s="33" t="s">
        <v>34192</v>
      </c>
      <c r="E3379" s="51" t="s">
        <v>672</v>
      </c>
      <c r="F3379" s="121" t="s">
        <v>3009</v>
      </c>
      <c r="G3379" s="98" t="str">
        <f>HYPERLINK("http://mirror.ff7data.com.ar/ff7/data/battle/battle.lgp/gdaw.png","View Picture")</f>
        <v>View Picture</v>
      </c>
    </row>
    <row r="3380">
      <c r="A3380" s="55"/>
      <c r="B3380" s="119" t="s">
        <v>34246</v>
      </c>
      <c r="C3380" s="120" t="s">
        <v>4288</v>
      </c>
      <c r="D3380" s="33" t="s">
        <v>34192</v>
      </c>
      <c r="E3380" s="51" t="s">
        <v>672</v>
      </c>
      <c r="F3380" s="121" t="s">
        <v>3009</v>
      </c>
      <c r="G3380" s="98" t="str">
        <f>HYPERLINK("http://mirror.ff7data.com.ar/ff7/data/battle/battle.lgp/gdax.png","View Picture")</f>
        <v>View Picture</v>
      </c>
    </row>
    <row r="3381">
      <c r="A3381" s="55"/>
      <c r="B3381" s="119" t="s">
        <v>34253</v>
      </c>
      <c r="C3381" s="120" t="s">
        <v>7148</v>
      </c>
      <c r="D3381" s="33" t="s">
        <v>34192</v>
      </c>
      <c r="E3381" s="51" t="s">
        <v>672</v>
      </c>
      <c r="F3381" s="121" t="s">
        <v>3009</v>
      </c>
      <c r="G3381" s="98" t="str">
        <f>HYPERLINK("http://mirror.ff7data.com.ar/ff7/data/battle/battle.lgp/gday.png","View Picture")</f>
        <v>View Picture</v>
      </c>
    </row>
    <row r="3382">
      <c r="A3382" s="55"/>
      <c r="B3382" s="119" t="s">
        <v>34260</v>
      </c>
      <c r="C3382" s="120" t="s">
        <v>5419</v>
      </c>
      <c r="D3382" s="33" t="s">
        <v>34192</v>
      </c>
      <c r="E3382" s="51" t="s">
        <v>672</v>
      </c>
      <c r="F3382" s="121" t="s">
        <v>3009</v>
      </c>
      <c r="G3382" s="98" t="str">
        <f>HYPERLINK("http://mirror.ff7data.com.ar/ff7/data/battle/battle.lgp/gdaz.png","View Picture")</f>
        <v>View Picture</v>
      </c>
    </row>
    <row r="3383">
      <c r="A3383" s="55"/>
      <c r="B3383" s="119" t="s">
        <v>34272</v>
      </c>
      <c r="C3383" s="120" t="s">
        <v>4707</v>
      </c>
      <c r="D3383" s="33" t="s">
        <v>34192</v>
      </c>
      <c r="E3383" s="51" t="s">
        <v>672</v>
      </c>
      <c r="F3383" s="121" t="s">
        <v>3009</v>
      </c>
      <c r="G3383" s="98" t="str">
        <f>HYPERLINK("http://mirror.ff7data.com.ar/ff7/data/battle/battle.lgp/gdbb.png","View Picture")</f>
        <v>View Picture</v>
      </c>
    </row>
    <row r="3384">
      <c r="A3384" s="55"/>
      <c r="B3384" s="119" t="s">
        <v>34282</v>
      </c>
      <c r="C3384" s="120" t="s">
        <v>4288</v>
      </c>
      <c r="D3384" s="33" t="s">
        <v>34192</v>
      </c>
      <c r="E3384" s="51" t="s">
        <v>672</v>
      </c>
      <c r="F3384" s="121" t="s">
        <v>3009</v>
      </c>
      <c r="G3384" s="98" t="str">
        <f>HYPERLINK("http://mirror.ff7data.com.ar/ff7/data/battle/battle.lgp/gdbc.png","View Picture")</f>
        <v>View Picture</v>
      </c>
    </row>
    <row r="3385">
      <c r="A3385" s="55"/>
      <c r="B3385" s="119" t="s">
        <v>34294</v>
      </c>
      <c r="C3385" s="120" t="s">
        <v>7148</v>
      </c>
      <c r="D3385" s="33" t="s">
        <v>34192</v>
      </c>
      <c r="E3385" s="51" t="s">
        <v>672</v>
      </c>
      <c r="F3385" s="121" t="s">
        <v>3009</v>
      </c>
      <c r="G3385" s="98" t="str">
        <f>HYPERLINK("http://mirror.ff7data.com.ar/ff7/data/battle/battle.lgp/gdbd.png","View Picture")</f>
        <v>View Picture</v>
      </c>
    </row>
    <row r="3386">
      <c r="A3386" s="55"/>
      <c r="B3386" s="119" t="s">
        <v>34301</v>
      </c>
      <c r="C3386" s="120" t="s">
        <v>5419</v>
      </c>
      <c r="D3386" s="33" t="s">
        <v>34192</v>
      </c>
      <c r="E3386" s="51" t="s">
        <v>672</v>
      </c>
      <c r="F3386" s="121" t="s">
        <v>3009</v>
      </c>
      <c r="G3386" s="98" t="str">
        <f>HYPERLINK("http://mirror.ff7data.com.ar/ff7/data/battle/battle.lgp/gdbe.png","View Picture")</f>
        <v>View Picture</v>
      </c>
    </row>
    <row r="3387">
      <c r="A3387" s="55"/>
      <c r="B3387" s="119" t="s">
        <v>34311</v>
      </c>
      <c r="C3387" s="120" t="s">
        <v>4264</v>
      </c>
      <c r="D3387" s="33" t="s">
        <v>34192</v>
      </c>
      <c r="E3387" s="51" t="s">
        <v>672</v>
      </c>
      <c r="F3387" s="121" t="s">
        <v>3009</v>
      </c>
      <c r="G3387" s="98" t="str">
        <f>HYPERLINK("http://mirror.ff7data.com.ar/ff7/data/battle/battle.lgp/gdbg.png","View Picture")</f>
        <v>View Picture</v>
      </c>
    </row>
    <row r="3388">
      <c r="A3388" s="55"/>
      <c r="B3388" s="119" t="s">
        <v>34319</v>
      </c>
      <c r="C3388" s="120" t="s">
        <v>7148</v>
      </c>
      <c r="D3388" s="33" t="s">
        <v>34192</v>
      </c>
      <c r="E3388" s="51" t="s">
        <v>672</v>
      </c>
      <c r="F3388" s="121" t="s">
        <v>3009</v>
      </c>
      <c r="G3388" s="98" t="str">
        <f>HYPERLINK("http://mirror.ff7data.com.ar/ff7/data/battle/battle.lgp/gdbh.png","View Picture")</f>
        <v>View Picture</v>
      </c>
    </row>
    <row r="3389">
      <c r="A3389" s="55"/>
      <c r="B3389" s="119" t="s">
        <v>34326</v>
      </c>
      <c r="C3389" s="120" t="s">
        <v>7148</v>
      </c>
      <c r="D3389" s="33" t="s">
        <v>34192</v>
      </c>
      <c r="E3389" s="51" t="s">
        <v>672</v>
      </c>
      <c r="F3389" s="121" t="s">
        <v>3009</v>
      </c>
      <c r="G3389" s="98" t="str">
        <f>HYPERLINK("http://mirror.ff7data.com.ar/ff7/data/battle/battle.lgp/gdbi.png","View Picture")</f>
        <v>View Picture</v>
      </c>
    </row>
    <row r="3390">
      <c r="A3390" s="55"/>
      <c r="B3390" s="119" t="s">
        <v>34334</v>
      </c>
      <c r="C3390" s="120" t="s">
        <v>3842</v>
      </c>
      <c r="D3390" s="33" t="s">
        <v>34192</v>
      </c>
      <c r="E3390" s="51" t="s">
        <v>672</v>
      </c>
      <c r="F3390" s="121" t="s">
        <v>3009</v>
      </c>
      <c r="G3390" s="98" t="str">
        <f>HYPERLINK("http://mirror.ff7data.com.ar/ff7/data/battle/battle.lgp/gdbj.png","View Picture")</f>
        <v>View Picture</v>
      </c>
    </row>
    <row r="3391">
      <c r="A3391" s="55"/>
      <c r="B3391" s="119" t="s">
        <v>34339</v>
      </c>
      <c r="C3391" s="120" t="s">
        <v>4264</v>
      </c>
      <c r="D3391" s="33" t="s">
        <v>34192</v>
      </c>
      <c r="E3391" s="51" t="s">
        <v>672</v>
      </c>
      <c r="F3391" s="121" t="s">
        <v>3009</v>
      </c>
      <c r="G3391" s="98" t="str">
        <f>HYPERLINK("http://mirror.ff7data.com.ar/ff7/data/battle/battle.lgp/gdbl.png","View Picture")</f>
        <v>View Picture</v>
      </c>
    </row>
    <row r="3392">
      <c r="A3392" s="55"/>
      <c r="B3392" s="119" t="s">
        <v>34347</v>
      </c>
      <c r="C3392" s="120" t="s">
        <v>7148</v>
      </c>
      <c r="D3392" s="33" t="s">
        <v>34192</v>
      </c>
      <c r="E3392" s="51" t="s">
        <v>672</v>
      </c>
      <c r="F3392" s="121" t="s">
        <v>3009</v>
      </c>
      <c r="G3392" s="98" t="str">
        <f>HYPERLINK("http://mirror.ff7data.com.ar/ff7/data/battle/battle.lgp/gdbm.png","View Picture")</f>
        <v>View Picture</v>
      </c>
    </row>
    <row r="3393">
      <c r="A3393" s="55"/>
      <c r="B3393" s="119" t="s">
        <v>34352</v>
      </c>
      <c r="C3393" s="120" t="s">
        <v>7148</v>
      </c>
      <c r="D3393" s="33" t="s">
        <v>34192</v>
      </c>
      <c r="E3393" s="51" t="s">
        <v>672</v>
      </c>
      <c r="F3393" s="121" t="s">
        <v>3009</v>
      </c>
      <c r="G3393" s="98" t="str">
        <f>HYPERLINK("http://mirror.ff7data.com.ar/ff7/data/battle/battle.lgp/gdbn.png","View Picture")</f>
        <v>View Picture</v>
      </c>
    </row>
    <row r="3394">
      <c r="A3394" s="55"/>
      <c r="B3394" s="119" t="s">
        <v>34360</v>
      </c>
      <c r="C3394" s="120" t="s">
        <v>3842</v>
      </c>
      <c r="D3394" s="33" t="s">
        <v>34192</v>
      </c>
      <c r="E3394" s="51" t="s">
        <v>672</v>
      </c>
      <c r="F3394" s="121" t="s">
        <v>3009</v>
      </c>
      <c r="G3394" s="98" t="str">
        <f>HYPERLINK("http://mirror.ff7data.com.ar/ff7/data/battle/battle.lgp/gdbo.png","View Picture")</f>
        <v>View Picture</v>
      </c>
    </row>
    <row r="3395">
      <c r="A3395" s="55"/>
      <c r="B3395" s="119" t="s">
        <v>34366</v>
      </c>
      <c r="C3395" s="120" t="s">
        <v>7148</v>
      </c>
      <c r="D3395" s="33" t="s">
        <v>34192</v>
      </c>
      <c r="E3395" s="51" t="s">
        <v>672</v>
      </c>
      <c r="F3395" s="121" t="s">
        <v>3009</v>
      </c>
      <c r="G3395" s="98" t="str">
        <f>HYPERLINK("http://mirror.ff7data.com.ar/ff7/data/battle/battle.lgp/gdbp.png","View Picture")</f>
        <v>View Picture</v>
      </c>
    </row>
    <row r="3396">
      <c r="A3396" s="55"/>
      <c r="B3396" s="119" t="s">
        <v>34369</v>
      </c>
      <c r="C3396" s="120" t="s">
        <v>7148</v>
      </c>
      <c r="D3396" s="33" t="s">
        <v>34192</v>
      </c>
      <c r="E3396" s="51" t="s">
        <v>672</v>
      </c>
      <c r="F3396" s="121" t="s">
        <v>3009</v>
      </c>
      <c r="G3396" s="98" t="str">
        <f>HYPERLINK("http://mirror.ff7data.com.ar/ff7/data/battle/battle.lgp/gdbq.png","View Picture")</f>
        <v>View Picture</v>
      </c>
    </row>
    <row r="3397">
      <c r="A3397" s="55"/>
      <c r="B3397" s="119" t="s">
        <v>34376</v>
      </c>
      <c r="C3397" s="120" t="s">
        <v>7148</v>
      </c>
      <c r="D3397" s="33" t="s">
        <v>34192</v>
      </c>
      <c r="E3397" s="51" t="s">
        <v>672</v>
      </c>
      <c r="F3397" s="121" t="s">
        <v>3009</v>
      </c>
      <c r="G3397" s="98" t="str">
        <f>HYPERLINK("http://mirror.ff7data.com.ar/ff7/data/battle/battle.lgp/gdbr.png","View Picture")</f>
        <v>View Picture</v>
      </c>
    </row>
    <row r="3398">
      <c r="A3398" s="55"/>
      <c r="B3398" s="119" t="s">
        <v>34386</v>
      </c>
      <c r="C3398" s="120" t="s">
        <v>4841</v>
      </c>
      <c r="D3398" s="33" t="s">
        <v>34192</v>
      </c>
      <c r="E3398" s="51" t="s">
        <v>672</v>
      </c>
      <c r="F3398" s="121" t="s">
        <v>3025</v>
      </c>
      <c r="H3398" s="46" t="s">
        <v>3002</v>
      </c>
    </row>
    <row r="3399">
      <c r="A3399" s="55"/>
      <c r="B3399" s="119" t="s">
        <v>34389</v>
      </c>
      <c r="C3399" s="120" t="s">
        <v>9973</v>
      </c>
      <c r="D3399" s="33" t="s">
        <v>34391</v>
      </c>
      <c r="E3399" s="51" t="s">
        <v>676</v>
      </c>
      <c r="F3399" s="121" t="s">
        <v>2971</v>
      </c>
      <c r="G3399" s="98" t="str">
        <f>HYPERLINK("http://mirror.ff7data.com.ar/ff7/data/battle/battle.lgp/geaa.png","View Picture")</f>
        <v>View Picture</v>
      </c>
    </row>
    <row r="3400">
      <c r="A3400" s="55"/>
      <c r="B3400" s="119" t="s">
        <v>34399</v>
      </c>
      <c r="C3400" s="120" t="s">
        <v>9790</v>
      </c>
      <c r="D3400" s="33" t="s">
        <v>34400</v>
      </c>
      <c r="E3400" s="51" t="s">
        <v>676</v>
      </c>
      <c r="F3400" s="121" t="s">
        <v>2993</v>
      </c>
      <c r="H3400" s="46" t="s">
        <v>3002</v>
      </c>
    </row>
    <row r="3401">
      <c r="A3401" s="55"/>
      <c r="B3401" s="119" t="s">
        <v>34403</v>
      </c>
      <c r="C3401" s="120" t="s">
        <v>3343</v>
      </c>
      <c r="D3401" s="33" t="s">
        <v>34400</v>
      </c>
      <c r="E3401" s="51" t="s">
        <v>676</v>
      </c>
      <c r="F3401" s="121" t="s">
        <v>3009</v>
      </c>
      <c r="G3401" s="98" t="str">
        <f>HYPERLINK("http://mirror.ff7data.com.ar/ff7/data/battle/battle.lgp/geam.png","View Picture")</f>
        <v>View Picture</v>
      </c>
    </row>
    <row r="3402">
      <c r="A3402" s="55"/>
      <c r="B3402" s="119" t="s">
        <v>34410</v>
      </c>
      <c r="C3402" s="120" t="s">
        <v>3614</v>
      </c>
      <c r="D3402" s="33" t="s">
        <v>34400</v>
      </c>
      <c r="E3402" s="51" t="s">
        <v>676</v>
      </c>
      <c r="F3402" s="121" t="s">
        <v>3009</v>
      </c>
      <c r="G3402" s="98" t="str">
        <f>HYPERLINK("http://mirror.ff7data.com.ar/ff7/data/battle/battle.lgp/gean.png","View Picture")</f>
        <v>View Picture</v>
      </c>
    </row>
    <row r="3403">
      <c r="A3403" s="55"/>
      <c r="B3403" s="119" t="s">
        <v>34416</v>
      </c>
      <c r="C3403" s="120" t="s">
        <v>4057</v>
      </c>
      <c r="D3403" s="33" t="s">
        <v>34400</v>
      </c>
      <c r="E3403" s="51" t="s">
        <v>676</v>
      </c>
      <c r="F3403" s="121" t="s">
        <v>3009</v>
      </c>
      <c r="G3403" s="98" t="str">
        <f>HYPERLINK("http://mirror.ff7data.com.ar/ff7/data/battle/battle.lgp/geao.png","View Picture")</f>
        <v>View Picture</v>
      </c>
    </row>
    <row r="3404">
      <c r="A3404" s="55"/>
      <c r="B3404" s="119" t="s">
        <v>34422</v>
      </c>
      <c r="C3404" s="120" t="s">
        <v>4057</v>
      </c>
      <c r="D3404" s="33" t="s">
        <v>34400</v>
      </c>
      <c r="E3404" s="51" t="s">
        <v>676</v>
      </c>
      <c r="F3404" s="121" t="s">
        <v>3009</v>
      </c>
      <c r="G3404" s="98" t="str">
        <f>HYPERLINK("http://mirror.ff7data.com.ar/ff7/data/battle/battle.lgp/geap.png","View Picture")</f>
        <v>View Picture</v>
      </c>
    </row>
    <row r="3405">
      <c r="A3405" s="55"/>
      <c r="B3405" s="119" t="s">
        <v>34428</v>
      </c>
      <c r="C3405" s="120" t="s">
        <v>7081</v>
      </c>
      <c r="D3405" s="33" t="s">
        <v>34400</v>
      </c>
      <c r="E3405" s="51" t="s">
        <v>676</v>
      </c>
      <c r="F3405" s="121" t="s">
        <v>3009</v>
      </c>
      <c r="G3405" s="98" t="str">
        <f>HYPERLINK("http://mirror.ff7data.com.ar/ff7/data/battle/battle.lgp/geaq.png","View Picture")</f>
        <v>View Picture</v>
      </c>
    </row>
    <row r="3406">
      <c r="A3406" s="55"/>
      <c r="B3406" s="119" t="s">
        <v>34433</v>
      </c>
      <c r="C3406" s="120" t="s">
        <v>10078</v>
      </c>
      <c r="D3406" s="33" t="s">
        <v>34400</v>
      </c>
      <c r="E3406" s="51" t="s">
        <v>676</v>
      </c>
      <c r="F3406" s="121" t="s">
        <v>3009</v>
      </c>
      <c r="G3406" s="98" t="str">
        <f>HYPERLINK("http://mirror.ff7data.com.ar/ff7/data/battle/battle.lgp/gear.png","View Picture")</f>
        <v>View Picture</v>
      </c>
    </row>
    <row r="3407">
      <c r="A3407" s="55"/>
      <c r="B3407" s="119" t="s">
        <v>34437</v>
      </c>
      <c r="C3407" s="120" t="s">
        <v>5419</v>
      </c>
      <c r="D3407" s="33" t="s">
        <v>34400</v>
      </c>
      <c r="E3407" s="51" t="s">
        <v>676</v>
      </c>
      <c r="F3407" s="121" t="s">
        <v>3009</v>
      </c>
      <c r="G3407" s="98" t="str">
        <f>HYPERLINK("http://mirror.ff7data.com.ar/ff7/data/battle/battle.lgp/geat.png","View Picture")</f>
        <v>View Picture</v>
      </c>
    </row>
    <row r="3408">
      <c r="A3408" s="55"/>
      <c r="B3408" s="119" t="s">
        <v>34439</v>
      </c>
      <c r="C3408" s="120" t="s">
        <v>4252</v>
      </c>
      <c r="D3408" s="33" t="s">
        <v>34400</v>
      </c>
      <c r="E3408" s="51" t="s">
        <v>676</v>
      </c>
      <c r="F3408" s="121" t="s">
        <v>3009</v>
      </c>
      <c r="G3408" s="98" t="str">
        <f>HYPERLINK("http://mirror.ff7data.com.ar/ff7/data/battle/battle.lgp/geau.png","View Picture")</f>
        <v>View Picture</v>
      </c>
    </row>
    <row r="3409">
      <c r="A3409" s="55"/>
      <c r="B3409" s="119" t="s">
        <v>34441</v>
      </c>
      <c r="C3409" s="120" t="s">
        <v>4057</v>
      </c>
      <c r="D3409" s="33" t="s">
        <v>34400</v>
      </c>
      <c r="E3409" s="51" t="s">
        <v>676</v>
      </c>
      <c r="F3409" s="121" t="s">
        <v>3009</v>
      </c>
      <c r="G3409" s="98" t="str">
        <f>HYPERLINK("http://mirror.ff7data.com.ar/ff7/data/battle/battle.lgp/geaw.png","View Picture")</f>
        <v>View Picture</v>
      </c>
    </row>
    <row r="3410">
      <c r="A3410" s="55"/>
      <c r="B3410" s="119" t="s">
        <v>34443</v>
      </c>
      <c r="C3410" s="120" t="s">
        <v>7270</v>
      </c>
      <c r="D3410" s="33" t="s">
        <v>34400</v>
      </c>
      <c r="E3410" s="51" t="s">
        <v>676</v>
      </c>
      <c r="F3410" s="121" t="s">
        <v>3009</v>
      </c>
      <c r="G3410" s="98" t="str">
        <f>HYPERLINK("http://mirror.ff7data.com.ar/ff7/data/battle/battle.lgp/geax.png","View Picture")</f>
        <v>View Picture</v>
      </c>
    </row>
    <row r="3411">
      <c r="A3411" s="55"/>
      <c r="B3411" s="119" t="s">
        <v>34444</v>
      </c>
      <c r="C3411" s="120" t="s">
        <v>4732</v>
      </c>
      <c r="D3411" s="33" t="s">
        <v>34400</v>
      </c>
      <c r="E3411" s="51" t="s">
        <v>676</v>
      </c>
      <c r="F3411" s="121" t="s">
        <v>3009</v>
      </c>
      <c r="G3411" s="98" t="str">
        <f>HYPERLINK("http://mirror.ff7data.com.ar/ff7/data/battle/battle.lgp/geaz.png","View Picture")</f>
        <v>View Picture</v>
      </c>
    </row>
    <row r="3412">
      <c r="A3412" s="55"/>
      <c r="B3412" s="119" t="s">
        <v>34446</v>
      </c>
      <c r="C3412" s="120" t="s">
        <v>4288</v>
      </c>
      <c r="D3412" s="33" t="s">
        <v>34400</v>
      </c>
      <c r="E3412" s="51" t="s">
        <v>676</v>
      </c>
      <c r="F3412" s="121" t="s">
        <v>3009</v>
      </c>
      <c r="G3412" s="98" t="str">
        <f>HYPERLINK("http://mirror.ff7data.com.ar/ff7/data/battle/battle.lgp/geba.png","View Picture")</f>
        <v>View Picture</v>
      </c>
    </row>
    <row r="3413">
      <c r="A3413" s="55"/>
      <c r="B3413" s="119" t="s">
        <v>34455</v>
      </c>
      <c r="C3413" s="120" t="s">
        <v>4288</v>
      </c>
      <c r="D3413" s="33" t="s">
        <v>34400</v>
      </c>
      <c r="E3413" s="51" t="s">
        <v>676</v>
      </c>
      <c r="F3413" s="121" t="s">
        <v>3009</v>
      </c>
      <c r="G3413" s="98" t="str">
        <f>HYPERLINK("http://mirror.ff7data.com.ar/ff7/data/battle/battle.lgp/gebb.png","View Picture")</f>
        <v>View Picture</v>
      </c>
    </row>
    <row r="3414">
      <c r="A3414" s="55"/>
      <c r="B3414" s="119" t="s">
        <v>34457</v>
      </c>
      <c r="C3414" s="120" t="s">
        <v>4439</v>
      </c>
      <c r="D3414" s="33" t="s">
        <v>34400</v>
      </c>
      <c r="E3414" s="51" t="s">
        <v>676</v>
      </c>
      <c r="F3414" s="121" t="s">
        <v>3009</v>
      </c>
      <c r="G3414" s="98" t="str">
        <f>HYPERLINK("http://mirror.ff7data.com.ar/ff7/data/battle/battle.lgp/gebd.png","View Picture")</f>
        <v>View Picture</v>
      </c>
    </row>
    <row r="3415">
      <c r="A3415" s="55"/>
      <c r="B3415" s="119" t="s">
        <v>34461</v>
      </c>
      <c r="C3415" s="120" t="s">
        <v>4732</v>
      </c>
      <c r="D3415" s="33" t="s">
        <v>34400</v>
      </c>
      <c r="E3415" s="51" t="s">
        <v>676</v>
      </c>
      <c r="F3415" s="121" t="s">
        <v>3009</v>
      </c>
      <c r="G3415" s="98" t="str">
        <f>HYPERLINK("http://mirror.ff7data.com.ar/ff7/data/battle/battle.lgp/gebf.png","View Picture")</f>
        <v>View Picture</v>
      </c>
    </row>
    <row r="3416">
      <c r="A3416" s="55"/>
      <c r="B3416" s="119" t="s">
        <v>34464</v>
      </c>
      <c r="C3416" s="120" t="s">
        <v>4439</v>
      </c>
      <c r="D3416" s="33" t="s">
        <v>34400</v>
      </c>
      <c r="E3416" s="51" t="s">
        <v>676</v>
      </c>
      <c r="F3416" s="121" t="s">
        <v>3009</v>
      </c>
      <c r="G3416" s="98" t="str">
        <f>HYPERLINK("http://mirror.ff7data.com.ar/ff7/data/battle/battle.lgp/gebg.png","View Picture")</f>
        <v>View Picture</v>
      </c>
    </row>
    <row r="3417">
      <c r="A3417" s="55"/>
      <c r="B3417" s="119" t="s">
        <v>34467</v>
      </c>
      <c r="C3417" s="120" t="s">
        <v>4732</v>
      </c>
      <c r="D3417" s="33" t="s">
        <v>34400</v>
      </c>
      <c r="E3417" s="51" t="s">
        <v>676</v>
      </c>
      <c r="F3417" s="121" t="s">
        <v>3009</v>
      </c>
      <c r="G3417" s="98" t="str">
        <f>HYPERLINK("http://mirror.ff7data.com.ar/ff7/data/battle/battle.lgp/gebi.png","View Picture")</f>
        <v>View Picture</v>
      </c>
    </row>
    <row r="3418">
      <c r="A3418" s="55"/>
      <c r="B3418" s="119" t="s">
        <v>34470</v>
      </c>
      <c r="C3418" s="120" t="s">
        <v>4288</v>
      </c>
      <c r="D3418" s="33" t="s">
        <v>34400</v>
      </c>
      <c r="E3418" s="51" t="s">
        <v>676</v>
      </c>
      <c r="F3418" s="121" t="s">
        <v>3009</v>
      </c>
      <c r="G3418" s="98" t="str">
        <f>HYPERLINK("http://mirror.ff7data.com.ar/ff7/data/battle/battle.lgp/gebj.png","View Picture")</f>
        <v>View Picture</v>
      </c>
    </row>
    <row r="3419">
      <c r="A3419" s="55"/>
      <c r="B3419" s="119" t="s">
        <v>34473</v>
      </c>
      <c r="C3419" s="120" t="s">
        <v>4288</v>
      </c>
      <c r="D3419" s="33" t="s">
        <v>34400</v>
      </c>
      <c r="E3419" s="51" t="s">
        <v>676</v>
      </c>
      <c r="F3419" s="121" t="s">
        <v>3009</v>
      </c>
      <c r="G3419" s="98" t="str">
        <f>HYPERLINK("http://mirror.ff7data.com.ar/ff7/data/battle/battle.lgp/gebk.png","View Picture")</f>
        <v>View Picture</v>
      </c>
    </row>
    <row r="3420">
      <c r="A3420" s="55"/>
      <c r="B3420" s="119" t="s">
        <v>34475</v>
      </c>
      <c r="C3420" s="120" t="s">
        <v>4439</v>
      </c>
      <c r="D3420" s="33" t="s">
        <v>34400</v>
      </c>
      <c r="E3420" s="51" t="s">
        <v>676</v>
      </c>
      <c r="F3420" s="121" t="s">
        <v>3009</v>
      </c>
      <c r="G3420" s="98" t="str">
        <f>HYPERLINK("http://mirror.ff7data.com.ar/ff7/data/battle/battle.lgp/gebm.png","View Picture")</f>
        <v>View Picture</v>
      </c>
    </row>
    <row r="3421">
      <c r="A3421" s="55"/>
      <c r="B3421" s="119" t="s">
        <v>34478</v>
      </c>
      <c r="C3421" s="120" t="s">
        <v>4439</v>
      </c>
      <c r="D3421" s="33" t="s">
        <v>34400</v>
      </c>
      <c r="E3421" s="51" t="s">
        <v>676</v>
      </c>
      <c r="F3421" s="121" t="s">
        <v>3009</v>
      </c>
      <c r="G3421" s="98" t="str">
        <f>HYPERLINK("http://mirror.ff7data.com.ar/ff7/data/battle/battle.lgp/gebo.png","View Picture")</f>
        <v>View Picture</v>
      </c>
    </row>
    <row r="3422">
      <c r="A3422" s="55"/>
      <c r="B3422" s="119" t="s">
        <v>34480</v>
      </c>
      <c r="C3422" s="120" t="s">
        <v>4439</v>
      </c>
      <c r="D3422" s="33" t="s">
        <v>34400</v>
      </c>
      <c r="E3422" s="51" t="s">
        <v>676</v>
      </c>
      <c r="F3422" s="121" t="s">
        <v>3009</v>
      </c>
      <c r="G3422" s="98" t="str">
        <f>HYPERLINK("http://mirror.ff7data.com.ar/ff7/data/battle/battle.lgp/gebp.png","View Picture")</f>
        <v>View Picture</v>
      </c>
    </row>
    <row r="3423">
      <c r="A3423" s="55"/>
      <c r="B3423" s="119" t="s">
        <v>34482</v>
      </c>
      <c r="C3423" s="120" t="s">
        <v>6029</v>
      </c>
      <c r="D3423" s="33" t="s">
        <v>34400</v>
      </c>
      <c r="E3423" s="51" t="s">
        <v>676</v>
      </c>
      <c r="F3423" s="121" t="s">
        <v>3009</v>
      </c>
      <c r="G3423" s="98" t="str">
        <f>HYPERLINK("http://mirror.ff7data.com.ar/ff7/data/battle/battle.lgp/gebr.png","View Picture")</f>
        <v>View Picture</v>
      </c>
    </row>
    <row r="3424">
      <c r="A3424" s="55"/>
      <c r="B3424" s="119" t="s">
        <v>34484</v>
      </c>
      <c r="C3424" s="120" t="s">
        <v>4288</v>
      </c>
      <c r="D3424" s="33" t="s">
        <v>34400</v>
      </c>
      <c r="E3424" s="51" t="s">
        <v>676</v>
      </c>
      <c r="F3424" s="121" t="s">
        <v>3009</v>
      </c>
      <c r="G3424" s="98" t="str">
        <f>HYPERLINK("http://mirror.ff7data.com.ar/ff7/data/battle/battle.lgp/gebs.png","View Picture")</f>
        <v>View Picture</v>
      </c>
    </row>
    <row r="3425">
      <c r="A3425" s="55"/>
      <c r="B3425" s="119" t="s">
        <v>34486</v>
      </c>
      <c r="C3425" s="120" t="s">
        <v>4288</v>
      </c>
      <c r="D3425" s="33" t="s">
        <v>34400</v>
      </c>
      <c r="E3425" s="51" t="s">
        <v>676</v>
      </c>
      <c r="F3425" s="121" t="s">
        <v>3009</v>
      </c>
      <c r="G3425" s="98" t="str">
        <f>HYPERLINK("http://mirror.ff7data.com.ar/ff7/data/battle/battle.lgp/gebt.png","View Picture")</f>
        <v>View Picture</v>
      </c>
    </row>
    <row r="3426">
      <c r="A3426" s="55"/>
      <c r="B3426" s="119" t="s">
        <v>34489</v>
      </c>
      <c r="C3426" s="120" t="s">
        <v>21725</v>
      </c>
      <c r="D3426" s="33" t="s">
        <v>34400</v>
      </c>
      <c r="E3426" s="51" t="s">
        <v>676</v>
      </c>
      <c r="F3426" s="121" t="s">
        <v>3009</v>
      </c>
      <c r="G3426" s="98" t="str">
        <f>HYPERLINK("http://mirror.ff7data.com.ar/ff7/data/battle/battle.lgp/gebv.png","View Picture")</f>
        <v>View Picture</v>
      </c>
    </row>
    <row r="3427">
      <c r="A3427" s="55"/>
      <c r="B3427" s="119" t="s">
        <v>34491</v>
      </c>
      <c r="C3427" s="120" t="s">
        <v>10899</v>
      </c>
      <c r="D3427" s="33" t="s">
        <v>34400</v>
      </c>
      <c r="E3427" s="51" t="s">
        <v>676</v>
      </c>
      <c r="F3427" s="121" t="s">
        <v>3009</v>
      </c>
      <c r="G3427" s="98" t="str">
        <f>HYPERLINK("http://mirror.ff7data.com.ar/ff7/data/battle/battle.lgp/gebw.png","View Picture")</f>
        <v>View Picture</v>
      </c>
    </row>
    <row r="3428">
      <c r="A3428" s="55"/>
      <c r="B3428" s="119" t="s">
        <v>34494</v>
      </c>
      <c r="C3428" s="120" t="s">
        <v>6515</v>
      </c>
      <c r="D3428" s="33" t="s">
        <v>34400</v>
      </c>
      <c r="E3428" s="51" t="s">
        <v>676</v>
      </c>
      <c r="F3428" s="121" t="s">
        <v>3009</v>
      </c>
      <c r="G3428" s="98" t="str">
        <f>HYPERLINK("http://mirror.ff7data.com.ar/ff7/data/battle/battle.lgp/geby.png","View Picture")</f>
        <v>View Picture</v>
      </c>
    </row>
    <row r="3429">
      <c r="A3429" s="55"/>
      <c r="B3429" s="119" t="s">
        <v>34496</v>
      </c>
      <c r="C3429" s="120" t="s">
        <v>10899</v>
      </c>
      <c r="D3429" s="33" t="s">
        <v>34400</v>
      </c>
      <c r="E3429" s="51" t="s">
        <v>676</v>
      </c>
      <c r="F3429" s="121" t="s">
        <v>3009</v>
      </c>
      <c r="G3429" s="98" t="str">
        <f>HYPERLINK("http://mirror.ff7data.com.ar/ff7/data/battle/battle.lgp/gebz.png","View Picture")</f>
        <v>View Picture</v>
      </c>
    </row>
    <row r="3430">
      <c r="A3430" s="55"/>
      <c r="B3430" s="119" t="s">
        <v>34498</v>
      </c>
      <c r="C3430" s="120" t="s">
        <v>34499</v>
      </c>
      <c r="D3430" s="33" t="s">
        <v>34400</v>
      </c>
      <c r="E3430" s="51" t="s">
        <v>676</v>
      </c>
      <c r="F3430" s="121" t="s">
        <v>3025</v>
      </c>
      <c r="H3430" s="46" t="s">
        <v>3002</v>
      </c>
    </row>
    <row r="3431">
      <c r="A3431" s="55"/>
      <c r="B3431" s="119" t="s">
        <v>34501</v>
      </c>
      <c r="C3431" s="120" t="s">
        <v>2989</v>
      </c>
      <c r="D3431" s="33" t="s">
        <v>34502</v>
      </c>
      <c r="E3431" s="51" t="s">
        <v>680</v>
      </c>
      <c r="F3431" s="121" t="s">
        <v>2971</v>
      </c>
      <c r="G3431" s="98" t="str">
        <f>HYPERLINK("http://mirror.ff7data.com.ar/ff7/data/battle/battle.lgp/gfaa.png","View Picture")</f>
        <v>View Picture</v>
      </c>
    </row>
    <row r="3432">
      <c r="A3432" s="55"/>
      <c r="B3432" s="119" t="s">
        <v>34503</v>
      </c>
      <c r="C3432" s="120" t="s">
        <v>32542</v>
      </c>
      <c r="D3432" s="33" t="s">
        <v>34505</v>
      </c>
      <c r="E3432" s="51" t="s">
        <v>680</v>
      </c>
      <c r="F3432" s="121" t="s">
        <v>2993</v>
      </c>
      <c r="H3432" s="46" t="s">
        <v>3002</v>
      </c>
    </row>
    <row r="3433">
      <c r="A3433" s="55"/>
      <c r="B3433" s="119" t="s">
        <v>34506</v>
      </c>
      <c r="C3433" s="120" t="s">
        <v>4372</v>
      </c>
      <c r="D3433" s="33" t="s">
        <v>34505</v>
      </c>
      <c r="E3433" s="51" t="s">
        <v>680</v>
      </c>
      <c r="F3433" s="121" t="s">
        <v>3009</v>
      </c>
      <c r="G3433" s="98" t="str">
        <f>HYPERLINK("http://mirror.ff7data.com.ar/ff7/data/battle/battle.lgp/gfam.png","View Picture")</f>
        <v>View Picture</v>
      </c>
    </row>
    <row r="3434">
      <c r="A3434" s="55"/>
      <c r="B3434" s="119" t="s">
        <v>34507</v>
      </c>
      <c r="C3434" s="120" t="s">
        <v>4372</v>
      </c>
      <c r="D3434" s="33" t="s">
        <v>34505</v>
      </c>
      <c r="E3434" s="51" t="s">
        <v>680</v>
      </c>
      <c r="F3434" s="121" t="s">
        <v>3009</v>
      </c>
      <c r="G3434" s="98" t="str">
        <f>HYPERLINK("http://mirror.ff7data.com.ar/ff7/data/battle/battle.lgp/gfan.png","View Picture")</f>
        <v>View Picture</v>
      </c>
    </row>
    <row r="3435">
      <c r="A3435" s="55"/>
      <c r="B3435" s="119" t="s">
        <v>34510</v>
      </c>
      <c r="C3435" s="120" t="s">
        <v>3412</v>
      </c>
      <c r="D3435" s="33" t="s">
        <v>34505</v>
      </c>
      <c r="E3435" s="51" t="s">
        <v>680</v>
      </c>
      <c r="F3435" s="121" t="s">
        <v>3009</v>
      </c>
      <c r="G3435" s="98" t="str">
        <f>HYPERLINK("http://mirror.ff7data.com.ar/ff7/data/battle/battle.lgp/gfao.png","View Picture")</f>
        <v>View Picture</v>
      </c>
    </row>
    <row r="3436">
      <c r="A3436" s="55"/>
      <c r="B3436" s="119" t="s">
        <v>34511</v>
      </c>
      <c r="C3436" s="120" t="s">
        <v>4732</v>
      </c>
      <c r="D3436" s="33" t="s">
        <v>34505</v>
      </c>
      <c r="E3436" s="51" t="s">
        <v>680</v>
      </c>
      <c r="F3436" s="121" t="s">
        <v>3009</v>
      </c>
      <c r="G3436" s="98" t="str">
        <f>HYPERLINK("http://mirror.ff7data.com.ar/ff7/data/battle/battle.lgp/gfaq.png","View Picture")</f>
        <v>View Picture</v>
      </c>
    </row>
    <row r="3437">
      <c r="A3437" s="55"/>
      <c r="B3437" s="119" t="s">
        <v>34513</v>
      </c>
      <c r="C3437" s="120" t="s">
        <v>4732</v>
      </c>
      <c r="D3437" s="33" t="s">
        <v>34505</v>
      </c>
      <c r="E3437" s="51" t="s">
        <v>680</v>
      </c>
      <c r="F3437" s="121" t="s">
        <v>3009</v>
      </c>
      <c r="G3437" s="98" t="str">
        <f>HYPERLINK("http://mirror.ff7data.com.ar/ff7/data/battle/battle.lgp/gfar.png","View Picture")</f>
        <v>View Picture</v>
      </c>
    </row>
    <row r="3438">
      <c r="A3438" s="55"/>
      <c r="B3438" s="119" t="s">
        <v>34515</v>
      </c>
      <c r="C3438" s="120" t="s">
        <v>6029</v>
      </c>
      <c r="D3438" s="33" t="s">
        <v>34505</v>
      </c>
      <c r="E3438" s="51" t="s">
        <v>680</v>
      </c>
      <c r="F3438" s="121" t="s">
        <v>3009</v>
      </c>
      <c r="G3438" s="98" t="str">
        <f>HYPERLINK("http://mirror.ff7data.com.ar/ff7/data/battle/battle.lgp/gfas.png","View Picture")</f>
        <v>View Picture</v>
      </c>
    </row>
    <row r="3439">
      <c r="A3439" s="55"/>
      <c r="B3439" s="119" t="s">
        <v>34517</v>
      </c>
      <c r="C3439" s="120" t="s">
        <v>3991</v>
      </c>
      <c r="D3439" s="33" t="s">
        <v>34505</v>
      </c>
      <c r="E3439" s="51" t="s">
        <v>680</v>
      </c>
      <c r="F3439" s="121" t="s">
        <v>3009</v>
      </c>
      <c r="G3439" s="98" t="str">
        <f>HYPERLINK("http://mirror.ff7data.com.ar/ff7/data/battle/battle.lgp/gfau.png","View Picture")</f>
        <v>View Picture</v>
      </c>
    </row>
    <row r="3440">
      <c r="A3440" s="55"/>
      <c r="B3440" s="119" t="s">
        <v>34519</v>
      </c>
      <c r="C3440" s="120" t="s">
        <v>3007</v>
      </c>
      <c r="D3440" s="33" t="s">
        <v>34505</v>
      </c>
      <c r="E3440" s="51" t="s">
        <v>680</v>
      </c>
      <c r="F3440" s="121" t="s">
        <v>3009</v>
      </c>
      <c r="G3440" s="98" t="str">
        <f>HYPERLINK("http://mirror.ff7data.com.ar/ff7/data/battle/battle.lgp/gfaw.png","View Picture")</f>
        <v>View Picture</v>
      </c>
    </row>
    <row r="3441">
      <c r="A3441" s="55"/>
      <c r="B3441" s="119" t="s">
        <v>34522</v>
      </c>
      <c r="C3441" s="120" t="s">
        <v>4732</v>
      </c>
      <c r="D3441" s="33" t="s">
        <v>34505</v>
      </c>
      <c r="E3441" s="51" t="s">
        <v>680</v>
      </c>
      <c r="F3441" s="121" t="s">
        <v>3009</v>
      </c>
      <c r="G3441" s="98" t="str">
        <f>HYPERLINK("http://mirror.ff7data.com.ar/ff7/data/battle/battle.lgp/gfay.png","View Picture")</f>
        <v>View Picture</v>
      </c>
    </row>
    <row r="3442">
      <c r="A3442" s="55"/>
      <c r="B3442" s="119" t="s">
        <v>34525</v>
      </c>
      <c r="C3442" s="120" t="s">
        <v>4732</v>
      </c>
      <c r="D3442" s="33" t="s">
        <v>34505</v>
      </c>
      <c r="E3442" s="51" t="s">
        <v>680</v>
      </c>
      <c r="F3442" s="121" t="s">
        <v>3009</v>
      </c>
      <c r="G3442" s="98" t="str">
        <f>HYPERLINK("http://mirror.ff7data.com.ar/ff7/data/battle/battle.lgp/gfaz.png","View Picture")</f>
        <v>View Picture</v>
      </c>
    </row>
    <row r="3443">
      <c r="A3443" s="55"/>
      <c r="B3443" s="119" t="s">
        <v>34526</v>
      </c>
      <c r="C3443" s="120" t="s">
        <v>6029</v>
      </c>
      <c r="D3443" s="33" t="s">
        <v>34505</v>
      </c>
      <c r="E3443" s="51" t="s">
        <v>680</v>
      </c>
      <c r="F3443" s="121" t="s">
        <v>3009</v>
      </c>
      <c r="G3443" s="98" t="str">
        <f>HYPERLINK("http://mirror.ff7data.com.ar/ff7/data/battle/battle.lgp/gfba.png","View Picture")</f>
        <v>View Picture</v>
      </c>
    </row>
    <row r="3444">
      <c r="A3444" s="55"/>
      <c r="B3444" s="119" t="s">
        <v>34531</v>
      </c>
      <c r="C3444" s="120" t="s">
        <v>4476</v>
      </c>
      <c r="D3444" s="33" t="s">
        <v>34505</v>
      </c>
      <c r="E3444" s="51" t="s">
        <v>680</v>
      </c>
      <c r="F3444" s="121" t="s">
        <v>3009</v>
      </c>
      <c r="G3444" s="98" t="str">
        <f>HYPERLINK("http://mirror.ff7data.com.ar/ff7/data/battle/battle.lgp/gfbd.png","View Picture")</f>
        <v>View Picture</v>
      </c>
    </row>
    <row r="3445">
      <c r="A3445" s="55"/>
      <c r="B3445" s="119" t="s">
        <v>34542</v>
      </c>
      <c r="C3445" s="120" t="s">
        <v>4658</v>
      </c>
      <c r="D3445" s="33" t="s">
        <v>34505</v>
      </c>
      <c r="E3445" s="51" t="s">
        <v>680</v>
      </c>
      <c r="F3445" s="121" t="s">
        <v>3009</v>
      </c>
      <c r="G3445" s="98" t="str">
        <f>HYPERLINK("http://mirror.ff7data.com.ar/ff7/data/battle/battle.lgp/gfbe.png","View Picture")</f>
        <v>View Picture</v>
      </c>
    </row>
    <row r="3446">
      <c r="A3446" s="55"/>
      <c r="B3446" s="119" t="s">
        <v>34546</v>
      </c>
      <c r="C3446" s="120" t="s">
        <v>4476</v>
      </c>
      <c r="D3446" s="33" t="s">
        <v>34505</v>
      </c>
      <c r="E3446" s="51" t="s">
        <v>680</v>
      </c>
      <c r="F3446" s="121" t="s">
        <v>3009</v>
      </c>
      <c r="G3446" s="98" t="str">
        <f>HYPERLINK("http://mirror.ff7data.com.ar/ff7/data/battle/battle.lgp/gfbf.png","View Picture")</f>
        <v>View Picture</v>
      </c>
    </row>
    <row r="3447">
      <c r="A3447" s="55"/>
      <c r="B3447" s="119" t="s">
        <v>34549</v>
      </c>
      <c r="C3447" s="120" t="s">
        <v>4185</v>
      </c>
      <c r="D3447" s="33" t="s">
        <v>34505</v>
      </c>
      <c r="E3447" s="51" t="s">
        <v>680</v>
      </c>
      <c r="F3447" s="121" t="s">
        <v>3009</v>
      </c>
      <c r="G3447" s="98" t="str">
        <f>HYPERLINK("http://mirror.ff7data.com.ar/ff7/data/battle/battle.lgp/gfbi.png","View Picture")</f>
        <v>View Picture</v>
      </c>
    </row>
    <row r="3448">
      <c r="A3448" s="55"/>
      <c r="B3448" s="119" t="s">
        <v>34551</v>
      </c>
      <c r="C3448" s="120" t="s">
        <v>4707</v>
      </c>
      <c r="D3448" s="33" t="s">
        <v>34505</v>
      </c>
      <c r="E3448" s="51" t="s">
        <v>680</v>
      </c>
      <c r="F3448" s="121" t="s">
        <v>3009</v>
      </c>
      <c r="G3448" s="98" t="str">
        <f>HYPERLINK("http://mirror.ff7data.com.ar/ff7/data/battle/battle.lgp/gfbj.png","View Picture")</f>
        <v>View Picture</v>
      </c>
    </row>
    <row r="3449">
      <c r="A3449" s="55"/>
      <c r="B3449" s="119" t="s">
        <v>34553</v>
      </c>
      <c r="C3449" s="120" t="s">
        <v>4185</v>
      </c>
      <c r="D3449" s="33" t="s">
        <v>34505</v>
      </c>
      <c r="E3449" s="51" t="s">
        <v>680</v>
      </c>
      <c r="F3449" s="121" t="s">
        <v>3009</v>
      </c>
      <c r="G3449" s="98" t="str">
        <f>HYPERLINK("http://mirror.ff7data.com.ar/ff7/data/battle/battle.lgp/gfbk.png","View Picture")</f>
        <v>View Picture</v>
      </c>
    </row>
    <row r="3450">
      <c r="A3450" s="55"/>
      <c r="B3450" s="119" t="s">
        <v>34555</v>
      </c>
      <c r="C3450" s="120" t="s">
        <v>25262</v>
      </c>
      <c r="D3450" s="33" t="s">
        <v>34505</v>
      </c>
      <c r="E3450" s="51" t="s">
        <v>680</v>
      </c>
      <c r="F3450" s="121" t="s">
        <v>3009</v>
      </c>
      <c r="G3450" s="98" t="str">
        <f>HYPERLINK("http://mirror.ff7data.com.ar/ff7/data/battle/battle.lgp/gfbl.png","View Picture")</f>
        <v>View Picture</v>
      </c>
    </row>
    <row r="3451">
      <c r="A3451" s="55"/>
      <c r="B3451" s="119" t="s">
        <v>34558</v>
      </c>
      <c r="C3451" s="120" t="s">
        <v>4883</v>
      </c>
      <c r="D3451" s="33" t="s">
        <v>34505</v>
      </c>
      <c r="E3451" s="51" t="s">
        <v>680</v>
      </c>
      <c r="F3451" s="121" t="s">
        <v>3009</v>
      </c>
      <c r="G3451" s="98" t="str">
        <f>HYPERLINK("http://mirror.ff7data.com.ar/ff7/data/battle/battle.lgp/gfbm.png","View Picture")</f>
        <v>View Picture</v>
      </c>
    </row>
    <row r="3452">
      <c r="A3452" s="55"/>
      <c r="B3452" s="119" t="s">
        <v>34561</v>
      </c>
      <c r="C3452" s="120" t="s">
        <v>4883</v>
      </c>
      <c r="D3452" s="33" t="s">
        <v>34505</v>
      </c>
      <c r="E3452" s="51" t="s">
        <v>680</v>
      </c>
      <c r="F3452" s="121" t="s">
        <v>3009</v>
      </c>
      <c r="G3452" s="98" t="str">
        <f>HYPERLINK("http://mirror.ff7data.com.ar/ff7/data/battle/battle.lgp/gfbn.png","View Picture")</f>
        <v>View Picture</v>
      </c>
    </row>
    <row r="3453">
      <c r="A3453" s="55"/>
      <c r="B3453" s="119" t="s">
        <v>34564</v>
      </c>
      <c r="C3453" s="120" t="s">
        <v>4883</v>
      </c>
      <c r="D3453" s="33" t="s">
        <v>34505</v>
      </c>
      <c r="E3453" s="51" t="s">
        <v>680</v>
      </c>
      <c r="F3453" s="121" t="s">
        <v>3009</v>
      </c>
      <c r="G3453" s="98" t="str">
        <f>HYPERLINK("http://mirror.ff7data.com.ar/ff7/data/battle/battle.lgp/gfbo.png","View Picture")</f>
        <v>View Picture</v>
      </c>
    </row>
    <row r="3454">
      <c r="A3454" s="55"/>
      <c r="B3454" s="119" t="s">
        <v>34566</v>
      </c>
      <c r="C3454" s="120" t="s">
        <v>4372</v>
      </c>
      <c r="D3454" s="33" t="s">
        <v>34505</v>
      </c>
      <c r="E3454" s="51" t="s">
        <v>680</v>
      </c>
      <c r="F3454" s="121" t="s">
        <v>3009</v>
      </c>
      <c r="G3454" s="98" t="str">
        <f>HYPERLINK("http://mirror.ff7data.com.ar/ff7/data/battle/battle.lgp/gfbp.png","View Picture")</f>
        <v>View Picture</v>
      </c>
    </row>
    <row r="3455">
      <c r="A3455" s="55"/>
      <c r="B3455" s="119" t="s">
        <v>34567</v>
      </c>
      <c r="C3455" s="120" t="s">
        <v>7301</v>
      </c>
      <c r="D3455" s="33" t="s">
        <v>34505</v>
      </c>
      <c r="E3455" s="51" t="s">
        <v>680</v>
      </c>
      <c r="F3455" s="121" t="s">
        <v>3025</v>
      </c>
      <c r="H3455" s="46" t="s">
        <v>3002</v>
      </c>
    </row>
    <row r="3456">
      <c r="A3456" s="55"/>
      <c r="B3456" s="119" t="s">
        <v>34568</v>
      </c>
      <c r="C3456" s="120" t="s">
        <v>4468</v>
      </c>
      <c r="D3456" s="33" t="s">
        <v>34570</v>
      </c>
      <c r="E3456" s="51" t="s">
        <v>685</v>
      </c>
      <c r="F3456" s="121" t="s">
        <v>2971</v>
      </c>
      <c r="G3456" s="98" t="str">
        <f>HYPERLINK("http://mirror.ff7data.com.ar/ff7/data/battle/battle.lgp/ggaa.png","View Picture")</f>
        <v>View Picture</v>
      </c>
      <c r="H3456" s="46" t="s">
        <v>34572</v>
      </c>
    </row>
    <row r="3457">
      <c r="A3457" s="55"/>
      <c r="B3457" s="119" t="s">
        <v>34573</v>
      </c>
      <c r="C3457" s="120" t="s">
        <v>7375</v>
      </c>
      <c r="D3457" s="33" t="s">
        <v>34574</v>
      </c>
      <c r="E3457" s="51" t="s">
        <v>685</v>
      </c>
      <c r="F3457" s="121" t="s">
        <v>2993</v>
      </c>
      <c r="H3457" s="46" t="s">
        <v>3002</v>
      </c>
    </row>
    <row r="3458">
      <c r="A3458" s="55"/>
      <c r="B3458" s="119" t="s">
        <v>34576</v>
      </c>
      <c r="C3458" s="120" t="s">
        <v>4252</v>
      </c>
      <c r="D3458" s="33" t="s">
        <v>34574</v>
      </c>
      <c r="E3458" s="51" t="s">
        <v>685</v>
      </c>
      <c r="F3458" s="121" t="s">
        <v>3009</v>
      </c>
      <c r="G3458" s="98" t="str">
        <f>HYPERLINK("http://mirror.ff7data.com.ar/ff7/data/battle/battle.lgp/ggam.png","View Picture")</f>
        <v>View Picture</v>
      </c>
    </row>
    <row r="3459">
      <c r="A3459" s="55"/>
      <c r="B3459" s="119" t="s">
        <v>34577</v>
      </c>
      <c r="C3459" s="120" t="s">
        <v>3573</v>
      </c>
      <c r="D3459" s="33" t="s">
        <v>34574</v>
      </c>
      <c r="E3459" s="51" t="s">
        <v>685</v>
      </c>
      <c r="F3459" s="121" t="s">
        <v>3009</v>
      </c>
      <c r="G3459" s="98" t="str">
        <f>HYPERLINK("http://mirror.ff7data.com.ar/ff7/data/battle/battle.lgp/ggan.png","View Picture")</f>
        <v>View Picture</v>
      </c>
    </row>
    <row r="3460">
      <c r="A3460" s="55"/>
      <c r="B3460" s="119" t="s">
        <v>34580</v>
      </c>
      <c r="C3460" s="120" t="s">
        <v>5419</v>
      </c>
      <c r="D3460" s="33" t="s">
        <v>34574</v>
      </c>
      <c r="E3460" s="51" t="s">
        <v>685</v>
      </c>
      <c r="F3460" s="121" t="s">
        <v>3009</v>
      </c>
      <c r="G3460" s="98" t="str">
        <f>HYPERLINK("http://mirror.ff7data.com.ar/ff7/data/battle/battle.lgp/ggaq.png","View Picture")</f>
        <v>View Picture</v>
      </c>
    </row>
    <row r="3461">
      <c r="A3461" s="55"/>
      <c r="B3461" s="119" t="s">
        <v>34582</v>
      </c>
      <c r="C3461" s="120" t="s">
        <v>3412</v>
      </c>
      <c r="D3461" s="33" t="s">
        <v>34574</v>
      </c>
      <c r="E3461" s="51" t="s">
        <v>685</v>
      </c>
      <c r="F3461" s="121" t="s">
        <v>3009</v>
      </c>
      <c r="G3461" s="98" t="str">
        <f>HYPERLINK("http://mirror.ff7data.com.ar/ff7/data/battle/battle.lgp/ggar.png","View Picture")</f>
        <v>View Picture</v>
      </c>
    </row>
    <row r="3462">
      <c r="A3462" s="55"/>
      <c r="B3462" s="119" t="s">
        <v>34583</v>
      </c>
      <c r="C3462" s="120" t="s">
        <v>7148</v>
      </c>
      <c r="D3462" s="33" t="s">
        <v>34574</v>
      </c>
      <c r="E3462" s="51" t="s">
        <v>685</v>
      </c>
      <c r="F3462" s="121" t="s">
        <v>3009</v>
      </c>
      <c r="G3462" s="98" t="str">
        <f>HYPERLINK("http://mirror.ff7data.com.ar/ff7/data/battle/battle.lgp/ggas.png","View Picture")</f>
        <v>View Picture</v>
      </c>
    </row>
    <row r="3463">
      <c r="A3463" s="55"/>
      <c r="B3463" s="119" t="s">
        <v>34586</v>
      </c>
      <c r="C3463" s="120" t="s">
        <v>7148</v>
      </c>
      <c r="D3463" s="33" t="s">
        <v>34574</v>
      </c>
      <c r="E3463" s="51" t="s">
        <v>685</v>
      </c>
      <c r="F3463" s="121" t="s">
        <v>3009</v>
      </c>
      <c r="G3463" s="98" t="str">
        <f>HYPERLINK("http://mirror.ff7data.com.ar/ff7/data/battle/battle.lgp/ggau.png","View Picture")</f>
        <v>View Picture</v>
      </c>
    </row>
    <row r="3464">
      <c r="A3464" s="55"/>
      <c r="B3464" s="119" t="s">
        <v>34587</v>
      </c>
      <c r="C3464" s="120" t="s">
        <v>4264</v>
      </c>
      <c r="D3464" s="33" t="s">
        <v>34574</v>
      </c>
      <c r="E3464" s="51" t="s">
        <v>685</v>
      </c>
      <c r="F3464" s="121" t="s">
        <v>3009</v>
      </c>
      <c r="G3464" s="98" t="str">
        <f>HYPERLINK("http://mirror.ff7data.com.ar/ff7/data/battle/battle.lgp/ggav.png","View Picture")</f>
        <v>View Picture</v>
      </c>
    </row>
    <row r="3465">
      <c r="A3465" s="55"/>
      <c r="B3465" s="119" t="s">
        <v>34590</v>
      </c>
      <c r="C3465" s="120" t="s">
        <v>7148</v>
      </c>
      <c r="D3465" s="33" t="s">
        <v>34574</v>
      </c>
      <c r="E3465" s="51" t="s">
        <v>685</v>
      </c>
      <c r="F3465" s="121" t="s">
        <v>3009</v>
      </c>
      <c r="G3465" s="98" t="str">
        <f>HYPERLINK("http://mirror.ff7data.com.ar/ff7/data/battle/battle.lgp/ggax.png","View Picture")</f>
        <v>View Picture</v>
      </c>
    </row>
    <row r="3466">
      <c r="A3466" s="55"/>
      <c r="B3466" s="119" t="s">
        <v>34592</v>
      </c>
      <c r="C3466" s="120" t="s">
        <v>4264</v>
      </c>
      <c r="D3466" s="33" t="s">
        <v>34574</v>
      </c>
      <c r="E3466" s="51" t="s">
        <v>685</v>
      </c>
      <c r="F3466" s="121" t="s">
        <v>3009</v>
      </c>
      <c r="G3466" s="98" t="str">
        <f>HYPERLINK("http://mirror.ff7data.com.ar/ff7/data/battle/battle.lgp/ggay.png","View Picture")</f>
        <v>View Picture</v>
      </c>
    </row>
    <row r="3467">
      <c r="A3467" s="55"/>
      <c r="B3467" s="119" t="s">
        <v>34593</v>
      </c>
      <c r="C3467" s="120" t="s">
        <v>7148</v>
      </c>
      <c r="D3467" s="33" t="s">
        <v>34574</v>
      </c>
      <c r="E3467" s="51" t="s">
        <v>685</v>
      </c>
      <c r="F3467" s="121" t="s">
        <v>3009</v>
      </c>
      <c r="G3467" s="98" t="str">
        <f>HYPERLINK("http://mirror.ff7data.com.ar/ff7/data/battle/battle.lgp/ggba.png","View Picture")</f>
        <v>View Picture</v>
      </c>
    </row>
    <row r="3468">
      <c r="A3468" s="55"/>
      <c r="B3468" s="119" t="s">
        <v>34595</v>
      </c>
      <c r="C3468" s="120" t="s">
        <v>4264</v>
      </c>
      <c r="D3468" s="33" t="s">
        <v>34574</v>
      </c>
      <c r="E3468" s="51" t="s">
        <v>685</v>
      </c>
      <c r="F3468" s="121" t="s">
        <v>3009</v>
      </c>
      <c r="G3468" s="98" t="str">
        <f>HYPERLINK("http://mirror.ff7data.com.ar/ff7/data/battle/battle.lgp/ggbb.png","View Picture")</f>
        <v>View Picture</v>
      </c>
    </row>
    <row r="3469">
      <c r="A3469" s="55"/>
      <c r="B3469" s="119" t="s">
        <v>34597</v>
      </c>
      <c r="C3469" s="120" t="s">
        <v>7148</v>
      </c>
      <c r="D3469" s="33" t="s">
        <v>34574</v>
      </c>
      <c r="E3469" s="51" t="s">
        <v>685</v>
      </c>
      <c r="F3469" s="121" t="s">
        <v>3009</v>
      </c>
      <c r="G3469" s="98" t="str">
        <f>HYPERLINK("http://mirror.ff7data.com.ar/ff7/data/battle/battle.lgp/ggbd.png","View Picture")</f>
        <v>View Picture</v>
      </c>
    </row>
    <row r="3470">
      <c r="A3470" s="55"/>
      <c r="B3470" s="119" t="s">
        <v>34600</v>
      </c>
      <c r="C3470" s="120" t="s">
        <v>4264</v>
      </c>
      <c r="D3470" s="33" t="s">
        <v>34574</v>
      </c>
      <c r="E3470" s="51" t="s">
        <v>685</v>
      </c>
      <c r="F3470" s="121" t="s">
        <v>3009</v>
      </c>
      <c r="G3470" s="98" t="str">
        <f>HYPERLINK("http://mirror.ff7data.com.ar/ff7/data/battle/battle.lgp/ggbe.png","View Picture")</f>
        <v>View Picture</v>
      </c>
    </row>
    <row r="3471">
      <c r="A3471" s="55"/>
      <c r="B3471" s="119" t="s">
        <v>34601</v>
      </c>
      <c r="C3471" s="120" t="s">
        <v>4357</v>
      </c>
      <c r="D3471" s="33" t="s">
        <v>34574</v>
      </c>
      <c r="E3471" s="51" t="s">
        <v>685</v>
      </c>
      <c r="F3471" s="121" t="s">
        <v>3009</v>
      </c>
      <c r="G3471" s="98" t="str">
        <f>HYPERLINK("http://mirror.ff7data.com.ar/ff7/data/battle/battle.lgp/ggbh.png","View Picture")</f>
        <v>View Picture</v>
      </c>
    </row>
    <row r="3472">
      <c r="A3472" s="55"/>
      <c r="B3472" s="119" t="s">
        <v>34603</v>
      </c>
      <c r="C3472" s="120" t="s">
        <v>3412</v>
      </c>
      <c r="D3472" s="33" t="s">
        <v>34574</v>
      </c>
      <c r="E3472" s="51" t="s">
        <v>685</v>
      </c>
      <c r="F3472" s="121" t="s">
        <v>3009</v>
      </c>
      <c r="G3472" s="98" t="str">
        <f>HYPERLINK("http://mirror.ff7data.com.ar/ff7/data/battle/battle.lgp/ggbi.png","View Picture")</f>
        <v>View Picture</v>
      </c>
    </row>
    <row r="3473">
      <c r="A3473" s="55"/>
      <c r="B3473" s="119" t="s">
        <v>34606</v>
      </c>
      <c r="C3473" s="120" t="s">
        <v>7148</v>
      </c>
      <c r="D3473" s="33" t="s">
        <v>34574</v>
      </c>
      <c r="E3473" s="51" t="s">
        <v>685</v>
      </c>
      <c r="F3473" s="121" t="s">
        <v>3009</v>
      </c>
      <c r="G3473" s="98" t="str">
        <f>HYPERLINK("http://mirror.ff7data.com.ar/ff7/data/battle/battle.lgp/ggbj.png","View Picture")</f>
        <v>View Picture</v>
      </c>
    </row>
    <row r="3474">
      <c r="A3474" s="55"/>
      <c r="B3474" s="119" t="s">
        <v>34607</v>
      </c>
      <c r="C3474" s="120" t="s">
        <v>4565</v>
      </c>
      <c r="D3474" s="33" t="s">
        <v>34574</v>
      </c>
      <c r="E3474" s="51" t="s">
        <v>685</v>
      </c>
      <c r="F3474" s="121" t="s">
        <v>3009</v>
      </c>
      <c r="G3474" s="98" t="str">
        <f>HYPERLINK("http://mirror.ff7data.com.ar/ff7/data/battle/battle.lgp/ggbk.png","View Picture")</f>
        <v>View Picture</v>
      </c>
    </row>
    <row r="3475">
      <c r="A3475" s="55"/>
      <c r="B3475" s="119" t="s">
        <v>34609</v>
      </c>
      <c r="C3475" s="120" t="s">
        <v>7148</v>
      </c>
      <c r="D3475" s="33" t="s">
        <v>34574</v>
      </c>
      <c r="E3475" s="51" t="s">
        <v>685</v>
      </c>
      <c r="F3475" s="121" t="s">
        <v>3009</v>
      </c>
      <c r="G3475" s="98" t="str">
        <f>HYPERLINK("http://mirror.ff7data.com.ar/ff7/data/battle/battle.lgp/ggbl.png","View Picture")</f>
        <v>View Picture</v>
      </c>
    </row>
    <row r="3476">
      <c r="A3476" s="55"/>
      <c r="B3476" s="119" t="s">
        <v>34616</v>
      </c>
      <c r="C3476" s="120" t="s">
        <v>7148</v>
      </c>
      <c r="D3476" s="33" t="s">
        <v>34574</v>
      </c>
      <c r="E3476" s="51" t="s">
        <v>685</v>
      </c>
      <c r="F3476" s="121" t="s">
        <v>3009</v>
      </c>
      <c r="G3476" s="98" t="str">
        <f>HYPERLINK("http://mirror.ff7data.com.ar/ff7/data/battle/battle.lgp/ggbm.png","View Picture")</f>
        <v>View Picture</v>
      </c>
    </row>
    <row r="3477">
      <c r="A3477" s="55"/>
      <c r="B3477" s="119" t="s">
        <v>34619</v>
      </c>
      <c r="C3477" s="120" t="s">
        <v>4396</v>
      </c>
      <c r="D3477" s="33" t="s">
        <v>34574</v>
      </c>
      <c r="E3477" s="51" t="s">
        <v>685</v>
      </c>
      <c r="F3477" s="121" t="s">
        <v>3009</v>
      </c>
      <c r="G3477" s="98" t="str">
        <f>HYPERLINK("http://mirror.ff7data.com.ar/ff7/data/battle/battle.lgp/ggbn.png","View Picture")</f>
        <v>View Picture</v>
      </c>
    </row>
    <row r="3478">
      <c r="A3478" s="55"/>
      <c r="B3478" s="119" t="s">
        <v>34622</v>
      </c>
      <c r="C3478" s="120" t="s">
        <v>4719</v>
      </c>
      <c r="D3478" s="33" t="s">
        <v>34574</v>
      </c>
      <c r="E3478" s="51" t="s">
        <v>685</v>
      </c>
      <c r="F3478" s="121" t="s">
        <v>3009</v>
      </c>
      <c r="G3478" s="98" t="str">
        <f>HYPERLINK("http://mirror.ff7data.com.ar/ff7/data/battle/battle.lgp/ggbp.png","View Picture")</f>
        <v>View Picture</v>
      </c>
    </row>
    <row r="3479">
      <c r="A3479" s="55"/>
      <c r="B3479" s="119" t="s">
        <v>34625</v>
      </c>
      <c r="C3479" s="120" t="s">
        <v>7165</v>
      </c>
      <c r="D3479" s="33" t="s">
        <v>34574</v>
      </c>
      <c r="E3479" s="51" t="s">
        <v>685</v>
      </c>
      <c r="F3479" s="121" t="s">
        <v>3009</v>
      </c>
      <c r="G3479" s="98" t="str">
        <f>HYPERLINK("http://mirror.ff7data.com.ar/ff7/data/battle/battle.lgp/ggbq.png","View Picture")</f>
        <v>View Picture</v>
      </c>
    </row>
    <row r="3480">
      <c r="A3480" s="55"/>
      <c r="B3480" s="119" t="s">
        <v>34628</v>
      </c>
      <c r="C3480" s="120" t="s">
        <v>4439</v>
      </c>
      <c r="D3480" s="33" t="s">
        <v>34574</v>
      </c>
      <c r="E3480" s="51" t="s">
        <v>685</v>
      </c>
      <c r="F3480" s="121" t="s">
        <v>3009</v>
      </c>
      <c r="G3480" s="98" t="str">
        <f>HYPERLINK("http://mirror.ff7data.com.ar/ff7/data/battle/battle.lgp/ggbr.png","View Picture")</f>
        <v>View Picture</v>
      </c>
    </row>
    <row r="3481">
      <c r="A3481" s="55"/>
      <c r="B3481" s="119" t="s">
        <v>34631</v>
      </c>
      <c r="C3481" s="120" t="s">
        <v>4719</v>
      </c>
      <c r="D3481" s="33" t="s">
        <v>34574</v>
      </c>
      <c r="E3481" s="51" t="s">
        <v>685</v>
      </c>
      <c r="F3481" s="121" t="s">
        <v>3009</v>
      </c>
      <c r="G3481" s="98" t="str">
        <f>HYPERLINK("http://mirror.ff7data.com.ar/ff7/data/battle/battle.lgp/ggbt.png","View Picture")</f>
        <v>View Picture</v>
      </c>
    </row>
    <row r="3482">
      <c r="A3482" s="55"/>
      <c r="B3482" s="119" t="s">
        <v>34634</v>
      </c>
      <c r="C3482" s="120" t="s">
        <v>5419</v>
      </c>
      <c r="D3482" s="33" t="s">
        <v>34574</v>
      </c>
      <c r="E3482" s="51" t="s">
        <v>685</v>
      </c>
      <c r="F3482" s="121" t="s">
        <v>3009</v>
      </c>
      <c r="G3482" s="98" t="str">
        <f>HYPERLINK("http://mirror.ff7data.com.ar/ff7/data/battle/battle.lgp/ggbu.png","View Picture")</f>
        <v>View Picture</v>
      </c>
    </row>
    <row r="3483">
      <c r="A3483" s="55"/>
      <c r="B3483" s="119" t="s">
        <v>34637</v>
      </c>
      <c r="C3483" s="120" t="s">
        <v>4185</v>
      </c>
      <c r="D3483" s="33" t="s">
        <v>34574</v>
      </c>
      <c r="E3483" s="51" t="s">
        <v>685</v>
      </c>
      <c r="F3483" s="121" t="s">
        <v>3009</v>
      </c>
      <c r="G3483" s="98" t="str">
        <f>HYPERLINK("http://mirror.ff7data.com.ar/ff7/data/battle/battle.lgp/ggbv.png","View Picture")</f>
        <v>View Picture</v>
      </c>
    </row>
    <row r="3484">
      <c r="A3484" s="55"/>
      <c r="B3484" s="119" t="s">
        <v>34640</v>
      </c>
      <c r="C3484" s="120" t="s">
        <v>5573</v>
      </c>
      <c r="D3484" s="33" t="s">
        <v>34574</v>
      </c>
      <c r="E3484" s="51" t="s">
        <v>685</v>
      </c>
      <c r="F3484" s="121" t="s">
        <v>3025</v>
      </c>
      <c r="H3484" s="46" t="s">
        <v>3002</v>
      </c>
    </row>
    <row r="3485">
      <c r="A3485" s="55"/>
      <c r="B3485" s="119" t="s">
        <v>34641</v>
      </c>
      <c r="C3485" s="120" t="s">
        <v>9973</v>
      </c>
      <c r="D3485" s="33" t="s">
        <v>34642</v>
      </c>
      <c r="E3485" s="51" t="s">
        <v>688</v>
      </c>
      <c r="F3485" s="121" t="s">
        <v>2971</v>
      </c>
      <c r="G3485" s="98" t="str">
        <f>HYPERLINK("http://mirror.ff7data.com.ar/ff7/data/battle/battle.lgp/ghaa.png","View Picture")</f>
        <v>View Picture</v>
      </c>
    </row>
    <row r="3486">
      <c r="A3486" s="55"/>
      <c r="B3486" s="119" t="s">
        <v>34646</v>
      </c>
      <c r="C3486" s="120" t="s">
        <v>22833</v>
      </c>
      <c r="D3486" s="33" t="s">
        <v>34648</v>
      </c>
      <c r="E3486" s="51" t="s">
        <v>688</v>
      </c>
      <c r="F3486" s="121" t="s">
        <v>2993</v>
      </c>
      <c r="H3486" s="46" t="s">
        <v>3002</v>
      </c>
    </row>
    <row r="3487">
      <c r="A3487" s="55"/>
      <c r="B3487" s="119" t="s">
        <v>34651</v>
      </c>
      <c r="C3487" s="120" t="s">
        <v>7165</v>
      </c>
      <c r="D3487" s="33" t="s">
        <v>34648</v>
      </c>
      <c r="E3487" s="51" t="s">
        <v>688</v>
      </c>
      <c r="F3487" s="121" t="s">
        <v>3009</v>
      </c>
      <c r="G3487" s="98" t="str">
        <f>HYPERLINK("http://mirror.ff7data.com.ar/ff7/data/battle/battle.lgp/gham.png","View Picture")</f>
        <v>View Picture</v>
      </c>
    </row>
    <row r="3488">
      <c r="A3488" s="55"/>
      <c r="B3488" s="119" t="s">
        <v>34654</v>
      </c>
      <c r="C3488" s="120" t="s">
        <v>3768</v>
      </c>
      <c r="D3488" s="33" t="s">
        <v>34648</v>
      </c>
      <c r="E3488" s="51" t="s">
        <v>688</v>
      </c>
      <c r="F3488" s="121" t="s">
        <v>3009</v>
      </c>
      <c r="G3488" s="98" t="str">
        <f>HYPERLINK("http://mirror.ff7data.com.ar/ff7/data/battle/battle.lgp/ghan.png","View Picture")</f>
        <v>View Picture</v>
      </c>
    </row>
    <row r="3489">
      <c r="A3489" s="55"/>
      <c r="B3489" s="119" t="s">
        <v>34659</v>
      </c>
      <c r="C3489" s="120" t="s">
        <v>4439</v>
      </c>
      <c r="D3489" s="33" t="s">
        <v>34648</v>
      </c>
      <c r="E3489" s="51" t="s">
        <v>688</v>
      </c>
      <c r="F3489" s="121" t="s">
        <v>3009</v>
      </c>
      <c r="G3489" s="98" t="str">
        <f>HYPERLINK("http://mirror.ff7data.com.ar/ff7/data/battle/battle.lgp/ghao.png","View Picture")</f>
        <v>View Picture</v>
      </c>
    </row>
    <row r="3490">
      <c r="A3490" s="55"/>
      <c r="B3490" s="119" t="s">
        <v>34662</v>
      </c>
      <c r="C3490" s="120" t="s">
        <v>3573</v>
      </c>
      <c r="D3490" s="33" t="s">
        <v>34648</v>
      </c>
      <c r="E3490" s="51" t="s">
        <v>688</v>
      </c>
      <c r="F3490" s="121" t="s">
        <v>3009</v>
      </c>
      <c r="G3490" s="98" t="str">
        <f>HYPERLINK("http://mirror.ff7data.com.ar/ff7/data/battle/battle.lgp/ghap.png","View Picture")</f>
        <v>View Picture</v>
      </c>
    </row>
    <row r="3491">
      <c r="A3491" s="55"/>
      <c r="B3491" s="119" t="s">
        <v>34666</v>
      </c>
      <c r="C3491" s="120" t="s">
        <v>7301</v>
      </c>
      <c r="D3491" s="33" t="s">
        <v>34648</v>
      </c>
      <c r="E3491" s="51" t="s">
        <v>688</v>
      </c>
      <c r="F3491" s="121" t="s">
        <v>3009</v>
      </c>
      <c r="G3491" s="98" t="str">
        <f>HYPERLINK("http://mirror.ff7data.com.ar/ff7/data/battle/battle.lgp/ghaq.png","View Picture")</f>
        <v>View Picture</v>
      </c>
    </row>
    <row r="3492">
      <c r="A3492" s="55"/>
      <c r="B3492" s="119" t="s">
        <v>34668</v>
      </c>
      <c r="C3492" s="120" t="s">
        <v>7871</v>
      </c>
      <c r="D3492" s="33" t="s">
        <v>34648</v>
      </c>
      <c r="E3492" s="51" t="s">
        <v>688</v>
      </c>
      <c r="F3492" s="121" t="s">
        <v>3009</v>
      </c>
      <c r="G3492" s="98" t="str">
        <f>HYPERLINK("http://mirror.ff7data.com.ar/ff7/data/battle/battle.lgp/ghas.png","View Picture")</f>
        <v>View Picture</v>
      </c>
    </row>
    <row r="3493">
      <c r="A3493" s="55"/>
      <c r="B3493" s="119" t="s">
        <v>34671</v>
      </c>
      <c r="C3493" s="120" t="s">
        <v>11261</v>
      </c>
      <c r="D3493" s="33" t="s">
        <v>34648</v>
      </c>
      <c r="E3493" s="51" t="s">
        <v>688</v>
      </c>
      <c r="F3493" s="121" t="s">
        <v>3009</v>
      </c>
      <c r="G3493" s="98" t="str">
        <f>HYPERLINK("http://mirror.ff7data.com.ar/ff7/data/battle/battle.lgp/ghat.png","View Picture")</f>
        <v>View Picture</v>
      </c>
    </row>
    <row r="3494">
      <c r="A3494" s="55"/>
      <c r="B3494" s="119" t="s">
        <v>34674</v>
      </c>
      <c r="C3494" s="120" t="s">
        <v>4732</v>
      </c>
      <c r="D3494" s="33" t="s">
        <v>34648</v>
      </c>
      <c r="E3494" s="51" t="s">
        <v>688</v>
      </c>
      <c r="F3494" s="121" t="s">
        <v>3009</v>
      </c>
      <c r="G3494" s="98" t="str">
        <f>HYPERLINK("http://mirror.ff7data.com.ar/ff7/data/battle/battle.lgp/ghau.png","View Picture")</f>
        <v>View Picture</v>
      </c>
    </row>
    <row r="3495">
      <c r="A3495" s="55"/>
      <c r="B3495" s="119" t="s">
        <v>34678</v>
      </c>
      <c r="C3495" s="120" t="s">
        <v>7871</v>
      </c>
      <c r="D3495" s="33" t="s">
        <v>34648</v>
      </c>
      <c r="E3495" s="51" t="s">
        <v>688</v>
      </c>
      <c r="F3495" s="121" t="s">
        <v>3009</v>
      </c>
      <c r="G3495" s="98" t="str">
        <f>HYPERLINK("http://mirror.ff7data.com.ar/ff7/data/battle/battle.lgp/ghaw.png","View Picture")</f>
        <v>View Picture</v>
      </c>
    </row>
    <row r="3496">
      <c r="A3496" s="55"/>
      <c r="B3496" s="119" t="s">
        <v>34682</v>
      </c>
      <c r="C3496" s="120" t="s">
        <v>3494</v>
      </c>
      <c r="D3496" s="33" t="s">
        <v>34648</v>
      </c>
      <c r="E3496" s="51" t="s">
        <v>688</v>
      </c>
      <c r="F3496" s="121" t="s">
        <v>3009</v>
      </c>
      <c r="G3496" s="98" t="str">
        <f>HYPERLINK("http://mirror.ff7data.com.ar/ff7/data/battle/battle.lgp/ghax.png","View Picture")</f>
        <v>View Picture</v>
      </c>
    </row>
    <row r="3497">
      <c r="A3497" s="55"/>
      <c r="B3497" s="119" t="s">
        <v>34685</v>
      </c>
      <c r="C3497" s="120" t="s">
        <v>4732</v>
      </c>
      <c r="D3497" s="33" t="s">
        <v>34648</v>
      </c>
      <c r="E3497" s="51" t="s">
        <v>688</v>
      </c>
      <c r="F3497" s="121" t="s">
        <v>3009</v>
      </c>
      <c r="G3497" s="98" t="str">
        <f>HYPERLINK("http://mirror.ff7data.com.ar/ff7/data/battle/battle.lgp/ghay.png","View Picture")</f>
        <v>View Picture</v>
      </c>
    </row>
    <row r="3498">
      <c r="A3498" s="55"/>
      <c r="B3498" s="119" t="s">
        <v>34689</v>
      </c>
      <c r="C3498" s="120" t="s">
        <v>5203</v>
      </c>
      <c r="D3498" s="33" t="s">
        <v>34648</v>
      </c>
      <c r="E3498" s="51" t="s">
        <v>688</v>
      </c>
      <c r="F3498" s="121" t="s">
        <v>3009</v>
      </c>
      <c r="G3498" s="98" t="str">
        <f>HYPERLINK("http://mirror.ff7data.com.ar/ff7/data/battle/battle.lgp/ghaz.png","View Picture")</f>
        <v>View Picture</v>
      </c>
    </row>
    <row r="3499">
      <c r="A3499" s="55"/>
      <c r="B3499" s="119" t="s">
        <v>34693</v>
      </c>
      <c r="C3499" s="120" t="s">
        <v>3842</v>
      </c>
      <c r="D3499" s="33" t="s">
        <v>34648</v>
      </c>
      <c r="E3499" s="51" t="s">
        <v>688</v>
      </c>
      <c r="F3499" s="121" t="s">
        <v>3009</v>
      </c>
      <c r="G3499" s="98" t="str">
        <f>HYPERLINK("http://mirror.ff7data.com.ar/ff7/data/battle/battle.lgp/ghbb.png","View Picture")</f>
        <v>View Picture</v>
      </c>
    </row>
    <row r="3500">
      <c r="A3500" s="55"/>
      <c r="B3500" s="119" t="s">
        <v>34695</v>
      </c>
      <c r="C3500" s="120" t="s">
        <v>5573</v>
      </c>
      <c r="D3500" s="33" t="s">
        <v>34648</v>
      </c>
      <c r="E3500" s="51" t="s">
        <v>688</v>
      </c>
      <c r="F3500" s="121" t="s">
        <v>3009</v>
      </c>
      <c r="G3500" s="98" t="str">
        <f>HYPERLINK("http://mirror.ff7data.com.ar/ff7/data/battle/battle.lgp/ghbc.png","View Picture")</f>
        <v>View Picture</v>
      </c>
    </row>
    <row r="3501">
      <c r="A3501" s="55"/>
      <c r="B3501" s="119" t="s">
        <v>34698</v>
      </c>
      <c r="C3501" s="120" t="s">
        <v>4185</v>
      </c>
      <c r="D3501" s="33" t="s">
        <v>34648</v>
      </c>
      <c r="E3501" s="51" t="s">
        <v>688</v>
      </c>
      <c r="F3501" s="121" t="s">
        <v>3009</v>
      </c>
      <c r="G3501" s="98" t="str">
        <f>HYPERLINK("http://mirror.ff7data.com.ar/ff7/data/battle/battle.lgp/ghbd.png","View Picture")</f>
        <v>View Picture</v>
      </c>
    </row>
    <row r="3502">
      <c r="A3502" s="55"/>
      <c r="B3502" s="119" t="s">
        <v>34700</v>
      </c>
      <c r="C3502" s="120" t="s">
        <v>3842</v>
      </c>
      <c r="D3502" s="33" t="s">
        <v>34648</v>
      </c>
      <c r="E3502" s="51" t="s">
        <v>688</v>
      </c>
      <c r="F3502" s="121" t="s">
        <v>3009</v>
      </c>
      <c r="G3502" s="98" t="str">
        <f>HYPERLINK("http://mirror.ff7data.com.ar/ff7/data/battle/battle.lgp/ghbf.png","View Picture")</f>
        <v>View Picture</v>
      </c>
    </row>
    <row r="3503">
      <c r="A3503" s="55"/>
      <c r="B3503" s="119" t="s">
        <v>34702</v>
      </c>
      <c r="C3503" s="120" t="s">
        <v>3434</v>
      </c>
      <c r="D3503" s="33" t="s">
        <v>34648</v>
      </c>
      <c r="E3503" s="51" t="s">
        <v>688</v>
      </c>
      <c r="F3503" s="121" t="s">
        <v>3009</v>
      </c>
      <c r="G3503" s="98" t="str">
        <f>HYPERLINK("http://mirror.ff7data.com.ar/ff7/data/battle/battle.lgp/ghbg.png","View Picture")</f>
        <v>View Picture</v>
      </c>
    </row>
    <row r="3504">
      <c r="A3504" s="55"/>
      <c r="B3504" s="119" t="s">
        <v>34703</v>
      </c>
      <c r="C3504" s="120" t="s">
        <v>4264</v>
      </c>
      <c r="D3504" s="33" t="s">
        <v>34648</v>
      </c>
      <c r="E3504" s="51" t="s">
        <v>688</v>
      </c>
      <c r="F3504" s="121" t="s">
        <v>3009</v>
      </c>
      <c r="G3504" s="98" t="str">
        <f>HYPERLINK("http://mirror.ff7data.com.ar/ff7/data/battle/battle.lgp/ghbh.png","View Picture")</f>
        <v>View Picture</v>
      </c>
    </row>
    <row r="3505">
      <c r="A3505" s="55"/>
      <c r="B3505" s="119" t="s">
        <v>34704</v>
      </c>
      <c r="C3505" s="120" t="s">
        <v>6029</v>
      </c>
      <c r="D3505" s="33" t="s">
        <v>34648</v>
      </c>
      <c r="E3505" s="51" t="s">
        <v>688</v>
      </c>
      <c r="F3505" s="121" t="s">
        <v>3009</v>
      </c>
      <c r="G3505" s="98" t="str">
        <f>HYPERLINK("http://mirror.ff7data.com.ar/ff7/data/battle/battle.lgp/ghbj.png","View Picture")</f>
        <v>View Picture</v>
      </c>
    </row>
    <row r="3506">
      <c r="A3506" s="55"/>
      <c r="B3506" s="119" t="s">
        <v>34705</v>
      </c>
      <c r="C3506" s="120" t="s">
        <v>6029</v>
      </c>
      <c r="D3506" s="33" t="s">
        <v>34648</v>
      </c>
      <c r="E3506" s="51" t="s">
        <v>688</v>
      </c>
      <c r="F3506" s="121" t="s">
        <v>3009</v>
      </c>
      <c r="G3506" s="98" t="str">
        <f>HYPERLINK("http://mirror.ff7data.com.ar/ff7/data/battle/battle.lgp/ghbk.png","View Picture")</f>
        <v>View Picture</v>
      </c>
    </row>
    <row r="3507">
      <c r="A3507" s="55"/>
      <c r="B3507" s="119" t="s">
        <v>34708</v>
      </c>
      <c r="C3507" s="120" t="s">
        <v>6029</v>
      </c>
      <c r="D3507" s="33" t="s">
        <v>34648</v>
      </c>
      <c r="E3507" s="51" t="s">
        <v>688</v>
      </c>
      <c r="F3507" s="121" t="s">
        <v>3009</v>
      </c>
      <c r="G3507" s="98" t="str">
        <f>HYPERLINK("http://mirror.ff7data.com.ar/ff7/data/battle/battle.lgp/ghbl.png","View Picture")</f>
        <v>View Picture</v>
      </c>
    </row>
    <row r="3508">
      <c r="A3508" s="55"/>
      <c r="B3508" s="119" t="s">
        <v>34710</v>
      </c>
      <c r="C3508" s="120" t="s">
        <v>7165</v>
      </c>
      <c r="D3508" s="33" t="s">
        <v>34648</v>
      </c>
      <c r="E3508" s="51" t="s">
        <v>688</v>
      </c>
      <c r="F3508" s="121" t="s">
        <v>3009</v>
      </c>
      <c r="G3508" s="98" t="str">
        <f>HYPERLINK("http://mirror.ff7data.com.ar/ff7/data/battle/battle.lgp/ghbm.png","View Picture")</f>
        <v>View Picture</v>
      </c>
    </row>
    <row r="3509">
      <c r="A3509" s="55"/>
      <c r="B3509" s="119" t="s">
        <v>34712</v>
      </c>
      <c r="C3509" s="120" t="s">
        <v>3842</v>
      </c>
      <c r="D3509" s="33" t="s">
        <v>34648</v>
      </c>
      <c r="E3509" s="51" t="s">
        <v>688</v>
      </c>
      <c r="F3509" s="121" t="s">
        <v>3009</v>
      </c>
      <c r="G3509" s="98" t="str">
        <f>HYPERLINK("http://mirror.ff7data.com.ar/ff7/data/battle/battle.lgp/ghbo.png","View Picture")</f>
        <v>View Picture</v>
      </c>
    </row>
    <row r="3510">
      <c r="A3510" s="55"/>
      <c r="B3510" s="119" t="s">
        <v>34713</v>
      </c>
      <c r="C3510" s="120" t="s">
        <v>9290</v>
      </c>
      <c r="D3510" s="33" t="s">
        <v>34648</v>
      </c>
      <c r="E3510" s="51" t="s">
        <v>688</v>
      </c>
      <c r="F3510" s="121" t="s">
        <v>3009</v>
      </c>
      <c r="G3510" s="98" t="str">
        <f>HYPERLINK("http://mirror.ff7data.com.ar/ff7/data/battle/battle.lgp/ghbp.png","View Picture")</f>
        <v>View Picture</v>
      </c>
    </row>
    <row r="3511">
      <c r="A3511" s="55"/>
      <c r="B3511" s="119" t="s">
        <v>34715</v>
      </c>
      <c r="C3511" s="120" t="s">
        <v>4185</v>
      </c>
      <c r="D3511" s="33" t="s">
        <v>34648</v>
      </c>
      <c r="E3511" s="51" t="s">
        <v>688</v>
      </c>
      <c r="F3511" s="121" t="s">
        <v>3009</v>
      </c>
      <c r="G3511" s="98" t="str">
        <f>HYPERLINK("http://mirror.ff7data.com.ar/ff7/data/battle/battle.lgp/ghbq.png","View Picture")</f>
        <v>View Picture</v>
      </c>
    </row>
    <row r="3512">
      <c r="A3512" s="55"/>
      <c r="B3512" s="119" t="s">
        <v>34717</v>
      </c>
      <c r="C3512" s="120" t="s">
        <v>3842</v>
      </c>
      <c r="D3512" s="33" t="s">
        <v>34648</v>
      </c>
      <c r="E3512" s="51" t="s">
        <v>688</v>
      </c>
      <c r="F3512" s="121" t="s">
        <v>3009</v>
      </c>
      <c r="G3512" s="98" t="str">
        <f>HYPERLINK("http://mirror.ff7data.com.ar/ff7/data/battle/battle.lgp/ghbs.png","View Picture")</f>
        <v>View Picture</v>
      </c>
    </row>
    <row r="3513">
      <c r="A3513" s="55"/>
      <c r="B3513" s="119" t="s">
        <v>34722</v>
      </c>
      <c r="C3513" s="120" t="s">
        <v>3494</v>
      </c>
      <c r="D3513" s="33" t="s">
        <v>34648</v>
      </c>
      <c r="E3513" s="51" t="s">
        <v>688</v>
      </c>
      <c r="F3513" s="121" t="s">
        <v>3009</v>
      </c>
      <c r="G3513" s="98" t="str">
        <f>HYPERLINK("http://mirror.ff7data.com.ar/ff7/data/battle/battle.lgp/ghbt.png","View Picture")</f>
        <v>View Picture</v>
      </c>
    </row>
    <row r="3514">
      <c r="A3514" s="55"/>
      <c r="B3514" s="119" t="s">
        <v>34723</v>
      </c>
      <c r="C3514" s="120" t="s">
        <v>4264</v>
      </c>
      <c r="D3514" s="33" t="s">
        <v>34648</v>
      </c>
      <c r="E3514" s="51" t="s">
        <v>688</v>
      </c>
      <c r="F3514" s="121" t="s">
        <v>3009</v>
      </c>
      <c r="G3514" s="98" t="str">
        <f>HYPERLINK("http://mirror.ff7data.com.ar/ff7/data/battle/battle.lgp/ghbu.png","View Picture")</f>
        <v>View Picture</v>
      </c>
    </row>
    <row r="3515">
      <c r="A3515" s="55"/>
      <c r="B3515" s="119" t="s">
        <v>34726</v>
      </c>
      <c r="C3515" s="120" t="s">
        <v>6029</v>
      </c>
      <c r="D3515" s="33" t="s">
        <v>34648</v>
      </c>
      <c r="E3515" s="51" t="s">
        <v>688</v>
      </c>
      <c r="F3515" s="121" t="s">
        <v>3009</v>
      </c>
      <c r="G3515" s="98" t="str">
        <f>HYPERLINK("http://mirror.ff7data.com.ar/ff7/data/battle/battle.lgp/ghbw.png","View Picture")</f>
        <v>View Picture</v>
      </c>
    </row>
    <row r="3516">
      <c r="A3516" s="55"/>
      <c r="B3516" s="119" t="s">
        <v>34730</v>
      </c>
      <c r="C3516" s="120" t="s">
        <v>6029</v>
      </c>
      <c r="D3516" s="33" t="s">
        <v>34648</v>
      </c>
      <c r="E3516" s="51" t="s">
        <v>688</v>
      </c>
      <c r="F3516" s="121" t="s">
        <v>3009</v>
      </c>
      <c r="G3516" s="98" t="str">
        <f>HYPERLINK("http://mirror.ff7data.com.ar/ff7/data/battle/battle.lgp/ghbx.png","View Picture")</f>
        <v>View Picture</v>
      </c>
    </row>
    <row r="3517">
      <c r="A3517" s="55"/>
      <c r="B3517" s="119" t="s">
        <v>34733</v>
      </c>
      <c r="C3517" s="120" t="s">
        <v>6029</v>
      </c>
      <c r="D3517" s="33" t="s">
        <v>34648</v>
      </c>
      <c r="E3517" s="51" t="s">
        <v>688</v>
      </c>
      <c r="F3517" s="121" t="s">
        <v>3009</v>
      </c>
      <c r="G3517" s="98" t="str">
        <f>HYPERLINK("http://mirror.ff7data.com.ar/ff7/data/battle/battle.lgp/ghby.png","View Picture")</f>
        <v>View Picture</v>
      </c>
    </row>
    <row r="3518">
      <c r="A3518" s="55"/>
      <c r="B3518" s="119" t="s">
        <v>34735</v>
      </c>
      <c r="C3518" s="120" t="s">
        <v>7165</v>
      </c>
      <c r="D3518" s="33" t="s">
        <v>34648</v>
      </c>
      <c r="E3518" s="51" t="s">
        <v>688</v>
      </c>
      <c r="F3518" s="121" t="s">
        <v>3009</v>
      </c>
      <c r="G3518" s="98" t="str">
        <f>HYPERLINK("http://mirror.ff7data.com.ar/ff7/data/battle/battle.lgp/ghbz.png","View Picture")</f>
        <v>View Picture</v>
      </c>
    </row>
    <row r="3519">
      <c r="A3519" s="55"/>
      <c r="B3519" s="119" t="s">
        <v>34737</v>
      </c>
      <c r="C3519" s="120" t="s">
        <v>4086</v>
      </c>
      <c r="D3519" s="33" t="s">
        <v>34648</v>
      </c>
      <c r="E3519" s="51" t="s">
        <v>688</v>
      </c>
      <c r="F3519" s="121" t="s">
        <v>3025</v>
      </c>
      <c r="H3519" s="46" t="s">
        <v>3002</v>
      </c>
    </row>
    <row r="3520">
      <c r="A3520" s="84"/>
      <c r="B3520" s="119" t="s">
        <v>34739</v>
      </c>
      <c r="C3520" s="120" t="s">
        <v>34740</v>
      </c>
      <c r="D3520" s="33" t="s">
        <v>34741</v>
      </c>
      <c r="E3520" s="51" t="s">
        <v>692</v>
      </c>
      <c r="F3520" s="121" t="s">
        <v>2971</v>
      </c>
      <c r="G3520" s="98" t="str">
        <f>HYPERLINK("http://mirror.ff7data.com.ar/ff7/data/battle/battle.lgp/giaa.png","View Picture")</f>
        <v>View Picture</v>
      </c>
    </row>
    <row r="3521">
      <c r="A3521" s="55"/>
      <c r="B3521" s="119" t="s">
        <v>34742</v>
      </c>
      <c r="C3521" s="120" t="s">
        <v>5724</v>
      </c>
      <c r="D3521" s="33" t="s">
        <v>34744</v>
      </c>
      <c r="E3521" s="51" t="s">
        <v>692</v>
      </c>
      <c r="F3521" s="121" t="s">
        <v>2993</v>
      </c>
      <c r="H3521" s="46" t="s">
        <v>3002</v>
      </c>
    </row>
    <row r="3522">
      <c r="A3522" s="21"/>
      <c r="B3522" s="119" t="s">
        <v>34745</v>
      </c>
      <c r="C3522" s="120" t="s">
        <v>7081</v>
      </c>
      <c r="D3522" s="33" t="s">
        <v>34746</v>
      </c>
      <c r="E3522" s="51" t="s">
        <v>692</v>
      </c>
      <c r="F3522" s="121" t="s">
        <v>1348</v>
      </c>
      <c r="G3522" s="98" t="str">
        <f>HYPERLINK("http://mirror.ff7data.com.ar/ff7/data/battle/battle.lgp/giac.png","View Picture")</f>
        <v>View Picture</v>
      </c>
    </row>
    <row r="3523">
      <c r="A3523" s="84"/>
      <c r="B3523" s="119" t="s">
        <v>34748</v>
      </c>
      <c r="C3523" s="120" t="s">
        <v>10078</v>
      </c>
      <c r="D3523" s="33" t="s">
        <v>34744</v>
      </c>
      <c r="E3523" s="51" t="s">
        <v>692</v>
      </c>
      <c r="F3523" s="121" t="s">
        <v>3009</v>
      </c>
      <c r="G3523" s="98" t="str">
        <f>HYPERLINK("http://mirror.ff7data.com.ar/ff7/data/battle/battle.lgp/giam.png","View Picture")</f>
        <v>View Picture</v>
      </c>
    </row>
    <row r="3524">
      <c r="A3524" s="84"/>
      <c r="B3524" s="119" t="s">
        <v>34750</v>
      </c>
      <c r="C3524" s="120" t="s">
        <v>4228</v>
      </c>
      <c r="D3524" s="33" t="s">
        <v>34744</v>
      </c>
      <c r="E3524" s="51" t="s">
        <v>692</v>
      </c>
      <c r="F3524" s="121" t="s">
        <v>3009</v>
      </c>
      <c r="G3524" s="98" t="str">
        <f>HYPERLINK("http://mirror.ff7data.com.ar/ff7/data/battle/battle.lgp/gian.png","View Picture")</f>
        <v>View Picture</v>
      </c>
    </row>
    <row r="3525">
      <c r="A3525" s="21"/>
      <c r="B3525" s="119" t="s">
        <v>34751</v>
      </c>
      <c r="C3525" s="120" t="s">
        <v>6010</v>
      </c>
      <c r="D3525" s="33" t="s">
        <v>34752</v>
      </c>
      <c r="E3525" s="51" t="s">
        <v>692</v>
      </c>
      <c r="F3525" s="121" t="s">
        <v>3009</v>
      </c>
      <c r="G3525" s="98" t="str">
        <f>HYPERLINK("http://mirror.ff7data.com.ar/ff7/data/battle/battle.lgp/giao.png","View Picture")</f>
        <v>View Picture</v>
      </c>
    </row>
    <row r="3526">
      <c r="A3526" s="84"/>
      <c r="B3526" s="119" t="s">
        <v>34754</v>
      </c>
      <c r="C3526" s="120" t="s">
        <v>5419</v>
      </c>
      <c r="D3526" s="33" t="s">
        <v>34744</v>
      </c>
      <c r="E3526" s="51" t="s">
        <v>692</v>
      </c>
      <c r="F3526" s="121" t="s">
        <v>3009</v>
      </c>
      <c r="G3526" s="98" t="str">
        <f>HYPERLINK("http://mirror.ff7data.com.ar/ff7/data/battle/battle.lgp/giar.png","View Picture")</f>
        <v>View Picture</v>
      </c>
    </row>
    <row r="3527">
      <c r="A3527" s="84"/>
      <c r="B3527" s="119" t="s">
        <v>34756</v>
      </c>
      <c r="C3527" s="120" t="s">
        <v>5419</v>
      </c>
      <c r="D3527" s="33" t="s">
        <v>34744</v>
      </c>
      <c r="E3527" s="51" t="s">
        <v>692</v>
      </c>
      <c r="F3527" s="121" t="s">
        <v>3009</v>
      </c>
      <c r="G3527" s="98" t="str">
        <f>HYPERLINK("http://mirror.ff7data.com.ar/ff7/data/battle/battle.lgp/gias.png","View Picture")</f>
        <v>View Picture</v>
      </c>
    </row>
    <row r="3528">
      <c r="A3528" s="84"/>
      <c r="B3528" s="119" t="s">
        <v>34757</v>
      </c>
      <c r="C3528" s="120" t="s">
        <v>4217</v>
      </c>
      <c r="D3528" s="33" t="s">
        <v>34744</v>
      </c>
      <c r="E3528" s="51" t="s">
        <v>692</v>
      </c>
      <c r="F3528" s="121" t="s">
        <v>3009</v>
      </c>
      <c r="G3528" s="98" t="str">
        <f>HYPERLINK("http://mirror.ff7data.com.ar/ff7/data/battle/battle.lgp/giat.png","View Picture")</f>
        <v>View Picture</v>
      </c>
    </row>
    <row r="3529">
      <c r="A3529" s="84"/>
      <c r="B3529" s="119" t="s">
        <v>34759</v>
      </c>
      <c r="C3529" s="120" t="s">
        <v>5419</v>
      </c>
      <c r="D3529" s="33" t="s">
        <v>34744</v>
      </c>
      <c r="E3529" s="51" t="s">
        <v>692</v>
      </c>
      <c r="F3529" s="121" t="s">
        <v>3009</v>
      </c>
      <c r="G3529" s="98" t="str">
        <f>HYPERLINK("http://mirror.ff7data.com.ar/ff7/data/battle/battle.lgp/giaw.png","View Picture")</f>
        <v>View Picture</v>
      </c>
    </row>
    <row r="3530">
      <c r="A3530" s="84"/>
      <c r="B3530" s="119" t="s">
        <v>34761</v>
      </c>
      <c r="C3530" s="120" t="s">
        <v>5419</v>
      </c>
      <c r="D3530" s="33" t="s">
        <v>34744</v>
      </c>
      <c r="E3530" s="51" t="s">
        <v>692</v>
      </c>
      <c r="F3530" s="121" t="s">
        <v>3009</v>
      </c>
      <c r="G3530" s="98" t="str">
        <f>HYPERLINK("http://mirror.ff7data.com.ar/ff7/data/battle/battle.lgp/giax.png","View Picture")</f>
        <v>View Picture</v>
      </c>
    </row>
    <row r="3531">
      <c r="A3531" s="84"/>
      <c r="B3531" s="119" t="s">
        <v>34762</v>
      </c>
      <c r="C3531" s="120" t="s">
        <v>4217</v>
      </c>
      <c r="D3531" s="33" t="s">
        <v>34744</v>
      </c>
      <c r="E3531" s="51" t="s">
        <v>692</v>
      </c>
      <c r="F3531" s="121" t="s">
        <v>3009</v>
      </c>
      <c r="G3531" s="98" t="str">
        <f>HYPERLINK("http://mirror.ff7data.com.ar/ff7/data/battle/battle.lgp/giay.png","View Picture")</f>
        <v>View Picture</v>
      </c>
    </row>
    <row r="3532">
      <c r="A3532" s="21"/>
      <c r="B3532" s="119" t="s">
        <v>34765</v>
      </c>
      <c r="C3532" s="120" t="s">
        <v>3465</v>
      </c>
      <c r="D3532" s="33" t="s">
        <v>34766</v>
      </c>
      <c r="E3532" s="51" t="s">
        <v>692</v>
      </c>
      <c r="F3532" s="121" t="s">
        <v>3009</v>
      </c>
      <c r="G3532" s="98" t="str">
        <f>HYPERLINK("http://mirror.ff7data.com.ar/ff7/data/battle/battle.lgp/giba.png","View Picture")</f>
        <v>View Picture</v>
      </c>
    </row>
    <row r="3533">
      <c r="A3533" s="84"/>
      <c r="B3533" s="119" t="s">
        <v>34767</v>
      </c>
      <c r="C3533" s="120" t="s">
        <v>5419</v>
      </c>
      <c r="D3533" s="33" t="s">
        <v>34744</v>
      </c>
      <c r="E3533" s="51" t="s">
        <v>692</v>
      </c>
      <c r="F3533" s="121" t="s">
        <v>3009</v>
      </c>
      <c r="G3533" s="98" t="str">
        <f>HYPERLINK("http://mirror.ff7data.com.ar/ff7/data/battle/battle.lgp/gibd.png","View Picture")</f>
        <v>View Picture</v>
      </c>
    </row>
    <row r="3534">
      <c r="A3534" s="84"/>
      <c r="B3534" s="119" t="s">
        <v>34769</v>
      </c>
      <c r="C3534" s="120" t="s">
        <v>5419</v>
      </c>
      <c r="D3534" s="33" t="s">
        <v>34744</v>
      </c>
      <c r="E3534" s="51" t="s">
        <v>692</v>
      </c>
      <c r="F3534" s="121" t="s">
        <v>3009</v>
      </c>
      <c r="G3534" s="98" t="str">
        <f>HYPERLINK("http://mirror.ff7data.com.ar/ff7/data/battle/battle.lgp/gibe.png","View Picture")</f>
        <v>View Picture</v>
      </c>
    </row>
    <row r="3535">
      <c r="A3535" s="84"/>
      <c r="B3535" s="119" t="s">
        <v>34771</v>
      </c>
      <c r="C3535" s="120" t="s">
        <v>4357</v>
      </c>
      <c r="D3535" s="33" t="s">
        <v>34744</v>
      </c>
      <c r="E3535" s="51" t="s">
        <v>692</v>
      </c>
      <c r="F3535" s="121" t="s">
        <v>3009</v>
      </c>
      <c r="G3535" s="98" t="str">
        <f>HYPERLINK("http://mirror.ff7data.com.ar/ff7/data/battle/battle.lgp/gibf.png","View Picture")</f>
        <v>View Picture</v>
      </c>
    </row>
    <row r="3536">
      <c r="A3536" s="84"/>
      <c r="B3536" s="119" t="s">
        <v>34772</v>
      </c>
      <c r="C3536" s="120" t="s">
        <v>6029</v>
      </c>
      <c r="D3536" s="33" t="s">
        <v>34744</v>
      </c>
      <c r="E3536" s="51" t="s">
        <v>692</v>
      </c>
      <c r="F3536" s="121" t="s">
        <v>3009</v>
      </c>
      <c r="G3536" s="98" t="str">
        <f>HYPERLINK("http://mirror.ff7data.com.ar/ff7/data/battle/battle.lgp/gibh.png","View Picture")</f>
        <v>View Picture</v>
      </c>
    </row>
    <row r="3537">
      <c r="A3537" s="84"/>
      <c r="B3537" s="119" t="s">
        <v>34774</v>
      </c>
      <c r="C3537" s="120" t="s">
        <v>5419</v>
      </c>
      <c r="D3537" s="33" t="s">
        <v>34744</v>
      </c>
      <c r="E3537" s="51" t="s">
        <v>692</v>
      </c>
      <c r="F3537" s="121" t="s">
        <v>3009</v>
      </c>
      <c r="G3537" s="98" t="str">
        <f>HYPERLINK("http://mirror.ff7data.com.ar/ff7/data/battle/battle.lgp/gibj.png","View Picture")</f>
        <v>View Picture</v>
      </c>
    </row>
    <row r="3538">
      <c r="A3538" s="84"/>
      <c r="B3538" s="119" t="s">
        <v>34776</v>
      </c>
      <c r="C3538" s="120" t="s">
        <v>4357</v>
      </c>
      <c r="D3538" s="33" t="s">
        <v>34744</v>
      </c>
      <c r="E3538" s="51" t="s">
        <v>692</v>
      </c>
      <c r="F3538" s="121" t="s">
        <v>3009</v>
      </c>
      <c r="G3538" s="98" t="str">
        <f>HYPERLINK("http://mirror.ff7data.com.ar/ff7/data/battle/battle.lgp/gibk.png","View Picture")</f>
        <v>View Picture</v>
      </c>
    </row>
    <row r="3539">
      <c r="A3539" s="84"/>
      <c r="B3539" s="119" t="s">
        <v>34777</v>
      </c>
      <c r="C3539" s="120" t="s">
        <v>4357</v>
      </c>
      <c r="D3539" s="33" t="s">
        <v>34744</v>
      </c>
      <c r="E3539" s="51" t="s">
        <v>692</v>
      </c>
      <c r="F3539" s="121" t="s">
        <v>3009</v>
      </c>
      <c r="G3539" s="98" t="str">
        <f>HYPERLINK("http://mirror.ff7data.com.ar/ff7/data/battle/battle.lgp/gibl.png","View Picture")</f>
        <v>View Picture</v>
      </c>
    </row>
    <row r="3540">
      <c r="A3540" s="84"/>
      <c r="B3540" s="119" t="s">
        <v>34779</v>
      </c>
      <c r="C3540" s="120" t="s">
        <v>6029</v>
      </c>
      <c r="D3540" s="33" t="s">
        <v>34744</v>
      </c>
      <c r="E3540" s="51" t="s">
        <v>692</v>
      </c>
      <c r="F3540" s="121" t="s">
        <v>3009</v>
      </c>
      <c r="G3540" s="98" t="str">
        <f>HYPERLINK("http://mirror.ff7data.com.ar/ff7/data/battle/battle.lgp/gibn.png","View Picture")</f>
        <v>View Picture</v>
      </c>
    </row>
    <row r="3541">
      <c r="A3541" s="55"/>
      <c r="B3541" s="119" t="s">
        <v>34781</v>
      </c>
      <c r="C3541" s="120" t="s">
        <v>4167</v>
      </c>
      <c r="D3541" s="33" t="s">
        <v>34744</v>
      </c>
      <c r="E3541" s="51" t="s">
        <v>692</v>
      </c>
      <c r="F3541" s="121" t="s">
        <v>3025</v>
      </c>
      <c r="H3541" s="46" t="s">
        <v>3002</v>
      </c>
    </row>
    <row r="3542">
      <c r="A3542" s="82"/>
      <c r="B3542" s="119" t="s">
        <v>34783</v>
      </c>
      <c r="C3542" s="120" t="s">
        <v>10179</v>
      </c>
      <c r="D3542" s="33" t="s">
        <v>34784</v>
      </c>
      <c r="E3542" s="51" t="s">
        <v>695</v>
      </c>
      <c r="F3542" s="121" t="s">
        <v>2971</v>
      </c>
      <c r="G3542" s="98" t="str">
        <f>HYPERLINK("http://mirror.ff7data.com.ar/ff7/data/battle/battle.lgp/gjaa.png","View Picture")</f>
        <v>View Picture</v>
      </c>
    </row>
    <row r="3543">
      <c r="A3543" s="55"/>
      <c r="B3543" s="119" t="s">
        <v>34787</v>
      </c>
      <c r="C3543" s="120" t="s">
        <v>6802</v>
      </c>
      <c r="D3543" s="33" t="s">
        <v>34788</v>
      </c>
      <c r="E3543" s="51" t="s">
        <v>695</v>
      </c>
      <c r="F3543" s="121" t="s">
        <v>2993</v>
      </c>
      <c r="H3543" s="46" t="s">
        <v>3002</v>
      </c>
    </row>
    <row r="3544">
      <c r="A3544" s="82"/>
      <c r="B3544" s="119" t="s">
        <v>34789</v>
      </c>
      <c r="C3544" s="120" t="s">
        <v>34790</v>
      </c>
      <c r="D3544" s="33" t="s">
        <v>34791</v>
      </c>
      <c r="E3544" s="51" t="s">
        <v>695</v>
      </c>
      <c r="F3544" s="121" t="s">
        <v>3009</v>
      </c>
      <c r="G3544" s="98" t="str">
        <f>HYPERLINK("http://mirror.ff7data.com.ar/ff7/data/battle/battle.lgp/gjam.png","View Picture")</f>
        <v>View Picture</v>
      </c>
    </row>
    <row r="3545">
      <c r="A3545" s="82"/>
      <c r="B3545" s="119" t="s">
        <v>34796</v>
      </c>
      <c r="C3545" s="120" t="s">
        <v>3614</v>
      </c>
      <c r="D3545" s="33" t="s">
        <v>34797</v>
      </c>
      <c r="E3545" s="51" t="s">
        <v>695</v>
      </c>
      <c r="F3545" s="121" t="s">
        <v>3009</v>
      </c>
      <c r="G3545" s="98" t="str">
        <f>HYPERLINK("http://mirror.ff7data.com.ar/ff7/data/battle/battle.lgp/gjao.png","View Picture")</f>
        <v>View Picture</v>
      </c>
    </row>
    <row r="3546">
      <c r="A3546" s="82"/>
      <c r="B3546" s="119" t="s">
        <v>34800</v>
      </c>
      <c r="C3546" s="120" t="s">
        <v>3614</v>
      </c>
      <c r="D3546" s="33" t="s">
        <v>34802</v>
      </c>
      <c r="E3546" s="51" t="s">
        <v>695</v>
      </c>
      <c r="F3546" s="121" t="s">
        <v>3009</v>
      </c>
      <c r="G3546" s="98" t="str">
        <f>HYPERLINK("http://mirror.ff7data.com.ar/ff7/data/battle/battle.lgp/gjaq.png","View Picture")</f>
        <v>View Picture</v>
      </c>
    </row>
    <row r="3547">
      <c r="A3547" s="55"/>
      <c r="B3547" s="119" t="s">
        <v>34805</v>
      </c>
      <c r="C3547" s="120" t="s">
        <v>3445</v>
      </c>
      <c r="D3547" s="33" t="s">
        <v>34788</v>
      </c>
      <c r="E3547" s="51" t="s">
        <v>695</v>
      </c>
      <c r="F3547" s="121" t="s">
        <v>3025</v>
      </c>
      <c r="H3547" s="46" t="s">
        <v>3002</v>
      </c>
    </row>
    <row r="3548">
      <c r="A3548" s="82"/>
      <c r="B3548" s="119" t="s">
        <v>34806</v>
      </c>
      <c r="C3548" s="120" t="s">
        <v>6611</v>
      </c>
      <c r="D3548" s="33" t="s">
        <v>34807</v>
      </c>
      <c r="E3548" s="51" t="s">
        <v>698</v>
      </c>
      <c r="F3548" s="121" t="s">
        <v>2971</v>
      </c>
      <c r="G3548" s="98" t="str">
        <f>HYPERLINK("http://mirror.ff7data.com.ar/ff7/data/battle/battle.lgp/gkaa.png","View Picture")</f>
        <v>View Picture</v>
      </c>
    </row>
    <row r="3549">
      <c r="A3549" s="55"/>
      <c r="B3549" s="119" t="s">
        <v>34810</v>
      </c>
      <c r="C3549" s="120" t="s">
        <v>32542</v>
      </c>
      <c r="D3549" s="33" t="s">
        <v>34811</v>
      </c>
      <c r="E3549" s="51" t="s">
        <v>698</v>
      </c>
      <c r="F3549" s="121" t="s">
        <v>2993</v>
      </c>
      <c r="H3549" s="46" t="s">
        <v>3002</v>
      </c>
    </row>
    <row r="3550">
      <c r="A3550" s="40"/>
      <c r="B3550" s="119" t="s">
        <v>34813</v>
      </c>
      <c r="C3550" s="120" t="s">
        <v>3997</v>
      </c>
      <c r="D3550" s="33" t="s">
        <v>34815</v>
      </c>
      <c r="E3550" s="51" t="s">
        <v>698</v>
      </c>
      <c r="F3550" s="121" t="s">
        <v>1348</v>
      </c>
      <c r="G3550" s="98" t="str">
        <f>HYPERLINK("http://mirror.ff7data.com.ar/ff7/data/battle/battle.lgp/gkac.png","View Picture")</f>
        <v>View Picture</v>
      </c>
    </row>
    <row r="3551">
      <c r="A3551" s="82"/>
      <c r="B3551" s="119" t="s">
        <v>34818</v>
      </c>
      <c r="C3551" s="120" t="s">
        <v>4046</v>
      </c>
      <c r="D3551" s="33" t="s">
        <v>34819</v>
      </c>
      <c r="E3551" s="51" t="s">
        <v>698</v>
      </c>
      <c r="F3551" s="121" t="s">
        <v>3009</v>
      </c>
      <c r="G3551" s="98" t="str">
        <f>HYPERLINK("http://mirror.ff7data.com.ar/ff7/data/battle/battle.lgp/gkam.png","View Picture")</f>
        <v>View Picture</v>
      </c>
    </row>
    <row r="3552">
      <c r="A3552" s="21"/>
      <c r="B3552" s="119" t="s">
        <v>34822</v>
      </c>
      <c r="C3552" s="120" t="s">
        <v>4439</v>
      </c>
      <c r="D3552" s="33" t="s">
        <v>34823</v>
      </c>
      <c r="E3552" s="51" t="s">
        <v>698</v>
      </c>
      <c r="F3552" s="121" t="s">
        <v>3009</v>
      </c>
      <c r="G3552" s="98" t="str">
        <f>HYPERLINK("http://mirror.ff7data.com.ar/ff7/data/battle/battle.lgp/gkao.png","View Picture")</f>
        <v>View Picture</v>
      </c>
    </row>
    <row r="3553">
      <c r="A3553" s="21"/>
      <c r="B3553" s="119" t="s">
        <v>34825</v>
      </c>
      <c r="C3553" s="120" t="s">
        <v>4439</v>
      </c>
      <c r="D3553" s="33" t="s">
        <v>34826</v>
      </c>
      <c r="E3553" s="51" t="s">
        <v>698</v>
      </c>
      <c r="F3553" s="121" t="s">
        <v>3009</v>
      </c>
      <c r="G3553" s="98" t="str">
        <f>HYPERLINK("http://mirror.ff7data.com.ar/ff7/data/battle/battle.lgp/gkar.png","View Picture")</f>
        <v>View Picture</v>
      </c>
    </row>
    <row r="3554">
      <c r="A3554" s="21"/>
      <c r="B3554" s="119" t="s">
        <v>34828</v>
      </c>
      <c r="C3554" s="120" t="s">
        <v>4439</v>
      </c>
      <c r="D3554" s="33" t="s">
        <v>34829</v>
      </c>
      <c r="E3554" s="51" t="s">
        <v>698</v>
      </c>
      <c r="F3554" s="121" t="s">
        <v>3009</v>
      </c>
      <c r="G3554" s="98" t="str">
        <f>HYPERLINK("http://mirror.ff7data.com.ar/ff7/data/battle/battle.lgp/gkau.png","View Picture")</f>
        <v>View Picture</v>
      </c>
    </row>
    <row r="3555">
      <c r="A3555" s="21"/>
      <c r="B3555" s="119" t="s">
        <v>34831</v>
      </c>
      <c r="C3555" s="120" t="s">
        <v>4252</v>
      </c>
      <c r="D3555" s="33" t="s">
        <v>34832</v>
      </c>
      <c r="E3555" s="51" t="s">
        <v>698</v>
      </c>
      <c r="F3555" s="121" t="s">
        <v>3009</v>
      </c>
      <c r="G3555" s="98" t="str">
        <f>HYPERLINK("http://mirror.ff7data.com.ar/ff7/data/battle/battle.lgp/gkaw.png","View Picture")</f>
        <v>View Picture</v>
      </c>
    </row>
    <row r="3556">
      <c r="A3556" s="21"/>
      <c r="B3556" s="119" t="s">
        <v>34834</v>
      </c>
      <c r="C3556" s="120" t="s">
        <v>4252</v>
      </c>
      <c r="D3556" s="33" t="s">
        <v>34835</v>
      </c>
      <c r="E3556" s="51" t="s">
        <v>698</v>
      </c>
      <c r="F3556" s="121" t="s">
        <v>3009</v>
      </c>
      <c r="G3556" s="98" t="str">
        <f>HYPERLINK("http://mirror.ff7data.com.ar/ff7/data/battle/battle.lgp/gkay.png","View Picture")</f>
        <v>View Picture</v>
      </c>
    </row>
    <row r="3557">
      <c r="A3557" s="21"/>
      <c r="B3557" s="119" t="s">
        <v>34837</v>
      </c>
      <c r="C3557" s="120" t="s">
        <v>4252</v>
      </c>
      <c r="D3557" s="33" t="s">
        <v>34838</v>
      </c>
      <c r="E3557" s="51" t="s">
        <v>698</v>
      </c>
      <c r="F3557" s="121" t="s">
        <v>3009</v>
      </c>
      <c r="G3557" s="98" t="str">
        <f>HYPERLINK("http://mirror.ff7data.com.ar/ff7/data/battle/battle.lgp/gkba.png","View Picture")</f>
        <v>View Picture</v>
      </c>
    </row>
    <row r="3558">
      <c r="A3558" s="21"/>
      <c r="B3558" s="119" t="s">
        <v>34840</v>
      </c>
      <c r="C3558" s="120" t="s">
        <v>4439</v>
      </c>
      <c r="D3558" s="33" t="s">
        <v>34841</v>
      </c>
      <c r="E3558" s="51" t="s">
        <v>698</v>
      </c>
      <c r="F3558" s="121" t="s">
        <v>3009</v>
      </c>
      <c r="G3558" s="98" t="str">
        <f>HYPERLINK("http://mirror.ff7data.com.ar/ff7/data/battle/battle.lgp/gkbc.png","View Picture")</f>
        <v>View Picture</v>
      </c>
    </row>
    <row r="3559">
      <c r="A3559" s="21"/>
      <c r="B3559" s="119" t="s">
        <v>34843</v>
      </c>
      <c r="C3559" s="120" t="s">
        <v>4252</v>
      </c>
      <c r="D3559" s="33" t="s">
        <v>34844</v>
      </c>
      <c r="E3559" s="51" t="s">
        <v>698</v>
      </c>
      <c r="F3559" s="121" t="s">
        <v>3009</v>
      </c>
      <c r="G3559" s="98" t="str">
        <f>HYPERLINK("http://mirror.ff7data.com.ar/ff7/data/battle/battle.lgp/gkbe.png","View Picture")</f>
        <v>View Picture</v>
      </c>
    </row>
    <row r="3560">
      <c r="A3560" s="55"/>
      <c r="B3560" s="119" t="s">
        <v>34846</v>
      </c>
      <c r="C3560" s="120" t="s">
        <v>5027</v>
      </c>
      <c r="D3560" s="33" t="s">
        <v>34811</v>
      </c>
      <c r="E3560" s="51" t="s">
        <v>698</v>
      </c>
      <c r="F3560" s="121" t="s">
        <v>3025</v>
      </c>
      <c r="H3560" s="46" t="s">
        <v>3002</v>
      </c>
    </row>
    <row r="3561">
      <c r="A3561" s="82"/>
      <c r="B3561" s="119" t="s">
        <v>34847</v>
      </c>
      <c r="C3561" s="120" t="s">
        <v>4109</v>
      </c>
      <c r="D3561" s="33" t="s">
        <v>34848</v>
      </c>
      <c r="E3561" s="51" t="s">
        <v>701</v>
      </c>
      <c r="F3561" s="121" t="s">
        <v>2971</v>
      </c>
      <c r="G3561" s="98" t="str">
        <f>HYPERLINK("http://mirror.ff7data.com.ar/ff7/data/battle/battle.lgp/glaa.png","View Picture")</f>
        <v>View Picture</v>
      </c>
      <c r="H3561" s="46" t="s">
        <v>34850</v>
      </c>
    </row>
    <row r="3562">
      <c r="A3562" s="55"/>
      <c r="B3562" s="119" t="s">
        <v>34851</v>
      </c>
      <c r="C3562" s="120" t="s">
        <v>3906</v>
      </c>
      <c r="D3562" s="33" t="s">
        <v>34852</v>
      </c>
      <c r="E3562" s="51" t="s">
        <v>701</v>
      </c>
      <c r="F3562" s="121" t="s">
        <v>2993</v>
      </c>
      <c r="H3562" s="46" t="s">
        <v>3002</v>
      </c>
    </row>
    <row r="3563">
      <c r="A3563" s="84"/>
      <c r="B3563" s="119" t="s">
        <v>34854</v>
      </c>
      <c r="C3563" s="120" t="s">
        <v>4732</v>
      </c>
      <c r="D3563" s="33" t="s">
        <v>34852</v>
      </c>
      <c r="E3563" s="51" t="s">
        <v>701</v>
      </c>
      <c r="F3563" s="121" t="s">
        <v>3009</v>
      </c>
      <c r="G3563" s="98" t="str">
        <f>HYPERLINK("http://mirror.ff7data.com.ar/ff7/data/battle/battle.lgp/glam.png","View Picture")</f>
        <v>View Picture</v>
      </c>
    </row>
    <row r="3564">
      <c r="A3564" s="84"/>
      <c r="B3564" s="119" t="s">
        <v>34856</v>
      </c>
      <c r="C3564" s="120" t="s">
        <v>3749</v>
      </c>
      <c r="D3564" s="33" t="s">
        <v>34852</v>
      </c>
      <c r="E3564" s="51" t="s">
        <v>701</v>
      </c>
      <c r="F3564" s="121" t="s">
        <v>3009</v>
      </c>
      <c r="G3564" s="98" t="str">
        <f>HYPERLINK("http://mirror.ff7data.com.ar/ff7/data/battle/battle.lgp/glan.png","View Picture")</f>
        <v>View Picture</v>
      </c>
    </row>
    <row r="3565">
      <c r="A3565" s="84"/>
      <c r="B3565" s="119" t="s">
        <v>34858</v>
      </c>
      <c r="C3565" s="120" t="s">
        <v>7165</v>
      </c>
      <c r="D3565" s="33" t="s">
        <v>34852</v>
      </c>
      <c r="E3565" s="51" t="s">
        <v>701</v>
      </c>
      <c r="F3565" s="121" t="s">
        <v>3009</v>
      </c>
      <c r="G3565" s="98" t="str">
        <f>HYPERLINK("http://mirror.ff7data.com.ar/ff7/data/battle/battle.lgp/glao.png","View Picture")</f>
        <v>View Picture</v>
      </c>
    </row>
    <row r="3566">
      <c r="A3566" s="82"/>
      <c r="B3566" s="119" t="s">
        <v>34860</v>
      </c>
      <c r="C3566" s="120" t="s">
        <v>3671</v>
      </c>
      <c r="D3566" s="33" t="s">
        <v>34861</v>
      </c>
      <c r="E3566" s="51" t="s">
        <v>701</v>
      </c>
      <c r="F3566" s="121" t="s">
        <v>3009</v>
      </c>
      <c r="G3566" s="98" t="str">
        <f>HYPERLINK("http://mirror.ff7data.com.ar/ff7/data/battle/battle.lgp/glap.png","View Picture")</f>
        <v>View Picture</v>
      </c>
    </row>
    <row r="3567">
      <c r="A3567" s="82"/>
      <c r="B3567" s="119" t="s">
        <v>34863</v>
      </c>
      <c r="C3567" s="120" t="s">
        <v>4719</v>
      </c>
      <c r="D3567" s="33" t="s">
        <v>34864</v>
      </c>
      <c r="E3567" s="51" t="s">
        <v>701</v>
      </c>
      <c r="F3567" s="121" t="s">
        <v>3009</v>
      </c>
      <c r="G3567" s="98" t="str">
        <f>HYPERLINK("http://mirror.ff7data.com.ar/ff7/data/battle/battle.lgp/glaq.png","View Picture")</f>
        <v>View Picture</v>
      </c>
    </row>
    <row r="3568">
      <c r="A3568" s="84"/>
      <c r="B3568" s="119" t="s">
        <v>34866</v>
      </c>
      <c r="C3568" s="120" t="s">
        <v>5419</v>
      </c>
      <c r="D3568" s="33" t="s">
        <v>34852</v>
      </c>
      <c r="E3568" s="51" t="s">
        <v>701</v>
      </c>
      <c r="F3568" s="121" t="s">
        <v>3009</v>
      </c>
      <c r="G3568" s="98" t="str">
        <f>HYPERLINK("http://mirror.ff7data.com.ar/ff7/data/battle/battle.lgp/glas.png","View Picture")</f>
        <v>View Picture</v>
      </c>
    </row>
    <row r="3569">
      <c r="A3569" s="84"/>
      <c r="B3569" s="119" t="s">
        <v>34869</v>
      </c>
      <c r="C3569" s="120" t="s">
        <v>4217</v>
      </c>
      <c r="D3569" s="33" t="s">
        <v>34852</v>
      </c>
      <c r="E3569" s="51" t="s">
        <v>701</v>
      </c>
      <c r="F3569" s="121" t="s">
        <v>3009</v>
      </c>
      <c r="G3569" s="98" t="str">
        <f>HYPERLINK("http://mirror.ff7data.com.ar/ff7/data/battle/battle.lgp/glat.png","View Picture")</f>
        <v>View Picture</v>
      </c>
    </row>
    <row r="3570">
      <c r="A3570" s="84"/>
      <c r="B3570" s="119" t="s">
        <v>34872</v>
      </c>
      <c r="C3570" s="120" t="s">
        <v>4357</v>
      </c>
      <c r="D3570" s="33" t="s">
        <v>34852</v>
      </c>
      <c r="E3570" s="51" t="s">
        <v>701</v>
      </c>
      <c r="F3570" s="121" t="s">
        <v>3009</v>
      </c>
      <c r="G3570" s="98" t="str">
        <f>HYPERLINK("http://mirror.ff7data.com.ar/ff7/data/battle/battle.lgp/glav.png","View Picture")</f>
        <v>View Picture</v>
      </c>
    </row>
    <row r="3571">
      <c r="A3571" s="84"/>
      <c r="B3571" s="119" t="s">
        <v>34874</v>
      </c>
      <c r="C3571" s="120" t="s">
        <v>10078</v>
      </c>
      <c r="D3571" s="33" t="s">
        <v>34852</v>
      </c>
      <c r="E3571" s="51" t="s">
        <v>701</v>
      </c>
      <c r="F3571" s="121" t="s">
        <v>3009</v>
      </c>
      <c r="G3571" s="98" t="str">
        <f>HYPERLINK("http://mirror.ff7data.com.ar/ff7/data/battle/battle.lgp/glaw.png","View Picture")</f>
        <v>View Picture</v>
      </c>
    </row>
    <row r="3572">
      <c r="A3572" s="84"/>
      <c r="B3572" s="119" t="s">
        <v>34876</v>
      </c>
      <c r="C3572" s="120" t="s">
        <v>4264</v>
      </c>
      <c r="D3572" s="33" t="s">
        <v>34852</v>
      </c>
      <c r="E3572" s="51" t="s">
        <v>701</v>
      </c>
      <c r="F3572" s="121" t="s">
        <v>3009</v>
      </c>
      <c r="G3572" s="98" t="str">
        <f>HYPERLINK("http://mirror.ff7data.com.ar/ff7/data/battle/battle.lgp/glay.png","View Picture")</f>
        <v>View Picture</v>
      </c>
    </row>
    <row r="3573">
      <c r="A3573" s="84"/>
      <c r="B3573" s="119" t="s">
        <v>34878</v>
      </c>
      <c r="C3573" s="120" t="s">
        <v>4707</v>
      </c>
      <c r="D3573" s="33" t="s">
        <v>34852</v>
      </c>
      <c r="E3573" s="51" t="s">
        <v>701</v>
      </c>
      <c r="F3573" s="121" t="s">
        <v>3009</v>
      </c>
      <c r="G3573" s="98" t="str">
        <f>HYPERLINK("http://mirror.ff7data.com.ar/ff7/data/battle/battle.lgp/glaz.png","View Picture")</f>
        <v>View Picture</v>
      </c>
    </row>
    <row r="3574">
      <c r="A3574" s="84"/>
      <c r="B3574" s="119" t="s">
        <v>34880</v>
      </c>
      <c r="C3574" s="120" t="s">
        <v>4565</v>
      </c>
      <c r="D3574" s="33" t="s">
        <v>34852</v>
      </c>
      <c r="E3574" s="51" t="s">
        <v>701</v>
      </c>
      <c r="F3574" s="121" t="s">
        <v>3009</v>
      </c>
      <c r="G3574" s="98" t="str">
        <f>HYPERLINK("http://mirror.ff7data.com.ar/ff7/data/battle/battle.lgp/glba.png","View Picture")</f>
        <v>View Picture</v>
      </c>
    </row>
    <row r="3575">
      <c r="A3575" s="84"/>
      <c r="B3575" s="119" t="s">
        <v>34882</v>
      </c>
      <c r="C3575" s="120" t="s">
        <v>21725</v>
      </c>
      <c r="D3575" s="33" t="s">
        <v>34852</v>
      </c>
      <c r="E3575" s="51" t="s">
        <v>701</v>
      </c>
      <c r="F3575" s="121" t="s">
        <v>3009</v>
      </c>
      <c r="G3575" s="98" t="str">
        <f>HYPERLINK("http://mirror.ff7data.com.ar/ff7/data/battle/battle.lgp/glbc.png","View Picture")</f>
        <v>View Picture</v>
      </c>
    </row>
    <row r="3576">
      <c r="A3576" s="84"/>
      <c r="B3576" s="119" t="s">
        <v>34884</v>
      </c>
      <c r="C3576" s="120" t="s">
        <v>21725</v>
      </c>
      <c r="D3576" s="33" t="s">
        <v>34852</v>
      </c>
      <c r="E3576" s="51" t="s">
        <v>701</v>
      </c>
      <c r="F3576" s="121" t="s">
        <v>3009</v>
      </c>
      <c r="G3576" s="98" t="str">
        <f>HYPERLINK("http://mirror.ff7data.com.ar/ff7/data/battle/battle.lgp/glbe.png","View Picture")</f>
        <v>View Picture</v>
      </c>
    </row>
    <row r="3577">
      <c r="A3577" s="84"/>
      <c r="B3577" s="119" t="s">
        <v>34886</v>
      </c>
      <c r="C3577" s="120" t="s">
        <v>4288</v>
      </c>
      <c r="D3577" s="33" t="s">
        <v>34852</v>
      </c>
      <c r="E3577" s="51" t="s">
        <v>701</v>
      </c>
      <c r="F3577" s="121" t="s">
        <v>3009</v>
      </c>
      <c r="G3577" s="98" t="str">
        <f>HYPERLINK("http://mirror.ff7data.com.ar/ff7/data/battle/battle.lgp/glbg.png","View Picture")</f>
        <v>View Picture</v>
      </c>
    </row>
    <row r="3578">
      <c r="A3578" s="84"/>
      <c r="B3578" s="119" t="s">
        <v>34888</v>
      </c>
      <c r="C3578" s="120" t="s">
        <v>3648</v>
      </c>
      <c r="D3578" s="33" t="s">
        <v>34852</v>
      </c>
      <c r="E3578" s="51" t="s">
        <v>701</v>
      </c>
      <c r="F3578" s="121" t="s">
        <v>3009</v>
      </c>
      <c r="G3578" s="98" t="str">
        <f>HYPERLINK("http://mirror.ff7data.com.ar/ff7/data/battle/battle.lgp/glbi.png","View Picture")</f>
        <v>View Picture</v>
      </c>
    </row>
    <row r="3579">
      <c r="A3579" s="84"/>
      <c r="B3579" s="119" t="s">
        <v>34891</v>
      </c>
      <c r="C3579" s="120" t="s">
        <v>4288</v>
      </c>
      <c r="D3579" s="33" t="s">
        <v>34852</v>
      </c>
      <c r="E3579" s="51" t="s">
        <v>701</v>
      </c>
      <c r="F3579" s="121" t="s">
        <v>3009</v>
      </c>
      <c r="G3579" s="98" t="str">
        <f>HYPERLINK("http://mirror.ff7data.com.ar/ff7/data/battle/battle.lgp/glbk.png","View Picture")</f>
        <v>View Picture</v>
      </c>
    </row>
    <row r="3580">
      <c r="A3580" s="84"/>
      <c r="B3580" s="119" t="s">
        <v>34893</v>
      </c>
      <c r="C3580" s="120" t="s">
        <v>4707</v>
      </c>
      <c r="D3580" s="33" t="s">
        <v>34852</v>
      </c>
      <c r="E3580" s="51" t="s">
        <v>701</v>
      </c>
      <c r="F3580" s="121" t="s">
        <v>3009</v>
      </c>
      <c r="G3580" s="98" t="str">
        <f>HYPERLINK("http://mirror.ff7data.com.ar/ff7/data/battle/battle.lgp/glbl.png","View Picture")</f>
        <v>View Picture</v>
      </c>
    </row>
    <row r="3581">
      <c r="A3581" s="84"/>
      <c r="B3581" s="119" t="s">
        <v>34896</v>
      </c>
      <c r="C3581" s="120" t="s">
        <v>4565</v>
      </c>
      <c r="D3581" s="33" t="s">
        <v>34852</v>
      </c>
      <c r="E3581" s="51" t="s">
        <v>701</v>
      </c>
      <c r="F3581" s="121" t="s">
        <v>3009</v>
      </c>
      <c r="G3581" s="98" t="str">
        <f>HYPERLINK("http://mirror.ff7data.com.ar/ff7/data/battle/battle.lgp/glbm.png","View Picture")</f>
        <v>View Picture</v>
      </c>
    </row>
    <row r="3582">
      <c r="A3582" s="84"/>
      <c r="B3582" s="119" t="s">
        <v>34899</v>
      </c>
      <c r="C3582" s="120" t="s">
        <v>4288</v>
      </c>
      <c r="D3582" s="33" t="s">
        <v>34852</v>
      </c>
      <c r="E3582" s="51" t="s">
        <v>701</v>
      </c>
      <c r="F3582" s="121" t="s">
        <v>3009</v>
      </c>
      <c r="G3582" s="98" t="str">
        <f>HYPERLINK("http://mirror.ff7data.com.ar/ff7/data/battle/battle.lgp/glbo.png","View Picture")</f>
        <v>View Picture</v>
      </c>
    </row>
    <row r="3583">
      <c r="A3583" s="84"/>
      <c r="B3583" s="119" t="s">
        <v>34902</v>
      </c>
      <c r="C3583" s="120" t="s">
        <v>21725</v>
      </c>
      <c r="D3583" s="33" t="s">
        <v>34852</v>
      </c>
      <c r="E3583" s="51" t="s">
        <v>701</v>
      </c>
      <c r="F3583" s="121" t="s">
        <v>3009</v>
      </c>
      <c r="G3583" s="98" t="str">
        <f>HYPERLINK("http://mirror.ff7data.com.ar/ff7/data/battle/battle.lgp/glbq.png","View Picture")</f>
        <v>View Picture</v>
      </c>
    </row>
    <row r="3584">
      <c r="A3584" s="84"/>
      <c r="B3584" s="119" t="s">
        <v>34905</v>
      </c>
      <c r="C3584" s="120" t="s">
        <v>6515</v>
      </c>
      <c r="D3584" s="33" t="s">
        <v>34852</v>
      </c>
      <c r="E3584" s="51" t="s">
        <v>701</v>
      </c>
      <c r="F3584" s="121" t="s">
        <v>3009</v>
      </c>
      <c r="G3584" s="98" t="str">
        <f>HYPERLINK("http://mirror.ff7data.com.ar/ff7/data/battle/battle.lgp/glbs.png","View Picture")</f>
        <v>View Picture</v>
      </c>
    </row>
    <row r="3585">
      <c r="A3585" s="84"/>
      <c r="B3585" s="119" t="s">
        <v>34911</v>
      </c>
      <c r="C3585" s="120" t="s">
        <v>7081</v>
      </c>
      <c r="D3585" s="33" t="s">
        <v>34852</v>
      </c>
      <c r="E3585" s="51" t="s">
        <v>701</v>
      </c>
      <c r="F3585" s="121" t="s">
        <v>3025</v>
      </c>
      <c r="H3585" s="46" t="s">
        <v>3002</v>
      </c>
    </row>
    <row r="3586">
      <c r="A3586" s="21"/>
      <c r="B3586" s="119" t="s">
        <v>34913</v>
      </c>
      <c r="C3586" s="120" t="s">
        <v>9973</v>
      </c>
      <c r="D3586" s="33" t="s">
        <v>34914</v>
      </c>
      <c r="E3586" s="51" t="s">
        <v>717</v>
      </c>
      <c r="F3586" s="121" t="s">
        <v>2971</v>
      </c>
      <c r="G3586" s="98" t="str">
        <f>HYPERLINK("http://mirror.ff7data.com.ar/ff7/data/battle/battle.lgp/gmaa.png","View Picture")</f>
        <v>View Picture</v>
      </c>
      <c r="H3586" s="46" t="s">
        <v>34917</v>
      </c>
    </row>
    <row r="3587">
      <c r="A3587" s="55"/>
      <c r="B3587" s="119" t="s">
        <v>34918</v>
      </c>
      <c r="C3587" s="120" t="s">
        <v>7375</v>
      </c>
      <c r="D3587" s="33" t="s">
        <v>34919</v>
      </c>
      <c r="E3587" s="51" t="s">
        <v>717</v>
      </c>
      <c r="F3587" s="121" t="s">
        <v>2993</v>
      </c>
      <c r="H3587" s="46" t="s">
        <v>3002</v>
      </c>
    </row>
    <row r="3588">
      <c r="A3588" s="55"/>
      <c r="B3588" s="119" t="s">
        <v>34921</v>
      </c>
      <c r="C3588" s="120" t="s">
        <v>4228</v>
      </c>
      <c r="D3588" s="33" t="s">
        <v>34919</v>
      </c>
      <c r="E3588" s="51" t="s">
        <v>717</v>
      </c>
      <c r="F3588" s="121" t="s">
        <v>3009</v>
      </c>
      <c r="G3588" s="98" t="str">
        <f>HYPERLINK("http://mirror.ff7data.com.ar/ff7/data/battle/battle.lgp/gmam.png","View Picture")</f>
        <v>View Picture</v>
      </c>
    </row>
    <row r="3589">
      <c r="A3589" s="55"/>
      <c r="B3589" s="119" t="s">
        <v>34923</v>
      </c>
      <c r="C3589" s="120" t="s">
        <v>3481</v>
      </c>
      <c r="D3589" s="33" t="s">
        <v>34919</v>
      </c>
      <c r="E3589" s="51" t="s">
        <v>717</v>
      </c>
      <c r="F3589" s="121" t="s">
        <v>3009</v>
      </c>
      <c r="G3589" s="98" t="str">
        <f>HYPERLINK("http://mirror.ff7data.com.ar/ff7/data/battle/battle.lgp/gman.png","View Picture")</f>
        <v>View Picture</v>
      </c>
    </row>
    <row r="3590">
      <c r="A3590" s="55"/>
      <c r="B3590" s="119" t="s">
        <v>34925</v>
      </c>
      <c r="C3590" s="120" t="s">
        <v>4264</v>
      </c>
      <c r="D3590" s="33" t="s">
        <v>34919</v>
      </c>
      <c r="E3590" s="51" t="s">
        <v>717</v>
      </c>
      <c r="F3590" s="121" t="s">
        <v>3009</v>
      </c>
      <c r="G3590" s="98" t="str">
        <f>HYPERLINK("http://mirror.ff7data.com.ar/ff7/data/battle/battle.lgp/gmap.png","View Picture")</f>
        <v>View Picture</v>
      </c>
    </row>
    <row r="3591">
      <c r="A3591" s="55"/>
      <c r="B3591" s="119" t="s">
        <v>34929</v>
      </c>
      <c r="C3591" s="120" t="s">
        <v>4732</v>
      </c>
      <c r="D3591" s="33" t="s">
        <v>34919</v>
      </c>
      <c r="E3591" s="51" t="s">
        <v>717</v>
      </c>
      <c r="F3591" s="121" t="s">
        <v>3009</v>
      </c>
      <c r="G3591" s="98" t="str">
        <f>HYPERLINK("http://mirror.ff7data.com.ar/ff7/data/battle/battle.lgp/gmaq.png","View Picture")</f>
        <v>View Picture</v>
      </c>
    </row>
    <row r="3592">
      <c r="A3592" s="55"/>
      <c r="B3592" s="119" t="s">
        <v>34932</v>
      </c>
      <c r="C3592" s="120" t="s">
        <v>4264</v>
      </c>
      <c r="D3592" s="33" t="s">
        <v>34919</v>
      </c>
      <c r="E3592" s="51" t="s">
        <v>717</v>
      </c>
      <c r="F3592" s="121" t="s">
        <v>3009</v>
      </c>
      <c r="G3592" s="98" t="str">
        <f>HYPERLINK("http://mirror.ff7data.com.ar/ff7/data/battle/battle.lgp/gmas.png","View Picture")</f>
        <v>View Picture</v>
      </c>
    </row>
    <row r="3593">
      <c r="A3593" s="55"/>
      <c r="B3593" s="119" t="s">
        <v>34934</v>
      </c>
      <c r="C3593" s="120" t="s">
        <v>4264</v>
      </c>
      <c r="D3593" s="33" t="s">
        <v>34919</v>
      </c>
      <c r="E3593" s="51" t="s">
        <v>717</v>
      </c>
      <c r="F3593" s="121" t="s">
        <v>3009</v>
      </c>
      <c r="G3593" s="98" t="str">
        <f>HYPERLINK("http://mirror.ff7data.com.ar/ff7/data/battle/battle.lgp/gmat.png","View Picture")</f>
        <v>View Picture</v>
      </c>
    </row>
    <row r="3594">
      <c r="A3594" s="55"/>
      <c r="B3594" s="119" t="s">
        <v>34936</v>
      </c>
      <c r="C3594" s="120" t="s">
        <v>4264</v>
      </c>
      <c r="D3594" s="33" t="s">
        <v>34919</v>
      </c>
      <c r="E3594" s="51" t="s">
        <v>717</v>
      </c>
      <c r="F3594" s="121" t="s">
        <v>3009</v>
      </c>
      <c r="G3594" s="98" t="str">
        <f>HYPERLINK("http://mirror.ff7data.com.ar/ff7/data/battle/battle.lgp/gmav.png","View Picture")</f>
        <v>View Picture</v>
      </c>
    </row>
    <row r="3595">
      <c r="A3595" s="55"/>
      <c r="B3595" s="119" t="s">
        <v>34940</v>
      </c>
      <c r="C3595" s="120" t="s">
        <v>4264</v>
      </c>
      <c r="D3595" s="33" t="s">
        <v>34919</v>
      </c>
      <c r="E3595" s="51" t="s">
        <v>717</v>
      </c>
      <c r="F3595" s="121" t="s">
        <v>3009</v>
      </c>
      <c r="G3595" s="98" t="str">
        <f>HYPERLINK("http://mirror.ff7data.com.ar/ff7/data/battle/battle.lgp/gmaw.png","View Picture")</f>
        <v>View Picture</v>
      </c>
    </row>
    <row r="3596">
      <c r="A3596" s="55"/>
      <c r="B3596" s="119" t="s">
        <v>34943</v>
      </c>
      <c r="C3596" s="120" t="s">
        <v>4264</v>
      </c>
      <c r="D3596" s="33" t="s">
        <v>34919</v>
      </c>
      <c r="E3596" s="51" t="s">
        <v>717</v>
      </c>
      <c r="F3596" s="121" t="s">
        <v>3009</v>
      </c>
      <c r="G3596" s="98" t="str">
        <f>HYPERLINK("http://mirror.ff7data.com.ar/ff7/data/battle/battle.lgp/gmay.png","View Picture")</f>
        <v>View Picture</v>
      </c>
    </row>
    <row r="3597">
      <c r="A3597" s="55"/>
      <c r="B3597" s="119" t="s">
        <v>34945</v>
      </c>
      <c r="C3597" s="120" t="s">
        <v>4264</v>
      </c>
      <c r="D3597" s="33" t="s">
        <v>34919</v>
      </c>
      <c r="E3597" s="51" t="s">
        <v>717</v>
      </c>
      <c r="F3597" s="121" t="s">
        <v>3009</v>
      </c>
      <c r="G3597" s="98" t="str">
        <f>HYPERLINK("http://mirror.ff7data.com.ar/ff7/data/battle/battle.lgp/gmaz.png","View Picture")</f>
        <v>View Picture</v>
      </c>
    </row>
    <row r="3598">
      <c r="A3598" s="55"/>
      <c r="B3598" s="119" t="s">
        <v>34947</v>
      </c>
      <c r="C3598" s="120" t="s">
        <v>4264</v>
      </c>
      <c r="D3598" s="33" t="s">
        <v>34919</v>
      </c>
      <c r="E3598" s="51" t="s">
        <v>717</v>
      </c>
      <c r="F3598" s="121" t="s">
        <v>3009</v>
      </c>
      <c r="G3598" s="98" t="str">
        <f>HYPERLINK("http://mirror.ff7data.com.ar/ff7/data/battle/battle.lgp/gmbb.png","View Picture")</f>
        <v>View Picture</v>
      </c>
    </row>
    <row r="3599">
      <c r="A3599" s="55"/>
      <c r="B3599" s="119" t="s">
        <v>34949</v>
      </c>
      <c r="C3599" s="120" t="s">
        <v>4264</v>
      </c>
      <c r="D3599" s="33" t="s">
        <v>34919</v>
      </c>
      <c r="E3599" s="51" t="s">
        <v>717</v>
      </c>
      <c r="F3599" s="121" t="s">
        <v>3009</v>
      </c>
      <c r="G3599" s="98" t="str">
        <f>HYPERLINK("http://mirror.ff7data.com.ar/ff7/data/battle/battle.lgp/gmbc.png","View Picture")</f>
        <v>View Picture</v>
      </c>
    </row>
    <row r="3600">
      <c r="A3600" s="55"/>
      <c r="B3600" s="119" t="s">
        <v>34951</v>
      </c>
      <c r="C3600" s="120" t="s">
        <v>4264</v>
      </c>
      <c r="D3600" s="33" t="s">
        <v>34919</v>
      </c>
      <c r="E3600" s="51" t="s">
        <v>717</v>
      </c>
      <c r="F3600" s="121" t="s">
        <v>3009</v>
      </c>
      <c r="G3600" s="98" t="str">
        <f>HYPERLINK("http://mirror.ff7data.com.ar/ff7/data/battle/battle.lgp/gmbe.png","View Picture")</f>
        <v>View Picture</v>
      </c>
    </row>
    <row r="3601">
      <c r="A3601" s="55"/>
      <c r="B3601" s="119" t="s">
        <v>34954</v>
      </c>
      <c r="C3601" s="120" t="s">
        <v>4732</v>
      </c>
      <c r="D3601" s="33" t="s">
        <v>34919</v>
      </c>
      <c r="E3601" s="51" t="s">
        <v>717</v>
      </c>
      <c r="F3601" s="121" t="s">
        <v>3009</v>
      </c>
      <c r="G3601" s="98" t="str">
        <f>HYPERLINK("http://mirror.ff7data.com.ar/ff7/data/battle/battle.lgp/gmbf.png","View Picture")</f>
        <v>View Picture</v>
      </c>
    </row>
    <row r="3602">
      <c r="A3602" s="55"/>
      <c r="B3602" s="119" t="s">
        <v>34956</v>
      </c>
      <c r="C3602" s="120" t="s">
        <v>4264</v>
      </c>
      <c r="D3602" s="33" t="s">
        <v>34919</v>
      </c>
      <c r="E3602" s="51" t="s">
        <v>717</v>
      </c>
      <c r="F3602" s="121" t="s">
        <v>3009</v>
      </c>
      <c r="G3602" s="98" t="str">
        <f>HYPERLINK("http://mirror.ff7data.com.ar/ff7/data/battle/battle.lgp/gmbh.png","View Picture")</f>
        <v>View Picture</v>
      </c>
    </row>
    <row r="3603">
      <c r="A3603" s="55"/>
      <c r="B3603" s="119" t="s">
        <v>34958</v>
      </c>
      <c r="C3603" s="120" t="s">
        <v>4264</v>
      </c>
      <c r="D3603" s="33" t="s">
        <v>34919</v>
      </c>
      <c r="E3603" s="51" t="s">
        <v>717</v>
      </c>
      <c r="F3603" s="121" t="s">
        <v>3009</v>
      </c>
      <c r="G3603" s="98" t="str">
        <f>HYPERLINK("http://mirror.ff7data.com.ar/ff7/data/battle/battle.lgp/gmbi.png","View Picture")</f>
        <v>View Picture</v>
      </c>
    </row>
    <row r="3604">
      <c r="A3604" s="55"/>
      <c r="B3604" s="119" t="s">
        <v>34960</v>
      </c>
      <c r="C3604" s="120" t="s">
        <v>4732</v>
      </c>
      <c r="D3604" s="33" t="s">
        <v>34919</v>
      </c>
      <c r="E3604" s="51" t="s">
        <v>717</v>
      </c>
      <c r="F3604" s="121" t="s">
        <v>3009</v>
      </c>
      <c r="G3604" s="98" t="str">
        <f>HYPERLINK("http://mirror.ff7data.com.ar/ff7/data/battle/battle.lgp/gmbk.png","View Picture")</f>
        <v>View Picture</v>
      </c>
    </row>
    <row r="3605">
      <c r="A3605" s="55"/>
      <c r="B3605" s="119" t="s">
        <v>34962</v>
      </c>
      <c r="C3605" s="120" t="s">
        <v>4264</v>
      </c>
      <c r="D3605" s="33" t="s">
        <v>34919</v>
      </c>
      <c r="E3605" s="51" t="s">
        <v>717</v>
      </c>
      <c r="F3605" s="121" t="s">
        <v>3009</v>
      </c>
      <c r="G3605" s="98" t="str">
        <f>HYPERLINK("http://mirror.ff7data.com.ar/ff7/data/battle/battle.lgp/gmbl.png","View Picture")</f>
        <v>View Picture</v>
      </c>
    </row>
    <row r="3606">
      <c r="A3606" s="55"/>
      <c r="B3606" s="119" t="s">
        <v>34964</v>
      </c>
      <c r="C3606" s="120" t="s">
        <v>4185</v>
      </c>
      <c r="D3606" s="33" t="s">
        <v>34919</v>
      </c>
      <c r="E3606" s="51" t="s">
        <v>717</v>
      </c>
      <c r="F3606" s="121" t="s">
        <v>3009</v>
      </c>
      <c r="G3606" s="98" t="str">
        <f>HYPERLINK("http://mirror.ff7data.com.ar/ff7/data/battle/battle.lgp/gmbn.png","View Picture")</f>
        <v>View Picture</v>
      </c>
    </row>
    <row r="3607">
      <c r="A3607" s="55"/>
      <c r="B3607" s="119" t="s">
        <v>34966</v>
      </c>
      <c r="C3607" s="120" t="s">
        <v>4476</v>
      </c>
      <c r="D3607" s="33" t="s">
        <v>34919</v>
      </c>
      <c r="E3607" s="51" t="s">
        <v>717</v>
      </c>
      <c r="F3607" s="121" t="s">
        <v>3009</v>
      </c>
      <c r="G3607" s="98" t="str">
        <f>HYPERLINK("http://mirror.ff7data.com.ar/ff7/data/battle/battle.lgp/gmbp.png","View Picture")</f>
        <v>View Picture</v>
      </c>
    </row>
    <row r="3608">
      <c r="A3608" s="55"/>
      <c r="B3608" s="119" t="s">
        <v>34968</v>
      </c>
      <c r="C3608" s="120" t="s">
        <v>4476</v>
      </c>
      <c r="D3608" s="33" t="s">
        <v>34919</v>
      </c>
      <c r="E3608" s="51" t="s">
        <v>717</v>
      </c>
      <c r="F3608" s="121" t="s">
        <v>3009</v>
      </c>
      <c r="G3608" s="98" t="str">
        <f>HYPERLINK("http://mirror.ff7data.com.ar/ff7/data/battle/battle.lgp/gmbr.png","View Picture")</f>
        <v>View Picture</v>
      </c>
    </row>
    <row r="3609">
      <c r="A3609" s="55"/>
      <c r="B3609" s="119" t="s">
        <v>34970</v>
      </c>
      <c r="C3609" s="120" t="s">
        <v>4185</v>
      </c>
      <c r="D3609" s="33" t="s">
        <v>34919</v>
      </c>
      <c r="E3609" s="51" t="s">
        <v>717</v>
      </c>
      <c r="F3609" s="121" t="s">
        <v>3009</v>
      </c>
      <c r="G3609" s="98" t="str">
        <f>HYPERLINK("http://mirror.ff7data.com.ar/ff7/data/battle/battle.lgp/gmbt.png","View Picture")</f>
        <v>View Picture</v>
      </c>
    </row>
    <row r="3610">
      <c r="A3610" s="55"/>
      <c r="B3610" s="119" t="s">
        <v>34972</v>
      </c>
      <c r="C3610" s="120" t="s">
        <v>4185</v>
      </c>
      <c r="D3610" s="33" t="s">
        <v>34919</v>
      </c>
      <c r="E3610" s="51" t="s">
        <v>717</v>
      </c>
      <c r="F3610" s="121" t="s">
        <v>3009</v>
      </c>
      <c r="G3610" s="98" t="str">
        <f>HYPERLINK("http://mirror.ff7data.com.ar/ff7/data/battle/battle.lgp/gmbw.png","View Picture")</f>
        <v>View Picture</v>
      </c>
    </row>
    <row r="3611">
      <c r="A3611" s="55"/>
      <c r="B3611" s="119" t="s">
        <v>34974</v>
      </c>
      <c r="C3611" s="120" t="s">
        <v>4185</v>
      </c>
      <c r="D3611" s="33" t="s">
        <v>34919</v>
      </c>
      <c r="E3611" s="51" t="s">
        <v>717</v>
      </c>
      <c r="F3611" s="121" t="s">
        <v>3009</v>
      </c>
      <c r="G3611" s="98" t="str">
        <f>HYPERLINK("http://mirror.ff7data.com.ar/ff7/data/battle/battle.lgp/gmby.png","View Picture")</f>
        <v>View Picture</v>
      </c>
    </row>
    <row r="3612">
      <c r="A3612" s="55"/>
      <c r="B3612" s="119" t="s">
        <v>34976</v>
      </c>
      <c r="C3612" s="120" t="s">
        <v>8923</v>
      </c>
      <c r="D3612" s="33" t="s">
        <v>34919</v>
      </c>
      <c r="E3612" s="51" t="s">
        <v>717</v>
      </c>
      <c r="F3612" s="121" t="s">
        <v>3009</v>
      </c>
      <c r="G3612" s="98" t="str">
        <f>HYPERLINK("http://mirror.ff7data.com.ar/ff7/data/battle/battle.lgp/gmbz.png","View Picture")</f>
        <v>View Picture</v>
      </c>
    </row>
    <row r="3613">
      <c r="A3613" s="55"/>
      <c r="B3613" s="119" t="s">
        <v>34978</v>
      </c>
      <c r="C3613" s="120" t="s">
        <v>5859</v>
      </c>
      <c r="D3613" s="33" t="s">
        <v>34919</v>
      </c>
      <c r="E3613" s="51" t="s">
        <v>717</v>
      </c>
      <c r="F3613" s="121" t="s">
        <v>3025</v>
      </c>
      <c r="H3613" s="46" t="s">
        <v>3002</v>
      </c>
    </row>
    <row r="3614">
      <c r="A3614" s="21"/>
      <c r="B3614" s="119" t="s">
        <v>34980</v>
      </c>
      <c r="C3614" s="120" t="s">
        <v>4196</v>
      </c>
      <c r="D3614" s="33" t="s">
        <v>34981</v>
      </c>
      <c r="E3614" s="51" t="s">
        <v>725</v>
      </c>
      <c r="F3614" s="121" t="s">
        <v>2971</v>
      </c>
      <c r="G3614" s="98" t="str">
        <f>HYPERLINK("http://mirror.ff7data.com.ar/ff7/data/battle/battle.lgp/gnaa.png","View Picture")</f>
        <v>View Picture</v>
      </c>
      <c r="H3614" s="46" t="s">
        <v>34983</v>
      </c>
    </row>
    <row r="3615">
      <c r="A3615" s="55"/>
      <c r="B3615" s="119" t="s">
        <v>34984</v>
      </c>
      <c r="C3615" s="120" t="s">
        <v>5222</v>
      </c>
      <c r="D3615" s="33" t="s">
        <v>34985</v>
      </c>
      <c r="E3615" s="51" t="s">
        <v>725</v>
      </c>
      <c r="F3615" s="121" t="s">
        <v>2993</v>
      </c>
      <c r="H3615" s="46" t="s">
        <v>3002</v>
      </c>
    </row>
    <row r="3616">
      <c r="A3616" s="55"/>
      <c r="B3616" s="119" t="s">
        <v>34986</v>
      </c>
      <c r="C3616" s="120" t="s">
        <v>3658</v>
      </c>
      <c r="D3616" s="33" t="s">
        <v>34987</v>
      </c>
      <c r="E3616" s="51" t="s">
        <v>725</v>
      </c>
      <c r="F3616" s="121" t="s">
        <v>3009</v>
      </c>
      <c r="G3616" s="98" t="str">
        <f>HYPERLINK("http://mirror.ff7data.com.ar/ff7/data/battle/battle.lgp/gnam.png","View Picture")</f>
        <v>View Picture</v>
      </c>
    </row>
    <row r="3617">
      <c r="A3617" s="55"/>
      <c r="B3617" s="119" t="s">
        <v>34991</v>
      </c>
      <c r="C3617" s="120" t="s">
        <v>12399</v>
      </c>
      <c r="D3617" s="33" t="s">
        <v>34985</v>
      </c>
      <c r="E3617" s="51" t="s">
        <v>725</v>
      </c>
      <c r="F3617" s="121" t="s">
        <v>3009</v>
      </c>
      <c r="G3617" s="98" t="str">
        <f>HYPERLINK("http://mirror.ff7data.com.ar/ff7/data/battle/battle.lgp/gnan.png","View Picture")</f>
        <v>View Picture</v>
      </c>
    </row>
    <row r="3618">
      <c r="A3618" s="55"/>
      <c r="B3618" s="119" t="s">
        <v>34997</v>
      </c>
      <c r="C3618" s="120" t="s">
        <v>3343</v>
      </c>
      <c r="D3618" s="33" t="s">
        <v>34985</v>
      </c>
      <c r="E3618" s="51" t="s">
        <v>725</v>
      </c>
      <c r="F3618" s="121" t="s">
        <v>3009</v>
      </c>
      <c r="G3618" s="98" t="str">
        <f>HYPERLINK("http://mirror.ff7data.com.ar/ff7/data/battle/battle.lgp/gnap.png","View Picture")</f>
        <v>View Picture</v>
      </c>
    </row>
    <row r="3619">
      <c r="A3619" s="55"/>
      <c r="B3619" s="119" t="s">
        <v>35000</v>
      </c>
      <c r="C3619" s="120" t="s">
        <v>3343</v>
      </c>
      <c r="D3619" s="33" t="s">
        <v>34985</v>
      </c>
      <c r="E3619" s="51" t="s">
        <v>725</v>
      </c>
      <c r="F3619" s="121" t="s">
        <v>3009</v>
      </c>
      <c r="G3619" s="98" t="str">
        <f>HYPERLINK("http://mirror.ff7data.com.ar/ff7/data/battle/battle.lgp/gnar.png","View Picture")</f>
        <v>View Picture</v>
      </c>
    </row>
    <row r="3620">
      <c r="A3620" s="55"/>
      <c r="B3620" s="119" t="s">
        <v>35003</v>
      </c>
      <c r="C3620" s="120" t="s">
        <v>4732</v>
      </c>
      <c r="D3620" s="33" t="s">
        <v>34985</v>
      </c>
      <c r="E3620" s="51" t="s">
        <v>725</v>
      </c>
      <c r="F3620" s="121" t="s">
        <v>3009</v>
      </c>
      <c r="G3620" s="98" t="str">
        <f>HYPERLINK("http://mirror.ff7data.com.ar/ff7/data/battle/battle.lgp/gnat.png","View Picture")</f>
        <v>View Picture</v>
      </c>
    </row>
    <row r="3621">
      <c r="A3621" s="55"/>
      <c r="B3621" s="119" t="s">
        <v>35005</v>
      </c>
      <c r="C3621" s="120" t="s">
        <v>4288</v>
      </c>
      <c r="D3621" s="33" t="s">
        <v>34985</v>
      </c>
      <c r="E3621" s="51" t="s">
        <v>725</v>
      </c>
      <c r="F3621" s="121" t="s">
        <v>3009</v>
      </c>
      <c r="G3621" s="98" t="str">
        <f>HYPERLINK("http://mirror.ff7data.com.ar/ff7/data/battle/battle.lgp/gnau.png","View Picture")</f>
        <v>View Picture</v>
      </c>
    </row>
    <row r="3622">
      <c r="A3622" s="55"/>
      <c r="B3622" s="119" t="s">
        <v>35009</v>
      </c>
      <c r="C3622" s="120" t="s">
        <v>6029</v>
      </c>
      <c r="D3622" s="33" t="s">
        <v>34985</v>
      </c>
      <c r="E3622" s="51" t="s">
        <v>725</v>
      </c>
      <c r="F3622" s="121" t="s">
        <v>3009</v>
      </c>
      <c r="G3622" s="98" t="str">
        <f>HYPERLINK("http://mirror.ff7data.com.ar/ff7/data/battle/battle.lgp/gnav.png","View Picture")</f>
        <v>View Picture</v>
      </c>
    </row>
    <row r="3623">
      <c r="A3623" s="55"/>
      <c r="B3623" s="119" t="s">
        <v>35013</v>
      </c>
      <c r="C3623" s="120" t="s">
        <v>4185</v>
      </c>
      <c r="D3623" s="33" t="s">
        <v>34985</v>
      </c>
      <c r="E3623" s="51" t="s">
        <v>725</v>
      </c>
      <c r="F3623" s="121" t="s">
        <v>3009</v>
      </c>
      <c r="G3623" s="98" t="str">
        <f>HYPERLINK("http://mirror.ff7data.com.ar/ff7/data/battle/battle.lgp/gnax.png","View Picture")</f>
        <v>View Picture</v>
      </c>
    </row>
    <row r="3624">
      <c r="A3624" s="55"/>
      <c r="B3624" s="119" t="s">
        <v>35015</v>
      </c>
      <c r="C3624" s="120" t="s">
        <v>4658</v>
      </c>
      <c r="D3624" s="33" t="s">
        <v>34985</v>
      </c>
      <c r="E3624" s="51" t="s">
        <v>725</v>
      </c>
      <c r="F3624" s="121" t="s">
        <v>3009</v>
      </c>
      <c r="G3624" s="98" t="str">
        <f>HYPERLINK("http://mirror.ff7data.com.ar/ff7/data/battle/battle.lgp/gnay.png","View Picture")</f>
        <v>View Picture</v>
      </c>
    </row>
    <row r="3625">
      <c r="A3625" s="55"/>
      <c r="B3625" s="119" t="s">
        <v>35017</v>
      </c>
      <c r="C3625" s="120" t="s">
        <v>4476</v>
      </c>
      <c r="D3625" s="33" t="s">
        <v>34985</v>
      </c>
      <c r="E3625" s="51" t="s">
        <v>725</v>
      </c>
      <c r="F3625" s="121" t="s">
        <v>3009</v>
      </c>
      <c r="G3625" s="98" t="str">
        <f>HYPERLINK("http://mirror.ff7data.com.ar/ff7/data/battle/battle.lgp/gnaz.png","View Picture")</f>
        <v>View Picture</v>
      </c>
    </row>
    <row r="3626">
      <c r="A3626" s="55"/>
      <c r="B3626" s="119" t="s">
        <v>35019</v>
      </c>
      <c r="C3626" s="120" t="s">
        <v>4732</v>
      </c>
      <c r="D3626" s="33" t="s">
        <v>34985</v>
      </c>
      <c r="E3626" s="51" t="s">
        <v>725</v>
      </c>
      <c r="F3626" s="121" t="s">
        <v>3009</v>
      </c>
      <c r="G3626" s="98" t="str">
        <f>HYPERLINK("http://mirror.ff7data.com.ar/ff7/data/battle/battle.lgp/gnbb.png","View Picture")</f>
        <v>View Picture</v>
      </c>
    </row>
    <row r="3627">
      <c r="A3627" s="55"/>
      <c r="B3627" s="119" t="s">
        <v>35023</v>
      </c>
      <c r="C3627" s="120" t="s">
        <v>4658</v>
      </c>
      <c r="D3627" s="33" t="s">
        <v>34985</v>
      </c>
      <c r="E3627" s="51" t="s">
        <v>725</v>
      </c>
      <c r="F3627" s="121" t="s">
        <v>3009</v>
      </c>
      <c r="G3627" s="98" t="str">
        <f>HYPERLINK("http://mirror.ff7data.com.ar/ff7/data/battle/battle.lgp/gnbd.png","View Picture")</f>
        <v>View Picture</v>
      </c>
    </row>
    <row r="3628">
      <c r="A3628" s="55"/>
      <c r="B3628" s="119" t="s">
        <v>35026</v>
      </c>
      <c r="C3628" s="120" t="s">
        <v>6029</v>
      </c>
      <c r="D3628" s="33" t="s">
        <v>34985</v>
      </c>
      <c r="E3628" s="51" t="s">
        <v>725</v>
      </c>
      <c r="F3628" s="121" t="s">
        <v>3009</v>
      </c>
      <c r="G3628" s="98" t="str">
        <f>HYPERLINK("http://mirror.ff7data.com.ar/ff7/data/battle/battle.lgp/gnbe.png","View Picture")</f>
        <v>View Picture</v>
      </c>
    </row>
    <row r="3629">
      <c r="A3629" s="55"/>
      <c r="B3629" s="119" t="s">
        <v>35028</v>
      </c>
      <c r="C3629" s="120" t="s">
        <v>4732</v>
      </c>
      <c r="D3629" s="33" t="s">
        <v>34985</v>
      </c>
      <c r="E3629" s="51" t="s">
        <v>725</v>
      </c>
      <c r="F3629" s="121" t="s">
        <v>3009</v>
      </c>
      <c r="G3629" s="98" t="str">
        <f>HYPERLINK("http://mirror.ff7data.com.ar/ff7/data/battle/battle.lgp/gnbg.png","View Picture")</f>
        <v>View Picture</v>
      </c>
    </row>
    <row r="3630">
      <c r="A3630" s="55"/>
      <c r="B3630" s="119" t="s">
        <v>35030</v>
      </c>
      <c r="C3630" s="120" t="s">
        <v>4707</v>
      </c>
      <c r="D3630" s="33" t="s">
        <v>34985</v>
      </c>
      <c r="E3630" s="51" t="s">
        <v>725</v>
      </c>
      <c r="F3630" s="121" t="s">
        <v>3009</v>
      </c>
      <c r="G3630" s="98" t="str">
        <f>HYPERLINK("http://mirror.ff7data.com.ar/ff7/data/battle/battle.lgp/gnbi.png","View Picture")</f>
        <v>View Picture</v>
      </c>
    </row>
    <row r="3631">
      <c r="A3631" s="55"/>
      <c r="B3631" s="119" t="s">
        <v>35032</v>
      </c>
      <c r="C3631" s="120" t="s">
        <v>4719</v>
      </c>
      <c r="D3631" s="33" t="s">
        <v>34985</v>
      </c>
      <c r="E3631" s="51" t="s">
        <v>725</v>
      </c>
      <c r="F3631" s="121" t="s">
        <v>3009</v>
      </c>
      <c r="G3631" s="98" t="str">
        <f>HYPERLINK("http://mirror.ff7data.com.ar/ff7/data/battle/battle.lgp/gnbj.png","View Picture")</f>
        <v>View Picture</v>
      </c>
    </row>
    <row r="3632">
      <c r="A3632" s="55"/>
      <c r="B3632" s="119" t="s">
        <v>35034</v>
      </c>
      <c r="C3632" s="120" t="s">
        <v>7148</v>
      </c>
      <c r="D3632" s="33" t="s">
        <v>34985</v>
      </c>
      <c r="E3632" s="51" t="s">
        <v>725</v>
      </c>
      <c r="F3632" s="121" t="s">
        <v>3009</v>
      </c>
      <c r="G3632" s="98" t="str">
        <f>HYPERLINK("http://mirror.ff7data.com.ar/ff7/data/battle/battle.lgp/gnbk.png","View Picture")</f>
        <v>View Picture</v>
      </c>
    </row>
    <row r="3633">
      <c r="A3633" s="55"/>
      <c r="B3633" s="119" t="s">
        <v>35036</v>
      </c>
      <c r="C3633" s="120" t="s">
        <v>6029</v>
      </c>
      <c r="D3633" s="33" t="s">
        <v>34985</v>
      </c>
      <c r="E3633" s="51" t="s">
        <v>725</v>
      </c>
      <c r="F3633" s="121" t="s">
        <v>3009</v>
      </c>
      <c r="G3633" s="98" t="str">
        <f>HYPERLINK("http://mirror.ff7data.com.ar/ff7/data/battle/battle.lgp/gnbl.png","View Picture")</f>
        <v>View Picture</v>
      </c>
    </row>
    <row r="3634">
      <c r="A3634" s="55"/>
      <c r="B3634" s="119" t="s">
        <v>35038</v>
      </c>
      <c r="C3634" s="120" t="s">
        <v>4396</v>
      </c>
      <c r="D3634" s="33" t="s">
        <v>34985</v>
      </c>
      <c r="E3634" s="51" t="s">
        <v>725</v>
      </c>
      <c r="F3634" s="121" t="s">
        <v>3009</v>
      </c>
      <c r="G3634" s="98" t="str">
        <f>HYPERLINK("http://mirror.ff7data.com.ar/ff7/data/battle/battle.lgp/gnbm.png","View Picture")</f>
        <v>View Picture</v>
      </c>
    </row>
    <row r="3635">
      <c r="A3635" s="55"/>
      <c r="B3635" s="119" t="s">
        <v>35040</v>
      </c>
      <c r="C3635" s="120" t="s">
        <v>3355</v>
      </c>
      <c r="D3635" s="33" t="s">
        <v>34985</v>
      </c>
      <c r="E3635" s="51" t="s">
        <v>725</v>
      </c>
      <c r="F3635" s="121" t="s">
        <v>3025</v>
      </c>
      <c r="H3635" s="46" t="s">
        <v>3002</v>
      </c>
    </row>
    <row r="3636">
      <c r="A3636" s="21"/>
      <c r="B3636" s="119" t="s">
        <v>35041</v>
      </c>
      <c r="C3636" s="120" t="s">
        <v>2989</v>
      </c>
      <c r="D3636" s="33" t="s">
        <v>35043</v>
      </c>
      <c r="E3636" s="51" t="s">
        <v>731</v>
      </c>
      <c r="F3636" s="121" t="s">
        <v>2971</v>
      </c>
      <c r="G3636" s="98" t="str">
        <f>HYPERLINK("http://mirror.ff7data.com.ar/ff7/data/battle/battle.lgp/goaa.png","View Picture")</f>
        <v>View Picture</v>
      </c>
    </row>
    <row r="3637">
      <c r="A3637" s="55"/>
      <c r="B3637" s="119" t="s">
        <v>35045</v>
      </c>
      <c r="C3637" s="120" t="s">
        <v>5724</v>
      </c>
      <c r="D3637" s="33" t="s">
        <v>35046</v>
      </c>
      <c r="E3637" s="51" t="s">
        <v>731</v>
      </c>
      <c r="F3637" s="121" t="s">
        <v>2993</v>
      </c>
      <c r="H3637" s="46" t="s">
        <v>3002</v>
      </c>
    </row>
    <row r="3638">
      <c r="A3638" s="55"/>
      <c r="B3638" s="119" t="s">
        <v>35047</v>
      </c>
      <c r="C3638" s="120" t="s">
        <v>7081</v>
      </c>
      <c r="D3638" s="33" t="s">
        <v>35048</v>
      </c>
      <c r="E3638" s="51" t="s">
        <v>731</v>
      </c>
      <c r="F3638" s="121" t="s">
        <v>1348</v>
      </c>
      <c r="G3638" s="98" t="str">
        <f>HYPERLINK("http://mirror.ff7data.com.ar/ff7/data/battle/battle.lgp/goac.png","View Picture")</f>
        <v>View Picture</v>
      </c>
    </row>
    <row r="3639">
      <c r="A3639" s="55"/>
      <c r="B3639" s="119" t="s">
        <v>35050</v>
      </c>
      <c r="C3639" s="120" t="s">
        <v>6029</v>
      </c>
      <c r="D3639" s="33" t="s">
        <v>35046</v>
      </c>
      <c r="E3639" s="51" t="s">
        <v>731</v>
      </c>
      <c r="F3639" s="121" t="s">
        <v>3009</v>
      </c>
      <c r="G3639" s="98" t="str">
        <f>HYPERLINK("http://mirror.ff7data.com.ar/ff7/data/battle/battle.lgp/goam.png","View Picture")</f>
        <v>View Picture</v>
      </c>
    </row>
    <row r="3640">
      <c r="A3640" s="55"/>
      <c r="B3640" s="119" t="s">
        <v>35052</v>
      </c>
      <c r="C3640" s="120" t="s">
        <v>4719</v>
      </c>
      <c r="D3640" s="33" t="s">
        <v>35046</v>
      </c>
      <c r="E3640" s="51" t="s">
        <v>731</v>
      </c>
      <c r="F3640" s="121" t="s">
        <v>3009</v>
      </c>
      <c r="G3640" s="98" t="str">
        <f>HYPERLINK("http://mirror.ff7data.com.ar/ff7/data/battle/battle.lgp/goan.png","View Picture")</f>
        <v>View Picture</v>
      </c>
    </row>
    <row r="3641">
      <c r="A3641" s="55"/>
      <c r="B3641" s="119" t="s">
        <v>35055</v>
      </c>
      <c r="C3641" s="120" t="s">
        <v>3768</v>
      </c>
      <c r="D3641" s="33" t="s">
        <v>35046</v>
      </c>
      <c r="E3641" s="51" t="s">
        <v>731</v>
      </c>
      <c r="F3641" s="121" t="s">
        <v>3009</v>
      </c>
      <c r="G3641" s="98" t="str">
        <f>HYPERLINK("http://mirror.ff7data.com.ar/ff7/data/battle/battle.lgp/goao.png","View Picture")</f>
        <v>View Picture</v>
      </c>
    </row>
    <row r="3642">
      <c r="A3642" s="55"/>
      <c r="B3642" s="119" t="s">
        <v>35057</v>
      </c>
      <c r="C3642" s="120" t="s">
        <v>4264</v>
      </c>
      <c r="D3642" s="33" t="s">
        <v>35046</v>
      </c>
      <c r="E3642" s="51" t="s">
        <v>731</v>
      </c>
      <c r="F3642" s="121" t="s">
        <v>3009</v>
      </c>
      <c r="G3642" s="98" t="str">
        <f>HYPERLINK("http://mirror.ff7data.com.ar/ff7/data/battle/battle.lgp/goaq.png","View Picture")</f>
        <v>View Picture</v>
      </c>
    </row>
    <row r="3643">
      <c r="A3643" s="55"/>
      <c r="B3643" s="119" t="s">
        <v>35059</v>
      </c>
      <c r="C3643" s="120" t="s">
        <v>4439</v>
      </c>
      <c r="D3643" s="33" t="s">
        <v>35046</v>
      </c>
      <c r="E3643" s="51" t="s">
        <v>731</v>
      </c>
      <c r="F3643" s="121" t="s">
        <v>3009</v>
      </c>
      <c r="G3643" s="98" t="str">
        <f>HYPERLINK("http://mirror.ff7data.com.ar/ff7/data/battle/battle.lgp/goar.png","View Picture")</f>
        <v>View Picture</v>
      </c>
    </row>
    <row r="3644">
      <c r="A3644" s="55"/>
      <c r="B3644" s="119" t="s">
        <v>35061</v>
      </c>
      <c r="C3644" s="120" t="s">
        <v>4264</v>
      </c>
      <c r="D3644" s="33" t="s">
        <v>35046</v>
      </c>
      <c r="E3644" s="51" t="s">
        <v>731</v>
      </c>
      <c r="F3644" s="121" t="s">
        <v>3009</v>
      </c>
      <c r="G3644" s="98" t="str">
        <f>HYPERLINK("http://mirror.ff7data.com.ar/ff7/data/battle/battle.lgp/goat.png","View Picture")</f>
        <v>View Picture</v>
      </c>
    </row>
    <row r="3645">
      <c r="A3645" s="55"/>
      <c r="B3645" s="119" t="s">
        <v>35063</v>
      </c>
      <c r="C3645" s="120" t="s">
        <v>4439</v>
      </c>
      <c r="D3645" s="33" t="s">
        <v>35046</v>
      </c>
      <c r="E3645" s="51" t="s">
        <v>731</v>
      </c>
      <c r="F3645" s="121" t="s">
        <v>3009</v>
      </c>
      <c r="G3645" s="98" t="str">
        <f>HYPERLINK("http://mirror.ff7data.com.ar/ff7/data/battle/battle.lgp/goau.png","View Picture")</f>
        <v>View Picture</v>
      </c>
    </row>
    <row r="3646">
      <c r="A3646" s="55"/>
      <c r="B3646" s="119" t="s">
        <v>35065</v>
      </c>
      <c r="C3646" s="120" t="s">
        <v>3658</v>
      </c>
      <c r="D3646" s="33" t="s">
        <v>35046</v>
      </c>
      <c r="E3646" s="51" t="s">
        <v>731</v>
      </c>
      <c r="F3646" s="121" t="s">
        <v>3009</v>
      </c>
      <c r="G3646" s="98" t="str">
        <f>HYPERLINK("http://mirror.ff7data.com.ar/ff7/data/battle/battle.lgp/goaw.png","View Picture")</f>
        <v>View Picture</v>
      </c>
    </row>
    <row r="3647">
      <c r="A3647" s="55"/>
      <c r="B3647" s="119" t="s">
        <v>35067</v>
      </c>
      <c r="C3647" s="120" t="s">
        <v>22833</v>
      </c>
      <c r="D3647" s="33" t="s">
        <v>35046</v>
      </c>
      <c r="E3647" s="51" t="s">
        <v>731</v>
      </c>
      <c r="F3647" s="121" t="s">
        <v>3009</v>
      </c>
      <c r="G3647" s="98" t="str">
        <f>HYPERLINK("http://mirror.ff7data.com.ar/ff7/data/battle/battle.lgp/goay.png","View Picture")</f>
        <v>View Picture</v>
      </c>
    </row>
    <row r="3648">
      <c r="A3648" s="55"/>
      <c r="B3648" s="119" t="s">
        <v>35069</v>
      </c>
      <c r="C3648" s="120" t="s">
        <v>11785</v>
      </c>
      <c r="D3648" s="33" t="s">
        <v>35046</v>
      </c>
      <c r="E3648" s="51" t="s">
        <v>731</v>
      </c>
      <c r="F3648" s="121" t="s">
        <v>3009</v>
      </c>
      <c r="G3648" s="98" t="str">
        <f>HYPERLINK("http://mirror.ff7data.com.ar/ff7/data/battle/battle.lgp/goaz.png","View Picture")</f>
        <v>View Picture</v>
      </c>
    </row>
    <row r="3649">
      <c r="A3649" s="55"/>
      <c r="B3649" s="119" t="s">
        <v>35071</v>
      </c>
      <c r="C3649" s="120" t="s">
        <v>4264</v>
      </c>
      <c r="D3649" s="33" t="s">
        <v>35046</v>
      </c>
      <c r="E3649" s="51" t="s">
        <v>731</v>
      </c>
      <c r="F3649" s="121" t="s">
        <v>3009</v>
      </c>
      <c r="G3649" s="98" t="str">
        <f>HYPERLINK("http://mirror.ff7data.com.ar/ff7/data/battle/battle.lgp/gobb.png","View Picture")</f>
        <v>View Picture</v>
      </c>
    </row>
    <row r="3650">
      <c r="A3650" s="55"/>
      <c r="B3650" s="119" t="s">
        <v>35073</v>
      </c>
      <c r="C3650" s="120" t="s">
        <v>4439</v>
      </c>
      <c r="D3650" s="33" t="s">
        <v>35046</v>
      </c>
      <c r="E3650" s="51" t="s">
        <v>731</v>
      </c>
      <c r="F3650" s="121" t="s">
        <v>3009</v>
      </c>
      <c r="G3650" s="98" t="str">
        <f>HYPERLINK("http://mirror.ff7data.com.ar/ff7/data/battle/battle.lgp/gobc.png","View Picture")</f>
        <v>View Picture</v>
      </c>
    </row>
    <row r="3651">
      <c r="A3651" s="55"/>
      <c r="B3651" s="119" t="s">
        <v>35074</v>
      </c>
      <c r="C3651" s="120" t="s">
        <v>4264</v>
      </c>
      <c r="D3651" s="33" t="s">
        <v>35046</v>
      </c>
      <c r="E3651" s="51" t="s">
        <v>731</v>
      </c>
      <c r="F3651" s="121" t="s">
        <v>3009</v>
      </c>
      <c r="G3651" s="98" t="str">
        <f>HYPERLINK("http://mirror.ff7data.com.ar/ff7/data/battle/battle.lgp/gobe.png","View Picture")</f>
        <v>View Picture</v>
      </c>
    </row>
    <row r="3652">
      <c r="A3652" s="55"/>
      <c r="B3652" s="119" t="s">
        <v>35076</v>
      </c>
      <c r="C3652" s="120" t="s">
        <v>4439</v>
      </c>
      <c r="D3652" s="33" t="s">
        <v>35046</v>
      </c>
      <c r="E3652" s="51" t="s">
        <v>731</v>
      </c>
      <c r="F3652" s="121" t="s">
        <v>3009</v>
      </c>
      <c r="G3652" s="98" t="str">
        <f>HYPERLINK("http://mirror.ff7data.com.ar/ff7/data/battle/battle.lgp/gobf.png","View Picture")</f>
        <v>View Picture</v>
      </c>
    </row>
    <row r="3653">
      <c r="A3653" s="55"/>
      <c r="B3653" s="119" t="s">
        <v>35078</v>
      </c>
      <c r="C3653" s="120" t="s">
        <v>7165</v>
      </c>
      <c r="D3653" s="33" t="s">
        <v>35046</v>
      </c>
      <c r="E3653" s="51" t="s">
        <v>731</v>
      </c>
      <c r="F3653" s="121" t="s">
        <v>3009</v>
      </c>
      <c r="G3653" s="98" t="str">
        <f>HYPERLINK("http://mirror.ff7data.com.ar/ff7/data/battle/battle.lgp/gobh.png","View Picture")</f>
        <v>View Picture</v>
      </c>
    </row>
    <row r="3654">
      <c r="A3654" s="55"/>
      <c r="B3654" s="119" t="s">
        <v>35080</v>
      </c>
      <c r="C3654" s="120" t="s">
        <v>20511</v>
      </c>
      <c r="D3654" s="33" t="s">
        <v>35046</v>
      </c>
      <c r="E3654" s="51" t="s">
        <v>731</v>
      </c>
      <c r="F3654" s="121" t="s">
        <v>3009</v>
      </c>
      <c r="G3654" s="98" t="str">
        <f>HYPERLINK("http://mirror.ff7data.com.ar/ff7/data/battle/battle.lgp/gobj.png","View Picture")</f>
        <v>View Picture</v>
      </c>
    </row>
    <row r="3655">
      <c r="A3655" s="55"/>
      <c r="B3655" s="119" t="s">
        <v>35081</v>
      </c>
      <c r="C3655" s="120" t="s">
        <v>35082</v>
      </c>
      <c r="D3655" s="33" t="s">
        <v>35046</v>
      </c>
      <c r="E3655" s="51" t="s">
        <v>731</v>
      </c>
      <c r="F3655" s="121" t="s">
        <v>3009</v>
      </c>
      <c r="G3655" s="98" t="str">
        <f>HYPERLINK("http://mirror.ff7data.com.ar/ff7/data/battle/battle.lgp/gobk.png","View Picture")</f>
        <v>View Picture</v>
      </c>
    </row>
    <row r="3656">
      <c r="A3656" s="55"/>
      <c r="B3656" s="119" t="s">
        <v>35084</v>
      </c>
      <c r="C3656" s="120" t="s">
        <v>4476</v>
      </c>
      <c r="D3656" s="33" t="s">
        <v>35046</v>
      </c>
      <c r="E3656" s="51" t="s">
        <v>731</v>
      </c>
      <c r="F3656" s="121" t="s">
        <v>3009</v>
      </c>
      <c r="G3656" s="98" t="str">
        <f>HYPERLINK("http://mirror.ff7data.com.ar/ff7/data/battle/battle.lgp/gobl.png","View Picture")</f>
        <v>View Picture</v>
      </c>
    </row>
    <row r="3657">
      <c r="A3657" s="55"/>
      <c r="B3657" s="119" t="s">
        <v>35086</v>
      </c>
      <c r="C3657" s="120" t="s">
        <v>9134</v>
      </c>
      <c r="D3657" s="33" t="s">
        <v>35046</v>
      </c>
      <c r="E3657" s="51" t="s">
        <v>731</v>
      </c>
      <c r="F3657" s="121" t="s">
        <v>3009</v>
      </c>
      <c r="G3657" s="98" t="str">
        <f>HYPERLINK("http://mirror.ff7data.com.ar/ff7/data/battle/battle.lgp/gobm.png","View Picture")</f>
        <v>View Picture</v>
      </c>
    </row>
    <row r="3658">
      <c r="A3658" s="55"/>
      <c r="B3658" s="119" t="s">
        <v>35088</v>
      </c>
      <c r="C3658" s="120" t="s">
        <v>9134</v>
      </c>
      <c r="D3658" s="33" t="s">
        <v>35046</v>
      </c>
      <c r="E3658" s="51" t="s">
        <v>731</v>
      </c>
      <c r="F3658" s="121" t="s">
        <v>3009</v>
      </c>
      <c r="G3658" s="98" t="str">
        <f>HYPERLINK("http://mirror.ff7data.com.ar/ff7/data/battle/battle.lgp/gobn.png","View Picture")</f>
        <v>View Picture</v>
      </c>
    </row>
    <row r="3659">
      <c r="A3659" s="55"/>
      <c r="B3659" s="119" t="s">
        <v>35089</v>
      </c>
      <c r="C3659" s="120" t="s">
        <v>9134</v>
      </c>
      <c r="D3659" s="33" t="s">
        <v>35046</v>
      </c>
      <c r="E3659" s="51" t="s">
        <v>731</v>
      </c>
      <c r="F3659" s="121" t="s">
        <v>3009</v>
      </c>
      <c r="G3659" s="98" t="str">
        <f>HYPERLINK("http://mirror.ff7data.com.ar/ff7/data/battle/battle.lgp/gobo.png","View Picture")</f>
        <v>View Picture</v>
      </c>
    </row>
    <row r="3660">
      <c r="A3660" s="55"/>
      <c r="B3660" s="119" t="s">
        <v>35091</v>
      </c>
      <c r="C3660" s="120" t="s">
        <v>4372</v>
      </c>
      <c r="D3660" s="33" t="s">
        <v>35046</v>
      </c>
      <c r="E3660" s="51" t="s">
        <v>731</v>
      </c>
      <c r="F3660" s="121" t="s">
        <v>3009</v>
      </c>
      <c r="G3660" s="98" t="str">
        <f>HYPERLINK("http://mirror.ff7data.com.ar/ff7/data/battle/battle.lgp/gobp.png","View Picture")</f>
        <v>View Picture</v>
      </c>
    </row>
    <row r="3661">
      <c r="A3661" s="55"/>
      <c r="B3661" s="119" t="s">
        <v>35093</v>
      </c>
      <c r="C3661" s="120" t="s">
        <v>26138</v>
      </c>
      <c r="D3661" s="33" t="s">
        <v>35046</v>
      </c>
      <c r="E3661" s="51" t="s">
        <v>731</v>
      </c>
      <c r="F3661" s="121" t="s">
        <v>3025</v>
      </c>
      <c r="H3661" s="46" t="s">
        <v>3002</v>
      </c>
    </row>
    <row r="3662">
      <c r="A3662" s="21"/>
      <c r="B3662" s="119" t="s">
        <v>35094</v>
      </c>
      <c r="C3662" s="120" t="s">
        <v>4196</v>
      </c>
      <c r="D3662" s="33" t="s">
        <v>35095</v>
      </c>
      <c r="E3662" s="51" t="s">
        <v>736</v>
      </c>
      <c r="F3662" s="121" t="s">
        <v>2971</v>
      </c>
      <c r="G3662" s="98" t="str">
        <f>HYPERLINK("http://mirror.ff7data.com.ar/ff7/data/battle/battle.lgp/gpaa.png","View Picture")</f>
        <v>View Picture</v>
      </c>
    </row>
    <row r="3663">
      <c r="A3663" s="55"/>
      <c r="B3663" s="119" t="s">
        <v>35097</v>
      </c>
      <c r="C3663" s="120" t="s">
        <v>9790</v>
      </c>
      <c r="D3663" s="33" t="s">
        <v>35098</v>
      </c>
      <c r="E3663" s="51" t="s">
        <v>736</v>
      </c>
      <c r="F3663" s="121" t="s">
        <v>2993</v>
      </c>
      <c r="H3663" s="46" t="s">
        <v>3002</v>
      </c>
    </row>
    <row r="3664">
      <c r="A3664" s="55"/>
      <c r="B3664" s="119" t="s">
        <v>35099</v>
      </c>
      <c r="C3664" s="120" t="s">
        <v>4357</v>
      </c>
      <c r="D3664" s="33" t="s">
        <v>35098</v>
      </c>
      <c r="E3664" s="51" t="s">
        <v>736</v>
      </c>
      <c r="F3664" s="121" t="s">
        <v>3009</v>
      </c>
      <c r="G3664" s="98" t="str">
        <f>HYPERLINK("http://mirror.ff7data.com.ar/ff7/data/battle/battle.lgp/gpam.png","View Picture")</f>
        <v>View Picture</v>
      </c>
    </row>
    <row r="3665">
      <c r="A3665" s="55"/>
      <c r="B3665" s="119" t="s">
        <v>35101</v>
      </c>
      <c r="C3665" s="120" t="s">
        <v>3842</v>
      </c>
      <c r="D3665" s="33" t="s">
        <v>35098</v>
      </c>
      <c r="E3665" s="51" t="s">
        <v>736</v>
      </c>
      <c r="F3665" s="121" t="s">
        <v>3009</v>
      </c>
      <c r="G3665" s="98" t="str">
        <f>HYPERLINK("http://mirror.ff7data.com.ar/ff7/data/battle/battle.lgp/gpan.png","View Picture")</f>
        <v>View Picture</v>
      </c>
    </row>
    <row r="3666">
      <c r="A3666" s="55"/>
      <c r="B3666" s="119" t="s">
        <v>35102</v>
      </c>
      <c r="C3666" s="120" t="s">
        <v>8649</v>
      </c>
      <c r="D3666" s="33" t="s">
        <v>35098</v>
      </c>
      <c r="E3666" s="51" t="s">
        <v>736</v>
      </c>
      <c r="F3666" s="121" t="s">
        <v>3009</v>
      </c>
      <c r="G3666" s="98" t="str">
        <f>HYPERLINK("http://mirror.ff7data.com.ar/ff7/data/battle/battle.lgp/gpap.png","View Picture")</f>
        <v>View Picture</v>
      </c>
    </row>
    <row r="3667">
      <c r="A3667" s="55"/>
      <c r="B3667" s="119" t="s">
        <v>35104</v>
      </c>
      <c r="C3667" s="120" t="s">
        <v>4217</v>
      </c>
      <c r="D3667" s="33" t="s">
        <v>35098</v>
      </c>
      <c r="E3667" s="51" t="s">
        <v>736</v>
      </c>
      <c r="F3667" s="121" t="s">
        <v>3009</v>
      </c>
      <c r="G3667" s="98" t="str">
        <f>HYPERLINK("http://mirror.ff7data.com.ar/ff7/data/battle/battle.lgp/gpar.png","View Picture")</f>
        <v>View Picture</v>
      </c>
    </row>
    <row r="3668">
      <c r="A3668" s="55"/>
      <c r="B3668" s="119" t="s">
        <v>35105</v>
      </c>
      <c r="C3668" s="120" t="s">
        <v>4264</v>
      </c>
      <c r="D3668" s="33" t="s">
        <v>35098</v>
      </c>
      <c r="E3668" s="51" t="s">
        <v>736</v>
      </c>
      <c r="F3668" s="121" t="s">
        <v>3009</v>
      </c>
      <c r="G3668" s="98" t="str">
        <f>HYPERLINK("http://mirror.ff7data.com.ar/ff7/data/battle/battle.lgp/gpat.png","View Picture")</f>
        <v>View Picture</v>
      </c>
    </row>
    <row r="3669">
      <c r="A3669" s="55"/>
      <c r="B3669" s="119" t="s">
        <v>35107</v>
      </c>
      <c r="C3669" s="120" t="s">
        <v>7148</v>
      </c>
      <c r="D3669" s="33" t="s">
        <v>35098</v>
      </c>
      <c r="E3669" s="51" t="s">
        <v>736</v>
      </c>
      <c r="F3669" s="121" t="s">
        <v>3009</v>
      </c>
      <c r="G3669" s="98" t="str">
        <f>HYPERLINK("http://mirror.ff7data.com.ar/ff7/data/battle/battle.lgp/gpau.png","View Picture")</f>
        <v>View Picture</v>
      </c>
    </row>
    <row r="3670">
      <c r="A3670" s="55"/>
      <c r="B3670" s="119" t="s">
        <v>35109</v>
      </c>
      <c r="C3670" s="120" t="s">
        <v>7165</v>
      </c>
      <c r="D3670" s="33" t="s">
        <v>35098</v>
      </c>
      <c r="E3670" s="51" t="s">
        <v>736</v>
      </c>
      <c r="F3670" s="121" t="s">
        <v>3009</v>
      </c>
      <c r="G3670" s="98" t="str">
        <f>HYPERLINK("http://mirror.ff7data.com.ar/ff7/data/battle/battle.lgp/gpav.png","View Picture")</f>
        <v>View Picture</v>
      </c>
    </row>
    <row r="3671">
      <c r="A3671" s="55"/>
      <c r="B3671" s="119" t="s">
        <v>35110</v>
      </c>
      <c r="C3671" s="120" t="s">
        <v>4264</v>
      </c>
      <c r="D3671" s="33" t="s">
        <v>35098</v>
      </c>
      <c r="E3671" s="51" t="s">
        <v>736</v>
      </c>
      <c r="F3671" s="121" t="s">
        <v>3009</v>
      </c>
      <c r="G3671" s="98" t="str">
        <f>HYPERLINK("http://mirror.ff7data.com.ar/ff7/data/battle/battle.lgp/gpax.png","View Picture")</f>
        <v>View Picture</v>
      </c>
    </row>
    <row r="3672">
      <c r="A3672" s="55"/>
      <c r="B3672" s="119" t="s">
        <v>35112</v>
      </c>
      <c r="C3672" s="120" t="s">
        <v>7148</v>
      </c>
      <c r="D3672" s="33" t="s">
        <v>35098</v>
      </c>
      <c r="E3672" s="51" t="s">
        <v>736</v>
      </c>
      <c r="F3672" s="121" t="s">
        <v>3009</v>
      </c>
      <c r="G3672" s="98" t="str">
        <f>HYPERLINK("http://mirror.ff7data.com.ar/ff7/data/battle/battle.lgp/gpay.png","View Picture")</f>
        <v>View Picture</v>
      </c>
    </row>
    <row r="3673">
      <c r="A3673" s="55"/>
      <c r="B3673" s="119" t="s">
        <v>35114</v>
      </c>
      <c r="C3673" s="120" t="s">
        <v>4357</v>
      </c>
      <c r="D3673" s="33" t="s">
        <v>35098</v>
      </c>
      <c r="E3673" s="51" t="s">
        <v>736</v>
      </c>
      <c r="F3673" s="121" t="s">
        <v>3009</v>
      </c>
      <c r="G3673" s="98" t="str">
        <f>HYPERLINK("http://mirror.ff7data.com.ar/ff7/data/battle/battle.lgp/gpaz.png","View Picture")</f>
        <v>View Picture</v>
      </c>
    </row>
    <row r="3674">
      <c r="A3674" s="55"/>
      <c r="B3674" s="119" t="s">
        <v>35115</v>
      </c>
      <c r="C3674" s="120" t="s">
        <v>4288</v>
      </c>
      <c r="D3674" s="33" t="s">
        <v>35098</v>
      </c>
      <c r="E3674" s="51" t="s">
        <v>736</v>
      </c>
      <c r="F3674" s="121" t="s">
        <v>3009</v>
      </c>
      <c r="G3674" s="98" t="str">
        <f>HYPERLINK("http://mirror.ff7data.com.ar/ff7/data/battle/battle.lgp/gpbb.png","View Picture")</f>
        <v>View Picture</v>
      </c>
    </row>
    <row r="3675">
      <c r="A3675" s="55"/>
      <c r="B3675" s="119" t="s">
        <v>35117</v>
      </c>
      <c r="C3675" s="120" t="s">
        <v>4732</v>
      </c>
      <c r="D3675" s="33" t="s">
        <v>35098</v>
      </c>
      <c r="E3675" s="51" t="s">
        <v>736</v>
      </c>
      <c r="F3675" s="121" t="s">
        <v>3009</v>
      </c>
      <c r="G3675" s="98" t="str">
        <f>HYPERLINK("http://mirror.ff7data.com.ar/ff7/data/battle/battle.lgp/gpbc.png","View Picture")</f>
        <v>View Picture</v>
      </c>
    </row>
    <row r="3676">
      <c r="A3676" s="55"/>
      <c r="B3676" s="119" t="s">
        <v>35119</v>
      </c>
      <c r="C3676" s="120" t="s">
        <v>4185</v>
      </c>
      <c r="D3676" s="33" t="s">
        <v>35098</v>
      </c>
      <c r="E3676" s="51" t="s">
        <v>736</v>
      </c>
      <c r="F3676" s="121" t="s">
        <v>3009</v>
      </c>
      <c r="G3676" s="98" t="str">
        <f>HYPERLINK("http://mirror.ff7data.com.ar/ff7/data/battle/battle.lgp/gpbd.png","View Picture")</f>
        <v>View Picture</v>
      </c>
    </row>
    <row r="3677">
      <c r="A3677" s="55"/>
      <c r="B3677" s="119" t="s">
        <v>35120</v>
      </c>
      <c r="C3677" s="120" t="s">
        <v>4288</v>
      </c>
      <c r="D3677" s="33" t="s">
        <v>35098</v>
      </c>
      <c r="E3677" s="51" t="s">
        <v>736</v>
      </c>
      <c r="F3677" s="121" t="s">
        <v>3009</v>
      </c>
      <c r="G3677" s="98" t="str">
        <f>HYPERLINK("http://mirror.ff7data.com.ar/ff7/data/battle/battle.lgp/gpbf.png","View Picture")</f>
        <v>View Picture</v>
      </c>
    </row>
    <row r="3678">
      <c r="A3678" s="55"/>
      <c r="B3678" s="119" t="s">
        <v>35124</v>
      </c>
      <c r="C3678" s="120" t="s">
        <v>4264</v>
      </c>
      <c r="D3678" s="33" t="s">
        <v>35098</v>
      </c>
      <c r="E3678" s="51" t="s">
        <v>736</v>
      </c>
      <c r="F3678" s="121" t="s">
        <v>3009</v>
      </c>
      <c r="G3678" s="98" t="str">
        <f>HYPERLINK("http://mirror.ff7data.com.ar/ff7/data/battle/battle.lgp/gpbg.png","View Picture")</f>
        <v>View Picture</v>
      </c>
    </row>
    <row r="3679">
      <c r="A3679" s="55"/>
      <c r="B3679" s="119" t="s">
        <v>35126</v>
      </c>
      <c r="C3679" s="120" t="s">
        <v>4185</v>
      </c>
      <c r="D3679" s="33" t="s">
        <v>35098</v>
      </c>
      <c r="E3679" s="51" t="s">
        <v>736</v>
      </c>
      <c r="F3679" s="121" t="s">
        <v>3009</v>
      </c>
      <c r="G3679" s="98" t="str">
        <f>HYPERLINK("http://mirror.ff7data.com.ar/ff7/data/battle/battle.lgp/gpbh.png","View Picture")</f>
        <v>View Picture</v>
      </c>
    </row>
    <row r="3680">
      <c r="A3680" s="55"/>
      <c r="B3680" s="119" t="s">
        <v>35129</v>
      </c>
      <c r="C3680" s="120" t="s">
        <v>4439</v>
      </c>
      <c r="D3680" s="33" t="s">
        <v>35098</v>
      </c>
      <c r="E3680" s="51" t="s">
        <v>736</v>
      </c>
      <c r="F3680" s="121" t="s">
        <v>3009</v>
      </c>
      <c r="G3680" s="98" t="str">
        <f>HYPERLINK("http://mirror.ff7data.com.ar/ff7/data/battle/battle.lgp/gpbi.png","View Picture")</f>
        <v>View Picture</v>
      </c>
    </row>
    <row r="3681">
      <c r="A3681" s="55"/>
      <c r="B3681" s="119" t="s">
        <v>35131</v>
      </c>
      <c r="C3681" s="120" t="s">
        <v>4264</v>
      </c>
      <c r="D3681" s="33" t="s">
        <v>35098</v>
      </c>
      <c r="E3681" s="51" t="s">
        <v>736</v>
      </c>
      <c r="F3681" s="121" t="s">
        <v>3009</v>
      </c>
      <c r="G3681" s="98" t="str">
        <f>HYPERLINK("http://mirror.ff7data.com.ar/ff7/data/battle/battle.lgp/gpbj.png","View Picture")</f>
        <v>View Picture</v>
      </c>
    </row>
    <row r="3682">
      <c r="A3682" s="55"/>
      <c r="B3682" s="119" t="s">
        <v>35133</v>
      </c>
      <c r="C3682" s="120" t="s">
        <v>3749</v>
      </c>
      <c r="D3682" s="33" t="s">
        <v>35098</v>
      </c>
      <c r="E3682" s="51" t="s">
        <v>736</v>
      </c>
      <c r="F3682" s="121" t="s">
        <v>3009</v>
      </c>
      <c r="G3682" s="98" t="str">
        <f>HYPERLINK("http://mirror.ff7data.com.ar/ff7/data/battle/battle.lgp/gpbk.png","View Picture")</f>
        <v>View Picture</v>
      </c>
    </row>
    <row r="3683">
      <c r="A3683" s="55"/>
      <c r="B3683" s="119" t="s">
        <v>35134</v>
      </c>
      <c r="C3683" s="120" t="s">
        <v>6029</v>
      </c>
      <c r="D3683" s="33" t="s">
        <v>35098</v>
      </c>
      <c r="E3683" s="51" t="s">
        <v>736</v>
      </c>
      <c r="F3683" s="121" t="s">
        <v>3009</v>
      </c>
      <c r="G3683" s="98" t="str">
        <f>HYPERLINK("http://mirror.ff7data.com.ar/ff7/data/battle/battle.lgp/gpbl.png","View Picture")</f>
        <v>View Picture</v>
      </c>
    </row>
    <row r="3684">
      <c r="A3684" s="55"/>
      <c r="B3684" s="119" t="s">
        <v>35137</v>
      </c>
      <c r="C3684" s="120" t="s">
        <v>3007</v>
      </c>
      <c r="D3684" s="33" t="s">
        <v>35098</v>
      </c>
      <c r="E3684" s="51" t="s">
        <v>736</v>
      </c>
      <c r="F3684" s="121" t="s">
        <v>3009</v>
      </c>
      <c r="G3684" s="98" t="str">
        <f>HYPERLINK("http://mirror.ff7data.com.ar/ff7/data/battle/battle.lgp/gpbm.png","View Picture")</f>
        <v>View Picture</v>
      </c>
    </row>
    <row r="3685">
      <c r="A3685" s="55"/>
      <c r="B3685" s="119" t="s">
        <v>35138</v>
      </c>
      <c r="C3685" s="120" t="s">
        <v>3494</v>
      </c>
      <c r="D3685" s="33" t="s">
        <v>35098</v>
      </c>
      <c r="E3685" s="51" t="s">
        <v>736</v>
      </c>
      <c r="F3685" s="121" t="s">
        <v>3025</v>
      </c>
      <c r="H3685" s="46" t="s">
        <v>3002</v>
      </c>
    </row>
    <row r="3686">
      <c r="A3686" s="21"/>
      <c r="B3686" s="119" t="s">
        <v>35140</v>
      </c>
      <c r="C3686" s="120" t="s">
        <v>3557</v>
      </c>
      <c r="D3686" s="33" t="s">
        <v>35141</v>
      </c>
      <c r="E3686" s="51" t="s">
        <v>742</v>
      </c>
      <c r="F3686" s="121" t="s">
        <v>2971</v>
      </c>
      <c r="G3686" s="98" t="str">
        <f>HYPERLINK("http://mirror.ff7data.com.ar/ff7/data/battle/battle.lgp/gqaa.png","View Picture")</f>
        <v>View Picture</v>
      </c>
    </row>
    <row r="3687">
      <c r="A3687" s="55"/>
      <c r="B3687" s="119" t="s">
        <v>35142</v>
      </c>
      <c r="C3687" s="120" t="s">
        <v>3906</v>
      </c>
      <c r="D3687" s="33" t="s">
        <v>35143</v>
      </c>
      <c r="E3687" s="51" t="s">
        <v>742</v>
      </c>
      <c r="F3687" s="121" t="s">
        <v>2993</v>
      </c>
      <c r="H3687" s="46" t="s">
        <v>3002</v>
      </c>
    </row>
    <row r="3688">
      <c r="A3688" s="55"/>
      <c r="B3688" s="119" t="s">
        <v>35145</v>
      </c>
      <c r="C3688" s="120" t="s">
        <v>34499</v>
      </c>
      <c r="D3688" s="33" t="s">
        <v>35143</v>
      </c>
      <c r="E3688" s="51" t="s">
        <v>742</v>
      </c>
      <c r="F3688" s="121" t="s">
        <v>3009</v>
      </c>
      <c r="G3688" s="98" t="str">
        <f>HYPERLINK("http://mirror.ff7data.com.ar/ff7/data/battle/battle.lgp/gqam.png","View Picture")</f>
        <v>View Picture</v>
      </c>
    </row>
    <row r="3689">
      <c r="A3689" s="55"/>
      <c r="B3689" s="119" t="s">
        <v>35146</v>
      </c>
      <c r="C3689" s="120" t="s">
        <v>6029</v>
      </c>
      <c r="D3689" s="33" t="s">
        <v>35143</v>
      </c>
      <c r="E3689" s="51" t="s">
        <v>742</v>
      </c>
      <c r="F3689" s="121" t="s">
        <v>3009</v>
      </c>
      <c r="G3689" s="98" t="str">
        <f>HYPERLINK("http://mirror.ff7data.com.ar/ff7/data/battle/battle.lgp/gqan.png","View Picture")</f>
        <v>View Picture</v>
      </c>
    </row>
    <row r="3690">
      <c r="A3690" s="55"/>
      <c r="B3690" s="119" t="s">
        <v>35150</v>
      </c>
      <c r="C3690" s="120" t="s">
        <v>3626</v>
      </c>
      <c r="D3690" s="33" t="s">
        <v>35143</v>
      </c>
      <c r="E3690" s="51" t="s">
        <v>742</v>
      </c>
      <c r="F3690" s="121" t="s">
        <v>3009</v>
      </c>
      <c r="G3690" s="98" t="str">
        <f>HYPERLINK("http://mirror.ff7data.com.ar/ff7/data/battle/battle.lgp/gqao.png","View Picture")</f>
        <v>View Picture</v>
      </c>
    </row>
    <row r="3691">
      <c r="A3691" s="55"/>
      <c r="B3691" s="119" t="s">
        <v>35151</v>
      </c>
      <c r="C3691" s="120" t="s">
        <v>10078</v>
      </c>
      <c r="D3691" s="33" t="s">
        <v>35143</v>
      </c>
      <c r="E3691" s="51" t="s">
        <v>742</v>
      </c>
      <c r="F3691" s="121" t="s">
        <v>3009</v>
      </c>
      <c r="G3691" s="98" t="str">
        <f>HYPERLINK("http://mirror.ff7data.com.ar/ff7/data/battle/battle.lgp/gqap.png","View Picture")</f>
        <v>View Picture</v>
      </c>
    </row>
    <row r="3692">
      <c r="A3692" s="55"/>
      <c r="B3692" s="119" t="s">
        <v>35154</v>
      </c>
      <c r="C3692" s="120" t="s">
        <v>6029</v>
      </c>
      <c r="D3692" s="33" t="s">
        <v>35143</v>
      </c>
      <c r="E3692" s="51" t="s">
        <v>742</v>
      </c>
      <c r="F3692" s="121" t="s">
        <v>3009</v>
      </c>
      <c r="G3692" s="98" t="str">
        <f>HYPERLINK("http://mirror.ff7data.com.ar/ff7/data/battle/battle.lgp/gqar.png","View Picture")</f>
        <v>View Picture</v>
      </c>
    </row>
    <row r="3693">
      <c r="A3693" s="55"/>
      <c r="B3693" s="119" t="s">
        <v>35156</v>
      </c>
      <c r="C3693" s="120" t="s">
        <v>5419</v>
      </c>
      <c r="D3693" s="33" t="s">
        <v>35143</v>
      </c>
      <c r="E3693" s="51" t="s">
        <v>742</v>
      </c>
      <c r="F3693" s="121" t="s">
        <v>3009</v>
      </c>
      <c r="G3693" s="98" t="str">
        <f>HYPERLINK("http://mirror.ff7data.com.ar/ff7/data/battle/battle.lgp/gqas.png","View Picture")</f>
        <v>View Picture</v>
      </c>
    </row>
    <row r="3694">
      <c r="A3694" s="55"/>
      <c r="B3694" s="119" t="s">
        <v>35157</v>
      </c>
      <c r="C3694" s="120" t="s">
        <v>6029</v>
      </c>
      <c r="D3694" s="33" t="s">
        <v>35143</v>
      </c>
      <c r="E3694" s="51" t="s">
        <v>742</v>
      </c>
      <c r="F3694" s="121" t="s">
        <v>3009</v>
      </c>
      <c r="G3694" s="98" t="str">
        <f>HYPERLINK("http://mirror.ff7data.com.ar/ff7/data/battle/battle.lgp/gqat.png","View Picture")</f>
        <v>View Picture</v>
      </c>
    </row>
    <row r="3695">
      <c r="A3695" s="55"/>
      <c r="B3695" s="119" t="s">
        <v>35160</v>
      </c>
      <c r="C3695" s="120" t="s">
        <v>4288</v>
      </c>
      <c r="D3695" s="33" t="s">
        <v>35143</v>
      </c>
      <c r="E3695" s="51" t="s">
        <v>742</v>
      </c>
      <c r="F3695" s="121" t="s">
        <v>3009</v>
      </c>
      <c r="G3695" s="98" t="str">
        <f>HYPERLINK("http://mirror.ff7data.com.ar/ff7/data/battle/battle.lgp/gqav.png","View Picture")</f>
        <v>View Picture</v>
      </c>
    </row>
    <row r="3696">
      <c r="A3696" s="55"/>
      <c r="B3696" s="119" t="s">
        <v>35162</v>
      </c>
      <c r="C3696" s="120" t="s">
        <v>4288</v>
      </c>
      <c r="D3696" s="33" t="s">
        <v>35143</v>
      </c>
      <c r="E3696" s="51" t="s">
        <v>742</v>
      </c>
      <c r="F3696" s="121" t="s">
        <v>3009</v>
      </c>
      <c r="G3696" s="98" t="str">
        <f>HYPERLINK("http://mirror.ff7data.com.ar/ff7/data/battle/battle.lgp/gqax.png","View Picture")</f>
        <v>View Picture</v>
      </c>
    </row>
    <row r="3697">
      <c r="A3697" s="55"/>
      <c r="B3697" s="119" t="s">
        <v>35165</v>
      </c>
      <c r="C3697" s="120" t="s">
        <v>4288</v>
      </c>
      <c r="D3697" s="33" t="s">
        <v>35143</v>
      </c>
      <c r="E3697" s="51" t="s">
        <v>742</v>
      </c>
      <c r="F3697" s="121" t="s">
        <v>3009</v>
      </c>
      <c r="G3697" s="98" t="str">
        <f>HYPERLINK("http://mirror.ff7data.com.ar/ff7/data/battle/battle.lgp/gqaz.png","View Picture")</f>
        <v>View Picture</v>
      </c>
    </row>
    <row r="3698">
      <c r="A3698" s="55"/>
      <c r="B3698" s="119" t="s">
        <v>35167</v>
      </c>
      <c r="C3698" s="120" t="s">
        <v>4288</v>
      </c>
      <c r="D3698" s="33" t="s">
        <v>35143</v>
      </c>
      <c r="E3698" s="51" t="s">
        <v>742</v>
      </c>
      <c r="F3698" s="121" t="s">
        <v>3009</v>
      </c>
      <c r="G3698" s="98" t="str">
        <f>HYPERLINK("http://mirror.ff7data.com.ar/ff7/data/battle/battle.lgp/gqbb.png","View Picture")</f>
        <v>View Picture</v>
      </c>
    </row>
    <row r="3699">
      <c r="A3699" s="55"/>
      <c r="B3699" s="119" t="s">
        <v>35168</v>
      </c>
      <c r="C3699" s="120" t="s">
        <v>6029</v>
      </c>
      <c r="D3699" s="33" t="s">
        <v>35143</v>
      </c>
      <c r="E3699" s="51" t="s">
        <v>742</v>
      </c>
      <c r="F3699" s="121" t="s">
        <v>3009</v>
      </c>
      <c r="G3699" s="98" t="str">
        <f>HYPERLINK("http://mirror.ff7data.com.ar/ff7/data/battle/battle.lgp/gqbd.png","View Picture")</f>
        <v>View Picture</v>
      </c>
    </row>
    <row r="3700">
      <c r="A3700" s="55"/>
      <c r="B3700" s="119" t="s">
        <v>35170</v>
      </c>
      <c r="C3700" s="120" t="s">
        <v>5419</v>
      </c>
      <c r="D3700" s="33" t="s">
        <v>35143</v>
      </c>
      <c r="E3700" s="51" t="s">
        <v>742</v>
      </c>
      <c r="F3700" s="121" t="s">
        <v>3009</v>
      </c>
      <c r="G3700" s="98" t="str">
        <f>HYPERLINK("http://mirror.ff7data.com.ar/ff7/data/battle/battle.lgp/gqbe.png","View Picture")</f>
        <v>View Picture</v>
      </c>
    </row>
    <row r="3701">
      <c r="A3701" s="55"/>
      <c r="B3701" s="119" t="s">
        <v>35172</v>
      </c>
      <c r="C3701" s="120" t="s">
        <v>6029</v>
      </c>
      <c r="D3701" s="33" t="s">
        <v>35143</v>
      </c>
      <c r="E3701" s="51" t="s">
        <v>742</v>
      </c>
      <c r="F3701" s="121" t="s">
        <v>3009</v>
      </c>
      <c r="G3701" s="98" t="str">
        <f>HYPERLINK("http://mirror.ff7data.com.ar/ff7/data/battle/battle.lgp/gqbf.png","View Picture")</f>
        <v>View Picture</v>
      </c>
    </row>
    <row r="3702">
      <c r="A3702" s="55"/>
      <c r="B3702" s="119" t="s">
        <v>35174</v>
      </c>
      <c r="C3702" s="120" t="s">
        <v>4288</v>
      </c>
      <c r="D3702" s="33" t="s">
        <v>35143</v>
      </c>
      <c r="E3702" s="51" t="s">
        <v>742</v>
      </c>
      <c r="F3702" s="121" t="s">
        <v>3009</v>
      </c>
      <c r="G3702" s="98" t="str">
        <f>HYPERLINK("http://mirror.ff7data.com.ar/ff7/data/battle/battle.lgp/gqbh.png","View Picture")</f>
        <v>View Picture</v>
      </c>
    </row>
    <row r="3703">
      <c r="A3703" s="55"/>
      <c r="B3703" s="119" t="s">
        <v>35175</v>
      </c>
      <c r="C3703" s="120" t="s">
        <v>4288</v>
      </c>
      <c r="D3703" s="33" t="s">
        <v>35143</v>
      </c>
      <c r="E3703" s="51" t="s">
        <v>742</v>
      </c>
      <c r="F3703" s="121" t="s">
        <v>3009</v>
      </c>
      <c r="G3703" s="98" t="str">
        <f>HYPERLINK("http://mirror.ff7data.com.ar/ff7/data/battle/battle.lgp/gqbj.png","View Picture")</f>
        <v>View Picture</v>
      </c>
    </row>
    <row r="3704">
      <c r="A3704" s="55"/>
      <c r="B3704" s="119" t="s">
        <v>35177</v>
      </c>
      <c r="C3704" s="120" t="s">
        <v>4288</v>
      </c>
      <c r="D3704" s="33" t="s">
        <v>35143</v>
      </c>
      <c r="E3704" s="51" t="s">
        <v>742</v>
      </c>
      <c r="F3704" s="121" t="s">
        <v>3009</v>
      </c>
      <c r="G3704" s="98" t="str">
        <f>HYPERLINK("http://mirror.ff7data.com.ar/ff7/data/battle/battle.lgp/gqbl.png","View Picture")</f>
        <v>View Picture</v>
      </c>
    </row>
    <row r="3705">
      <c r="A3705" s="55"/>
      <c r="B3705" s="119" t="s">
        <v>35180</v>
      </c>
      <c r="C3705" s="120" t="s">
        <v>4288</v>
      </c>
      <c r="D3705" s="33" t="s">
        <v>35143</v>
      </c>
      <c r="E3705" s="51" t="s">
        <v>742</v>
      </c>
      <c r="F3705" s="121" t="s">
        <v>3009</v>
      </c>
      <c r="G3705" s="98" t="str">
        <f>HYPERLINK("http://mirror.ff7data.com.ar/ff7/data/battle/battle.lgp/gqbn.png","View Picture")</f>
        <v>View Picture</v>
      </c>
    </row>
    <row r="3706">
      <c r="A3706" s="55"/>
      <c r="B3706" s="119" t="s">
        <v>35182</v>
      </c>
      <c r="C3706" s="120" t="s">
        <v>6029</v>
      </c>
      <c r="D3706" s="33" t="s">
        <v>35143</v>
      </c>
      <c r="E3706" s="51" t="s">
        <v>742</v>
      </c>
      <c r="F3706" s="121" t="s">
        <v>3009</v>
      </c>
      <c r="G3706" s="98" t="str">
        <f>HYPERLINK("http://mirror.ff7data.com.ar/ff7/data/battle/battle.lgp/gqbp.png","View Picture")</f>
        <v>View Picture</v>
      </c>
    </row>
    <row r="3707">
      <c r="A3707" s="55"/>
      <c r="B3707" s="119" t="s">
        <v>35183</v>
      </c>
      <c r="C3707" s="120" t="s">
        <v>5419</v>
      </c>
      <c r="D3707" s="33" t="s">
        <v>35143</v>
      </c>
      <c r="E3707" s="51" t="s">
        <v>742</v>
      </c>
      <c r="F3707" s="121" t="s">
        <v>3009</v>
      </c>
      <c r="G3707" s="98" t="str">
        <f>HYPERLINK("http://mirror.ff7data.com.ar/ff7/data/battle/battle.lgp/gqbq.png","View Picture")</f>
        <v>View Picture</v>
      </c>
    </row>
    <row r="3708">
      <c r="A3708" s="55"/>
      <c r="B3708" s="119" t="s">
        <v>35187</v>
      </c>
      <c r="C3708" s="120" t="s">
        <v>4439</v>
      </c>
      <c r="D3708" s="33" t="s">
        <v>35143</v>
      </c>
      <c r="E3708" s="51" t="s">
        <v>742</v>
      </c>
      <c r="F3708" s="121" t="s">
        <v>3009</v>
      </c>
      <c r="G3708" s="98" t="str">
        <f>HYPERLINK("http://mirror.ff7data.com.ar/ff7/data/battle/battle.lgp/gqbr.png","View Picture")</f>
        <v>View Picture</v>
      </c>
    </row>
    <row r="3709">
      <c r="A3709" s="55"/>
      <c r="B3709" s="119" t="s">
        <v>35188</v>
      </c>
      <c r="C3709" s="120" t="s">
        <v>4185</v>
      </c>
      <c r="D3709" s="33" t="s">
        <v>35143</v>
      </c>
      <c r="E3709" s="51" t="s">
        <v>742</v>
      </c>
      <c r="F3709" s="121" t="s">
        <v>3009</v>
      </c>
      <c r="G3709" s="98" t="str">
        <f>HYPERLINK("http://mirror.ff7data.com.ar/ff7/data/battle/battle.lgp/gqbs.png","View Picture")</f>
        <v>View Picture</v>
      </c>
    </row>
    <row r="3710">
      <c r="A3710" s="55"/>
      <c r="B3710" s="119" t="s">
        <v>35189</v>
      </c>
      <c r="C3710" s="120" t="s">
        <v>6029</v>
      </c>
      <c r="D3710" s="33" t="s">
        <v>35143</v>
      </c>
      <c r="E3710" s="51" t="s">
        <v>742</v>
      </c>
      <c r="F3710" s="121" t="s">
        <v>3009</v>
      </c>
      <c r="G3710" s="98" t="str">
        <f>HYPERLINK("http://mirror.ff7data.com.ar/ff7/data/battle/battle.lgp/gqbu.png","View Picture")</f>
        <v>View Picture</v>
      </c>
    </row>
    <row r="3711">
      <c r="A3711" s="55"/>
      <c r="B3711" s="119" t="s">
        <v>35190</v>
      </c>
      <c r="C3711" s="120" t="s">
        <v>5419</v>
      </c>
      <c r="D3711" s="33" t="s">
        <v>35143</v>
      </c>
      <c r="E3711" s="51" t="s">
        <v>742</v>
      </c>
      <c r="F3711" s="121" t="s">
        <v>3009</v>
      </c>
      <c r="G3711" s="98" t="str">
        <f>HYPERLINK("http://mirror.ff7data.com.ar/ff7/data/battle/battle.lgp/gqbv.png","View Picture")</f>
        <v>View Picture</v>
      </c>
    </row>
    <row r="3712">
      <c r="A3712" s="55"/>
      <c r="B3712" s="119" t="s">
        <v>35192</v>
      </c>
      <c r="C3712" s="120" t="s">
        <v>4439</v>
      </c>
      <c r="D3712" s="33" t="s">
        <v>35143</v>
      </c>
      <c r="E3712" s="51" t="s">
        <v>742</v>
      </c>
      <c r="F3712" s="121" t="s">
        <v>3009</v>
      </c>
      <c r="G3712" s="98" t="str">
        <f>HYPERLINK("http://mirror.ff7data.com.ar/ff7/data/battle/battle.lgp/gqbw.png","View Picture")</f>
        <v>View Picture</v>
      </c>
    </row>
    <row r="3713">
      <c r="A3713" s="55"/>
      <c r="B3713" s="119" t="s">
        <v>35193</v>
      </c>
      <c r="C3713" s="120" t="s">
        <v>4185</v>
      </c>
      <c r="D3713" s="33" t="s">
        <v>35143</v>
      </c>
      <c r="E3713" s="51" t="s">
        <v>742</v>
      </c>
      <c r="F3713" s="121" t="s">
        <v>3009</v>
      </c>
      <c r="G3713" s="98" t="str">
        <f>HYPERLINK("http://mirror.ff7data.com.ar/ff7/data/battle/battle.lgp/gqbx.png","View Picture")</f>
        <v>View Picture</v>
      </c>
    </row>
    <row r="3714">
      <c r="A3714" s="55"/>
      <c r="B3714" s="119" t="s">
        <v>35196</v>
      </c>
      <c r="C3714" s="120" t="s">
        <v>14030</v>
      </c>
      <c r="D3714" s="33" t="s">
        <v>35143</v>
      </c>
      <c r="E3714" s="51" t="s">
        <v>742</v>
      </c>
      <c r="F3714" s="121" t="s">
        <v>3025</v>
      </c>
      <c r="H3714" s="46" t="s">
        <v>3002</v>
      </c>
    </row>
    <row r="3715">
      <c r="A3715" s="21"/>
      <c r="B3715" s="119" t="s">
        <v>35197</v>
      </c>
      <c r="C3715" s="120" t="s">
        <v>4196</v>
      </c>
      <c r="D3715" s="33" t="s">
        <v>35198</v>
      </c>
      <c r="E3715" s="51" t="s">
        <v>747</v>
      </c>
      <c r="F3715" s="121" t="s">
        <v>2971</v>
      </c>
      <c r="G3715" s="98" t="str">
        <f>HYPERLINK("http://mirror.ff7data.com.ar/ff7/data/battle/battle.lgp/graa.png","View Picture")</f>
        <v>View Picture</v>
      </c>
      <c r="H3715" s="46" t="s">
        <v>35200</v>
      </c>
    </row>
    <row r="3716">
      <c r="A3716" s="55"/>
      <c r="B3716" s="119" t="s">
        <v>35201</v>
      </c>
      <c r="C3716" s="120" t="s">
        <v>4846</v>
      </c>
      <c r="D3716" s="33" t="s">
        <v>35202</v>
      </c>
      <c r="E3716" s="51" t="s">
        <v>747</v>
      </c>
      <c r="F3716" s="121" t="s">
        <v>2993</v>
      </c>
      <c r="H3716" s="46" t="s">
        <v>3002</v>
      </c>
    </row>
    <row r="3717">
      <c r="A3717" s="55"/>
      <c r="B3717" s="119" t="s">
        <v>35204</v>
      </c>
      <c r="C3717" s="120" t="s">
        <v>4372</v>
      </c>
      <c r="D3717" s="33" t="s">
        <v>35202</v>
      </c>
      <c r="E3717" s="51" t="s">
        <v>747</v>
      </c>
      <c r="F3717" s="121" t="s">
        <v>3009</v>
      </c>
      <c r="G3717" s="98" t="str">
        <f>HYPERLINK("http://mirror.ff7data.com.ar/ff7/data/battle/battle.lgp/gram.png","View Picture")</f>
        <v>View Picture</v>
      </c>
    </row>
    <row r="3718">
      <c r="A3718" s="55"/>
      <c r="B3718" s="119" t="s">
        <v>35205</v>
      </c>
      <c r="C3718" s="120" t="s">
        <v>7894</v>
      </c>
      <c r="D3718" s="33" t="s">
        <v>35202</v>
      </c>
      <c r="E3718" s="51" t="s">
        <v>747</v>
      </c>
      <c r="F3718" s="121" t="s">
        <v>3009</v>
      </c>
      <c r="G3718" s="98" t="str">
        <f>HYPERLINK("http://mirror.ff7data.com.ar/ff7/data/battle/battle.lgp/gran.png","View Picture")</f>
        <v>View Picture</v>
      </c>
    </row>
    <row r="3719">
      <c r="A3719" s="55"/>
      <c r="B3719" s="119" t="s">
        <v>35207</v>
      </c>
      <c r="C3719" s="120" t="s">
        <v>7129</v>
      </c>
      <c r="D3719" s="33" t="s">
        <v>35202</v>
      </c>
      <c r="E3719" s="51" t="s">
        <v>747</v>
      </c>
      <c r="F3719" s="121" t="s">
        <v>3009</v>
      </c>
      <c r="G3719" s="98" t="str">
        <f>HYPERLINK("http://mirror.ff7data.com.ar/ff7/data/battle/battle.lgp/grao.png","View Picture")</f>
        <v>View Picture</v>
      </c>
    </row>
    <row r="3720">
      <c r="A3720" s="55"/>
      <c r="B3720" s="119" t="s">
        <v>35210</v>
      </c>
      <c r="C3720" s="120" t="s">
        <v>3658</v>
      </c>
      <c r="D3720" s="33" t="s">
        <v>35202</v>
      </c>
      <c r="E3720" s="51" t="s">
        <v>747</v>
      </c>
      <c r="F3720" s="121" t="s">
        <v>3009</v>
      </c>
      <c r="G3720" s="98" t="str">
        <f>HYPERLINK("http://mirror.ff7data.com.ar/ff7/data/battle/battle.lgp/grar.png","View Picture")</f>
        <v>View Picture</v>
      </c>
    </row>
    <row r="3721">
      <c r="A3721" s="55"/>
      <c r="B3721" s="119" t="s">
        <v>35211</v>
      </c>
      <c r="C3721" s="120" t="s">
        <v>4707</v>
      </c>
      <c r="D3721" s="33" t="s">
        <v>35202</v>
      </c>
      <c r="E3721" s="51" t="s">
        <v>747</v>
      </c>
      <c r="F3721" s="121" t="s">
        <v>3009</v>
      </c>
      <c r="G3721" s="98" t="str">
        <f>HYPERLINK("http://mirror.ff7data.com.ar/ff7/data/battle/battle.lgp/gras.png","View Picture")</f>
        <v>View Picture</v>
      </c>
    </row>
    <row r="3722">
      <c r="A3722" s="55"/>
      <c r="B3722" s="119" t="s">
        <v>35214</v>
      </c>
      <c r="C3722" s="120" t="s">
        <v>3853</v>
      </c>
      <c r="D3722" s="33" t="s">
        <v>35202</v>
      </c>
      <c r="E3722" s="51" t="s">
        <v>747</v>
      </c>
      <c r="F3722" s="121" t="s">
        <v>3009</v>
      </c>
      <c r="G3722" s="98" t="str">
        <f>HYPERLINK("http://mirror.ff7data.com.ar/ff7/data/battle/battle.lgp/grat.png","View Picture")</f>
        <v>View Picture</v>
      </c>
    </row>
    <row r="3723">
      <c r="A3723" s="55"/>
      <c r="B3723" s="119" t="s">
        <v>35215</v>
      </c>
      <c r="C3723" s="120" t="s">
        <v>3658</v>
      </c>
      <c r="D3723" s="33" t="s">
        <v>35202</v>
      </c>
      <c r="E3723" s="51" t="s">
        <v>747</v>
      </c>
      <c r="F3723" s="121" t="s">
        <v>3009</v>
      </c>
      <c r="G3723" s="98" t="str">
        <f>HYPERLINK("http://mirror.ff7data.com.ar/ff7/data/battle/battle.lgp/gray.png","View Picture")</f>
        <v>View Picture</v>
      </c>
    </row>
    <row r="3724">
      <c r="A3724" s="55"/>
      <c r="B3724" s="119" t="s">
        <v>35217</v>
      </c>
      <c r="C3724" s="120" t="s">
        <v>4707</v>
      </c>
      <c r="D3724" s="33" t="s">
        <v>35202</v>
      </c>
      <c r="E3724" s="51" t="s">
        <v>747</v>
      </c>
      <c r="F3724" s="121" t="s">
        <v>3009</v>
      </c>
      <c r="G3724" s="98" t="str">
        <f>HYPERLINK("http://mirror.ff7data.com.ar/ff7/data/battle/battle.lgp/graz.png","View Picture")</f>
        <v>View Picture</v>
      </c>
    </row>
    <row r="3725">
      <c r="A3725" s="55"/>
      <c r="B3725" s="119" t="s">
        <v>35219</v>
      </c>
      <c r="C3725" s="120" t="s">
        <v>3749</v>
      </c>
      <c r="D3725" s="33" t="s">
        <v>35202</v>
      </c>
      <c r="E3725" s="51" t="s">
        <v>747</v>
      </c>
      <c r="F3725" s="121" t="s">
        <v>3009</v>
      </c>
      <c r="G3725" s="98" t="str">
        <f>HYPERLINK("http://mirror.ff7data.com.ar/ff7/data/battle/battle.lgp/grba.png","View Picture")</f>
        <v>View Picture</v>
      </c>
    </row>
    <row r="3726">
      <c r="A3726" s="55"/>
      <c r="B3726" s="119" t="s">
        <v>35222</v>
      </c>
      <c r="C3726" s="120" t="s">
        <v>5419</v>
      </c>
      <c r="D3726" s="33" t="s">
        <v>35202</v>
      </c>
      <c r="E3726" s="51" t="s">
        <v>747</v>
      </c>
      <c r="F3726" s="121" t="s">
        <v>3009</v>
      </c>
      <c r="G3726" s="98" t="str">
        <f>HYPERLINK("http://mirror.ff7data.com.ar/ff7/data/battle/battle.lgp/grbc.png","View Picture")</f>
        <v>View Picture</v>
      </c>
    </row>
    <row r="3727">
      <c r="A3727" s="55"/>
      <c r="B3727" s="119" t="s">
        <v>35225</v>
      </c>
      <c r="C3727" s="120" t="s">
        <v>4357</v>
      </c>
      <c r="D3727" s="33" t="s">
        <v>35202</v>
      </c>
      <c r="E3727" s="51" t="s">
        <v>747</v>
      </c>
      <c r="F3727" s="121" t="s">
        <v>3009</v>
      </c>
      <c r="G3727" s="98" t="str">
        <f>HYPERLINK("http://mirror.ff7data.com.ar/ff7/data/battle/battle.lgp/grbd.png","View Picture")</f>
        <v>View Picture</v>
      </c>
    </row>
    <row r="3728">
      <c r="A3728" s="55"/>
      <c r="B3728" s="119" t="s">
        <v>35227</v>
      </c>
      <c r="C3728" s="120" t="s">
        <v>4439</v>
      </c>
      <c r="D3728" s="33" t="s">
        <v>35202</v>
      </c>
      <c r="E3728" s="51" t="s">
        <v>747</v>
      </c>
      <c r="F3728" s="121" t="s">
        <v>3009</v>
      </c>
      <c r="G3728" s="98" t="str">
        <f>HYPERLINK("http://mirror.ff7data.com.ar/ff7/data/battle/battle.lgp/grbe.png","View Picture")</f>
        <v>View Picture</v>
      </c>
    </row>
    <row r="3729">
      <c r="A3729" s="55"/>
      <c r="B3729" s="119" t="s">
        <v>35229</v>
      </c>
      <c r="C3729" s="120" t="s">
        <v>4288</v>
      </c>
      <c r="D3729" s="33" t="s">
        <v>35202</v>
      </c>
      <c r="E3729" s="51" t="s">
        <v>747</v>
      </c>
      <c r="F3729" s="121" t="s">
        <v>3009</v>
      </c>
      <c r="G3729" s="98" t="str">
        <f>HYPERLINK("http://mirror.ff7data.com.ar/ff7/data/battle/battle.lgp/grbf.png","View Picture")</f>
        <v>View Picture</v>
      </c>
    </row>
    <row r="3730">
      <c r="A3730" s="55"/>
      <c r="B3730" s="119" t="s">
        <v>35230</v>
      </c>
      <c r="C3730" s="120" t="s">
        <v>4357</v>
      </c>
      <c r="D3730" s="33" t="s">
        <v>35202</v>
      </c>
      <c r="E3730" s="51" t="s">
        <v>747</v>
      </c>
      <c r="F3730" s="121" t="s">
        <v>3009</v>
      </c>
      <c r="G3730" s="98" t="str">
        <f>HYPERLINK("http://mirror.ff7data.com.ar/ff7/data/battle/battle.lgp/grbh.png","View Picture")</f>
        <v>View Picture</v>
      </c>
    </row>
    <row r="3731">
      <c r="A3731" s="55"/>
      <c r="B3731" s="119" t="s">
        <v>35232</v>
      </c>
      <c r="C3731" s="120" t="s">
        <v>4057</v>
      </c>
      <c r="D3731" s="33" t="s">
        <v>35202</v>
      </c>
      <c r="E3731" s="51" t="s">
        <v>747</v>
      </c>
      <c r="F3731" s="121" t="s">
        <v>3009</v>
      </c>
      <c r="G3731" s="98" t="str">
        <f>HYPERLINK("http://mirror.ff7data.com.ar/ff7/data/battle/battle.lgp/grbi.png","View Picture")</f>
        <v>View Picture</v>
      </c>
    </row>
    <row r="3732">
      <c r="A3732" s="55"/>
      <c r="B3732" s="119" t="s">
        <v>35234</v>
      </c>
      <c r="C3732" s="120" t="s">
        <v>4439</v>
      </c>
      <c r="D3732" s="33" t="s">
        <v>35202</v>
      </c>
      <c r="E3732" s="51" t="s">
        <v>747</v>
      </c>
      <c r="F3732" s="121" t="s">
        <v>3009</v>
      </c>
      <c r="G3732" s="98" t="str">
        <f>HYPERLINK("http://mirror.ff7data.com.ar/ff7/data/battle/battle.lgp/grbj.png","View Picture")</f>
        <v>View Picture</v>
      </c>
    </row>
    <row r="3733">
      <c r="A3733" s="55"/>
      <c r="B3733" s="119" t="s">
        <v>35235</v>
      </c>
      <c r="C3733" s="120" t="s">
        <v>4288</v>
      </c>
      <c r="D3733" s="33" t="s">
        <v>35202</v>
      </c>
      <c r="E3733" s="51" t="s">
        <v>747</v>
      </c>
      <c r="F3733" s="121" t="s">
        <v>3009</v>
      </c>
      <c r="G3733" s="98" t="str">
        <f>HYPERLINK("http://mirror.ff7data.com.ar/ff7/data/battle/battle.lgp/grbk.png","View Picture")</f>
        <v>View Picture</v>
      </c>
    </row>
    <row r="3734">
      <c r="A3734" s="55"/>
      <c r="B3734" s="119" t="s">
        <v>35238</v>
      </c>
      <c r="C3734" s="120" t="s">
        <v>4288</v>
      </c>
      <c r="D3734" s="33" t="s">
        <v>35202</v>
      </c>
      <c r="E3734" s="51" t="s">
        <v>747</v>
      </c>
      <c r="F3734" s="121" t="s">
        <v>3009</v>
      </c>
      <c r="G3734" s="98" t="str">
        <f>HYPERLINK("http://mirror.ff7data.com.ar/ff7/data/battle/battle.lgp/grck.png","View Picture")</f>
        <v>View Picture</v>
      </c>
    </row>
    <row r="3735">
      <c r="A3735" s="55"/>
      <c r="B3735" s="119" t="s">
        <v>35241</v>
      </c>
      <c r="C3735" s="120" t="s">
        <v>5925</v>
      </c>
      <c r="D3735" s="33" t="s">
        <v>35202</v>
      </c>
      <c r="E3735" s="51" t="s">
        <v>747</v>
      </c>
      <c r="F3735" s="121" t="s">
        <v>3025</v>
      </c>
      <c r="H3735" s="46" t="s">
        <v>3002</v>
      </c>
    </row>
    <row r="3736">
      <c r="A3736" s="21"/>
      <c r="B3736" s="119" t="s">
        <v>35242</v>
      </c>
      <c r="C3736" s="120" t="s">
        <v>8004</v>
      </c>
      <c r="D3736" s="33" t="s">
        <v>35243</v>
      </c>
      <c r="E3736" s="51" t="s">
        <v>752</v>
      </c>
      <c r="F3736" s="121" t="s">
        <v>2971</v>
      </c>
      <c r="G3736" s="98" t="str">
        <f>HYPERLINK("http://mirror.ff7data.com.ar/ff7/data/battle/battle.lgp/gsaa.png","View Picture")</f>
        <v>View Picture</v>
      </c>
    </row>
    <row r="3737">
      <c r="A3737" s="55"/>
      <c r="B3737" s="119" t="s">
        <v>35245</v>
      </c>
      <c r="C3737" s="120" t="s">
        <v>4209</v>
      </c>
      <c r="D3737" s="33" t="s">
        <v>35246</v>
      </c>
      <c r="E3737" s="51" t="s">
        <v>752</v>
      </c>
      <c r="F3737" s="121" t="s">
        <v>2993</v>
      </c>
      <c r="H3737" s="46" t="s">
        <v>3002</v>
      </c>
    </row>
    <row r="3738">
      <c r="A3738" s="55"/>
      <c r="B3738" s="119" t="s">
        <v>35247</v>
      </c>
      <c r="C3738" s="120" t="s">
        <v>4191</v>
      </c>
      <c r="D3738" s="33" t="s">
        <v>35248</v>
      </c>
      <c r="E3738" s="51" t="s">
        <v>752</v>
      </c>
      <c r="F3738" s="121" t="s">
        <v>1348</v>
      </c>
      <c r="G3738" s="98" t="str">
        <f>HYPERLINK("http://mirror.ff7data.com.ar/ff7/data/battle/battle.lgp/gsac.png","View Picture")</f>
        <v>View Picture</v>
      </c>
    </row>
    <row r="3739">
      <c r="A3739" s="55"/>
      <c r="B3739" s="119" t="s">
        <v>35250</v>
      </c>
      <c r="C3739" s="120" t="s">
        <v>4191</v>
      </c>
      <c r="D3739" s="33" t="s">
        <v>35248</v>
      </c>
      <c r="E3739" s="51" t="s">
        <v>752</v>
      </c>
      <c r="F3739" s="121" t="s">
        <v>3009</v>
      </c>
      <c r="G3739" s="98" t="str">
        <f>HYPERLINK("http://mirror.ff7data.com.ar/ff7/data/battle/battle.lgp/gsad.png","View Picture")</f>
        <v>View Picture</v>
      </c>
    </row>
    <row r="3740">
      <c r="A3740" s="55"/>
      <c r="B3740" s="119" t="s">
        <v>35252</v>
      </c>
      <c r="C3740" s="120" t="s">
        <v>3749</v>
      </c>
      <c r="D3740" s="33" t="s">
        <v>35246</v>
      </c>
      <c r="E3740" s="51" t="s">
        <v>752</v>
      </c>
      <c r="F3740" s="121" t="s">
        <v>3009</v>
      </c>
      <c r="G3740" s="98" t="str">
        <f>HYPERLINK("http://mirror.ff7data.com.ar/ff7/data/battle/battle.lgp/gsam.png","View Picture")</f>
        <v>View Picture</v>
      </c>
    </row>
    <row r="3741">
      <c r="A3741" s="55"/>
      <c r="B3741" s="119" t="s">
        <v>35253</v>
      </c>
      <c r="C3741" s="120" t="s">
        <v>4146</v>
      </c>
      <c r="D3741" s="33" t="s">
        <v>35246</v>
      </c>
      <c r="E3741" s="51" t="s">
        <v>752</v>
      </c>
      <c r="F3741" s="121" t="s">
        <v>3009</v>
      </c>
      <c r="G3741" s="98" t="str">
        <f>HYPERLINK("http://mirror.ff7data.com.ar/ff7/data/battle/battle.lgp/gsan.png","View Picture")</f>
        <v>View Picture</v>
      </c>
    </row>
    <row r="3742">
      <c r="A3742" s="55"/>
      <c r="B3742" s="119" t="s">
        <v>35255</v>
      </c>
      <c r="C3742" s="120" t="s">
        <v>4264</v>
      </c>
      <c r="D3742" s="33" t="s">
        <v>35246</v>
      </c>
      <c r="E3742" s="51" t="s">
        <v>752</v>
      </c>
      <c r="F3742" s="121" t="s">
        <v>3009</v>
      </c>
      <c r="G3742" s="98" t="str">
        <f>HYPERLINK("http://mirror.ff7data.com.ar/ff7/data/battle/battle.lgp/gsap.png","View Picture")</f>
        <v>View Picture</v>
      </c>
    </row>
    <row r="3743">
      <c r="A3743" s="55"/>
      <c r="B3743" s="119" t="s">
        <v>35257</v>
      </c>
      <c r="C3743" s="120" t="s">
        <v>4057</v>
      </c>
      <c r="D3743" s="33" t="s">
        <v>35246</v>
      </c>
      <c r="E3743" s="51" t="s">
        <v>752</v>
      </c>
      <c r="F3743" s="121" t="s">
        <v>3009</v>
      </c>
      <c r="G3743" s="98" t="str">
        <f>HYPERLINK("http://mirror.ff7data.com.ar/ff7/data/battle/battle.lgp/gsaq.png","View Picture")</f>
        <v>View Picture</v>
      </c>
    </row>
    <row r="3744">
      <c r="A3744" s="55"/>
      <c r="B3744" s="119" t="s">
        <v>35258</v>
      </c>
      <c r="C3744" s="120" t="s">
        <v>4191</v>
      </c>
      <c r="D3744" s="33" t="s">
        <v>35246</v>
      </c>
      <c r="E3744" s="51" t="s">
        <v>752</v>
      </c>
      <c r="F3744" s="121" t="s">
        <v>3009</v>
      </c>
      <c r="G3744" s="98" t="str">
        <f>HYPERLINK("http://mirror.ff7data.com.ar/ff7/data/battle/battle.lgp/gsat.png","View Picture")</f>
        <v>View Picture</v>
      </c>
    </row>
    <row r="3745">
      <c r="A3745" s="55"/>
      <c r="B3745" s="119" t="s">
        <v>35260</v>
      </c>
      <c r="C3745" s="120" t="s">
        <v>7148</v>
      </c>
      <c r="D3745" s="33" t="s">
        <v>35246</v>
      </c>
      <c r="E3745" s="51" t="s">
        <v>752</v>
      </c>
      <c r="F3745" s="121" t="s">
        <v>3009</v>
      </c>
      <c r="G3745" s="98" t="str">
        <f>HYPERLINK("http://mirror.ff7data.com.ar/ff7/data/battle/battle.lgp/gsav.png","View Picture")</f>
        <v>View Picture</v>
      </c>
    </row>
    <row r="3746">
      <c r="A3746" s="55"/>
      <c r="B3746" s="119" t="s">
        <v>35262</v>
      </c>
      <c r="C3746" s="120" t="s">
        <v>7148</v>
      </c>
      <c r="D3746" s="33" t="s">
        <v>35246</v>
      </c>
      <c r="E3746" s="51" t="s">
        <v>752</v>
      </c>
      <c r="F3746" s="121" t="s">
        <v>3009</v>
      </c>
      <c r="G3746" s="98" t="str">
        <f>HYPERLINK("http://mirror.ff7data.com.ar/ff7/data/battle/battle.lgp/gsaw.png","View Picture")</f>
        <v>View Picture</v>
      </c>
    </row>
    <row r="3747">
      <c r="A3747" s="55"/>
      <c r="B3747" s="119" t="s">
        <v>35264</v>
      </c>
      <c r="C3747" s="120" t="s">
        <v>7148</v>
      </c>
      <c r="D3747" s="33" t="s">
        <v>35246</v>
      </c>
      <c r="E3747" s="51" t="s">
        <v>752</v>
      </c>
      <c r="F3747" s="121" t="s">
        <v>3009</v>
      </c>
      <c r="G3747" s="98" t="str">
        <f>HYPERLINK("http://mirror.ff7data.com.ar/ff7/data/battle/battle.lgp/gsax.png","View Picture")</f>
        <v>View Picture</v>
      </c>
    </row>
    <row r="3748">
      <c r="A3748" s="55"/>
      <c r="B3748" s="119" t="s">
        <v>35265</v>
      </c>
      <c r="C3748" s="120" t="s">
        <v>4883</v>
      </c>
      <c r="D3748" s="33" t="s">
        <v>35246</v>
      </c>
      <c r="E3748" s="51" t="s">
        <v>752</v>
      </c>
      <c r="F3748" s="121" t="s">
        <v>3009</v>
      </c>
      <c r="G3748" s="98" t="str">
        <f>HYPERLINK("http://mirror.ff7data.com.ar/ff7/data/battle/battle.lgp/gsay.png","View Picture")</f>
        <v>View Picture</v>
      </c>
    </row>
    <row r="3749">
      <c r="A3749" s="55"/>
      <c r="B3749" s="119" t="s">
        <v>35267</v>
      </c>
      <c r="C3749" s="120" t="s">
        <v>10078</v>
      </c>
      <c r="D3749" s="33" t="s">
        <v>35246</v>
      </c>
      <c r="E3749" s="51" t="s">
        <v>752</v>
      </c>
      <c r="F3749" s="121" t="s">
        <v>3009</v>
      </c>
      <c r="G3749" s="98" t="str">
        <f>HYPERLINK("http://mirror.ff7data.com.ar/ff7/data/battle/battle.lgp/gsbb.png","View Picture")</f>
        <v>View Picture</v>
      </c>
    </row>
    <row r="3750">
      <c r="A3750" s="55"/>
      <c r="B3750" s="119" t="s">
        <v>35269</v>
      </c>
      <c r="C3750" s="120" t="s">
        <v>4732</v>
      </c>
      <c r="D3750" s="33" t="s">
        <v>35246</v>
      </c>
      <c r="E3750" s="51" t="s">
        <v>752</v>
      </c>
      <c r="F3750" s="121" t="s">
        <v>3009</v>
      </c>
      <c r="G3750" s="98" t="str">
        <f>HYPERLINK("http://mirror.ff7data.com.ar/ff7/data/battle/battle.lgp/gsbd.png","View Picture")</f>
        <v>View Picture</v>
      </c>
    </row>
    <row r="3751">
      <c r="A3751" s="55"/>
      <c r="B3751" s="119" t="s">
        <v>35271</v>
      </c>
      <c r="C3751" s="120" t="s">
        <v>4288</v>
      </c>
      <c r="D3751" s="33" t="s">
        <v>35246</v>
      </c>
      <c r="E3751" s="51" t="s">
        <v>752</v>
      </c>
      <c r="F3751" s="121" t="s">
        <v>3009</v>
      </c>
      <c r="G3751" s="98" t="str">
        <f>HYPERLINK("http://mirror.ff7data.com.ar/ff7/data/battle/battle.lgp/gsbe.png","View Picture")</f>
        <v>View Picture</v>
      </c>
    </row>
    <row r="3752">
      <c r="A3752" s="55"/>
      <c r="B3752" s="119" t="s">
        <v>35273</v>
      </c>
      <c r="C3752" s="120" t="s">
        <v>4057</v>
      </c>
      <c r="D3752" s="33" t="s">
        <v>35246</v>
      </c>
      <c r="E3752" s="51" t="s">
        <v>752</v>
      </c>
      <c r="F3752" s="121" t="s">
        <v>3009</v>
      </c>
      <c r="G3752" s="98" t="str">
        <f>HYPERLINK("http://mirror.ff7data.com.ar/ff7/data/battle/battle.lgp/gsbf.png","View Picture")</f>
        <v>View Picture</v>
      </c>
    </row>
    <row r="3753">
      <c r="A3753" s="55"/>
      <c r="B3753" s="119" t="s">
        <v>35277</v>
      </c>
      <c r="C3753" s="120" t="s">
        <v>4732</v>
      </c>
      <c r="D3753" s="33" t="s">
        <v>35246</v>
      </c>
      <c r="E3753" s="51" t="s">
        <v>752</v>
      </c>
      <c r="F3753" s="121" t="s">
        <v>3009</v>
      </c>
      <c r="G3753" s="98" t="str">
        <f>HYPERLINK("http://mirror.ff7data.com.ar/ff7/data/battle/battle.lgp/gsbh.png","View Picture")</f>
        <v>View Picture</v>
      </c>
    </row>
    <row r="3754">
      <c r="A3754" s="55"/>
      <c r="B3754" s="119" t="s">
        <v>35280</v>
      </c>
      <c r="C3754" s="120" t="s">
        <v>4288</v>
      </c>
      <c r="D3754" s="33" t="s">
        <v>35246</v>
      </c>
      <c r="E3754" s="51" t="s">
        <v>752</v>
      </c>
      <c r="F3754" s="121" t="s">
        <v>3009</v>
      </c>
      <c r="G3754" s="98" t="str">
        <f>HYPERLINK("http://mirror.ff7data.com.ar/ff7/data/battle/battle.lgp/gsbi.png","View Picture")</f>
        <v>View Picture</v>
      </c>
    </row>
    <row r="3755">
      <c r="A3755" s="55"/>
      <c r="B3755" s="119" t="s">
        <v>35282</v>
      </c>
      <c r="C3755" s="120" t="s">
        <v>4057</v>
      </c>
      <c r="D3755" s="33" t="s">
        <v>35246</v>
      </c>
      <c r="E3755" s="51" t="s">
        <v>752</v>
      </c>
      <c r="F3755" s="121" t="s">
        <v>3009</v>
      </c>
      <c r="G3755" s="98" t="str">
        <f>HYPERLINK("http://mirror.ff7data.com.ar/ff7/data/battle/battle.lgp/gsbj.png","View Picture")</f>
        <v>View Picture</v>
      </c>
    </row>
    <row r="3756">
      <c r="A3756" s="55"/>
      <c r="B3756" s="119" t="s">
        <v>35286</v>
      </c>
      <c r="C3756" s="120" t="s">
        <v>4288</v>
      </c>
      <c r="D3756" s="33" t="s">
        <v>35246</v>
      </c>
      <c r="E3756" s="51" t="s">
        <v>752</v>
      </c>
      <c r="F3756" s="121" t="s">
        <v>3009</v>
      </c>
      <c r="G3756" s="98" t="str">
        <f>HYPERLINK("http://mirror.ff7data.com.ar/ff7/data/battle/battle.lgp/gsbl.png","View Picture")</f>
        <v>View Picture</v>
      </c>
    </row>
    <row r="3757">
      <c r="A3757" s="55"/>
      <c r="B3757" s="119" t="s">
        <v>35288</v>
      </c>
      <c r="C3757" s="120" t="s">
        <v>7148</v>
      </c>
      <c r="D3757" s="33" t="s">
        <v>35246</v>
      </c>
      <c r="E3757" s="51" t="s">
        <v>752</v>
      </c>
      <c r="F3757" s="121" t="s">
        <v>3009</v>
      </c>
      <c r="G3757" s="98" t="str">
        <f>HYPERLINK("http://mirror.ff7data.com.ar/ff7/data/battle/battle.lgp/gsbm.png","View Picture")</f>
        <v>View Picture</v>
      </c>
    </row>
    <row r="3758">
      <c r="A3758" s="55"/>
      <c r="B3758" s="119" t="s">
        <v>35290</v>
      </c>
      <c r="C3758" s="120" t="s">
        <v>4185</v>
      </c>
      <c r="D3758" s="33" t="s">
        <v>35246</v>
      </c>
      <c r="E3758" s="51" t="s">
        <v>752</v>
      </c>
      <c r="F3758" s="121" t="s">
        <v>3009</v>
      </c>
      <c r="G3758" s="98" t="str">
        <f>HYPERLINK("http://mirror.ff7data.com.ar/ff7/data/battle/battle.lgp/gsbn.png","View Picture")</f>
        <v>View Picture</v>
      </c>
    </row>
    <row r="3759">
      <c r="A3759" s="55"/>
      <c r="B3759" s="119" t="s">
        <v>35292</v>
      </c>
      <c r="C3759" s="120" t="s">
        <v>4476</v>
      </c>
      <c r="D3759" s="33" t="s">
        <v>35246</v>
      </c>
      <c r="E3759" s="51" t="s">
        <v>752</v>
      </c>
      <c r="F3759" s="121" t="s">
        <v>3009</v>
      </c>
      <c r="G3759" s="98" t="str">
        <f>HYPERLINK("http://mirror.ff7data.com.ar/ff7/data/battle/battle.lgp/gsbo.png","View Picture")</f>
        <v>View Picture</v>
      </c>
    </row>
    <row r="3760">
      <c r="A3760" s="55"/>
      <c r="B3760" s="119" t="s">
        <v>35294</v>
      </c>
      <c r="C3760" s="120" t="s">
        <v>4288</v>
      </c>
      <c r="D3760" s="33" t="s">
        <v>35246</v>
      </c>
      <c r="E3760" s="51" t="s">
        <v>752</v>
      </c>
      <c r="F3760" s="121" t="s">
        <v>3009</v>
      </c>
      <c r="G3760" s="98" t="str">
        <f>HYPERLINK("http://mirror.ff7data.com.ar/ff7/data/battle/battle.lgp/gsbq.png","View Picture")</f>
        <v>View Picture</v>
      </c>
    </row>
    <row r="3761">
      <c r="A3761" s="55"/>
      <c r="B3761" s="119" t="s">
        <v>35296</v>
      </c>
      <c r="C3761" s="120" t="s">
        <v>7148</v>
      </c>
      <c r="D3761" s="33" t="s">
        <v>35246</v>
      </c>
      <c r="E3761" s="51" t="s">
        <v>752</v>
      </c>
      <c r="F3761" s="121" t="s">
        <v>3009</v>
      </c>
      <c r="G3761" s="98" t="str">
        <f>HYPERLINK("http://mirror.ff7data.com.ar/ff7/data/battle/battle.lgp/gsbr.png","View Picture")</f>
        <v>View Picture</v>
      </c>
    </row>
    <row r="3762">
      <c r="A3762" s="55"/>
      <c r="B3762" s="119" t="s">
        <v>35298</v>
      </c>
      <c r="C3762" s="120" t="s">
        <v>4185</v>
      </c>
      <c r="D3762" s="33" t="s">
        <v>35246</v>
      </c>
      <c r="E3762" s="51" t="s">
        <v>752</v>
      </c>
      <c r="F3762" s="121" t="s">
        <v>3009</v>
      </c>
      <c r="G3762" s="98" t="str">
        <f>HYPERLINK("http://mirror.ff7data.com.ar/ff7/data/battle/battle.lgp/gsbs.png","View Picture")</f>
        <v>View Picture</v>
      </c>
    </row>
    <row r="3763">
      <c r="A3763" s="55"/>
      <c r="B3763" s="119" t="s">
        <v>35300</v>
      </c>
      <c r="C3763" s="120" t="s">
        <v>6029</v>
      </c>
      <c r="D3763" s="33" t="s">
        <v>35246</v>
      </c>
      <c r="E3763" s="51" t="s">
        <v>752</v>
      </c>
      <c r="F3763" s="121" t="s">
        <v>3009</v>
      </c>
      <c r="G3763" s="98" t="str">
        <f>HYPERLINK("http://mirror.ff7data.com.ar/ff7/data/battle/battle.lgp/gsbt.png","View Picture")</f>
        <v>View Picture</v>
      </c>
    </row>
    <row r="3764">
      <c r="A3764" s="55"/>
      <c r="B3764" s="119" t="s">
        <v>35302</v>
      </c>
      <c r="C3764" s="120" t="s">
        <v>4926</v>
      </c>
      <c r="D3764" s="33" t="s">
        <v>35246</v>
      </c>
      <c r="E3764" s="51" t="s">
        <v>752</v>
      </c>
      <c r="F3764" s="121" t="s">
        <v>3009</v>
      </c>
      <c r="G3764" s="98" t="str">
        <f>HYPERLINK("http://mirror.ff7data.com.ar/ff7/data/battle/battle.lgp/gsbu.png","View Picture")</f>
        <v>View Picture</v>
      </c>
    </row>
    <row r="3765">
      <c r="A3765" s="55"/>
      <c r="B3765" s="119" t="s">
        <v>35304</v>
      </c>
      <c r="C3765" s="120" t="s">
        <v>4926</v>
      </c>
      <c r="D3765" s="33" t="s">
        <v>35246</v>
      </c>
      <c r="E3765" s="51" t="s">
        <v>752</v>
      </c>
      <c r="F3765" s="121" t="s">
        <v>3009</v>
      </c>
      <c r="G3765" s="98" t="str">
        <f>HYPERLINK("http://mirror.ff7data.com.ar/ff7/data/battle/battle.lgp/gsbv.png","View Picture")</f>
        <v>View Picture</v>
      </c>
    </row>
    <row r="3766">
      <c r="A3766" s="55"/>
      <c r="B3766" s="119" t="s">
        <v>35306</v>
      </c>
      <c r="C3766" s="120" t="s">
        <v>4926</v>
      </c>
      <c r="D3766" s="33" t="s">
        <v>35246</v>
      </c>
      <c r="E3766" s="51" t="s">
        <v>752</v>
      </c>
      <c r="F3766" s="121" t="s">
        <v>3009</v>
      </c>
      <c r="G3766" s="98" t="str">
        <f>HYPERLINK("http://mirror.ff7data.com.ar/ff7/data/battle/battle.lgp/gsbw.png","View Picture")</f>
        <v>View Picture</v>
      </c>
    </row>
    <row r="3767">
      <c r="A3767" s="55"/>
      <c r="B3767" s="119" t="s">
        <v>35308</v>
      </c>
      <c r="C3767" s="120" t="s">
        <v>9642</v>
      </c>
      <c r="D3767" s="33" t="s">
        <v>35246</v>
      </c>
      <c r="E3767" s="51" t="s">
        <v>752</v>
      </c>
      <c r="F3767" s="121" t="s">
        <v>3009</v>
      </c>
      <c r="G3767" s="98" t="str">
        <f>HYPERLINK("http://mirror.ff7data.com.ar/ff7/data/battle/battle.lgp/gsbx.png","View Picture")</f>
        <v>View Picture</v>
      </c>
    </row>
    <row r="3768">
      <c r="A3768" s="55"/>
      <c r="B3768" s="119" t="s">
        <v>35309</v>
      </c>
      <c r="C3768" s="120" t="s">
        <v>35310</v>
      </c>
      <c r="D3768" s="33" t="s">
        <v>35246</v>
      </c>
      <c r="E3768" s="51" t="s">
        <v>752</v>
      </c>
      <c r="F3768" s="121" t="s">
        <v>3009</v>
      </c>
      <c r="G3768" s="98" t="str">
        <f>HYPERLINK("http://mirror.ff7data.com.ar/ff7/data/battle/battle.lgp/gsby.png","View Picture")</f>
        <v>View Picture</v>
      </c>
    </row>
    <row r="3769">
      <c r="A3769" s="55"/>
      <c r="B3769" s="119" t="s">
        <v>35313</v>
      </c>
      <c r="C3769" s="120" t="s">
        <v>7081</v>
      </c>
      <c r="D3769" s="33" t="s">
        <v>35246</v>
      </c>
      <c r="E3769" s="51" t="s">
        <v>752</v>
      </c>
      <c r="F3769" s="121" t="s">
        <v>3025</v>
      </c>
      <c r="H3769" s="46" t="s">
        <v>3002</v>
      </c>
    </row>
    <row r="3770">
      <c r="A3770" s="21"/>
      <c r="B3770" s="119" t="s">
        <v>35314</v>
      </c>
      <c r="C3770" s="120" t="s">
        <v>2989</v>
      </c>
      <c r="D3770" s="33" t="s">
        <v>35315</v>
      </c>
      <c r="E3770" s="51" t="s">
        <v>758</v>
      </c>
      <c r="F3770" s="121" t="s">
        <v>2971</v>
      </c>
      <c r="G3770" s="98" t="str">
        <f>HYPERLINK("http://mirror.ff7data.com.ar/ff7/data/battle/battle.lgp/gtaa.png","View Picture")</f>
        <v>View Picture</v>
      </c>
    </row>
    <row r="3771">
      <c r="A3771" s="55"/>
      <c r="B3771" s="119" t="s">
        <v>35317</v>
      </c>
      <c r="C3771" s="120" t="s">
        <v>30662</v>
      </c>
      <c r="D3771" s="33" t="s">
        <v>35318</v>
      </c>
      <c r="E3771" s="51" t="s">
        <v>758</v>
      </c>
      <c r="F3771" s="121" t="s">
        <v>2993</v>
      </c>
      <c r="H3771" s="46" t="s">
        <v>3002</v>
      </c>
    </row>
    <row r="3772">
      <c r="A3772" s="55"/>
      <c r="B3772" s="119" t="s">
        <v>35319</v>
      </c>
      <c r="C3772" s="120" t="s">
        <v>3552</v>
      </c>
      <c r="D3772" s="33" t="s">
        <v>35320</v>
      </c>
      <c r="E3772" s="51" t="s">
        <v>758</v>
      </c>
      <c r="F3772" s="121" t="s">
        <v>3009</v>
      </c>
      <c r="G3772" s="98" t="str">
        <f>HYPERLINK("http://mirror.ff7data.com.ar/ff7/data/battle/battle.lgp/gtac.png","View Picture")</f>
        <v>View Picture</v>
      </c>
    </row>
    <row r="3773">
      <c r="A3773" s="55"/>
      <c r="B3773" s="119" t="s">
        <v>35322</v>
      </c>
      <c r="C3773" s="120" t="s">
        <v>3552</v>
      </c>
      <c r="D3773" s="33" t="s">
        <v>35320</v>
      </c>
      <c r="E3773" s="51" t="s">
        <v>758</v>
      </c>
      <c r="F3773" s="121" t="s">
        <v>3009</v>
      </c>
      <c r="G3773" s="98" t="str">
        <f>HYPERLINK("http://mirror.ff7data.com.ar/ff7/data/battle/battle.lgp/gtad.png","View Picture")</f>
        <v>View Picture</v>
      </c>
    </row>
    <row r="3774">
      <c r="A3774" s="55"/>
      <c r="B3774" s="119" t="s">
        <v>35323</v>
      </c>
      <c r="C3774" s="120" t="s">
        <v>4191</v>
      </c>
      <c r="D3774" s="33" t="s">
        <v>35320</v>
      </c>
      <c r="E3774" s="51" t="s">
        <v>758</v>
      </c>
      <c r="F3774" s="121" t="s">
        <v>3009</v>
      </c>
      <c r="G3774" s="98" t="str">
        <f>HYPERLINK("http://mirror.ff7data.com.ar/ff7/data/battle/battle.lgp/gtae.png","View Picture")</f>
        <v>View Picture</v>
      </c>
    </row>
    <row r="3775">
      <c r="A3775" s="55"/>
      <c r="B3775" s="119" t="s">
        <v>35325</v>
      </c>
      <c r="C3775" s="120" t="s">
        <v>3637</v>
      </c>
      <c r="D3775" s="33" t="s">
        <v>35318</v>
      </c>
      <c r="E3775" s="51" t="s">
        <v>758</v>
      </c>
      <c r="F3775" s="121" t="s">
        <v>3009</v>
      </c>
      <c r="G3775" s="98" t="str">
        <f>HYPERLINK("http://mirror.ff7data.com.ar/ff7/data/battle/battle.lgp/gtam.png","View Picture")</f>
        <v>View Picture</v>
      </c>
    </row>
    <row r="3776">
      <c r="A3776" s="55"/>
      <c r="B3776" s="119" t="s">
        <v>35326</v>
      </c>
      <c r="C3776" s="120" t="s">
        <v>4841</v>
      </c>
      <c r="D3776" s="33" t="s">
        <v>35318</v>
      </c>
      <c r="E3776" s="51" t="s">
        <v>758</v>
      </c>
      <c r="F3776" s="121" t="s">
        <v>3009</v>
      </c>
      <c r="G3776" s="98" t="str">
        <f>HYPERLINK("http://mirror.ff7data.com.ar/ff7/data/battle/battle.lgp/gtan.png","View Picture")</f>
        <v>View Picture</v>
      </c>
    </row>
    <row r="3777">
      <c r="A3777" s="55"/>
      <c r="B3777" s="119" t="s">
        <v>35330</v>
      </c>
      <c r="C3777" s="120" t="s">
        <v>4707</v>
      </c>
      <c r="D3777" s="33" t="s">
        <v>35318</v>
      </c>
      <c r="E3777" s="51" t="s">
        <v>758</v>
      </c>
      <c r="F3777" s="121" t="s">
        <v>3009</v>
      </c>
      <c r="G3777" s="98" t="str">
        <f>HYPERLINK("http://mirror.ff7data.com.ar/ff7/data/battle/battle.lgp/gtap.png","View Picture")</f>
        <v>View Picture</v>
      </c>
    </row>
    <row r="3778">
      <c r="A3778" s="55"/>
      <c r="B3778" s="119" t="s">
        <v>35331</v>
      </c>
      <c r="C3778" s="120" t="s">
        <v>4696</v>
      </c>
      <c r="D3778" s="33" t="s">
        <v>35318</v>
      </c>
      <c r="E3778" s="51" t="s">
        <v>758</v>
      </c>
      <c r="F3778" s="121" t="s">
        <v>3009</v>
      </c>
      <c r="G3778" s="98" t="str">
        <f>HYPERLINK("http://mirror.ff7data.com.ar/ff7/data/battle/battle.lgp/gtar.png","View Picture")</f>
        <v>View Picture</v>
      </c>
    </row>
    <row r="3779">
      <c r="A3779" s="55"/>
      <c r="B3779" s="119" t="s">
        <v>35335</v>
      </c>
      <c r="C3779" s="120" t="s">
        <v>4696</v>
      </c>
      <c r="D3779" s="33" t="s">
        <v>35318</v>
      </c>
      <c r="E3779" s="51" t="s">
        <v>758</v>
      </c>
      <c r="F3779" s="121" t="s">
        <v>3009</v>
      </c>
      <c r="G3779" s="98" t="str">
        <f>HYPERLINK("http://mirror.ff7data.com.ar/ff7/data/battle/battle.lgp/gtas.png","View Picture")</f>
        <v>View Picture</v>
      </c>
    </row>
    <row r="3780">
      <c r="A3780" s="55"/>
      <c r="B3780" s="119" t="s">
        <v>35336</v>
      </c>
      <c r="C3780" s="120" t="s">
        <v>4476</v>
      </c>
      <c r="D3780" s="33" t="s">
        <v>35318</v>
      </c>
      <c r="E3780" s="51" t="s">
        <v>758</v>
      </c>
      <c r="F3780" s="121" t="s">
        <v>3009</v>
      </c>
      <c r="G3780" s="98" t="str">
        <f>HYPERLINK("http://mirror.ff7data.com.ar/ff7/data/battle/battle.lgp/gtau.png","View Picture")</f>
        <v>View Picture</v>
      </c>
    </row>
    <row r="3781">
      <c r="A3781" s="55"/>
      <c r="B3781" s="119" t="s">
        <v>35338</v>
      </c>
      <c r="C3781" s="120" t="s">
        <v>4719</v>
      </c>
      <c r="D3781" s="33" t="s">
        <v>35318</v>
      </c>
      <c r="E3781" s="51" t="s">
        <v>758</v>
      </c>
      <c r="F3781" s="121" t="s">
        <v>3009</v>
      </c>
      <c r="G3781" s="98" t="str">
        <f>HYPERLINK("http://mirror.ff7data.com.ar/ff7/data/battle/battle.lgp/gtav.png","View Picture")</f>
        <v>View Picture</v>
      </c>
    </row>
    <row r="3782">
      <c r="A3782" s="55"/>
      <c r="B3782" s="119" t="s">
        <v>35340</v>
      </c>
      <c r="C3782" s="120" t="s">
        <v>3648</v>
      </c>
      <c r="D3782" s="33" t="s">
        <v>35318</v>
      </c>
      <c r="E3782" s="51" t="s">
        <v>758</v>
      </c>
      <c r="F3782" s="121" t="s">
        <v>3009</v>
      </c>
      <c r="G3782" s="98" t="str">
        <f>HYPERLINK("http://mirror.ff7data.com.ar/ff7/data/battle/battle.lgp/gtaw.png","View Picture")</f>
        <v>View Picture</v>
      </c>
    </row>
    <row r="3783">
      <c r="A3783" s="55"/>
      <c r="B3783" s="119" t="s">
        <v>35341</v>
      </c>
      <c r="C3783" s="120" t="s">
        <v>4476</v>
      </c>
      <c r="D3783" s="33" t="s">
        <v>35318</v>
      </c>
      <c r="E3783" s="51" t="s">
        <v>758</v>
      </c>
      <c r="F3783" s="121" t="s">
        <v>3009</v>
      </c>
      <c r="G3783" s="98" t="str">
        <f>HYPERLINK("http://mirror.ff7data.com.ar/ff7/data/battle/battle.lgp/gtay.png","View Picture")</f>
        <v>View Picture</v>
      </c>
    </row>
    <row r="3784">
      <c r="A3784" s="55"/>
      <c r="B3784" s="119" t="s">
        <v>35343</v>
      </c>
      <c r="C3784" s="120" t="s">
        <v>4719</v>
      </c>
      <c r="D3784" s="33" t="s">
        <v>35318</v>
      </c>
      <c r="E3784" s="51" t="s">
        <v>758</v>
      </c>
      <c r="F3784" s="121" t="s">
        <v>3009</v>
      </c>
      <c r="G3784" s="98" t="str">
        <f>HYPERLINK("http://mirror.ff7data.com.ar/ff7/data/battle/battle.lgp/gtaz.png","View Picture")</f>
        <v>View Picture</v>
      </c>
    </row>
    <row r="3785">
      <c r="A3785" s="55"/>
      <c r="B3785" s="119" t="s">
        <v>35344</v>
      </c>
      <c r="C3785" s="120" t="s">
        <v>3648</v>
      </c>
      <c r="D3785" s="33" t="s">
        <v>35318</v>
      </c>
      <c r="E3785" s="51" t="s">
        <v>758</v>
      </c>
      <c r="F3785" s="121" t="s">
        <v>3009</v>
      </c>
      <c r="G3785" s="98" t="str">
        <f>HYPERLINK("http://mirror.ff7data.com.ar/ff7/data/battle/battle.lgp/gtba.png","View Picture")</f>
        <v>View Picture</v>
      </c>
    </row>
    <row r="3786">
      <c r="A3786" s="55"/>
      <c r="B3786" s="119" t="s">
        <v>35346</v>
      </c>
      <c r="C3786" s="120" t="s">
        <v>3343</v>
      </c>
      <c r="D3786" s="33" t="s">
        <v>35318</v>
      </c>
      <c r="E3786" s="51" t="s">
        <v>758</v>
      </c>
      <c r="F3786" s="121" t="s">
        <v>3009</v>
      </c>
      <c r="G3786" s="98" t="str">
        <f>HYPERLINK("http://mirror.ff7data.com.ar/ff7/data/battle/battle.lgp/gtbb.png","View Picture")</f>
        <v>View Picture</v>
      </c>
    </row>
    <row r="3787">
      <c r="A3787" s="55"/>
      <c r="B3787" s="119" t="s">
        <v>35348</v>
      </c>
      <c r="C3787" s="120" t="s">
        <v>4439</v>
      </c>
      <c r="D3787" s="33" t="s">
        <v>35318</v>
      </c>
      <c r="E3787" s="51" t="s">
        <v>758</v>
      </c>
      <c r="F3787" s="121" t="s">
        <v>3009</v>
      </c>
      <c r="G3787" s="98" t="str">
        <f>HYPERLINK("http://mirror.ff7data.com.ar/ff7/data/battle/battle.lgp/gtbc.png","View Picture")</f>
        <v>View Picture</v>
      </c>
    </row>
    <row r="3788">
      <c r="A3788" s="55"/>
      <c r="B3788" s="119" t="s">
        <v>35349</v>
      </c>
      <c r="C3788" s="120" t="s">
        <v>4185</v>
      </c>
      <c r="D3788" s="33" t="s">
        <v>35318</v>
      </c>
      <c r="E3788" s="51" t="s">
        <v>758</v>
      </c>
      <c r="F3788" s="121" t="s">
        <v>3009</v>
      </c>
      <c r="G3788" s="98" t="str">
        <f>HYPERLINK("http://mirror.ff7data.com.ar/ff7/data/battle/battle.lgp/gtbe.png","View Picture")</f>
        <v>View Picture</v>
      </c>
    </row>
    <row r="3789">
      <c r="A3789" s="55"/>
      <c r="B3789" s="119" t="s">
        <v>35353</v>
      </c>
      <c r="C3789" s="120" t="s">
        <v>4372</v>
      </c>
      <c r="D3789" s="33" t="s">
        <v>35318</v>
      </c>
      <c r="E3789" s="51" t="s">
        <v>758</v>
      </c>
      <c r="F3789" s="121" t="s">
        <v>3009</v>
      </c>
      <c r="G3789" s="98" t="str">
        <f>HYPERLINK("http://mirror.ff7data.com.ar/ff7/data/battle/battle.lgp/gtbf.png","View Picture")</f>
        <v>View Picture</v>
      </c>
    </row>
    <row r="3790">
      <c r="A3790" s="55"/>
      <c r="B3790" s="119" t="s">
        <v>35354</v>
      </c>
      <c r="C3790" s="120" t="s">
        <v>3749</v>
      </c>
      <c r="D3790" s="33" t="s">
        <v>35318</v>
      </c>
      <c r="E3790" s="51" t="s">
        <v>758</v>
      </c>
      <c r="F3790" s="121" t="s">
        <v>3009</v>
      </c>
      <c r="G3790" s="98" t="str">
        <f>HYPERLINK("http://mirror.ff7data.com.ar/ff7/data/battle/battle.lgp/gtbg.png","View Picture")</f>
        <v>View Picture</v>
      </c>
    </row>
    <row r="3791">
      <c r="A3791" s="55"/>
      <c r="B3791" s="119" t="s">
        <v>35357</v>
      </c>
      <c r="C3791" s="120" t="s">
        <v>4185</v>
      </c>
      <c r="D3791" s="33" t="s">
        <v>35318</v>
      </c>
      <c r="E3791" s="51" t="s">
        <v>758</v>
      </c>
      <c r="F3791" s="121" t="s">
        <v>3009</v>
      </c>
      <c r="G3791" s="98" t="str">
        <f>HYPERLINK("http://mirror.ff7data.com.ar/ff7/data/battle/battle.lgp/gtbi.png","View Picture")</f>
        <v>View Picture</v>
      </c>
    </row>
    <row r="3792">
      <c r="A3792" s="55"/>
      <c r="B3792" s="119" t="s">
        <v>35358</v>
      </c>
      <c r="C3792" s="120" t="s">
        <v>4372</v>
      </c>
      <c r="D3792" s="33" t="s">
        <v>35318</v>
      </c>
      <c r="E3792" s="51" t="s">
        <v>758</v>
      </c>
      <c r="F3792" s="121" t="s">
        <v>3009</v>
      </c>
      <c r="G3792" s="98" t="str">
        <f>HYPERLINK("http://mirror.ff7data.com.ar/ff7/data/battle/battle.lgp/gtbj.png","View Picture")</f>
        <v>View Picture</v>
      </c>
    </row>
    <row r="3793">
      <c r="A3793" s="55"/>
      <c r="B3793" s="119" t="s">
        <v>35361</v>
      </c>
      <c r="C3793" s="120" t="s">
        <v>3749</v>
      </c>
      <c r="D3793" s="33" t="s">
        <v>35318</v>
      </c>
      <c r="E3793" s="51" t="s">
        <v>758</v>
      </c>
      <c r="F3793" s="121" t="s">
        <v>3009</v>
      </c>
      <c r="G3793" s="98" t="str">
        <f>HYPERLINK("http://mirror.ff7data.com.ar/ff7/data/battle/battle.lgp/gtbk.png","View Picture")</f>
        <v>View Picture</v>
      </c>
    </row>
    <row r="3794">
      <c r="A3794" s="55"/>
      <c r="B3794" s="119" t="s">
        <v>35364</v>
      </c>
      <c r="C3794" s="120" t="s">
        <v>10078</v>
      </c>
      <c r="D3794" s="33" t="s">
        <v>35318</v>
      </c>
      <c r="E3794" s="51" t="s">
        <v>758</v>
      </c>
      <c r="F3794" s="121" t="s">
        <v>3009</v>
      </c>
      <c r="G3794" s="98" t="str">
        <f>HYPERLINK("http://mirror.ff7data.com.ar/ff7/data/battle/battle.lgp/gtbl.png","View Picture")</f>
        <v>View Picture</v>
      </c>
    </row>
    <row r="3795">
      <c r="A3795" s="55"/>
      <c r="B3795" s="119" t="s">
        <v>35365</v>
      </c>
      <c r="C3795" s="120" t="s">
        <v>3723</v>
      </c>
      <c r="D3795" s="33" t="s">
        <v>35318</v>
      </c>
      <c r="E3795" s="51" t="s">
        <v>758</v>
      </c>
      <c r="F3795" s="121" t="s">
        <v>3009</v>
      </c>
      <c r="G3795" s="98" t="str">
        <f>HYPERLINK("http://mirror.ff7data.com.ar/ff7/data/battle/battle.lgp/gtbn.png","View Picture")</f>
        <v>View Picture</v>
      </c>
    </row>
    <row r="3796">
      <c r="A3796" s="55"/>
      <c r="B3796" s="119" t="s">
        <v>35368</v>
      </c>
      <c r="C3796" s="120" t="s">
        <v>3723</v>
      </c>
      <c r="D3796" s="33" t="s">
        <v>35318</v>
      </c>
      <c r="E3796" s="51" t="s">
        <v>758</v>
      </c>
      <c r="F3796" s="121" t="s">
        <v>3009</v>
      </c>
      <c r="G3796" s="98" t="str">
        <f>HYPERLINK("http://mirror.ff7data.com.ar/ff7/data/battle/battle.lgp/gtbp.png","View Picture")</f>
        <v>View Picture</v>
      </c>
    </row>
    <row r="3797">
      <c r="A3797" s="55"/>
      <c r="B3797" s="119" t="s">
        <v>35370</v>
      </c>
      <c r="C3797" s="120" t="s">
        <v>4228</v>
      </c>
      <c r="D3797" s="33" t="s">
        <v>35318</v>
      </c>
      <c r="E3797" s="51" t="s">
        <v>758</v>
      </c>
      <c r="F3797" s="121" t="s">
        <v>3025</v>
      </c>
      <c r="H3797" s="46" t="s">
        <v>3002</v>
      </c>
    </row>
    <row r="3798">
      <c r="A3798" s="55"/>
      <c r="B3798" s="119" t="s">
        <v>35372</v>
      </c>
      <c r="C3798" s="120" t="s">
        <v>9973</v>
      </c>
      <c r="D3798" s="33" t="s">
        <v>35373</v>
      </c>
      <c r="E3798" s="51" t="s">
        <v>765</v>
      </c>
      <c r="F3798" s="121" t="s">
        <v>2971</v>
      </c>
      <c r="G3798" s="98" t="str">
        <f>HYPERLINK("http://mirror.ff7data.com.ar/ff7/data/battle/battle.lgp/guaa.png","View Picture")</f>
        <v>View Picture</v>
      </c>
    </row>
    <row r="3799">
      <c r="A3799" s="55"/>
      <c r="B3799" s="119" t="s">
        <v>35375</v>
      </c>
      <c r="C3799" s="120" t="s">
        <v>7375</v>
      </c>
      <c r="D3799" s="33" t="s">
        <v>35377</v>
      </c>
      <c r="E3799" s="51" t="s">
        <v>765</v>
      </c>
      <c r="F3799" s="121" t="s">
        <v>2993</v>
      </c>
      <c r="H3799" s="46" t="s">
        <v>3002</v>
      </c>
    </row>
    <row r="3800">
      <c r="A3800" s="55"/>
      <c r="B3800" s="119" t="s">
        <v>35378</v>
      </c>
      <c r="C3800" s="120" t="s">
        <v>7081</v>
      </c>
      <c r="D3800" s="33" t="s">
        <v>35379</v>
      </c>
      <c r="E3800" s="51" t="s">
        <v>765</v>
      </c>
      <c r="F3800" s="121" t="s">
        <v>3009</v>
      </c>
      <c r="G3800" s="98" t="str">
        <f>HYPERLINK("http://mirror.ff7data.com.ar/ff7/data/battle/battle.lgp/guac.png","View Picture")</f>
        <v>View Picture</v>
      </c>
    </row>
    <row r="3801">
      <c r="A3801" s="55"/>
      <c r="B3801" s="119" t="s">
        <v>35380</v>
      </c>
      <c r="C3801" s="120" t="s">
        <v>4719</v>
      </c>
      <c r="D3801" s="33" t="s">
        <v>35377</v>
      </c>
      <c r="E3801" s="51" t="s">
        <v>765</v>
      </c>
      <c r="F3801" s="121" t="s">
        <v>3009</v>
      </c>
      <c r="G3801" s="98" t="str">
        <f>HYPERLINK("http://mirror.ff7data.com.ar/ff7/data/battle/battle.lgp/guao.png","View Picture")</f>
        <v>View Picture</v>
      </c>
    </row>
    <row r="3802">
      <c r="A3802" s="55"/>
      <c r="B3802" s="119" t="s">
        <v>35383</v>
      </c>
      <c r="C3802" s="120" t="s">
        <v>4719</v>
      </c>
      <c r="D3802" s="33" t="s">
        <v>35377</v>
      </c>
      <c r="E3802" s="51" t="s">
        <v>765</v>
      </c>
      <c r="F3802" s="121" t="s">
        <v>3009</v>
      </c>
      <c r="G3802" s="98" t="str">
        <f>HYPERLINK("http://mirror.ff7data.com.ar/ff7/data/battle/battle.lgp/guar.png","View Picture")</f>
        <v>View Picture</v>
      </c>
    </row>
    <row r="3803">
      <c r="A3803" s="55"/>
      <c r="B3803" s="119" t="s">
        <v>35387</v>
      </c>
      <c r="C3803" s="120" t="s">
        <v>4288</v>
      </c>
      <c r="D3803" s="33" t="s">
        <v>35377</v>
      </c>
      <c r="E3803" s="51" t="s">
        <v>765</v>
      </c>
      <c r="F3803" s="121" t="s">
        <v>3009</v>
      </c>
      <c r="G3803" s="98" t="str">
        <f>HYPERLINK("http://mirror.ff7data.com.ar/ff7/data/battle/battle.lgp/guau.png","View Picture")</f>
        <v>View Picture</v>
      </c>
    </row>
    <row r="3804">
      <c r="A3804" s="55"/>
      <c r="B3804" s="119" t="s">
        <v>35389</v>
      </c>
      <c r="C3804" s="120" t="s">
        <v>26045</v>
      </c>
      <c r="D3804" s="33" t="s">
        <v>35377</v>
      </c>
      <c r="E3804" s="51" t="s">
        <v>765</v>
      </c>
      <c r="F3804" s="121" t="s">
        <v>3009</v>
      </c>
      <c r="G3804" s="98" t="str">
        <f>HYPERLINK("http://mirror.ff7data.com.ar/ff7/data/battle/battle.lgp/guaw.png","View Picture")</f>
        <v>View Picture</v>
      </c>
    </row>
    <row r="3805">
      <c r="A3805" s="55"/>
      <c r="B3805" s="119" t="s">
        <v>35392</v>
      </c>
      <c r="C3805" s="120" t="s">
        <v>3961</v>
      </c>
      <c r="D3805" s="33" t="s">
        <v>35377</v>
      </c>
      <c r="E3805" s="51" t="s">
        <v>765</v>
      </c>
      <c r="F3805" s="121" t="s">
        <v>3009</v>
      </c>
      <c r="G3805" s="98" t="str">
        <f>HYPERLINK("http://mirror.ff7data.com.ar/ff7/data/battle/battle.lgp/guay.png","View Picture")</f>
        <v>View Picture</v>
      </c>
    </row>
    <row r="3806">
      <c r="A3806" s="55"/>
      <c r="B3806" s="119" t="s">
        <v>35394</v>
      </c>
      <c r="C3806" s="120" t="s">
        <v>4288</v>
      </c>
      <c r="D3806" s="33" t="s">
        <v>35377</v>
      </c>
      <c r="E3806" s="51" t="s">
        <v>765</v>
      </c>
      <c r="F3806" s="121" t="s">
        <v>3009</v>
      </c>
      <c r="G3806" s="98" t="str">
        <f>HYPERLINK("http://mirror.ff7data.com.ar/ff7/data/battle/battle.lgp/guba.png","View Picture")</f>
        <v>View Picture</v>
      </c>
    </row>
    <row r="3807">
      <c r="A3807" s="55"/>
      <c r="B3807" s="119" t="s">
        <v>35396</v>
      </c>
      <c r="C3807" s="120" t="s">
        <v>7129</v>
      </c>
      <c r="D3807" s="33" t="s">
        <v>35377</v>
      </c>
      <c r="E3807" s="51" t="s">
        <v>765</v>
      </c>
      <c r="F3807" s="121" t="s">
        <v>3009</v>
      </c>
      <c r="G3807" s="98" t="str">
        <f>HYPERLINK("http://mirror.ff7data.com.ar/ff7/data/battle/battle.lgp/gubb.png","View Picture")</f>
        <v>View Picture</v>
      </c>
    </row>
    <row r="3808">
      <c r="A3808" s="55"/>
      <c r="B3808" s="119" t="s">
        <v>35399</v>
      </c>
      <c r="C3808" s="120" t="s">
        <v>4719</v>
      </c>
      <c r="D3808" s="33" t="s">
        <v>35377</v>
      </c>
      <c r="E3808" s="51" t="s">
        <v>765</v>
      </c>
      <c r="F3808" s="121" t="s">
        <v>3009</v>
      </c>
      <c r="G3808" s="98" t="str">
        <f>HYPERLINK("http://mirror.ff7data.com.ar/ff7/data/battle/battle.lgp/gube.png","View Picture")</f>
        <v>View Picture</v>
      </c>
    </row>
    <row r="3809">
      <c r="A3809" s="55"/>
      <c r="B3809" s="119" t="s">
        <v>35400</v>
      </c>
      <c r="C3809" s="120" t="s">
        <v>4396</v>
      </c>
      <c r="D3809" s="33" t="s">
        <v>35377</v>
      </c>
      <c r="E3809" s="51" t="s">
        <v>765</v>
      </c>
      <c r="F3809" s="121" t="s">
        <v>3009</v>
      </c>
      <c r="G3809" s="98" t="str">
        <f>HYPERLINK("http://mirror.ff7data.com.ar/ff7/data/battle/battle.lgp/gubh.png","View Picture")</f>
        <v>View Picture</v>
      </c>
    </row>
    <row r="3810">
      <c r="A3810" s="55"/>
      <c r="B3810" s="119" t="s">
        <v>35403</v>
      </c>
      <c r="C3810" s="120" t="s">
        <v>10078</v>
      </c>
      <c r="D3810" s="33" t="s">
        <v>35377</v>
      </c>
      <c r="E3810" s="51" t="s">
        <v>765</v>
      </c>
      <c r="F3810" s="121" t="s">
        <v>3009</v>
      </c>
      <c r="G3810" s="98" t="str">
        <f>HYPERLINK("http://mirror.ff7data.com.ar/ff7/data/battle/battle.lgp/gubk.png","View Picture")</f>
        <v>View Picture</v>
      </c>
    </row>
    <row r="3811">
      <c r="A3811" s="55"/>
      <c r="B3811" s="119" t="s">
        <v>35404</v>
      </c>
      <c r="C3811" s="120" t="s">
        <v>4396</v>
      </c>
      <c r="D3811" s="33" t="s">
        <v>35377</v>
      </c>
      <c r="E3811" s="51" t="s">
        <v>765</v>
      </c>
      <c r="F3811" s="121" t="s">
        <v>3009</v>
      </c>
      <c r="G3811" s="98" t="str">
        <f>HYPERLINK("http://mirror.ff7data.com.ar/ff7/data/battle/battle.lgp/gubn.png","View Picture")</f>
        <v>View Picture</v>
      </c>
    </row>
    <row r="3812">
      <c r="A3812" s="55"/>
      <c r="B3812" s="119" t="s">
        <v>35408</v>
      </c>
      <c r="C3812" s="120" t="s">
        <v>10078</v>
      </c>
      <c r="D3812" s="33" t="s">
        <v>35377</v>
      </c>
      <c r="E3812" s="51" t="s">
        <v>765</v>
      </c>
      <c r="F3812" s="121" t="s">
        <v>3009</v>
      </c>
      <c r="G3812" s="98" t="str">
        <f>HYPERLINK("http://mirror.ff7data.com.ar/ff7/data/battle/battle.lgp/gubq.png","View Picture")</f>
        <v>View Picture</v>
      </c>
    </row>
    <row r="3813">
      <c r="A3813" s="55"/>
      <c r="B3813" s="119" t="s">
        <v>35410</v>
      </c>
      <c r="C3813" s="120" t="s">
        <v>4396</v>
      </c>
      <c r="D3813" s="33" t="s">
        <v>35377</v>
      </c>
      <c r="E3813" s="51" t="s">
        <v>765</v>
      </c>
      <c r="F3813" s="121" t="s">
        <v>3009</v>
      </c>
      <c r="G3813" s="98" t="str">
        <f>HYPERLINK("http://mirror.ff7data.com.ar/ff7/data/battle/battle.lgp/gubt.png","View Picture")</f>
        <v>View Picture</v>
      </c>
    </row>
    <row r="3814">
      <c r="A3814" s="55"/>
      <c r="B3814" s="119" t="s">
        <v>35412</v>
      </c>
      <c r="C3814" s="120" t="s">
        <v>10078</v>
      </c>
      <c r="D3814" s="33" t="s">
        <v>35377</v>
      </c>
      <c r="E3814" s="51" t="s">
        <v>765</v>
      </c>
      <c r="F3814" s="121" t="s">
        <v>3009</v>
      </c>
      <c r="G3814" s="98" t="str">
        <f>HYPERLINK("http://mirror.ff7data.com.ar/ff7/data/battle/battle.lgp/gubw.png","View Picture")</f>
        <v>View Picture</v>
      </c>
    </row>
    <row r="3815">
      <c r="A3815" s="55"/>
      <c r="B3815" s="119" t="s">
        <v>35417</v>
      </c>
      <c r="C3815" s="120" t="s">
        <v>8376</v>
      </c>
      <c r="D3815" s="33" t="s">
        <v>35377</v>
      </c>
      <c r="E3815" s="51" t="s">
        <v>765</v>
      </c>
      <c r="F3815" s="121" t="s">
        <v>3009</v>
      </c>
      <c r="G3815" s="98" t="str">
        <f>HYPERLINK("http://mirror.ff7data.com.ar/ff7/data/battle/battle.lgp/gubz.png","View Picture")</f>
        <v>View Picture</v>
      </c>
    </row>
    <row r="3816">
      <c r="A3816" s="55"/>
      <c r="B3816" s="119" t="s">
        <v>35420</v>
      </c>
      <c r="C3816" s="120" t="s">
        <v>4841</v>
      </c>
      <c r="D3816" s="33" t="s">
        <v>35377</v>
      </c>
      <c r="E3816" s="51" t="s">
        <v>765</v>
      </c>
      <c r="F3816" s="121" t="s">
        <v>3025</v>
      </c>
      <c r="H3816" s="46" t="s">
        <v>3002</v>
      </c>
    </row>
    <row r="3817">
      <c r="A3817" s="21"/>
      <c r="B3817" s="119" t="s">
        <v>35421</v>
      </c>
      <c r="C3817" s="120" t="s">
        <v>8004</v>
      </c>
      <c r="D3817" s="33" t="s">
        <v>35424</v>
      </c>
      <c r="E3817" s="51" t="s">
        <v>771</v>
      </c>
      <c r="F3817" s="121" t="s">
        <v>2971</v>
      </c>
      <c r="G3817" s="98" t="str">
        <f>HYPERLINK("http://mirror.ff7data.com.ar/ff7/data/battle/battle.lgp/gvaa.png","View Picture")</f>
        <v>View Picture</v>
      </c>
    </row>
    <row r="3818">
      <c r="A3818" s="55"/>
      <c r="B3818" s="119" t="s">
        <v>35427</v>
      </c>
      <c r="C3818" s="120" t="s">
        <v>5724</v>
      </c>
      <c r="D3818" s="33" t="s">
        <v>35429</v>
      </c>
      <c r="E3818" s="51" t="s">
        <v>771</v>
      </c>
      <c r="F3818" s="121" t="s">
        <v>2993</v>
      </c>
      <c r="H3818" s="46" t="s">
        <v>3002</v>
      </c>
    </row>
    <row r="3819">
      <c r="A3819" s="55"/>
      <c r="B3819" s="119" t="s">
        <v>35431</v>
      </c>
      <c r="C3819" s="120" t="s">
        <v>4185</v>
      </c>
      <c r="D3819" s="33" t="s">
        <v>35429</v>
      </c>
      <c r="E3819" s="51" t="s">
        <v>771</v>
      </c>
      <c r="F3819" s="121" t="s">
        <v>3009</v>
      </c>
      <c r="G3819" s="98" t="str">
        <f>HYPERLINK("http://mirror.ff7data.com.ar/ff7/data/battle/battle.lgp/gvam.png","View Picture")</f>
        <v>View Picture</v>
      </c>
    </row>
    <row r="3820">
      <c r="A3820" s="55"/>
      <c r="B3820" s="119" t="s">
        <v>35438</v>
      </c>
      <c r="C3820" s="120" t="s">
        <v>10078</v>
      </c>
      <c r="D3820" s="33" t="s">
        <v>35429</v>
      </c>
      <c r="E3820" s="51" t="s">
        <v>771</v>
      </c>
      <c r="F3820" s="121" t="s">
        <v>3009</v>
      </c>
      <c r="G3820" s="98" t="str">
        <f>HYPERLINK("http://mirror.ff7data.com.ar/ff7/data/battle/battle.lgp/gvan.png","View Picture")</f>
        <v>View Picture</v>
      </c>
    </row>
    <row r="3821">
      <c r="A3821" s="55"/>
      <c r="B3821" s="119" t="s">
        <v>35442</v>
      </c>
      <c r="C3821" s="120" t="s">
        <v>4185</v>
      </c>
      <c r="D3821" s="33" t="s">
        <v>35429</v>
      </c>
      <c r="E3821" s="51" t="s">
        <v>771</v>
      </c>
      <c r="F3821" s="121" t="s">
        <v>3009</v>
      </c>
      <c r="G3821" s="98" t="str">
        <f>HYPERLINK("http://mirror.ff7data.com.ar/ff7/data/battle/battle.lgp/gvao.png","View Picture")</f>
        <v>View Picture</v>
      </c>
    </row>
    <row r="3822">
      <c r="A3822" s="55"/>
      <c r="B3822" s="119" t="s">
        <v>35448</v>
      </c>
      <c r="C3822" s="120" t="s">
        <v>4439</v>
      </c>
      <c r="D3822" s="33" t="s">
        <v>35429</v>
      </c>
      <c r="E3822" s="51" t="s">
        <v>771</v>
      </c>
      <c r="F3822" s="121" t="s">
        <v>3009</v>
      </c>
      <c r="G3822" s="98" t="str">
        <f>HYPERLINK("http://mirror.ff7data.com.ar/ff7/data/battle/battle.lgp/gvap.png","View Picture")</f>
        <v>View Picture</v>
      </c>
    </row>
    <row r="3823">
      <c r="A3823" s="55"/>
      <c r="B3823" s="119" t="s">
        <v>35451</v>
      </c>
      <c r="C3823" s="120" t="s">
        <v>4185</v>
      </c>
      <c r="D3823" s="33" t="s">
        <v>35429</v>
      </c>
      <c r="E3823" s="51" t="s">
        <v>771</v>
      </c>
      <c r="F3823" s="121" t="s">
        <v>3009</v>
      </c>
      <c r="G3823" s="98" t="str">
        <f>HYPERLINK("http://mirror.ff7data.com.ar/ff7/data/battle/battle.lgp/gvaq.png","View Picture")</f>
        <v>View Picture</v>
      </c>
    </row>
    <row r="3824">
      <c r="A3824" s="55"/>
      <c r="B3824" s="119" t="s">
        <v>35454</v>
      </c>
      <c r="C3824" s="120" t="s">
        <v>10955</v>
      </c>
      <c r="D3824" s="33" t="s">
        <v>35429</v>
      </c>
      <c r="E3824" s="51" t="s">
        <v>771</v>
      </c>
      <c r="F3824" s="121" t="s">
        <v>3009</v>
      </c>
      <c r="G3824" s="98" t="str">
        <f>HYPERLINK("http://mirror.ff7data.com.ar/ff7/data/battle/battle.lgp/gvar.png","View Picture")</f>
        <v>View Picture</v>
      </c>
    </row>
    <row r="3825">
      <c r="A3825" s="55"/>
      <c r="B3825" s="119" t="s">
        <v>35457</v>
      </c>
      <c r="C3825" s="120" t="s">
        <v>4476</v>
      </c>
      <c r="D3825" s="33" t="s">
        <v>35429</v>
      </c>
      <c r="E3825" s="51" t="s">
        <v>771</v>
      </c>
      <c r="F3825" s="121" t="s">
        <v>3009</v>
      </c>
      <c r="G3825" s="98" t="str">
        <f>HYPERLINK("http://mirror.ff7data.com.ar/ff7/data/battle/battle.lgp/gvas.png","View Picture")</f>
        <v>View Picture</v>
      </c>
    </row>
    <row r="3826">
      <c r="A3826" s="55"/>
      <c r="B3826" s="119" t="s">
        <v>35460</v>
      </c>
      <c r="C3826" s="120" t="s">
        <v>3749</v>
      </c>
      <c r="D3826" s="33" t="s">
        <v>35429</v>
      </c>
      <c r="E3826" s="51" t="s">
        <v>771</v>
      </c>
      <c r="F3826" s="121" t="s">
        <v>3009</v>
      </c>
      <c r="G3826" s="98" t="str">
        <f>HYPERLINK("http://mirror.ff7data.com.ar/ff7/data/battle/battle.lgp/gvau.png","View Picture")</f>
        <v>View Picture</v>
      </c>
    </row>
    <row r="3827">
      <c r="A3827" s="55"/>
      <c r="B3827" s="119" t="s">
        <v>35463</v>
      </c>
      <c r="C3827" s="120" t="s">
        <v>5419</v>
      </c>
      <c r="D3827" s="33" t="s">
        <v>35429</v>
      </c>
      <c r="E3827" s="51" t="s">
        <v>771</v>
      </c>
      <c r="F3827" s="121" t="s">
        <v>3009</v>
      </c>
      <c r="G3827" s="98" t="str">
        <f>HYPERLINK("http://mirror.ff7data.com.ar/ff7/data/battle/battle.lgp/gvaw.png","View Picture")</f>
        <v>View Picture</v>
      </c>
    </row>
    <row r="3828">
      <c r="A3828" s="55"/>
      <c r="B3828" s="119" t="s">
        <v>35466</v>
      </c>
      <c r="C3828" s="120" t="s">
        <v>4476</v>
      </c>
      <c r="D3828" s="33" t="s">
        <v>35429</v>
      </c>
      <c r="E3828" s="51" t="s">
        <v>771</v>
      </c>
      <c r="F3828" s="121" t="s">
        <v>3009</v>
      </c>
      <c r="G3828" s="98" t="str">
        <f>HYPERLINK("http://mirror.ff7data.com.ar/ff7/data/battle/battle.lgp/gvax.png","View Picture")</f>
        <v>View Picture</v>
      </c>
    </row>
    <row r="3829">
      <c r="A3829" s="55"/>
      <c r="B3829" s="119" t="s">
        <v>35469</v>
      </c>
      <c r="C3829" s="120" t="s">
        <v>4288</v>
      </c>
      <c r="D3829" s="33" t="s">
        <v>35429</v>
      </c>
      <c r="E3829" s="51" t="s">
        <v>771</v>
      </c>
      <c r="F3829" s="121" t="s">
        <v>3009</v>
      </c>
      <c r="G3829" s="98" t="str">
        <f>HYPERLINK("http://mirror.ff7data.com.ar/ff7/data/battle/battle.lgp/gvaz.png","View Picture")</f>
        <v>View Picture</v>
      </c>
    </row>
    <row r="3830">
      <c r="A3830" s="55"/>
      <c r="B3830" s="119" t="s">
        <v>35472</v>
      </c>
      <c r="C3830" s="120" t="s">
        <v>4185</v>
      </c>
      <c r="D3830" s="33" t="s">
        <v>35429</v>
      </c>
      <c r="E3830" s="51" t="s">
        <v>771</v>
      </c>
      <c r="F3830" s="121" t="s">
        <v>3009</v>
      </c>
      <c r="G3830" s="98" t="str">
        <f>HYPERLINK("http://mirror.ff7data.com.ar/ff7/data/battle/battle.lgp/gvba.png","View Picture")</f>
        <v>View Picture</v>
      </c>
    </row>
    <row r="3831">
      <c r="A3831" s="55"/>
      <c r="B3831" s="119" t="s">
        <v>35475</v>
      </c>
      <c r="C3831" s="120" t="s">
        <v>5419</v>
      </c>
      <c r="D3831" s="33" t="s">
        <v>35429</v>
      </c>
      <c r="E3831" s="51" t="s">
        <v>771</v>
      </c>
      <c r="F3831" s="121" t="s">
        <v>3009</v>
      </c>
      <c r="G3831" s="98" t="str">
        <f>HYPERLINK("http://mirror.ff7data.com.ar/ff7/data/battle/battle.lgp/gvbc.png","View Picture")</f>
        <v>View Picture</v>
      </c>
    </row>
    <row r="3832">
      <c r="A3832" s="55"/>
      <c r="B3832" s="119" t="s">
        <v>35477</v>
      </c>
      <c r="C3832" s="120" t="s">
        <v>6029</v>
      </c>
      <c r="D3832" s="33" t="s">
        <v>35429</v>
      </c>
      <c r="E3832" s="51" t="s">
        <v>771</v>
      </c>
      <c r="F3832" s="121" t="s">
        <v>3009</v>
      </c>
      <c r="G3832" s="98" t="str">
        <f>HYPERLINK("http://mirror.ff7data.com.ar/ff7/data/battle/battle.lgp/gvbd.png","View Picture")</f>
        <v>View Picture</v>
      </c>
    </row>
    <row r="3833">
      <c r="A3833" s="55"/>
      <c r="B3833" s="119" t="s">
        <v>35479</v>
      </c>
      <c r="C3833" s="120" t="s">
        <v>11112</v>
      </c>
      <c r="D3833" s="33" t="s">
        <v>35429</v>
      </c>
      <c r="E3833" s="51" t="s">
        <v>771</v>
      </c>
      <c r="F3833" s="121" t="s">
        <v>3009</v>
      </c>
      <c r="G3833" s="98" t="str">
        <f>HYPERLINK("http://mirror.ff7data.com.ar/ff7/data/battle/battle.lgp/gvbf.png","View Picture")</f>
        <v>View Picture</v>
      </c>
    </row>
    <row r="3834">
      <c r="A3834" s="55"/>
      <c r="B3834" s="119" t="s">
        <v>35480</v>
      </c>
      <c r="C3834" s="120" t="s">
        <v>4476</v>
      </c>
      <c r="D3834" s="33" t="s">
        <v>35429</v>
      </c>
      <c r="E3834" s="51" t="s">
        <v>771</v>
      </c>
      <c r="F3834" s="121" t="s">
        <v>3009</v>
      </c>
      <c r="G3834" s="98" t="str">
        <f>HYPERLINK("http://mirror.ff7data.com.ar/ff7/data/battle/battle.lgp/gvbg.png","View Picture")</f>
        <v>View Picture</v>
      </c>
    </row>
    <row r="3835">
      <c r="A3835" s="55"/>
      <c r="B3835" s="119" t="s">
        <v>35481</v>
      </c>
      <c r="C3835" s="120" t="s">
        <v>4185</v>
      </c>
      <c r="D3835" s="33" t="s">
        <v>35429</v>
      </c>
      <c r="E3835" s="51" t="s">
        <v>771</v>
      </c>
      <c r="F3835" s="121" t="s">
        <v>3009</v>
      </c>
      <c r="G3835" s="98" t="str">
        <f>HYPERLINK("http://mirror.ff7data.com.ar/ff7/data/battle/battle.lgp/gvbh.png","View Picture")</f>
        <v>View Picture</v>
      </c>
    </row>
    <row r="3836">
      <c r="A3836" s="55"/>
      <c r="B3836" s="119" t="s">
        <v>35482</v>
      </c>
      <c r="C3836" s="120" t="s">
        <v>4719</v>
      </c>
      <c r="D3836" s="33" t="s">
        <v>35429</v>
      </c>
      <c r="E3836" s="51" t="s">
        <v>771</v>
      </c>
      <c r="F3836" s="121" t="s">
        <v>3009</v>
      </c>
      <c r="G3836" s="98" t="str">
        <f>HYPERLINK("http://mirror.ff7data.com.ar/ff7/data/battle/battle.lgp/gvbj.png","View Picture")</f>
        <v>View Picture</v>
      </c>
    </row>
    <row r="3837">
      <c r="A3837" s="55"/>
      <c r="B3837" s="119" t="s">
        <v>35483</v>
      </c>
      <c r="C3837" s="120" t="s">
        <v>6029</v>
      </c>
      <c r="D3837" s="33" t="s">
        <v>35429</v>
      </c>
      <c r="E3837" s="51" t="s">
        <v>771</v>
      </c>
      <c r="F3837" s="121" t="s">
        <v>3009</v>
      </c>
      <c r="G3837" s="98" t="str">
        <f>HYPERLINK("http://mirror.ff7data.com.ar/ff7/data/battle/battle.lgp/gvbk.png","View Picture")</f>
        <v>View Picture</v>
      </c>
    </row>
    <row r="3838">
      <c r="A3838" s="55"/>
      <c r="B3838" s="119" t="s">
        <v>35484</v>
      </c>
      <c r="C3838" s="120" t="s">
        <v>4396</v>
      </c>
      <c r="D3838" s="33" t="s">
        <v>35429</v>
      </c>
      <c r="E3838" s="51" t="s">
        <v>771</v>
      </c>
      <c r="F3838" s="121" t="s">
        <v>3009</v>
      </c>
      <c r="G3838" s="98" t="str">
        <f>HYPERLINK("http://mirror.ff7data.com.ar/ff7/data/battle/battle.lgp/gvbl.png","View Picture")</f>
        <v>View Picture</v>
      </c>
    </row>
    <row r="3839">
      <c r="A3839" s="55"/>
      <c r="B3839" s="119" t="s">
        <v>35488</v>
      </c>
      <c r="C3839" s="120" t="s">
        <v>4476</v>
      </c>
      <c r="D3839" s="33" t="s">
        <v>35429</v>
      </c>
      <c r="E3839" s="51" t="s">
        <v>771</v>
      </c>
      <c r="F3839" s="121" t="s">
        <v>3009</v>
      </c>
      <c r="G3839" s="98" t="str">
        <f>HYPERLINK("http://mirror.ff7data.com.ar/ff7/data/battle/battle.lgp/gvbn.png","View Picture")</f>
        <v>View Picture</v>
      </c>
    </row>
    <row r="3840">
      <c r="A3840" s="55"/>
      <c r="B3840" s="119" t="s">
        <v>35489</v>
      </c>
      <c r="C3840" s="120" t="s">
        <v>4372</v>
      </c>
      <c r="D3840" s="33" t="s">
        <v>35429</v>
      </c>
      <c r="E3840" s="51" t="s">
        <v>771</v>
      </c>
      <c r="F3840" s="121" t="s">
        <v>3009</v>
      </c>
      <c r="G3840" s="98" t="str">
        <f>HYPERLINK("http://mirror.ff7data.com.ar/ff7/data/battle/battle.lgp/gvbp.png","View Picture")</f>
        <v>View Picture</v>
      </c>
    </row>
    <row r="3841">
      <c r="A3841" s="55"/>
      <c r="B3841" s="119" t="s">
        <v>35491</v>
      </c>
      <c r="C3841" s="120" t="s">
        <v>4476</v>
      </c>
      <c r="D3841" s="33" t="s">
        <v>35429</v>
      </c>
      <c r="E3841" s="51" t="s">
        <v>771</v>
      </c>
      <c r="F3841" s="121" t="s">
        <v>3009</v>
      </c>
      <c r="G3841" s="98" t="str">
        <f>HYPERLINK("http://mirror.ff7data.com.ar/ff7/data/battle/battle.lgp/gvbq.png","View Picture")</f>
        <v>View Picture</v>
      </c>
    </row>
    <row r="3842">
      <c r="A3842" s="55"/>
      <c r="B3842" s="119" t="s">
        <v>35492</v>
      </c>
      <c r="C3842" s="120" t="s">
        <v>4396</v>
      </c>
      <c r="D3842" s="33" t="s">
        <v>35429</v>
      </c>
      <c r="E3842" s="51" t="s">
        <v>771</v>
      </c>
      <c r="F3842" s="121" t="s">
        <v>3009</v>
      </c>
      <c r="G3842" s="98" t="str">
        <f>HYPERLINK("http://mirror.ff7data.com.ar/ff7/data/battle/battle.lgp/gvbr.png","View Picture")</f>
        <v>View Picture</v>
      </c>
    </row>
    <row r="3843">
      <c r="A3843" s="55"/>
      <c r="B3843" s="119" t="s">
        <v>35494</v>
      </c>
      <c r="C3843" s="120" t="s">
        <v>6029</v>
      </c>
      <c r="D3843" s="33" t="s">
        <v>35429</v>
      </c>
      <c r="E3843" s="51" t="s">
        <v>771</v>
      </c>
      <c r="F3843" s="121" t="s">
        <v>3009</v>
      </c>
      <c r="G3843" s="98" t="str">
        <f>HYPERLINK("http://mirror.ff7data.com.ar/ff7/data/battle/battle.lgp/gvbt.png","View Picture")</f>
        <v>View Picture</v>
      </c>
    </row>
    <row r="3844">
      <c r="A3844" s="55"/>
      <c r="B3844" s="119" t="s">
        <v>35496</v>
      </c>
      <c r="C3844" s="120" t="s">
        <v>4732</v>
      </c>
      <c r="D3844" s="33" t="s">
        <v>35429</v>
      </c>
      <c r="E3844" s="51" t="s">
        <v>771</v>
      </c>
      <c r="F3844" s="121" t="s">
        <v>3009</v>
      </c>
      <c r="G3844" s="98" t="str">
        <f>HYPERLINK("http://mirror.ff7data.com.ar/ff7/data/battle/battle.lgp/gvbu.png","View Picture")</f>
        <v>View Picture</v>
      </c>
    </row>
    <row r="3845">
      <c r="A3845" s="55"/>
      <c r="B3845" s="119" t="s">
        <v>35500</v>
      </c>
      <c r="C3845" s="120" t="s">
        <v>4264</v>
      </c>
      <c r="D3845" s="33" t="s">
        <v>35429</v>
      </c>
      <c r="E3845" s="51" t="s">
        <v>771</v>
      </c>
      <c r="F3845" s="121" t="s">
        <v>3009</v>
      </c>
      <c r="G3845" s="98" t="str">
        <f>HYPERLINK("http://mirror.ff7data.com.ar/ff7/data/battle/battle.lgp/gvbv.png","View Picture")</f>
        <v>View Picture</v>
      </c>
    </row>
    <row r="3846">
      <c r="A3846" s="55"/>
      <c r="B3846" s="119" t="s">
        <v>35503</v>
      </c>
      <c r="C3846" s="120" t="s">
        <v>4264</v>
      </c>
      <c r="D3846" s="33" t="s">
        <v>35429</v>
      </c>
      <c r="E3846" s="51" t="s">
        <v>771</v>
      </c>
      <c r="F3846" s="121" t="s">
        <v>3009</v>
      </c>
      <c r="G3846" s="98" t="str">
        <f>HYPERLINK("http://mirror.ff7data.com.ar/ff7/data/battle/battle.lgp/gvbw.png","View Picture")</f>
        <v>View Picture</v>
      </c>
    </row>
    <row r="3847">
      <c r="A3847" s="55"/>
      <c r="B3847" s="119" t="s">
        <v>35505</v>
      </c>
      <c r="C3847" s="120" t="s">
        <v>4719</v>
      </c>
      <c r="D3847" s="33" t="s">
        <v>35429</v>
      </c>
      <c r="E3847" s="51" t="s">
        <v>771</v>
      </c>
      <c r="F3847" s="121" t="s">
        <v>3009</v>
      </c>
      <c r="G3847" s="98" t="str">
        <f>HYPERLINK("http://mirror.ff7data.com.ar/ff7/data/battle/battle.lgp/gvbx.png","View Picture")</f>
        <v>View Picture</v>
      </c>
    </row>
    <row r="3848">
      <c r="A3848" s="55"/>
      <c r="B3848" s="119" t="s">
        <v>35506</v>
      </c>
      <c r="C3848" s="120" t="s">
        <v>4719</v>
      </c>
      <c r="D3848" s="33" t="s">
        <v>35429</v>
      </c>
      <c r="E3848" s="51" t="s">
        <v>771</v>
      </c>
      <c r="F3848" s="121" t="s">
        <v>3009</v>
      </c>
      <c r="G3848" s="98" t="str">
        <f>HYPERLINK("http://mirror.ff7data.com.ar/ff7/data/battle/battle.lgp/gvby.png","View Picture")</f>
        <v>View Picture</v>
      </c>
    </row>
    <row r="3849">
      <c r="A3849" s="55"/>
      <c r="B3849" s="119" t="s">
        <v>35510</v>
      </c>
      <c r="C3849" s="120" t="s">
        <v>4228</v>
      </c>
      <c r="D3849" s="33" t="s">
        <v>35429</v>
      </c>
      <c r="E3849" s="51" t="s">
        <v>771</v>
      </c>
      <c r="F3849" s="121" t="s">
        <v>3025</v>
      </c>
      <c r="H3849" s="46" t="s">
        <v>3002</v>
      </c>
    </row>
    <row r="3850">
      <c r="A3850" s="21"/>
      <c r="B3850" s="119" t="s">
        <v>35513</v>
      </c>
      <c r="C3850" s="120" t="s">
        <v>3299</v>
      </c>
      <c r="D3850" s="33" t="s">
        <v>35514</v>
      </c>
      <c r="E3850" s="51" t="s">
        <v>775</v>
      </c>
      <c r="F3850" s="121" t="s">
        <v>2971</v>
      </c>
      <c r="G3850" s="98" t="str">
        <f>HYPERLINK("http://mirror.ff7data.com.ar/ff7/data/battle/battle.lgp/gwaa.png","View Picture")</f>
        <v>View Picture</v>
      </c>
      <c r="H3850" s="46" t="s">
        <v>35515</v>
      </c>
    </row>
    <row r="3851">
      <c r="A3851" s="55"/>
      <c r="B3851" s="119" t="s">
        <v>35516</v>
      </c>
      <c r="C3851" s="120" t="s">
        <v>4109</v>
      </c>
      <c r="D3851" s="33" t="s">
        <v>35519</v>
      </c>
      <c r="E3851" s="51" t="s">
        <v>775</v>
      </c>
      <c r="F3851" s="121" t="s">
        <v>2993</v>
      </c>
      <c r="H3851" s="46" t="s">
        <v>3002</v>
      </c>
    </row>
    <row r="3852">
      <c r="A3852" s="55"/>
      <c r="B3852" s="119" t="s">
        <v>35520</v>
      </c>
      <c r="C3852" s="120" t="s">
        <v>3671</v>
      </c>
      <c r="D3852" s="33" t="s">
        <v>35519</v>
      </c>
      <c r="E3852" s="51" t="s">
        <v>775</v>
      </c>
      <c r="F3852" s="121" t="s">
        <v>3009</v>
      </c>
      <c r="G3852" s="98" t="str">
        <f>HYPERLINK("http://mirror.ff7data.com.ar/ff7/data/battle/battle.lgp/gwam.png","View Picture")</f>
        <v>View Picture</v>
      </c>
    </row>
    <row r="3853">
      <c r="A3853" s="55"/>
      <c r="B3853" s="119" t="s">
        <v>35525</v>
      </c>
      <c r="C3853" s="120" t="s">
        <v>4240</v>
      </c>
      <c r="D3853" s="33" t="s">
        <v>35519</v>
      </c>
      <c r="E3853" s="51" t="s">
        <v>775</v>
      </c>
      <c r="F3853" s="121" t="s">
        <v>3009</v>
      </c>
      <c r="G3853" s="98" t="str">
        <f>HYPERLINK("http://mirror.ff7data.com.ar/ff7/data/battle/battle.lgp/gwan.png","View Picture")</f>
        <v>View Picture</v>
      </c>
    </row>
    <row r="3854">
      <c r="A3854" s="55"/>
      <c r="B3854" s="119" t="s">
        <v>35528</v>
      </c>
      <c r="C3854" s="120" t="s">
        <v>4565</v>
      </c>
      <c r="D3854" s="33" t="s">
        <v>35519</v>
      </c>
      <c r="E3854" s="51" t="s">
        <v>775</v>
      </c>
      <c r="F3854" s="121" t="s">
        <v>3009</v>
      </c>
      <c r="G3854" s="98" t="str">
        <f>HYPERLINK("http://mirror.ff7data.com.ar/ff7/data/battle/battle.lgp/gwao.png","View Picture")</f>
        <v>View Picture</v>
      </c>
    </row>
    <row r="3855">
      <c r="A3855" s="55"/>
      <c r="B3855" s="119" t="s">
        <v>35531</v>
      </c>
      <c r="C3855" s="120" t="s">
        <v>5891</v>
      </c>
      <c r="D3855" s="33" t="s">
        <v>35519</v>
      </c>
      <c r="E3855" s="51" t="s">
        <v>775</v>
      </c>
      <c r="F3855" s="121" t="s">
        <v>3009</v>
      </c>
      <c r="G3855" s="98" t="str">
        <f>HYPERLINK("http://mirror.ff7data.com.ar/ff7/data/battle/battle.lgp/gwap.png","View Picture")</f>
        <v>View Picture</v>
      </c>
    </row>
    <row r="3856">
      <c r="A3856" s="55"/>
      <c r="B3856" s="119" t="s">
        <v>35534</v>
      </c>
      <c r="C3856" s="120" t="s">
        <v>4372</v>
      </c>
      <c r="D3856" s="33" t="s">
        <v>35519</v>
      </c>
      <c r="E3856" s="51" t="s">
        <v>775</v>
      </c>
      <c r="F3856" s="121" t="s">
        <v>3009</v>
      </c>
      <c r="G3856" s="98" t="str">
        <f>HYPERLINK("http://mirror.ff7data.com.ar/ff7/data/battle/battle.lgp/gwaq.png","View Picture")</f>
        <v>View Picture</v>
      </c>
    </row>
    <row r="3857">
      <c r="A3857" s="55"/>
      <c r="B3857" s="119" t="s">
        <v>35537</v>
      </c>
      <c r="C3857" s="120" t="s">
        <v>4288</v>
      </c>
      <c r="D3857" s="33" t="s">
        <v>35519</v>
      </c>
      <c r="E3857" s="51" t="s">
        <v>775</v>
      </c>
      <c r="F3857" s="121" t="s">
        <v>3009</v>
      </c>
      <c r="G3857" s="98" t="str">
        <f>HYPERLINK("http://mirror.ff7data.com.ar/ff7/data/battle/battle.lgp/gwas.png","View Picture")</f>
        <v>View Picture</v>
      </c>
    </row>
    <row r="3858">
      <c r="A3858" s="55"/>
      <c r="B3858" s="119" t="s">
        <v>35540</v>
      </c>
      <c r="C3858" s="120" t="s">
        <v>4732</v>
      </c>
      <c r="D3858" s="33" t="s">
        <v>35519</v>
      </c>
      <c r="E3858" s="51" t="s">
        <v>775</v>
      </c>
      <c r="F3858" s="121" t="s">
        <v>3009</v>
      </c>
      <c r="G3858" s="98" t="str">
        <f>HYPERLINK("http://mirror.ff7data.com.ar/ff7/data/battle/battle.lgp/gwat.png","View Picture")</f>
        <v>View Picture</v>
      </c>
    </row>
    <row r="3859">
      <c r="A3859" s="55"/>
      <c r="B3859" s="119" t="s">
        <v>35541</v>
      </c>
      <c r="C3859" s="120" t="s">
        <v>4439</v>
      </c>
      <c r="D3859" s="33" t="s">
        <v>35519</v>
      </c>
      <c r="E3859" s="51" t="s">
        <v>775</v>
      </c>
      <c r="F3859" s="121" t="s">
        <v>3009</v>
      </c>
      <c r="G3859" s="98" t="str">
        <f>HYPERLINK("http://mirror.ff7data.com.ar/ff7/data/battle/battle.lgp/gwau.png","View Picture")</f>
        <v>View Picture</v>
      </c>
    </row>
    <row r="3860">
      <c r="A3860" s="55"/>
      <c r="B3860" s="119" t="s">
        <v>35543</v>
      </c>
      <c r="C3860" s="120" t="s">
        <v>3648</v>
      </c>
      <c r="D3860" s="33" t="s">
        <v>35519</v>
      </c>
      <c r="E3860" s="51" t="s">
        <v>775</v>
      </c>
      <c r="F3860" s="121" t="s">
        <v>3009</v>
      </c>
      <c r="G3860" s="98" t="str">
        <f>HYPERLINK("http://mirror.ff7data.com.ar/ff7/data/battle/battle.lgp/gwav.png","View Picture")</f>
        <v>View Picture</v>
      </c>
    </row>
    <row r="3861">
      <c r="A3861" s="55"/>
      <c r="B3861" s="119" t="s">
        <v>35545</v>
      </c>
      <c r="C3861" s="120" t="s">
        <v>4288</v>
      </c>
      <c r="D3861" s="33" t="s">
        <v>35519</v>
      </c>
      <c r="E3861" s="51" t="s">
        <v>775</v>
      </c>
      <c r="F3861" s="121" t="s">
        <v>3009</v>
      </c>
      <c r="G3861" s="98" t="str">
        <f>HYPERLINK("http://mirror.ff7data.com.ar/ff7/data/battle/battle.lgp/gwax.png","View Picture")</f>
        <v>View Picture</v>
      </c>
    </row>
    <row r="3862">
      <c r="A3862" s="55"/>
      <c r="B3862" s="119" t="s">
        <v>35548</v>
      </c>
      <c r="C3862" s="120" t="s">
        <v>4732</v>
      </c>
      <c r="D3862" s="33" t="s">
        <v>35519</v>
      </c>
      <c r="E3862" s="51" t="s">
        <v>775</v>
      </c>
      <c r="F3862" s="121" t="s">
        <v>3009</v>
      </c>
      <c r="G3862" s="98" t="str">
        <f>HYPERLINK("http://mirror.ff7data.com.ar/ff7/data/battle/battle.lgp/gway.png","View Picture")</f>
        <v>View Picture</v>
      </c>
    </row>
    <row r="3863">
      <c r="A3863" s="55"/>
      <c r="B3863" s="119" t="s">
        <v>35550</v>
      </c>
      <c r="C3863" s="120" t="s">
        <v>4439</v>
      </c>
      <c r="D3863" s="33" t="s">
        <v>35519</v>
      </c>
      <c r="E3863" s="51" t="s">
        <v>775</v>
      </c>
      <c r="F3863" s="121" t="s">
        <v>3009</v>
      </c>
      <c r="G3863" s="98" t="str">
        <f>HYPERLINK("http://mirror.ff7data.com.ar/ff7/data/battle/battle.lgp/gwaz.png","View Picture")</f>
        <v>View Picture</v>
      </c>
    </row>
    <row r="3864">
      <c r="A3864" s="55"/>
      <c r="B3864" s="119" t="s">
        <v>35551</v>
      </c>
      <c r="C3864" s="120" t="s">
        <v>3648</v>
      </c>
      <c r="D3864" s="33" t="s">
        <v>35519</v>
      </c>
      <c r="E3864" s="51" t="s">
        <v>775</v>
      </c>
      <c r="F3864" s="121" t="s">
        <v>3009</v>
      </c>
      <c r="G3864" s="98" t="str">
        <f>HYPERLINK("http://mirror.ff7data.com.ar/ff7/data/battle/battle.lgp/gwba.png","View Picture")</f>
        <v>View Picture</v>
      </c>
    </row>
    <row r="3865">
      <c r="A3865" s="55"/>
      <c r="B3865" s="119" t="s">
        <v>35553</v>
      </c>
      <c r="C3865" s="120" t="s">
        <v>7148</v>
      </c>
      <c r="D3865" s="33" t="s">
        <v>35519</v>
      </c>
      <c r="E3865" s="51" t="s">
        <v>775</v>
      </c>
      <c r="F3865" s="121" t="s">
        <v>3009</v>
      </c>
      <c r="G3865" s="98" t="str">
        <f>HYPERLINK("http://mirror.ff7data.com.ar/ff7/data/battle/battle.lgp/gwbb.png","View Picture")</f>
        <v>View Picture</v>
      </c>
    </row>
    <row r="3866">
      <c r="A3866" s="55"/>
      <c r="B3866" s="119" t="s">
        <v>35555</v>
      </c>
      <c r="C3866" s="120" t="s">
        <v>7148</v>
      </c>
      <c r="D3866" s="33" t="s">
        <v>35519</v>
      </c>
      <c r="E3866" s="51" t="s">
        <v>775</v>
      </c>
      <c r="F3866" s="121" t="s">
        <v>3009</v>
      </c>
      <c r="G3866" s="98" t="str">
        <f>HYPERLINK("http://mirror.ff7data.com.ar/ff7/data/battle/battle.lgp/gwbc.png","View Picture")</f>
        <v>View Picture</v>
      </c>
    </row>
    <row r="3867">
      <c r="A3867" s="55"/>
      <c r="B3867" s="119" t="s">
        <v>35556</v>
      </c>
      <c r="C3867" s="120" t="s">
        <v>7148</v>
      </c>
      <c r="D3867" s="33" t="s">
        <v>35519</v>
      </c>
      <c r="E3867" s="51" t="s">
        <v>775</v>
      </c>
      <c r="F3867" s="121" t="s">
        <v>3009</v>
      </c>
      <c r="G3867" s="98" t="str">
        <f>HYPERLINK("http://mirror.ff7data.com.ar/ff7/data/battle/battle.lgp/gwbd.png","View Picture")</f>
        <v>View Picture</v>
      </c>
    </row>
    <row r="3868">
      <c r="A3868" s="55"/>
      <c r="B3868" s="119" t="s">
        <v>35558</v>
      </c>
      <c r="C3868" s="120" t="s">
        <v>3007</v>
      </c>
      <c r="D3868" s="33" t="s">
        <v>35519</v>
      </c>
      <c r="E3868" s="51" t="s">
        <v>775</v>
      </c>
      <c r="F3868" s="121" t="s">
        <v>3009</v>
      </c>
      <c r="G3868" s="98" t="str">
        <f>HYPERLINK("http://mirror.ff7data.com.ar/ff7/data/battle/battle.lgp/gwbe.png","View Picture")</f>
        <v>View Picture</v>
      </c>
    </row>
    <row r="3869">
      <c r="A3869" s="55"/>
      <c r="B3869" s="119" t="s">
        <v>35559</v>
      </c>
      <c r="C3869" s="120" t="s">
        <v>4057</v>
      </c>
      <c r="D3869" s="33" t="s">
        <v>35519</v>
      </c>
      <c r="E3869" s="51" t="s">
        <v>775</v>
      </c>
      <c r="F3869" s="121" t="s">
        <v>3009</v>
      </c>
      <c r="G3869" s="98" t="str">
        <f>HYPERLINK("http://mirror.ff7data.com.ar/ff7/data/battle/battle.lgp/gwbh.png","View Picture")</f>
        <v>View Picture</v>
      </c>
    </row>
    <row r="3870">
      <c r="A3870" s="55"/>
      <c r="B3870" s="119" t="s">
        <v>35561</v>
      </c>
      <c r="C3870" s="120" t="s">
        <v>4476</v>
      </c>
      <c r="D3870" s="33" t="s">
        <v>35519</v>
      </c>
      <c r="E3870" s="51" t="s">
        <v>775</v>
      </c>
      <c r="F3870" s="121" t="s">
        <v>3009</v>
      </c>
      <c r="G3870" s="98" t="str">
        <f>HYPERLINK("http://mirror.ff7data.com.ar/ff7/data/battle/battle.lgp/gwbi.png","View Picture")</f>
        <v>View Picture</v>
      </c>
    </row>
    <row r="3871">
      <c r="A3871" s="55"/>
      <c r="B3871" s="119" t="s">
        <v>35562</v>
      </c>
      <c r="C3871" s="120" t="s">
        <v>3768</v>
      </c>
      <c r="D3871" s="33" t="s">
        <v>35519</v>
      </c>
      <c r="E3871" s="51" t="s">
        <v>775</v>
      </c>
      <c r="F3871" s="121" t="s">
        <v>3009</v>
      </c>
      <c r="G3871" s="98" t="str">
        <f>HYPERLINK("http://mirror.ff7data.com.ar/ff7/data/battle/battle.lgp/gwbj.png","View Picture")</f>
        <v>View Picture</v>
      </c>
    </row>
    <row r="3872">
      <c r="A3872" s="55"/>
      <c r="B3872" s="119" t="s">
        <v>35564</v>
      </c>
      <c r="C3872" s="120" t="s">
        <v>4476</v>
      </c>
      <c r="D3872" s="33" t="s">
        <v>35519</v>
      </c>
      <c r="E3872" s="51" t="s">
        <v>775</v>
      </c>
      <c r="F3872" s="121" t="s">
        <v>3009</v>
      </c>
      <c r="G3872" s="98" t="str">
        <f>HYPERLINK("http://mirror.ff7data.com.ar/ff7/data/battle/battle.lgp/gwbk.png","View Picture")</f>
        <v>View Picture</v>
      </c>
    </row>
    <row r="3873">
      <c r="A3873" s="55"/>
      <c r="B3873" s="119" t="s">
        <v>35565</v>
      </c>
      <c r="C3873" s="120" t="s">
        <v>23032</v>
      </c>
      <c r="D3873" s="33" t="s">
        <v>35519</v>
      </c>
      <c r="E3873" s="51" t="s">
        <v>775</v>
      </c>
      <c r="F3873" s="121" t="s">
        <v>3009</v>
      </c>
      <c r="G3873" s="98" t="str">
        <f>HYPERLINK("http://mirror.ff7data.com.ar/ff7/data/battle/battle.lgp/gwbl.png","View Picture")</f>
        <v>View Picture</v>
      </c>
    </row>
    <row r="3874">
      <c r="A3874" s="55"/>
      <c r="B3874" s="119" t="s">
        <v>35566</v>
      </c>
      <c r="C3874" s="120" t="s">
        <v>4264</v>
      </c>
      <c r="D3874" s="33" t="s">
        <v>35519</v>
      </c>
      <c r="E3874" s="51" t="s">
        <v>775</v>
      </c>
      <c r="F3874" s="121" t="s">
        <v>3009</v>
      </c>
      <c r="G3874" s="98" t="str">
        <f>HYPERLINK("http://mirror.ff7data.com.ar/ff7/data/battle/battle.lgp/gwbm.png","View Picture")</f>
        <v>View Picture</v>
      </c>
    </row>
    <row r="3875">
      <c r="A3875" s="55"/>
      <c r="B3875" s="119" t="s">
        <v>35567</v>
      </c>
      <c r="C3875" s="120" t="s">
        <v>4057</v>
      </c>
      <c r="D3875" s="33" t="s">
        <v>35519</v>
      </c>
      <c r="E3875" s="51" t="s">
        <v>775</v>
      </c>
      <c r="F3875" s="121" t="s">
        <v>3009</v>
      </c>
      <c r="G3875" s="98" t="str">
        <f>HYPERLINK("http://mirror.ff7data.com.ar/ff7/data/battle/battle.lgp/gwbp.png","View Picture")</f>
        <v>View Picture</v>
      </c>
    </row>
    <row r="3876">
      <c r="A3876" s="55"/>
      <c r="B3876" s="119" t="s">
        <v>35568</v>
      </c>
      <c r="C3876" s="120" t="s">
        <v>4476</v>
      </c>
      <c r="D3876" s="33" t="s">
        <v>35519</v>
      </c>
      <c r="E3876" s="51" t="s">
        <v>775</v>
      </c>
      <c r="F3876" s="121" t="s">
        <v>3009</v>
      </c>
      <c r="G3876" s="98" t="str">
        <f>HYPERLINK("http://mirror.ff7data.com.ar/ff7/data/battle/battle.lgp/gwbq.png","View Picture")</f>
        <v>View Picture</v>
      </c>
    </row>
    <row r="3877">
      <c r="A3877" s="55"/>
      <c r="B3877" s="119" t="s">
        <v>35570</v>
      </c>
      <c r="C3877" s="120" t="s">
        <v>3723</v>
      </c>
      <c r="D3877" s="33" t="s">
        <v>35519</v>
      </c>
      <c r="E3877" s="51" t="s">
        <v>775</v>
      </c>
      <c r="F3877" s="121" t="s">
        <v>3009</v>
      </c>
      <c r="G3877" s="98" t="str">
        <f>HYPERLINK("http://mirror.ff7data.com.ar/ff7/data/battle/battle.lgp/gwbr.png","View Picture")</f>
        <v>View Picture</v>
      </c>
    </row>
    <row r="3878">
      <c r="A3878" s="55"/>
      <c r="B3878" s="119" t="s">
        <v>35571</v>
      </c>
      <c r="C3878" s="120" t="s">
        <v>4476</v>
      </c>
      <c r="D3878" s="33" t="s">
        <v>35519</v>
      </c>
      <c r="E3878" s="51" t="s">
        <v>775</v>
      </c>
      <c r="F3878" s="121" t="s">
        <v>3009</v>
      </c>
      <c r="G3878" s="98" t="str">
        <f>HYPERLINK("http://mirror.ff7data.com.ar/ff7/data/battle/battle.lgp/gwbs.png","View Picture")</f>
        <v>View Picture</v>
      </c>
    </row>
    <row r="3879">
      <c r="A3879" s="55"/>
      <c r="B3879" s="119" t="s">
        <v>35572</v>
      </c>
      <c r="C3879" s="120" t="s">
        <v>10899</v>
      </c>
      <c r="D3879" s="33" t="s">
        <v>35519</v>
      </c>
      <c r="E3879" s="51" t="s">
        <v>775</v>
      </c>
      <c r="F3879" s="121" t="s">
        <v>3009</v>
      </c>
      <c r="G3879" s="98" t="str">
        <f>HYPERLINK("http://mirror.ff7data.com.ar/ff7/data/battle/battle.lgp/gwbt.png","View Picture")</f>
        <v>View Picture</v>
      </c>
    </row>
    <row r="3880">
      <c r="A3880" s="55"/>
      <c r="B3880" s="119" t="s">
        <v>35573</v>
      </c>
      <c r="C3880" s="120" t="s">
        <v>4439</v>
      </c>
      <c r="D3880" s="33" t="s">
        <v>35519</v>
      </c>
      <c r="E3880" s="51" t="s">
        <v>775</v>
      </c>
      <c r="F3880" s="121" t="s">
        <v>3009</v>
      </c>
      <c r="G3880" s="98" t="str">
        <f>HYPERLINK("http://mirror.ff7data.com.ar/ff7/data/battle/battle.lgp/gwbu.png","View Picture")</f>
        <v>View Picture</v>
      </c>
    </row>
    <row r="3881">
      <c r="A3881" s="55"/>
      <c r="B3881" s="119" t="s">
        <v>35574</v>
      </c>
      <c r="C3881" s="120" t="s">
        <v>3318</v>
      </c>
      <c r="D3881" s="33" t="s">
        <v>35519</v>
      </c>
      <c r="E3881" s="51" t="s">
        <v>775</v>
      </c>
      <c r="F3881" s="121" t="s">
        <v>3025</v>
      </c>
      <c r="H3881" s="46" t="s">
        <v>3002</v>
      </c>
    </row>
    <row r="3882">
      <c r="A3882" s="21"/>
      <c r="B3882" s="119" t="s">
        <v>35575</v>
      </c>
      <c r="C3882" s="120" t="s">
        <v>9973</v>
      </c>
      <c r="D3882" s="33" t="s">
        <v>35576</v>
      </c>
      <c r="E3882" s="51" t="s">
        <v>780</v>
      </c>
      <c r="F3882" s="121" t="s">
        <v>2971</v>
      </c>
      <c r="G3882" s="98" t="str">
        <f>HYPERLINK("http://mirror.ff7data.com.ar/ff7/data/battle/battle.lgp/gxaa.png","View Picture")</f>
        <v>View Picture</v>
      </c>
      <c r="H3882" s="46" t="s">
        <v>35578</v>
      </c>
    </row>
    <row r="3883">
      <c r="A3883" s="55"/>
      <c r="B3883" s="119" t="s">
        <v>35579</v>
      </c>
      <c r="C3883" s="120" t="s">
        <v>9790</v>
      </c>
      <c r="D3883" s="33" t="s">
        <v>35580</v>
      </c>
      <c r="E3883" s="51" t="s">
        <v>780</v>
      </c>
      <c r="F3883" s="121" t="s">
        <v>2993</v>
      </c>
      <c r="H3883" s="46" t="s">
        <v>3002</v>
      </c>
    </row>
    <row r="3884">
      <c r="A3884" s="55"/>
      <c r="B3884" s="119" t="s">
        <v>35581</v>
      </c>
      <c r="C3884" s="120" t="s">
        <v>4191</v>
      </c>
      <c r="D3884" s="33" t="s">
        <v>35582</v>
      </c>
      <c r="E3884" s="51" t="s">
        <v>780</v>
      </c>
      <c r="F3884" s="121" t="s">
        <v>3009</v>
      </c>
      <c r="G3884" s="98" t="str">
        <f>HYPERLINK("http://mirror.ff7data.com.ar/ff7/data/battle/battle.lgp/gxac.png","View Picture")</f>
        <v>View Picture</v>
      </c>
    </row>
    <row r="3885">
      <c r="A3885" s="55"/>
      <c r="B3885" s="119" t="s">
        <v>35584</v>
      </c>
      <c r="C3885" s="120" t="s">
        <v>3671</v>
      </c>
      <c r="D3885" s="33" t="s">
        <v>35580</v>
      </c>
      <c r="E3885" s="51" t="s">
        <v>780</v>
      </c>
      <c r="F3885" s="121" t="s">
        <v>3009</v>
      </c>
      <c r="G3885" s="98" t="str">
        <f>HYPERLINK("http://mirror.ff7data.com.ar/ff7/data/battle/battle.lgp/gxam.png","View Picture")</f>
        <v>View Picture</v>
      </c>
    </row>
    <row r="3886">
      <c r="A3886" s="55"/>
      <c r="B3886" s="119" t="s">
        <v>35585</v>
      </c>
      <c r="C3886" s="120" t="s">
        <v>7894</v>
      </c>
      <c r="D3886" s="33" t="s">
        <v>35580</v>
      </c>
      <c r="E3886" s="51" t="s">
        <v>780</v>
      </c>
      <c r="F3886" s="121" t="s">
        <v>3009</v>
      </c>
      <c r="G3886" s="98" t="str">
        <f>HYPERLINK("http://mirror.ff7data.com.ar/ff7/data/battle/battle.lgp/gxan.png","View Picture")</f>
        <v>View Picture</v>
      </c>
    </row>
    <row r="3887">
      <c r="A3887" s="55"/>
      <c r="B3887" s="119" t="s">
        <v>35587</v>
      </c>
      <c r="C3887" s="120" t="s">
        <v>4185</v>
      </c>
      <c r="D3887" s="33" t="s">
        <v>35580</v>
      </c>
      <c r="E3887" s="51" t="s">
        <v>780</v>
      </c>
      <c r="F3887" s="121" t="s">
        <v>3009</v>
      </c>
      <c r="G3887" s="98" t="str">
        <f>HYPERLINK("http://mirror.ff7data.com.ar/ff7/data/battle/battle.lgp/gxaq.png","View Picture")</f>
        <v>View Picture</v>
      </c>
    </row>
    <row r="3888">
      <c r="A3888" s="55"/>
      <c r="B3888" s="119" t="s">
        <v>35588</v>
      </c>
      <c r="C3888" s="120" t="s">
        <v>4185</v>
      </c>
      <c r="D3888" s="33" t="s">
        <v>35580</v>
      </c>
      <c r="E3888" s="51" t="s">
        <v>780</v>
      </c>
      <c r="F3888" s="121" t="s">
        <v>3009</v>
      </c>
      <c r="G3888" s="98" t="str">
        <f>HYPERLINK("http://mirror.ff7data.com.ar/ff7/data/battle/battle.lgp/gxas.png","View Picture")</f>
        <v>View Picture</v>
      </c>
    </row>
    <row r="3889">
      <c r="A3889" s="55"/>
      <c r="B3889" s="119" t="s">
        <v>35591</v>
      </c>
      <c r="C3889" s="120" t="s">
        <v>4732</v>
      </c>
      <c r="D3889" s="33" t="s">
        <v>35580</v>
      </c>
      <c r="E3889" s="51" t="s">
        <v>780</v>
      </c>
      <c r="F3889" s="121" t="s">
        <v>3009</v>
      </c>
      <c r="G3889" s="98" t="str">
        <f>HYPERLINK("http://mirror.ff7data.com.ar/ff7/data/battle/battle.lgp/gxau.png","View Picture")</f>
        <v>View Picture</v>
      </c>
    </row>
    <row r="3890">
      <c r="A3890" s="55"/>
      <c r="B3890" s="119" t="s">
        <v>35593</v>
      </c>
      <c r="C3890" s="120" t="s">
        <v>28156</v>
      </c>
      <c r="D3890" s="33" t="s">
        <v>35580</v>
      </c>
      <c r="E3890" s="51" t="s">
        <v>780</v>
      </c>
      <c r="F3890" s="121" t="s">
        <v>3009</v>
      </c>
      <c r="G3890" s="98" t="str">
        <f>HYPERLINK("http://mirror.ff7data.com.ar/ff7/data/battle/battle.lgp/gxav.png","View Picture")</f>
        <v>View Picture</v>
      </c>
    </row>
    <row r="3891">
      <c r="A3891" s="55"/>
      <c r="B3891" s="119" t="s">
        <v>35594</v>
      </c>
      <c r="C3891" s="120" t="s">
        <v>4264</v>
      </c>
      <c r="D3891" s="33" t="s">
        <v>35580</v>
      </c>
      <c r="E3891" s="51" t="s">
        <v>780</v>
      </c>
      <c r="F3891" s="121" t="s">
        <v>3009</v>
      </c>
      <c r="G3891" s="98" t="str">
        <f>HYPERLINK("http://mirror.ff7data.com.ar/ff7/data/battle/battle.lgp/gxax.png","View Picture")</f>
        <v>View Picture</v>
      </c>
    </row>
    <row r="3892">
      <c r="A3892" s="55"/>
      <c r="B3892" s="119" t="s">
        <v>35596</v>
      </c>
      <c r="C3892" s="120" t="s">
        <v>28156</v>
      </c>
      <c r="D3892" s="33" t="s">
        <v>35580</v>
      </c>
      <c r="E3892" s="51" t="s">
        <v>780</v>
      </c>
      <c r="F3892" s="121" t="s">
        <v>3009</v>
      </c>
      <c r="G3892" s="98" t="str">
        <f>HYPERLINK("http://mirror.ff7data.com.ar/ff7/data/battle/battle.lgp/gxay.png","View Picture")</f>
        <v>View Picture</v>
      </c>
    </row>
    <row r="3893">
      <c r="A3893" s="55"/>
      <c r="B3893" s="119" t="s">
        <v>35598</v>
      </c>
      <c r="C3893" s="120" t="s">
        <v>4264</v>
      </c>
      <c r="D3893" s="33" t="s">
        <v>35580</v>
      </c>
      <c r="E3893" s="51" t="s">
        <v>780</v>
      </c>
      <c r="F3893" s="121" t="s">
        <v>3009</v>
      </c>
      <c r="G3893" s="98" t="str">
        <f>HYPERLINK("http://mirror.ff7data.com.ar/ff7/data/battle/battle.lgp/gxba.png","View Picture")</f>
        <v>View Picture</v>
      </c>
    </row>
    <row r="3894">
      <c r="A3894" s="55"/>
      <c r="B3894" s="119" t="s">
        <v>35600</v>
      </c>
      <c r="C3894" s="120" t="s">
        <v>28156</v>
      </c>
      <c r="D3894" s="33" t="s">
        <v>35580</v>
      </c>
      <c r="E3894" s="51" t="s">
        <v>780</v>
      </c>
      <c r="F3894" s="121" t="s">
        <v>3009</v>
      </c>
      <c r="G3894" s="98" t="str">
        <f>HYPERLINK("http://mirror.ff7data.com.ar/ff7/data/battle/battle.lgp/gxbb.png","View Picture")</f>
        <v>View Picture</v>
      </c>
    </row>
    <row r="3895">
      <c r="A3895" s="55"/>
      <c r="B3895" s="119" t="s">
        <v>35601</v>
      </c>
      <c r="C3895" s="120" t="s">
        <v>4732</v>
      </c>
      <c r="D3895" s="33" t="s">
        <v>35580</v>
      </c>
      <c r="E3895" s="51" t="s">
        <v>780</v>
      </c>
      <c r="F3895" s="121" t="s">
        <v>3009</v>
      </c>
      <c r="G3895" s="98" t="str">
        <f>HYPERLINK("http://mirror.ff7data.com.ar/ff7/data/battle/battle.lgp/gxbd.png","View Picture")</f>
        <v>View Picture</v>
      </c>
    </row>
    <row r="3896">
      <c r="A3896" s="55"/>
      <c r="B3896" s="119" t="s">
        <v>35603</v>
      </c>
      <c r="C3896" s="120" t="s">
        <v>4264</v>
      </c>
      <c r="D3896" s="33" t="s">
        <v>35580</v>
      </c>
      <c r="E3896" s="51" t="s">
        <v>780</v>
      </c>
      <c r="F3896" s="121" t="s">
        <v>3009</v>
      </c>
      <c r="G3896" s="98" t="str">
        <f>HYPERLINK("http://mirror.ff7data.com.ar/ff7/data/battle/battle.lgp/gxbf.png","View Picture")</f>
        <v>View Picture</v>
      </c>
    </row>
    <row r="3897">
      <c r="A3897" s="55"/>
      <c r="B3897" s="119" t="s">
        <v>35604</v>
      </c>
      <c r="C3897" s="120" t="s">
        <v>4732</v>
      </c>
      <c r="D3897" s="33" t="s">
        <v>35580</v>
      </c>
      <c r="E3897" s="51" t="s">
        <v>780</v>
      </c>
      <c r="F3897" s="121" t="s">
        <v>3009</v>
      </c>
      <c r="G3897" s="98" t="str">
        <f>HYPERLINK("http://mirror.ff7data.com.ar/ff7/data/battle/battle.lgp/gxbh.png","View Picture")</f>
        <v>View Picture</v>
      </c>
    </row>
    <row r="3898">
      <c r="A3898" s="55"/>
      <c r="B3898" s="119" t="s">
        <v>35605</v>
      </c>
      <c r="C3898" s="120" t="s">
        <v>26336</v>
      </c>
      <c r="D3898" s="33" t="s">
        <v>35580</v>
      </c>
      <c r="E3898" s="51" t="s">
        <v>780</v>
      </c>
      <c r="F3898" s="121" t="s">
        <v>3009</v>
      </c>
      <c r="G3898" s="98" t="str">
        <f>HYPERLINK("http://mirror.ff7data.com.ar/ff7/data/battle/battle.lgp/gxbi.png","View Picture")</f>
        <v>View Picture</v>
      </c>
    </row>
    <row r="3899">
      <c r="A3899" s="55"/>
      <c r="B3899" s="119" t="s">
        <v>35606</v>
      </c>
      <c r="C3899" s="120" t="s">
        <v>4264</v>
      </c>
      <c r="D3899" s="33" t="s">
        <v>35580</v>
      </c>
      <c r="E3899" s="51" t="s">
        <v>780</v>
      </c>
      <c r="F3899" s="121" t="s">
        <v>3009</v>
      </c>
      <c r="G3899" s="98" t="str">
        <f>HYPERLINK("http://mirror.ff7data.com.ar/ff7/data/battle/battle.lgp/gxbk.png","View Picture")</f>
        <v>View Picture</v>
      </c>
    </row>
    <row r="3900">
      <c r="A3900" s="55"/>
      <c r="B3900" s="119" t="s">
        <v>35607</v>
      </c>
      <c r="C3900" s="120" t="s">
        <v>3658</v>
      </c>
      <c r="D3900" s="33" t="s">
        <v>35580</v>
      </c>
      <c r="E3900" s="51" t="s">
        <v>780</v>
      </c>
      <c r="F3900" s="121" t="s">
        <v>3009</v>
      </c>
      <c r="G3900" s="98" t="str">
        <f>HYPERLINK("http://mirror.ff7data.com.ar/ff7/data/battle/battle.lgp/gxbl.png","View Picture")</f>
        <v>View Picture</v>
      </c>
    </row>
    <row r="3901">
      <c r="A3901" s="55"/>
      <c r="B3901" s="119" t="s">
        <v>35608</v>
      </c>
      <c r="C3901" s="120" t="s">
        <v>3566</v>
      </c>
      <c r="D3901" s="33" t="s">
        <v>35580</v>
      </c>
      <c r="E3901" s="51" t="s">
        <v>780</v>
      </c>
      <c r="F3901" s="121" t="s">
        <v>3009</v>
      </c>
      <c r="G3901" s="98" t="str">
        <f>HYPERLINK("http://mirror.ff7data.com.ar/ff7/data/battle/battle.lgp/gxbn.png","View Picture")</f>
        <v>View Picture</v>
      </c>
    </row>
    <row r="3902">
      <c r="A3902" s="55"/>
      <c r="B3902" s="119" t="s">
        <v>35609</v>
      </c>
      <c r="C3902" s="120" t="s">
        <v>4288</v>
      </c>
      <c r="D3902" s="33" t="s">
        <v>35580</v>
      </c>
      <c r="E3902" s="51" t="s">
        <v>780</v>
      </c>
      <c r="F3902" s="121" t="s">
        <v>3009</v>
      </c>
      <c r="G3902" s="98" t="str">
        <f>HYPERLINK("http://mirror.ff7data.com.ar/ff7/data/battle/battle.lgp/gxbp.png","View Picture")</f>
        <v>View Picture</v>
      </c>
    </row>
    <row r="3903">
      <c r="A3903" s="55"/>
      <c r="B3903" s="119" t="s">
        <v>35610</v>
      </c>
      <c r="C3903" s="120" t="s">
        <v>3658</v>
      </c>
      <c r="D3903" s="33" t="s">
        <v>35580</v>
      </c>
      <c r="E3903" s="51" t="s">
        <v>780</v>
      </c>
      <c r="F3903" s="121" t="s">
        <v>3009</v>
      </c>
      <c r="G3903" s="98" t="str">
        <f>HYPERLINK("http://mirror.ff7data.com.ar/ff7/data/battle/battle.lgp/gxbq.png","View Picture")</f>
        <v>View Picture</v>
      </c>
    </row>
    <row r="3904">
      <c r="A3904" s="55"/>
      <c r="B3904" s="119" t="s">
        <v>35611</v>
      </c>
      <c r="C3904" s="120" t="s">
        <v>4396</v>
      </c>
      <c r="D3904" s="33" t="s">
        <v>35580</v>
      </c>
      <c r="E3904" s="51" t="s">
        <v>780</v>
      </c>
      <c r="F3904" s="121" t="s">
        <v>3009</v>
      </c>
      <c r="G3904" s="98" t="str">
        <f>HYPERLINK("http://mirror.ff7data.com.ar/ff7/data/battle/battle.lgp/gxbs.png","View Picture")</f>
        <v>View Picture</v>
      </c>
    </row>
    <row r="3905">
      <c r="A3905" s="55"/>
      <c r="B3905" s="119" t="s">
        <v>35612</v>
      </c>
      <c r="C3905" s="120" t="s">
        <v>4217</v>
      </c>
      <c r="D3905" s="33" t="s">
        <v>35580</v>
      </c>
      <c r="E3905" s="51" t="s">
        <v>780</v>
      </c>
      <c r="F3905" s="121" t="s">
        <v>3009</v>
      </c>
      <c r="G3905" s="98" t="str">
        <f>HYPERLINK("http://mirror.ff7data.com.ar/ff7/data/battle/battle.lgp/gxbt.png","View Picture")</f>
        <v>View Picture</v>
      </c>
    </row>
    <row r="3906">
      <c r="A3906" s="55"/>
      <c r="B3906" s="119" t="s">
        <v>35613</v>
      </c>
      <c r="C3906" s="120" t="s">
        <v>10078</v>
      </c>
      <c r="D3906" s="33" t="s">
        <v>35580</v>
      </c>
      <c r="E3906" s="51" t="s">
        <v>780</v>
      </c>
      <c r="F3906" s="121" t="s">
        <v>3009</v>
      </c>
      <c r="G3906" s="98" t="str">
        <f>HYPERLINK("http://mirror.ff7data.com.ar/ff7/data/battle/battle.lgp/gxbv.png","View Picture")</f>
        <v>View Picture</v>
      </c>
    </row>
    <row r="3907">
      <c r="A3907" s="55"/>
      <c r="B3907" s="119" t="s">
        <v>35614</v>
      </c>
      <c r="C3907" s="120" t="s">
        <v>4217</v>
      </c>
      <c r="D3907" s="33" t="s">
        <v>35580</v>
      </c>
      <c r="E3907" s="51" t="s">
        <v>780</v>
      </c>
      <c r="F3907" s="121" t="s">
        <v>3009</v>
      </c>
      <c r="G3907" s="98" t="str">
        <f>HYPERLINK("http://mirror.ff7data.com.ar/ff7/data/battle/battle.lgp/gxbw.png","View Picture")</f>
        <v>View Picture</v>
      </c>
    </row>
    <row r="3908">
      <c r="A3908" s="55"/>
      <c r="B3908" s="119" t="s">
        <v>35615</v>
      </c>
      <c r="C3908" s="120" t="s">
        <v>4057</v>
      </c>
      <c r="D3908" s="33" t="s">
        <v>35580</v>
      </c>
      <c r="E3908" s="51" t="s">
        <v>780</v>
      </c>
      <c r="F3908" s="121" t="s">
        <v>3009</v>
      </c>
      <c r="G3908" s="98" t="str">
        <f>HYPERLINK("http://mirror.ff7data.com.ar/ff7/data/battle/battle.lgp/gxbx.png","View Picture")</f>
        <v>View Picture</v>
      </c>
    </row>
    <row r="3909">
      <c r="A3909" s="55"/>
      <c r="B3909" s="119" t="s">
        <v>35616</v>
      </c>
      <c r="C3909" s="120" t="s">
        <v>4719</v>
      </c>
      <c r="D3909" s="33" t="s">
        <v>35580</v>
      </c>
      <c r="E3909" s="51" t="s">
        <v>780</v>
      </c>
      <c r="F3909" s="121" t="s">
        <v>3009</v>
      </c>
      <c r="G3909" s="98" t="str">
        <f>HYPERLINK("http://mirror.ff7data.com.ar/ff7/data/battle/battle.lgp/gxby.png","View Picture")</f>
        <v>View Picture</v>
      </c>
    </row>
    <row r="3910">
      <c r="A3910" s="55"/>
      <c r="B3910" s="119" t="s">
        <v>35617</v>
      </c>
      <c r="C3910" s="120" t="s">
        <v>4357</v>
      </c>
      <c r="D3910" s="33" t="s">
        <v>35580</v>
      </c>
      <c r="E3910" s="51" t="s">
        <v>780</v>
      </c>
      <c r="F3910" s="121" t="s">
        <v>3009</v>
      </c>
      <c r="G3910" s="98" t="str">
        <f>HYPERLINK("http://mirror.ff7data.com.ar/ff7/data/battle/battle.lgp/gxbz.png","View Picture")</f>
        <v>View Picture</v>
      </c>
    </row>
    <row r="3911">
      <c r="A3911" s="55"/>
      <c r="B3911" s="119" t="s">
        <v>35618</v>
      </c>
      <c r="C3911" s="120" t="s">
        <v>13619</v>
      </c>
      <c r="D3911" s="33" t="s">
        <v>35580</v>
      </c>
      <c r="E3911" s="51" t="s">
        <v>780</v>
      </c>
      <c r="F3911" s="121" t="s">
        <v>3025</v>
      </c>
      <c r="H3911" s="46" t="s">
        <v>3002</v>
      </c>
    </row>
    <row r="3912">
      <c r="A3912" s="21"/>
      <c r="B3912" s="119" t="s">
        <v>35619</v>
      </c>
      <c r="C3912" s="120" t="s">
        <v>4846</v>
      </c>
      <c r="D3912" s="33" t="s">
        <v>35620</v>
      </c>
      <c r="E3912" s="51" t="s">
        <v>787</v>
      </c>
      <c r="F3912" s="121" t="s">
        <v>2971</v>
      </c>
      <c r="G3912" s="98" t="str">
        <f>HYPERLINK("http://mirror.ff7data.com.ar/ff7/data/battle/battle.lgp/gyaa.png","View Picture")</f>
        <v>View Picture</v>
      </c>
      <c r="H3912" s="46" t="s">
        <v>35621</v>
      </c>
    </row>
    <row r="3913">
      <c r="A3913" s="55"/>
      <c r="B3913" s="119" t="s">
        <v>35622</v>
      </c>
      <c r="C3913" s="120" t="s">
        <v>4846</v>
      </c>
      <c r="D3913" s="33" t="s">
        <v>35623</v>
      </c>
      <c r="E3913" s="51" t="s">
        <v>787</v>
      </c>
      <c r="F3913" s="121" t="s">
        <v>2993</v>
      </c>
      <c r="H3913" s="46" t="s">
        <v>3002</v>
      </c>
    </row>
    <row r="3914">
      <c r="A3914" s="55"/>
      <c r="B3914" s="119" t="s">
        <v>35624</v>
      </c>
      <c r="C3914" s="120" t="s">
        <v>4057</v>
      </c>
      <c r="D3914" s="33" t="s">
        <v>35623</v>
      </c>
      <c r="E3914" s="51" t="s">
        <v>787</v>
      </c>
      <c r="F3914" s="121" t="s">
        <v>3009</v>
      </c>
      <c r="G3914" s="98" t="str">
        <f>HYPERLINK("http://mirror.ff7data.com.ar/ff7/data/battle/battle.lgp/gyam.png","View Picture")</f>
        <v>View Picture</v>
      </c>
    </row>
    <row r="3915">
      <c r="A3915" s="55"/>
      <c r="B3915" s="119" t="s">
        <v>35625</v>
      </c>
      <c r="C3915" s="120" t="s">
        <v>4252</v>
      </c>
      <c r="D3915" s="33" t="s">
        <v>35623</v>
      </c>
      <c r="E3915" s="51" t="s">
        <v>787</v>
      </c>
      <c r="F3915" s="121" t="s">
        <v>3009</v>
      </c>
      <c r="G3915" s="98" t="str">
        <f>HYPERLINK("http://mirror.ff7data.com.ar/ff7/data/battle/battle.lgp/gyan.png","View Picture")</f>
        <v>View Picture</v>
      </c>
    </row>
    <row r="3916">
      <c r="A3916" s="55"/>
      <c r="B3916" s="119" t="s">
        <v>35626</v>
      </c>
      <c r="C3916" s="120" t="s">
        <v>3875</v>
      </c>
      <c r="D3916" s="33" t="s">
        <v>35623</v>
      </c>
      <c r="E3916" s="51" t="s">
        <v>787</v>
      </c>
      <c r="F3916" s="121" t="s">
        <v>3009</v>
      </c>
      <c r="G3916" s="98" t="str">
        <f>HYPERLINK("http://mirror.ff7data.com.ar/ff7/data/battle/battle.lgp/gyao.png","View Picture")</f>
        <v>View Picture</v>
      </c>
    </row>
    <row r="3917">
      <c r="A3917" s="55"/>
      <c r="B3917" s="119" t="s">
        <v>35627</v>
      </c>
      <c r="C3917" s="120" t="s">
        <v>4288</v>
      </c>
      <c r="D3917" s="33" t="s">
        <v>35623</v>
      </c>
      <c r="E3917" s="51" t="s">
        <v>787</v>
      </c>
      <c r="F3917" s="121" t="s">
        <v>3009</v>
      </c>
      <c r="G3917" s="98" t="str">
        <f>HYPERLINK("http://mirror.ff7data.com.ar/ff7/data/battle/battle.lgp/gyaq.png","View Picture")</f>
        <v>View Picture</v>
      </c>
    </row>
    <row r="3918">
      <c r="A3918" s="55"/>
      <c r="B3918" s="119" t="s">
        <v>35628</v>
      </c>
      <c r="C3918" s="120" t="s">
        <v>4732</v>
      </c>
      <c r="D3918" s="33" t="s">
        <v>35623</v>
      </c>
      <c r="E3918" s="51" t="s">
        <v>787</v>
      </c>
      <c r="F3918" s="121" t="s">
        <v>3009</v>
      </c>
      <c r="G3918" s="98" t="str">
        <f>HYPERLINK("http://mirror.ff7data.com.ar/ff7/data/battle/battle.lgp/gyar.png","View Picture")</f>
        <v>View Picture</v>
      </c>
    </row>
    <row r="3919">
      <c r="A3919" s="55"/>
      <c r="B3919" s="119" t="s">
        <v>35629</v>
      </c>
      <c r="C3919" s="120" t="s">
        <v>4288</v>
      </c>
      <c r="D3919" s="33" t="s">
        <v>35623</v>
      </c>
      <c r="E3919" s="51" t="s">
        <v>787</v>
      </c>
      <c r="F3919" s="121" t="s">
        <v>3009</v>
      </c>
      <c r="G3919" s="98" t="str">
        <f>HYPERLINK("http://mirror.ff7data.com.ar/ff7/data/battle/battle.lgp/gyat.png","View Picture")</f>
        <v>View Picture</v>
      </c>
    </row>
    <row r="3920">
      <c r="A3920" s="55"/>
      <c r="B3920" s="119" t="s">
        <v>35630</v>
      </c>
      <c r="C3920" s="120" t="s">
        <v>4732</v>
      </c>
      <c r="D3920" s="33" t="s">
        <v>35623</v>
      </c>
      <c r="E3920" s="51" t="s">
        <v>787</v>
      </c>
      <c r="F3920" s="121" t="s">
        <v>3009</v>
      </c>
      <c r="G3920" s="98" t="str">
        <f>HYPERLINK("http://mirror.ff7data.com.ar/ff7/data/battle/battle.lgp/gyau.png","View Picture")</f>
        <v>View Picture</v>
      </c>
    </row>
    <row r="3921">
      <c r="A3921" s="55"/>
      <c r="B3921" s="119" t="s">
        <v>35631</v>
      </c>
      <c r="C3921" s="120" t="s">
        <v>4707</v>
      </c>
      <c r="D3921" s="33" t="s">
        <v>35623</v>
      </c>
      <c r="E3921" s="51" t="s">
        <v>787</v>
      </c>
      <c r="F3921" s="121" t="s">
        <v>3009</v>
      </c>
      <c r="G3921" s="98" t="str">
        <f>HYPERLINK("http://mirror.ff7data.com.ar/ff7/data/battle/battle.lgp/gyaw.png","View Picture")</f>
        <v>View Picture</v>
      </c>
    </row>
    <row r="3922">
      <c r="A3922" s="55"/>
      <c r="B3922" s="119" t="s">
        <v>35632</v>
      </c>
      <c r="C3922" s="120" t="s">
        <v>4288</v>
      </c>
      <c r="D3922" s="33" t="s">
        <v>35623</v>
      </c>
      <c r="E3922" s="51" t="s">
        <v>787</v>
      </c>
      <c r="F3922" s="121" t="s">
        <v>3009</v>
      </c>
      <c r="G3922" s="98" t="str">
        <f>HYPERLINK("http://mirror.ff7data.com.ar/ff7/data/battle/battle.lgp/gyax.png","View Picture")</f>
        <v>View Picture</v>
      </c>
    </row>
    <row r="3923">
      <c r="A3923" s="55"/>
      <c r="B3923" s="119" t="s">
        <v>35633</v>
      </c>
      <c r="C3923" s="120" t="s">
        <v>7148</v>
      </c>
      <c r="D3923" s="33" t="s">
        <v>35623</v>
      </c>
      <c r="E3923" s="51" t="s">
        <v>787</v>
      </c>
      <c r="F3923" s="121" t="s">
        <v>3009</v>
      </c>
      <c r="G3923" s="98" t="str">
        <f>HYPERLINK("http://mirror.ff7data.com.ar/ff7/data/battle/battle.lgp/gyay.png","View Picture")</f>
        <v>View Picture</v>
      </c>
    </row>
    <row r="3924">
      <c r="A3924" s="55"/>
      <c r="B3924" s="119" t="s">
        <v>35634</v>
      </c>
      <c r="C3924" s="120" t="s">
        <v>5419</v>
      </c>
      <c r="D3924" s="33" t="s">
        <v>35623</v>
      </c>
      <c r="E3924" s="51" t="s">
        <v>787</v>
      </c>
      <c r="F3924" s="121" t="s">
        <v>3009</v>
      </c>
      <c r="G3924" s="98" t="str">
        <f>HYPERLINK("http://mirror.ff7data.com.ar/ff7/data/battle/battle.lgp/gyaz.png","View Picture")</f>
        <v>View Picture</v>
      </c>
    </row>
    <row r="3925">
      <c r="A3925" s="55"/>
      <c r="B3925" s="119" t="s">
        <v>35635</v>
      </c>
      <c r="C3925" s="120" t="s">
        <v>4707</v>
      </c>
      <c r="D3925" s="33" t="s">
        <v>35623</v>
      </c>
      <c r="E3925" s="51" t="s">
        <v>787</v>
      </c>
      <c r="F3925" s="121" t="s">
        <v>3009</v>
      </c>
      <c r="G3925" s="98" t="str">
        <f>HYPERLINK("http://mirror.ff7data.com.ar/ff7/data/battle/battle.lgp/gybb.png","View Picture")</f>
        <v>View Picture</v>
      </c>
    </row>
    <row r="3926">
      <c r="A3926" s="55"/>
      <c r="B3926" s="119" t="s">
        <v>35636</v>
      </c>
      <c r="C3926" s="120" t="s">
        <v>4288</v>
      </c>
      <c r="D3926" s="33" t="s">
        <v>35623</v>
      </c>
      <c r="E3926" s="51" t="s">
        <v>787</v>
      </c>
      <c r="F3926" s="121" t="s">
        <v>3009</v>
      </c>
      <c r="G3926" s="98" t="str">
        <f>HYPERLINK("http://mirror.ff7data.com.ar/ff7/data/battle/battle.lgp/gybc.png","View Picture")</f>
        <v>View Picture</v>
      </c>
    </row>
    <row r="3927">
      <c r="A3927" s="55"/>
      <c r="B3927" s="119" t="s">
        <v>35637</v>
      </c>
      <c r="C3927" s="120" t="s">
        <v>7148</v>
      </c>
      <c r="D3927" s="33" t="s">
        <v>35623</v>
      </c>
      <c r="E3927" s="51" t="s">
        <v>787</v>
      </c>
      <c r="F3927" s="121" t="s">
        <v>3009</v>
      </c>
      <c r="G3927" s="98" t="str">
        <f>HYPERLINK("http://mirror.ff7data.com.ar/ff7/data/battle/battle.lgp/gybd.png","View Picture")</f>
        <v>View Picture</v>
      </c>
    </row>
    <row r="3928">
      <c r="A3928" s="55"/>
      <c r="B3928" s="119" t="s">
        <v>35638</v>
      </c>
      <c r="C3928" s="120" t="s">
        <v>5419</v>
      </c>
      <c r="D3928" s="33" t="s">
        <v>35623</v>
      </c>
      <c r="E3928" s="51" t="s">
        <v>787</v>
      </c>
      <c r="F3928" s="121" t="s">
        <v>3009</v>
      </c>
      <c r="G3928" s="98" t="str">
        <f>HYPERLINK("http://mirror.ff7data.com.ar/ff7/data/battle/battle.lgp/gybe.png","View Picture")</f>
        <v>View Picture</v>
      </c>
    </row>
    <row r="3929">
      <c r="A3929" s="55"/>
      <c r="B3929" s="119" t="s">
        <v>35639</v>
      </c>
      <c r="C3929" s="120" t="s">
        <v>4264</v>
      </c>
      <c r="D3929" s="33" t="s">
        <v>35623</v>
      </c>
      <c r="E3929" s="51" t="s">
        <v>787</v>
      </c>
      <c r="F3929" s="121" t="s">
        <v>3009</v>
      </c>
      <c r="G3929" s="98" t="str">
        <f>HYPERLINK("http://mirror.ff7data.com.ar/ff7/data/battle/battle.lgp/gybg.png","View Picture")</f>
        <v>View Picture</v>
      </c>
    </row>
    <row r="3930">
      <c r="A3930" s="55"/>
      <c r="B3930" s="119" t="s">
        <v>35640</v>
      </c>
      <c r="C3930" s="120" t="s">
        <v>7148</v>
      </c>
      <c r="D3930" s="33" t="s">
        <v>35623</v>
      </c>
      <c r="E3930" s="51" t="s">
        <v>787</v>
      </c>
      <c r="F3930" s="121" t="s">
        <v>3009</v>
      </c>
      <c r="G3930" s="98" t="str">
        <f>HYPERLINK("http://mirror.ff7data.com.ar/ff7/data/battle/battle.lgp/gybh.png","View Picture")</f>
        <v>View Picture</v>
      </c>
    </row>
    <row r="3931">
      <c r="A3931" s="55"/>
      <c r="B3931" s="119" t="s">
        <v>35641</v>
      </c>
      <c r="C3931" s="120" t="s">
        <v>7148</v>
      </c>
      <c r="D3931" s="33" t="s">
        <v>35623</v>
      </c>
      <c r="E3931" s="51" t="s">
        <v>787</v>
      </c>
      <c r="F3931" s="121" t="s">
        <v>3009</v>
      </c>
      <c r="G3931" s="98" t="str">
        <f>HYPERLINK("http://mirror.ff7data.com.ar/ff7/data/battle/battle.lgp/gybi.png","View Picture")</f>
        <v>View Picture</v>
      </c>
    </row>
    <row r="3932">
      <c r="A3932" s="55"/>
      <c r="B3932" s="119" t="s">
        <v>35642</v>
      </c>
      <c r="C3932" s="120" t="s">
        <v>3842</v>
      </c>
      <c r="D3932" s="33" t="s">
        <v>35623</v>
      </c>
      <c r="E3932" s="51" t="s">
        <v>787</v>
      </c>
      <c r="F3932" s="121" t="s">
        <v>3009</v>
      </c>
      <c r="G3932" s="98" t="str">
        <f>HYPERLINK("http://mirror.ff7data.com.ar/ff7/data/battle/battle.lgp/gybj.png","View Picture")</f>
        <v>View Picture</v>
      </c>
    </row>
    <row r="3933">
      <c r="A3933" s="55"/>
      <c r="B3933" s="119" t="s">
        <v>35643</v>
      </c>
      <c r="C3933" s="120" t="s">
        <v>4264</v>
      </c>
      <c r="D3933" s="33" t="s">
        <v>35623</v>
      </c>
      <c r="E3933" s="51" t="s">
        <v>787</v>
      </c>
      <c r="F3933" s="121" t="s">
        <v>3009</v>
      </c>
      <c r="G3933" s="98" t="str">
        <f>HYPERLINK("http://mirror.ff7data.com.ar/ff7/data/battle/battle.lgp/gybl.png","View Picture")</f>
        <v>View Picture</v>
      </c>
    </row>
    <row r="3934">
      <c r="A3934" s="55"/>
      <c r="B3934" s="119" t="s">
        <v>35644</v>
      </c>
      <c r="C3934" s="120" t="s">
        <v>7148</v>
      </c>
      <c r="D3934" s="33" t="s">
        <v>35623</v>
      </c>
      <c r="E3934" s="51" t="s">
        <v>787</v>
      </c>
      <c r="F3934" s="121" t="s">
        <v>3009</v>
      </c>
      <c r="G3934" s="98" t="str">
        <f>HYPERLINK("http://mirror.ff7data.com.ar/ff7/data/battle/battle.lgp/gybm.png","View Picture")</f>
        <v>View Picture</v>
      </c>
    </row>
    <row r="3935">
      <c r="A3935" s="55"/>
      <c r="B3935" s="119" t="s">
        <v>35645</v>
      </c>
      <c r="C3935" s="120" t="s">
        <v>7148</v>
      </c>
      <c r="D3935" s="33" t="s">
        <v>35623</v>
      </c>
      <c r="E3935" s="51" t="s">
        <v>787</v>
      </c>
      <c r="F3935" s="121" t="s">
        <v>3009</v>
      </c>
      <c r="G3935" s="98" t="str">
        <f>HYPERLINK("http://mirror.ff7data.com.ar/ff7/data/battle/battle.lgp/gybn.png","View Picture")</f>
        <v>View Picture</v>
      </c>
    </row>
    <row r="3936">
      <c r="A3936" s="55"/>
      <c r="B3936" s="119" t="s">
        <v>35646</v>
      </c>
      <c r="C3936" s="120" t="s">
        <v>3842</v>
      </c>
      <c r="D3936" s="33" t="s">
        <v>35623</v>
      </c>
      <c r="E3936" s="51" t="s">
        <v>787</v>
      </c>
      <c r="F3936" s="121" t="s">
        <v>3009</v>
      </c>
      <c r="G3936" s="98" t="str">
        <f>HYPERLINK("http://mirror.ff7data.com.ar/ff7/data/battle/battle.lgp/gybo.png","View Picture")</f>
        <v>View Picture</v>
      </c>
    </row>
    <row r="3937">
      <c r="A3937" s="55"/>
      <c r="B3937" s="119" t="s">
        <v>35647</v>
      </c>
      <c r="C3937" s="120" t="s">
        <v>7148</v>
      </c>
      <c r="D3937" s="33" t="s">
        <v>35623</v>
      </c>
      <c r="E3937" s="51" t="s">
        <v>787</v>
      </c>
      <c r="F3937" s="121" t="s">
        <v>3009</v>
      </c>
      <c r="G3937" s="98" t="str">
        <f>HYPERLINK("http://mirror.ff7data.com.ar/ff7/data/battle/battle.lgp/gybp.png","View Picture")</f>
        <v>View Picture</v>
      </c>
    </row>
    <row r="3938">
      <c r="A3938" s="55"/>
      <c r="B3938" s="119" t="s">
        <v>35648</v>
      </c>
      <c r="C3938" s="120" t="s">
        <v>7148</v>
      </c>
      <c r="D3938" s="33" t="s">
        <v>35623</v>
      </c>
      <c r="E3938" s="51" t="s">
        <v>787</v>
      </c>
      <c r="F3938" s="121" t="s">
        <v>3009</v>
      </c>
      <c r="G3938" s="98" t="str">
        <f>HYPERLINK("http://mirror.ff7data.com.ar/ff7/data/battle/battle.lgp/gybq.png","View Picture")</f>
        <v>View Picture</v>
      </c>
    </row>
    <row r="3939">
      <c r="A3939" s="55"/>
      <c r="B3939" s="119" t="s">
        <v>35649</v>
      </c>
      <c r="C3939" s="120" t="s">
        <v>7148</v>
      </c>
      <c r="D3939" s="33" t="s">
        <v>35623</v>
      </c>
      <c r="E3939" s="51" t="s">
        <v>787</v>
      </c>
      <c r="F3939" s="121" t="s">
        <v>3009</v>
      </c>
      <c r="G3939" s="98" t="str">
        <f>HYPERLINK("http://mirror.ff7data.com.ar/ff7/data/battle/battle.lgp/gybr.png","View Picture")</f>
        <v>View Picture</v>
      </c>
    </row>
    <row r="3940">
      <c r="A3940" s="55"/>
      <c r="B3940" s="119" t="s">
        <v>35650</v>
      </c>
      <c r="C3940" s="120" t="s">
        <v>4841</v>
      </c>
      <c r="D3940" s="33" t="s">
        <v>35623</v>
      </c>
      <c r="E3940" s="51" t="s">
        <v>787</v>
      </c>
      <c r="F3940" s="121" t="s">
        <v>3025</v>
      </c>
      <c r="H3940" s="46" t="s">
        <v>3002</v>
      </c>
    </row>
    <row r="3941">
      <c r="A3941" s="21"/>
      <c r="B3941" s="119" t="s">
        <v>35651</v>
      </c>
      <c r="C3941" s="120" t="s">
        <v>4468</v>
      </c>
      <c r="D3941" s="33" t="s">
        <v>35652</v>
      </c>
      <c r="E3941" s="51" t="s">
        <v>792</v>
      </c>
      <c r="F3941" s="121" t="s">
        <v>2971</v>
      </c>
      <c r="G3941" s="98" t="str">
        <f>HYPERLINK("http://mirror.ff7data.com.ar/ff7/data/battle/battle.lgp/gzaa.png","View Picture")</f>
        <v>View Picture</v>
      </c>
      <c r="H3941" s="46" t="s">
        <v>35653</v>
      </c>
    </row>
    <row r="3942">
      <c r="A3942" s="55"/>
      <c r="B3942" s="119" t="s">
        <v>35654</v>
      </c>
      <c r="C3942" s="120" t="s">
        <v>7375</v>
      </c>
      <c r="D3942" s="33" t="s">
        <v>35655</v>
      </c>
      <c r="E3942" s="51" t="s">
        <v>792</v>
      </c>
      <c r="F3942" s="121" t="s">
        <v>2993</v>
      </c>
      <c r="H3942" s="46" t="s">
        <v>3002</v>
      </c>
    </row>
    <row r="3943">
      <c r="A3943" s="55"/>
      <c r="B3943" s="119" t="s">
        <v>35656</v>
      </c>
      <c r="C3943" s="120" t="s">
        <v>4252</v>
      </c>
      <c r="D3943" s="33" t="s">
        <v>35655</v>
      </c>
      <c r="E3943" s="51" t="s">
        <v>792</v>
      </c>
      <c r="F3943" s="121" t="s">
        <v>3009</v>
      </c>
      <c r="G3943" s="98" t="str">
        <f>HYPERLINK("http://mirror.ff7data.com.ar/ff7/data/battle/battle.lgp/gzam.png","View Picture")</f>
        <v>View Picture</v>
      </c>
    </row>
    <row r="3944">
      <c r="A3944" s="55"/>
      <c r="B3944" s="119" t="s">
        <v>35657</v>
      </c>
      <c r="C3944" s="120" t="s">
        <v>3573</v>
      </c>
      <c r="D3944" s="33" t="s">
        <v>35655</v>
      </c>
      <c r="E3944" s="51" t="s">
        <v>792</v>
      </c>
      <c r="F3944" s="121" t="s">
        <v>3009</v>
      </c>
      <c r="G3944" s="98" t="str">
        <f>HYPERLINK("http://mirror.ff7data.com.ar/ff7/data/battle/battle.lgp/gzan.png","View Picture")</f>
        <v>View Picture</v>
      </c>
    </row>
    <row r="3945">
      <c r="A3945" s="55"/>
      <c r="B3945" s="119" t="s">
        <v>35658</v>
      </c>
      <c r="C3945" s="120" t="s">
        <v>5419</v>
      </c>
      <c r="D3945" s="33" t="s">
        <v>35655</v>
      </c>
      <c r="E3945" s="51" t="s">
        <v>792</v>
      </c>
      <c r="F3945" s="121" t="s">
        <v>3009</v>
      </c>
      <c r="G3945" s="98" t="str">
        <f>HYPERLINK("http://mirror.ff7data.com.ar/ff7/data/battle/battle.lgp/gzaq.png","View Picture")</f>
        <v>View Picture</v>
      </c>
    </row>
    <row r="3946">
      <c r="A3946" s="55"/>
      <c r="B3946" s="119" t="s">
        <v>35659</v>
      </c>
      <c r="C3946" s="120" t="s">
        <v>3412</v>
      </c>
      <c r="D3946" s="33" t="s">
        <v>35655</v>
      </c>
      <c r="E3946" s="51" t="s">
        <v>792</v>
      </c>
      <c r="F3946" s="121" t="s">
        <v>3009</v>
      </c>
      <c r="G3946" s="98" t="str">
        <f>HYPERLINK("http://mirror.ff7data.com.ar/ff7/data/battle/battle.lgp/gzar.png","View Picture")</f>
        <v>View Picture</v>
      </c>
    </row>
    <row r="3947">
      <c r="A3947" s="55"/>
      <c r="B3947" s="119" t="s">
        <v>35660</v>
      </c>
      <c r="C3947" s="120" t="s">
        <v>7148</v>
      </c>
      <c r="D3947" s="33" t="s">
        <v>35655</v>
      </c>
      <c r="E3947" s="51" t="s">
        <v>792</v>
      </c>
      <c r="F3947" s="121" t="s">
        <v>3009</v>
      </c>
      <c r="G3947" s="98" t="str">
        <f>HYPERLINK("http://mirror.ff7data.com.ar/ff7/data/battle/battle.lgp/gzas.png","View Picture")</f>
        <v>View Picture</v>
      </c>
    </row>
    <row r="3948">
      <c r="A3948" s="55"/>
      <c r="B3948" s="119" t="s">
        <v>35661</v>
      </c>
      <c r="C3948" s="120" t="s">
        <v>7148</v>
      </c>
      <c r="D3948" s="33" t="s">
        <v>35655</v>
      </c>
      <c r="E3948" s="51" t="s">
        <v>792</v>
      </c>
      <c r="F3948" s="121" t="s">
        <v>3009</v>
      </c>
      <c r="G3948" s="98" t="str">
        <f>HYPERLINK("http://mirror.ff7data.com.ar/ff7/data/battle/battle.lgp/gzau.png","View Picture")</f>
        <v>View Picture</v>
      </c>
    </row>
    <row r="3949">
      <c r="A3949" s="55"/>
      <c r="B3949" s="119" t="s">
        <v>35662</v>
      </c>
      <c r="C3949" s="120" t="s">
        <v>4264</v>
      </c>
      <c r="D3949" s="33" t="s">
        <v>35655</v>
      </c>
      <c r="E3949" s="51" t="s">
        <v>792</v>
      </c>
      <c r="F3949" s="121" t="s">
        <v>3009</v>
      </c>
      <c r="G3949" s="98" t="str">
        <f>HYPERLINK("http://mirror.ff7data.com.ar/ff7/data/battle/battle.lgp/gzav.png","View Picture")</f>
        <v>View Picture</v>
      </c>
    </row>
    <row r="3950">
      <c r="A3950" s="55"/>
      <c r="B3950" s="119" t="s">
        <v>35663</v>
      </c>
      <c r="C3950" s="120" t="s">
        <v>7148</v>
      </c>
      <c r="D3950" s="33" t="s">
        <v>35655</v>
      </c>
      <c r="E3950" s="51" t="s">
        <v>792</v>
      </c>
      <c r="F3950" s="121" t="s">
        <v>3009</v>
      </c>
      <c r="G3950" s="98" t="str">
        <f>HYPERLINK("http://mirror.ff7data.com.ar/ff7/data/battle/battle.lgp/gzax.png","View Picture")</f>
        <v>View Picture</v>
      </c>
    </row>
    <row r="3951">
      <c r="A3951" s="55"/>
      <c r="B3951" s="119" t="s">
        <v>35664</v>
      </c>
      <c r="C3951" s="120" t="s">
        <v>4264</v>
      </c>
      <c r="D3951" s="33" t="s">
        <v>35655</v>
      </c>
      <c r="E3951" s="51" t="s">
        <v>792</v>
      </c>
      <c r="F3951" s="121" t="s">
        <v>3009</v>
      </c>
      <c r="G3951" s="98" t="str">
        <f>HYPERLINK("http://mirror.ff7data.com.ar/ff7/data/battle/battle.lgp/gzay.png","View Picture")</f>
        <v>View Picture</v>
      </c>
    </row>
    <row r="3952">
      <c r="A3952" s="55"/>
      <c r="B3952" s="119" t="s">
        <v>35665</v>
      </c>
      <c r="C3952" s="120" t="s">
        <v>7148</v>
      </c>
      <c r="D3952" s="33" t="s">
        <v>35655</v>
      </c>
      <c r="E3952" s="51" t="s">
        <v>792</v>
      </c>
      <c r="F3952" s="121" t="s">
        <v>3009</v>
      </c>
      <c r="G3952" s="98" t="str">
        <f>HYPERLINK("http://mirror.ff7data.com.ar/ff7/data/battle/battle.lgp/gzba.png","View Picture")</f>
        <v>View Picture</v>
      </c>
    </row>
    <row r="3953">
      <c r="A3953" s="55"/>
      <c r="B3953" s="119" t="s">
        <v>35666</v>
      </c>
      <c r="C3953" s="120" t="s">
        <v>4264</v>
      </c>
      <c r="D3953" s="33" t="s">
        <v>35655</v>
      </c>
      <c r="E3953" s="51" t="s">
        <v>792</v>
      </c>
      <c r="F3953" s="121" t="s">
        <v>3009</v>
      </c>
      <c r="G3953" s="98" t="str">
        <f>HYPERLINK("http://mirror.ff7data.com.ar/ff7/data/battle/battle.lgp/gzbb.png","View Picture")</f>
        <v>View Picture</v>
      </c>
    </row>
    <row r="3954">
      <c r="A3954" s="55"/>
      <c r="B3954" s="119" t="s">
        <v>35667</v>
      </c>
      <c r="C3954" s="120" t="s">
        <v>7148</v>
      </c>
      <c r="D3954" s="33" t="s">
        <v>35655</v>
      </c>
      <c r="E3954" s="51" t="s">
        <v>792</v>
      </c>
      <c r="F3954" s="121" t="s">
        <v>3009</v>
      </c>
      <c r="G3954" s="98" t="str">
        <f>HYPERLINK("http://mirror.ff7data.com.ar/ff7/data/battle/battle.lgp/gzbd.png","View Picture")</f>
        <v>View Picture</v>
      </c>
    </row>
    <row r="3955">
      <c r="A3955" s="55"/>
      <c r="B3955" s="119" t="s">
        <v>35668</v>
      </c>
      <c r="C3955" s="120" t="s">
        <v>4264</v>
      </c>
      <c r="D3955" s="33" t="s">
        <v>35655</v>
      </c>
      <c r="E3955" s="51" t="s">
        <v>792</v>
      </c>
      <c r="F3955" s="121" t="s">
        <v>3009</v>
      </c>
      <c r="G3955" s="98" t="str">
        <f>HYPERLINK("http://mirror.ff7data.com.ar/ff7/data/battle/battle.lgp/gzbe.png","View Picture")</f>
        <v>View Picture</v>
      </c>
    </row>
    <row r="3956">
      <c r="A3956" s="55"/>
      <c r="B3956" s="119" t="s">
        <v>35669</v>
      </c>
      <c r="C3956" s="120" t="s">
        <v>4357</v>
      </c>
      <c r="D3956" s="33" t="s">
        <v>35655</v>
      </c>
      <c r="E3956" s="51" t="s">
        <v>792</v>
      </c>
      <c r="F3956" s="121" t="s">
        <v>3009</v>
      </c>
      <c r="G3956" s="98" t="str">
        <f>HYPERLINK("http://mirror.ff7data.com.ar/ff7/data/battle/battle.lgp/gzbh.png","View Picture")</f>
        <v>View Picture</v>
      </c>
    </row>
    <row r="3957">
      <c r="A3957" s="55"/>
      <c r="B3957" s="119" t="s">
        <v>35670</v>
      </c>
      <c r="C3957" s="120" t="s">
        <v>3412</v>
      </c>
      <c r="D3957" s="33" t="s">
        <v>35655</v>
      </c>
      <c r="E3957" s="51" t="s">
        <v>792</v>
      </c>
      <c r="F3957" s="121" t="s">
        <v>3009</v>
      </c>
      <c r="G3957" s="98" t="str">
        <f>HYPERLINK("http://mirror.ff7data.com.ar/ff7/data/battle/battle.lgp/gzbi.png","View Picture")</f>
        <v>View Picture</v>
      </c>
    </row>
    <row r="3958">
      <c r="A3958" s="55"/>
      <c r="B3958" s="119" t="s">
        <v>35671</v>
      </c>
      <c r="C3958" s="120" t="s">
        <v>7148</v>
      </c>
      <c r="D3958" s="33" t="s">
        <v>35655</v>
      </c>
      <c r="E3958" s="51" t="s">
        <v>792</v>
      </c>
      <c r="F3958" s="121" t="s">
        <v>3009</v>
      </c>
      <c r="G3958" s="98" t="str">
        <f>HYPERLINK("http://mirror.ff7data.com.ar/ff7/data/battle/battle.lgp/gzbj.png","View Picture")</f>
        <v>View Picture</v>
      </c>
    </row>
    <row r="3959">
      <c r="A3959" s="55"/>
      <c r="B3959" s="119" t="s">
        <v>35672</v>
      </c>
      <c r="C3959" s="120" t="s">
        <v>4565</v>
      </c>
      <c r="D3959" s="33" t="s">
        <v>35655</v>
      </c>
      <c r="E3959" s="51" t="s">
        <v>792</v>
      </c>
      <c r="F3959" s="121" t="s">
        <v>3009</v>
      </c>
      <c r="G3959" s="98" t="str">
        <f>HYPERLINK("http://mirror.ff7data.com.ar/ff7/data/battle/battle.lgp/gzbk.png","View Picture")</f>
        <v>View Picture</v>
      </c>
    </row>
    <row r="3960">
      <c r="A3960" s="55"/>
      <c r="B3960" s="119" t="s">
        <v>35673</v>
      </c>
      <c r="C3960" s="120" t="s">
        <v>7148</v>
      </c>
      <c r="D3960" s="33" t="s">
        <v>35655</v>
      </c>
      <c r="E3960" s="51" t="s">
        <v>792</v>
      </c>
      <c r="F3960" s="121" t="s">
        <v>3009</v>
      </c>
      <c r="G3960" s="98" t="str">
        <f>HYPERLINK("http://mirror.ff7data.com.ar/ff7/data/battle/battle.lgp/gzbl.png","View Picture")</f>
        <v>View Picture</v>
      </c>
    </row>
    <row r="3961">
      <c r="A3961" s="55"/>
      <c r="B3961" s="119" t="s">
        <v>35674</v>
      </c>
      <c r="C3961" s="120" t="s">
        <v>7148</v>
      </c>
      <c r="D3961" s="33" t="s">
        <v>35655</v>
      </c>
      <c r="E3961" s="51" t="s">
        <v>792</v>
      </c>
      <c r="F3961" s="121" t="s">
        <v>3009</v>
      </c>
      <c r="G3961" s="98" t="str">
        <f>HYPERLINK("http://mirror.ff7data.com.ar/ff7/data/battle/battle.lgp/gzbm.png","View Picture")</f>
        <v>View Picture</v>
      </c>
    </row>
    <row r="3962">
      <c r="A3962" s="55"/>
      <c r="B3962" s="119" t="s">
        <v>35675</v>
      </c>
      <c r="C3962" s="120" t="s">
        <v>4396</v>
      </c>
      <c r="D3962" s="33" t="s">
        <v>35655</v>
      </c>
      <c r="E3962" s="51" t="s">
        <v>792</v>
      </c>
      <c r="F3962" s="121" t="s">
        <v>3009</v>
      </c>
      <c r="G3962" s="98" t="str">
        <f>HYPERLINK("http://mirror.ff7data.com.ar/ff7/data/battle/battle.lgp/gzbn.png","View Picture")</f>
        <v>View Picture</v>
      </c>
    </row>
    <row r="3963">
      <c r="A3963" s="55"/>
      <c r="B3963" s="119" t="s">
        <v>35676</v>
      </c>
      <c r="C3963" s="120" t="s">
        <v>4719</v>
      </c>
      <c r="D3963" s="33" t="s">
        <v>35655</v>
      </c>
      <c r="E3963" s="51" t="s">
        <v>792</v>
      </c>
      <c r="F3963" s="121" t="s">
        <v>3009</v>
      </c>
      <c r="G3963" s="98" t="str">
        <f>HYPERLINK("http://mirror.ff7data.com.ar/ff7/data/battle/battle.lgp/gzbp.png","View Picture")</f>
        <v>View Picture</v>
      </c>
    </row>
    <row r="3964">
      <c r="A3964" s="55"/>
      <c r="B3964" s="119" t="s">
        <v>35677</v>
      </c>
      <c r="C3964" s="120" t="s">
        <v>7165</v>
      </c>
      <c r="D3964" s="33" t="s">
        <v>35655</v>
      </c>
      <c r="E3964" s="51" t="s">
        <v>792</v>
      </c>
      <c r="F3964" s="121" t="s">
        <v>3009</v>
      </c>
      <c r="G3964" s="98" t="str">
        <f>HYPERLINK("http://mirror.ff7data.com.ar/ff7/data/battle/battle.lgp/gzbq.png","View Picture")</f>
        <v>View Picture</v>
      </c>
    </row>
    <row r="3965">
      <c r="A3965" s="55"/>
      <c r="B3965" s="119" t="s">
        <v>35678</v>
      </c>
      <c r="C3965" s="120" t="s">
        <v>4439</v>
      </c>
      <c r="D3965" s="33" t="s">
        <v>35655</v>
      </c>
      <c r="E3965" s="51" t="s">
        <v>792</v>
      </c>
      <c r="F3965" s="121" t="s">
        <v>3009</v>
      </c>
      <c r="G3965" s="98" t="str">
        <f>HYPERLINK("http://mirror.ff7data.com.ar/ff7/data/battle/battle.lgp/gzbr.png","View Picture")</f>
        <v>View Picture</v>
      </c>
    </row>
    <row r="3966">
      <c r="A3966" s="55"/>
      <c r="B3966" s="119" t="s">
        <v>35679</v>
      </c>
      <c r="C3966" s="120" t="s">
        <v>4719</v>
      </c>
      <c r="D3966" s="33" t="s">
        <v>35655</v>
      </c>
      <c r="E3966" s="51" t="s">
        <v>792</v>
      </c>
      <c r="F3966" s="121" t="s">
        <v>3009</v>
      </c>
      <c r="G3966" s="98" t="str">
        <f>HYPERLINK("http://mirror.ff7data.com.ar/ff7/data/battle/battle.lgp/gzbt.png","View Picture")</f>
        <v>View Picture</v>
      </c>
    </row>
    <row r="3967">
      <c r="A3967" s="55"/>
      <c r="B3967" s="119" t="s">
        <v>35680</v>
      </c>
      <c r="C3967" s="120" t="s">
        <v>5419</v>
      </c>
      <c r="D3967" s="33" t="s">
        <v>35655</v>
      </c>
      <c r="E3967" s="51" t="s">
        <v>792</v>
      </c>
      <c r="F3967" s="121" t="s">
        <v>3009</v>
      </c>
      <c r="G3967" s="98" t="str">
        <f>HYPERLINK("http://mirror.ff7data.com.ar/ff7/data/battle/battle.lgp/gzbu.png","View Picture")</f>
        <v>View Picture</v>
      </c>
    </row>
    <row r="3968">
      <c r="A3968" s="55"/>
      <c r="B3968" s="119" t="s">
        <v>35681</v>
      </c>
      <c r="C3968" s="120" t="s">
        <v>4185</v>
      </c>
      <c r="D3968" s="33" t="s">
        <v>35655</v>
      </c>
      <c r="E3968" s="51" t="s">
        <v>792</v>
      </c>
      <c r="F3968" s="121" t="s">
        <v>3009</v>
      </c>
      <c r="G3968" s="98" t="str">
        <f>HYPERLINK("http://mirror.ff7data.com.ar/ff7/data/battle/battle.lgp/gzbv.png","View Picture")</f>
        <v>View Picture</v>
      </c>
    </row>
    <row r="3969">
      <c r="A3969" s="55"/>
      <c r="B3969" s="119" t="s">
        <v>35682</v>
      </c>
      <c r="C3969" s="120" t="s">
        <v>5573</v>
      </c>
      <c r="D3969" s="33" t="s">
        <v>35655</v>
      </c>
      <c r="E3969" s="51" t="s">
        <v>792</v>
      </c>
      <c r="F3969" s="121" t="s">
        <v>3025</v>
      </c>
      <c r="H3969" s="46" t="s">
        <v>3002</v>
      </c>
    </row>
    <row r="3970">
      <c r="A3970" s="21"/>
      <c r="B3970" s="119" t="s">
        <v>35683</v>
      </c>
      <c r="C3970" s="120" t="s">
        <v>4456</v>
      </c>
      <c r="D3970" s="33" t="s">
        <v>35684</v>
      </c>
      <c r="E3970" s="51" t="s">
        <v>799</v>
      </c>
      <c r="F3970" s="121" t="s">
        <v>2971</v>
      </c>
      <c r="G3970" s="98" t="str">
        <f>HYPERLINK("http://mirror.ff7data.com.ar/ff7/data/battle/battle.lgp/haaa.png","View Picture")</f>
        <v>View Picture</v>
      </c>
    </row>
    <row r="3971">
      <c r="A3971" s="55"/>
      <c r="B3971" s="119" t="s">
        <v>35685</v>
      </c>
      <c r="C3971" s="120" t="s">
        <v>9790</v>
      </c>
      <c r="D3971" s="33" t="s">
        <v>35686</v>
      </c>
      <c r="E3971" s="51" t="s">
        <v>799</v>
      </c>
      <c r="F3971" s="121" t="s">
        <v>2993</v>
      </c>
      <c r="H3971" s="46" t="s">
        <v>3002</v>
      </c>
    </row>
    <row r="3972">
      <c r="A3972" s="55"/>
      <c r="B3972" s="119" t="s">
        <v>35687</v>
      </c>
      <c r="C3972" s="120" t="s">
        <v>3552</v>
      </c>
      <c r="D3972" s="33" t="s">
        <v>35688</v>
      </c>
      <c r="E3972" s="51" t="s">
        <v>799</v>
      </c>
      <c r="F3972" s="121" t="s">
        <v>3009</v>
      </c>
      <c r="G3972" s="98" t="str">
        <f>HYPERLINK("http://mirror.ff7data.com.ar/ff7/data/battle/battle.lgp/haac.png","View Picture")</f>
        <v>View Picture</v>
      </c>
    </row>
    <row r="3973">
      <c r="A3973" s="55"/>
      <c r="B3973" s="119" t="s">
        <v>35689</v>
      </c>
      <c r="C3973" s="120" t="s">
        <v>4191</v>
      </c>
      <c r="D3973" s="33" t="s">
        <v>35688</v>
      </c>
      <c r="E3973" s="51" t="s">
        <v>799</v>
      </c>
      <c r="F3973" s="121" t="s">
        <v>3009</v>
      </c>
      <c r="G3973" s="98" t="str">
        <f>HYPERLINK("http://mirror.ff7data.com.ar/ff7/data/battle/battle.lgp/haad.png","View Picture")</f>
        <v>View Picture</v>
      </c>
    </row>
    <row r="3974">
      <c r="A3974" s="55"/>
      <c r="B3974" s="119" t="s">
        <v>35690</v>
      </c>
      <c r="C3974" s="120" t="s">
        <v>4191</v>
      </c>
      <c r="D3974" s="33" t="s">
        <v>35688</v>
      </c>
      <c r="E3974" s="51" t="s">
        <v>799</v>
      </c>
      <c r="F3974" s="121" t="s">
        <v>3009</v>
      </c>
      <c r="G3974" s="98" t="str">
        <f>HYPERLINK("http://mirror.ff7data.com.ar/ff7/data/battle/battle.lgp/haae.png","View Picture")</f>
        <v>View Picture</v>
      </c>
    </row>
    <row r="3975">
      <c r="A3975" s="55"/>
      <c r="B3975" s="119" t="s">
        <v>35691</v>
      </c>
      <c r="C3975" s="120" t="s">
        <v>4732</v>
      </c>
      <c r="D3975" s="33" t="s">
        <v>35686</v>
      </c>
      <c r="E3975" s="51" t="s">
        <v>799</v>
      </c>
      <c r="F3975" s="121" t="s">
        <v>3009</v>
      </c>
      <c r="G3975" s="98" t="str">
        <f>HYPERLINK("http://mirror.ff7data.com.ar/ff7/data/battle/battle.lgp/haam.png","View Picture")</f>
        <v>View Picture</v>
      </c>
    </row>
    <row r="3976">
      <c r="A3976" s="55"/>
      <c r="B3976" s="119" t="s">
        <v>35692</v>
      </c>
      <c r="C3976" s="120" t="s">
        <v>4217</v>
      </c>
      <c r="D3976" s="33" t="s">
        <v>35686</v>
      </c>
      <c r="E3976" s="51" t="s">
        <v>799</v>
      </c>
      <c r="F3976" s="121" t="s">
        <v>3009</v>
      </c>
      <c r="G3976" s="98" t="str">
        <f>HYPERLINK("http://mirror.ff7data.com.ar/ff7/data/battle/battle.lgp/haan.png","View Picture")</f>
        <v>View Picture</v>
      </c>
    </row>
    <row r="3977">
      <c r="A3977" s="55"/>
      <c r="B3977" s="119" t="s">
        <v>35693</v>
      </c>
      <c r="C3977" s="120" t="s">
        <v>4732</v>
      </c>
      <c r="D3977" s="33" t="s">
        <v>35686</v>
      </c>
      <c r="E3977" s="51" t="s">
        <v>799</v>
      </c>
      <c r="F3977" s="121" t="s">
        <v>3009</v>
      </c>
      <c r="G3977" s="98" t="str">
        <f>HYPERLINK("http://mirror.ff7data.com.ar/ff7/data/battle/battle.lgp/haap.png","View Picture")</f>
        <v>View Picture</v>
      </c>
    </row>
    <row r="3978">
      <c r="A3978" s="55"/>
      <c r="B3978" s="119" t="s">
        <v>35694</v>
      </c>
      <c r="C3978" s="120" t="s">
        <v>4732</v>
      </c>
      <c r="D3978" s="33" t="s">
        <v>35686</v>
      </c>
      <c r="E3978" s="51" t="s">
        <v>799</v>
      </c>
      <c r="F3978" s="121" t="s">
        <v>3009</v>
      </c>
      <c r="G3978" s="98" t="str">
        <f>HYPERLINK("http://mirror.ff7data.com.ar/ff7/data/battle/battle.lgp/haar.png","View Picture")</f>
        <v>View Picture</v>
      </c>
    </row>
    <row r="3979">
      <c r="A3979" s="55"/>
      <c r="B3979" s="119" t="s">
        <v>35695</v>
      </c>
      <c r="C3979" s="120" t="s">
        <v>7148</v>
      </c>
      <c r="D3979" s="33" t="s">
        <v>35686</v>
      </c>
      <c r="E3979" s="51" t="s">
        <v>799</v>
      </c>
      <c r="F3979" s="121" t="s">
        <v>3009</v>
      </c>
      <c r="G3979" s="98" t="str">
        <f>HYPERLINK("http://mirror.ff7data.com.ar/ff7/data/battle/battle.lgp/haas.png","View Picture")</f>
        <v>View Picture</v>
      </c>
    </row>
    <row r="3980">
      <c r="A3980" s="55"/>
      <c r="B3980" s="119" t="s">
        <v>35696</v>
      </c>
      <c r="C3980" s="120" t="s">
        <v>26095</v>
      </c>
      <c r="D3980" s="33" t="s">
        <v>35686</v>
      </c>
      <c r="E3980" s="51" t="s">
        <v>799</v>
      </c>
      <c r="F3980" s="121" t="s">
        <v>3009</v>
      </c>
      <c r="G3980" s="98" t="str">
        <f>HYPERLINK("http://mirror.ff7data.com.ar/ff7/data/battle/battle.lgp/haat.png","View Picture")</f>
        <v>View Picture</v>
      </c>
    </row>
    <row r="3981">
      <c r="A3981" s="55"/>
      <c r="B3981" s="119" t="s">
        <v>35697</v>
      </c>
      <c r="C3981" s="120" t="s">
        <v>6029</v>
      </c>
      <c r="D3981" s="33" t="s">
        <v>35686</v>
      </c>
      <c r="E3981" s="51" t="s">
        <v>799</v>
      </c>
      <c r="F3981" s="121" t="s">
        <v>3009</v>
      </c>
      <c r="G3981" s="98" t="str">
        <f>HYPERLINK("http://mirror.ff7data.com.ar/ff7/data/battle/battle.lgp/haav.png","View Picture")</f>
        <v>View Picture</v>
      </c>
    </row>
    <row r="3982">
      <c r="A3982" s="55"/>
      <c r="B3982" s="119" t="s">
        <v>35698</v>
      </c>
      <c r="C3982" s="120" t="s">
        <v>4732</v>
      </c>
      <c r="D3982" s="33" t="s">
        <v>35686</v>
      </c>
      <c r="E3982" s="51" t="s">
        <v>799</v>
      </c>
      <c r="F3982" s="121" t="s">
        <v>3009</v>
      </c>
      <c r="G3982" s="98" t="str">
        <f>HYPERLINK("http://mirror.ff7data.com.ar/ff7/data/battle/battle.lgp/haaw.png","View Picture")</f>
        <v>View Picture</v>
      </c>
    </row>
    <row r="3983">
      <c r="A3983" s="55"/>
      <c r="B3983" s="119" t="s">
        <v>35699</v>
      </c>
      <c r="C3983" s="120" t="s">
        <v>3768</v>
      </c>
      <c r="D3983" s="33" t="s">
        <v>35686</v>
      </c>
      <c r="E3983" s="51" t="s">
        <v>799</v>
      </c>
      <c r="F3983" s="121" t="s">
        <v>3009</v>
      </c>
      <c r="G3983" s="98" t="str">
        <f>HYPERLINK("http://mirror.ff7data.com.ar/ff7/data/battle/battle.lgp/haax.png","View Picture")</f>
        <v>View Picture</v>
      </c>
    </row>
    <row r="3984">
      <c r="A3984" s="55"/>
      <c r="B3984" s="119" t="s">
        <v>35700</v>
      </c>
      <c r="C3984" s="120" t="s">
        <v>4288</v>
      </c>
      <c r="D3984" s="33" t="s">
        <v>35686</v>
      </c>
      <c r="E3984" s="51" t="s">
        <v>799</v>
      </c>
      <c r="F3984" s="121" t="s">
        <v>3009</v>
      </c>
      <c r="G3984" s="98" t="str">
        <f>HYPERLINK("http://mirror.ff7data.com.ar/ff7/data/battle/battle.lgp/haaz.png","View Picture")</f>
        <v>View Picture</v>
      </c>
    </row>
    <row r="3985">
      <c r="A3985" s="55"/>
      <c r="B3985" s="119" t="s">
        <v>35701</v>
      </c>
      <c r="C3985" s="120" t="s">
        <v>4372</v>
      </c>
      <c r="D3985" s="33" t="s">
        <v>35686</v>
      </c>
      <c r="E3985" s="51" t="s">
        <v>799</v>
      </c>
      <c r="F3985" s="121" t="s">
        <v>3009</v>
      </c>
      <c r="G3985" s="98" t="str">
        <f>HYPERLINK("http://mirror.ff7data.com.ar/ff7/data/battle/battle.lgp/haba.png","View Picture")</f>
        <v>View Picture</v>
      </c>
    </row>
    <row r="3986">
      <c r="A3986" s="55"/>
      <c r="B3986" s="119" t="s">
        <v>35702</v>
      </c>
      <c r="C3986" s="120" t="s">
        <v>3658</v>
      </c>
      <c r="D3986" s="33" t="s">
        <v>35686</v>
      </c>
      <c r="E3986" s="51" t="s">
        <v>799</v>
      </c>
      <c r="F3986" s="121" t="s">
        <v>3009</v>
      </c>
      <c r="G3986" s="98" t="str">
        <f>HYPERLINK("http://mirror.ff7data.com.ar/ff7/data/battle/battle.lgp/habb.png","View Picture")</f>
        <v>View Picture</v>
      </c>
    </row>
    <row r="3987">
      <c r="A3987" s="55"/>
      <c r="B3987" s="119" t="s">
        <v>35703</v>
      </c>
      <c r="C3987" s="120" t="s">
        <v>4288</v>
      </c>
      <c r="D3987" s="33" t="s">
        <v>35686</v>
      </c>
      <c r="E3987" s="51" t="s">
        <v>799</v>
      </c>
      <c r="F3987" s="121" t="s">
        <v>3009</v>
      </c>
      <c r="G3987" s="98" t="str">
        <f>HYPERLINK("http://mirror.ff7data.com.ar/ff7/data/battle/battle.lgp/habd.png","View Picture")</f>
        <v>View Picture</v>
      </c>
    </row>
    <row r="3988">
      <c r="A3988" s="55"/>
      <c r="B3988" s="119" t="s">
        <v>35704</v>
      </c>
      <c r="C3988" s="120" t="s">
        <v>6029</v>
      </c>
      <c r="D3988" s="33" t="s">
        <v>35686</v>
      </c>
      <c r="E3988" s="51" t="s">
        <v>799</v>
      </c>
      <c r="F3988" s="121" t="s">
        <v>3009</v>
      </c>
      <c r="G3988" s="98" t="str">
        <f>HYPERLINK("http://mirror.ff7data.com.ar/ff7/data/battle/battle.lgp/habe.png","View Picture")</f>
        <v>View Picture</v>
      </c>
    </row>
    <row r="3989">
      <c r="A3989" s="55"/>
      <c r="B3989" s="119" t="s">
        <v>35705</v>
      </c>
      <c r="C3989" s="120" t="s">
        <v>3658</v>
      </c>
      <c r="D3989" s="33" t="s">
        <v>35686</v>
      </c>
      <c r="E3989" s="51" t="s">
        <v>799</v>
      </c>
      <c r="F3989" s="121" t="s">
        <v>3009</v>
      </c>
      <c r="G3989" s="98" t="str">
        <f>HYPERLINK("http://mirror.ff7data.com.ar/ff7/data/battle/battle.lgp/habf.png","View Picture")</f>
        <v>View Picture</v>
      </c>
    </row>
    <row r="3990">
      <c r="A3990" s="55"/>
      <c r="B3990" s="119" t="s">
        <v>35706</v>
      </c>
      <c r="C3990" s="120" t="s">
        <v>6029</v>
      </c>
      <c r="D3990" s="33" t="s">
        <v>35686</v>
      </c>
      <c r="E3990" s="51" t="s">
        <v>799</v>
      </c>
      <c r="F3990" s="121" t="s">
        <v>3009</v>
      </c>
      <c r="G3990" s="98" t="str">
        <f>HYPERLINK("http://mirror.ff7data.com.ar/ff7/data/battle/battle.lgp/habh.png","View Picture")</f>
        <v>View Picture</v>
      </c>
    </row>
    <row r="3991">
      <c r="A3991" s="55"/>
      <c r="B3991" s="119" t="s">
        <v>35707</v>
      </c>
      <c r="C3991" s="120" t="s">
        <v>4439</v>
      </c>
      <c r="D3991" s="33" t="s">
        <v>35686</v>
      </c>
      <c r="E3991" s="51" t="s">
        <v>799</v>
      </c>
      <c r="F3991" s="121" t="s">
        <v>3009</v>
      </c>
      <c r="G3991" s="98" t="str">
        <f>HYPERLINK("http://mirror.ff7data.com.ar/ff7/data/battle/battle.lgp/habi.png","View Picture")</f>
        <v>View Picture</v>
      </c>
    </row>
    <row r="3992">
      <c r="A3992" s="55"/>
      <c r="B3992" s="119" t="s">
        <v>35708</v>
      </c>
      <c r="C3992" s="120" t="s">
        <v>3445</v>
      </c>
      <c r="D3992" s="33" t="s">
        <v>35686</v>
      </c>
      <c r="E3992" s="51" t="s">
        <v>799</v>
      </c>
      <c r="F3992" s="121" t="s">
        <v>3009</v>
      </c>
      <c r="G3992" s="98" t="str">
        <f>HYPERLINK("http://mirror.ff7data.com.ar/ff7/data/battle/battle.lgp/habj.png","View Picture")</f>
        <v>View Picture</v>
      </c>
    </row>
    <row r="3993">
      <c r="A3993" s="55"/>
      <c r="B3993" s="119" t="s">
        <v>35709</v>
      </c>
      <c r="C3993" s="120" t="s">
        <v>4707</v>
      </c>
      <c r="D3993" s="33" t="s">
        <v>35686</v>
      </c>
      <c r="E3993" s="51" t="s">
        <v>799</v>
      </c>
      <c r="F3993" s="121" t="s">
        <v>3009</v>
      </c>
      <c r="G3993" s="98" t="str">
        <f>HYPERLINK("http://mirror.ff7data.com.ar/ff7/data/battle/battle.lgp/habl.png","View Picture")</f>
        <v>View Picture</v>
      </c>
    </row>
    <row r="3994">
      <c r="A3994" s="55"/>
      <c r="B3994" s="119" t="s">
        <v>35710</v>
      </c>
      <c r="C3994" s="120" t="s">
        <v>4264</v>
      </c>
      <c r="D3994" s="33" t="s">
        <v>35686</v>
      </c>
      <c r="E3994" s="51" t="s">
        <v>799</v>
      </c>
      <c r="F3994" s="121" t="s">
        <v>3009</v>
      </c>
      <c r="G3994" s="98" t="str">
        <f>HYPERLINK("http://mirror.ff7data.com.ar/ff7/data/battle/battle.lgp/habm.png","View Picture")</f>
        <v>View Picture</v>
      </c>
    </row>
    <row r="3995">
      <c r="A3995" s="55"/>
      <c r="B3995" s="119" t="s">
        <v>35711</v>
      </c>
      <c r="C3995" s="120" t="s">
        <v>4476</v>
      </c>
      <c r="D3995" s="33" t="s">
        <v>35686</v>
      </c>
      <c r="E3995" s="51" t="s">
        <v>799</v>
      </c>
      <c r="F3995" s="121" t="s">
        <v>3009</v>
      </c>
      <c r="G3995" s="98" t="str">
        <f>HYPERLINK("http://mirror.ff7data.com.ar/ff7/data/battle/battle.lgp/habo.png","View Picture")</f>
        <v>View Picture</v>
      </c>
    </row>
    <row r="3996">
      <c r="A3996" s="55"/>
      <c r="B3996" s="119" t="s">
        <v>35712</v>
      </c>
      <c r="C3996" s="120" t="s">
        <v>4439</v>
      </c>
      <c r="D3996" s="33" t="s">
        <v>35686</v>
      </c>
      <c r="E3996" s="51" t="s">
        <v>799</v>
      </c>
      <c r="F3996" s="121" t="s">
        <v>3009</v>
      </c>
      <c r="G3996" s="98" t="str">
        <f>HYPERLINK("http://mirror.ff7data.com.ar/ff7/data/battle/battle.lgp/habp.png","View Picture")</f>
        <v>View Picture</v>
      </c>
    </row>
    <row r="3997">
      <c r="A3997" s="55"/>
      <c r="B3997" s="119" t="s">
        <v>35713</v>
      </c>
      <c r="C3997" s="120" t="s">
        <v>4732</v>
      </c>
      <c r="D3997" s="33" t="s">
        <v>35686</v>
      </c>
      <c r="E3997" s="51" t="s">
        <v>799</v>
      </c>
      <c r="F3997" s="121" t="s">
        <v>3009</v>
      </c>
      <c r="G3997" s="98" t="str">
        <f>HYPERLINK("http://mirror.ff7data.com.ar/ff7/data/battle/battle.lgp/habq.png","View Picture")</f>
        <v>View Picture</v>
      </c>
    </row>
    <row r="3998">
      <c r="A3998" s="55"/>
      <c r="B3998" s="119" t="s">
        <v>35714</v>
      </c>
      <c r="C3998" s="120" t="s">
        <v>4476</v>
      </c>
      <c r="D3998" s="33" t="s">
        <v>35686</v>
      </c>
      <c r="E3998" s="51" t="s">
        <v>799</v>
      </c>
      <c r="F3998" s="121" t="s">
        <v>3009</v>
      </c>
      <c r="G3998" s="98" t="str">
        <f>HYPERLINK("http://mirror.ff7data.com.ar/ff7/data/battle/battle.lgp/habs.png","View Picture")</f>
        <v>View Picture</v>
      </c>
    </row>
    <row r="3999">
      <c r="A3999" s="55"/>
      <c r="B3999" s="119" t="s">
        <v>35715</v>
      </c>
      <c r="C3999" s="120" t="s">
        <v>4439</v>
      </c>
      <c r="D3999" s="33" t="s">
        <v>35686</v>
      </c>
      <c r="E3999" s="51" t="s">
        <v>799</v>
      </c>
      <c r="F3999" s="121" t="s">
        <v>3009</v>
      </c>
      <c r="G3999" s="98" t="str">
        <f>HYPERLINK("http://mirror.ff7data.com.ar/ff7/data/battle/battle.lgp/habt.png","View Picture")</f>
        <v>View Picture</v>
      </c>
    </row>
    <row r="4000">
      <c r="A4000" s="55"/>
      <c r="B4000" s="119" t="s">
        <v>35716</v>
      </c>
      <c r="C4000" s="120" t="s">
        <v>4732</v>
      </c>
      <c r="D4000" s="33" t="s">
        <v>35686</v>
      </c>
      <c r="E4000" s="51" t="s">
        <v>799</v>
      </c>
      <c r="F4000" s="121" t="s">
        <v>3009</v>
      </c>
      <c r="G4000" s="98" t="str">
        <f>HYPERLINK("http://mirror.ff7data.com.ar/ff7/data/battle/battle.lgp/habu.png","View Picture")</f>
        <v>View Picture</v>
      </c>
    </row>
    <row r="4001">
      <c r="A4001" s="55"/>
      <c r="B4001" s="119" t="s">
        <v>35717</v>
      </c>
      <c r="C4001" s="120" t="s">
        <v>4185</v>
      </c>
      <c r="D4001" s="33" t="s">
        <v>35686</v>
      </c>
      <c r="E4001" s="51" t="s">
        <v>799</v>
      </c>
      <c r="F4001" s="121" t="s">
        <v>3009</v>
      </c>
      <c r="G4001" s="98" t="str">
        <f>HYPERLINK("http://mirror.ff7data.com.ar/ff7/data/battle/battle.lgp/habw.png","View Picture")</f>
        <v>View Picture</v>
      </c>
    </row>
    <row r="4002">
      <c r="A4002" s="55"/>
      <c r="B4002" s="119" t="s">
        <v>35718</v>
      </c>
      <c r="C4002" s="120" t="s">
        <v>33181</v>
      </c>
      <c r="D4002" s="33" t="s">
        <v>35686</v>
      </c>
      <c r="E4002" s="51" t="s">
        <v>799</v>
      </c>
      <c r="F4002" s="121" t="s">
        <v>3025</v>
      </c>
      <c r="H4002" s="46" t="s">
        <v>3002</v>
      </c>
    </row>
    <row r="4003">
      <c r="A4003" s="21"/>
      <c r="B4003" s="119" t="s">
        <v>35719</v>
      </c>
      <c r="C4003" s="120" t="s">
        <v>12090</v>
      </c>
      <c r="D4003" s="33" t="s">
        <v>35720</v>
      </c>
      <c r="E4003" s="51" t="s">
        <v>804</v>
      </c>
      <c r="F4003" s="121" t="s">
        <v>2971</v>
      </c>
      <c r="G4003" s="98" t="str">
        <f>HYPERLINK("http://mirror.ff7data.com.ar/ff7/data/battle/battle.lgp/hbaa.png","View Picture")</f>
        <v>View Picture</v>
      </c>
      <c r="H4003" s="46" t="s">
        <v>35721</v>
      </c>
    </row>
    <row r="4004">
      <c r="A4004" s="55"/>
      <c r="B4004" s="119" t="s">
        <v>35722</v>
      </c>
      <c r="C4004" s="120" t="s">
        <v>7606</v>
      </c>
      <c r="D4004" s="33" t="s">
        <v>35723</v>
      </c>
      <c r="E4004" s="51" t="s">
        <v>804</v>
      </c>
      <c r="F4004" s="121" t="s">
        <v>2993</v>
      </c>
      <c r="H4004" s="46" t="s">
        <v>3002</v>
      </c>
    </row>
    <row r="4005">
      <c r="A4005" s="55"/>
      <c r="B4005" s="119" t="s">
        <v>35724</v>
      </c>
      <c r="C4005" s="120" t="s">
        <v>5891</v>
      </c>
      <c r="D4005" s="33" t="s">
        <v>35723</v>
      </c>
      <c r="E4005" s="51" t="s">
        <v>804</v>
      </c>
      <c r="F4005" s="121" t="s">
        <v>3009</v>
      </c>
      <c r="G4005" s="98" t="str">
        <f>HYPERLINK("http://mirror.ff7data.com.ar/ff7/data/battle/battle.lgp/hban.png","View Picture")</f>
        <v>View Picture</v>
      </c>
    </row>
    <row r="4006">
      <c r="A4006" s="55"/>
      <c r="B4006" s="119" t="s">
        <v>35725</v>
      </c>
      <c r="C4006" s="120" t="s">
        <v>3355</v>
      </c>
      <c r="D4006" s="33" t="s">
        <v>35723</v>
      </c>
      <c r="E4006" s="51" t="s">
        <v>804</v>
      </c>
      <c r="F4006" s="121" t="s">
        <v>3009</v>
      </c>
      <c r="G4006" s="98" t="str">
        <f>HYPERLINK("http://mirror.ff7data.com.ar/ff7/data/battle/battle.lgp/hbao.png","View Picture")</f>
        <v>View Picture</v>
      </c>
    </row>
    <row r="4007">
      <c r="A4007" s="55"/>
      <c r="B4007" s="119" t="s">
        <v>35726</v>
      </c>
      <c r="C4007" s="120" t="s">
        <v>4264</v>
      </c>
      <c r="D4007" s="33" t="s">
        <v>35723</v>
      </c>
      <c r="E4007" s="51" t="s">
        <v>804</v>
      </c>
      <c r="F4007" s="121" t="s">
        <v>3009</v>
      </c>
      <c r="G4007" s="98" t="str">
        <f>HYPERLINK("http://mirror.ff7data.com.ar/ff7/data/battle/battle.lgp/hbar.png","View Picture")</f>
        <v>View Picture</v>
      </c>
    </row>
    <row r="4008">
      <c r="A4008" s="55"/>
      <c r="B4008" s="119" t="s">
        <v>35727</v>
      </c>
      <c r="C4008" s="120" t="s">
        <v>20338</v>
      </c>
      <c r="D4008" s="33" t="s">
        <v>35723</v>
      </c>
      <c r="E4008" s="51" t="s">
        <v>804</v>
      </c>
      <c r="F4008" s="121" t="s">
        <v>3009</v>
      </c>
      <c r="G4008" s="98" t="str">
        <f>HYPERLINK("http://mirror.ff7data.com.ar/ff7/data/battle/battle.lgp/hbas.png","View Picture")</f>
        <v>View Picture</v>
      </c>
    </row>
    <row r="4009">
      <c r="A4009" s="55"/>
      <c r="B4009" s="119" t="s">
        <v>35728</v>
      </c>
      <c r="C4009" s="120" t="s">
        <v>4476</v>
      </c>
      <c r="D4009" s="33" t="s">
        <v>35723</v>
      </c>
      <c r="E4009" s="51" t="s">
        <v>804</v>
      </c>
      <c r="F4009" s="121" t="s">
        <v>3009</v>
      </c>
      <c r="G4009" s="98" t="str">
        <f>HYPERLINK("http://mirror.ff7data.com.ar/ff7/data/battle/battle.lgp/hbat.png","View Picture")</f>
        <v>View Picture</v>
      </c>
    </row>
    <row r="4010">
      <c r="A4010" s="55"/>
      <c r="B4010" s="119" t="s">
        <v>35729</v>
      </c>
      <c r="C4010" s="120" t="s">
        <v>4288</v>
      </c>
      <c r="D4010" s="33" t="s">
        <v>35723</v>
      </c>
      <c r="E4010" s="51" t="s">
        <v>804</v>
      </c>
      <c r="F4010" s="121" t="s">
        <v>3009</v>
      </c>
      <c r="G4010" s="98" t="str">
        <f>HYPERLINK("http://mirror.ff7data.com.ar/ff7/data/battle/battle.lgp/hbaw.png","View Picture")</f>
        <v>View Picture</v>
      </c>
    </row>
    <row r="4011">
      <c r="A4011" s="55"/>
      <c r="B4011" s="119" t="s">
        <v>35730</v>
      </c>
      <c r="C4011" s="120" t="s">
        <v>4541</v>
      </c>
      <c r="D4011" s="33" t="s">
        <v>35723</v>
      </c>
      <c r="E4011" s="51" t="s">
        <v>804</v>
      </c>
      <c r="F4011" s="121" t="s">
        <v>3009</v>
      </c>
      <c r="G4011" s="98" t="str">
        <f>HYPERLINK("http://mirror.ff7data.com.ar/ff7/data/battle/battle.lgp/hbax.png","View Picture")</f>
        <v>View Picture</v>
      </c>
    </row>
    <row r="4012">
      <c r="A4012" s="55"/>
      <c r="B4012" s="119" t="s">
        <v>35731</v>
      </c>
      <c r="C4012" s="120" t="s">
        <v>4185</v>
      </c>
      <c r="D4012" s="33" t="s">
        <v>35723</v>
      </c>
      <c r="E4012" s="51" t="s">
        <v>804</v>
      </c>
      <c r="F4012" s="121" t="s">
        <v>3009</v>
      </c>
      <c r="G4012" s="98" t="str">
        <f>HYPERLINK("http://mirror.ff7data.com.ar/ff7/data/battle/battle.lgp/hbay.png","View Picture")</f>
        <v>View Picture</v>
      </c>
    </row>
    <row r="4013">
      <c r="A4013" s="55"/>
      <c r="B4013" s="119" t="s">
        <v>35732</v>
      </c>
      <c r="C4013" s="120" t="s">
        <v>4185</v>
      </c>
      <c r="D4013" s="33" t="s">
        <v>35723</v>
      </c>
      <c r="E4013" s="51" t="s">
        <v>804</v>
      </c>
      <c r="F4013" s="121" t="s">
        <v>3009</v>
      </c>
      <c r="G4013" s="98" t="str">
        <f>HYPERLINK("http://mirror.ff7data.com.ar/ff7/data/battle/battle.lgp/hbba.png","View Picture")</f>
        <v>View Picture</v>
      </c>
    </row>
    <row r="4014">
      <c r="A4014" s="55"/>
      <c r="B4014" s="119" t="s">
        <v>35733</v>
      </c>
      <c r="C4014" s="120" t="s">
        <v>4696</v>
      </c>
      <c r="D4014" s="33" t="s">
        <v>35723</v>
      </c>
      <c r="E4014" s="51" t="s">
        <v>804</v>
      </c>
      <c r="F4014" s="121" t="s">
        <v>3009</v>
      </c>
      <c r="G4014" s="98" t="str">
        <f>HYPERLINK("http://mirror.ff7data.com.ar/ff7/data/battle/battle.lgp/hbbb.png","View Picture")</f>
        <v>View Picture</v>
      </c>
    </row>
    <row r="4015">
      <c r="A4015" s="55"/>
      <c r="B4015" s="119" t="s">
        <v>35734</v>
      </c>
      <c r="C4015" s="120" t="s">
        <v>4264</v>
      </c>
      <c r="D4015" s="33" t="s">
        <v>35723</v>
      </c>
      <c r="E4015" s="51" t="s">
        <v>804</v>
      </c>
      <c r="F4015" s="121" t="s">
        <v>3009</v>
      </c>
      <c r="G4015" s="98" t="str">
        <f>HYPERLINK("http://mirror.ff7data.com.ar/ff7/data/battle/battle.lgp/hbbc.png","View Picture")</f>
        <v>View Picture</v>
      </c>
    </row>
    <row r="4016">
      <c r="A4016" s="55"/>
      <c r="B4016" s="119" t="s">
        <v>35735</v>
      </c>
      <c r="C4016" s="120" t="s">
        <v>4185</v>
      </c>
      <c r="D4016" s="33" t="s">
        <v>35723</v>
      </c>
      <c r="E4016" s="51" t="s">
        <v>804</v>
      </c>
      <c r="F4016" s="121" t="s">
        <v>3009</v>
      </c>
      <c r="G4016" s="98" t="str">
        <f>HYPERLINK("http://mirror.ff7data.com.ar/ff7/data/battle/battle.lgp/hbbe.png","View Picture")</f>
        <v>View Picture</v>
      </c>
    </row>
    <row r="4017">
      <c r="A4017" s="55"/>
      <c r="B4017" s="119" t="s">
        <v>35736</v>
      </c>
      <c r="C4017" s="120" t="s">
        <v>4696</v>
      </c>
      <c r="D4017" s="33" t="s">
        <v>35723</v>
      </c>
      <c r="E4017" s="51" t="s">
        <v>804</v>
      </c>
      <c r="F4017" s="121" t="s">
        <v>3009</v>
      </c>
      <c r="G4017" s="98" t="str">
        <f>HYPERLINK("http://mirror.ff7data.com.ar/ff7/data/battle/battle.lgp/hbbf.png","View Picture")</f>
        <v>View Picture</v>
      </c>
    </row>
    <row r="4018">
      <c r="A4018" s="55"/>
      <c r="B4018" s="119" t="s">
        <v>35737</v>
      </c>
      <c r="C4018" s="120" t="s">
        <v>4732</v>
      </c>
      <c r="D4018" s="33" t="s">
        <v>35723</v>
      </c>
      <c r="E4018" s="51" t="s">
        <v>804</v>
      </c>
      <c r="F4018" s="121" t="s">
        <v>3009</v>
      </c>
      <c r="G4018" s="98" t="str">
        <f>HYPERLINK("http://mirror.ff7data.com.ar/ff7/data/battle/battle.lgp/hbbg.png","View Picture")</f>
        <v>View Picture</v>
      </c>
    </row>
    <row r="4019">
      <c r="A4019" s="55"/>
      <c r="B4019" s="119" t="s">
        <v>35738</v>
      </c>
      <c r="C4019" s="120" t="s">
        <v>5419</v>
      </c>
      <c r="D4019" s="33" t="s">
        <v>35723</v>
      </c>
      <c r="E4019" s="51" t="s">
        <v>804</v>
      </c>
      <c r="F4019" s="121" t="s">
        <v>3025</v>
      </c>
      <c r="H4019" s="46" t="s">
        <v>3002</v>
      </c>
    </row>
    <row r="4020">
      <c r="A4020" s="21"/>
      <c r="B4020" s="119" t="s">
        <v>35739</v>
      </c>
      <c r="C4020" s="120" t="s">
        <v>12090</v>
      </c>
      <c r="D4020" s="33" t="s">
        <v>35720</v>
      </c>
      <c r="E4020" s="51" t="s">
        <v>810</v>
      </c>
      <c r="F4020" s="121" t="s">
        <v>2971</v>
      </c>
      <c r="G4020" s="98" t="str">
        <f>HYPERLINK("http://mirror.ff7data.com.ar/ff7/data/battle/battle.lgp/hcaa.png","View Picture")</f>
        <v>View Picture</v>
      </c>
      <c r="H4020" s="46" t="s">
        <v>35740</v>
      </c>
    </row>
    <row r="4021">
      <c r="A4021" s="55"/>
      <c r="B4021" s="119" t="s">
        <v>35741</v>
      </c>
      <c r="C4021" s="120" t="s">
        <v>34740</v>
      </c>
      <c r="D4021" s="33" t="s">
        <v>35723</v>
      </c>
      <c r="E4021" s="51" t="s">
        <v>810</v>
      </c>
      <c r="F4021" s="121" t="s">
        <v>2993</v>
      </c>
      <c r="H4021" s="46" t="s">
        <v>3002</v>
      </c>
    </row>
    <row r="4022">
      <c r="A4022" s="55"/>
      <c r="B4022" s="119" t="s">
        <v>35742</v>
      </c>
      <c r="C4022" s="120" t="s">
        <v>5891</v>
      </c>
      <c r="D4022" s="33" t="s">
        <v>35723</v>
      </c>
      <c r="E4022" s="51" t="s">
        <v>810</v>
      </c>
      <c r="F4022" s="121" t="s">
        <v>3009</v>
      </c>
      <c r="G4022" s="98" t="str">
        <f>HYPERLINK("http://mirror.ff7data.com.ar/ff7/data/battle/battle.lgp/hcan.png","View Picture")</f>
        <v>View Picture</v>
      </c>
    </row>
    <row r="4023">
      <c r="A4023" s="55"/>
      <c r="B4023" s="119" t="s">
        <v>35743</v>
      </c>
      <c r="C4023" s="120" t="s">
        <v>3355</v>
      </c>
      <c r="D4023" s="33" t="s">
        <v>35723</v>
      </c>
      <c r="E4023" s="51" t="s">
        <v>810</v>
      </c>
      <c r="F4023" s="121" t="s">
        <v>3009</v>
      </c>
      <c r="G4023" s="98" t="str">
        <f>HYPERLINK("http://mirror.ff7data.com.ar/ff7/data/battle/battle.lgp/hcao.png","View Picture")</f>
        <v>View Picture</v>
      </c>
    </row>
    <row r="4024">
      <c r="A4024" s="55"/>
      <c r="B4024" s="119" t="s">
        <v>35744</v>
      </c>
      <c r="C4024" s="120" t="s">
        <v>4264</v>
      </c>
      <c r="D4024" s="33" t="s">
        <v>35723</v>
      </c>
      <c r="E4024" s="51" t="s">
        <v>810</v>
      </c>
      <c r="F4024" s="121" t="s">
        <v>3009</v>
      </c>
      <c r="G4024" s="98" t="str">
        <f>HYPERLINK("http://mirror.ff7data.com.ar/ff7/data/battle/battle.lgp/hcar.png","View Picture")</f>
        <v>View Picture</v>
      </c>
    </row>
    <row r="4025">
      <c r="A4025" s="55"/>
      <c r="B4025" s="119" t="s">
        <v>35745</v>
      </c>
      <c r="C4025" s="120" t="s">
        <v>20338</v>
      </c>
      <c r="D4025" s="33" t="s">
        <v>35723</v>
      </c>
      <c r="E4025" s="51" t="s">
        <v>810</v>
      </c>
      <c r="F4025" s="121" t="s">
        <v>3009</v>
      </c>
      <c r="G4025" s="98" t="str">
        <f>HYPERLINK("http://mirror.ff7data.com.ar/ff7/data/battle/battle.lgp/hcas.png","View Picture")</f>
        <v>View Picture</v>
      </c>
    </row>
    <row r="4026">
      <c r="A4026" s="55"/>
      <c r="B4026" s="119" t="s">
        <v>35746</v>
      </c>
      <c r="C4026" s="120" t="s">
        <v>4476</v>
      </c>
      <c r="D4026" s="33" t="s">
        <v>35723</v>
      </c>
      <c r="E4026" s="51" t="s">
        <v>810</v>
      </c>
      <c r="F4026" s="121" t="s">
        <v>3009</v>
      </c>
      <c r="G4026" s="98" t="str">
        <f>HYPERLINK("http://mirror.ff7data.com.ar/ff7/data/battle/battle.lgp/hcat.png","View Picture")</f>
        <v>View Picture</v>
      </c>
    </row>
    <row r="4027">
      <c r="A4027" s="55"/>
      <c r="B4027" s="119" t="s">
        <v>35747</v>
      </c>
      <c r="C4027" s="120" t="s">
        <v>4288</v>
      </c>
      <c r="D4027" s="33" t="s">
        <v>35723</v>
      </c>
      <c r="E4027" s="51" t="s">
        <v>810</v>
      </c>
      <c r="F4027" s="121" t="s">
        <v>3009</v>
      </c>
      <c r="G4027" s="98" t="str">
        <f>HYPERLINK("http://mirror.ff7data.com.ar/ff7/data/battle/battle.lgp/hcaw.png","View Picture")</f>
        <v>View Picture</v>
      </c>
    </row>
    <row r="4028">
      <c r="A4028" s="55"/>
      <c r="B4028" s="119" t="s">
        <v>35748</v>
      </c>
      <c r="C4028" s="120" t="s">
        <v>4541</v>
      </c>
      <c r="D4028" s="33" t="s">
        <v>35723</v>
      </c>
      <c r="E4028" s="51" t="s">
        <v>810</v>
      </c>
      <c r="F4028" s="121" t="s">
        <v>3009</v>
      </c>
      <c r="G4028" s="98" t="str">
        <f>HYPERLINK("http://mirror.ff7data.com.ar/ff7/data/battle/battle.lgp/hcax.png","View Picture")</f>
        <v>View Picture</v>
      </c>
    </row>
    <row r="4029">
      <c r="A4029" s="55"/>
      <c r="B4029" s="119" t="s">
        <v>35749</v>
      </c>
      <c r="C4029" s="120" t="s">
        <v>4185</v>
      </c>
      <c r="D4029" s="33" t="s">
        <v>35723</v>
      </c>
      <c r="E4029" s="51" t="s">
        <v>810</v>
      </c>
      <c r="F4029" s="121" t="s">
        <v>3009</v>
      </c>
      <c r="G4029" s="98" t="str">
        <f>HYPERLINK("http://mirror.ff7data.com.ar/ff7/data/battle/battle.lgp/hcay.png","View Picture")</f>
        <v>View Picture</v>
      </c>
    </row>
    <row r="4030">
      <c r="A4030" s="55"/>
      <c r="B4030" s="119" t="s">
        <v>35750</v>
      </c>
      <c r="C4030" s="120" t="s">
        <v>4185</v>
      </c>
      <c r="D4030" s="33" t="s">
        <v>35723</v>
      </c>
      <c r="E4030" s="51" t="s">
        <v>810</v>
      </c>
      <c r="F4030" s="121" t="s">
        <v>3009</v>
      </c>
      <c r="G4030" s="98" t="str">
        <f>HYPERLINK("http://mirror.ff7data.com.ar/ff7/data/battle/battle.lgp/hcba.png","View Picture")</f>
        <v>View Picture</v>
      </c>
    </row>
    <row r="4031">
      <c r="A4031" s="55"/>
      <c r="B4031" s="119" t="s">
        <v>35751</v>
      </c>
      <c r="C4031" s="120" t="s">
        <v>4696</v>
      </c>
      <c r="D4031" s="33" t="s">
        <v>35723</v>
      </c>
      <c r="E4031" s="51" t="s">
        <v>810</v>
      </c>
      <c r="F4031" s="121" t="s">
        <v>3009</v>
      </c>
      <c r="G4031" s="98" t="str">
        <f>HYPERLINK("http://mirror.ff7data.com.ar/ff7/data/battle/battle.lgp/hcbb.png","View Picture")</f>
        <v>View Picture</v>
      </c>
    </row>
    <row r="4032">
      <c r="A4032" s="55"/>
      <c r="B4032" s="119" t="s">
        <v>35752</v>
      </c>
      <c r="C4032" s="120" t="s">
        <v>4264</v>
      </c>
      <c r="D4032" s="33" t="s">
        <v>35723</v>
      </c>
      <c r="E4032" s="51" t="s">
        <v>810</v>
      </c>
      <c r="F4032" s="121" t="s">
        <v>3009</v>
      </c>
      <c r="G4032" s="98" t="str">
        <f>HYPERLINK("http://mirror.ff7data.com.ar/ff7/data/battle/battle.lgp/hcbc.png","View Picture")</f>
        <v>View Picture</v>
      </c>
    </row>
    <row r="4033">
      <c r="A4033" s="55"/>
      <c r="B4033" s="119" t="s">
        <v>35753</v>
      </c>
      <c r="C4033" s="120" t="s">
        <v>4185</v>
      </c>
      <c r="D4033" s="33" t="s">
        <v>35723</v>
      </c>
      <c r="E4033" s="51" t="s">
        <v>810</v>
      </c>
      <c r="F4033" s="121" t="s">
        <v>3009</v>
      </c>
      <c r="G4033" s="98" t="str">
        <f>HYPERLINK("http://mirror.ff7data.com.ar/ff7/data/battle/battle.lgp/hcbe.png","View Picture")</f>
        <v>View Picture</v>
      </c>
    </row>
    <row r="4034">
      <c r="A4034" s="55"/>
      <c r="B4034" s="119" t="s">
        <v>35754</v>
      </c>
      <c r="C4034" s="120" t="s">
        <v>4696</v>
      </c>
      <c r="D4034" s="33" t="s">
        <v>35723</v>
      </c>
      <c r="E4034" s="51" t="s">
        <v>810</v>
      </c>
      <c r="F4034" s="121" t="s">
        <v>3009</v>
      </c>
      <c r="G4034" s="98" t="str">
        <f>HYPERLINK("http://mirror.ff7data.com.ar/ff7/data/battle/battle.lgp/hcbf.png","View Picture")</f>
        <v>View Picture</v>
      </c>
    </row>
    <row r="4035">
      <c r="A4035" s="55"/>
      <c r="B4035" s="119" t="s">
        <v>35755</v>
      </c>
      <c r="C4035" s="120" t="s">
        <v>4732</v>
      </c>
      <c r="D4035" s="33" t="s">
        <v>35723</v>
      </c>
      <c r="E4035" s="51" t="s">
        <v>810</v>
      </c>
      <c r="F4035" s="121" t="s">
        <v>3009</v>
      </c>
      <c r="G4035" s="98" t="str">
        <f>HYPERLINK("http://mirror.ff7data.com.ar/ff7/data/battle/battle.lgp/hcbg.png","View Picture")</f>
        <v>View Picture</v>
      </c>
    </row>
    <row r="4036">
      <c r="A4036" s="55"/>
      <c r="B4036" s="119" t="s">
        <v>35756</v>
      </c>
      <c r="C4036" s="120" t="s">
        <v>5891</v>
      </c>
      <c r="D4036" s="33" t="s">
        <v>35723</v>
      </c>
      <c r="E4036" s="51" t="s">
        <v>810</v>
      </c>
      <c r="F4036" s="121" t="s">
        <v>3025</v>
      </c>
      <c r="H4036" s="46" t="s">
        <v>3002</v>
      </c>
    </row>
    <row r="4037">
      <c r="A4037" s="21"/>
      <c r="B4037" s="119" t="s">
        <v>35757</v>
      </c>
      <c r="C4037" s="120" t="s">
        <v>9973</v>
      </c>
      <c r="D4037" s="33" t="s">
        <v>35758</v>
      </c>
      <c r="E4037" s="51" t="s">
        <v>815</v>
      </c>
      <c r="F4037" s="121" t="s">
        <v>2971</v>
      </c>
      <c r="G4037" s="98" t="str">
        <f>HYPERLINK("http://mirror.ff7data.com.ar/ff7/data/battle/battle.lgp/hdaa.png","View Picture")</f>
        <v>View Picture</v>
      </c>
      <c r="H4037" s="46" t="s">
        <v>35759</v>
      </c>
    </row>
    <row r="4038">
      <c r="A4038" s="55"/>
      <c r="B4038" s="119" t="s">
        <v>35760</v>
      </c>
      <c r="C4038" s="120" t="s">
        <v>5222</v>
      </c>
      <c r="D4038" s="33" t="s">
        <v>35761</v>
      </c>
      <c r="E4038" s="51" t="s">
        <v>815</v>
      </c>
      <c r="F4038" s="121" t="s">
        <v>2993</v>
      </c>
      <c r="H4038" s="46" t="s">
        <v>3002</v>
      </c>
    </row>
    <row r="4039">
      <c r="A4039" s="55"/>
      <c r="B4039" s="119" t="s">
        <v>35762</v>
      </c>
      <c r="C4039" s="120" t="s">
        <v>4057</v>
      </c>
      <c r="D4039" s="33" t="s">
        <v>35761</v>
      </c>
      <c r="E4039" s="51" t="s">
        <v>815</v>
      </c>
      <c r="F4039" s="121" t="s">
        <v>3009</v>
      </c>
      <c r="G4039" s="98" t="str">
        <f>HYPERLINK("http://mirror.ff7data.com.ar/ff7/data/battle/battle.lgp/hdam.png","View Picture")</f>
        <v>View Picture</v>
      </c>
    </row>
    <row r="4040">
      <c r="A4040" s="55"/>
      <c r="B4040" s="119" t="s">
        <v>35763</v>
      </c>
      <c r="C4040" s="120" t="s">
        <v>5419</v>
      </c>
      <c r="D4040" s="33" t="s">
        <v>35761</v>
      </c>
      <c r="E4040" s="51" t="s">
        <v>815</v>
      </c>
      <c r="F4040" s="121" t="s">
        <v>3009</v>
      </c>
      <c r="G4040" s="98" t="str">
        <f>HYPERLINK("http://mirror.ff7data.com.ar/ff7/data/battle/battle.lgp/hdan.png","View Picture")</f>
        <v>View Picture</v>
      </c>
    </row>
    <row r="4041">
      <c r="A4041" s="55"/>
      <c r="B4041" s="119" t="s">
        <v>35764</v>
      </c>
      <c r="C4041" s="120" t="s">
        <v>4357</v>
      </c>
      <c r="D4041" s="33" t="s">
        <v>35761</v>
      </c>
      <c r="E4041" s="51" t="s">
        <v>815</v>
      </c>
      <c r="F4041" s="121" t="s">
        <v>3009</v>
      </c>
      <c r="G4041" s="98" t="str">
        <f>HYPERLINK("http://mirror.ff7data.com.ar/ff7/data/battle/battle.lgp/hdao.png","View Picture")</f>
        <v>View Picture</v>
      </c>
    </row>
    <row r="4042">
      <c r="A4042" s="55"/>
      <c r="B4042" s="119" t="s">
        <v>35765</v>
      </c>
      <c r="C4042" s="120" t="s">
        <v>7062</v>
      </c>
      <c r="D4042" s="33" t="s">
        <v>35761</v>
      </c>
      <c r="E4042" s="51" t="s">
        <v>815</v>
      </c>
      <c r="F4042" s="121" t="s">
        <v>3009</v>
      </c>
      <c r="G4042" s="98" t="str">
        <f>HYPERLINK("http://mirror.ff7data.com.ar/ff7/data/battle/battle.lgp/hdap.png","View Picture")</f>
        <v>View Picture</v>
      </c>
    </row>
    <row r="4043">
      <c r="A4043" s="55"/>
      <c r="B4043" s="119" t="s">
        <v>35766</v>
      </c>
      <c r="C4043" s="120" t="s">
        <v>5891</v>
      </c>
      <c r="D4043" s="33" t="s">
        <v>35761</v>
      </c>
      <c r="E4043" s="51" t="s">
        <v>815</v>
      </c>
      <c r="F4043" s="121" t="s">
        <v>3009</v>
      </c>
      <c r="G4043" s="98" t="str">
        <f>HYPERLINK("http://mirror.ff7data.com.ar/ff7/data/battle/battle.lgp/hdaq.png","View Picture")</f>
        <v>View Picture</v>
      </c>
    </row>
    <row r="4044">
      <c r="A4044" s="55"/>
      <c r="B4044" s="119" t="s">
        <v>35767</v>
      </c>
      <c r="C4044" s="120" t="s">
        <v>6029</v>
      </c>
      <c r="D4044" s="33" t="s">
        <v>35761</v>
      </c>
      <c r="E4044" s="51" t="s">
        <v>815</v>
      </c>
      <c r="F4044" s="121" t="s">
        <v>3009</v>
      </c>
      <c r="G4044" s="98" t="str">
        <f>HYPERLINK("http://mirror.ff7data.com.ar/ff7/data/battle/battle.lgp/hdas.png","View Picture")</f>
        <v>View Picture</v>
      </c>
    </row>
    <row r="4045">
      <c r="A4045" s="55"/>
      <c r="B4045" s="119" t="s">
        <v>35768</v>
      </c>
      <c r="C4045" s="120" t="s">
        <v>6029</v>
      </c>
      <c r="D4045" s="33" t="s">
        <v>35761</v>
      </c>
      <c r="E4045" s="51" t="s">
        <v>815</v>
      </c>
      <c r="F4045" s="121" t="s">
        <v>3009</v>
      </c>
      <c r="G4045" s="98" t="str">
        <f>HYPERLINK("http://mirror.ff7data.com.ar/ff7/data/battle/battle.lgp/hdav.png","View Picture")</f>
        <v>View Picture</v>
      </c>
    </row>
    <row r="4046">
      <c r="A4046" s="55"/>
      <c r="B4046" s="119" t="s">
        <v>35769</v>
      </c>
      <c r="C4046" s="120" t="s">
        <v>4185</v>
      </c>
      <c r="D4046" s="33" t="s">
        <v>35761</v>
      </c>
      <c r="E4046" s="51" t="s">
        <v>815</v>
      </c>
      <c r="F4046" s="121" t="s">
        <v>3009</v>
      </c>
      <c r="G4046" s="98" t="str">
        <f>HYPERLINK("http://mirror.ff7data.com.ar/ff7/data/battle/battle.lgp/hdbb.png","View Picture")</f>
        <v>View Picture</v>
      </c>
    </row>
    <row r="4047">
      <c r="A4047" s="55"/>
      <c r="B4047" s="119" t="s">
        <v>35770</v>
      </c>
      <c r="C4047" s="120" t="s">
        <v>4439</v>
      </c>
      <c r="D4047" s="33" t="s">
        <v>35761</v>
      </c>
      <c r="E4047" s="51" t="s">
        <v>815</v>
      </c>
      <c r="F4047" s="121" t="s">
        <v>3009</v>
      </c>
      <c r="G4047" s="98" t="str">
        <f>HYPERLINK("http://mirror.ff7data.com.ar/ff7/data/battle/battle.lgp/hdbc.png","View Picture")</f>
        <v>View Picture</v>
      </c>
    </row>
    <row r="4048">
      <c r="A4048" s="55"/>
      <c r="B4048" s="119" t="s">
        <v>35771</v>
      </c>
      <c r="C4048" s="120" t="s">
        <v>3412</v>
      </c>
      <c r="D4048" s="33" t="s">
        <v>35761</v>
      </c>
      <c r="E4048" s="51" t="s">
        <v>815</v>
      </c>
      <c r="F4048" s="121" t="s">
        <v>3009</v>
      </c>
      <c r="G4048" s="98" t="str">
        <f>HYPERLINK("http://mirror.ff7data.com.ar/ff7/data/battle/battle.lgp/hdbd.png","View Picture")</f>
        <v>View Picture</v>
      </c>
    </row>
    <row r="4049">
      <c r="A4049" s="55"/>
      <c r="B4049" s="119" t="s">
        <v>35772</v>
      </c>
      <c r="C4049" s="120" t="s">
        <v>4185</v>
      </c>
      <c r="D4049" s="33" t="s">
        <v>35761</v>
      </c>
      <c r="E4049" s="51" t="s">
        <v>815</v>
      </c>
      <c r="F4049" s="121" t="s">
        <v>3009</v>
      </c>
      <c r="G4049" s="98" t="str">
        <f>HYPERLINK("http://mirror.ff7data.com.ar/ff7/data/battle/battle.lgp/hdbg.png","View Picture")</f>
        <v>View Picture</v>
      </c>
    </row>
    <row r="4050">
      <c r="A4050" s="55"/>
      <c r="B4050" s="119" t="s">
        <v>35773</v>
      </c>
      <c r="C4050" s="120" t="s">
        <v>4185</v>
      </c>
      <c r="D4050" s="33" t="s">
        <v>35761</v>
      </c>
      <c r="E4050" s="51" t="s">
        <v>815</v>
      </c>
      <c r="F4050" s="121" t="s">
        <v>3009</v>
      </c>
      <c r="G4050" s="98" t="str">
        <f>HYPERLINK("http://mirror.ff7data.com.ar/ff7/data/battle/battle.lgp/hdbh.png","View Picture")</f>
        <v>View Picture</v>
      </c>
    </row>
    <row r="4051">
      <c r="A4051" s="55"/>
      <c r="B4051" s="119" t="s">
        <v>35774</v>
      </c>
      <c r="C4051" s="120" t="s">
        <v>3412</v>
      </c>
      <c r="D4051" s="33" t="s">
        <v>35761</v>
      </c>
      <c r="E4051" s="51" t="s">
        <v>815</v>
      </c>
      <c r="F4051" s="121" t="s">
        <v>3009</v>
      </c>
      <c r="G4051" s="98" t="str">
        <f>HYPERLINK("http://mirror.ff7data.com.ar/ff7/data/battle/battle.lgp/hdbi.png","View Picture")</f>
        <v>View Picture</v>
      </c>
    </row>
    <row r="4052">
      <c r="A4052" s="55"/>
      <c r="B4052" s="119" t="s">
        <v>35775</v>
      </c>
      <c r="C4052" s="120" t="s">
        <v>4732</v>
      </c>
      <c r="D4052" s="33" t="s">
        <v>35761</v>
      </c>
      <c r="E4052" s="51" t="s">
        <v>815</v>
      </c>
      <c r="F4052" s="121" t="s">
        <v>3009</v>
      </c>
      <c r="G4052" s="98" t="str">
        <f>HYPERLINK("http://mirror.ff7data.com.ar/ff7/data/battle/battle.lgp/hdbj.png","View Picture")</f>
        <v>View Picture</v>
      </c>
    </row>
    <row r="4053">
      <c r="A4053" s="55"/>
      <c r="B4053" s="119" t="s">
        <v>35776</v>
      </c>
      <c r="C4053" s="120" t="s">
        <v>4185</v>
      </c>
      <c r="D4053" s="33" t="s">
        <v>35761</v>
      </c>
      <c r="E4053" s="51" t="s">
        <v>815</v>
      </c>
      <c r="F4053" s="121" t="s">
        <v>3009</v>
      </c>
      <c r="G4053" s="98" t="str">
        <f>HYPERLINK("http://mirror.ff7data.com.ar/ff7/data/battle/battle.lgp/hdbm.png","View Picture")</f>
        <v>View Picture</v>
      </c>
    </row>
    <row r="4054">
      <c r="A4054" s="55"/>
      <c r="B4054" s="119" t="s">
        <v>35777</v>
      </c>
      <c r="C4054" s="120" t="s">
        <v>4264</v>
      </c>
      <c r="D4054" s="33" t="s">
        <v>35761</v>
      </c>
      <c r="E4054" s="51" t="s">
        <v>815</v>
      </c>
      <c r="F4054" s="121" t="s">
        <v>3009</v>
      </c>
      <c r="G4054" s="98" t="str">
        <f>HYPERLINK("http://mirror.ff7data.com.ar/ff7/data/battle/battle.lgp/hdbn.png","View Picture")</f>
        <v>View Picture</v>
      </c>
    </row>
    <row r="4055">
      <c r="A4055" s="55"/>
      <c r="B4055" s="119" t="s">
        <v>35778</v>
      </c>
      <c r="C4055" s="120" t="s">
        <v>4288</v>
      </c>
      <c r="D4055" s="33" t="s">
        <v>35761</v>
      </c>
      <c r="E4055" s="51" t="s">
        <v>815</v>
      </c>
      <c r="F4055" s="121" t="s">
        <v>3009</v>
      </c>
      <c r="G4055" s="98" t="str">
        <f>HYPERLINK("http://mirror.ff7data.com.ar/ff7/data/battle/battle.lgp/hdbo.png","View Picture")</f>
        <v>View Picture</v>
      </c>
    </row>
    <row r="4056">
      <c r="A4056" s="55"/>
      <c r="B4056" s="119" t="s">
        <v>35779</v>
      </c>
      <c r="C4056" s="120" t="s">
        <v>3445</v>
      </c>
      <c r="D4056" s="33" t="s">
        <v>35761</v>
      </c>
      <c r="E4056" s="51" t="s">
        <v>815</v>
      </c>
      <c r="F4056" s="121" t="s">
        <v>3009</v>
      </c>
      <c r="G4056" s="98" t="str">
        <f>HYPERLINK("http://mirror.ff7data.com.ar/ff7/data/battle/battle.lgp/hdbp.png","View Picture")</f>
        <v>View Picture</v>
      </c>
    </row>
    <row r="4057">
      <c r="A4057" s="55"/>
      <c r="B4057" s="119" t="s">
        <v>35780</v>
      </c>
      <c r="C4057" s="120" t="s">
        <v>4185</v>
      </c>
      <c r="D4057" s="33" t="s">
        <v>35761</v>
      </c>
      <c r="E4057" s="51" t="s">
        <v>815</v>
      </c>
      <c r="F4057" s="121" t="s">
        <v>3009</v>
      </c>
      <c r="G4057" s="98" t="str">
        <f>HYPERLINK("http://mirror.ff7data.com.ar/ff7/data/battle/battle.lgp/hdbs.png","View Picture")</f>
        <v>View Picture</v>
      </c>
    </row>
    <row r="4058">
      <c r="A4058" s="55"/>
      <c r="B4058" s="119" t="s">
        <v>35781</v>
      </c>
      <c r="C4058" s="120" t="s">
        <v>4264</v>
      </c>
      <c r="D4058" s="33" t="s">
        <v>35761</v>
      </c>
      <c r="E4058" s="51" t="s">
        <v>815</v>
      </c>
      <c r="F4058" s="121" t="s">
        <v>3009</v>
      </c>
      <c r="G4058" s="98" t="str">
        <f>HYPERLINK("http://mirror.ff7data.com.ar/ff7/data/battle/battle.lgp/hdbt.png","View Picture")</f>
        <v>View Picture</v>
      </c>
    </row>
    <row r="4059">
      <c r="A4059" s="55"/>
      <c r="B4059" s="119" t="s">
        <v>35782</v>
      </c>
      <c r="C4059" s="120" t="s">
        <v>4288</v>
      </c>
      <c r="D4059" s="33" t="s">
        <v>35761</v>
      </c>
      <c r="E4059" s="51" t="s">
        <v>815</v>
      </c>
      <c r="F4059" s="121" t="s">
        <v>3009</v>
      </c>
      <c r="G4059" s="98" t="str">
        <f>HYPERLINK("http://mirror.ff7data.com.ar/ff7/data/battle/battle.lgp/hdbu.png","View Picture")</f>
        <v>View Picture</v>
      </c>
    </row>
    <row r="4060">
      <c r="A4060" s="55"/>
      <c r="B4060" s="119" t="s">
        <v>35783</v>
      </c>
      <c r="C4060" s="120" t="s">
        <v>3445</v>
      </c>
      <c r="D4060" s="33" t="s">
        <v>35761</v>
      </c>
      <c r="E4060" s="51" t="s">
        <v>815</v>
      </c>
      <c r="F4060" s="121" t="s">
        <v>3009</v>
      </c>
      <c r="G4060" s="98" t="str">
        <f>HYPERLINK("http://mirror.ff7data.com.ar/ff7/data/battle/battle.lgp/hdbv.png","View Picture")</f>
        <v>View Picture</v>
      </c>
    </row>
    <row r="4061">
      <c r="A4061" s="55"/>
      <c r="B4061" s="119" t="s">
        <v>35784</v>
      </c>
      <c r="C4061" s="120" t="s">
        <v>4732</v>
      </c>
      <c r="D4061" s="33" t="s">
        <v>35761</v>
      </c>
      <c r="E4061" s="51" t="s">
        <v>815</v>
      </c>
      <c r="F4061" s="121" t="s">
        <v>3009</v>
      </c>
      <c r="G4061" s="98" t="str">
        <f>HYPERLINK("http://mirror.ff7data.com.ar/ff7/data/battle/battle.lgp/hdbw.png","View Picture")</f>
        <v>View Picture</v>
      </c>
    </row>
    <row r="4062">
      <c r="A4062" s="55"/>
      <c r="B4062" s="119" t="s">
        <v>35785</v>
      </c>
      <c r="C4062" s="120" t="s">
        <v>4264</v>
      </c>
      <c r="D4062" s="33" t="s">
        <v>35761</v>
      </c>
      <c r="E4062" s="51" t="s">
        <v>815</v>
      </c>
      <c r="F4062" s="121" t="s">
        <v>3009</v>
      </c>
      <c r="G4062" s="98" t="str">
        <f>HYPERLINK("http://mirror.ff7data.com.ar/ff7/data/battle/battle.lgp/hdbx.png","View Picture")</f>
        <v>View Picture</v>
      </c>
    </row>
    <row r="4063">
      <c r="A4063" s="55"/>
      <c r="B4063" s="119" t="s">
        <v>35786</v>
      </c>
      <c r="C4063" s="120" t="s">
        <v>4288</v>
      </c>
      <c r="D4063" s="33" t="s">
        <v>35761</v>
      </c>
      <c r="E4063" s="51" t="s">
        <v>815</v>
      </c>
      <c r="F4063" s="121" t="s">
        <v>3009</v>
      </c>
      <c r="G4063" s="98" t="str">
        <f>HYPERLINK("http://mirror.ff7data.com.ar/ff7/data/battle/battle.lgp/hdby.png","View Picture")</f>
        <v>View Picture</v>
      </c>
    </row>
    <row r="4064">
      <c r="A4064" s="55"/>
      <c r="B4064" s="119" t="s">
        <v>35787</v>
      </c>
      <c r="C4064" s="120" t="s">
        <v>4696</v>
      </c>
      <c r="D4064" s="33" t="s">
        <v>35761</v>
      </c>
      <c r="E4064" s="51" t="s">
        <v>815</v>
      </c>
      <c r="F4064" s="121" t="s">
        <v>3009</v>
      </c>
      <c r="G4064" s="98" t="str">
        <f>HYPERLINK("http://mirror.ff7data.com.ar/ff7/data/battle/battle.lgp/hdbz.png","View Picture")</f>
        <v>View Picture</v>
      </c>
    </row>
    <row r="4065">
      <c r="A4065" s="55"/>
      <c r="B4065" s="119" t="s">
        <v>35788</v>
      </c>
      <c r="C4065" s="120" t="s">
        <v>13619</v>
      </c>
      <c r="D4065" s="33" t="s">
        <v>35761</v>
      </c>
      <c r="E4065" s="51" t="s">
        <v>815</v>
      </c>
      <c r="F4065" s="121" t="s">
        <v>3025</v>
      </c>
      <c r="H4065" s="46" t="s">
        <v>3002</v>
      </c>
    </row>
    <row r="4066">
      <c r="A4066" s="21"/>
      <c r="B4066" s="119" t="s">
        <v>35789</v>
      </c>
      <c r="C4066" s="120" t="s">
        <v>35790</v>
      </c>
      <c r="D4066" s="33" t="s">
        <v>35791</v>
      </c>
      <c r="E4066" s="51" t="s">
        <v>820</v>
      </c>
      <c r="F4066" s="121" t="s">
        <v>2971</v>
      </c>
      <c r="G4066" s="98" t="str">
        <f>HYPERLINK("http://mirror.ff7data.com.ar/ff7/data/battle/battle.lgp/heaa.png","View Picture")</f>
        <v>View Picture</v>
      </c>
    </row>
    <row r="4067">
      <c r="A4067" s="55"/>
      <c r="B4067" s="119" t="s">
        <v>35792</v>
      </c>
      <c r="C4067" s="120" t="s">
        <v>5222</v>
      </c>
      <c r="D4067" s="33" t="s">
        <v>35793</v>
      </c>
      <c r="E4067" s="51" t="s">
        <v>820</v>
      </c>
      <c r="F4067" s="121" t="s">
        <v>2993</v>
      </c>
      <c r="H4067" s="46" t="s">
        <v>3002</v>
      </c>
    </row>
    <row r="4068">
      <c r="A4068" s="55"/>
      <c r="B4068" s="119" t="s">
        <v>35794</v>
      </c>
      <c r="C4068" s="120" t="s">
        <v>6029</v>
      </c>
      <c r="D4068" s="33" t="s">
        <v>35793</v>
      </c>
      <c r="E4068" s="51" t="s">
        <v>820</v>
      </c>
      <c r="F4068" s="121" t="s">
        <v>3009</v>
      </c>
      <c r="G4068" s="98" t="str">
        <f>HYPERLINK("http://mirror.ff7data.com.ar/ff7/data/battle/battle.lgp/heam.png","View Picture")</f>
        <v>View Picture</v>
      </c>
    </row>
    <row r="4069">
      <c r="A4069" s="55"/>
      <c r="B4069" s="119" t="s">
        <v>35795</v>
      </c>
      <c r="C4069" s="120" t="s">
        <v>6029</v>
      </c>
      <c r="D4069" s="33" t="s">
        <v>35793</v>
      </c>
      <c r="E4069" s="51" t="s">
        <v>820</v>
      </c>
      <c r="F4069" s="121" t="s">
        <v>3009</v>
      </c>
      <c r="G4069" s="98" t="str">
        <f>HYPERLINK("http://mirror.ff7data.com.ar/ff7/data/battle/battle.lgp/hean.png","View Picture")</f>
        <v>View Picture</v>
      </c>
    </row>
    <row r="4070">
      <c r="A4070" s="55"/>
      <c r="B4070" s="119" t="s">
        <v>35796</v>
      </c>
      <c r="C4070" s="120" t="s">
        <v>6029</v>
      </c>
      <c r="D4070" s="33" t="s">
        <v>35793</v>
      </c>
      <c r="E4070" s="51" t="s">
        <v>820</v>
      </c>
      <c r="F4070" s="121" t="s">
        <v>3009</v>
      </c>
      <c r="G4070" s="98" t="str">
        <f>HYPERLINK("http://mirror.ff7data.com.ar/ff7/data/battle/battle.lgp/heao.png","View Picture")</f>
        <v>View Picture</v>
      </c>
    </row>
    <row r="4071">
      <c r="A4071" s="55"/>
      <c r="B4071" s="119" t="s">
        <v>35797</v>
      </c>
      <c r="C4071" s="120" t="s">
        <v>4841</v>
      </c>
      <c r="D4071" s="33" t="s">
        <v>35793</v>
      </c>
      <c r="E4071" s="51" t="s">
        <v>820</v>
      </c>
      <c r="F4071" s="121" t="s">
        <v>3009</v>
      </c>
      <c r="G4071" s="98" t="str">
        <f>HYPERLINK("http://mirror.ff7data.com.ar/ff7/data/battle/battle.lgp/heap.png","View Picture")</f>
        <v>View Picture</v>
      </c>
    </row>
    <row r="4072">
      <c r="A4072" s="55"/>
      <c r="B4072" s="119" t="s">
        <v>35798</v>
      </c>
      <c r="C4072" s="120" t="s">
        <v>3658</v>
      </c>
      <c r="D4072" s="33" t="s">
        <v>35793</v>
      </c>
      <c r="E4072" s="51" t="s">
        <v>820</v>
      </c>
      <c r="F4072" s="121" t="s">
        <v>3009</v>
      </c>
      <c r="G4072" s="98" t="str">
        <f>HYPERLINK("http://mirror.ff7data.com.ar/ff7/data/battle/battle.lgp/heas.png","View Picture")</f>
        <v>View Picture</v>
      </c>
    </row>
    <row r="4073">
      <c r="A4073" s="55"/>
      <c r="B4073" s="119" t="s">
        <v>35799</v>
      </c>
      <c r="C4073" s="120" t="s">
        <v>7165</v>
      </c>
      <c r="D4073" s="33" t="s">
        <v>35793</v>
      </c>
      <c r="E4073" s="51" t="s">
        <v>820</v>
      </c>
      <c r="F4073" s="121" t="s">
        <v>3009</v>
      </c>
      <c r="G4073" s="98" t="str">
        <f>HYPERLINK("http://mirror.ff7data.com.ar/ff7/data/battle/battle.lgp/heau.png","View Picture")</f>
        <v>View Picture</v>
      </c>
    </row>
    <row r="4074">
      <c r="A4074" s="55"/>
      <c r="B4074" s="119" t="s">
        <v>35800</v>
      </c>
      <c r="C4074" s="120" t="s">
        <v>4439</v>
      </c>
      <c r="D4074" s="33" t="s">
        <v>35793</v>
      </c>
      <c r="E4074" s="51" t="s">
        <v>820</v>
      </c>
      <c r="F4074" s="121" t="s">
        <v>3009</v>
      </c>
      <c r="G4074" s="98" t="str">
        <f>HYPERLINK("http://mirror.ff7data.com.ar/ff7/data/battle/battle.lgp/heaw.png","View Picture")</f>
        <v>View Picture</v>
      </c>
    </row>
    <row r="4075">
      <c r="A4075" s="55"/>
      <c r="B4075" s="119" t="s">
        <v>35801</v>
      </c>
      <c r="C4075" s="120" t="s">
        <v>7871</v>
      </c>
      <c r="D4075" s="33" t="s">
        <v>35793</v>
      </c>
      <c r="E4075" s="51" t="s">
        <v>820</v>
      </c>
      <c r="F4075" s="121" t="s">
        <v>3009</v>
      </c>
      <c r="G4075" s="98" t="str">
        <f>HYPERLINK("http://mirror.ff7data.com.ar/ff7/data/battle/battle.lgp/heax.png","View Picture")</f>
        <v>View Picture</v>
      </c>
    </row>
    <row r="4076">
      <c r="A4076" s="55"/>
      <c r="B4076" s="119" t="s">
        <v>35802</v>
      </c>
      <c r="C4076" s="120" t="s">
        <v>4439</v>
      </c>
      <c r="D4076" s="33" t="s">
        <v>35793</v>
      </c>
      <c r="E4076" s="51" t="s">
        <v>820</v>
      </c>
      <c r="F4076" s="121" t="s">
        <v>3009</v>
      </c>
      <c r="G4076" s="98" t="str">
        <f>HYPERLINK("http://mirror.ff7data.com.ar/ff7/data/battle/battle.lgp/heaz.png","View Picture")</f>
        <v>View Picture</v>
      </c>
    </row>
    <row r="4077">
      <c r="A4077" s="55"/>
      <c r="B4077" s="119" t="s">
        <v>35803</v>
      </c>
      <c r="C4077" s="120" t="s">
        <v>7871</v>
      </c>
      <c r="D4077" s="33" t="s">
        <v>35793</v>
      </c>
      <c r="E4077" s="51" t="s">
        <v>820</v>
      </c>
      <c r="F4077" s="121" t="s">
        <v>3009</v>
      </c>
      <c r="G4077" s="98" t="str">
        <f>HYPERLINK("http://mirror.ff7data.com.ar/ff7/data/battle/battle.lgp/heba.png","View Picture")</f>
        <v>View Picture</v>
      </c>
    </row>
    <row r="4078">
      <c r="A4078" s="55"/>
      <c r="B4078" s="119" t="s">
        <v>35804</v>
      </c>
      <c r="C4078" s="120" t="s">
        <v>4696</v>
      </c>
      <c r="D4078" s="33" t="s">
        <v>35793</v>
      </c>
      <c r="E4078" s="51" t="s">
        <v>820</v>
      </c>
      <c r="F4078" s="121" t="s">
        <v>3009</v>
      </c>
      <c r="G4078" s="98" t="str">
        <f>HYPERLINK("http://mirror.ff7data.com.ar/ff7/data/battle/battle.lgp/hebc.png","View Picture")</f>
        <v>View Picture</v>
      </c>
    </row>
    <row r="4079">
      <c r="A4079" s="55"/>
      <c r="B4079" s="119" t="s">
        <v>35805</v>
      </c>
      <c r="C4079" s="120" t="s">
        <v>4476</v>
      </c>
      <c r="D4079" s="33" t="s">
        <v>35793</v>
      </c>
      <c r="E4079" s="51" t="s">
        <v>820</v>
      </c>
      <c r="F4079" s="121" t="s">
        <v>3009</v>
      </c>
      <c r="G4079" s="98" t="str">
        <f>HYPERLINK("http://mirror.ff7data.com.ar/ff7/data/battle/battle.lgp/hebd.png","View Picture")</f>
        <v>View Picture</v>
      </c>
    </row>
    <row r="4080">
      <c r="A4080" s="55"/>
      <c r="B4080" s="119" t="s">
        <v>35806</v>
      </c>
      <c r="C4080" s="120" t="s">
        <v>4696</v>
      </c>
      <c r="D4080" s="33" t="s">
        <v>35793</v>
      </c>
      <c r="E4080" s="51" t="s">
        <v>820</v>
      </c>
      <c r="F4080" s="121" t="s">
        <v>3009</v>
      </c>
      <c r="G4080" s="98" t="str">
        <f>HYPERLINK("http://mirror.ff7data.com.ar/ff7/data/battle/battle.lgp/hebf.png","View Picture")</f>
        <v>View Picture</v>
      </c>
    </row>
    <row r="4081">
      <c r="A4081" s="55"/>
      <c r="B4081" s="119" t="s">
        <v>35807</v>
      </c>
      <c r="C4081" s="120" t="s">
        <v>4264</v>
      </c>
      <c r="D4081" s="33" t="s">
        <v>35793</v>
      </c>
      <c r="E4081" s="51" t="s">
        <v>820</v>
      </c>
      <c r="F4081" s="121" t="s">
        <v>3009</v>
      </c>
      <c r="G4081" s="98" t="str">
        <f>HYPERLINK("http://mirror.ff7data.com.ar/ff7/data/battle/battle.lgp/hebg.png","View Picture")</f>
        <v>View Picture</v>
      </c>
    </row>
    <row r="4082">
      <c r="A4082" s="55"/>
      <c r="B4082" s="119" t="s">
        <v>35808</v>
      </c>
      <c r="C4082" s="120" t="s">
        <v>4696</v>
      </c>
      <c r="D4082" s="33" t="s">
        <v>35793</v>
      </c>
      <c r="E4082" s="51" t="s">
        <v>820</v>
      </c>
      <c r="F4082" s="121" t="s">
        <v>3009</v>
      </c>
      <c r="G4082" s="98" t="str">
        <f>HYPERLINK("http://mirror.ff7data.com.ar/ff7/data/battle/battle.lgp/hebi.png","View Picture")</f>
        <v>View Picture</v>
      </c>
    </row>
    <row r="4083">
      <c r="A4083" s="55"/>
      <c r="B4083" s="119" t="s">
        <v>35809</v>
      </c>
      <c r="C4083" s="120" t="s">
        <v>4476</v>
      </c>
      <c r="D4083" s="33" t="s">
        <v>35793</v>
      </c>
      <c r="E4083" s="51" t="s">
        <v>820</v>
      </c>
      <c r="F4083" s="121" t="s">
        <v>3009</v>
      </c>
      <c r="G4083" s="98" t="str">
        <f>HYPERLINK("http://mirror.ff7data.com.ar/ff7/data/battle/battle.lgp/hebj.png","View Picture")</f>
        <v>View Picture</v>
      </c>
    </row>
    <row r="4084">
      <c r="A4084" s="55"/>
      <c r="B4084" s="119" t="s">
        <v>35810</v>
      </c>
      <c r="C4084" s="120" t="s">
        <v>4696</v>
      </c>
      <c r="D4084" s="33" t="s">
        <v>35793</v>
      </c>
      <c r="E4084" s="51" t="s">
        <v>820</v>
      </c>
      <c r="F4084" s="121" t="s">
        <v>3009</v>
      </c>
      <c r="G4084" s="98" t="str">
        <f>HYPERLINK("http://mirror.ff7data.com.ar/ff7/data/battle/battle.lgp/hebl.png","View Picture")</f>
        <v>View Picture</v>
      </c>
    </row>
    <row r="4085">
      <c r="A4085" s="55"/>
      <c r="B4085" s="119" t="s">
        <v>35811</v>
      </c>
      <c r="C4085" s="120" t="s">
        <v>4264</v>
      </c>
      <c r="D4085" s="33" t="s">
        <v>35793</v>
      </c>
      <c r="E4085" s="51" t="s">
        <v>820</v>
      </c>
      <c r="F4085" s="121" t="s">
        <v>3009</v>
      </c>
      <c r="G4085" s="98" t="str">
        <f>HYPERLINK("http://mirror.ff7data.com.ar/ff7/data/battle/battle.lgp/hebm.png","View Picture")</f>
        <v>View Picture</v>
      </c>
    </row>
    <row r="4086">
      <c r="A4086" s="55"/>
      <c r="B4086" s="119" t="s">
        <v>35812</v>
      </c>
      <c r="C4086" s="120" t="s">
        <v>4264</v>
      </c>
      <c r="D4086" s="33" t="s">
        <v>35793</v>
      </c>
      <c r="E4086" s="51" t="s">
        <v>820</v>
      </c>
      <c r="F4086" s="121" t="s">
        <v>3009</v>
      </c>
      <c r="G4086" s="98" t="str">
        <f>HYPERLINK("http://mirror.ff7data.com.ar/ff7/data/battle/battle.lgp/hebo.png","View Picture")</f>
        <v>View Picture</v>
      </c>
    </row>
    <row r="4087">
      <c r="A4087" s="55"/>
      <c r="B4087" s="119" t="s">
        <v>35813</v>
      </c>
      <c r="C4087" s="120" t="s">
        <v>6029</v>
      </c>
      <c r="D4087" s="33" t="s">
        <v>35793</v>
      </c>
      <c r="E4087" s="51" t="s">
        <v>820</v>
      </c>
      <c r="F4087" s="121" t="s">
        <v>3009</v>
      </c>
      <c r="G4087" s="98" t="str">
        <f>HYPERLINK("http://mirror.ff7data.com.ar/ff7/data/battle/battle.lgp/hebp.png","View Picture")</f>
        <v>View Picture</v>
      </c>
    </row>
    <row r="4088">
      <c r="A4088" s="55"/>
      <c r="B4088" s="119" t="s">
        <v>35814</v>
      </c>
      <c r="C4088" s="120" t="s">
        <v>4264</v>
      </c>
      <c r="D4088" s="33" t="s">
        <v>35793</v>
      </c>
      <c r="E4088" s="51" t="s">
        <v>820</v>
      </c>
      <c r="F4088" s="121" t="s">
        <v>3009</v>
      </c>
      <c r="G4088" s="98" t="str">
        <f>HYPERLINK("http://mirror.ff7data.com.ar/ff7/data/battle/battle.lgp/hebr.png","View Picture")</f>
        <v>View Picture</v>
      </c>
    </row>
    <row r="4089">
      <c r="A4089" s="55"/>
      <c r="B4089" s="119" t="s">
        <v>35815</v>
      </c>
      <c r="C4089" s="120" t="s">
        <v>4372</v>
      </c>
      <c r="D4089" s="33" t="s">
        <v>35793</v>
      </c>
      <c r="E4089" s="51" t="s">
        <v>820</v>
      </c>
      <c r="F4089" s="121" t="s">
        <v>3009</v>
      </c>
      <c r="G4089" s="98" t="str">
        <f>HYPERLINK("http://mirror.ff7data.com.ar/ff7/data/battle/battle.lgp/hebs.png","View Picture")</f>
        <v>View Picture</v>
      </c>
    </row>
    <row r="4090">
      <c r="A4090" s="55"/>
      <c r="B4090" s="119" t="s">
        <v>35816</v>
      </c>
      <c r="C4090" s="120" t="s">
        <v>4476</v>
      </c>
      <c r="D4090" s="33" t="s">
        <v>35793</v>
      </c>
      <c r="E4090" s="51" t="s">
        <v>820</v>
      </c>
      <c r="F4090" s="121" t="s">
        <v>3009</v>
      </c>
      <c r="G4090" s="98" t="str">
        <f>HYPERLINK("http://mirror.ff7data.com.ar/ff7/data/battle/battle.lgp/hebt.png","View Picture")</f>
        <v>View Picture</v>
      </c>
    </row>
    <row r="4091">
      <c r="A4091" s="55"/>
      <c r="B4091" s="119" t="s">
        <v>35817</v>
      </c>
      <c r="C4091" s="120" t="s">
        <v>14030</v>
      </c>
      <c r="D4091" s="33" t="s">
        <v>35793</v>
      </c>
      <c r="E4091" s="51" t="s">
        <v>820</v>
      </c>
      <c r="F4091" s="121" t="s">
        <v>3009</v>
      </c>
      <c r="G4091" s="98" t="str">
        <f>HYPERLINK("http://mirror.ff7data.com.ar/ff7/data/battle/battle.lgp/hebu.png","View Picture")</f>
        <v>View Picture</v>
      </c>
    </row>
    <row r="4092">
      <c r="A4092" s="55"/>
      <c r="B4092" s="119" t="s">
        <v>35818</v>
      </c>
      <c r="C4092" s="120" t="s">
        <v>4264</v>
      </c>
      <c r="D4092" s="33" t="s">
        <v>35793</v>
      </c>
      <c r="E4092" s="51" t="s">
        <v>820</v>
      </c>
      <c r="F4092" s="121" t="s">
        <v>3009</v>
      </c>
      <c r="G4092" s="98" t="str">
        <f>HYPERLINK("http://mirror.ff7data.com.ar/ff7/data/battle/battle.lgp/hebw.png","View Picture")</f>
        <v>View Picture</v>
      </c>
    </row>
    <row r="4093">
      <c r="A4093" s="55"/>
      <c r="B4093" s="119" t="s">
        <v>35819</v>
      </c>
      <c r="C4093" s="120" t="s">
        <v>4732</v>
      </c>
      <c r="D4093" s="33" t="s">
        <v>35793</v>
      </c>
      <c r="E4093" s="51" t="s">
        <v>820</v>
      </c>
      <c r="F4093" s="121" t="s">
        <v>3009</v>
      </c>
      <c r="G4093" s="98" t="str">
        <f>HYPERLINK("http://mirror.ff7data.com.ar/ff7/data/battle/battle.lgp/hebx.png","View Picture")</f>
        <v>View Picture</v>
      </c>
    </row>
    <row r="4094">
      <c r="A4094" s="55"/>
      <c r="B4094" s="119" t="s">
        <v>35820</v>
      </c>
      <c r="C4094" s="120" t="s">
        <v>4264</v>
      </c>
      <c r="D4094" s="33" t="s">
        <v>35793</v>
      </c>
      <c r="E4094" s="51" t="s">
        <v>820</v>
      </c>
      <c r="F4094" s="121" t="s">
        <v>3009</v>
      </c>
      <c r="G4094" s="98" t="str">
        <f>HYPERLINK("http://mirror.ff7data.com.ar/ff7/data/battle/battle.lgp/hebz.png","View Picture")</f>
        <v>View Picture</v>
      </c>
    </row>
    <row r="4095">
      <c r="A4095" s="55"/>
      <c r="B4095" s="119" t="s">
        <v>35821</v>
      </c>
      <c r="C4095" s="120" t="s">
        <v>4732</v>
      </c>
      <c r="D4095" s="33" t="s">
        <v>35793</v>
      </c>
      <c r="E4095" s="51" t="s">
        <v>820</v>
      </c>
      <c r="F4095" s="121" t="s">
        <v>3009</v>
      </c>
      <c r="G4095" s="98" t="str">
        <f>HYPERLINK("http://mirror.ff7data.com.ar/ff7/data/battle/battle.lgp/heca.png","View Picture")</f>
        <v>View Picture</v>
      </c>
    </row>
    <row r="4096">
      <c r="A4096" s="55"/>
      <c r="B4096" s="119" t="s">
        <v>35822</v>
      </c>
      <c r="C4096" s="120" t="s">
        <v>4156</v>
      </c>
      <c r="D4096" s="33" t="s">
        <v>35793</v>
      </c>
      <c r="E4096" s="51" t="s">
        <v>820</v>
      </c>
      <c r="F4096" s="121" t="s">
        <v>3025</v>
      </c>
      <c r="H4096" s="46" t="s">
        <v>3002</v>
      </c>
    </row>
    <row r="4097">
      <c r="A4097" s="21"/>
      <c r="B4097" s="119" t="s">
        <v>35823</v>
      </c>
      <c r="C4097" s="120" t="s">
        <v>12090</v>
      </c>
      <c r="D4097" s="33" t="s">
        <v>35824</v>
      </c>
      <c r="E4097" s="51" t="s">
        <v>825</v>
      </c>
      <c r="F4097" s="121" t="s">
        <v>2971</v>
      </c>
      <c r="G4097" s="98" t="str">
        <f>HYPERLINK("http://mirror.ff7data.com.ar/ff7/data/battle/battle.lgp/hfaa.png","View Picture")</f>
        <v>View Picture</v>
      </c>
    </row>
    <row r="4098">
      <c r="A4098" s="55"/>
      <c r="B4098" s="119" t="s">
        <v>35825</v>
      </c>
      <c r="C4098" s="120" t="s">
        <v>5724</v>
      </c>
      <c r="D4098" s="33" t="s">
        <v>35826</v>
      </c>
      <c r="E4098" s="51" t="s">
        <v>825</v>
      </c>
      <c r="F4098" s="121" t="s">
        <v>2993</v>
      </c>
      <c r="H4098" s="46" t="s">
        <v>3002</v>
      </c>
    </row>
    <row r="4099">
      <c r="A4099" s="55"/>
      <c r="B4099" s="119" t="s">
        <v>35827</v>
      </c>
      <c r="C4099" s="120" t="s">
        <v>3505</v>
      </c>
      <c r="D4099" s="33" t="s">
        <v>35826</v>
      </c>
      <c r="E4099" s="51" t="s">
        <v>825</v>
      </c>
      <c r="F4099" s="121" t="s">
        <v>3009</v>
      </c>
      <c r="G4099" s="98" t="str">
        <f>HYPERLINK("http://mirror.ff7data.com.ar/ff7/data/battle/battle.lgp/hfam.png","View Picture")</f>
        <v>View Picture</v>
      </c>
    </row>
    <row r="4100">
      <c r="A4100" s="55"/>
      <c r="B4100" s="119" t="s">
        <v>35828</v>
      </c>
      <c r="C4100" s="120" t="s">
        <v>4228</v>
      </c>
      <c r="D4100" s="33" t="s">
        <v>35826</v>
      </c>
      <c r="E4100" s="51" t="s">
        <v>825</v>
      </c>
      <c r="F4100" s="121" t="s">
        <v>3009</v>
      </c>
      <c r="G4100" s="98" t="str">
        <f>HYPERLINK("http://mirror.ff7data.com.ar/ff7/data/battle/battle.lgp/hfan.png","View Picture")</f>
        <v>View Picture</v>
      </c>
    </row>
    <row r="4101">
      <c r="A4101" s="55"/>
      <c r="B4101" s="119" t="s">
        <v>35829</v>
      </c>
      <c r="C4101" s="120" t="s">
        <v>4146</v>
      </c>
      <c r="D4101" s="33" t="s">
        <v>35826</v>
      </c>
      <c r="E4101" s="51" t="s">
        <v>825</v>
      </c>
      <c r="F4101" s="121" t="s">
        <v>3009</v>
      </c>
      <c r="G4101" s="98" t="str">
        <f>HYPERLINK("http://mirror.ff7data.com.ar/ff7/data/battle/battle.lgp/hfao.png","View Picture")</f>
        <v>View Picture</v>
      </c>
    </row>
    <row r="4102">
      <c r="A4102" s="55"/>
      <c r="B4102" s="119" t="s">
        <v>35830</v>
      </c>
      <c r="C4102" s="120" t="s">
        <v>3614</v>
      </c>
      <c r="D4102" s="33" t="s">
        <v>35826</v>
      </c>
      <c r="E4102" s="51" t="s">
        <v>825</v>
      </c>
      <c r="F4102" s="121" t="s">
        <v>3009</v>
      </c>
      <c r="G4102" s="98" t="str">
        <f>HYPERLINK("http://mirror.ff7data.com.ar/ff7/data/battle/battle.lgp/hfaq.png","View Picture")</f>
        <v>View Picture</v>
      </c>
    </row>
    <row r="4103">
      <c r="A4103" s="55"/>
      <c r="B4103" s="119" t="s">
        <v>35831</v>
      </c>
      <c r="C4103" s="120" t="s">
        <v>4217</v>
      </c>
      <c r="D4103" s="33" t="s">
        <v>35826</v>
      </c>
      <c r="E4103" s="51" t="s">
        <v>825</v>
      </c>
      <c r="F4103" s="121" t="s">
        <v>3009</v>
      </c>
      <c r="G4103" s="98" t="str">
        <f>HYPERLINK("http://mirror.ff7data.com.ar/ff7/data/battle/battle.lgp/hfar.png","View Picture")</f>
        <v>View Picture</v>
      </c>
    </row>
    <row r="4104">
      <c r="A4104" s="55"/>
      <c r="B4104" s="119" t="s">
        <v>35832</v>
      </c>
      <c r="C4104" s="120" t="s">
        <v>3723</v>
      </c>
      <c r="D4104" s="33" t="s">
        <v>35826</v>
      </c>
      <c r="E4104" s="51" t="s">
        <v>825</v>
      </c>
      <c r="F4104" s="121" t="s">
        <v>3009</v>
      </c>
      <c r="G4104" s="98" t="str">
        <f>HYPERLINK("http://mirror.ff7data.com.ar/ff7/data/battle/battle.lgp/hfas.png","View Picture")</f>
        <v>View Picture</v>
      </c>
    </row>
    <row r="4105">
      <c r="A4105" s="55"/>
      <c r="B4105" s="119" t="s">
        <v>35833</v>
      </c>
      <c r="C4105" s="120" t="s">
        <v>5859</v>
      </c>
      <c r="D4105" s="33" t="s">
        <v>35826</v>
      </c>
      <c r="E4105" s="51" t="s">
        <v>825</v>
      </c>
      <c r="F4105" s="121" t="s">
        <v>3009</v>
      </c>
      <c r="G4105" s="98" t="str">
        <f>HYPERLINK("http://mirror.ff7data.com.ar/ff7/data/battle/battle.lgp/hfau.png","View Picture")</f>
        <v>View Picture</v>
      </c>
    </row>
    <row r="4106">
      <c r="A4106" s="55"/>
      <c r="B4106" s="119" t="s">
        <v>35834</v>
      </c>
      <c r="C4106" s="120" t="s">
        <v>3614</v>
      </c>
      <c r="D4106" s="33" t="s">
        <v>35826</v>
      </c>
      <c r="E4106" s="51" t="s">
        <v>825</v>
      </c>
      <c r="F4106" s="121" t="s">
        <v>3009</v>
      </c>
      <c r="G4106" s="98" t="str">
        <f>HYPERLINK("http://mirror.ff7data.com.ar/ff7/data/battle/battle.lgp/hfaw.png","View Picture")</f>
        <v>View Picture</v>
      </c>
    </row>
    <row r="4107">
      <c r="A4107" s="55"/>
      <c r="B4107" s="119" t="s">
        <v>35835</v>
      </c>
      <c r="C4107" s="120" t="s">
        <v>4217</v>
      </c>
      <c r="D4107" s="33" t="s">
        <v>35826</v>
      </c>
      <c r="E4107" s="51" t="s">
        <v>825</v>
      </c>
      <c r="F4107" s="121" t="s">
        <v>3009</v>
      </c>
      <c r="G4107" s="98" t="str">
        <f>HYPERLINK("http://mirror.ff7data.com.ar/ff7/data/battle/battle.lgp/hfax.png","View Picture")</f>
        <v>View Picture</v>
      </c>
    </row>
    <row r="4108">
      <c r="A4108" s="55"/>
      <c r="B4108" s="119" t="s">
        <v>35836</v>
      </c>
      <c r="C4108" s="120" t="s">
        <v>3768</v>
      </c>
      <c r="D4108" s="33" t="s">
        <v>35826</v>
      </c>
      <c r="E4108" s="51" t="s">
        <v>825</v>
      </c>
      <c r="F4108" s="121" t="s">
        <v>3009</v>
      </c>
      <c r="G4108" s="98" t="str">
        <f>HYPERLINK("http://mirror.ff7data.com.ar/ff7/data/battle/battle.lgp/hfay.png","View Picture")</f>
        <v>View Picture</v>
      </c>
    </row>
    <row r="4109">
      <c r="A4109" s="55"/>
      <c r="B4109" s="119" t="s">
        <v>35837</v>
      </c>
      <c r="C4109" s="120" t="s">
        <v>4476</v>
      </c>
      <c r="D4109" s="33" t="s">
        <v>35826</v>
      </c>
      <c r="E4109" s="51" t="s">
        <v>825</v>
      </c>
      <c r="F4109" s="121" t="s">
        <v>3009</v>
      </c>
      <c r="G4109" s="98" t="str">
        <f>HYPERLINK("http://mirror.ff7data.com.ar/ff7/data/battle/battle.lgp/hfba.png","View Picture")</f>
        <v>View Picture</v>
      </c>
    </row>
    <row r="4110">
      <c r="A4110" s="55"/>
      <c r="B4110" s="119" t="s">
        <v>35838</v>
      </c>
      <c r="C4110" s="120" t="s">
        <v>4057</v>
      </c>
      <c r="D4110" s="33" t="s">
        <v>35826</v>
      </c>
      <c r="E4110" s="51" t="s">
        <v>825</v>
      </c>
      <c r="F4110" s="121" t="s">
        <v>3009</v>
      </c>
      <c r="G4110" s="98" t="str">
        <f>HYPERLINK("http://mirror.ff7data.com.ar/ff7/data/battle/battle.lgp/hfbb.png","View Picture")</f>
        <v>View Picture</v>
      </c>
    </row>
    <row r="4111">
      <c r="A4111" s="55"/>
      <c r="B4111" s="119" t="s">
        <v>35839</v>
      </c>
      <c r="C4111" s="120" t="s">
        <v>3412</v>
      </c>
      <c r="D4111" s="33" t="s">
        <v>35826</v>
      </c>
      <c r="E4111" s="51" t="s">
        <v>825</v>
      </c>
      <c r="F4111" s="121" t="s">
        <v>3009</v>
      </c>
      <c r="G4111" s="98" t="str">
        <f>HYPERLINK("http://mirror.ff7data.com.ar/ff7/data/battle/battle.lgp/hfbc.png","View Picture")</f>
        <v>View Picture</v>
      </c>
    </row>
    <row r="4112">
      <c r="A4112" s="55"/>
      <c r="B4112" s="119" t="s">
        <v>35840</v>
      </c>
      <c r="C4112" s="120" t="s">
        <v>4372</v>
      </c>
      <c r="D4112" s="33" t="s">
        <v>35826</v>
      </c>
      <c r="E4112" s="51" t="s">
        <v>825</v>
      </c>
      <c r="F4112" s="121" t="s">
        <v>3009</v>
      </c>
      <c r="G4112" s="98" t="str">
        <f>HYPERLINK("http://mirror.ff7data.com.ar/ff7/data/battle/battle.lgp/hfbe.png","View Picture")</f>
        <v>View Picture</v>
      </c>
    </row>
    <row r="4113">
      <c r="A4113" s="55"/>
      <c r="B4113" s="119" t="s">
        <v>35841</v>
      </c>
      <c r="C4113" s="120" t="s">
        <v>4057</v>
      </c>
      <c r="D4113" s="33" t="s">
        <v>35826</v>
      </c>
      <c r="E4113" s="51" t="s">
        <v>825</v>
      </c>
      <c r="F4113" s="121" t="s">
        <v>3009</v>
      </c>
      <c r="G4113" s="98" t="str">
        <f>HYPERLINK("http://mirror.ff7data.com.ar/ff7/data/battle/battle.lgp/hfbf.png","View Picture")</f>
        <v>View Picture</v>
      </c>
    </row>
    <row r="4114">
      <c r="A4114" s="55"/>
      <c r="B4114" s="119" t="s">
        <v>35842</v>
      </c>
      <c r="C4114" s="120" t="s">
        <v>3412</v>
      </c>
      <c r="D4114" s="33" t="s">
        <v>35826</v>
      </c>
      <c r="E4114" s="51" t="s">
        <v>825</v>
      </c>
      <c r="F4114" s="121" t="s">
        <v>3009</v>
      </c>
      <c r="G4114" s="98" t="str">
        <f>HYPERLINK("http://mirror.ff7data.com.ar/ff7/data/battle/battle.lgp/hfbg.png","View Picture")</f>
        <v>View Picture</v>
      </c>
    </row>
    <row r="4115">
      <c r="A4115" s="55"/>
      <c r="B4115" s="119" t="s">
        <v>35843</v>
      </c>
      <c r="C4115" s="120" t="s">
        <v>3519</v>
      </c>
      <c r="D4115" s="33" t="s">
        <v>35826</v>
      </c>
      <c r="E4115" s="51" t="s">
        <v>825</v>
      </c>
      <c r="F4115" s="121" t="s">
        <v>3025</v>
      </c>
      <c r="H4115" s="46" t="s">
        <v>3002</v>
      </c>
    </row>
    <row r="4116">
      <c r="A4116" s="21"/>
      <c r="B4116" s="119" t="s">
        <v>35844</v>
      </c>
      <c r="C4116" s="120" t="s">
        <v>9973</v>
      </c>
      <c r="D4116" s="33" t="s">
        <v>35845</v>
      </c>
      <c r="E4116" s="51" t="s">
        <v>829</v>
      </c>
      <c r="F4116" s="121" t="s">
        <v>2971</v>
      </c>
      <c r="G4116" s="98" t="str">
        <f>HYPERLINK("http://mirror.ff7data.com.ar/ff7/data/battle/battle.lgp/hgaa.png","View Picture")</f>
        <v>View Picture</v>
      </c>
      <c r="H4116" s="46" t="s">
        <v>35846</v>
      </c>
    </row>
    <row r="4117">
      <c r="A4117" s="55"/>
      <c r="B4117" s="119" t="s">
        <v>35847</v>
      </c>
      <c r="C4117" s="120" t="s">
        <v>9790</v>
      </c>
      <c r="D4117" s="33" t="s">
        <v>35848</v>
      </c>
      <c r="E4117" s="51" t="s">
        <v>829</v>
      </c>
      <c r="F4117" s="121" t="s">
        <v>2993</v>
      </c>
      <c r="H4117" s="46" t="s">
        <v>3002</v>
      </c>
    </row>
    <row r="4118">
      <c r="A4118" s="55"/>
      <c r="B4118" s="119" t="s">
        <v>35849</v>
      </c>
      <c r="C4118" s="120" t="s">
        <v>3343</v>
      </c>
      <c r="D4118" s="33" t="s">
        <v>35848</v>
      </c>
      <c r="E4118" s="51" t="s">
        <v>829</v>
      </c>
      <c r="F4118" s="121" t="s">
        <v>3009</v>
      </c>
      <c r="G4118" s="98" t="str">
        <f>HYPERLINK("http://mirror.ff7data.com.ar/ff7/data/battle/battle.lgp/hgam.png","View Picture")</f>
        <v>View Picture</v>
      </c>
    </row>
    <row r="4119">
      <c r="A4119" s="55"/>
      <c r="B4119" s="119" t="s">
        <v>35850</v>
      </c>
      <c r="C4119" s="120" t="s">
        <v>3614</v>
      </c>
      <c r="D4119" s="33" t="s">
        <v>35848</v>
      </c>
      <c r="E4119" s="51" t="s">
        <v>829</v>
      </c>
      <c r="F4119" s="121" t="s">
        <v>3009</v>
      </c>
      <c r="G4119" s="98" t="str">
        <f>HYPERLINK("http://mirror.ff7data.com.ar/ff7/data/battle/battle.lgp/hgan.png","View Picture")</f>
        <v>View Picture</v>
      </c>
    </row>
    <row r="4120">
      <c r="A4120" s="55"/>
      <c r="B4120" s="119" t="s">
        <v>35851</v>
      </c>
      <c r="C4120" s="120" t="s">
        <v>5419</v>
      </c>
      <c r="D4120" s="33" t="s">
        <v>35848</v>
      </c>
      <c r="E4120" s="51" t="s">
        <v>829</v>
      </c>
      <c r="F4120" s="121" t="s">
        <v>3009</v>
      </c>
      <c r="G4120" s="98" t="str">
        <f>HYPERLINK("http://mirror.ff7data.com.ar/ff7/data/battle/battle.lgp/hgao.png","View Picture")</f>
        <v>View Picture</v>
      </c>
    </row>
    <row r="4121">
      <c r="A4121" s="55"/>
      <c r="B4121" s="119" t="s">
        <v>35852</v>
      </c>
      <c r="C4121" s="120" t="s">
        <v>4057</v>
      </c>
      <c r="D4121" s="33" t="s">
        <v>35848</v>
      </c>
      <c r="E4121" s="51" t="s">
        <v>829</v>
      </c>
      <c r="F4121" s="121" t="s">
        <v>3009</v>
      </c>
      <c r="G4121" s="98" t="str">
        <f>HYPERLINK("http://mirror.ff7data.com.ar/ff7/data/battle/battle.lgp/hgap.png","View Picture")</f>
        <v>View Picture</v>
      </c>
    </row>
    <row r="4122">
      <c r="A4122" s="55"/>
      <c r="B4122" s="119" t="s">
        <v>35853</v>
      </c>
      <c r="C4122" s="120" t="s">
        <v>9441</v>
      </c>
      <c r="D4122" s="33" t="s">
        <v>35848</v>
      </c>
      <c r="E4122" s="51" t="s">
        <v>829</v>
      </c>
      <c r="F4122" s="121" t="s">
        <v>3009</v>
      </c>
      <c r="G4122" s="98" t="str">
        <f>HYPERLINK("http://mirror.ff7data.com.ar/ff7/data/battle/battle.lgp/hgaq.png","View Picture")</f>
        <v>View Picture</v>
      </c>
    </row>
    <row r="4123">
      <c r="A4123" s="55"/>
      <c r="B4123" s="119" t="s">
        <v>35854</v>
      </c>
      <c r="C4123" s="120" t="s">
        <v>4217</v>
      </c>
      <c r="D4123" s="33" t="s">
        <v>35848</v>
      </c>
      <c r="E4123" s="51" t="s">
        <v>829</v>
      </c>
      <c r="F4123" s="121" t="s">
        <v>3009</v>
      </c>
      <c r="G4123" s="98" t="str">
        <f>HYPERLINK("http://mirror.ff7data.com.ar/ff7/data/battle/battle.lgp/hgar.png","View Picture")</f>
        <v>View Picture</v>
      </c>
    </row>
    <row r="4124">
      <c r="A4124" s="55"/>
      <c r="B4124" s="119" t="s">
        <v>35855</v>
      </c>
      <c r="C4124" s="120" t="s">
        <v>5419</v>
      </c>
      <c r="D4124" s="33" t="s">
        <v>35848</v>
      </c>
      <c r="E4124" s="51" t="s">
        <v>829</v>
      </c>
      <c r="F4124" s="121" t="s">
        <v>3009</v>
      </c>
      <c r="G4124" s="98" t="str">
        <f>HYPERLINK("http://mirror.ff7data.com.ar/ff7/data/battle/battle.lgp/hgat.png","View Picture")</f>
        <v>View Picture</v>
      </c>
    </row>
    <row r="4125">
      <c r="A4125" s="55"/>
      <c r="B4125" s="119" t="s">
        <v>35856</v>
      </c>
      <c r="C4125" s="120" t="s">
        <v>4252</v>
      </c>
      <c r="D4125" s="33" t="s">
        <v>35848</v>
      </c>
      <c r="E4125" s="51" t="s">
        <v>829</v>
      </c>
      <c r="F4125" s="121" t="s">
        <v>3009</v>
      </c>
      <c r="G4125" s="98" t="str">
        <f>HYPERLINK("http://mirror.ff7data.com.ar/ff7/data/battle/battle.lgp/hgau.png","View Picture")</f>
        <v>View Picture</v>
      </c>
    </row>
    <row r="4126">
      <c r="A4126" s="55"/>
      <c r="B4126" s="119" t="s">
        <v>35857</v>
      </c>
      <c r="C4126" s="120" t="s">
        <v>4057</v>
      </c>
      <c r="D4126" s="33" t="s">
        <v>35848</v>
      </c>
      <c r="E4126" s="51" t="s">
        <v>829</v>
      </c>
      <c r="F4126" s="121" t="s">
        <v>3009</v>
      </c>
      <c r="G4126" s="98" t="str">
        <f>HYPERLINK("http://mirror.ff7data.com.ar/ff7/data/battle/battle.lgp/hgaw.png","View Picture")</f>
        <v>View Picture</v>
      </c>
    </row>
    <row r="4127">
      <c r="A4127" s="55"/>
      <c r="B4127" s="119" t="s">
        <v>35858</v>
      </c>
      <c r="C4127" s="120" t="s">
        <v>7270</v>
      </c>
      <c r="D4127" s="33" t="s">
        <v>35848</v>
      </c>
      <c r="E4127" s="51" t="s">
        <v>829</v>
      </c>
      <c r="F4127" s="121" t="s">
        <v>3009</v>
      </c>
      <c r="G4127" s="98" t="str">
        <f>HYPERLINK("http://mirror.ff7data.com.ar/ff7/data/battle/battle.lgp/hgax.png","View Picture")</f>
        <v>View Picture</v>
      </c>
    </row>
    <row r="4128">
      <c r="A4128" s="55"/>
      <c r="B4128" s="119" t="s">
        <v>35859</v>
      </c>
      <c r="C4128" s="120" t="s">
        <v>4732</v>
      </c>
      <c r="D4128" s="33" t="s">
        <v>35848</v>
      </c>
      <c r="E4128" s="51" t="s">
        <v>829</v>
      </c>
      <c r="F4128" s="121" t="s">
        <v>3009</v>
      </c>
      <c r="G4128" s="98" t="str">
        <f>HYPERLINK("http://mirror.ff7data.com.ar/ff7/data/battle/battle.lgp/hgaz.png","View Picture")</f>
        <v>View Picture</v>
      </c>
    </row>
    <row r="4129">
      <c r="A4129" s="55"/>
      <c r="B4129" s="119" t="s">
        <v>35860</v>
      </c>
      <c r="C4129" s="120" t="s">
        <v>4288</v>
      </c>
      <c r="D4129" s="33" t="s">
        <v>35848</v>
      </c>
      <c r="E4129" s="51" t="s">
        <v>829</v>
      </c>
      <c r="F4129" s="121" t="s">
        <v>3009</v>
      </c>
      <c r="G4129" s="98" t="str">
        <f>HYPERLINK("http://mirror.ff7data.com.ar/ff7/data/battle/battle.lgp/hgba.png","View Picture")</f>
        <v>View Picture</v>
      </c>
    </row>
    <row r="4130">
      <c r="A4130" s="55"/>
      <c r="B4130" s="119" t="s">
        <v>35861</v>
      </c>
      <c r="C4130" s="120" t="s">
        <v>4288</v>
      </c>
      <c r="D4130" s="33" t="s">
        <v>35848</v>
      </c>
      <c r="E4130" s="51" t="s">
        <v>829</v>
      </c>
      <c r="F4130" s="121" t="s">
        <v>3009</v>
      </c>
      <c r="G4130" s="98" t="str">
        <f>HYPERLINK("http://mirror.ff7data.com.ar/ff7/data/battle/battle.lgp/hgbb.png","View Picture")</f>
        <v>View Picture</v>
      </c>
    </row>
    <row r="4131">
      <c r="A4131" s="55"/>
      <c r="B4131" s="119" t="s">
        <v>35862</v>
      </c>
      <c r="C4131" s="120" t="s">
        <v>4439</v>
      </c>
      <c r="D4131" s="33" t="s">
        <v>35848</v>
      </c>
      <c r="E4131" s="51" t="s">
        <v>829</v>
      </c>
      <c r="F4131" s="121" t="s">
        <v>3009</v>
      </c>
      <c r="G4131" s="98" t="str">
        <f>HYPERLINK("http://mirror.ff7data.com.ar/ff7/data/battle/battle.lgp/hgbd.png","View Picture")</f>
        <v>View Picture</v>
      </c>
    </row>
    <row r="4132">
      <c r="A4132" s="55"/>
      <c r="B4132" s="119" t="s">
        <v>35863</v>
      </c>
      <c r="C4132" s="120" t="s">
        <v>4439</v>
      </c>
      <c r="D4132" s="33" t="s">
        <v>35848</v>
      </c>
      <c r="E4132" s="51" t="s">
        <v>829</v>
      </c>
      <c r="F4132" s="121" t="s">
        <v>3009</v>
      </c>
      <c r="G4132" s="98" t="str">
        <f>HYPERLINK("http://mirror.ff7data.com.ar/ff7/data/battle/battle.lgp/hgbf.png","View Picture")</f>
        <v>View Picture</v>
      </c>
    </row>
    <row r="4133">
      <c r="A4133" s="55"/>
      <c r="B4133" s="119" t="s">
        <v>35864</v>
      </c>
      <c r="C4133" s="120" t="s">
        <v>4439</v>
      </c>
      <c r="D4133" s="33" t="s">
        <v>35848</v>
      </c>
      <c r="E4133" s="51" t="s">
        <v>829</v>
      </c>
      <c r="F4133" s="121" t="s">
        <v>3009</v>
      </c>
      <c r="G4133" s="98" t="str">
        <f>HYPERLINK("http://mirror.ff7data.com.ar/ff7/data/battle/battle.lgp/hgbg.png","View Picture")</f>
        <v>View Picture</v>
      </c>
    </row>
    <row r="4134">
      <c r="A4134" s="55"/>
      <c r="B4134" s="119" t="s">
        <v>35865</v>
      </c>
      <c r="C4134" s="120" t="s">
        <v>4732</v>
      </c>
      <c r="D4134" s="33" t="s">
        <v>35848</v>
      </c>
      <c r="E4134" s="51" t="s">
        <v>829</v>
      </c>
      <c r="F4134" s="121" t="s">
        <v>3009</v>
      </c>
      <c r="G4134" s="98" t="str">
        <f>HYPERLINK("http://mirror.ff7data.com.ar/ff7/data/battle/battle.lgp/hgbi.png","View Picture")</f>
        <v>View Picture</v>
      </c>
    </row>
    <row r="4135">
      <c r="A4135" s="55"/>
      <c r="B4135" s="119" t="s">
        <v>35866</v>
      </c>
      <c r="C4135" s="120" t="s">
        <v>4288</v>
      </c>
      <c r="D4135" s="33" t="s">
        <v>35848</v>
      </c>
      <c r="E4135" s="51" t="s">
        <v>829</v>
      </c>
      <c r="F4135" s="121" t="s">
        <v>3009</v>
      </c>
      <c r="G4135" s="98" t="str">
        <f>HYPERLINK("http://mirror.ff7data.com.ar/ff7/data/battle/battle.lgp/hgbj.png","View Picture")</f>
        <v>View Picture</v>
      </c>
    </row>
    <row r="4136">
      <c r="A4136" s="55"/>
      <c r="B4136" s="119" t="s">
        <v>35867</v>
      </c>
      <c r="C4136" s="120" t="s">
        <v>4288</v>
      </c>
      <c r="D4136" s="33" t="s">
        <v>35848</v>
      </c>
      <c r="E4136" s="51" t="s">
        <v>829</v>
      </c>
      <c r="F4136" s="121" t="s">
        <v>3009</v>
      </c>
      <c r="G4136" s="98" t="str">
        <f>HYPERLINK("http://mirror.ff7data.com.ar/ff7/data/battle/battle.lgp/hgbk.png","View Picture")</f>
        <v>View Picture</v>
      </c>
    </row>
    <row r="4137">
      <c r="A4137" s="55"/>
      <c r="B4137" s="119" t="s">
        <v>35868</v>
      </c>
      <c r="C4137" s="120" t="s">
        <v>4439</v>
      </c>
      <c r="D4137" s="33" t="s">
        <v>35848</v>
      </c>
      <c r="E4137" s="51" t="s">
        <v>829</v>
      </c>
      <c r="F4137" s="121" t="s">
        <v>3009</v>
      </c>
      <c r="G4137" s="98" t="str">
        <f>HYPERLINK("http://mirror.ff7data.com.ar/ff7/data/battle/battle.lgp/hgbm.png","View Picture")</f>
        <v>View Picture</v>
      </c>
    </row>
    <row r="4138">
      <c r="A4138" s="55"/>
      <c r="B4138" s="119" t="s">
        <v>35869</v>
      </c>
      <c r="C4138" s="120" t="s">
        <v>4439</v>
      </c>
      <c r="D4138" s="33" t="s">
        <v>35848</v>
      </c>
      <c r="E4138" s="51" t="s">
        <v>829</v>
      </c>
      <c r="F4138" s="121" t="s">
        <v>3009</v>
      </c>
      <c r="G4138" s="98" t="str">
        <f>HYPERLINK("http://mirror.ff7data.com.ar/ff7/data/battle/battle.lgp/hgbo.png","View Picture")</f>
        <v>View Picture</v>
      </c>
    </row>
    <row r="4139">
      <c r="A4139" s="55"/>
      <c r="B4139" s="119" t="s">
        <v>35870</v>
      </c>
      <c r="C4139" s="120" t="s">
        <v>4439</v>
      </c>
      <c r="D4139" s="33" t="s">
        <v>35848</v>
      </c>
      <c r="E4139" s="51" t="s">
        <v>829</v>
      </c>
      <c r="F4139" s="121" t="s">
        <v>3009</v>
      </c>
      <c r="G4139" s="98" t="str">
        <f>HYPERLINK("http://mirror.ff7data.com.ar/ff7/data/battle/battle.lgp/hgbp.png","View Picture")</f>
        <v>View Picture</v>
      </c>
    </row>
    <row r="4140">
      <c r="A4140" s="55"/>
      <c r="B4140" s="119" t="s">
        <v>35871</v>
      </c>
      <c r="C4140" s="120" t="s">
        <v>6029</v>
      </c>
      <c r="D4140" s="33" t="s">
        <v>35848</v>
      </c>
      <c r="E4140" s="51" t="s">
        <v>829</v>
      </c>
      <c r="F4140" s="121" t="s">
        <v>3009</v>
      </c>
      <c r="G4140" s="98" t="str">
        <f>HYPERLINK("http://mirror.ff7data.com.ar/ff7/data/battle/battle.lgp/hgbr.png","View Picture")</f>
        <v>View Picture</v>
      </c>
    </row>
    <row r="4141">
      <c r="A4141" s="55"/>
      <c r="B4141" s="119" t="s">
        <v>35872</v>
      </c>
      <c r="C4141" s="120" t="s">
        <v>4288</v>
      </c>
      <c r="D4141" s="33" t="s">
        <v>35848</v>
      </c>
      <c r="E4141" s="51" t="s">
        <v>829</v>
      </c>
      <c r="F4141" s="121" t="s">
        <v>3009</v>
      </c>
      <c r="G4141" s="98" t="str">
        <f>HYPERLINK("http://mirror.ff7data.com.ar/ff7/data/battle/battle.lgp/hgbs.png","View Picture")</f>
        <v>View Picture</v>
      </c>
    </row>
    <row r="4142">
      <c r="A4142" s="55"/>
      <c r="B4142" s="119" t="s">
        <v>35873</v>
      </c>
      <c r="C4142" s="120" t="s">
        <v>4288</v>
      </c>
      <c r="D4142" s="33" t="s">
        <v>35848</v>
      </c>
      <c r="E4142" s="51" t="s">
        <v>829</v>
      </c>
      <c r="F4142" s="121" t="s">
        <v>3009</v>
      </c>
      <c r="G4142" s="98" t="str">
        <f>HYPERLINK("http://mirror.ff7data.com.ar/ff7/data/battle/battle.lgp/hgbt.png","View Picture")</f>
        <v>View Picture</v>
      </c>
    </row>
    <row r="4143">
      <c r="A4143" s="55"/>
      <c r="B4143" s="119" t="s">
        <v>35874</v>
      </c>
      <c r="C4143" s="120" t="s">
        <v>21725</v>
      </c>
      <c r="D4143" s="33" t="s">
        <v>35848</v>
      </c>
      <c r="E4143" s="51" t="s">
        <v>829</v>
      </c>
      <c r="F4143" s="121" t="s">
        <v>3009</v>
      </c>
      <c r="G4143" s="98" t="str">
        <f>HYPERLINK("http://mirror.ff7data.com.ar/ff7/data/battle/battle.lgp/hgbv.png","View Picture")</f>
        <v>View Picture</v>
      </c>
    </row>
    <row r="4144">
      <c r="A4144" s="55"/>
      <c r="B4144" s="119" t="s">
        <v>35875</v>
      </c>
      <c r="C4144" s="120" t="s">
        <v>10899</v>
      </c>
      <c r="D4144" s="33" t="s">
        <v>35848</v>
      </c>
      <c r="E4144" s="51" t="s">
        <v>829</v>
      </c>
      <c r="F4144" s="121" t="s">
        <v>3009</v>
      </c>
      <c r="G4144" s="98" t="str">
        <f>HYPERLINK("http://mirror.ff7data.com.ar/ff7/data/battle/battle.lgp/hgbw.png","View Picture")</f>
        <v>View Picture</v>
      </c>
    </row>
    <row r="4145">
      <c r="A4145" s="55"/>
      <c r="B4145" s="119" t="s">
        <v>35876</v>
      </c>
      <c r="C4145" s="120" t="s">
        <v>6515</v>
      </c>
      <c r="D4145" s="33" t="s">
        <v>35848</v>
      </c>
      <c r="E4145" s="51" t="s">
        <v>829</v>
      </c>
      <c r="F4145" s="121" t="s">
        <v>3009</v>
      </c>
      <c r="G4145" s="98" t="str">
        <f>HYPERLINK("http://mirror.ff7data.com.ar/ff7/data/battle/battle.lgp/hgby.png","View Picture")</f>
        <v>View Picture</v>
      </c>
    </row>
    <row r="4146">
      <c r="A4146" s="55"/>
      <c r="B4146" s="119" t="s">
        <v>35877</v>
      </c>
      <c r="C4146" s="120" t="s">
        <v>10899</v>
      </c>
      <c r="D4146" s="33" t="s">
        <v>35848</v>
      </c>
      <c r="E4146" s="51" t="s">
        <v>829</v>
      </c>
      <c r="F4146" s="121" t="s">
        <v>3009</v>
      </c>
      <c r="G4146" s="98" t="str">
        <f>HYPERLINK("http://mirror.ff7data.com.ar/ff7/data/battle/battle.lgp/hgbz.png","View Picture")</f>
        <v>View Picture</v>
      </c>
    </row>
    <row r="4147">
      <c r="A4147" s="55"/>
      <c r="B4147" s="119" t="s">
        <v>35878</v>
      </c>
      <c r="C4147" s="120" t="s">
        <v>34499</v>
      </c>
      <c r="D4147" s="33" t="s">
        <v>35848</v>
      </c>
      <c r="E4147" s="51" t="s">
        <v>829</v>
      </c>
      <c r="F4147" s="121" t="s">
        <v>3025</v>
      </c>
      <c r="H4147" s="46" t="s">
        <v>3002</v>
      </c>
    </row>
    <row r="4148">
      <c r="A4148" s="21"/>
      <c r="B4148" s="119" t="s">
        <v>35879</v>
      </c>
      <c r="C4148" s="120" t="s">
        <v>12090</v>
      </c>
      <c r="D4148" s="33" t="s">
        <v>35720</v>
      </c>
      <c r="E4148" s="51" t="s">
        <v>834</v>
      </c>
      <c r="F4148" s="121" t="s">
        <v>2971</v>
      </c>
      <c r="G4148" s="98" t="str">
        <f>HYPERLINK("http://mirror.ff7data.com.ar/ff7/data/battle/battle.lgp/hhaa.png","View Picture")</f>
        <v>View Picture</v>
      </c>
      <c r="H4148" s="123" t="s">
        <v>35880</v>
      </c>
    </row>
    <row r="4149">
      <c r="A4149" s="55"/>
      <c r="B4149" s="119" t="s">
        <v>35881</v>
      </c>
      <c r="C4149" s="120" t="s">
        <v>7375</v>
      </c>
      <c r="D4149" s="33" t="s">
        <v>35723</v>
      </c>
      <c r="E4149" s="51" t="s">
        <v>834</v>
      </c>
      <c r="F4149" s="121" t="s">
        <v>2993</v>
      </c>
      <c r="H4149" s="46" t="s">
        <v>3002</v>
      </c>
    </row>
    <row r="4150">
      <c r="A4150" s="55"/>
      <c r="B4150" s="119" t="s">
        <v>35882</v>
      </c>
      <c r="C4150" s="120" t="s">
        <v>5891</v>
      </c>
      <c r="D4150" s="33" t="s">
        <v>35723</v>
      </c>
      <c r="E4150" s="51" t="s">
        <v>834</v>
      </c>
      <c r="F4150" s="121" t="s">
        <v>3009</v>
      </c>
      <c r="G4150" s="98" t="str">
        <f>HYPERLINK("http://mirror.ff7data.com.ar/ff7/data/battle/battle.lgp/hhan.png","View Picture")</f>
        <v>View Picture</v>
      </c>
    </row>
    <row r="4151">
      <c r="A4151" s="55"/>
      <c r="B4151" s="119" t="s">
        <v>35883</v>
      </c>
      <c r="C4151" s="120" t="s">
        <v>3355</v>
      </c>
      <c r="D4151" s="33" t="s">
        <v>35723</v>
      </c>
      <c r="E4151" s="51" t="s">
        <v>834</v>
      </c>
      <c r="F4151" s="121" t="s">
        <v>3009</v>
      </c>
      <c r="G4151" s="98" t="str">
        <f>HYPERLINK("http://mirror.ff7data.com.ar/ff7/data/battle/battle.lgp/hhao.png","View Picture")</f>
        <v>View Picture</v>
      </c>
    </row>
    <row r="4152">
      <c r="A4152" s="55"/>
      <c r="B4152" s="119" t="s">
        <v>35884</v>
      </c>
      <c r="C4152" s="120" t="s">
        <v>4264</v>
      </c>
      <c r="D4152" s="33" t="s">
        <v>35723</v>
      </c>
      <c r="E4152" s="51" t="s">
        <v>834</v>
      </c>
      <c r="F4152" s="121" t="s">
        <v>3009</v>
      </c>
      <c r="G4152" s="98" t="str">
        <f>HYPERLINK("http://mirror.ff7data.com.ar/ff7/data/battle/battle.lgp/hhar.png","View Picture")</f>
        <v>View Picture</v>
      </c>
    </row>
    <row r="4153">
      <c r="A4153" s="55"/>
      <c r="B4153" s="119" t="s">
        <v>35885</v>
      </c>
      <c r="C4153" s="120" t="s">
        <v>20338</v>
      </c>
      <c r="D4153" s="33" t="s">
        <v>35723</v>
      </c>
      <c r="E4153" s="51" t="s">
        <v>834</v>
      </c>
      <c r="F4153" s="121" t="s">
        <v>3009</v>
      </c>
      <c r="G4153" s="98" t="str">
        <f>HYPERLINK("http://mirror.ff7data.com.ar/ff7/data/battle/battle.lgp/hhas.png","View Picture")</f>
        <v>View Picture</v>
      </c>
    </row>
    <row r="4154">
      <c r="A4154" s="55"/>
      <c r="B4154" s="119" t="s">
        <v>35886</v>
      </c>
      <c r="C4154" s="120" t="s">
        <v>4476</v>
      </c>
      <c r="D4154" s="33" t="s">
        <v>35723</v>
      </c>
      <c r="E4154" s="51" t="s">
        <v>834</v>
      </c>
      <c r="F4154" s="121" t="s">
        <v>3009</v>
      </c>
      <c r="G4154" s="98" t="str">
        <f>HYPERLINK("http://mirror.ff7data.com.ar/ff7/data/battle/battle.lgp/hhat.png","View Picture")</f>
        <v>View Picture</v>
      </c>
    </row>
    <row r="4155">
      <c r="A4155" s="55"/>
      <c r="B4155" s="119" t="s">
        <v>35887</v>
      </c>
      <c r="C4155" s="120" t="s">
        <v>4288</v>
      </c>
      <c r="D4155" s="33" t="s">
        <v>35723</v>
      </c>
      <c r="E4155" s="51" t="s">
        <v>834</v>
      </c>
      <c r="F4155" s="121" t="s">
        <v>3009</v>
      </c>
      <c r="G4155" s="98" t="str">
        <f>HYPERLINK("http://mirror.ff7data.com.ar/ff7/data/battle/battle.lgp/hhaw.png","View Picture")</f>
        <v>View Picture</v>
      </c>
    </row>
    <row r="4156">
      <c r="A4156" s="55"/>
      <c r="B4156" s="119" t="s">
        <v>35888</v>
      </c>
      <c r="C4156" s="120" t="s">
        <v>4541</v>
      </c>
      <c r="D4156" s="33" t="s">
        <v>35723</v>
      </c>
      <c r="E4156" s="51" t="s">
        <v>834</v>
      </c>
      <c r="F4156" s="121" t="s">
        <v>3009</v>
      </c>
      <c r="G4156" s="98" t="str">
        <f>HYPERLINK("http://mirror.ff7data.com.ar/ff7/data/battle/battle.lgp/hhax.png","View Picture")</f>
        <v>View Picture</v>
      </c>
    </row>
    <row r="4157">
      <c r="A4157" s="55"/>
      <c r="B4157" s="119" t="s">
        <v>35889</v>
      </c>
      <c r="C4157" s="120" t="s">
        <v>4185</v>
      </c>
      <c r="D4157" s="33" t="s">
        <v>35723</v>
      </c>
      <c r="E4157" s="51" t="s">
        <v>834</v>
      </c>
      <c r="F4157" s="121" t="s">
        <v>3009</v>
      </c>
      <c r="G4157" s="98" t="str">
        <f>HYPERLINK("http://mirror.ff7data.com.ar/ff7/data/battle/battle.lgp/hhay.png","View Picture")</f>
        <v>View Picture</v>
      </c>
    </row>
    <row r="4158">
      <c r="A4158" s="55"/>
      <c r="B4158" s="119" t="s">
        <v>35890</v>
      </c>
      <c r="C4158" s="120" t="s">
        <v>4185</v>
      </c>
      <c r="D4158" s="33" t="s">
        <v>35723</v>
      </c>
      <c r="E4158" s="51" t="s">
        <v>834</v>
      </c>
      <c r="F4158" s="121" t="s">
        <v>3009</v>
      </c>
      <c r="G4158" s="98" t="str">
        <f>HYPERLINK("http://mirror.ff7data.com.ar/ff7/data/battle/battle.lgp/hhba.png","View Picture")</f>
        <v>View Picture</v>
      </c>
    </row>
    <row r="4159">
      <c r="A4159" s="55"/>
      <c r="B4159" s="119" t="s">
        <v>35891</v>
      </c>
      <c r="C4159" s="120" t="s">
        <v>4696</v>
      </c>
      <c r="D4159" s="33" t="s">
        <v>35723</v>
      </c>
      <c r="E4159" s="51" t="s">
        <v>834</v>
      </c>
      <c r="F4159" s="121" t="s">
        <v>3009</v>
      </c>
      <c r="G4159" s="98" t="str">
        <f>HYPERLINK("http://mirror.ff7data.com.ar/ff7/data/battle/battle.lgp/hhbb.png","View Picture")</f>
        <v>View Picture</v>
      </c>
    </row>
    <row r="4160">
      <c r="A4160" s="55"/>
      <c r="B4160" s="119" t="s">
        <v>35892</v>
      </c>
      <c r="C4160" s="120" t="s">
        <v>4264</v>
      </c>
      <c r="D4160" s="33" t="s">
        <v>35723</v>
      </c>
      <c r="E4160" s="51" t="s">
        <v>834</v>
      </c>
      <c r="F4160" s="121" t="s">
        <v>3009</v>
      </c>
      <c r="G4160" s="98" t="str">
        <f>HYPERLINK("http://mirror.ff7data.com.ar/ff7/data/battle/battle.lgp/hhbc.png","View Picture")</f>
        <v>View Picture</v>
      </c>
    </row>
    <row r="4161">
      <c r="A4161" s="55"/>
      <c r="B4161" s="119" t="s">
        <v>35893</v>
      </c>
      <c r="C4161" s="120" t="s">
        <v>4185</v>
      </c>
      <c r="D4161" s="33" t="s">
        <v>35723</v>
      </c>
      <c r="E4161" s="51" t="s">
        <v>834</v>
      </c>
      <c r="F4161" s="121" t="s">
        <v>3009</v>
      </c>
      <c r="G4161" s="98" t="str">
        <f>HYPERLINK("http://mirror.ff7data.com.ar/ff7/data/battle/battle.lgp/hhbe.png","View Picture")</f>
        <v>View Picture</v>
      </c>
    </row>
    <row r="4162">
      <c r="A4162" s="55"/>
      <c r="B4162" s="119" t="s">
        <v>35894</v>
      </c>
      <c r="C4162" s="120" t="s">
        <v>4696</v>
      </c>
      <c r="D4162" s="33" t="s">
        <v>35723</v>
      </c>
      <c r="E4162" s="51" t="s">
        <v>834</v>
      </c>
      <c r="F4162" s="121" t="s">
        <v>3009</v>
      </c>
      <c r="G4162" s="98" t="str">
        <f>HYPERLINK("http://mirror.ff7data.com.ar/ff7/data/battle/battle.lgp/hhbf.png","View Picture")</f>
        <v>View Picture</v>
      </c>
    </row>
    <row r="4163">
      <c r="A4163" s="55"/>
      <c r="B4163" s="119" t="s">
        <v>35895</v>
      </c>
      <c r="C4163" s="120" t="s">
        <v>4732</v>
      </c>
      <c r="D4163" s="33" t="s">
        <v>35723</v>
      </c>
      <c r="E4163" s="51" t="s">
        <v>834</v>
      </c>
      <c r="F4163" s="121" t="s">
        <v>3009</v>
      </c>
      <c r="G4163" s="98" t="str">
        <f>HYPERLINK("http://mirror.ff7data.com.ar/ff7/data/battle/battle.lgp/hhbg.png","View Picture")</f>
        <v>View Picture</v>
      </c>
    </row>
    <row r="4164">
      <c r="A4164" s="55"/>
      <c r="B4164" s="119" t="s">
        <v>35896</v>
      </c>
      <c r="C4164" s="120" t="s">
        <v>9600</v>
      </c>
      <c r="D4164" s="33" t="s">
        <v>35723</v>
      </c>
      <c r="E4164" s="51" t="s">
        <v>834</v>
      </c>
      <c r="F4164" s="121" t="s">
        <v>3025</v>
      </c>
      <c r="H4164" s="46" t="s">
        <v>3002</v>
      </c>
    </row>
    <row r="4165">
      <c r="A4165" s="82"/>
      <c r="B4165" s="119" t="s">
        <v>35897</v>
      </c>
      <c r="C4165" s="120" t="s">
        <v>14867</v>
      </c>
      <c r="D4165" s="33" t="s">
        <v>35898</v>
      </c>
      <c r="E4165" s="51" t="s">
        <v>839</v>
      </c>
      <c r="F4165" s="121" t="s">
        <v>2971</v>
      </c>
      <c r="G4165" s="98" t="str">
        <f>HYPERLINK("http://mirror.ff7data.com.ar/ff7/data/battle/battle.lgp/hiaa.png","View Picture")</f>
        <v>View Picture</v>
      </c>
    </row>
    <row r="4166">
      <c r="A4166" s="55"/>
      <c r="B4166" s="119" t="s">
        <v>35899</v>
      </c>
      <c r="C4166" s="120" t="s">
        <v>5724</v>
      </c>
      <c r="D4166" s="33" t="s">
        <v>35900</v>
      </c>
      <c r="E4166" s="51" t="s">
        <v>839</v>
      </c>
      <c r="F4166" s="121" t="s">
        <v>2993</v>
      </c>
      <c r="H4166" s="46" t="s">
        <v>3002</v>
      </c>
    </row>
    <row r="4167">
      <c r="A4167" s="82"/>
      <c r="B4167" s="119" t="s">
        <v>35901</v>
      </c>
      <c r="C4167" s="120" t="s">
        <v>7081</v>
      </c>
      <c r="D4167" s="33" t="s">
        <v>35902</v>
      </c>
      <c r="E4167" s="51" t="s">
        <v>839</v>
      </c>
      <c r="F4167" s="121" t="s">
        <v>1348</v>
      </c>
      <c r="G4167" s="98" t="str">
        <f>HYPERLINK("http://mirror.ff7data.com.ar/ff7/data/battle/battle.lgp/hiac.png","View Picture")</f>
        <v>View Picture</v>
      </c>
    </row>
    <row r="4168">
      <c r="A4168" s="82"/>
      <c r="B4168" s="119" t="s">
        <v>35903</v>
      </c>
      <c r="C4168" s="120" t="s">
        <v>4191</v>
      </c>
      <c r="D4168" s="33" t="s">
        <v>35904</v>
      </c>
      <c r="E4168" s="51" t="s">
        <v>839</v>
      </c>
      <c r="F4168" s="121" t="s">
        <v>1348</v>
      </c>
      <c r="G4168" s="98" t="str">
        <f>HYPERLINK("http://mirror.ff7data.com.ar/ff7/data/battle/battle.lgp/hiad.png","View Picture")</f>
        <v>View Picture</v>
      </c>
    </row>
    <row r="4169">
      <c r="A4169" s="82"/>
      <c r="B4169" s="119" t="s">
        <v>35905</v>
      </c>
      <c r="C4169" s="120" t="s">
        <v>7165</v>
      </c>
      <c r="D4169" s="33" t="s">
        <v>35906</v>
      </c>
      <c r="E4169" s="51" t="s">
        <v>839</v>
      </c>
      <c r="F4169" s="121" t="s">
        <v>1348</v>
      </c>
      <c r="G4169" s="98" t="str">
        <f>HYPERLINK("http://mirror.ff7data.com.ar/ff7/data/battle/battle.lgp/hiae.png","View Picture")</f>
        <v>View Picture</v>
      </c>
    </row>
    <row r="4170">
      <c r="A4170" s="82"/>
      <c r="B4170" s="119" t="s">
        <v>35907</v>
      </c>
      <c r="C4170" s="120" t="s">
        <v>3318</v>
      </c>
      <c r="D4170" s="33" t="s">
        <v>35908</v>
      </c>
      <c r="E4170" s="51" t="s">
        <v>839</v>
      </c>
      <c r="F4170" s="121" t="s">
        <v>3009</v>
      </c>
      <c r="G4170" s="98" t="str">
        <f>HYPERLINK("http://mirror.ff7data.com.ar/ff7/data/battle/battle.lgp/hiam.png","View Picture")</f>
        <v>View Picture</v>
      </c>
    </row>
    <row r="4171">
      <c r="A4171" s="82"/>
      <c r="B4171" s="119" t="s">
        <v>35909</v>
      </c>
      <c r="C4171" s="120" t="s">
        <v>33181</v>
      </c>
      <c r="D4171" s="33" t="s">
        <v>35910</v>
      </c>
      <c r="E4171" s="51" t="s">
        <v>839</v>
      </c>
      <c r="F4171" s="121" t="s">
        <v>3009</v>
      </c>
      <c r="G4171" s="98" t="str">
        <f>HYPERLINK("http://mirror.ff7data.com.ar/ff7/data/battle/battle.lgp/hian.png","View Picture")</f>
        <v>View Picture</v>
      </c>
    </row>
    <row r="4172">
      <c r="A4172" s="21"/>
      <c r="B4172" s="119" t="s">
        <v>35911</v>
      </c>
      <c r="C4172" s="120" t="s">
        <v>4439</v>
      </c>
      <c r="D4172" s="33" t="s">
        <v>35912</v>
      </c>
      <c r="E4172" s="51" t="s">
        <v>839</v>
      </c>
      <c r="F4172" s="121" t="s">
        <v>3009</v>
      </c>
      <c r="G4172" s="98" t="str">
        <f>HYPERLINK("http://mirror.ff7data.com.ar/ff7/data/battle/battle.lgp/hiar.png","View Picture")</f>
        <v>View Picture</v>
      </c>
    </row>
    <row r="4173">
      <c r="A4173" s="21"/>
      <c r="B4173" s="119" t="s">
        <v>35913</v>
      </c>
      <c r="C4173" s="120" t="s">
        <v>4288</v>
      </c>
      <c r="D4173" s="33" t="s">
        <v>35914</v>
      </c>
      <c r="E4173" s="51" t="s">
        <v>839</v>
      </c>
      <c r="F4173" s="121" t="s">
        <v>3009</v>
      </c>
      <c r="G4173" s="98" t="str">
        <f>HYPERLINK("http://mirror.ff7data.com.ar/ff7/data/battle/battle.lgp/hias.png","View Picture")</f>
        <v>View Picture</v>
      </c>
    </row>
    <row r="4174">
      <c r="A4174" s="21"/>
      <c r="B4174" s="119" t="s">
        <v>35915</v>
      </c>
      <c r="C4174" s="120" t="s">
        <v>4288</v>
      </c>
      <c r="D4174" s="33" t="s">
        <v>35916</v>
      </c>
      <c r="E4174" s="51" t="s">
        <v>839</v>
      </c>
      <c r="F4174" s="121" t="s">
        <v>3009</v>
      </c>
      <c r="G4174" s="98" t="str">
        <f>HYPERLINK("http://mirror.ff7data.com.ar/ff7/data/battle/battle.lgp/hiat.png","View Picture")</f>
        <v>View Picture</v>
      </c>
    </row>
    <row r="4175">
      <c r="A4175" s="21"/>
      <c r="B4175" s="119" t="s">
        <v>35917</v>
      </c>
      <c r="C4175" s="120" t="s">
        <v>4288</v>
      </c>
      <c r="D4175" s="33" t="s">
        <v>35918</v>
      </c>
      <c r="E4175" s="51" t="s">
        <v>839</v>
      </c>
      <c r="F4175" s="121" t="s">
        <v>3009</v>
      </c>
      <c r="G4175" s="98" t="str">
        <f>HYPERLINK("http://mirror.ff7data.com.ar/ff7/data/battle/battle.lgp/hiau.png","View Picture")</f>
        <v>View Picture</v>
      </c>
    </row>
    <row r="4176">
      <c r="A4176" s="21"/>
      <c r="B4176" s="119" t="s">
        <v>35919</v>
      </c>
      <c r="C4176" s="120" t="s">
        <v>4288</v>
      </c>
      <c r="D4176" s="33" t="s">
        <v>35920</v>
      </c>
      <c r="E4176" s="51" t="s">
        <v>839</v>
      </c>
      <c r="F4176" s="121" t="s">
        <v>3009</v>
      </c>
      <c r="G4176" s="98" t="str">
        <f>HYPERLINK("http://mirror.ff7data.com.ar/ff7/data/battle/battle.lgp/hiav.png","View Picture")</f>
        <v>View Picture</v>
      </c>
    </row>
    <row r="4177">
      <c r="A4177" s="21"/>
      <c r="B4177" s="119" t="s">
        <v>35921</v>
      </c>
      <c r="C4177" s="120" t="s">
        <v>4288</v>
      </c>
      <c r="D4177" s="33" t="s">
        <v>35922</v>
      </c>
      <c r="E4177" s="51" t="s">
        <v>839</v>
      </c>
      <c r="F4177" s="121" t="s">
        <v>3009</v>
      </c>
      <c r="G4177" s="98" t="str">
        <f>HYPERLINK("http://mirror.ff7data.com.ar/ff7/data/battle/battle.lgp/hiaw.png","View Picture")</f>
        <v>View Picture</v>
      </c>
    </row>
    <row r="4178">
      <c r="A4178" s="21"/>
      <c r="B4178" s="119" t="s">
        <v>35923</v>
      </c>
      <c r="C4178" s="120" t="s">
        <v>4696</v>
      </c>
      <c r="D4178" s="33" t="s">
        <v>35924</v>
      </c>
      <c r="E4178" s="51" t="s">
        <v>839</v>
      </c>
      <c r="F4178" s="121" t="s">
        <v>3009</v>
      </c>
      <c r="G4178" s="98" t="str">
        <f>HYPERLINK("http://mirror.ff7data.com.ar/ff7/data/battle/battle.lgp/hiax.png","View Picture")</f>
        <v>View Picture</v>
      </c>
    </row>
    <row r="4179">
      <c r="A4179" s="21"/>
      <c r="B4179" s="119" t="s">
        <v>35925</v>
      </c>
      <c r="C4179" s="120" t="s">
        <v>4565</v>
      </c>
      <c r="D4179" s="33" t="s">
        <v>35926</v>
      </c>
      <c r="E4179" s="51" t="s">
        <v>839</v>
      </c>
      <c r="F4179" s="121" t="s">
        <v>3009</v>
      </c>
      <c r="G4179" s="98" t="str">
        <f>HYPERLINK("http://mirror.ff7data.com.ar/ff7/data/battle/battle.lgp/hiaz.png","View Picture")</f>
        <v>View Picture</v>
      </c>
    </row>
    <row r="4180">
      <c r="A4180" s="21"/>
      <c r="B4180" s="119" t="s">
        <v>35927</v>
      </c>
      <c r="C4180" s="120" t="s">
        <v>7148</v>
      </c>
      <c r="D4180" s="33" t="s">
        <v>35928</v>
      </c>
      <c r="E4180" s="51" t="s">
        <v>839</v>
      </c>
      <c r="F4180" s="121" t="s">
        <v>3009</v>
      </c>
      <c r="G4180" s="98" t="str">
        <f>HYPERLINK("http://mirror.ff7data.com.ar/ff7/data/battle/battle.lgp/hiba.png","View Picture")</f>
        <v>View Picture</v>
      </c>
    </row>
    <row r="4181">
      <c r="A4181" s="21"/>
      <c r="B4181" s="119" t="s">
        <v>35929</v>
      </c>
      <c r="C4181" s="120" t="s">
        <v>7148</v>
      </c>
      <c r="D4181" s="33" t="s">
        <v>35930</v>
      </c>
      <c r="E4181" s="51" t="s">
        <v>839</v>
      </c>
      <c r="F4181" s="121" t="s">
        <v>3009</v>
      </c>
      <c r="G4181" s="98" t="str">
        <f>HYPERLINK("http://mirror.ff7data.com.ar/ff7/data/battle/battle.lgp/hibb.png","View Picture")</f>
        <v>View Picture</v>
      </c>
    </row>
    <row r="4182">
      <c r="A4182" s="21"/>
      <c r="B4182" s="119" t="s">
        <v>35931</v>
      </c>
      <c r="C4182" s="120" t="s">
        <v>7148</v>
      </c>
      <c r="D4182" s="33" t="s">
        <v>35932</v>
      </c>
      <c r="E4182" s="51" t="s">
        <v>839</v>
      </c>
      <c r="F4182" s="121" t="s">
        <v>3009</v>
      </c>
      <c r="G4182" s="98" t="str">
        <f>HYPERLINK("http://mirror.ff7data.com.ar/ff7/data/battle/battle.lgp/hibc.png","View Picture")</f>
        <v>View Picture</v>
      </c>
    </row>
    <row r="4183">
      <c r="A4183" s="21"/>
      <c r="B4183" s="119" t="s">
        <v>35933</v>
      </c>
      <c r="C4183" s="120" t="s">
        <v>7148</v>
      </c>
      <c r="D4183" s="33" t="s">
        <v>35934</v>
      </c>
      <c r="E4183" s="51" t="s">
        <v>839</v>
      </c>
      <c r="F4183" s="121" t="s">
        <v>3009</v>
      </c>
      <c r="G4183" s="98" t="str">
        <f>HYPERLINK("http://mirror.ff7data.com.ar/ff7/data/battle/battle.lgp/hibd.png","View Picture")</f>
        <v>View Picture</v>
      </c>
    </row>
    <row r="4184">
      <c r="A4184" s="21"/>
      <c r="B4184" s="119" t="s">
        <v>35935</v>
      </c>
      <c r="C4184" s="120" t="s">
        <v>3007</v>
      </c>
      <c r="D4184" s="33" t="s">
        <v>35936</v>
      </c>
      <c r="E4184" s="51" t="s">
        <v>839</v>
      </c>
      <c r="F4184" s="121" t="s">
        <v>3009</v>
      </c>
      <c r="G4184" s="98" t="str">
        <f>HYPERLINK("http://mirror.ff7data.com.ar/ff7/data/battle/battle.lgp/hibe.png","View Picture")</f>
        <v>View Picture</v>
      </c>
    </row>
    <row r="4185">
      <c r="A4185" s="21"/>
      <c r="B4185" s="119" t="s">
        <v>35937</v>
      </c>
      <c r="C4185" s="120" t="s">
        <v>7148</v>
      </c>
      <c r="D4185" s="33" t="s">
        <v>35938</v>
      </c>
      <c r="E4185" s="51" t="s">
        <v>839</v>
      </c>
      <c r="F4185" s="121" t="s">
        <v>3009</v>
      </c>
      <c r="G4185" s="98" t="str">
        <f>HYPERLINK("http://mirror.ff7data.com.ar/ff7/data/battle/battle.lgp/hibg.png","View Picture")</f>
        <v>View Picture</v>
      </c>
    </row>
    <row r="4186">
      <c r="A4186" s="21"/>
      <c r="B4186" s="119" t="s">
        <v>35939</v>
      </c>
      <c r="C4186" s="120" t="s">
        <v>7148</v>
      </c>
      <c r="D4186" s="33" t="s">
        <v>35940</v>
      </c>
      <c r="E4186" s="51" t="s">
        <v>839</v>
      </c>
      <c r="F4186" s="121" t="s">
        <v>3009</v>
      </c>
      <c r="G4186" s="98" t="str">
        <f>HYPERLINK("http://mirror.ff7data.com.ar/ff7/data/battle/battle.lgp/hibh.png","View Picture")</f>
        <v>View Picture</v>
      </c>
    </row>
    <row r="4187">
      <c r="A4187" s="21"/>
      <c r="B4187" s="119" t="s">
        <v>35941</v>
      </c>
      <c r="C4187" s="120" t="s">
        <v>4601</v>
      </c>
      <c r="D4187" s="33" t="s">
        <v>35942</v>
      </c>
      <c r="E4187" s="51" t="s">
        <v>839</v>
      </c>
      <c r="F4187" s="121" t="s">
        <v>3009</v>
      </c>
      <c r="G4187" s="98" t="str">
        <f>HYPERLINK("http://mirror.ff7data.com.ar/ff7/data/battle/battle.lgp/hibi.png","View Picture")</f>
        <v>View Picture</v>
      </c>
    </row>
    <row r="4188">
      <c r="A4188" s="21"/>
      <c r="B4188" s="119" t="s">
        <v>35943</v>
      </c>
      <c r="C4188" s="120" t="s">
        <v>7148</v>
      </c>
      <c r="D4188" s="33" t="s">
        <v>35944</v>
      </c>
      <c r="E4188" s="51" t="s">
        <v>839</v>
      </c>
      <c r="F4188" s="121" t="s">
        <v>3009</v>
      </c>
      <c r="G4188" s="98" t="str">
        <f>HYPERLINK("http://mirror.ff7data.com.ar/ff7/data/battle/battle.lgp/hibj.png","View Picture")</f>
        <v>View Picture</v>
      </c>
    </row>
    <row r="4189">
      <c r="A4189" s="21"/>
      <c r="B4189" s="119" t="s">
        <v>35945</v>
      </c>
      <c r="C4189" s="120" t="s">
        <v>7148</v>
      </c>
      <c r="D4189" s="33" t="s">
        <v>35946</v>
      </c>
      <c r="E4189" s="51" t="s">
        <v>839</v>
      </c>
      <c r="F4189" s="121" t="s">
        <v>3009</v>
      </c>
      <c r="G4189" s="98" t="str">
        <f>HYPERLINK("http://mirror.ff7data.com.ar/ff7/data/battle/battle.lgp/hibk.png","View Picture")</f>
        <v>View Picture</v>
      </c>
    </row>
    <row r="4190">
      <c r="A4190" s="21"/>
      <c r="B4190" s="119" t="s">
        <v>35947</v>
      </c>
      <c r="C4190" s="120" t="s">
        <v>3007</v>
      </c>
      <c r="D4190" s="33" t="s">
        <v>35948</v>
      </c>
      <c r="E4190" s="51" t="s">
        <v>839</v>
      </c>
      <c r="F4190" s="121" t="s">
        <v>3009</v>
      </c>
      <c r="G4190" s="98" t="str">
        <f>HYPERLINK("http://mirror.ff7data.com.ar/ff7/data/battle/battle.lgp/hibl.png","View Picture")</f>
        <v>View Picture</v>
      </c>
    </row>
    <row r="4191">
      <c r="A4191" s="82"/>
      <c r="B4191" s="119" t="s">
        <v>35949</v>
      </c>
      <c r="C4191" s="120" t="s">
        <v>4167</v>
      </c>
      <c r="D4191" s="33" t="s">
        <v>35950</v>
      </c>
      <c r="E4191" s="51" t="s">
        <v>839</v>
      </c>
      <c r="F4191" s="121" t="s">
        <v>3009</v>
      </c>
      <c r="G4191" s="98" t="str">
        <f>HYPERLINK("http://mirror.ff7data.com.ar/ff7/data/battle/battle.lgp/hibm.png","View Picture")</f>
        <v>View Picture</v>
      </c>
    </row>
    <row r="4192">
      <c r="A4192" s="84"/>
      <c r="B4192" s="119" t="s">
        <v>35951</v>
      </c>
      <c r="C4192" s="120" t="s">
        <v>3355</v>
      </c>
      <c r="D4192" s="33" t="s">
        <v>35900</v>
      </c>
      <c r="E4192" s="51" t="s">
        <v>839</v>
      </c>
      <c r="F4192" s="121" t="s">
        <v>3009</v>
      </c>
      <c r="G4192" s="98" t="str">
        <f>HYPERLINK("http://mirror.ff7data.com.ar/ff7/data/battle/battle.lgp/hibo.png","View Picture")</f>
        <v>View Picture</v>
      </c>
    </row>
    <row r="4193">
      <c r="A4193" s="84"/>
      <c r="B4193" s="119" t="s">
        <v>35952</v>
      </c>
      <c r="C4193" s="120" t="s">
        <v>3658</v>
      </c>
      <c r="D4193" s="33" t="s">
        <v>35900</v>
      </c>
      <c r="E4193" s="51" t="s">
        <v>839</v>
      </c>
      <c r="F4193" s="121" t="s">
        <v>3009</v>
      </c>
      <c r="G4193" s="98" t="str">
        <f>HYPERLINK("http://mirror.ff7data.com.ar/ff7/data/battle/battle.lgp/hibp.png","View Picture")</f>
        <v>View Picture</v>
      </c>
    </row>
    <row r="4194">
      <c r="A4194" s="84"/>
      <c r="B4194" s="119" t="s">
        <v>35953</v>
      </c>
      <c r="C4194" s="120" t="s">
        <v>3614</v>
      </c>
      <c r="D4194" s="33" t="s">
        <v>35900</v>
      </c>
      <c r="E4194" s="51" t="s">
        <v>839</v>
      </c>
      <c r="F4194" s="121" t="s">
        <v>3009</v>
      </c>
      <c r="G4194" s="98" t="str">
        <f>HYPERLINK("http://mirror.ff7data.com.ar/ff7/data/battle/battle.lgp/hibq.png","View Picture")</f>
        <v>View Picture</v>
      </c>
    </row>
    <row r="4195">
      <c r="A4195" s="84"/>
      <c r="B4195" s="119" t="s">
        <v>35954</v>
      </c>
      <c r="C4195" s="120" t="s">
        <v>7301</v>
      </c>
      <c r="D4195" s="33" t="s">
        <v>35900</v>
      </c>
      <c r="E4195" s="51" t="s">
        <v>839</v>
      </c>
      <c r="F4195" s="121" t="s">
        <v>3009</v>
      </c>
      <c r="G4195" s="98" t="str">
        <f>HYPERLINK("http://mirror.ff7data.com.ar/ff7/data/battle/battle.lgp/hibs.png","View Picture")</f>
        <v>View Picture</v>
      </c>
    </row>
    <row r="4196">
      <c r="A4196" s="84"/>
      <c r="B4196" s="119" t="s">
        <v>35955</v>
      </c>
      <c r="C4196" s="120" t="s">
        <v>3658</v>
      </c>
      <c r="D4196" s="33" t="s">
        <v>35900</v>
      </c>
      <c r="E4196" s="51" t="s">
        <v>839</v>
      </c>
      <c r="F4196" s="121" t="s">
        <v>3009</v>
      </c>
      <c r="G4196" s="98" t="str">
        <f>HYPERLINK("http://mirror.ff7data.com.ar/ff7/data/battle/battle.lgp/hibt.png","View Picture")</f>
        <v>View Picture</v>
      </c>
    </row>
    <row r="4197">
      <c r="A4197" s="84"/>
      <c r="B4197" s="119" t="s">
        <v>35956</v>
      </c>
      <c r="C4197" s="120" t="s">
        <v>3614</v>
      </c>
      <c r="D4197" s="33" t="s">
        <v>35900</v>
      </c>
      <c r="E4197" s="51" t="s">
        <v>839</v>
      </c>
      <c r="F4197" s="121" t="s">
        <v>3009</v>
      </c>
      <c r="G4197" s="98" t="str">
        <f>HYPERLINK("http://mirror.ff7data.com.ar/ff7/data/battle/battle.lgp/hibu.png","View Picture")</f>
        <v>View Picture</v>
      </c>
    </row>
    <row r="4198">
      <c r="A4198" s="84"/>
      <c r="B4198" s="119" t="s">
        <v>35957</v>
      </c>
      <c r="C4198" s="120" t="s">
        <v>7165</v>
      </c>
      <c r="D4198" s="33" t="s">
        <v>35900</v>
      </c>
      <c r="E4198" s="51" t="s">
        <v>839</v>
      </c>
      <c r="F4198" s="121" t="s">
        <v>3009</v>
      </c>
      <c r="G4198" s="98" t="str">
        <f>HYPERLINK("http://mirror.ff7data.com.ar/ff7/data/battle/battle.lgp/hibx.png","View Picture")</f>
        <v>View Picture</v>
      </c>
    </row>
    <row r="4199">
      <c r="A4199" s="84"/>
      <c r="B4199" s="119" t="s">
        <v>35958</v>
      </c>
      <c r="C4199" s="120" t="s">
        <v>4439</v>
      </c>
      <c r="D4199" s="33" t="s">
        <v>35900</v>
      </c>
      <c r="E4199" s="51" t="s">
        <v>839</v>
      </c>
      <c r="F4199" s="121" t="s">
        <v>3009</v>
      </c>
      <c r="G4199" s="98" t="str">
        <f>HYPERLINK("http://mirror.ff7data.com.ar/ff7/data/battle/battle.lgp/hiby.png","View Picture")</f>
        <v>View Picture</v>
      </c>
    </row>
    <row r="4200">
      <c r="A4200" s="82"/>
      <c r="B4200" s="119" t="s">
        <v>35959</v>
      </c>
      <c r="C4200" s="120" t="s">
        <v>10078</v>
      </c>
      <c r="D4200" s="33" t="s">
        <v>35960</v>
      </c>
      <c r="E4200" s="51" t="s">
        <v>839</v>
      </c>
      <c r="F4200" s="121" t="s">
        <v>3009</v>
      </c>
      <c r="G4200" s="98" t="str">
        <f>HYPERLINK("http://mirror.ff7data.com.ar/ff7/data/battle/battle.lgp/hibz.png","View Picture")</f>
        <v>View Picture</v>
      </c>
    </row>
    <row r="4201">
      <c r="A4201" s="84"/>
      <c r="B4201" s="119" t="s">
        <v>35961</v>
      </c>
      <c r="C4201" s="120" t="s">
        <v>7165</v>
      </c>
      <c r="D4201" s="33" t="s">
        <v>35900</v>
      </c>
      <c r="E4201" s="51" t="s">
        <v>839</v>
      </c>
      <c r="F4201" s="121" t="s">
        <v>3009</v>
      </c>
      <c r="G4201" s="98" t="str">
        <f>HYPERLINK("http://mirror.ff7data.com.ar/ff7/data/battle/battle.lgp/hicc.png","View Picture")</f>
        <v>View Picture</v>
      </c>
    </row>
    <row r="4202">
      <c r="A4202" s="84"/>
      <c r="B4202" s="119" t="s">
        <v>35962</v>
      </c>
      <c r="C4202" s="120" t="s">
        <v>4439</v>
      </c>
      <c r="D4202" s="33" t="s">
        <v>35900</v>
      </c>
      <c r="E4202" s="51" t="s">
        <v>839</v>
      </c>
      <c r="F4202" s="121" t="s">
        <v>3009</v>
      </c>
      <c r="G4202" s="98" t="str">
        <f>HYPERLINK("http://mirror.ff7data.com.ar/ff7/data/battle/battle.lgp/hicd.png","View Picture")</f>
        <v>View Picture</v>
      </c>
    </row>
    <row r="4203">
      <c r="A4203" s="82"/>
      <c r="B4203" s="119" t="s">
        <v>35963</v>
      </c>
      <c r="C4203" s="120" t="s">
        <v>10078</v>
      </c>
      <c r="D4203" s="33" t="s">
        <v>35964</v>
      </c>
      <c r="E4203" s="51" t="s">
        <v>839</v>
      </c>
      <c r="F4203" s="121" t="s">
        <v>3009</v>
      </c>
      <c r="G4203" s="98" t="str">
        <f>HYPERLINK("http://mirror.ff7data.com.ar/ff7/data/battle/battle.lgp/hice.png","View Picture")</f>
        <v>View Picture</v>
      </c>
    </row>
    <row r="4204">
      <c r="A4204" s="55"/>
      <c r="B4204" s="119" t="s">
        <v>35965</v>
      </c>
      <c r="C4204" s="120" t="s">
        <v>4191</v>
      </c>
      <c r="D4204" s="33" t="s">
        <v>35900</v>
      </c>
      <c r="E4204" s="51" t="s">
        <v>839</v>
      </c>
      <c r="F4204" s="121" t="s">
        <v>3025</v>
      </c>
      <c r="H4204" s="46" t="s">
        <v>3002</v>
      </c>
    </row>
    <row r="4205">
      <c r="A4205" s="21"/>
      <c r="B4205" s="119" t="s">
        <v>35966</v>
      </c>
      <c r="C4205" s="120" t="s">
        <v>9973</v>
      </c>
      <c r="D4205" s="33" t="s">
        <v>35967</v>
      </c>
      <c r="E4205" s="51" t="s">
        <v>845</v>
      </c>
      <c r="F4205" s="121" t="s">
        <v>2971</v>
      </c>
      <c r="G4205" s="98" t="str">
        <f>HYPERLINK("http://mirror.ff7data.com.ar/ff7/data/battle/battle.lgp/hjaa.png","View Picture")</f>
        <v>View Picture</v>
      </c>
    </row>
    <row r="4206">
      <c r="A4206" s="55"/>
      <c r="B4206" s="119" t="s">
        <v>35968</v>
      </c>
      <c r="C4206" s="120" t="s">
        <v>30662</v>
      </c>
      <c r="D4206" s="33" t="s">
        <v>35969</v>
      </c>
      <c r="E4206" s="51" t="s">
        <v>845</v>
      </c>
      <c r="F4206" s="121" t="s">
        <v>2993</v>
      </c>
      <c r="H4206" s="46" t="s">
        <v>3002</v>
      </c>
    </row>
    <row r="4207">
      <c r="A4207" s="55"/>
      <c r="B4207" s="119" t="s">
        <v>35970</v>
      </c>
      <c r="C4207" s="120" t="s">
        <v>4719</v>
      </c>
      <c r="D4207" s="33" t="s">
        <v>35969</v>
      </c>
      <c r="E4207" s="51" t="s">
        <v>845</v>
      </c>
      <c r="F4207" s="121" t="s">
        <v>3009</v>
      </c>
      <c r="G4207" s="98" t="str">
        <f>HYPERLINK("http://mirror.ff7data.com.ar/ff7/data/battle/battle.lgp/hjam.png","View Picture")</f>
        <v>View Picture</v>
      </c>
    </row>
    <row r="4208">
      <c r="A4208" s="55"/>
      <c r="B4208" s="119" t="s">
        <v>35971</v>
      </c>
      <c r="C4208" s="120" t="s">
        <v>6515</v>
      </c>
      <c r="D4208" s="33" t="s">
        <v>35969</v>
      </c>
      <c r="E4208" s="51" t="s">
        <v>845</v>
      </c>
      <c r="F4208" s="121" t="s">
        <v>3009</v>
      </c>
      <c r="G4208" s="98" t="str">
        <f>HYPERLINK("http://mirror.ff7data.com.ar/ff7/data/battle/battle.lgp/hjan.png","View Picture")</f>
        <v>View Picture</v>
      </c>
    </row>
    <row r="4209">
      <c r="A4209" s="55"/>
      <c r="B4209" s="119" t="s">
        <v>35972</v>
      </c>
      <c r="C4209" s="120" t="s">
        <v>25262</v>
      </c>
      <c r="D4209" s="33" t="s">
        <v>35969</v>
      </c>
      <c r="E4209" s="51" t="s">
        <v>845</v>
      </c>
      <c r="F4209" s="121" t="s">
        <v>3009</v>
      </c>
      <c r="G4209" s="98" t="str">
        <f>HYPERLINK("http://mirror.ff7data.com.ar/ff7/data/battle/battle.lgp/hjao.png","View Picture")</f>
        <v>View Picture</v>
      </c>
    </row>
    <row r="4210">
      <c r="A4210" s="55"/>
      <c r="B4210" s="119" t="s">
        <v>35973</v>
      </c>
      <c r="C4210" s="120" t="s">
        <v>35974</v>
      </c>
      <c r="D4210" s="33" t="s">
        <v>35969</v>
      </c>
      <c r="E4210" s="51" t="s">
        <v>845</v>
      </c>
      <c r="F4210" s="121" t="s">
        <v>3009</v>
      </c>
      <c r="G4210" s="98" t="str">
        <f>HYPERLINK("http://mirror.ff7data.com.ar/ff7/data/battle/battle.lgp/hjap.png","View Picture")</f>
        <v>View Picture</v>
      </c>
    </row>
    <row r="4211">
      <c r="A4211" s="55"/>
      <c r="B4211" s="119" t="s">
        <v>35975</v>
      </c>
      <c r="C4211" s="120" t="s">
        <v>25262</v>
      </c>
      <c r="D4211" s="33" t="s">
        <v>35969</v>
      </c>
      <c r="E4211" s="51" t="s">
        <v>845</v>
      </c>
      <c r="F4211" s="121" t="s">
        <v>3009</v>
      </c>
      <c r="G4211" s="98" t="str">
        <f>HYPERLINK("http://mirror.ff7data.com.ar/ff7/data/battle/battle.lgp/hjaq.png","View Picture")</f>
        <v>View Picture</v>
      </c>
    </row>
    <row r="4212">
      <c r="A4212" s="55"/>
      <c r="B4212" s="119" t="s">
        <v>35976</v>
      </c>
      <c r="C4212" s="120" t="s">
        <v>25262</v>
      </c>
      <c r="D4212" s="33" t="s">
        <v>35969</v>
      </c>
      <c r="E4212" s="51" t="s">
        <v>845</v>
      </c>
      <c r="F4212" s="121" t="s">
        <v>3009</v>
      </c>
      <c r="G4212" s="98" t="str">
        <f>HYPERLINK("http://mirror.ff7data.com.ar/ff7/data/battle/battle.lgp/hjar.png","View Picture")</f>
        <v>View Picture</v>
      </c>
    </row>
    <row r="4213">
      <c r="A4213" s="55"/>
      <c r="B4213" s="119" t="s">
        <v>35977</v>
      </c>
      <c r="C4213" s="120" t="s">
        <v>4719</v>
      </c>
      <c r="D4213" s="33" t="s">
        <v>35969</v>
      </c>
      <c r="E4213" s="51" t="s">
        <v>845</v>
      </c>
      <c r="F4213" s="121" t="s">
        <v>3009</v>
      </c>
      <c r="G4213" s="98" t="str">
        <f>HYPERLINK("http://mirror.ff7data.com.ar/ff7/data/battle/battle.lgp/hjat.png","View Picture")</f>
        <v>View Picture</v>
      </c>
    </row>
    <row r="4214">
      <c r="A4214" s="55"/>
      <c r="B4214" s="119" t="s">
        <v>35978</v>
      </c>
      <c r="C4214" s="120" t="s">
        <v>4185</v>
      </c>
      <c r="D4214" s="33" t="s">
        <v>35969</v>
      </c>
      <c r="E4214" s="51" t="s">
        <v>845</v>
      </c>
      <c r="F4214" s="121" t="s">
        <v>3009</v>
      </c>
      <c r="G4214" s="98" t="str">
        <f>HYPERLINK("http://mirror.ff7data.com.ar/ff7/data/battle/battle.lgp/hjau.png","View Picture")</f>
        <v>View Picture</v>
      </c>
    </row>
    <row r="4215">
      <c r="A4215" s="55"/>
      <c r="B4215" s="119" t="s">
        <v>35979</v>
      </c>
      <c r="C4215" s="120" t="s">
        <v>7301</v>
      </c>
      <c r="D4215" s="33" t="s">
        <v>35969</v>
      </c>
      <c r="E4215" s="51" t="s">
        <v>845</v>
      </c>
      <c r="F4215" s="121" t="s">
        <v>3009</v>
      </c>
      <c r="G4215" s="98" t="str">
        <f>HYPERLINK("http://mirror.ff7data.com.ar/ff7/data/battle/battle.lgp/hjav.png","View Picture")</f>
        <v>View Picture</v>
      </c>
    </row>
    <row r="4216">
      <c r="A4216" s="55"/>
      <c r="B4216" s="119" t="s">
        <v>35980</v>
      </c>
      <c r="C4216" s="120" t="s">
        <v>4057</v>
      </c>
      <c r="D4216" s="33" t="s">
        <v>35969</v>
      </c>
      <c r="E4216" s="51" t="s">
        <v>845</v>
      </c>
      <c r="F4216" s="121" t="s">
        <v>3009</v>
      </c>
      <c r="G4216" s="98" t="str">
        <f>HYPERLINK("http://mirror.ff7data.com.ar/ff7/data/battle/battle.lgp/hjax.png","View Picture")</f>
        <v>View Picture</v>
      </c>
    </row>
    <row r="4217">
      <c r="A4217" s="55"/>
      <c r="B4217" s="119" t="s">
        <v>35981</v>
      </c>
      <c r="C4217" s="120" t="s">
        <v>4185</v>
      </c>
      <c r="D4217" s="33" t="s">
        <v>35969</v>
      </c>
      <c r="E4217" s="51" t="s">
        <v>845</v>
      </c>
      <c r="F4217" s="121" t="s">
        <v>3009</v>
      </c>
      <c r="G4217" s="98" t="str">
        <f>HYPERLINK("http://mirror.ff7data.com.ar/ff7/data/battle/battle.lgp/hjay.png","View Picture")</f>
        <v>View Picture</v>
      </c>
    </row>
    <row r="4218">
      <c r="A4218" s="55"/>
      <c r="B4218" s="119" t="s">
        <v>35982</v>
      </c>
      <c r="C4218" s="120" t="s">
        <v>7301</v>
      </c>
      <c r="D4218" s="33" t="s">
        <v>35969</v>
      </c>
      <c r="E4218" s="51" t="s">
        <v>845</v>
      </c>
      <c r="F4218" s="121" t="s">
        <v>3009</v>
      </c>
      <c r="G4218" s="98" t="str">
        <f>HYPERLINK("http://mirror.ff7data.com.ar/ff7/data/battle/battle.lgp/hjaz.png","View Picture")</f>
        <v>View Picture</v>
      </c>
    </row>
    <row r="4219">
      <c r="A4219" s="55"/>
      <c r="B4219" s="119" t="s">
        <v>35983</v>
      </c>
      <c r="C4219" s="120" t="s">
        <v>6029</v>
      </c>
      <c r="D4219" s="33" t="s">
        <v>35969</v>
      </c>
      <c r="E4219" s="51" t="s">
        <v>845</v>
      </c>
      <c r="F4219" s="121" t="s">
        <v>3009</v>
      </c>
      <c r="G4219" s="98" t="str">
        <f>HYPERLINK("http://mirror.ff7data.com.ar/ff7/data/battle/battle.lgp/hjba.png","View Picture")</f>
        <v>View Picture</v>
      </c>
    </row>
    <row r="4220">
      <c r="A4220" s="55"/>
      <c r="B4220" s="119" t="s">
        <v>35984</v>
      </c>
      <c r="C4220" s="120" t="s">
        <v>4217</v>
      </c>
      <c r="D4220" s="33" t="s">
        <v>35969</v>
      </c>
      <c r="E4220" s="51" t="s">
        <v>845</v>
      </c>
      <c r="F4220" s="121" t="s">
        <v>3009</v>
      </c>
      <c r="G4220" s="98" t="str">
        <f>HYPERLINK("http://mirror.ff7data.com.ar/ff7/data/battle/battle.lgp/hjbb.png","View Picture")</f>
        <v>View Picture</v>
      </c>
    </row>
    <row r="4221">
      <c r="A4221" s="55"/>
      <c r="B4221" s="119" t="s">
        <v>35985</v>
      </c>
      <c r="C4221" s="120" t="s">
        <v>4264</v>
      </c>
      <c r="D4221" s="33" t="s">
        <v>35969</v>
      </c>
      <c r="E4221" s="51" t="s">
        <v>845</v>
      </c>
      <c r="F4221" s="121" t="s">
        <v>3009</v>
      </c>
      <c r="G4221" s="98" t="str">
        <f>HYPERLINK("http://mirror.ff7data.com.ar/ff7/data/battle/battle.lgp/hjbc.png","View Picture")</f>
        <v>View Picture</v>
      </c>
    </row>
    <row r="4222">
      <c r="A4222" s="55"/>
      <c r="B4222" s="119" t="s">
        <v>35986</v>
      </c>
      <c r="C4222" s="120" t="s">
        <v>9571</v>
      </c>
      <c r="D4222" s="33" t="s">
        <v>35969</v>
      </c>
      <c r="E4222" s="51" t="s">
        <v>845</v>
      </c>
      <c r="F4222" s="121" t="s">
        <v>3009</v>
      </c>
      <c r="G4222" s="98" t="str">
        <f>HYPERLINK("http://mirror.ff7data.com.ar/ff7/data/battle/battle.lgp/hjbd.png","View Picture")</f>
        <v>View Picture</v>
      </c>
    </row>
    <row r="4223">
      <c r="A4223" s="55"/>
      <c r="B4223" s="119" t="s">
        <v>35987</v>
      </c>
      <c r="C4223" s="120" t="s">
        <v>3842</v>
      </c>
      <c r="D4223" s="33" t="s">
        <v>35969</v>
      </c>
      <c r="E4223" s="51" t="s">
        <v>845</v>
      </c>
      <c r="F4223" s="121" t="s">
        <v>3009</v>
      </c>
      <c r="G4223" s="98" t="str">
        <f>HYPERLINK("http://mirror.ff7data.com.ar/ff7/data/battle/battle.lgp/hjbe.png","View Picture")</f>
        <v>View Picture</v>
      </c>
    </row>
    <row r="4224">
      <c r="A4224" s="55"/>
      <c r="B4224" s="119" t="s">
        <v>35988</v>
      </c>
      <c r="C4224" s="120" t="s">
        <v>4719</v>
      </c>
      <c r="D4224" s="33" t="s">
        <v>35969</v>
      </c>
      <c r="E4224" s="51" t="s">
        <v>845</v>
      </c>
      <c r="F4224" s="121" t="s">
        <v>3009</v>
      </c>
      <c r="G4224" s="98" t="str">
        <f>HYPERLINK("http://mirror.ff7data.com.ar/ff7/data/battle/battle.lgp/hjbg.png","View Picture")</f>
        <v>View Picture</v>
      </c>
    </row>
    <row r="4225">
      <c r="A4225" s="55"/>
      <c r="B4225" s="119" t="s">
        <v>35989</v>
      </c>
      <c r="C4225" s="120" t="s">
        <v>4439</v>
      </c>
      <c r="D4225" s="33" t="s">
        <v>35969</v>
      </c>
      <c r="E4225" s="51" t="s">
        <v>845</v>
      </c>
      <c r="F4225" s="121" t="s">
        <v>3009</v>
      </c>
      <c r="G4225" s="98" t="str">
        <f>HYPERLINK("http://mirror.ff7data.com.ar/ff7/data/battle/battle.lgp/hjbh.png","View Picture")</f>
        <v>View Picture</v>
      </c>
    </row>
    <row r="4226">
      <c r="A4226" s="55"/>
      <c r="B4226" s="119" t="s">
        <v>35990</v>
      </c>
      <c r="C4226" s="120" t="s">
        <v>3842</v>
      </c>
      <c r="D4226" s="33" t="s">
        <v>35969</v>
      </c>
      <c r="E4226" s="51" t="s">
        <v>845</v>
      </c>
      <c r="F4226" s="121" t="s">
        <v>3009</v>
      </c>
      <c r="G4226" s="98" t="str">
        <f>HYPERLINK("http://mirror.ff7data.com.ar/ff7/data/battle/battle.lgp/hjbi.png","View Picture")</f>
        <v>View Picture</v>
      </c>
    </row>
    <row r="4227">
      <c r="A4227" s="55"/>
      <c r="B4227" s="119" t="s">
        <v>35991</v>
      </c>
      <c r="C4227" s="120" t="s">
        <v>4372</v>
      </c>
      <c r="D4227" s="33" t="s">
        <v>35969</v>
      </c>
      <c r="E4227" s="51" t="s">
        <v>845</v>
      </c>
      <c r="F4227" s="121" t="s">
        <v>3009</v>
      </c>
      <c r="G4227" s="98" t="str">
        <f>HYPERLINK("http://mirror.ff7data.com.ar/ff7/data/battle/battle.lgp/hjbk.png","View Picture")</f>
        <v>View Picture</v>
      </c>
    </row>
    <row r="4228">
      <c r="A4228" s="55"/>
      <c r="B4228" s="119" t="s">
        <v>35992</v>
      </c>
      <c r="C4228" s="120" t="s">
        <v>4439</v>
      </c>
      <c r="D4228" s="33" t="s">
        <v>35969</v>
      </c>
      <c r="E4228" s="51" t="s">
        <v>845</v>
      </c>
      <c r="F4228" s="121" t="s">
        <v>3009</v>
      </c>
      <c r="G4228" s="98" t="str">
        <f>HYPERLINK("http://mirror.ff7data.com.ar/ff7/data/battle/battle.lgp/hjbl.png","View Picture")</f>
        <v>View Picture</v>
      </c>
    </row>
    <row r="4229">
      <c r="A4229" s="55"/>
      <c r="B4229" s="119" t="s">
        <v>35993</v>
      </c>
      <c r="C4229" s="120" t="s">
        <v>3842</v>
      </c>
      <c r="D4229" s="33" t="s">
        <v>35969</v>
      </c>
      <c r="E4229" s="51" t="s">
        <v>845</v>
      </c>
      <c r="F4229" s="121" t="s">
        <v>3009</v>
      </c>
      <c r="G4229" s="98" t="str">
        <f>HYPERLINK("http://mirror.ff7data.com.ar/ff7/data/battle/battle.lgp/hjbm.png","View Picture")</f>
        <v>View Picture</v>
      </c>
    </row>
    <row r="4230">
      <c r="A4230" s="55"/>
      <c r="B4230" s="119" t="s">
        <v>35994</v>
      </c>
      <c r="C4230" s="120" t="s">
        <v>3519</v>
      </c>
      <c r="D4230" s="33" t="s">
        <v>35969</v>
      </c>
      <c r="E4230" s="51" t="s">
        <v>845</v>
      </c>
      <c r="F4230" s="121" t="s">
        <v>3009</v>
      </c>
      <c r="G4230" s="98" t="str">
        <f>HYPERLINK("http://mirror.ff7data.com.ar/ff7/data/battle/battle.lgp/hjbo.png","View Picture")</f>
        <v>View Picture</v>
      </c>
    </row>
    <row r="4231">
      <c r="A4231" s="55"/>
      <c r="B4231" s="119" t="s">
        <v>35995</v>
      </c>
      <c r="C4231" s="120" t="s">
        <v>4240</v>
      </c>
      <c r="D4231" s="33" t="s">
        <v>35969</v>
      </c>
      <c r="E4231" s="51" t="s">
        <v>845</v>
      </c>
      <c r="F4231" s="121" t="s">
        <v>3009</v>
      </c>
      <c r="G4231" s="98" t="str">
        <f>HYPERLINK("http://mirror.ff7data.com.ar/ff7/data/battle/battle.lgp/hjbp.png","View Picture")</f>
        <v>View Picture</v>
      </c>
    </row>
    <row r="4232">
      <c r="A4232" s="55"/>
      <c r="B4232" s="119" t="s">
        <v>35996</v>
      </c>
      <c r="C4232" s="120" t="s">
        <v>5891</v>
      </c>
      <c r="D4232" s="33" t="s">
        <v>35969</v>
      </c>
      <c r="E4232" s="51" t="s">
        <v>845</v>
      </c>
      <c r="F4232" s="121" t="s">
        <v>3009</v>
      </c>
      <c r="G4232" s="98" t="str">
        <f>HYPERLINK("http://mirror.ff7data.com.ar/ff7/data/battle/battle.lgp/hjbr.png","View Picture")</f>
        <v>View Picture</v>
      </c>
    </row>
    <row r="4233">
      <c r="A4233" s="55"/>
      <c r="B4233" s="119" t="s">
        <v>35997</v>
      </c>
      <c r="C4233" s="120" t="s">
        <v>3658</v>
      </c>
      <c r="D4233" s="33" t="s">
        <v>35969</v>
      </c>
      <c r="E4233" s="51" t="s">
        <v>845</v>
      </c>
      <c r="F4233" s="121" t="s">
        <v>3009</v>
      </c>
      <c r="G4233" s="98" t="str">
        <f>HYPERLINK("http://mirror.ff7data.com.ar/ff7/data/battle/battle.lgp/hjbs.png","View Picture")</f>
        <v>View Picture</v>
      </c>
    </row>
    <row r="4234">
      <c r="A4234" s="55"/>
      <c r="B4234" s="119" t="s">
        <v>35998</v>
      </c>
      <c r="C4234" s="120" t="s">
        <v>3842</v>
      </c>
      <c r="D4234" s="33" t="s">
        <v>35969</v>
      </c>
      <c r="E4234" s="51" t="s">
        <v>845</v>
      </c>
      <c r="F4234" s="121" t="s">
        <v>3009</v>
      </c>
      <c r="G4234" s="98" t="str">
        <f>HYPERLINK("http://mirror.ff7data.com.ar/ff7/data/battle/battle.lgp/hjbt.png","View Picture")</f>
        <v>View Picture</v>
      </c>
    </row>
    <row r="4235">
      <c r="A4235" s="55"/>
      <c r="B4235" s="119" t="s">
        <v>35999</v>
      </c>
      <c r="C4235" s="120" t="s">
        <v>3842</v>
      </c>
      <c r="D4235" s="33" t="s">
        <v>35969</v>
      </c>
      <c r="E4235" s="51" t="s">
        <v>845</v>
      </c>
      <c r="F4235" s="121" t="s">
        <v>3009</v>
      </c>
      <c r="G4235" s="98" t="str">
        <f>HYPERLINK("http://mirror.ff7data.com.ar/ff7/data/battle/battle.lgp/hjbu.png","View Picture")</f>
        <v>View Picture</v>
      </c>
    </row>
    <row r="4236">
      <c r="A4236" s="55"/>
      <c r="B4236" s="119" t="s">
        <v>36000</v>
      </c>
      <c r="C4236" s="120" t="s">
        <v>5891</v>
      </c>
      <c r="D4236" s="33" t="s">
        <v>35969</v>
      </c>
      <c r="E4236" s="51" t="s">
        <v>845</v>
      </c>
      <c r="F4236" s="121" t="s">
        <v>3009</v>
      </c>
      <c r="G4236" s="98" t="str">
        <f>HYPERLINK("http://mirror.ff7data.com.ar/ff7/data/battle/battle.lgp/hjbw.png","View Picture")</f>
        <v>View Picture</v>
      </c>
    </row>
    <row r="4237">
      <c r="A4237" s="55"/>
      <c r="B4237" s="119" t="s">
        <v>36001</v>
      </c>
      <c r="C4237" s="120" t="s">
        <v>3658</v>
      </c>
      <c r="D4237" s="33" t="s">
        <v>35969</v>
      </c>
      <c r="E4237" s="51" t="s">
        <v>845</v>
      </c>
      <c r="F4237" s="121" t="s">
        <v>3009</v>
      </c>
      <c r="G4237" s="98" t="str">
        <f>HYPERLINK("http://mirror.ff7data.com.ar/ff7/data/battle/battle.lgp/hjbx.png","View Picture")</f>
        <v>View Picture</v>
      </c>
    </row>
    <row r="4238">
      <c r="A4238" s="55"/>
      <c r="B4238" s="119" t="s">
        <v>36002</v>
      </c>
      <c r="C4238" s="120" t="s">
        <v>3658</v>
      </c>
      <c r="D4238" s="33" t="s">
        <v>35969</v>
      </c>
      <c r="E4238" s="51" t="s">
        <v>845</v>
      </c>
      <c r="F4238" s="121" t="s">
        <v>3009</v>
      </c>
      <c r="G4238" s="98" t="str">
        <f>HYPERLINK("http://mirror.ff7data.com.ar/ff7/data/battle/battle.lgp/hjby.png","View Picture")</f>
        <v>View Picture</v>
      </c>
    </row>
    <row r="4239">
      <c r="A4239" s="55"/>
      <c r="B4239" s="119" t="s">
        <v>36003</v>
      </c>
      <c r="C4239" s="120" t="s">
        <v>3842</v>
      </c>
      <c r="D4239" s="33" t="s">
        <v>35969</v>
      </c>
      <c r="E4239" s="51" t="s">
        <v>845</v>
      </c>
      <c r="F4239" s="121" t="s">
        <v>3009</v>
      </c>
      <c r="G4239" s="98" t="str">
        <f>HYPERLINK("http://mirror.ff7data.com.ar/ff7/data/battle/battle.lgp/hjbz.png","View Picture")</f>
        <v>View Picture</v>
      </c>
    </row>
    <row r="4240">
      <c r="A4240" s="55"/>
      <c r="B4240" s="119" t="s">
        <v>36004</v>
      </c>
      <c r="C4240" s="120" t="s">
        <v>4167</v>
      </c>
      <c r="D4240" s="33" t="s">
        <v>35969</v>
      </c>
      <c r="E4240" s="51" t="s">
        <v>845</v>
      </c>
      <c r="F4240" s="121" t="s">
        <v>3025</v>
      </c>
      <c r="H4240" s="46" t="s">
        <v>3002</v>
      </c>
    </row>
    <row r="4241">
      <c r="A4241" s="21"/>
      <c r="B4241" s="119" t="s">
        <v>36005</v>
      </c>
      <c r="C4241" s="120" t="s">
        <v>7606</v>
      </c>
      <c r="D4241" s="33" t="s">
        <v>36006</v>
      </c>
      <c r="E4241" s="51" t="s">
        <v>848</v>
      </c>
      <c r="F4241" s="121" t="s">
        <v>2971</v>
      </c>
      <c r="G4241" s="98" t="str">
        <f>HYPERLINK("http://mirror.ff7data.com.ar/ff7/data/battle/battle.lgp/hkaa.png","View Picture")</f>
        <v>View Picture</v>
      </c>
      <c r="H4241" s="46" t="s">
        <v>36007</v>
      </c>
    </row>
    <row r="4242">
      <c r="A4242" s="55"/>
      <c r="B4242" s="119" t="s">
        <v>36008</v>
      </c>
      <c r="C4242" s="120" t="s">
        <v>3906</v>
      </c>
      <c r="D4242" s="33" t="s">
        <v>36009</v>
      </c>
      <c r="E4242" s="51" t="s">
        <v>848</v>
      </c>
      <c r="F4242" s="121" t="s">
        <v>2993</v>
      </c>
      <c r="H4242" s="46" t="s">
        <v>3002</v>
      </c>
    </row>
    <row r="4243">
      <c r="A4243" s="55"/>
      <c r="B4243" s="119" t="s">
        <v>36010</v>
      </c>
      <c r="C4243" s="120" t="s">
        <v>3658</v>
      </c>
      <c r="D4243" s="33" t="s">
        <v>36009</v>
      </c>
      <c r="E4243" s="51" t="s">
        <v>848</v>
      </c>
      <c r="F4243" s="121" t="s">
        <v>3009</v>
      </c>
      <c r="G4243" s="98" t="str">
        <f>HYPERLINK("http://mirror.ff7data.com.ar/ff7/data/battle/battle.lgp/hkam.png","View Picture")</f>
        <v>View Picture</v>
      </c>
    </row>
    <row r="4244">
      <c r="A4244" s="55"/>
      <c r="B4244" s="119" t="s">
        <v>36011</v>
      </c>
      <c r="C4244" s="120" t="s">
        <v>4357</v>
      </c>
      <c r="D4244" s="33" t="s">
        <v>36009</v>
      </c>
      <c r="E4244" s="51" t="s">
        <v>848</v>
      </c>
      <c r="F4244" s="121" t="s">
        <v>3009</v>
      </c>
      <c r="G4244" s="98" t="str">
        <f>HYPERLINK("http://mirror.ff7data.com.ar/ff7/data/battle/battle.lgp/hkan.png","View Picture")</f>
        <v>View Picture</v>
      </c>
    </row>
    <row r="4245">
      <c r="A4245" s="55"/>
      <c r="B4245" s="119" t="s">
        <v>36012</v>
      </c>
      <c r="C4245" s="120" t="s">
        <v>4264</v>
      </c>
      <c r="D4245" s="33" t="s">
        <v>36009</v>
      </c>
      <c r="E4245" s="51" t="s">
        <v>848</v>
      </c>
      <c r="F4245" s="121" t="s">
        <v>3009</v>
      </c>
      <c r="G4245" s="98" t="str">
        <f>HYPERLINK("http://mirror.ff7data.com.ar/ff7/data/battle/battle.lgp/hkao.png","View Picture")</f>
        <v>View Picture</v>
      </c>
    </row>
    <row r="4246">
      <c r="A4246" s="55"/>
      <c r="B4246" s="119" t="s">
        <v>36013</v>
      </c>
      <c r="C4246" s="120" t="s">
        <v>7062</v>
      </c>
      <c r="D4246" s="33" t="s">
        <v>36009</v>
      </c>
      <c r="E4246" s="51" t="s">
        <v>848</v>
      </c>
      <c r="F4246" s="121" t="s">
        <v>3009</v>
      </c>
      <c r="G4246" s="98" t="str">
        <f>HYPERLINK("http://mirror.ff7data.com.ar/ff7/data/battle/battle.lgp/hkap.png","View Picture")</f>
        <v>View Picture</v>
      </c>
    </row>
    <row r="4247">
      <c r="A4247" s="55"/>
      <c r="B4247" s="119" t="s">
        <v>36014</v>
      </c>
      <c r="C4247" s="120" t="s">
        <v>7270</v>
      </c>
      <c r="D4247" s="33" t="s">
        <v>36009</v>
      </c>
      <c r="E4247" s="51" t="s">
        <v>848</v>
      </c>
      <c r="F4247" s="121" t="s">
        <v>3009</v>
      </c>
      <c r="G4247" s="98" t="str">
        <f>HYPERLINK("http://mirror.ff7data.com.ar/ff7/data/battle/battle.lgp/hkar.png","View Picture")</f>
        <v>View Picture</v>
      </c>
    </row>
    <row r="4248">
      <c r="A4248" s="55"/>
      <c r="B4248" s="119" t="s">
        <v>36015</v>
      </c>
      <c r="C4248" s="120" t="s">
        <v>4264</v>
      </c>
      <c r="D4248" s="33" t="s">
        <v>36009</v>
      </c>
      <c r="E4248" s="51" t="s">
        <v>848</v>
      </c>
      <c r="F4248" s="121" t="s">
        <v>3009</v>
      </c>
      <c r="G4248" s="98" t="str">
        <f>HYPERLINK("http://mirror.ff7data.com.ar/ff7/data/battle/battle.lgp/hkat.png","View Picture")</f>
        <v>View Picture</v>
      </c>
    </row>
    <row r="4249">
      <c r="A4249" s="55"/>
      <c r="B4249" s="119" t="s">
        <v>36016</v>
      </c>
      <c r="C4249" s="120" t="s">
        <v>4264</v>
      </c>
      <c r="D4249" s="33" t="s">
        <v>36009</v>
      </c>
      <c r="E4249" s="51" t="s">
        <v>848</v>
      </c>
      <c r="F4249" s="121" t="s">
        <v>3009</v>
      </c>
      <c r="G4249" s="98" t="str">
        <f>HYPERLINK("http://mirror.ff7data.com.ar/ff7/data/battle/battle.lgp/hkau.png","View Picture")</f>
        <v>View Picture</v>
      </c>
    </row>
    <row r="4250">
      <c r="A4250" s="55"/>
      <c r="B4250" s="119" t="s">
        <v>36017</v>
      </c>
      <c r="C4250" s="120" t="s">
        <v>4357</v>
      </c>
      <c r="D4250" s="33" t="s">
        <v>36009</v>
      </c>
      <c r="E4250" s="51" t="s">
        <v>848</v>
      </c>
      <c r="F4250" s="121" t="s">
        <v>3009</v>
      </c>
      <c r="G4250" s="98" t="str">
        <f>HYPERLINK("http://mirror.ff7data.com.ar/ff7/data/battle/battle.lgp/hkav.png","View Picture")</f>
        <v>View Picture</v>
      </c>
    </row>
    <row r="4251">
      <c r="A4251" s="55"/>
      <c r="B4251" s="119" t="s">
        <v>36018</v>
      </c>
      <c r="C4251" s="120" t="s">
        <v>4264</v>
      </c>
      <c r="D4251" s="33" t="s">
        <v>36009</v>
      </c>
      <c r="E4251" s="51" t="s">
        <v>848</v>
      </c>
      <c r="F4251" s="121" t="s">
        <v>3009</v>
      </c>
      <c r="G4251" s="98" t="str">
        <f>HYPERLINK("http://mirror.ff7data.com.ar/ff7/data/battle/battle.lgp/hkax.png","View Picture")</f>
        <v>View Picture</v>
      </c>
    </row>
    <row r="4252">
      <c r="A4252" s="55"/>
      <c r="B4252" s="119" t="s">
        <v>36019</v>
      </c>
      <c r="C4252" s="120" t="s">
        <v>4264</v>
      </c>
      <c r="D4252" s="33" t="s">
        <v>36009</v>
      </c>
      <c r="E4252" s="51" t="s">
        <v>848</v>
      </c>
      <c r="F4252" s="121" t="s">
        <v>3009</v>
      </c>
      <c r="G4252" s="98" t="str">
        <f>HYPERLINK("http://mirror.ff7data.com.ar/ff7/data/battle/battle.lgp/hkay.png","View Picture")</f>
        <v>View Picture</v>
      </c>
    </row>
    <row r="4253">
      <c r="A4253" s="55"/>
      <c r="B4253" s="119" t="s">
        <v>36020</v>
      </c>
      <c r="C4253" s="120" t="s">
        <v>3842</v>
      </c>
      <c r="D4253" s="33" t="s">
        <v>36009</v>
      </c>
      <c r="E4253" s="51" t="s">
        <v>848</v>
      </c>
      <c r="F4253" s="121" t="s">
        <v>3009</v>
      </c>
      <c r="G4253" s="98" t="str">
        <f>HYPERLINK("http://mirror.ff7data.com.ar/ff7/data/battle/battle.lgp/hkaz.png","View Picture")</f>
        <v>View Picture</v>
      </c>
    </row>
    <row r="4254">
      <c r="A4254" s="55"/>
      <c r="B4254" s="119" t="s">
        <v>36021</v>
      </c>
      <c r="C4254" s="120" t="s">
        <v>4057</v>
      </c>
      <c r="D4254" s="33" t="s">
        <v>36009</v>
      </c>
      <c r="E4254" s="51" t="s">
        <v>848</v>
      </c>
      <c r="F4254" s="121" t="s">
        <v>3009</v>
      </c>
      <c r="G4254" s="98" t="str">
        <f>HYPERLINK("http://mirror.ff7data.com.ar/ff7/data/battle/battle.lgp/hkbb.png","View Picture")</f>
        <v>View Picture</v>
      </c>
    </row>
    <row r="4255">
      <c r="A4255" s="55"/>
      <c r="B4255" s="119" t="s">
        <v>36022</v>
      </c>
      <c r="C4255" s="120" t="s">
        <v>4057</v>
      </c>
      <c r="D4255" s="33" t="s">
        <v>36009</v>
      </c>
      <c r="E4255" s="51" t="s">
        <v>848</v>
      </c>
      <c r="F4255" s="121" t="s">
        <v>3009</v>
      </c>
      <c r="G4255" s="98" t="str">
        <f>HYPERLINK("http://mirror.ff7data.com.ar/ff7/data/battle/battle.lgp/hkbd.png","View Picture")</f>
        <v>View Picture</v>
      </c>
    </row>
    <row r="4256">
      <c r="A4256" s="55"/>
      <c r="B4256" s="119" t="s">
        <v>36023</v>
      </c>
      <c r="C4256" s="120" t="s">
        <v>4439</v>
      </c>
      <c r="D4256" s="33" t="s">
        <v>36009</v>
      </c>
      <c r="E4256" s="51" t="s">
        <v>848</v>
      </c>
      <c r="F4256" s="121" t="s">
        <v>3009</v>
      </c>
      <c r="G4256" s="98" t="str">
        <f>HYPERLINK("http://mirror.ff7data.com.ar/ff7/data/battle/battle.lgp/hkbf.png","View Picture")</f>
        <v>View Picture</v>
      </c>
    </row>
    <row r="4257">
      <c r="A4257" s="55"/>
      <c r="B4257" s="119" t="s">
        <v>36024</v>
      </c>
      <c r="C4257" s="120" t="s">
        <v>4439</v>
      </c>
      <c r="D4257" s="33" t="s">
        <v>36009</v>
      </c>
      <c r="E4257" s="51" t="s">
        <v>848</v>
      </c>
      <c r="F4257" s="121" t="s">
        <v>3009</v>
      </c>
      <c r="G4257" s="98" t="str">
        <f>HYPERLINK("http://mirror.ff7data.com.ar/ff7/data/battle/battle.lgp/hkbh.png","View Picture")</f>
        <v>View Picture</v>
      </c>
    </row>
    <row r="4258">
      <c r="A4258" s="55"/>
      <c r="B4258" s="119" t="s">
        <v>36025</v>
      </c>
      <c r="C4258" s="120" t="s">
        <v>4264</v>
      </c>
      <c r="D4258" s="33" t="s">
        <v>36009</v>
      </c>
      <c r="E4258" s="51" t="s">
        <v>848</v>
      </c>
      <c r="F4258" s="121" t="s">
        <v>3009</v>
      </c>
      <c r="G4258" s="98" t="str">
        <f>HYPERLINK("http://mirror.ff7data.com.ar/ff7/data/battle/battle.lgp/hkbj.png","View Picture")</f>
        <v>View Picture</v>
      </c>
    </row>
    <row r="4259">
      <c r="A4259" s="55"/>
      <c r="B4259" s="119" t="s">
        <v>36026</v>
      </c>
      <c r="C4259" s="120" t="s">
        <v>4476</v>
      </c>
      <c r="D4259" s="33" t="s">
        <v>36009</v>
      </c>
      <c r="E4259" s="51" t="s">
        <v>848</v>
      </c>
      <c r="F4259" s="121" t="s">
        <v>3009</v>
      </c>
      <c r="G4259" s="98" t="str">
        <f>HYPERLINK("http://mirror.ff7data.com.ar/ff7/data/battle/battle.lgp/hkbk.png","View Picture")</f>
        <v>View Picture</v>
      </c>
    </row>
    <row r="4260">
      <c r="A4260" s="55"/>
      <c r="B4260" s="119" t="s">
        <v>36027</v>
      </c>
      <c r="C4260" s="120" t="s">
        <v>5419</v>
      </c>
      <c r="D4260" s="33" t="s">
        <v>36009</v>
      </c>
      <c r="E4260" s="51" t="s">
        <v>848</v>
      </c>
      <c r="F4260" s="121" t="s">
        <v>3009</v>
      </c>
      <c r="G4260" s="98" t="str">
        <f>HYPERLINK("http://mirror.ff7data.com.ar/ff7/data/battle/battle.lgp/hkbl.png","View Picture")</f>
        <v>View Picture</v>
      </c>
    </row>
    <row r="4261">
      <c r="A4261" s="55"/>
      <c r="B4261" s="119" t="s">
        <v>36028</v>
      </c>
      <c r="C4261" s="120" t="s">
        <v>4264</v>
      </c>
      <c r="D4261" s="33" t="s">
        <v>36009</v>
      </c>
      <c r="E4261" s="51" t="s">
        <v>848</v>
      </c>
      <c r="F4261" s="121" t="s">
        <v>3009</v>
      </c>
      <c r="G4261" s="98" t="str">
        <f>HYPERLINK("http://mirror.ff7data.com.ar/ff7/data/battle/battle.lgp/hkbn.png","View Picture")</f>
        <v>View Picture</v>
      </c>
    </row>
    <row r="4262">
      <c r="A4262" s="55"/>
      <c r="B4262" s="119" t="s">
        <v>36029</v>
      </c>
      <c r="C4262" s="120" t="s">
        <v>4476</v>
      </c>
      <c r="D4262" s="33" t="s">
        <v>36009</v>
      </c>
      <c r="E4262" s="51" t="s">
        <v>848</v>
      </c>
      <c r="F4262" s="121" t="s">
        <v>3009</v>
      </c>
      <c r="G4262" s="98" t="str">
        <f>HYPERLINK("http://mirror.ff7data.com.ar/ff7/data/battle/battle.lgp/hkbo.png","View Picture")</f>
        <v>View Picture</v>
      </c>
    </row>
    <row r="4263">
      <c r="A4263" s="55"/>
      <c r="B4263" s="119" t="s">
        <v>36030</v>
      </c>
      <c r="C4263" s="120" t="s">
        <v>5419</v>
      </c>
      <c r="D4263" s="33" t="s">
        <v>36009</v>
      </c>
      <c r="E4263" s="51" t="s">
        <v>848</v>
      </c>
      <c r="F4263" s="121" t="s">
        <v>3009</v>
      </c>
      <c r="G4263" s="98" t="str">
        <f>HYPERLINK("http://mirror.ff7data.com.ar/ff7/data/battle/battle.lgp/hkbp.png","View Picture")</f>
        <v>View Picture</v>
      </c>
    </row>
    <row r="4264">
      <c r="A4264" s="55"/>
      <c r="B4264" s="119" t="s">
        <v>36031</v>
      </c>
      <c r="C4264" s="120" t="s">
        <v>7148</v>
      </c>
      <c r="D4264" s="33" t="s">
        <v>36009</v>
      </c>
      <c r="E4264" s="51" t="s">
        <v>848</v>
      </c>
      <c r="F4264" s="121" t="s">
        <v>3009</v>
      </c>
      <c r="G4264" s="98" t="str">
        <f>HYPERLINK("http://mirror.ff7data.com.ar/ff7/data/battle/battle.lgp/hkbq.png","View Picture")</f>
        <v>View Picture</v>
      </c>
    </row>
    <row r="4265">
      <c r="A4265" s="55"/>
      <c r="B4265" s="119" t="s">
        <v>36032</v>
      </c>
      <c r="C4265" s="120" t="s">
        <v>7148</v>
      </c>
      <c r="D4265" s="33" t="s">
        <v>36009</v>
      </c>
      <c r="E4265" s="51" t="s">
        <v>848</v>
      </c>
      <c r="F4265" s="121" t="s">
        <v>3009</v>
      </c>
      <c r="G4265" s="98" t="str">
        <f>HYPERLINK("http://mirror.ff7data.com.ar/ff7/data/battle/battle.lgp/hkbr.png","View Picture")</f>
        <v>View Picture</v>
      </c>
    </row>
    <row r="4266">
      <c r="A4266" s="55"/>
      <c r="B4266" s="119" t="s">
        <v>36033</v>
      </c>
      <c r="C4266" s="120" t="s">
        <v>7148</v>
      </c>
      <c r="D4266" s="33" t="s">
        <v>36009</v>
      </c>
      <c r="E4266" s="51" t="s">
        <v>848</v>
      </c>
      <c r="F4266" s="121" t="s">
        <v>3009</v>
      </c>
      <c r="G4266" s="98" t="str">
        <f>HYPERLINK("http://mirror.ff7data.com.ar/ff7/data/battle/battle.lgp/hkbs.png","View Picture")</f>
        <v>View Picture</v>
      </c>
    </row>
    <row r="4267">
      <c r="A4267" s="55"/>
      <c r="B4267" s="119" t="s">
        <v>36034</v>
      </c>
      <c r="C4267" s="120" t="s">
        <v>3007</v>
      </c>
      <c r="D4267" s="33" t="s">
        <v>36009</v>
      </c>
      <c r="E4267" s="51" t="s">
        <v>848</v>
      </c>
      <c r="F4267" s="121" t="s">
        <v>3009</v>
      </c>
      <c r="G4267" s="98" t="str">
        <f>HYPERLINK("http://mirror.ff7data.com.ar/ff7/data/battle/battle.lgp/hkbt.png","View Picture")</f>
        <v>View Picture</v>
      </c>
    </row>
    <row r="4268">
      <c r="A4268" s="55"/>
      <c r="B4268" s="119" t="s">
        <v>36035</v>
      </c>
      <c r="C4268" s="120" t="s">
        <v>5904</v>
      </c>
      <c r="D4268" s="33" t="s">
        <v>36009</v>
      </c>
      <c r="E4268" s="51" t="s">
        <v>848</v>
      </c>
      <c r="F4268" s="121" t="s">
        <v>3025</v>
      </c>
      <c r="H4268" s="46" t="s">
        <v>3002</v>
      </c>
    </row>
    <row r="4269">
      <c r="A4269" s="21"/>
      <c r="B4269" s="119" t="s">
        <v>36036</v>
      </c>
      <c r="C4269" s="120" t="s">
        <v>3557</v>
      </c>
      <c r="D4269" s="33" t="s">
        <v>36037</v>
      </c>
      <c r="E4269" s="51" t="s">
        <v>853</v>
      </c>
      <c r="F4269" s="121" t="s">
        <v>2971</v>
      </c>
      <c r="G4269" s="98" t="str">
        <f>HYPERLINK("http://mirror.ff7data.com.ar/ff7/data/battle/battle.lgp/hlaa.png","View Picture")</f>
        <v>View Picture</v>
      </c>
      <c r="H4269" s="46" t="s">
        <v>36038</v>
      </c>
    </row>
    <row r="4270">
      <c r="A4270" s="55"/>
      <c r="B4270" s="119" t="s">
        <v>36039</v>
      </c>
      <c r="C4270" s="120" t="s">
        <v>4109</v>
      </c>
      <c r="D4270" s="33" t="s">
        <v>36040</v>
      </c>
      <c r="E4270" s="51" t="s">
        <v>853</v>
      </c>
      <c r="F4270" s="121" t="s">
        <v>2993</v>
      </c>
      <c r="H4270" s="46" t="s">
        <v>3002</v>
      </c>
    </row>
    <row r="4271">
      <c r="A4271" s="55"/>
      <c r="B4271" s="119" t="s">
        <v>36041</v>
      </c>
      <c r="C4271" s="120" t="s">
        <v>10078</v>
      </c>
      <c r="D4271" s="33" t="s">
        <v>36040</v>
      </c>
      <c r="E4271" s="51" t="s">
        <v>853</v>
      </c>
      <c r="F4271" s="121" t="s">
        <v>3009</v>
      </c>
      <c r="G4271" s="98" t="str">
        <f>HYPERLINK("http://mirror.ff7data.com.ar/ff7/data/battle/battle.lgp/hlam.png","View Picture")</f>
        <v>View Picture</v>
      </c>
    </row>
    <row r="4272">
      <c r="A4272" s="55"/>
      <c r="B4272" s="119" t="s">
        <v>36042</v>
      </c>
      <c r="C4272" s="120" t="s">
        <v>4372</v>
      </c>
      <c r="D4272" s="33" t="s">
        <v>36040</v>
      </c>
      <c r="E4272" s="51" t="s">
        <v>853</v>
      </c>
      <c r="F4272" s="121" t="s">
        <v>3009</v>
      </c>
      <c r="G4272" s="98" t="str">
        <f>HYPERLINK("http://mirror.ff7data.com.ar/ff7/data/battle/battle.lgp/hlan.png","View Picture")</f>
        <v>View Picture</v>
      </c>
    </row>
    <row r="4273">
      <c r="A4273" s="55"/>
      <c r="B4273" s="119" t="s">
        <v>36043</v>
      </c>
      <c r="C4273" s="120" t="s">
        <v>4719</v>
      </c>
      <c r="D4273" s="33" t="s">
        <v>36040</v>
      </c>
      <c r="E4273" s="51" t="s">
        <v>853</v>
      </c>
      <c r="F4273" s="121" t="s">
        <v>3009</v>
      </c>
      <c r="G4273" s="98" t="str">
        <f>HYPERLINK("http://mirror.ff7data.com.ar/ff7/data/battle/battle.lgp/hlao.png","View Picture")</f>
        <v>View Picture</v>
      </c>
    </row>
    <row r="4274">
      <c r="A4274" s="55"/>
      <c r="B4274" s="119" t="s">
        <v>36044</v>
      </c>
      <c r="C4274" s="120" t="s">
        <v>4357</v>
      </c>
      <c r="D4274" s="33" t="s">
        <v>36040</v>
      </c>
      <c r="E4274" s="51" t="s">
        <v>853</v>
      </c>
      <c r="F4274" s="121" t="s">
        <v>3009</v>
      </c>
      <c r="G4274" s="98" t="str">
        <f>HYPERLINK("http://mirror.ff7data.com.ar/ff7/data/battle/battle.lgp/hlap.png","View Picture")</f>
        <v>View Picture</v>
      </c>
    </row>
    <row r="4275">
      <c r="A4275" s="55"/>
      <c r="B4275" s="119" t="s">
        <v>36045</v>
      </c>
      <c r="C4275" s="120" t="s">
        <v>4841</v>
      </c>
      <c r="D4275" s="33" t="s">
        <v>36040</v>
      </c>
      <c r="E4275" s="51" t="s">
        <v>853</v>
      </c>
      <c r="F4275" s="121" t="s">
        <v>3009</v>
      </c>
      <c r="G4275" s="98" t="str">
        <f>HYPERLINK("http://mirror.ff7data.com.ar/ff7/data/battle/battle.lgp/hlaq.png","View Picture")</f>
        <v>View Picture</v>
      </c>
    </row>
    <row r="4276">
      <c r="A4276" s="55"/>
      <c r="B4276" s="119" t="s">
        <v>36046</v>
      </c>
      <c r="C4276" s="120" t="s">
        <v>3723</v>
      </c>
      <c r="D4276" s="33" t="s">
        <v>36040</v>
      </c>
      <c r="E4276" s="51" t="s">
        <v>853</v>
      </c>
      <c r="F4276" s="121" t="s">
        <v>3009</v>
      </c>
      <c r="G4276" s="98" t="str">
        <f>HYPERLINK("http://mirror.ff7data.com.ar/ff7/data/battle/battle.lgp/hlar.png","View Picture")</f>
        <v>View Picture</v>
      </c>
    </row>
    <row r="4277">
      <c r="A4277" s="55"/>
      <c r="B4277" s="119" t="s">
        <v>36047</v>
      </c>
      <c r="C4277" s="120" t="s">
        <v>3749</v>
      </c>
      <c r="D4277" s="33" t="s">
        <v>36040</v>
      </c>
      <c r="E4277" s="51" t="s">
        <v>853</v>
      </c>
      <c r="F4277" s="121" t="s">
        <v>3009</v>
      </c>
      <c r="G4277" s="98" t="str">
        <f>HYPERLINK("http://mirror.ff7data.com.ar/ff7/data/battle/battle.lgp/hlat.png","View Picture")</f>
        <v>View Picture</v>
      </c>
    </row>
    <row r="4278">
      <c r="A4278" s="55"/>
      <c r="B4278" s="119" t="s">
        <v>36048</v>
      </c>
      <c r="C4278" s="120" t="s">
        <v>4732</v>
      </c>
      <c r="D4278" s="33" t="s">
        <v>36040</v>
      </c>
      <c r="E4278" s="51" t="s">
        <v>853</v>
      </c>
      <c r="F4278" s="121" t="s">
        <v>3009</v>
      </c>
      <c r="G4278" s="98" t="str">
        <f>HYPERLINK("http://mirror.ff7data.com.ar/ff7/data/battle/battle.lgp/hlau.png","View Picture")</f>
        <v>View Picture</v>
      </c>
    </row>
    <row r="4279">
      <c r="A4279" s="55"/>
      <c r="B4279" s="119" t="s">
        <v>36049</v>
      </c>
      <c r="C4279" s="120" t="s">
        <v>3658</v>
      </c>
      <c r="D4279" s="33" t="s">
        <v>36040</v>
      </c>
      <c r="E4279" s="51" t="s">
        <v>853</v>
      </c>
      <c r="F4279" s="121" t="s">
        <v>3009</v>
      </c>
      <c r="G4279" s="98" t="str">
        <f>HYPERLINK("http://mirror.ff7data.com.ar/ff7/data/battle/battle.lgp/hlav.png","View Picture")</f>
        <v>View Picture</v>
      </c>
    </row>
    <row r="4280">
      <c r="A4280" s="55"/>
      <c r="B4280" s="119" t="s">
        <v>36050</v>
      </c>
      <c r="C4280" s="120" t="s">
        <v>4357</v>
      </c>
      <c r="D4280" s="33" t="s">
        <v>36040</v>
      </c>
      <c r="E4280" s="51" t="s">
        <v>853</v>
      </c>
      <c r="F4280" s="121" t="s">
        <v>3009</v>
      </c>
      <c r="G4280" s="98" t="str">
        <f>HYPERLINK("http://mirror.ff7data.com.ar/ff7/data/battle/battle.lgp/hlaw.png","View Picture")</f>
        <v>View Picture</v>
      </c>
    </row>
    <row r="4281">
      <c r="A4281" s="55"/>
      <c r="B4281" s="119" t="s">
        <v>36051</v>
      </c>
      <c r="C4281" s="120" t="s">
        <v>4476</v>
      </c>
      <c r="D4281" s="33" t="s">
        <v>36040</v>
      </c>
      <c r="E4281" s="51" t="s">
        <v>853</v>
      </c>
      <c r="F4281" s="121" t="s">
        <v>3009</v>
      </c>
      <c r="G4281" s="98" t="str">
        <f>HYPERLINK("http://mirror.ff7data.com.ar/ff7/data/battle/battle.lgp/hlay.png","View Picture")</f>
        <v>View Picture</v>
      </c>
    </row>
    <row r="4282">
      <c r="A4282" s="55"/>
      <c r="B4282" s="119" t="s">
        <v>36052</v>
      </c>
      <c r="C4282" s="120" t="s">
        <v>7165</v>
      </c>
      <c r="D4282" s="33" t="s">
        <v>36040</v>
      </c>
      <c r="E4282" s="51" t="s">
        <v>853</v>
      </c>
      <c r="F4282" s="121" t="s">
        <v>3009</v>
      </c>
      <c r="G4282" s="98" t="str">
        <f>HYPERLINK("http://mirror.ff7data.com.ar/ff7/data/battle/battle.lgp/hlaz.png","View Picture")</f>
        <v>View Picture</v>
      </c>
    </row>
    <row r="4283">
      <c r="A4283" s="55"/>
      <c r="B4283" s="119" t="s">
        <v>36053</v>
      </c>
      <c r="C4283" s="120" t="s">
        <v>4185</v>
      </c>
      <c r="D4283" s="33" t="s">
        <v>36040</v>
      </c>
      <c r="E4283" s="51" t="s">
        <v>853</v>
      </c>
      <c r="F4283" s="121" t="s">
        <v>3009</v>
      </c>
      <c r="G4283" s="98" t="str">
        <f>HYPERLINK("http://mirror.ff7data.com.ar/ff7/data/battle/battle.lgp/hlba.png","View Picture")</f>
        <v>View Picture</v>
      </c>
    </row>
    <row r="4284">
      <c r="A4284" s="55"/>
      <c r="B4284" s="119" t="s">
        <v>36054</v>
      </c>
      <c r="C4284" s="120" t="s">
        <v>3749</v>
      </c>
      <c r="D4284" s="33" t="s">
        <v>36040</v>
      </c>
      <c r="E4284" s="51" t="s">
        <v>853</v>
      </c>
      <c r="F4284" s="121" t="s">
        <v>3009</v>
      </c>
      <c r="G4284" s="98" t="str">
        <f>HYPERLINK("http://mirror.ff7data.com.ar/ff7/data/battle/battle.lgp/hlbc.png","View Picture")</f>
        <v>View Picture</v>
      </c>
    </row>
    <row r="4285">
      <c r="A4285" s="55"/>
      <c r="B4285" s="119" t="s">
        <v>36055</v>
      </c>
      <c r="C4285" s="120" t="s">
        <v>4185</v>
      </c>
      <c r="D4285" s="33" t="s">
        <v>36040</v>
      </c>
      <c r="E4285" s="51" t="s">
        <v>853</v>
      </c>
      <c r="F4285" s="121" t="s">
        <v>3009</v>
      </c>
      <c r="G4285" s="98" t="str">
        <f>HYPERLINK("http://mirror.ff7data.com.ar/ff7/data/battle/battle.lgp/hlbe.png","View Picture")</f>
        <v>View Picture</v>
      </c>
    </row>
    <row r="4286">
      <c r="A4286" s="55"/>
      <c r="B4286" s="119" t="s">
        <v>36056</v>
      </c>
      <c r="C4286" s="120" t="s">
        <v>7165</v>
      </c>
      <c r="D4286" s="33" t="s">
        <v>36040</v>
      </c>
      <c r="E4286" s="51" t="s">
        <v>853</v>
      </c>
      <c r="F4286" s="121" t="s">
        <v>3009</v>
      </c>
      <c r="G4286" s="98" t="str">
        <f>HYPERLINK("http://mirror.ff7data.com.ar/ff7/data/battle/battle.lgp/hlbf.png","View Picture")</f>
        <v>View Picture</v>
      </c>
    </row>
    <row r="4287">
      <c r="A4287" s="55"/>
      <c r="B4287" s="119" t="s">
        <v>36057</v>
      </c>
      <c r="C4287" s="120" t="s">
        <v>4185</v>
      </c>
      <c r="D4287" s="33" t="s">
        <v>36040</v>
      </c>
      <c r="E4287" s="51" t="s">
        <v>853</v>
      </c>
      <c r="F4287" s="121" t="s">
        <v>3009</v>
      </c>
      <c r="G4287" s="98" t="str">
        <f>HYPERLINK("http://mirror.ff7data.com.ar/ff7/data/battle/battle.lgp/hlbg.png","View Picture")</f>
        <v>View Picture</v>
      </c>
    </row>
    <row r="4288">
      <c r="A4288" s="55"/>
      <c r="B4288" s="119" t="s">
        <v>36058</v>
      </c>
      <c r="C4288" s="120" t="s">
        <v>4732</v>
      </c>
      <c r="D4288" s="33" t="s">
        <v>36040</v>
      </c>
      <c r="E4288" s="51" t="s">
        <v>853</v>
      </c>
      <c r="F4288" s="121" t="s">
        <v>3009</v>
      </c>
      <c r="G4288" s="98" t="str">
        <f>HYPERLINK("http://mirror.ff7data.com.ar/ff7/data/battle/battle.lgp/hlbh.png","View Picture")</f>
        <v>View Picture</v>
      </c>
    </row>
    <row r="4289">
      <c r="A4289" s="55"/>
      <c r="B4289" s="119" t="s">
        <v>36059</v>
      </c>
      <c r="C4289" s="120" t="s">
        <v>3658</v>
      </c>
      <c r="D4289" s="33" t="s">
        <v>36040</v>
      </c>
      <c r="E4289" s="51" t="s">
        <v>853</v>
      </c>
      <c r="F4289" s="121" t="s">
        <v>3009</v>
      </c>
      <c r="G4289" s="98" t="str">
        <f>HYPERLINK("http://mirror.ff7data.com.ar/ff7/data/battle/battle.lgp/hlbi.png","View Picture")</f>
        <v>View Picture</v>
      </c>
    </row>
    <row r="4290">
      <c r="A4290" s="55"/>
      <c r="B4290" s="119" t="s">
        <v>36060</v>
      </c>
      <c r="C4290" s="120" t="s">
        <v>4357</v>
      </c>
      <c r="D4290" s="33" t="s">
        <v>36040</v>
      </c>
      <c r="E4290" s="51" t="s">
        <v>853</v>
      </c>
      <c r="F4290" s="121" t="s">
        <v>3009</v>
      </c>
      <c r="G4290" s="98" t="str">
        <f>HYPERLINK("http://mirror.ff7data.com.ar/ff7/data/battle/battle.lgp/hlbj.png","View Picture")</f>
        <v>View Picture</v>
      </c>
    </row>
    <row r="4291">
      <c r="A4291" s="55"/>
      <c r="B4291" s="119" t="s">
        <v>36061</v>
      </c>
      <c r="C4291" s="120" t="s">
        <v>3658</v>
      </c>
      <c r="D4291" s="33" t="s">
        <v>36040</v>
      </c>
      <c r="E4291" s="51" t="s">
        <v>853</v>
      </c>
      <c r="F4291" s="121" t="s">
        <v>3009</v>
      </c>
      <c r="G4291" s="98" t="str">
        <f>HYPERLINK("http://mirror.ff7data.com.ar/ff7/data/battle/battle.lgp/hlbl.png","View Picture")</f>
        <v>View Picture</v>
      </c>
    </row>
    <row r="4292">
      <c r="A4292" s="55"/>
      <c r="B4292" s="119" t="s">
        <v>36062</v>
      </c>
      <c r="C4292" s="120" t="s">
        <v>4357</v>
      </c>
      <c r="D4292" s="33" t="s">
        <v>36040</v>
      </c>
      <c r="E4292" s="51" t="s">
        <v>853</v>
      </c>
      <c r="F4292" s="121" t="s">
        <v>3009</v>
      </c>
      <c r="G4292" s="98" t="str">
        <f>HYPERLINK("http://mirror.ff7data.com.ar/ff7/data/battle/battle.lgp/hlbm.png","View Picture")</f>
        <v>View Picture</v>
      </c>
    </row>
    <row r="4293">
      <c r="A4293" s="55"/>
      <c r="B4293" s="119" t="s">
        <v>36063</v>
      </c>
      <c r="C4293" s="120" t="s">
        <v>4288</v>
      </c>
      <c r="D4293" s="33" t="s">
        <v>36040</v>
      </c>
      <c r="E4293" s="51" t="s">
        <v>853</v>
      </c>
      <c r="F4293" s="121" t="s">
        <v>3009</v>
      </c>
      <c r="G4293" s="98" t="str">
        <f>HYPERLINK("http://mirror.ff7data.com.ar/ff7/data/battle/battle.lgp/hlbn.png","View Picture")</f>
        <v>View Picture</v>
      </c>
    </row>
    <row r="4294">
      <c r="A4294" s="55"/>
      <c r="B4294" s="119" t="s">
        <v>36064</v>
      </c>
      <c r="C4294" s="120" t="s">
        <v>4288</v>
      </c>
      <c r="D4294" s="33" t="s">
        <v>36040</v>
      </c>
      <c r="E4294" s="51" t="s">
        <v>853</v>
      </c>
      <c r="F4294" s="121" t="s">
        <v>3009</v>
      </c>
      <c r="G4294" s="98" t="str">
        <f>HYPERLINK("http://mirror.ff7data.com.ar/ff7/data/battle/battle.lgp/hlbo.png","View Picture")</f>
        <v>View Picture</v>
      </c>
    </row>
    <row r="4295">
      <c r="A4295" s="55"/>
      <c r="B4295" s="119" t="s">
        <v>36065</v>
      </c>
      <c r="C4295" s="120" t="s">
        <v>3614</v>
      </c>
      <c r="D4295" s="33" t="s">
        <v>36040</v>
      </c>
      <c r="E4295" s="51" t="s">
        <v>853</v>
      </c>
      <c r="F4295" s="121" t="s">
        <v>3009</v>
      </c>
      <c r="G4295" s="98" t="str">
        <f>HYPERLINK("http://mirror.ff7data.com.ar/ff7/data/battle/battle.lgp/hlbp.png","View Picture")</f>
        <v>View Picture</v>
      </c>
    </row>
    <row r="4296">
      <c r="A4296" s="55"/>
      <c r="B4296" s="119" t="s">
        <v>36066</v>
      </c>
      <c r="C4296" s="120" t="s">
        <v>4476</v>
      </c>
      <c r="D4296" s="33" t="s">
        <v>36040</v>
      </c>
      <c r="E4296" s="51" t="s">
        <v>853</v>
      </c>
      <c r="F4296" s="121" t="s">
        <v>3009</v>
      </c>
      <c r="G4296" s="98" t="str">
        <f>HYPERLINK("http://mirror.ff7data.com.ar/ff7/data/battle/battle.lgp/hlbr.png","View Picture")</f>
        <v>View Picture</v>
      </c>
    </row>
    <row r="4297">
      <c r="A4297" s="55"/>
      <c r="B4297" s="119" t="s">
        <v>36067</v>
      </c>
      <c r="C4297" s="120" t="s">
        <v>4372</v>
      </c>
      <c r="D4297" s="33" t="s">
        <v>36040</v>
      </c>
      <c r="E4297" s="51" t="s">
        <v>853</v>
      </c>
      <c r="F4297" s="121" t="s">
        <v>3009</v>
      </c>
      <c r="G4297" s="98" t="str">
        <f>HYPERLINK("http://mirror.ff7data.com.ar/ff7/data/battle/battle.lgp/hlbs.png","View Picture")</f>
        <v>View Picture</v>
      </c>
    </row>
    <row r="4298">
      <c r="A4298" s="55"/>
      <c r="B4298" s="119" t="s">
        <v>36068</v>
      </c>
      <c r="C4298" s="120" t="s">
        <v>7301</v>
      </c>
      <c r="D4298" s="33" t="s">
        <v>36040</v>
      </c>
      <c r="E4298" s="51" t="s">
        <v>853</v>
      </c>
      <c r="F4298" s="121" t="s">
        <v>3009</v>
      </c>
      <c r="G4298" s="98" t="str">
        <f>HYPERLINK("http://mirror.ff7data.com.ar/ff7/data/battle/battle.lgp/hlbt.png","View Picture")</f>
        <v>View Picture</v>
      </c>
    </row>
    <row r="4299">
      <c r="A4299" s="55"/>
      <c r="B4299" s="119" t="s">
        <v>36069</v>
      </c>
      <c r="C4299" s="120" t="s">
        <v>4476</v>
      </c>
      <c r="D4299" s="33" t="s">
        <v>36040</v>
      </c>
      <c r="E4299" s="51" t="s">
        <v>853</v>
      </c>
      <c r="F4299" s="121" t="s">
        <v>3009</v>
      </c>
      <c r="G4299" s="98" t="str">
        <f>HYPERLINK("http://mirror.ff7data.com.ar/ff7/data/battle/battle.lgp/hlbv.png","View Picture")</f>
        <v>View Picture</v>
      </c>
    </row>
    <row r="4300">
      <c r="A4300" s="55"/>
      <c r="B4300" s="119" t="s">
        <v>36070</v>
      </c>
      <c r="C4300" s="120" t="s">
        <v>4372</v>
      </c>
      <c r="D4300" s="33" t="s">
        <v>36040</v>
      </c>
      <c r="E4300" s="51" t="s">
        <v>853</v>
      </c>
      <c r="F4300" s="121" t="s">
        <v>3009</v>
      </c>
      <c r="G4300" s="98" t="str">
        <f>HYPERLINK("http://mirror.ff7data.com.ar/ff7/data/battle/battle.lgp/hlbw.png","View Picture")</f>
        <v>View Picture</v>
      </c>
    </row>
    <row r="4301">
      <c r="A4301" s="55"/>
      <c r="B4301" s="119" t="s">
        <v>36071</v>
      </c>
      <c r="C4301" s="120" t="s">
        <v>3412</v>
      </c>
      <c r="D4301" s="33" t="s">
        <v>36040</v>
      </c>
      <c r="E4301" s="51" t="s">
        <v>853</v>
      </c>
      <c r="F4301" s="121" t="s">
        <v>3009</v>
      </c>
      <c r="G4301" s="98" t="str">
        <f>HYPERLINK("http://mirror.ff7data.com.ar/ff7/data/battle/battle.lgp/hlbx.png","View Picture")</f>
        <v>View Picture</v>
      </c>
    </row>
    <row r="4302">
      <c r="A4302" s="55"/>
      <c r="B4302" s="119" t="s">
        <v>36072</v>
      </c>
      <c r="C4302" s="120" t="s">
        <v>6018</v>
      </c>
      <c r="D4302" s="33" t="s">
        <v>36040</v>
      </c>
      <c r="E4302" s="51" t="s">
        <v>853</v>
      </c>
      <c r="F4302" s="121" t="s">
        <v>3025</v>
      </c>
      <c r="H4302" s="46" t="s">
        <v>3002</v>
      </c>
    </row>
    <row r="4303">
      <c r="A4303" s="21"/>
      <c r="B4303" s="119" t="s">
        <v>36073</v>
      </c>
      <c r="C4303" s="120" t="s">
        <v>34740</v>
      </c>
      <c r="D4303" s="33" t="s">
        <v>36074</v>
      </c>
      <c r="E4303" s="51" t="s">
        <v>858</v>
      </c>
      <c r="F4303" s="121" t="s">
        <v>2971</v>
      </c>
      <c r="G4303" s="98" t="str">
        <f>HYPERLINK("http://mirror.ff7data.com.ar/ff7/data/battle/battle.lgp/hmaa.png","View Picture")</f>
        <v>View Picture</v>
      </c>
    </row>
    <row r="4304">
      <c r="A4304" s="55"/>
      <c r="B4304" s="119" t="s">
        <v>36075</v>
      </c>
      <c r="C4304" s="120" t="s">
        <v>3906</v>
      </c>
      <c r="D4304" s="33" t="s">
        <v>36076</v>
      </c>
      <c r="E4304" s="51" t="s">
        <v>858</v>
      </c>
      <c r="F4304" s="121" t="s">
        <v>2993</v>
      </c>
      <c r="H4304" s="46" t="s">
        <v>3002</v>
      </c>
    </row>
    <row r="4305">
      <c r="A4305" s="55"/>
      <c r="B4305" s="119" t="s">
        <v>36077</v>
      </c>
      <c r="C4305" s="120" t="s">
        <v>3370</v>
      </c>
      <c r="D4305" s="33" t="s">
        <v>36076</v>
      </c>
      <c r="E4305" s="51" t="s">
        <v>858</v>
      </c>
      <c r="F4305" s="121" t="s">
        <v>3009</v>
      </c>
      <c r="G4305" s="98" t="str">
        <f>HYPERLINK("http://mirror.ff7data.com.ar/ff7/data/battle/battle.lgp/hmam.png","View Picture")</f>
        <v>View Picture</v>
      </c>
    </row>
    <row r="4306">
      <c r="A4306" s="55"/>
      <c r="B4306" s="119" t="s">
        <v>36078</v>
      </c>
      <c r="C4306" s="120" t="s">
        <v>3481</v>
      </c>
      <c r="D4306" s="33" t="s">
        <v>36076</v>
      </c>
      <c r="E4306" s="51" t="s">
        <v>858</v>
      </c>
      <c r="F4306" s="121" t="s">
        <v>3009</v>
      </c>
      <c r="G4306" s="98" t="str">
        <f>HYPERLINK("http://mirror.ff7data.com.ar/ff7/data/battle/battle.lgp/hman.png","View Picture")</f>
        <v>View Picture</v>
      </c>
    </row>
    <row r="4307">
      <c r="A4307" s="55"/>
      <c r="B4307" s="119" t="s">
        <v>36079</v>
      </c>
      <c r="C4307" s="120" t="s">
        <v>3481</v>
      </c>
      <c r="D4307" s="33" t="s">
        <v>36076</v>
      </c>
      <c r="E4307" s="51" t="s">
        <v>858</v>
      </c>
      <c r="F4307" s="121" t="s">
        <v>3009</v>
      </c>
      <c r="G4307" s="98" t="str">
        <f>HYPERLINK("http://mirror.ff7data.com.ar/ff7/data/battle/battle.lgp/hmao.png","View Picture")</f>
        <v>View Picture</v>
      </c>
    </row>
    <row r="4308">
      <c r="A4308" s="55"/>
      <c r="B4308" s="119" t="s">
        <v>36080</v>
      </c>
      <c r="C4308" s="120" t="s">
        <v>4841</v>
      </c>
      <c r="D4308" s="33" t="s">
        <v>36076</v>
      </c>
      <c r="E4308" s="51" t="s">
        <v>858</v>
      </c>
      <c r="F4308" s="121" t="s">
        <v>3009</v>
      </c>
      <c r="G4308" s="98" t="str">
        <f>HYPERLINK("http://mirror.ff7data.com.ar/ff7/data/battle/battle.lgp/hmap.png","View Picture")</f>
        <v>View Picture</v>
      </c>
    </row>
    <row r="4309">
      <c r="A4309" s="55"/>
      <c r="B4309" s="119" t="s">
        <v>36081</v>
      </c>
      <c r="C4309" s="120" t="s">
        <v>3318</v>
      </c>
      <c r="D4309" s="33" t="s">
        <v>36076</v>
      </c>
      <c r="E4309" s="51" t="s">
        <v>858</v>
      </c>
      <c r="F4309" s="121" t="s">
        <v>3009</v>
      </c>
      <c r="G4309" s="98" t="str">
        <f>HYPERLINK("http://mirror.ff7data.com.ar/ff7/data/battle/battle.lgp/hmav.png","View Picture")</f>
        <v>View Picture</v>
      </c>
    </row>
    <row r="4310">
      <c r="A4310" s="55"/>
      <c r="B4310" s="119" t="s">
        <v>36082</v>
      </c>
      <c r="C4310" s="120" t="s">
        <v>3519</v>
      </c>
      <c r="D4310" s="33" t="s">
        <v>36076</v>
      </c>
      <c r="E4310" s="51" t="s">
        <v>858</v>
      </c>
      <c r="F4310" s="121" t="s">
        <v>3009</v>
      </c>
      <c r="G4310" s="98" t="str">
        <f>HYPERLINK("http://mirror.ff7data.com.ar/ff7/data/battle/battle.lgp/hmaw.png","View Picture")</f>
        <v>View Picture</v>
      </c>
    </row>
    <row r="4311">
      <c r="A4311" s="55"/>
      <c r="B4311" s="119" t="s">
        <v>36083</v>
      </c>
      <c r="C4311" s="120" t="s">
        <v>3671</v>
      </c>
      <c r="D4311" s="33" t="s">
        <v>36076</v>
      </c>
      <c r="E4311" s="51" t="s">
        <v>858</v>
      </c>
      <c r="F4311" s="121" t="s">
        <v>3009</v>
      </c>
      <c r="G4311" s="98" t="str">
        <f>HYPERLINK("http://mirror.ff7data.com.ar/ff7/data/battle/battle.lgp/hmax.png","View Picture")</f>
        <v>View Picture</v>
      </c>
    </row>
    <row r="4312">
      <c r="A4312" s="55"/>
      <c r="B4312" s="119" t="s">
        <v>36084</v>
      </c>
      <c r="C4312" s="120" t="s">
        <v>3519</v>
      </c>
      <c r="D4312" s="33" t="s">
        <v>36076</v>
      </c>
      <c r="E4312" s="51" t="s">
        <v>858</v>
      </c>
      <c r="F4312" s="121" t="s">
        <v>3009</v>
      </c>
      <c r="G4312" s="98" t="str">
        <f>HYPERLINK("http://mirror.ff7data.com.ar/ff7/data/battle/battle.lgp/hmay.png","View Picture")</f>
        <v>View Picture</v>
      </c>
    </row>
    <row r="4313">
      <c r="A4313" s="55"/>
      <c r="B4313" s="119" t="s">
        <v>36085</v>
      </c>
      <c r="C4313" s="120" t="s">
        <v>4167</v>
      </c>
      <c r="D4313" s="33" t="s">
        <v>36076</v>
      </c>
      <c r="E4313" s="51" t="s">
        <v>858</v>
      </c>
      <c r="F4313" s="121" t="s">
        <v>3009</v>
      </c>
      <c r="G4313" s="98" t="str">
        <f>HYPERLINK("http://mirror.ff7data.com.ar/ff7/data/battle/battle.lgp/hmbe.png","View Picture")</f>
        <v>View Picture</v>
      </c>
    </row>
    <row r="4314">
      <c r="A4314" s="55"/>
      <c r="B4314" s="119" t="s">
        <v>36086</v>
      </c>
      <c r="C4314" s="120" t="s">
        <v>3481</v>
      </c>
      <c r="D4314" s="33" t="s">
        <v>36076</v>
      </c>
      <c r="E4314" s="51" t="s">
        <v>858</v>
      </c>
      <c r="F4314" s="121" t="s">
        <v>3009</v>
      </c>
      <c r="G4314" s="98" t="str">
        <f>HYPERLINK("http://mirror.ff7data.com.ar/ff7/data/battle/battle.lgp/hmbk.png","View Picture")</f>
        <v>View Picture</v>
      </c>
    </row>
    <row r="4315">
      <c r="A4315" s="55"/>
      <c r="B4315" s="119" t="s">
        <v>36087</v>
      </c>
      <c r="C4315" s="120" t="s">
        <v>3671</v>
      </c>
      <c r="D4315" s="33" t="s">
        <v>36076</v>
      </c>
      <c r="E4315" s="51" t="s">
        <v>858</v>
      </c>
      <c r="F4315" s="121" t="s">
        <v>3009</v>
      </c>
      <c r="G4315" s="98" t="str">
        <f>HYPERLINK("http://mirror.ff7data.com.ar/ff7/data/battle/battle.lgp/hmbl.png","View Picture")</f>
        <v>View Picture</v>
      </c>
    </row>
    <row r="4316">
      <c r="A4316" s="55"/>
      <c r="B4316" s="119" t="s">
        <v>36088</v>
      </c>
      <c r="C4316" s="120" t="s">
        <v>3671</v>
      </c>
      <c r="D4316" s="33" t="s">
        <v>36076</v>
      </c>
      <c r="E4316" s="51" t="s">
        <v>858</v>
      </c>
      <c r="F4316" s="121" t="s">
        <v>3009</v>
      </c>
      <c r="G4316" s="98" t="str">
        <f>HYPERLINK("http://mirror.ff7data.com.ar/ff7/data/battle/battle.lgp/hmbm.png","View Picture")</f>
        <v>View Picture</v>
      </c>
    </row>
    <row r="4317">
      <c r="A4317" s="55"/>
      <c r="B4317" s="119" t="s">
        <v>36089</v>
      </c>
      <c r="C4317" s="120" t="s">
        <v>3519</v>
      </c>
      <c r="D4317" s="33" t="s">
        <v>36076</v>
      </c>
      <c r="E4317" s="51" t="s">
        <v>858</v>
      </c>
      <c r="F4317" s="121" t="s">
        <v>3009</v>
      </c>
      <c r="G4317" s="98" t="str">
        <f>HYPERLINK("http://mirror.ff7data.com.ar/ff7/data/battle/battle.lgp/hmbn.png","View Picture")</f>
        <v>View Picture</v>
      </c>
    </row>
    <row r="4318">
      <c r="A4318" s="55"/>
      <c r="B4318" s="119" t="s">
        <v>36090</v>
      </c>
      <c r="C4318" s="120" t="s">
        <v>3481</v>
      </c>
      <c r="D4318" s="33" t="s">
        <v>36076</v>
      </c>
      <c r="E4318" s="51" t="s">
        <v>858</v>
      </c>
      <c r="F4318" s="121" t="s">
        <v>3025</v>
      </c>
      <c r="H4318" s="46" t="s">
        <v>3002</v>
      </c>
    </row>
    <row r="4319">
      <c r="A4319" s="21"/>
      <c r="B4319" s="119" t="s">
        <v>36091</v>
      </c>
      <c r="C4319" s="120" t="s">
        <v>4846</v>
      </c>
      <c r="D4319" s="33" t="s">
        <v>36092</v>
      </c>
      <c r="E4319" s="51" t="s">
        <v>863</v>
      </c>
      <c r="F4319" s="121" t="s">
        <v>2971</v>
      </c>
      <c r="G4319" s="98" t="str">
        <f>HYPERLINK("http://mirror.ff7data.com.ar/ff7/data/battle/battle.lgp/hnaa.png","View Picture")</f>
        <v>View Picture</v>
      </c>
    </row>
    <row r="4320">
      <c r="A4320" s="55"/>
      <c r="B4320" s="119" t="s">
        <v>36093</v>
      </c>
      <c r="C4320" s="120" t="s">
        <v>4109</v>
      </c>
      <c r="D4320" s="33" t="s">
        <v>36094</v>
      </c>
      <c r="E4320" s="51" t="s">
        <v>863</v>
      </c>
      <c r="F4320" s="121" t="s">
        <v>2993</v>
      </c>
      <c r="H4320" s="46" t="s">
        <v>3002</v>
      </c>
    </row>
    <row r="4321">
      <c r="A4321" s="55"/>
      <c r="B4321" s="119" t="s">
        <v>36095</v>
      </c>
      <c r="C4321" s="120" t="s">
        <v>11962</v>
      </c>
      <c r="D4321" s="33" t="s">
        <v>36094</v>
      </c>
      <c r="E4321" s="51" t="s">
        <v>863</v>
      </c>
      <c r="F4321" s="121" t="s">
        <v>3009</v>
      </c>
      <c r="G4321" s="98" t="str">
        <f>HYPERLINK("http://mirror.ff7data.com.ar/ff7/data/battle/battle.lgp/hnam.png","View Picture")</f>
        <v>View Picture</v>
      </c>
    </row>
    <row r="4322">
      <c r="A4322" s="55"/>
      <c r="B4322" s="119" t="s">
        <v>36096</v>
      </c>
      <c r="C4322" s="120" t="s">
        <v>6029</v>
      </c>
      <c r="D4322" s="33" t="s">
        <v>36094</v>
      </c>
      <c r="E4322" s="51" t="s">
        <v>863</v>
      </c>
      <c r="F4322" s="121" t="s">
        <v>3009</v>
      </c>
      <c r="G4322" s="98" t="str">
        <f>HYPERLINK("http://mirror.ff7data.com.ar/ff7/data/battle/battle.lgp/hnao.png","View Picture")</f>
        <v>View Picture</v>
      </c>
    </row>
    <row r="4323">
      <c r="A4323" s="55"/>
      <c r="B4323" s="119" t="s">
        <v>36097</v>
      </c>
      <c r="C4323" s="120" t="s">
        <v>3412</v>
      </c>
      <c r="D4323" s="33" t="s">
        <v>36094</v>
      </c>
      <c r="E4323" s="51" t="s">
        <v>863</v>
      </c>
      <c r="F4323" s="121" t="s">
        <v>3009</v>
      </c>
      <c r="G4323" s="98" t="str">
        <f>HYPERLINK("http://mirror.ff7data.com.ar/ff7/data/battle/battle.lgp/hnap.png","View Picture")</f>
        <v>View Picture</v>
      </c>
    </row>
    <row r="4324">
      <c r="A4324" s="55"/>
      <c r="B4324" s="119" t="s">
        <v>36098</v>
      </c>
      <c r="C4324" s="120" t="s">
        <v>7165</v>
      </c>
      <c r="D4324" s="33" t="s">
        <v>36094</v>
      </c>
      <c r="E4324" s="51" t="s">
        <v>863</v>
      </c>
      <c r="F4324" s="121" t="s">
        <v>3009</v>
      </c>
      <c r="G4324" s="98" t="str">
        <f>HYPERLINK("http://mirror.ff7data.com.ar/ff7/data/battle/battle.lgp/hnar.png","View Picture")</f>
        <v>View Picture</v>
      </c>
    </row>
    <row r="4325">
      <c r="A4325" s="55"/>
      <c r="B4325" s="119" t="s">
        <v>36099</v>
      </c>
      <c r="C4325" s="120" t="s">
        <v>3749</v>
      </c>
      <c r="D4325" s="33" t="s">
        <v>36094</v>
      </c>
      <c r="E4325" s="51" t="s">
        <v>863</v>
      </c>
      <c r="F4325" s="121" t="s">
        <v>3009</v>
      </c>
      <c r="G4325" s="98" t="str">
        <f>HYPERLINK("http://mirror.ff7data.com.ar/ff7/data/battle/battle.lgp/hnas.png","View Picture")</f>
        <v>View Picture</v>
      </c>
    </row>
    <row r="4326">
      <c r="A4326" s="55"/>
      <c r="B4326" s="119" t="s">
        <v>36100</v>
      </c>
      <c r="C4326" s="120" t="s">
        <v>7165</v>
      </c>
      <c r="D4326" s="33" t="s">
        <v>36094</v>
      </c>
      <c r="E4326" s="51" t="s">
        <v>863</v>
      </c>
      <c r="F4326" s="121" t="s">
        <v>3009</v>
      </c>
      <c r="G4326" s="98" t="str">
        <f>HYPERLINK("http://mirror.ff7data.com.ar/ff7/data/battle/battle.lgp/hnau.png","View Picture")</f>
        <v>View Picture</v>
      </c>
    </row>
    <row r="4327">
      <c r="A4327" s="55"/>
      <c r="B4327" s="119" t="s">
        <v>36101</v>
      </c>
      <c r="C4327" s="120" t="s">
        <v>3749</v>
      </c>
      <c r="D4327" s="33" t="s">
        <v>36094</v>
      </c>
      <c r="E4327" s="51" t="s">
        <v>863</v>
      </c>
      <c r="F4327" s="121" t="s">
        <v>3009</v>
      </c>
      <c r="G4327" s="98" t="str">
        <f>HYPERLINK("http://mirror.ff7data.com.ar/ff7/data/battle/battle.lgp/hnav.png","View Picture")</f>
        <v>View Picture</v>
      </c>
    </row>
    <row r="4328">
      <c r="A4328" s="55"/>
      <c r="B4328" s="119" t="s">
        <v>36102</v>
      </c>
      <c r="C4328" s="120" t="s">
        <v>7165</v>
      </c>
      <c r="D4328" s="33" t="s">
        <v>36094</v>
      </c>
      <c r="E4328" s="51" t="s">
        <v>863</v>
      </c>
      <c r="F4328" s="121" t="s">
        <v>3009</v>
      </c>
      <c r="G4328" s="98" t="str">
        <f>HYPERLINK("http://mirror.ff7data.com.ar/ff7/data/battle/battle.lgp/hnax.png","View Picture")</f>
        <v>View Picture</v>
      </c>
    </row>
    <row r="4329">
      <c r="A4329" s="55"/>
      <c r="B4329" s="119" t="s">
        <v>36103</v>
      </c>
      <c r="C4329" s="120" t="s">
        <v>3749</v>
      </c>
      <c r="D4329" s="33" t="s">
        <v>36094</v>
      </c>
      <c r="E4329" s="51" t="s">
        <v>863</v>
      </c>
      <c r="F4329" s="121" t="s">
        <v>3009</v>
      </c>
      <c r="G4329" s="98" t="str">
        <f>HYPERLINK("http://mirror.ff7data.com.ar/ff7/data/battle/battle.lgp/hnay.png","View Picture")</f>
        <v>View Picture</v>
      </c>
    </row>
    <row r="4330">
      <c r="A4330" s="55"/>
      <c r="B4330" s="119" t="s">
        <v>36104</v>
      </c>
      <c r="C4330" s="120" t="s">
        <v>4372</v>
      </c>
      <c r="D4330" s="33" t="s">
        <v>36094</v>
      </c>
      <c r="E4330" s="51" t="s">
        <v>863</v>
      </c>
      <c r="F4330" s="121" t="s">
        <v>3009</v>
      </c>
      <c r="G4330" s="98" t="str">
        <f>HYPERLINK("http://mirror.ff7data.com.ar/ff7/data/battle/battle.lgp/hnba.png","View Picture")</f>
        <v>View Picture</v>
      </c>
    </row>
    <row r="4331">
      <c r="A4331" s="55"/>
      <c r="B4331" s="119" t="s">
        <v>36105</v>
      </c>
      <c r="C4331" s="120" t="s">
        <v>3412</v>
      </c>
      <c r="D4331" s="33" t="s">
        <v>36094</v>
      </c>
      <c r="E4331" s="51" t="s">
        <v>863</v>
      </c>
      <c r="F4331" s="121" t="s">
        <v>3009</v>
      </c>
      <c r="G4331" s="98" t="str">
        <f>HYPERLINK("http://mirror.ff7data.com.ar/ff7/data/battle/battle.lgp/hnbb.png","View Picture")</f>
        <v>View Picture</v>
      </c>
    </row>
    <row r="4332">
      <c r="A4332" s="55"/>
      <c r="B4332" s="119" t="s">
        <v>36106</v>
      </c>
      <c r="C4332" s="120" t="s">
        <v>3658</v>
      </c>
      <c r="D4332" s="33" t="s">
        <v>36094</v>
      </c>
      <c r="E4332" s="51" t="s">
        <v>863</v>
      </c>
      <c r="F4332" s="121" t="s">
        <v>3009</v>
      </c>
      <c r="G4332" s="98" t="str">
        <f>HYPERLINK("http://mirror.ff7data.com.ar/ff7/data/battle/battle.lgp/hnbd.png","View Picture")</f>
        <v>View Picture</v>
      </c>
    </row>
    <row r="4333">
      <c r="A4333" s="55"/>
      <c r="B4333" s="119" t="s">
        <v>36107</v>
      </c>
      <c r="C4333" s="120" t="s">
        <v>3749</v>
      </c>
      <c r="D4333" s="33" t="s">
        <v>36094</v>
      </c>
      <c r="E4333" s="51" t="s">
        <v>863</v>
      </c>
      <c r="F4333" s="121" t="s">
        <v>3009</v>
      </c>
      <c r="G4333" s="98" t="str">
        <f>HYPERLINK("http://mirror.ff7data.com.ar/ff7/data/battle/battle.lgp/hnbe.png","View Picture")</f>
        <v>View Picture</v>
      </c>
    </row>
    <row r="4334">
      <c r="A4334" s="55"/>
      <c r="B4334" s="119" t="s">
        <v>36108</v>
      </c>
      <c r="C4334" s="120" t="s">
        <v>3842</v>
      </c>
      <c r="D4334" s="33" t="s">
        <v>36094</v>
      </c>
      <c r="E4334" s="51" t="s">
        <v>863</v>
      </c>
      <c r="F4334" s="121" t="s">
        <v>3009</v>
      </c>
      <c r="G4334" s="98" t="str">
        <f>HYPERLINK("http://mirror.ff7data.com.ar/ff7/data/battle/battle.lgp/hnbg.png","View Picture")</f>
        <v>View Picture</v>
      </c>
    </row>
    <row r="4335">
      <c r="A4335" s="55"/>
      <c r="B4335" s="119" t="s">
        <v>36109</v>
      </c>
      <c r="C4335" s="120" t="s">
        <v>3749</v>
      </c>
      <c r="D4335" s="33" t="s">
        <v>36094</v>
      </c>
      <c r="E4335" s="51" t="s">
        <v>863</v>
      </c>
      <c r="F4335" s="121" t="s">
        <v>3009</v>
      </c>
      <c r="G4335" s="98" t="str">
        <f>HYPERLINK("http://mirror.ff7data.com.ar/ff7/data/battle/battle.lgp/hnbh.png","View Picture")</f>
        <v>View Picture</v>
      </c>
    </row>
    <row r="4336">
      <c r="A4336" s="55"/>
      <c r="B4336" s="119" t="s">
        <v>36110</v>
      </c>
      <c r="C4336" s="120" t="s">
        <v>7165</v>
      </c>
      <c r="D4336" s="33" t="s">
        <v>36094</v>
      </c>
      <c r="E4336" s="51" t="s">
        <v>863</v>
      </c>
      <c r="F4336" s="121" t="s">
        <v>3009</v>
      </c>
      <c r="G4336" s="98" t="str">
        <f>HYPERLINK("http://mirror.ff7data.com.ar/ff7/data/battle/battle.lgp/hnbj.png","View Picture")</f>
        <v>View Picture</v>
      </c>
    </row>
    <row r="4337">
      <c r="A4337" s="55"/>
      <c r="B4337" s="119" t="s">
        <v>36111</v>
      </c>
      <c r="C4337" s="120" t="s">
        <v>3749</v>
      </c>
      <c r="D4337" s="33" t="s">
        <v>36094</v>
      </c>
      <c r="E4337" s="51" t="s">
        <v>863</v>
      </c>
      <c r="F4337" s="121" t="s">
        <v>3009</v>
      </c>
      <c r="G4337" s="98" t="str">
        <f>HYPERLINK("http://mirror.ff7data.com.ar/ff7/data/battle/battle.lgp/hnbk.png","View Picture")</f>
        <v>View Picture</v>
      </c>
    </row>
    <row r="4338">
      <c r="A4338" s="55"/>
      <c r="B4338" s="119" t="s">
        <v>36112</v>
      </c>
      <c r="C4338" s="120" t="s">
        <v>36113</v>
      </c>
      <c r="D4338" s="33" t="s">
        <v>36094</v>
      </c>
      <c r="E4338" s="51" t="s">
        <v>863</v>
      </c>
      <c r="F4338" s="121" t="s">
        <v>3009</v>
      </c>
      <c r="G4338" s="98" t="str">
        <f>HYPERLINK("http://mirror.ff7data.com.ar/ff7/data/battle/battle.lgp/hnbm.png","View Picture")</f>
        <v>View Picture</v>
      </c>
    </row>
    <row r="4339">
      <c r="A4339" s="55"/>
      <c r="B4339" s="119" t="s">
        <v>36114</v>
      </c>
      <c r="C4339" s="120" t="s">
        <v>4841</v>
      </c>
      <c r="D4339" s="33" t="s">
        <v>36094</v>
      </c>
      <c r="E4339" s="51" t="s">
        <v>863</v>
      </c>
      <c r="F4339" s="121" t="s">
        <v>3009</v>
      </c>
      <c r="G4339" s="98" t="str">
        <f>HYPERLINK("http://mirror.ff7data.com.ar/ff7/data/battle/battle.lgp/hnbo.png","View Picture")</f>
        <v>View Picture</v>
      </c>
    </row>
    <row r="4340">
      <c r="A4340" s="55"/>
      <c r="B4340" s="119" t="s">
        <v>36115</v>
      </c>
      <c r="C4340" s="120" t="s">
        <v>4046</v>
      </c>
      <c r="D4340" s="33" t="s">
        <v>36094</v>
      </c>
      <c r="E4340" s="51" t="s">
        <v>863</v>
      </c>
      <c r="F4340" s="121" t="s">
        <v>3009</v>
      </c>
      <c r="G4340" s="98" t="str">
        <f>HYPERLINK("http://mirror.ff7data.com.ar/ff7/data/battle/battle.lgp/hnbp.png","View Picture")</f>
        <v>View Picture</v>
      </c>
    </row>
    <row r="4341">
      <c r="A4341" s="55"/>
      <c r="B4341" s="119" t="s">
        <v>36116</v>
      </c>
      <c r="C4341" s="120" t="s">
        <v>6010</v>
      </c>
      <c r="D4341" s="33" t="s">
        <v>36094</v>
      </c>
      <c r="E4341" s="51" t="s">
        <v>863</v>
      </c>
      <c r="F4341" s="121" t="s">
        <v>3009</v>
      </c>
      <c r="G4341" s="98" t="str">
        <f>HYPERLINK("http://mirror.ff7data.com.ar/ff7/data/battle/battle.lgp/hnbq.png","View Picture")</f>
        <v>View Picture</v>
      </c>
    </row>
    <row r="4342">
      <c r="A4342" s="55"/>
      <c r="B4342" s="119" t="s">
        <v>36117</v>
      </c>
      <c r="C4342" s="120" t="s">
        <v>9290</v>
      </c>
      <c r="D4342" s="33" t="s">
        <v>36094</v>
      </c>
      <c r="E4342" s="51" t="s">
        <v>863</v>
      </c>
      <c r="F4342" s="121" t="s">
        <v>3009</v>
      </c>
      <c r="G4342" s="98" t="str">
        <f>HYPERLINK("http://mirror.ff7data.com.ar/ff7/data/battle/battle.lgp/hnbr.png","View Picture")</f>
        <v>View Picture</v>
      </c>
    </row>
    <row r="4343">
      <c r="A4343" s="55"/>
      <c r="B4343" s="119" t="s">
        <v>36118</v>
      </c>
      <c r="C4343" s="120" t="s">
        <v>4046</v>
      </c>
      <c r="D4343" s="33" t="s">
        <v>36094</v>
      </c>
      <c r="E4343" s="51" t="s">
        <v>863</v>
      </c>
      <c r="F4343" s="121" t="s">
        <v>3025</v>
      </c>
      <c r="H4343" s="46" t="s">
        <v>3002</v>
      </c>
    </row>
    <row r="4344">
      <c r="A4344" s="21"/>
      <c r="B4344" s="119" t="s">
        <v>36119</v>
      </c>
      <c r="C4344" s="120" t="s">
        <v>4196</v>
      </c>
      <c r="D4344" s="33" t="s">
        <v>36120</v>
      </c>
      <c r="E4344" s="147" t="s">
        <v>868</v>
      </c>
      <c r="F4344" s="121" t="s">
        <v>2971</v>
      </c>
      <c r="G4344" s="98" t="str">
        <f>HYPERLINK("http://mirror.ff7data.com.ar/ff7/data/battle/battle.lgp/hoaa.png","View Picture")</f>
        <v>View Picture</v>
      </c>
      <c r="H4344" s="46" t="s">
        <v>36121</v>
      </c>
    </row>
    <row r="4345">
      <c r="A4345" s="55"/>
      <c r="B4345" s="119" t="s">
        <v>36122</v>
      </c>
      <c r="C4345" s="120" t="s">
        <v>8016</v>
      </c>
      <c r="D4345" s="33" t="s">
        <v>36123</v>
      </c>
      <c r="E4345" s="147" t="s">
        <v>868</v>
      </c>
      <c r="F4345" s="121" t="s">
        <v>2993</v>
      </c>
      <c r="H4345" s="46" t="s">
        <v>3002</v>
      </c>
    </row>
    <row r="4346">
      <c r="A4346" s="55"/>
      <c r="B4346" s="119" t="s">
        <v>36124</v>
      </c>
      <c r="C4346" s="120" t="s">
        <v>4086</v>
      </c>
      <c r="D4346" s="33" t="s">
        <v>36123</v>
      </c>
      <c r="E4346" s="147" t="s">
        <v>868</v>
      </c>
      <c r="F4346" s="121" t="s">
        <v>3009</v>
      </c>
      <c r="G4346" s="98" t="str">
        <f>HYPERLINK("http://mirror.ff7data.com.ar/ff7/data/battle/battle.lgp/hoam.png","View Picture")</f>
        <v>View Picture</v>
      </c>
    </row>
    <row r="4347">
      <c r="A4347" s="55"/>
      <c r="B4347" s="119" t="s">
        <v>36125</v>
      </c>
      <c r="C4347" s="120" t="s">
        <v>21493</v>
      </c>
      <c r="D4347" s="33" t="s">
        <v>36123</v>
      </c>
      <c r="E4347" s="147" t="s">
        <v>868</v>
      </c>
      <c r="F4347" s="121" t="s">
        <v>3009</v>
      </c>
      <c r="G4347" s="98" t="str">
        <f>HYPERLINK("http://mirror.ff7data.com.ar/ff7/data/battle/battle.lgp/hoan.png","View Picture")</f>
        <v>View Picture</v>
      </c>
    </row>
    <row r="4348">
      <c r="A4348" s="55"/>
      <c r="B4348" s="119" t="s">
        <v>36126</v>
      </c>
      <c r="C4348" s="120" t="s">
        <v>6010</v>
      </c>
      <c r="D4348" s="33" t="s">
        <v>36123</v>
      </c>
      <c r="E4348" s="147" t="s">
        <v>868</v>
      </c>
      <c r="F4348" s="121" t="s">
        <v>3009</v>
      </c>
      <c r="G4348" s="98" t="str">
        <f>HYPERLINK("http://mirror.ff7data.com.ar/ff7/data/battle/battle.lgp/hoap.png","View Picture")</f>
        <v>View Picture</v>
      </c>
    </row>
    <row r="4349">
      <c r="A4349" s="55"/>
      <c r="B4349" s="119" t="s">
        <v>36127</v>
      </c>
      <c r="C4349" s="120" t="s">
        <v>5859</v>
      </c>
      <c r="D4349" s="33" t="s">
        <v>36123</v>
      </c>
      <c r="E4349" s="147" t="s">
        <v>868</v>
      </c>
      <c r="F4349" s="121" t="s">
        <v>3009</v>
      </c>
      <c r="G4349" s="98" t="str">
        <f>HYPERLINK("http://mirror.ff7data.com.ar/ff7/data/battle/battle.lgp/hoax.png","View Picture")</f>
        <v>View Picture</v>
      </c>
    </row>
    <row r="4350">
      <c r="A4350" s="55"/>
      <c r="B4350" s="119" t="s">
        <v>36128</v>
      </c>
      <c r="C4350" s="120" t="s">
        <v>4357</v>
      </c>
      <c r="D4350" s="33" t="s">
        <v>36123</v>
      </c>
      <c r="E4350" s="147" t="s">
        <v>868</v>
      </c>
      <c r="F4350" s="121" t="s">
        <v>3009</v>
      </c>
      <c r="G4350" s="98" t="str">
        <f>HYPERLINK("http://mirror.ff7data.com.ar/ff7/data/battle/battle.lgp/hobb.png","View Picture")</f>
        <v>View Picture</v>
      </c>
    </row>
    <row r="4351">
      <c r="A4351" s="55"/>
      <c r="B4351" s="119" t="s">
        <v>36129</v>
      </c>
      <c r="C4351" s="120" t="s">
        <v>4732</v>
      </c>
      <c r="D4351" s="33" t="s">
        <v>36123</v>
      </c>
      <c r="E4351" s="147" t="s">
        <v>868</v>
      </c>
      <c r="F4351" s="121" t="s">
        <v>3009</v>
      </c>
      <c r="G4351" s="98" t="str">
        <f>HYPERLINK("http://mirror.ff7data.com.ar/ff7/data/battle/battle.lgp/hobc.png","View Picture")</f>
        <v>View Picture</v>
      </c>
    </row>
    <row r="4352">
      <c r="A4352" s="55"/>
      <c r="B4352" s="119" t="s">
        <v>36130</v>
      </c>
      <c r="C4352" s="120" t="s">
        <v>5419</v>
      </c>
      <c r="D4352" s="33" t="s">
        <v>36123</v>
      </c>
      <c r="E4352" s="147" t="s">
        <v>868</v>
      </c>
      <c r="F4352" s="121" t="s">
        <v>3009</v>
      </c>
      <c r="G4352" s="98" t="str">
        <f>HYPERLINK("http://mirror.ff7data.com.ar/ff7/data/battle/battle.lgp/hobd.png","View Picture")</f>
        <v>View Picture</v>
      </c>
    </row>
    <row r="4353">
      <c r="A4353" s="55"/>
      <c r="B4353" s="119" t="s">
        <v>36131</v>
      </c>
      <c r="C4353" s="120" t="s">
        <v>4357</v>
      </c>
      <c r="D4353" s="33" t="s">
        <v>36123</v>
      </c>
      <c r="E4353" s="147" t="s">
        <v>868</v>
      </c>
      <c r="F4353" s="121" t="s">
        <v>3009</v>
      </c>
      <c r="G4353" s="98" t="str">
        <f>HYPERLINK("http://mirror.ff7data.com.ar/ff7/data/battle/battle.lgp/hobj.png","View Picture")</f>
        <v>View Picture</v>
      </c>
    </row>
    <row r="4354">
      <c r="A4354" s="55"/>
      <c r="B4354" s="119" t="s">
        <v>36132</v>
      </c>
      <c r="C4354" s="120" t="s">
        <v>10955</v>
      </c>
      <c r="D4354" s="33" t="s">
        <v>36123</v>
      </c>
      <c r="E4354" s="147" t="s">
        <v>868</v>
      </c>
      <c r="F4354" s="121" t="s">
        <v>3025</v>
      </c>
      <c r="H4354" s="46" t="s">
        <v>3002</v>
      </c>
    </row>
    <row r="4355">
      <c r="A4355" s="21"/>
      <c r="B4355" s="119" t="s">
        <v>36133</v>
      </c>
      <c r="C4355" s="120" t="s">
        <v>3007</v>
      </c>
      <c r="D4355" s="33" t="s">
        <v>36134</v>
      </c>
      <c r="E4355" s="51" t="s">
        <v>875</v>
      </c>
      <c r="F4355" s="121" t="s">
        <v>2971</v>
      </c>
      <c r="G4355" s="98" t="str">
        <f>HYPERLINK("http://mirror.ff7data.com.ar/ff7/data/battle/battle.lgp/hpaa.png","View Picture")</f>
        <v>View Picture</v>
      </c>
    </row>
    <row r="4356">
      <c r="A4356" s="55"/>
      <c r="B4356" s="119" t="s">
        <v>36135</v>
      </c>
      <c r="C4356" s="120" t="s">
        <v>7375</v>
      </c>
      <c r="D4356" s="33" t="s">
        <v>36136</v>
      </c>
      <c r="E4356" s="51" t="s">
        <v>875</v>
      </c>
      <c r="F4356" s="121" t="s">
        <v>2993</v>
      </c>
      <c r="H4356" s="46" t="s">
        <v>3002</v>
      </c>
    </row>
    <row r="4357">
      <c r="A4357" s="55"/>
      <c r="B4357" s="119" t="s">
        <v>36137</v>
      </c>
      <c r="C4357" s="120" t="s">
        <v>4396</v>
      </c>
      <c r="D4357" s="33" t="s">
        <v>36136</v>
      </c>
      <c r="E4357" s="51" t="s">
        <v>875</v>
      </c>
      <c r="F4357" s="121" t="s">
        <v>3009</v>
      </c>
      <c r="G4357" s="98" t="str">
        <f>HYPERLINK("http://mirror.ff7data.com.ar/ff7/data/battle/battle.lgp/hpam.png","View Picture")</f>
        <v>View Picture</v>
      </c>
    </row>
    <row r="4358">
      <c r="A4358" s="55"/>
      <c r="B4358" s="119" t="s">
        <v>36138</v>
      </c>
      <c r="C4358" s="120" t="s">
        <v>4228</v>
      </c>
      <c r="D4358" s="33" t="s">
        <v>36136</v>
      </c>
      <c r="E4358" s="51" t="s">
        <v>875</v>
      </c>
      <c r="F4358" s="121" t="s">
        <v>3009</v>
      </c>
      <c r="G4358" s="98" t="str">
        <f>HYPERLINK("http://mirror.ff7data.com.ar/ff7/data/battle/battle.lgp/hpan.png","View Picture")</f>
        <v>View Picture</v>
      </c>
    </row>
    <row r="4359">
      <c r="A4359" s="55"/>
      <c r="B4359" s="119" t="s">
        <v>36139</v>
      </c>
      <c r="C4359" s="120" t="s">
        <v>7301</v>
      </c>
      <c r="D4359" s="33" t="s">
        <v>36136</v>
      </c>
      <c r="E4359" s="51" t="s">
        <v>875</v>
      </c>
      <c r="F4359" s="121" t="s">
        <v>3009</v>
      </c>
      <c r="G4359" s="98" t="str">
        <f>HYPERLINK("http://mirror.ff7data.com.ar/ff7/data/battle/battle.lgp/hpar.png","View Picture")</f>
        <v>View Picture</v>
      </c>
    </row>
    <row r="4360">
      <c r="A4360" s="55"/>
      <c r="B4360" s="119" t="s">
        <v>36140</v>
      </c>
      <c r="C4360" s="120" t="s">
        <v>4264</v>
      </c>
      <c r="D4360" s="33" t="s">
        <v>36136</v>
      </c>
      <c r="E4360" s="51" t="s">
        <v>875</v>
      </c>
      <c r="F4360" s="121" t="s">
        <v>3009</v>
      </c>
      <c r="G4360" s="98" t="str">
        <f>HYPERLINK("http://mirror.ff7data.com.ar/ff7/data/battle/battle.lgp/hpas.png","View Picture")</f>
        <v>View Picture</v>
      </c>
    </row>
    <row r="4361">
      <c r="A4361" s="55"/>
      <c r="B4361" s="119" t="s">
        <v>36141</v>
      </c>
      <c r="C4361" s="120" t="s">
        <v>3658</v>
      </c>
      <c r="D4361" s="33" t="s">
        <v>36136</v>
      </c>
      <c r="E4361" s="51" t="s">
        <v>875</v>
      </c>
      <c r="F4361" s="121" t="s">
        <v>3009</v>
      </c>
      <c r="G4361" s="98" t="str">
        <f>HYPERLINK("http://mirror.ff7data.com.ar/ff7/data/battle/battle.lgp/hpat.png","View Picture")</f>
        <v>View Picture</v>
      </c>
    </row>
    <row r="4362">
      <c r="A4362" s="55"/>
      <c r="B4362" s="119" t="s">
        <v>36142</v>
      </c>
      <c r="C4362" s="120" t="s">
        <v>3343</v>
      </c>
      <c r="D4362" s="33" t="s">
        <v>36136</v>
      </c>
      <c r="E4362" s="51" t="s">
        <v>875</v>
      </c>
      <c r="F4362" s="121" t="s">
        <v>3009</v>
      </c>
      <c r="G4362" s="98" t="str">
        <f>HYPERLINK("http://mirror.ff7data.com.ar/ff7/data/battle/battle.lgp/hpau.png","View Picture")</f>
        <v>View Picture</v>
      </c>
    </row>
    <row r="4363">
      <c r="A4363" s="55"/>
      <c r="B4363" s="119" t="s">
        <v>36143</v>
      </c>
      <c r="C4363" s="120" t="s">
        <v>7165</v>
      </c>
      <c r="D4363" s="33" t="s">
        <v>36136</v>
      </c>
      <c r="E4363" s="51" t="s">
        <v>875</v>
      </c>
      <c r="F4363" s="121" t="s">
        <v>3009</v>
      </c>
      <c r="G4363" s="98" t="str">
        <f>HYPERLINK("http://mirror.ff7data.com.ar/ff7/data/battle/battle.lgp/hpav.png","View Picture")</f>
        <v>View Picture</v>
      </c>
    </row>
    <row r="4364">
      <c r="A4364" s="55"/>
      <c r="B4364" s="119" t="s">
        <v>36144</v>
      </c>
      <c r="C4364" s="120" t="s">
        <v>3573</v>
      </c>
      <c r="D4364" s="33" t="s">
        <v>36136</v>
      </c>
      <c r="E4364" s="51" t="s">
        <v>875</v>
      </c>
      <c r="F4364" s="121" t="s">
        <v>3009</v>
      </c>
      <c r="G4364" s="98" t="str">
        <f>HYPERLINK("http://mirror.ff7data.com.ar/ff7/data/battle/battle.lgp/hpaw.png","View Picture")</f>
        <v>View Picture</v>
      </c>
    </row>
    <row r="4365">
      <c r="A4365" s="55"/>
      <c r="B4365" s="119" t="s">
        <v>36145</v>
      </c>
      <c r="C4365" s="120" t="s">
        <v>4288</v>
      </c>
      <c r="D4365" s="33" t="s">
        <v>36136</v>
      </c>
      <c r="E4365" s="51" t="s">
        <v>875</v>
      </c>
      <c r="F4365" s="121" t="s">
        <v>3009</v>
      </c>
      <c r="G4365" s="98" t="str">
        <f>HYPERLINK("http://mirror.ff7data.com.ar/ff7/data/battle/battle.lgp/hpay.png","View Picture")</f>
        <v>View Picture</v>
      </c>
    </row>
    <row r="4366">
      <c r="A4366" s="55"/>
      <c r="B4366" s="119" t="s">
        <v>36146</v>
      </c>
      <c r="C4366" s="120" t="s">
        <v>4288</v>
      </c>
      <c r="D4366" s="33" t="s">
        <v>36136</v>
      </c>
      <c r="E4366" s="51" t="s">
        <v>875</v>
      </c>
      <c r="F4366" s="121" t="s">
        <v>3009</v>
      </c>
      <c r="G4366" s="98" t="str">
        <f>HYPERLINK("http://mirror.ff7data.com.ar/ff7/data/battle/battle.lgp/hpaz.png","View Picture")</f>
        <v>View Picture</v>
      </c>
    </row>
    <row r="4367">
      <c r="A4367" s="55"/>
      <c r="B4367" s="119" t="s">
        <v>36147</v>
      </c>
      <c r="C4367" s="120" t="s">
        <v>4288</v>
      </c>
      <c r="D4367" s="33" t="s">
        <v>36136</v>
      </c>
      <c r="E4367" s="51" t="s">
        <v>875</v>
      </c>
      <c r="F4367" s="121" t="s">
        <v>3009</v>
      </c>
      <c r="G4367" s="98" t="str">
        <f>HYPERLINK("http://mirror.ff7data.com.ar/ff7/data/battle/battle.lgp/hpba.png","View Picture")</f>
        <v>View Picture</v>
      </c>
    </row>
    <row r="4368">
      <c r="A4368" s="55"/>
      <c r="B4368" s="119" t="s">
        <v>36148</v>
      </c>
      <c r="C4368" s="120" t="s">
        <v>4439</v>
      </c>
      <c r="D4368" s="33" t="s">
        <v>36136</v>
      </c>
      <c r="E4368" s="51" t="s">
        <v>875</v>
      </c>
      <c r="F4368" s="121" t="s">
        <v>3009</v>
      </c>
      <c r="G4368" s="98" t="str">
        <f>HYPERLINK("http://mirror.ff7data.com.ar/ff7/data/battle/battle.lgp/hpbb.png","View Picture")</f>
        <v>View Picture</v>
      </c>
    </row>
    <row r="4369">
      <c r="A4369" s="55"/>
      <c r="B4369" s="119" t="s">
        <v>36149</v>
      </c>
      <c r="C4369" s="120" t="s">
        <v>3445</v>
      </c>
      <c r="D4369" s="33" t="s">
        <v>36136</v>
      </c>
      <c r="E4369" s="51" t="s">
        <v>875</v>
      </c>
      <c r="F4369" s="121" t="s">
        <v>3009</v>
      </c>
      <c r="G4369" s="98" t="str">
        <f>HYPERLINK("http://mirror.ff7data.com.ar/ff7/data/battle/battle.lgp/hpbc.png","View Picture")</f>
        <v>View Picture</v>
      </c>
    </row>
    <row r="4370">
      <c r="A4370" s="55"/>
      <c r="B4370" s="119" t="s">
        <v>36150</v>
      </c>
      <c r="C4370" s="120" t="s">
        <v>7301</v>
      </c>
      <c r="D4370" s="33" t="s">
        <v>36136</v>
      </c>
      <c r="E4370" s="51" t="s">
        <v>875</v>
      </c>
      <c r="F4370" s="121" t="s">
        <v>3009</v>
      </c>
      <c r="G4370" s="98" t="str">
        <f>HYPERLINK("http://mirror.ff7data.com.ar/ff7/data/battle/battle.lgp/hpbe.png","View Picture")</f>
        <v>View Picture</v>
      </c>
    </row>
    <row r="4371">
      <c r="A4371" s="55"/>
      <c r="B4371" s="119" t="s">
        <v>36151</v>
      </c>
      <c r="C4371" s="120" t="s">
        <v>4264</v>
      </c>
      <c r="D4371" s="33" t="s">
        <v>36136</v>
      </c>
      <c r="E4371" s="51" t="s">
        <v>875</v>
      </c>
      <c r="F4371" s="121" t="s">
        <v>3009</v>
      </c>
      <c r="G4371" s="98" t="str">
        <f>HYPERLINK("http://mirror.ff7data.com.ar/ff7/data/battle/battle.lgp/hpbf.png","View Picture")</f>
        <v>View Picture</v>
      </c>
    </row>
    <row r="4372">
      <c r="A4372" s="55"/>
      <c r="B4372" s="119" t="s">
        <v>36152</v>
      </c>
      <c r="C4372" s="120" t="s">
        <v>3658</v>
      </c>
      <c r="D4372" s="33" t="s">
        <v>36136</v>
      </c>
      <c r="E4372" s="51" t="s">
        <v>875</v>
      </c>
      <c r="F4372" s="121" t="s">
        <v>3009</v>
      </c>
      <c r="G4372" s="98" t="str">
        <f>HYPERLINK("http://mirror.ff7data.com.ar/ff7/data/battle/battle.lgp/hpbg.png","View Picture")</f>
        <v>View Picture</v>
      </c>
    </row>
    <row r="4373">
      <c r="A4373" s="55"/>
      <c r="B4373" s="119" t="s">
        <v>36153</v>
      </c>
      <c r="C4373" s="120" t="s">
        <v>3343</v>
      </c>
      <c r="D4373" s="33" t="s">
        <v>36136</v>
      </c>
      <c r="E4373" s="51" t="s">
        <v>875</v>
      </c>
      <c r="F4373" s="121" t="s">
        <v>3009</v>
      </c>
      <c r="G4373" s="98" t="str">
        <f>HYPERLINK("http://mirror.ff7data.com.ar/ff7/data/battle/battle.lgp/hpbh.png","View Picture")</f>
        <v>View Picture</v>
      </c>
    </row>
    <row r="4374">
      <c r="A4374" s="55"/>
      <c r="B4374" s="119" t="s">
        <v>36154</v>
      </c>
      <c r="C4374" s="120" t="s">
        <v>5891</v>
      </c>
      <c r="D4374" s="33" t="s">
        <v>36136</v>
      </c>
      <c r="E4374" s="51" t="s">
        <v>875</v>
      </c>
      <c r="F4374" s="121" t="s">
        <v>3009</v>
      </c>
      <c r="G4374" s="98" t="str">
        <f>HYPERLINK("http://mirror.ff7data.com.ar/ff7/data/battle/battle.lgp/hpbj.png","View Picture")</f>
        <v>View Picture</v>
      </c>
    </row>
    <row r="4375">
      <c r="A4375" s="55"/>
      <c r="B4375" s="119" t="s">
        <v>36155</v>
      </c>
      <c r="C4375" s="120" t="s">
        <v>4719</v>
      </c>
      <c r="D4375" s="33" t="s">
        <v>36136</v>
      </c>
      <c r="E4375" s="51" t="s">
        <v>875</v>
      </c>
      <c r="F4375" s="121" t="s">
        <v>3009</v>
      </c>
      <c r="G4375" s="98" t="str">
        <f>HYPERLINK("http://mirror.ff7data.com.ar/ff7/data/battle/battle.lgp/hpbk.png","View Picture")</f>
        <v>View Picture</v>
      </c>
    </row>
    <row r="4376">
      <c r="A4376" s="55"/>
      <c r="B4376" s="119" t="s">
        <v>36156</v>
      </c>
      <c r="C4376" s="120" t="s">
        <v>5203</v>
      </c>
      <c r="D4376" s="33" t="s">
        <v>36136</v>
      </c>
      <c r="E4376" s="51" t="s">
        <v>875</v>
      </c>
      <c r="F4376" s="121" t="s">
        <v>3009</v>
      </c>
      <c r="G4376" s="98" t="str">
        <f>HYPERLINK("http://mirror.ff7data.com.ar/ff7/data/battle/battle.lgp/hpbl.png","View Picture")</f>
        <v>View Picture</v>
      </c>
    </row>
    <row r="4377">
      <c r="A4377" s="55"/>
      <c r="B4377" s="119" t="s">
        <v>36157</v>
      </c>
      <c r="C4377" s="120" t="s">
        <v>10078</v>
      </c>
      <c r="D4377" s="33" t="s">
        <v>36136</v>
      </c>
      <c r="E4377" s="51" t="s">
        <v>875</v>
      </c>
      <c r="F4377" s="121" t="s">
        <v>3009</v>
      </c>
      <c r="G4377" s="98" t="str">
        <f>HYPERLINK("http://mirror.ff7data.com.ar/ff7/data/battle/battle.lgp/hpbm.png","View Picture")</f>
        <v>View Picture</v>
      </c>
    </row>
    <row r="4378">
      <c r="A4378" s="55"/>
      <c r="B4378" s="119" t="s">
        <v>36158</v>
      </c>
      <c r="C4378" s="120" t="s">
        <v>26381</v>
      </c>
      <c r="D4378" s="33" t="s">
        <v>36136</v>
      </c>
      <c r="E4378" s="51" t="s">
        <v>875</v>
      </c>
      <c r="F4378" s="121" t="s">
        <v>3009</v>
      </c>
      <c r="G4378" s="98" t="str">
        <f>HYPERLINK("http://mirror.ff7data.com.ar/ff7/data/battle/battle.lgp/hpbo.png","View Picture")</f>
        <v>View Picture</v>
      </c>
    </row>
    <row r="4379">
      <c r="A4379" s="55"/>
      <c r="B4379" s="119" t="s">
        <v>36159</v>
      </c>
      <c r="C4379" s="120" t="s">
        <v>26381</v>
      </c>
      <c r="D4379" s="33" t="s">
        <v>36136</v>
      </c>
      <c r="E4379" s="51" t="s">
        <v>875</v>
      </c>
      <c r="F4379" s="121" t="s">
        <v>3009</v>
      </c>
      <c r="G4379" s="98" t="str">
        <f>HYPERLINK("http://mirror.ff7data.com.ar/ff7/data/battle/battle.lgp/hpbq.png","View Picture")</f>
        <v>View Picture</v>
      </c>
    </row>
    <row r="4380">
      <c r="A4380" s="55"/>
      <c r="B4380" s="119" t="s">
        <v>36160</v>
      </c>
      <c r="C4380" s="120" t="s">
        <v>5891</v>
      </c>
      <c r="D4380" s="33" t="s">
        <v>36136</v>
      </c>
      <c r="E4380" s="51" t="s">
        <v>875</v>
      </c>
      <c r="F4380" s="121" t="s">
        <v>3009</v>
      </c>
      <c r="G4380" s="98" t="str">
        <f>HYPERLINK("http://mirror.ff7data.com.ar/ff7/data/battle/battle.lgp/hpbs.png","View Picture")</f>
        <v>View Picture</v>
      </c>
    </row>
    <row r="4381">
      <c r="A4381" s="55"/>
      <c r="B4381" s="119" t="s">
        <v>36161</v>
      </c>
      <c r="C4381" s="120" t="s">
        <v>4719</v>
      </c>
      <c r="D4381" s="33" t="s">
        <v>36136</v>
      </c>
      <c r="E4381" s="51" t="s">
        <v>875</v>
      </c>
      <c r="F4381" s="121" t="s">
        <v>3009</v>
      </c>
      <c r="G4381" s="98" t="str">
        <f>HYPERLINK("http://mirror.ff7data.com.ar/ff7/data/battle/battle.lgp/hpbt.png","View Picture")</f>
        <v>View Picture</v>
      </c>
    </row>
    <row r="4382">
      <c r="A4382" s="55"/>
      <c r="B4382" s="119" t="s">
        <v>36162</v>
      </c>
      <c r="C4382" s="120" t="s">
        <v>5904</v>
      </c>
      <c r="D4382" s="33" t="s">
        <v>36136</v>
      </c>
      <c r="E4382" s="51" t="s">
        <v>875</v>
      </c>
      <c r="F4382" s="121" t="s">
        <v>3009</v>
      </c>
      <c r="G4382" s="98" t="str">
        <f>HYPERLINK("http://mirror.ff7data.com.ar/ff7/data/battle/battle.lgp/hpbu.png","View Picture")</f>
        <v>View Picture</v>
      </c>
    </row>
    <row r="4383">
      <c r="A4383" s="55"/>
      <c r="B4383" s="119" t="s">
        <v>36163</v>
      </c>
      <c r="C4383" s="120" t="s">
        <v>10078</v>
      </c>
      <c r="D4383" s="33" t="s">
        <v>36136</v>
      </c>
      <c r="E4383" s="51" t="s">
        <v>875</v>
      </c>
      <c r="F4383" s="121" t="s">
        <v>3009</v>
      </c>
      <c r="G4383" s="98" t="str">
        <f>HYPERLINK("http://mirror.ff7data.com.ar/ff7/data/battle/battle.lgp/hpbv.png","View Picture")</f>
        <v>View Picture</v>
      </c>
    </row>
    <row r="4384">
      <c r="A4384" s="55"/>
      <c r="B4384" s="119" t="s">
        <v>36164</v>
      </c>
      <c r="C4384" s="120" t="s">
        <v>26381</v>
      </c>
      <c r="D4384" s="33" t="s">
        <v>36136</v>
      </c>
      <c r="E4384" s="51" t="s">
        <v>875</v>
      </c>
      <c r="F4384" s="121" t="s">
        <v>3009</v>
      </c>
      <c r="G4384" s="98" t="str">
        <f>HYPERLINK("http://mirror.ff7data.com.ar/ff7/data/battle/battle.lgp/hpbx.png","View Picture")</f>
        <v>View Picture</v>
      </c>
    </row>
    <row r="4385">
      <c r="A4385" s="55"/>
      <c r="B4385" s="119" t="s">
        <v>36165</v>
      </c>
      <c r="C4385" s="120" t="s">
        <v>26381</v>
      </c>
      <c r="D4385" s="33" t="s">
        <v>36136</v>
      </c>
      <c r="E4385" s="51" t="s">
        <v>875</v>
      </c>
      <c r="F4385" s="121" t="s">
        <v>3009</v>
      </c>
      <c r="G4385" s="98" t="str">
        <f>HYPERLINK("http://mirror.ff7data.com.ar/ff7/data/battle/battle.lgp/hpbz.png","View Picture")</f>
        <v>View Picture</v>
      </c>
    </row>
    <row r="4386">
      <c r="A4386" s="55"/>
      <c r="B4386" s="119" t="s">
        <v>36166</v>
      </c>
      <c r="C4386" s="120" t="s">
        <v>11261</v>
      </c>
      <c r="D4386" s="33" t="s">
        <v>36136</v>
      </c>
      <c r="E4386" s="51" t="s">
        <v>875</v>
      </c>
      <c r="F4386" s="121" t="s">
        <v>3009</v>
      </c>
      <c r="G4386" s="98" t="str">
        <f>HYPERLINK("http://mirror.ff7data.com.ar/ff7/data/battle/battle.lgp/hpca.png","View Picture")</f>
        <v>View Picture</v>
      </c>
    </row>
    <row r="4387">
      <c r="A4387" s="55"/>
      <c r="B4387" s="119" t="s">
        <v>36167</v>
      </c>
      <c r="C4387" s="120" t="s">
        <v>4264</v>
      </c>
      <c r="D4387" s="33" t="s">
        <v>36136</v>
      </c>
      <c r="E4387" s="51" t="s">
        <v>875</v>
      </c>
      <c r="F4387" s="121" t="s">
        <v>3009</v>
      </c>
      <c r="G4387" s="98" t="str">
        <f>HYPERLINK("http://mirror.ff7data.com.ar/ff7/data/battle/battle.lgp/hpcb.png","View Picture")</f>
        <v>View Picture</v>
      </c>
    </row>
    <row r="4388">
      <c r="A4388" s="55"/>
      <c r="B4388" s="119" t="s">
        <v>36168</v>
      </c>
      <c r="C4388" s="120" t="s">
        <v>4264</v>
      </c>
      <c r="D4388" s="33" t="s">
        <v>36136</v>
      </c>
      <c r="E4388" s="51" t="s">
        <v>875</v>
      </c>
      <c r="F4388" s="121" t="s">
        <v>3009</v>
      </c>
      <c r="G4388" s="98" t="str">
        <f>HYPERLINK("http://mirror.ff7data.com.ar/ff7/data/battle/battle.lgp/hpcc.png","View Picture")</f>
        <v>View Picture</v>
      </c>
    </row>
    <row r="4389">
      <c r="A4389" s="55"/>
      <c r="B4389" s="119" t="s">
        <v>36169</v>
      </c>
      <c r="C4389" s="120" t="s">
        <v>4264</v>
      </c>
      <c r="D4389" s="33" t="s">
        <v>36136</v>
      </c>
      <c r="E4389" s="51" t="s">
        <v>875</v>
      </c>
      <c r="F4389" s="121" t="s">
        <v>3009</v>
      </c>
      <c r="G4389" s="98" t="str">
        <f>HYPERLINK("http://mirror.ff7data.com.ar/ff7/data/battle/battle.lgp/hpcd.png","View Picture")</f>
        <v>View Picture</v>
      </c>
    </row>
    <row r="4390">
      <c r="A4390" s="55"/>
      <c r="B4390" s="119" t="s">
        <v>36170</v>
      </c>
      <c r="C4390" s="120" t="s">
        <v>4264</v>
      </c>
      <c r="D4390" s="33" t="s">
        <v>36136</v>
      </c>
      <c r="E4390" s="51" t="s">
        <v>875</v>
      </c>
      <c r="F4390" s="121" t="s">
        <v>3009</v>
      </c>
      <c r="G4390" s="98" t="str">
        <f>HYPERLINK("http://mirror.ff7data.com.ar/ff7/data/battle/battle.lgp/hpce.png","View Picture")</f>
        <v>View Picture</v>
      </c>
    </row>
    <row r="4391">
      <c r="A4391" s="55"/>
      <c r="B4391" s="119" t="s">
        <v>36171</v>
      </c>
      <c r="C4391" s="120" t="s">
        <v>4264</v>
      </c>
      <c r="D4391" s="33" t="s">
        <v>36136</v>
      </c>
      <c r="E4391" s="51" t="s">
        <v>875</v>
      </c>
      <c r="F4391" s="121" t="s">
        <v>3009</v>
      </c>
      <c r="G4391" s="98" t="str">
        <f>HYPERLINK("http://mirror.ff7data.com.ar/ff7/data/battle/battle.lgp/hpcf.png","View Picture")</f>
        <v>View Picture</v>
      </c>
    </row>
    <row r="4392">
      <c r="A4392" s="55"/>
      <c r="B4392" s="119" t="s">
        <v>36172</v>
      </c>
      <c r="C4392" s="120" t="s">
        <v>5762</v>
      </c>
      <c r="D4392" s="33" t="s">
        <v>36136</v>
      </c>
      <c r="E4392" s="51" t="s">
        <v>875</v>
      </c>
      <c r="F4392" s="121" t="s">
        <v>3009</v>
      </c>
      <c r="G4392" s="98" t="str">
        <f>HYPERLINK("http://mirror.ff7data.com.ar/ff7/data/battle/battle.lgp/hpcg.png","View Picture")</f>
        <v>View Picture</v>
      </c>
    </row>
    <row r="4393">
      <c r="A4393" s="55"/>
      <c r="B4393" s="119" t="s">
        <v>36173</v>
      </c>
      <c r="C4393" s="120" t="s">
        <v>4228</v>
      </c>
      <c r="D4393" s="33" t="s">
        <v>36136</v>
      </c>
      <c r="E4393" s="51" t="s">
        <v>875</v>
      </c>
      <c r="F4393" s="121" t="s">
        <v>3025</v>
      </c>
      <c r="H4393" s="46" t="s">
        <v>3002</v>
      </c>
    </row>
    <row r="4394">
      <c r="A4394" s="21"/>
      <c r="B4394" s="119" t="s">
        <v>36174</v>
      </c>
      <c r="C4394" s="120" t="s">
        <v>8241</v>
      </c>
      <c r="D4394" s="33" t="s">
        <v>36175</v>
      </c>
      <c r="E4394" s="51" t="s">
        <v>881</v>
      </c>
      <c r="F4394" s="121" t="s">
        <v>2971</v>
      </c>
      <c r="G4394" s="98" t="str">
        <f>HYPERLINK("http://mirror.ff7data.com.ar/ff7/data/battle/battle.lgp/hqaa.png","View Picture")</f>
        <v>View Picture</v>
      </c>
      <c r="H4394" s="46" t="s">
        <v>36176</v>
      </c>
    </row>
    <row r="4395">
      <c r="A4395" s="55"/>
      <c r="B4395" s="119" t="s">
        <v>36177</v>
      </c>
      <c r="C4395" s="120" t="s">
        <v>6029</v>
      </c>
      <c r="D4395" s="33" t="s">
        <v>36178</v>
      </c>
      <c r="E4395" s="51" t="s">
        <v>881</v>
      </c>
      <c r="F4395" s="121" t="s">
        <v>2993</v>
      </c>
      <c r="H4395" s="46" t="s">
        <v>3002</v>
      </c>
    </row>
    <row r="4396">
      <c r="A4396" s="55"/>
      <c r="B4396" s="119" t="s">
        <v>36179</v>
      </c>
      <c r="C4396" s="120" t="s">
        <v>3997</v>
      </c>
      <c r="D4396" s="33" t="s">
        <v>36180</v>
      </c>
      <c r="E4396" s="51" t="s">
        <v>881</v>
      </c>
      <c r="F4396" s="121" t="s">
        <v>3009</v>
      </c>
      <c r="G4396" s="98" t="str">
        <f>HYPERLINK("http://mirror.ff7data.com.ar/ff7/data/battle/battle.lgp/hqac.png","View Picture")</f>
        <v>View Picture</v>
      </c>
    </row>
    <row r="4397">
      <c r="A4397" s="55"/>
      <c r="B4397" s="119" t="s">
        <v>36181</v>
      </c>
      <c r="C4397" s="120" t="s">
        <v>5859</v>
      </c>
      <c r="D4397" s="33" t="s">
        <v>36178</v>
      </c>
      <c r="E4397" s="51" t="s">
        <v>881</v>
      </c>
      <c r="F4397" s="121" t="s">
        <v>3009</v>
      </c>
      <c r="G4397" s="98" t="str">
        <f>HYPERLINK("http://mirror.ff7data.com.ar/ff7/data/battle/battle.lgp/hqam.png","View Picture")</f>
        <v>View Picture</v>
      </c>
    </row>
    <row r="4398">
      <c r="A4398" s="55"/>
      <c r="B4398" s="119" t="s">
        <v>36182</v>
      </c>
      <c r="C4398" s="120" t="s">
        <v>4357</v>
      </c>
      <c r="D4398" s="33" t="s">
        <v>36178</v>
      </c>
      <c r="E4398" s="51" t="s">
        <v>881</v>
      </c>
      <c r="F4398" s="121" t="s">
        <v>3009</v>
      </c>
      <c r="G4398" s="98" t="str">
        <f>HYPERLINK("http://mirror.ff7data.com.ar/ff7/data/battle/battle.lgp/hqat.png","View Picture")</f>
        <v>View Picture</v>
      </c>
    </row>
    <row r="4399">
      <c r="A4399" s="55"/>
      <c r="B4399" s="119" t="s">
        <v>36183</v>
      </c>
      <c r="C4399" s="120" t="s">
        <v>10955</v>
      </c>
      <c r="D4399" s="33" t="s">
        <v>36178</v>
      </c>
      <c r="E4399" s="51" t="s">
        <v>881</v>
      </c>
      <c r="F4399" s="121" t="s">
        <v>3009</v>
      </c>
      <c r="G4399" s="98" t="str">
        <f>HYPERLINK("http://mirror.ff7data.com.ar/ff7/data/battle/battle.lgp/hqau.png","View Picture")</f>
        <v>View Picture</v>
      </c>
    </row>
    <row r="4400">
      <c r="A4400" s="55"/>
      <c r="B4400" s="119" t="s">
        <v>36184</v>
      </c>
      <c r="C4400" s="120" t="s">
        <v>4372</v>
      </c>
      <c r="D4400" s="33" t="s">
        <v>36178</v>
      </c>
      <c r="E4400" s="51" t="s">
        <v>881</v>
      </c>
      <c r="F4400" s="121" t="s">
        <v>3009</v>
      </c>
      <c r="G4400" s="98" t="str">
        <f>HYPERLINK("http://mirror.ff7data.com.ar/ff7/data/battle/battle.lgp/hqaw.png","View Picture")</f>
        <v>View Picture</v>
      </c>
    </row>
    <row r="4401">
      <c r="A4401" s="55"/>
      <c r="B4401" s="119" t="s">
        <v>36185</v>
      </c>
      <c r="C4401" s="120" t="s">
        <v>4372</v>
      </c>
      <c r="D4401" s="33" t="s">
        <v>36178</v>
      </c>
      <c r="E4401" s="51" t="s">
        <v>881</v>
      </c>
      <c r="F4401" s="121" t="s">
        <v>3009</v>
      </c>
      <c r="G4401" s="98" t="str">
        <f>HYPERLINK("http://mirror.ff7data.com.ar/ff7/data/battle/battle.lgp/hqay.png","View Picture")</f>
        <v>View Picture</v>
      </c>
    </row>
    <row r="4402">
      <c r="A4402" s="55"/>
      <c r="B4402" s="119" t="s">
        <v>36186</v>
      </c>
      <c r="C4402" s="120" t="s">
        <v>4719</v>
      </c>
      <c r="D4402" s="33" t="s">
        <v>36178</v>
      </c>
      <c r="E4402" s="51" t="s">
        <v>881</v>
      </c>
      <c r="F4402" s="121" t="s">
        <v>3009</v>
      </c>
      <c r="G4402" s="98" t="str">
        <f>HYPERLINK("http://mirror.ff7data.com.ar/ff7/data/battle/battle.lgp/hqbb.png","View Picture")</f>
        <v>View Picture</v>
      </c>
    </row>
    <row r="4403">
      <c r="A4403" s="55"/>
      <c r="B4403" s="119" t="s">
        <v>36187</v>
      </c>
      <c r="C4403" s="120" t="s">
        <v>7165</v>
      </c>
      <c r="D4403" s="33" t="s">
        <v>36178</v>
      </c>
      <c r="E4403" s="51" t="s">
        <v>881</v>
      </c>
      <c r="F4403" s="121" t="s">
        <v>3009</v>
      </c>
      <c r="G4403" s="98" t="str">
        <f>HYPERLINK("http://mirror.ff7data.com.ar/ff7/data/battle/battle.lgp/hqbc.png","View Picture")</f>
        <v>View Picture</v>
      </c>
    </row>
    <row r="4404">
      <c r="A4404" s="55"/>
      <c r="B4404" s="119" t="s">
        <v>36188</v>
      </c>
      <c r="C4404" s="120" t="s">
        <v>4719</v>
      </c>
      <c r="D4404" s="33" t="s">
        <v>36178</v>
      </c>
      <c r="E4404" s="51" t="s">
        <v>881</v>
      </c>
      <c r="F4404" s="121" t="s">
        <v>3009</v>
      </c>
      <c r="G4404" s="98" t="str">
        <f>HYPERLINK("http://mirror.ff7data.com.ar/ff7/data/battle/battle.lgp/hqbf.png","View Picture")</f>
        <v>View Picture</v>
      </c>
    </row>
    <row r="4405">
      <c r="A4405" s="55"/>
      <c r="B4405" s="119" t="s">
        <v>36189</v>
      </c>
      <c r="C4405" s="120" t="s">
        <v>7165</v>
      </c>
      <c r="D4405" s="33" t="s">
        <v>36178</v>
      </c>
      <c r="E4405" s="51" t="s">
        <v>881</v>
      </c>
      <c r="F4405" s="121" t="s">
        <v>3009</v>
      </c>
      <c r="G4405" s="98" t="str">
        <f>HYPERLINK("http://mirror.ff7data.com.ar/ff7/data/battle/battle.lgp/hqbg.png","View Picture")</f>
        <v>View Picture</v>
      </c>
    </row>
    <row r="4406">
      <c r="A4406" s="55"/>
      <c r="B4406" s="119" t="s">
        <v>36190</v>
      </c>
      <c r="C4406" s="120" t="s">
        <v>4439</v>
      </c>
      <c r="D4406" s="33" t="s">
        <v>36178</v>
      </c>
      <c r="E4406" s="51" t="s">
        <v>881</v>
      </c>
      <c r="F4406" s="121" t="s">
        <v>3009</v>
      </c>
      <c r="G4406" s="98" t="str">
        <f>HYPERLINK("http://mirror.ff7data.com.ar/ff7/data/battle/battle.lgp/hqbi.png","View Picture")</f>
        <v>View Picture</v>
      </c>
    </row>
    <row r="4407">
      <c r="A4407" s="55"/>
      <c r="B4407" s="119" t="s">
        <v>36191</v>
      </c>
      <c r="C4407" s="120" t="s">
        <v>3658</v>
      </c>
      <c r="D4407" s="33" t="s">
        <v>36178</v>
      </c>
      <c r="E4407" s="51" t="s">
        <v>881</v>
      </c>
      <c r="F4407" s="121" t="s">
        <v>3009</v>
      </c>
      <c r="G4407" s="98" t="str">
        <f>HYPERLINK("http://mirror.ff7data.com.ar/ff7/data/battle/battle.lgp/hqbj.png","View Picture")</f>
        <v>View Picture</v>
      </c>
    </row>
    <row r="4408">
      <c r="A4408" s="55"/>
      <c r="B4408" s="119" t="s">
        <v>36192</v>
      </c>
      <c r="C4408" s="120" t="s">
        <v>3658</v>
      </c>
      <c r="D4408" s="33" t="s">
        <v>36178</v>
      </c>
      <c r="E4408" s="51" t="s">
        <v>881</v>
      </c>
      <c r="F4408" s="121" t="s">
        <v>3009</v>
      </c>
      <c r="G4408" s="98" t="str">
        <f>HYPERLINK("http://mirror.ff7data.com.ar/ff7/data/battle/battle.lgp/hqbk.png","View Picture")</f>
        <v>View Picture</v>
      </c>
    </row>
    <row r="4409">
      <c r="A4409" s="55"/>
      <c r="B4409" s="119" t="s">
        <v>36193</v>
      </c>
      <c r="C4409" s="120" t="s">
        <v>3749</v>
      </c>
      <c r="D4409" s="33" t="s">
        <v>36178</v>
      </c>
      <c r="E4409" s="51" t="s">
        <v>881</v>
      </c>
      <c r="F4409" s="121" t="s">
        <v>3009</v>
      </c>
      <c r="G4409" s="98" t="str">
        <f>HYPERLINK("http://mirror.ff7data.com.ar/ff7/data/battle/battle.lgp/hqbl.png","View Picture")</f>
        <v>View Picture</v>
      </c>
    </row>
    <row r="4410">
      <c r="A4410" s="55"/>
      <c r="B4410" s="119" t="s">
        <v>36194</v>
      </c>
      <c r="C4410" s="120" t="s">
        <v>3370</v>
      </c>
      <c r="D4410" s="33" t="s">
        <v>36178</v>
      </c>
      <c r="E4410" s="51" t="s">
        <v>881</v>
      </c>
      <c r="F4410" s="121" t="s">
        <v>3025</v>
      </c>
      <c r="H4410" s="46" t="s">
        <v>3002</v>
      </c>
    </row>
    <row r="4411">
      <c r="A4411" s="21"/>
      <c r="B4411" s="119" t="s">
        <v>36195</v>
      </c>
      <c r="C4411" s="120" t="s">
        <v>11721</v>
      </c>
      <c r="D4411" s="33" t="s">
        <v>36196</v>
      </c>
      <c r="E4411" s="147" t="s">
        <v>887</v>
      </c>
      <c r="F4411" s="121" t="s">
        <v>2971</v>
      </c>
      <c r="G4411" s="98" t="str">
        <f>HYPERLINK("http://mirror.ff7data.com.ar/ff7/data/battle/battle.lgp/hraa.png","View Picture")</f>
        <v>View Picture</v>
      </c>
      <c r="H4411" s="46" t="s">
        <v>36197</v>
      </c>
    </row>
    <row r="4412">
      <c r="A4412" s="55"/>
      <c r="B4412" s="119" t="s">
        <v>36198</v>
      </c>
      <c r="C4412" s="120" t="s">
        <v>4109</v>
      </c>
      <c r="D4412" s="33" t="s">
        <v>36199</v>
      </c>
      <c r="E4412" s="147" t="s">
        <v>887</v>
      </c>
      <c r="F4412" s="121" t="s">
        <v>2993</v>
      </c>
      <c r="H4412" s="46" t="s">
        <v>3002</v>
      </c>
    </row>
    <row r="4413">
      <c r="A4413" s="55"/>
      <c r="B4413" s="119" t="s">
        <v>36200</v>
      </c>
      <c r="C4413" s="120" t="s">
        <v>3997</v>
      </c>
      <c r="D4413" s="33" t="s">
        <v>36201</v>
      </c>
      <c r="E4413" s="147" t="s">
        <v>887</v>
      </c>
      <c r="F4413" s="121" t="s">
        <v>3009</v>
      </c>
      <c r="G4413" s="98" t="str">
        <f>HYPERLINK("http://mirror.ff7data.com.ar/ff7/data/battle/battle.lgp/hrac.png","View Picture")</f>
        <v>View Picture</v>
      </c>
    </row>
    <row r="4414">
      <c r="A4414" s="55"/>
      <c r="B4414" s="119" t="s">
        <v>36202</v>
      </c>
      <c r="C4414" s="120" t="s">
        <v>5859</v>
      </c>
      <c r="D4414" s="33" t="s">
        <v>36199</v>
      </c>
      <c r="E4414" s="147" t="s">
        <v>887</v>
      </c>
      <c r="F4414" s="121" t="s">
        <v>3009</v>
      </c>
      <c r="G4414" s="98" t="str">
        <f>HYPERLINK("http://mirror.ff7data.com.ar/ff7/data/battle/battle.lgp/hram.png","View Picture")</f>
        <v>View Picture</v>
      </c>
    </row>
    <row r="4415">
      <c r="A4415" s="55"/>
      <c r="B4415" s="119" t="s">
        <v>36203</v>
      </c>
      <c r="C4415" s="120" t="s">
        <v>16501</v>
      </c>
      <c r="D4415" s="33" t="s">
        <v>36199</v>
      </c>
      <c r="E4415" s="147" t="s">
        <v>887</v>
      </c>
      <c r="F4415" s="121" t="s">
        <v>3025</v>
      </c>
      <c r="H4415" s="46" t="s">
        <v>3002</v>
      </c>
    </row>
    <row r="4416">
      <c r="A4416" s="21"/>
      <c r="B4416" s="119" t="s">
        <v>36204</v>
      </c>
      <c r="C4416" s="120" t="s">
        <v>3980</v>
      </c>
      <c r="D4416" s="33" t="s">
        <v>36205</v>
      </c>
      <c r="E4416" s="51" t="s">
        <v>893</v>
      </c>
      <c r="F4416" s="121" t="s">
        <v>2971</v>
      </c>
      <c r="G4416" s="98" t="str">
        <f>HYPERLINK("http://mirror.ff7data.com.ar/ff7/data/battle/battle.lgp/hsaa.png","View Picture")</f>
        <v>View Picture</v>
      </c>
      <c r="H4416" s="46" t="s">
        <v>36206</v>
      </c>
    </row>
    <row r="4417">
      <c r="A4417" s="55"/>
      <c r="B4417" s="119" t="s">
        <v>36207</v>
      </c>
      <c r="C4417" s="120" t="s">
        <v>5724</v>
      </c>
      <c r="D4417" s="33" t="s">
        <v>36208</v>
      </c>
      <c r="E4417" s="51" t="s">
        <v>893</v>
      </c>
      <c r="F4417" s="121" t="s">
        <v>2993</v>
      </c>
      <c r="H4417" s="46" t="s">
        <v>3002</v>
      </c>
    </row>
    <row r="4418">
      <c r="A4418" s="55"/>
      <c r="B4418" s="119" t="s">
        <v>36209</v>
      </c>
      <c r="C4418" s="120" t="s">
        <v>3494</v>
      </c>
      <c r="D4418" s="33" t="s">
        <v>36208</v>
      </c>
      <c r="E4418" s="51" t="s">
        <v>893</v>
      </c>
      <c r="F4418" s="121" t="s">
        <v>3009</v>
      </c>
      <c r="G4418" s="98" t="str">
        <f>HYPERLINK("http://mirror.ff7data.com.ar/ff7/data/battle/battle.lgp/hsan.png","View Picture")</f>
        <v>View Picture</v>
      </c>
    </row>
    <row r="4419">
      <c r="A4419" s="55"/>
      <c r="B4419" s="119" t="s">
        <v>36210</v>
      </c>
      <c r="C4419" s="120" t="s">
        <v>3318</v>
      </c>
      <c r="D4419" s="33" t="s">
        <v>36208</v>
      </c>
      <c r="E4419" s="51" t="s">
        <v>893</v>
      </c>
      <c r="F4419" s="121" t="s">
        <v>3009</v>
      </c>
      <c r="G4419" s="98" t="str">
        <f>HYPERLINK("http://mirror.ff7data.com.ar/ff7/data/battle/battle.lgp/hsao.png","View Picture")</f>
        <v>View Picture</v>
      </c>
    </row>
    <row r="4420">
      <c r="A4420" s="55"/>
      <c r="B4420" s="119" t="s">
        <v>36211</v>
      </c>
      <c r="C4420" s="120" t="s">
        <v>4476</v>
      </c>
      <c r="D4420" s="33" t="s">
        <v>36208</v>
      </c>
      <c r="E4420" s="51" t="s">
        <v>893</v>
      </c>
      <c r="F4420" s="121" t="s">
        <v>3009</v>
      </c>
      <c r="G4420" s="98" t="str">
        <f>HYPERLINK("http://mirror.ff7data.com.ar/ff7/data/battle/battle.lgp/hsar.png","View Picture")</f>
        <v>View Picture</v>
      </c>
    </row>
    <row r="4421">
      <c r="A4421" s="55"/>
      <c r="B4421" s="119" t="s">
        <v>36212</v>
      </c>
      <c r="C4421" s="120" t="s">
        <v>7148</v>
      </c>
      <c r="D4421" s="33" t="s">
        <v>36208</v>
      </c>
      <c r="E4421" s="51" t="s">
        <v>893</v>
      </c>
      <c r="F4421" s="121" t="s">
        <v>3009</v>
      </c>
      <c r="G4421" s="98" t="str">
        <f>HYPERLINK("http://mirror.ff7data.com.ar/ff7/data/battle/battle.lgp/hsas.png","View Picture")</f>
        <v>View Picture</v>
      </c>
    </row>
    <row r="4422">
      <c r="A4422" s="55"/>
      <c r="B4422" s="119" t="s">
        <v>36213</v>
      </c>
      <c r="C4422" s="120" t="s">
        <v>5891</v>
      </c>
      <c r="D4422" s="33" t="s">
        <v>36208</v>
      </c>
      <c r="E4422" s="51" t="s">
        <v>893</v>
      </c>
      <c r="F4422" s="121" t="s">
        <v>3009</v>
      </c>
      <c r="G4422" s="98" t="str">
        <f>HYPERLINK("http://mirror.ff7data.com.ar/ff7/data/battle/battle.lgp/hsat.png","View Picture")</f>
        <v>View Picture</v>
      </c>
    </row>
    <row r="4423">
      <c r="A4423" s="55"/>
      <c r="B4423" s="119" t="s">
        <v>36214</v>
      </c>
      <c r="C4423" s="120" t="s">
        <v>4476</v>
      </c>
      <c r="D4423" s="33" t="s">
        <v>36208</v>
      </c>
      <c r="E4423" s="51" t="s">
        <v>893</v>
      </c>
      <c r="F4423" s="121" t="s">
        <v>3009</v>
      </c>
      <c r="G4423" s="98" t="str">
        <f>HYPERLINK("http://mirror.ff7data.com.ar/ff7/data/battle/battle.lgp/hsaw.png","View Picture")</f>
        <v>View Picture</v>
      </c>
    </row>
    <row r="4424">
      <c r="A4424" s="55"/>
      <c r="B4424" s="119" t="s">
        <v>36215</v>
      </c>
      <c r="C4424" s="120" t="s">
        <v>7148</v>
      </c>
      <c r="D4424" s="33" t="s">
        <v>36208</v>
      </c>
      <c r="E4424" s="51" t="s">
        <v>893</v>
      </c>
      <c r="F4424" s="121" t="s">
        <v>3009</v>
      </c>
      <c r="G4424" s="98" t="str">
        <f>HYPERLINK("http://mirror.ff7data.com.ar/ff7/data/battle/battle.lgp/hsax.png","View Picture")</f>
        <v>View Picture</v>
      </c>
    </row>
    <row r="4425">
      <c r="A4425" s="55"/>
      <c r="B4425" s="119" t="s">
        <v>36216</v>
      </c>
      <c r="C4425" s="120" t="s">
        <v>7165</v>
      </c>
      <c r="D4425" s="33" t="s">
        <v>36208</v>
      </c>
      <c r="E4425" s="51" t="s">
        <v>893</v>
      </c>
      <c r="F4425" s="121" t="s">
        <v>3009</v>
      </c>
      <c r="G4425" s="98" t="str">
        <f>HYPERLINK("http://mirror.ff7data.com.ar/ff7/data/battle/battle.lgp/hsay.png","View Picture")</f>
        <v>View Picture</v>
      </c>
    </row>
    <row r="4426">
      <c r="A4426" s="55"/>
      <c r="B4426" s="119" t="s">
        <v>36217</v>
      </c>
      <c r="C4426" s="120" t="s">
        <v>4288</v>
      </c>
      <c r="D4426" s="33" t="s">
        <v>36208</v>
      </c>
      <c r="E4426" s="51" t="s">
        <v>893</v>
      </c>
      <c r="F4426" s="121" t="s">
        <v>3009</v>
      </c>
      <c r="G4426" s="98" t="str">
        <f>HYPERLINK("http://mirror.ff7data.com.ar/ff7/data/battle/battle.lgp/hsba.png","View Picture")</f>
        <v>View Picture</v>
      </c>
    </row>
    <row r="4427">
      <c r="A4427" s="55"/>
      <c r="B4427" s="119" t="s">
        <v>36218</v>
      </c>
      <c r="C4427" s="120" t="s">
        <v>4883</v>
      </c>
      <c r="D4427" s="33" t="s">
        <v>36208</v>
      </c>
      <c r="E4427" s="51" t="s">
        <v>893</v>
      </c>
      <c r="F4427" s="121" t="s">
        <v>3009</v>
      </c>
      <c r="G4427" s="98" t="str">
        <f>HYPERLINK("http://mirror.ff7data.com.ar/ff7/data/battle/battle.lgp/hsbb.png","View Picture")</f>
        <v>View Picture</v>
      </c>
    </row>
    <row r="4428">
      <c r="A4428" s="55"/>
      <c r="B4428" s="119" t="s">
        <v>36219</v>
      </c>
      <c r="C4428" s="120" t="s">
        <v>4476</v>
      </c>
      <c r="D4428" s="33" t="s">
        <v>36208</v>
      </c>
      <c r="E4428" s="51" t="s">
        <v>893</v>
      </c>
      <c r="F4428" s="121" t="s">
        <v>3009</v>
      </c>
      <c r="G4428" s="98" t="str">
        <f>HYPERLINK("http://mirror.ff7data.com.ar/ff7/data/battle/battle.lgp/hsbc.png","View Picture")</f>
        <v>View Picture</v>
      </c>
    </row>
    <row r="4429">
      <c r="A4429" s="55"/>
      <c r="B4429" s="119" t="s">
        <v>36220</v>
      </c>
      <c r="C4429" s="120" t="s">
        <v>7165</v>
      </c>
      <c r="D4429" s="33" t="s">
        <v>36208</v>
      </c>
      <c r="E4429" s="51" t="s">
        <v>893</v>
      </c>
      <c r="F4429" s="121" t="s">
        <v>3009</v>
      </c>
      <c r="G4429" s="98" t="str">
        <f>HYPERLINK("http://mirror.ff7data.com.ar/ff7/data/battle/battle.lgp/hsbd.png","View Picture")</f>
        <v>View Picture</v>
      </c>
    </row>
    <row r="4430">
      <c r="A4430" s="55"/>
      <c r="B4430" s="119" t="s">
        <v>36221</v>
      </c>
      <c r="C4430" s="120" t="s">
        <v>4288</v>
      </c>
      <c r="D4430" s="33" t="s">
        <v>36208</v>
      </c>
      <c r="E4430" s="51" t="s">
        <v>893</v>
      </c>
      <c r="F4430" s="121" t="s">
        <v>3009</v>
      </c>
      <c r="G4430" s="98" t="str">
        <f>HYPERLINK("http://mirror.ff7data.com.ar/ff7/data/battle/battle.lgp/hsbf.png","View Picture")</f>
        <v>View Picture</v>
      </c>
    </row>
    <row r="4431">
      <c r="A4431" s="55"/>
      <c r="B4431" s="119" t="s">
        <v>36222</v>
      </c>
      <c r="C4431" s="120" t="s">
        <v>4883</v>
      </c>
      <c r="D4431" s="33" t="s">
        <v>36208</v>
      </c>
      <c r="E4431" s="51" t="s">
        <v>893</v>
      </c>
      <c r="F4431" s="121" t="s">
        <v>3009</v>
      </c>
      <c r="G4431" s="98" t="str">
        <f>HYPERLINK("http://mirror.ff7data.com.ar/ff7/data/battle/battle.lgp/hsbg.png","View Picture")</f>
        <v>View Picture</v>
      </c>
    </row>
    <row r="4432">
      <c r="A4432" s="55"/>
      <c r="B4432" s="119" t="s">
        <v>36223</v>
      </c>
      <c r="C4432" s="120" t="s">
        <v>4439</v>
      </c>
      <c r="D4432" s="33" t="s">
        <v>36208</v>
      </c>
      <c r="E4432" s="51" t="s">
        <v>893</v>
      </c>
      <c r="F4432" s="121" t="s">
        <v>3009</v>
      </c>
      <c r="G4432" s="98" t="str">
        <f>HYPERLINK("http://mirror.ff7data.com.ar/ff7/data/battle/battle.lgp/hsbh.png","View Picture")</f>
        <v>View Picture</v>
      </c>
    </row>
    <row r="4433">
      <c r="A4433" s="55"/>
      <c r="B4433" s="119" t="s">
        <v>36224</v>
      </c>
      <c r="C4433" s="120" t="s">
        <v>3842</v>
      </c>
      <c r="D4433" s="33" t="s">
        <v>36208</v>
      </c>
      <c r="E4433" s="51" t="s">
        <v>893</v>
      </c>
      <c r="F4433" s="121" t="s">
        <v>3009</v>
      </c>
      <c r="G4433" s="98" t="str">
        <f>HYPERLINK("http://mirror.ff7data.com.ar/ff7/data/battle/battle.lgp/hsbi.png","View Picture")</f>
        <v>View Picture</v>
      </c>
    </row>
    <row r="4434">
      <c r="A4434" s="55"/>
      <c r="B4434" s="119" t="s">
        <v>36225</v>
      </c>
      <c r="C4434" s="120" t="s">
        <v>18144</v>
      </c>
      <c r="D4434" s="33" t="s">
        <v>36208</v>
      </c>
      <c r="E4434" s="51" t="s">
        <v>893</v>
      </c>
      <c r="F4434" s="121" t="s">
        <v>3025</v>
      </c>
      <c r="H4434" s="46" t="s">
        <v>3002</v>
      </c>
    </row>
    <row r="4435">
      <c r="A4435" s="21"/>
      <c r="B4435" s="119" t="s">
        <v>36226</v>
      </c>
      <c r="C4435" s="120" t="s">
        <v>4096</v>
      </c>
      <c r="D4435" s="33" t="s">
        <v>36227</v>
      </c>
      <c r="E4435" s="51" t="s">
        <v>896</v>
      </c>
      <c r="F4435" s="121" t="s">
        <v>2971</v>
      </c>
      <c r="G4435" s="98" t="str">
        <f>HYPERLINK("http://mirror.ff7data.com.ar/ff7/data/battle/battle.lgp/htaa.png","View Picture")</f>
        <v>View Picture</v>
      </c>
      <c r="H4435" s="46" t="s">
        <v>36228</v>
      </c>
    </row>
    <row r="4436">
      <c r="A4436" s="55"/>
      <c r="B4436" s="119" t="s">
        <v>36229</v>
      </c>
      <c r="C4436" s="120" t="s">
        <v>5222</v>
      </c>
      <c r="D4436" s="33" t="s">
        <v>36230</v>
      </c>
      <c r="E4436" s="51" t="s">
        <v>896</v>
      </c>
      <c r="F4436" s="121" t="s">
        <v>2993</v>
      </c>
      <c r="H4436" s="46" t="s">
        <v>3002</v>
      </c>
    </row>
    <row r="4437">
      <c r="A4437" s="55"/>
      <c r="B4437" s="119" t="s">
        <v>36231</v>
      </c>
      <c r="C4437" s="120" t="s">
        <v>3355</v>
      </c>
      <c r="D4437" s="33" t="s">
        <v>36230</v>
      </c>
      <c r="E4437" s="51" t="s">
        <v>896</v>
      </c>
      <c r="F4437" s="121" t="s">
        <v>3009</v>
      </c>
      <c r="G4437" s="98" t="str">
        <f>HYPERLINK("http://mirror.ff7data.com.ar/ff7/data/battle/battle.lgp/htan.png","View Picture")</f>
        <v>View Picture</v>
      </c>
    </row>
    <row r="4438">
      <c r="A4438" s="55"/>
      <c r="B4438" s="119" t="s">
        <v>36232</v>
      </c>
      <c r="C4438" s="120" t="s">
        <v>8376</v>
      </c>
      <c r="D4438" s="33" t="s">
        <v>36230</v>
      </c>
      <c r="E4438" s="51" t="s">
        <v>896</v>
      </c>
      <c r="F4438" s="121" t="s">
        <v>3009</v>
      </c>
      <c r="G4438" s="98" t="str">
        <f>HYPERLINK("http://mirror.ff7data.com.ar/ff7/data/battle/battle.lgp/htao.png","View Picture")</f>
        <v>View Picture</v>
      </c>
    </row>
    <row r="4439">
      <c r="A4439" s="55"/>
      <c r="B4439" s="119" t="s">
        <v>36233</v>
      </c>
      <c r="C4439" s="120" t="s">
        <v>9571</v>
      </c>
      <c r="D4439" s="33" t="s">
        <v>36230</v>
      </c>
      <c r="E4439" s="51" t="s">
        <v>896</v>
      </c>
      <c r="F4439" s="121" t="s">
        <v>3009</v>
      </c>
      <c r="G4439" s="98" t="str">
        <f>HYPERLINK("http://mirror.ff7data.com.ar/ff7/data/battle/battle.lgp/htap.png","View Picture")</f>
        <v>View Picture</v>
      </c>
    </row>
    <row r="4440">
      <c r="A4440" s="55"/>
      <c r="B4440" s="119" t="s">
        <v>36234</v>
      </c>
      <c r="C4440" s="120" t="s">
        <v>4217</v>
      </c>
      <c r="D4440" s="33" t="s">
        <v>36230</v>
      </c>
      <c r="E4440" s="51" t="s">
        <v>896</v>
      </c>
      <c r="F4440" s="121" t="s">
        <v>3009</v>
      </c>
      <c r="G4440" s="98" t="str">
        <f>HYPERLINK("http://mirror.ff7data.com.ar/ff7/data/battle/battle.lgp/htaq.png","View Picture")</f>
        <v>View Picture</v>
      </c>
    </row>
    <row r="4441">
      <c r="A4441" s="55"/>
      <c r="B4441" s="119" t="s">
        <v>36235</v>
      </c>
      <c r="C4441" s="120" t="s">
        <v>5891</v>
      </c>
      <c r="D4441" s="33" t="s">
        <v>36230</v>
      </c>
      <c r="E4441" s="51" t="s">
        <v>896</v>
      </c>
      <c r="F4441" s="121" t="s">
        <v>3009</v>
      </c>
      <c r="G4441" s="98" t="str">
        <f>HYPERLINK("http://mirror.ff7data.com.ar/ff7/data/battle/battle.lgp/htar.png","View Picture")</f>
        <v>View Picture</v>
      </c>
    </row>
    <row r="4442">
      <c r="A4442" s="55"/>
      <c r="B4442" s="119" t="s">
        <v>36236</v>
      </c>
      <c r="C4442" s="120" t="s">
        <v>4719</v>
      </c>
      <c r="D4442" s="33" t="s">
        <v>36230</v>
      </c>
      <c r="E4442" s="51" t="s">
        <v>896</v>
      </c>
      <c r="F4442" s="121" t="s">
        <v>3009</v>
      </c>
      <c r="G4442" s="98" t="str">
        <f>HYPERLINK("http://mirror.ff7data.com.ar/ff7/data/battle/battle.lgp/htas.png","View Picture")</f>
        <v>View Picture</v>
      </c>
    </row>
    <row r="4443">
      <c r="A4443" s="55"/>
      <c r="B4443" s="119" t="s">
        <v>36237</v>
      </c>
      <c r="C4443" s="120" t="s">
        <v>4217</v>
      </c>
      <c r="D4443" s="33" t="s">
        <v>36230</v>
      </c>
      <c r="E4443" s="51" t="s">
        <v>896</v>
      </c>
      <c r="F4443" s="121" t="s">
        <v>3009</v>
      </c>
      <c r="G4443" s="98" t="str">
        <f>HYPERLINK("http://mirror.ff7data.com.ar/ff7/data/battle/battle.lgp/htat.png","View Picture")</f>
        <v>View Picture</v>
      </c>
    </row>
    <row r="4444">
      <c r="A4444" s="55"/>
      <c r="B4444" s="119" t="s">
        <v>36238</v>
      </c>
      <c r="C4444" s="120" t="s">
        <v>4357</v>
      </c>
      <c r="D4444" s="33" t="s">
        <v>36230</v>
      </c>
      <c r="E4444" s="51" t="s">
        <v>896</v>
      </c>
      <c r="F4444" s="121" t="s">
        <v>3025</v>
      </c>
      <c r="H4444" s="46" t="s">
        <v>3002</v>
      </c>
    </row>
    <row r="4445">
      <c r="A4445" s="21"/>
      <c r="B4445" s="119" t="s">
        <v>36239</v>
      </c>
      <c r="C4445" s="120" t="s">
        <v>34740</v>
      </c>
      <c r="D4445" s="33" t="s">
        <v>36240</v>
      </c>
      <c r="E4445" s="51" t="s">
        <v>901</v>
      </c>
      <c r="F4445" s="121" t="s">
        <v>2971</v>
      </c>
      <c r="G4445" s="98" t="str">
        <f>HYPERLINK("http://mirror.ff7data.com.ar/ff7/data/battle/battle.lgp/huaa.png","View Picture")</f>
        <v>View Picture</v>
      </c>
    </row>
    <row r="4446">
      <c r="A4446" s="55"/>
      <c r="B4446" s="119" t="s">
        <v>36241</v>
      </c>
      <c r="C4446" s="120" t="s">
        <v>30662</v>
      </c>
      <c r="D4446" s="33" t="s">
        <v>36242</v>
      </c>
      <c r="E4446" s="51" t="s">
        <v>901</v>
      </c>
      <c r="F4446" s="121" t="s">
        <v>2993</v>
      </c>
      <c r="H4446" s="46" t="s">
        <v>3002</v>
      </c>
    </row>
    <row r="4447">
      <c r="A4447" s="55"/>
      <c r="B4447" s="119" t="s">
        <v>36243</v>
      </c>
      <c r="C4447" s="120" t="s">
        <v>4191</v>
      </c>
      <c r="D4447" s="33" t="s">
        <v>36244</v>
      </c>
      <c r="E4447" s="51" t="s">
        <v>901</v>
      </c>
      <c r="F4447" s="121" t="s">
        <v>3009</v>
      </c>
      <c r="G4447" s="98" t="str">
        <f>HYPERLINK("http://mirror.ff7data.com.ar/ff7/data/battle/battle.lgp/huac.png","View Picture")</f>
        <v>View Picture</v>
      </c>
    </row>
    <row r="4448">
      <c r="A4448" s="55"/>
      <c r="B4448" s="119" t="s">
        <v>36245</v>
      </c>
      <c r="C4448" s="120" t="s">
        <v>9600</v>
      </c>
      <c r="D4448" s="33" t="s">
        <v>36242</v>
      </c>
      <c r="E4448" s="51" t="s">
        <v>901</v>
      </c>
      <c r="F4448" s="121" t="s">
        <v>3009</v>
      </c>
      <c r="G4448" s="98" t="str">
        <f>HYPERLINK("http://mirror.ff7data.com.ar/ff7/data/battle/battle.lgp/huam.png","View Picture")</f>
        <v>View Picture</v>
      </c>
    </row>
    <row r="4449">
      <c r="A4449" s="55"/>
      <c r="B4449" s="119" t="s">
        <v>36246</v>
      </c>
      <c r="C4449" s="120" t="s">
        <v>4841</v>
      </c>
      <c r="D4449" s="33" t="s">
        <v>36242</v>
      </c>
      <c r="E4449" s="51" t="s">
        <v>901</v>
      </c>
      <c r="F4449" s="121" t="s">
        <v>3009</v>
      </c>
      <c r="G4449" s="98" t="str">
        <f>HYPERLINK("http://mirror.ff7data.com.ar/ff7/data/battle/battle.lgp/huan.png","View Picture")</f>
        <v>View Picture</v>
      </c>
    </row>
    <row r="4450">
      <c r="A4450" s="55"/>
      <c r="B4450" s="119" t="s">
        <v>36247</v>
      </c>
      <c r="C4450" s="120" t="s">
        <v>25262</v>
      </c>
      <c r="D4450" s="33" t="s">
        <v>36242</v>
      </c>
      <c r="E4450" s="51" t="s">
        <v>901</v>
      </c>
      <c r="F4450" s="121" t="s">
        <v>3009</v>
      </c>
      <c r="G4450" s="98" t="str">
        <f>HYPERLINK("http://mirror.ff7data.com.ar/ff7/data/battle/battle.lgp/huap.png","View Picture")</f>
        <v>View Picture</v>
      </c>
    </row>
    <row r="4451">
      <c r="A4451" s="55"/>
      <c r="B4451" s="119" t="s">
        <v>36248</v>
      </c>
      <c r="C4451" s="120" t="s">
        <v>25262</v>
      </c>
      <c r="D4451" s="33" t="s">
        <v>36242</v>
      </c>
      <c r="E4451" s="51" t="s">
        <v>901</v>
      </c>
      <c r="F4451" s="121" t="s">
        <v>3009</v>
      </c>
      <c r="G4451" s="98" t="str">
        <f>HYPERLINK("http://mirror.ff7data.com.ar/ff7/data/battle/battle.lgp/huar.png","View Picture")</f>
        <v>View Picture</v>
      </c>
    </row>
    <row r="4452">
      <c r="A4452" s="55"/>
      <c r="B4452" s="119" t="s">
        <v>36249</v>
      </c>
      <c r="C4452" s="120" t="s">
        <v>4476</v>
      </c>
      <c r="D4452" s="33" t="s">
        <v>36242</v>
      </c>
      <c r="E4452" s="51" t="s">
        <v>901</v>
      </c>
      <c r="F4452" s="121" t="s">
        <v>3009</v>
      </c>
      <c r="G4452" s="98" t="str">
        <f>HYPERLINK("http://mirror.ff7data.com.ar/ff7/data/battle/battle.lgp/huas.png","View Picture")</f>
        <v>View Picture</v>
      </c>
    </row>
    <row r="4453">
      <c r="A4453" s="55"/>
      <c r="B4453" s="119" t="s">
        <v>36250</v>
      </c>
      <c r="C4453" s="120" t="s">
        <v>4264</v>
      </c>
      <c r="D4453" s="33" t="s">
        <v>36242</v>
      </c>
      <c r="E4453" s="51" t="s">
        <v>901</v>
      </c>
      <c r="F4453" s="121" t="s">
        <v>3009</v>
      </c>
      <c r="G4453" s="98" t="str">
        <f>HYPERLINK("http://mirror.ff7data.com.ar/ff7/data/battle/battle.lgp/huau.png","View Picture")</f>
        <v>View Picture</v>
      </c>
    </row>
    <row r="4454">
      <c r="A4454" s="55"/>
      <c r="B4454" s="119" t="s">
        <v>36251</v>
      </c>
      <c r="C4454" s="120" t="s">
        <v>5891</v>
      </c>
      <c r="D4454" s="33" t="s">
        <v>36242</v>
      </c>
      <c r="E4454" s="51" t="s">
        <v>901</v>
      </c>
      <c r="F4454" s="121" t="s">
        <v>3009</v>
      </c>
      <c r="G4454" s="98" t="str">
        <f>HYPERLINK("http://mirror.ff7data.com.ar/ff7/data/battle/battle.lgp/huav.png","View Picture")</f>
        <v>View Picture</v>
      </c>
    </row>
    <row r="4455">
      <c r="A4455" s="55"/>
      <c r="B4455" s="119" t="s">
        <v>36252</v>
      </c>
      <c r="C4455" s="120" t="s">
        <v>4288</v>
      </c>
      <c r="D4455" s="33" t="s">
        <v>36242</v>
      </c>
      <c r="E4455" s="51" t="s">
        <v>901</v>
      </c>
      <c r="F4455" s="121" t="s">
        <v>3009</v>
      </c>
      <c r="G4455" s="98" t="str">
        <f>HYPERLINK("http://mirror.ff7data.com.ar/ff7/data/battle/battle.lgp/huaw.png","View Picture")</f>
        <v>View Picture</v>
      </c>
    </row>
    <row r="4456">
      <c r="A4456" s="55"/>
      <c r="B4456" s="119" t="s">
        <v>36253</v>
      </c>
      <c r="C4456" s="120" t="s">
        <v>4288</v>
      </c>
      <c r="D4456" s="33" t="s">
        <v>36242</v>
      </c>
      <c r="E4456" s="51" t="s">
        <v>901</v>
      </c>
      <c r="F4456" s="121" t="s">
        <v>3009</v>
      </c>
      <c r="G4456" s="98" t="str">
        <f>HYPERLINK("http://mirror.ff7data.com.ar/ff7/data/battle/battle.lgp/huay.png","View Picture")</f>
        <v>View Picture</v>
      </c>
    </row>
    <row r="4457">
      <c r="A4457" s="55"/>
      <c r="B4457" s="119" t="s">
        <v>36254</v>
      </c>
      <c r="C4457" s="120" t="s">
        <v>3749</v>
      </c>
      <c r="D4457" s="33" t="s">
        <v>36242</v>
      </c>
      <c r="E4457" s="51" t="s">
        <v>901</v>
      </c>
      <c r="F4457" s="121" t="s">
        <v>3009</v>
      </c>
      <c r="G4457" s="98" t="str">
        <f>HYPERLINK("http://mirror.ff7data.com.ar/ff7/data/battle/battle.lgp/huaz.png","View Picture")</f>
        <v>View Picture</v>
      </c>
    </row>
    <row r="4458">
      <c r="A4458" s="55"/>
      <c r="B4458" s="119" t="s">
        <v>36255</v>
      </c>
      <c r="C4458" s="120" t="s">
        <v>4288</v>
      </c>
      <c r="D4458" s="33" t="s">
        <v>36242</v>
      </c>
      <c r="E4458" s="51" t="s">
        <v>901</v>
      </c>
      <c r="F4458" s="121" t="s">
        <v>3009</v>
      </c>
      <c r="G4458" s="98" t="str">
        <f>HYPERLINK("http://mirror.ff7data.com.ar/ff7/data/battle/battle.lgp/huba.png","View Picture")</f>
        <v>View Picture</v>
      </c>
    </row>
    <row r="4459">
      <c r="A4459" s="55"/>
      <c r="B4459" s="119" t="s">
        <v>36256</v>
      </c>
      <c r="C4459" s="120" t="s">
        <v>7165</v>
      </c>
      <c r="D4459" s="33" t="s">
        <v>36242</v>
      </c>
      <c r="E4459" s="51" t="s">
        <v>901</v>
      </c>
      <c r="F4459" s="121" t="s">
        <v>3009</v>
      </c>
      <c r="G4459" s="98" t="str">
        <f>HYPERLINK("http://mirror.ff7data.com.ar/ff7/data/battle/battle.lgp/hubd.png","View Picture")</f>
        <v>View Picture</v>
      </c>
    </row>
    <row r="4460">
      <c r="A4460" s="55"/>
      <c r="B4460" s="119" t="s">
        <v>36257</v>
      </c>
      <c r="C4460" s="120" t="s">
        <v>4185</v>
      </c>
      <c r="D4460" s="33" t="s">
        <v>36242</v>
      </c>
      <c r="E4460" s="51" t="s">
        <v>901</v>
      </c>
      <c r="F4460" s="121" t="s">
        <v>3009</v>
      </c>
      <c r="G4460" s="98" t="str">
        <f>HYPERLINK("http://mirror.ff7data.com.ar/ff7/data/battle/battle.lgp/hube.png","View Picture")</f>
        <v>View Picture</v>
      </c>
    </row>
    <row r="4461">
      <c r="A4461" s="55"/>
      <c r="B4461" s="119" t="s">
        <v>36258</v>
      </c>
      <c r="C4461" s="120" t="s">
        <v>4719</v>
      </c>
      <c r="D4461" s="33" t="s">
        <v>36242</v>
      </c>
      <c r="E4461" s="51" t="s">
        <v>901</v>
      </c>
      <c r="F4461" s="121" t="s">
        <v>3009</v>
      </c>
      <c r="G4461" s="98" t="str">
        <f>HYPERLINK("http://mirror.ff7data.com.ar/ff7/data/battle/battle.lgp/hubf.png","View Picture")</f>
        <v>View Picture</v>
      </c>
    </row>
    <row r="4462">
      <c r="A4462" s="55"/>
      <c r="B4462" s="119" t="s">
        <v>36259</v>
      </c>
      <c r="C4462" s="120" t="s">
        <v>10078</v>
      </c>
      <c r="D4462" s="33" t="s">
        <v>36242</v>
      </c>
      <c r="E4462" s="51" t="s">
        <v>901</v>
      </c>
      <c r="F4462" s="121" t="s">
        <v>3009</v>
      </c>
      <c r="G4462" s="98" t="str">
        <f>HYPERLINK("http://mirror.ff7data.com.ar/ff7/data/battle/battle.lgp/hubg.png","View Picture")</f>
        <v>View Picture</v>
      </c>
    </row>
    <row r="4463">
      <c r="A4463" s="55"/>
      <c r="B4463" s="119" t="s">
        <v>36260</v>
      </c>
      <c r="C4463" s="120" t="s">
        <v>4357</v>
      </c>
      <c r="D4463" s="33" t="s">
        <v>36242</v>
      </c>
      <c r="E4463" s="51" t="s">
        <v>901</v>
      </c>
      <c r="F4463" s="121" t="s">
        <v>3009</v>
      </c>
      <c r="G4463" s="98" t="str">
        <f>HYPERLINK("http://mirror.ff7data.com.ar/ff7/data/battle/battle.lgp/hubj.png","View Picture")</f>
        <v>View Picture</v>
      </c>
    </row>
    <row r="4464">
      <c r="A4464" s="55"/>
      <c r="B4464" s="119" t="s">
        <v>36261</v>
      </c>
      <c r="C4464" s="120" t="s">
        <v>4185</v>
      </c>
      <c r="D4464" s="33" t="s">
        <v>36242</v>
      </c>
      <c r="E4464" s="51" t="s">
        <v>901</v>
      </c>
      <c r="F4464" s="121" t="s">
        <v>3009</v>
      </c>
      <c r="G4464" s="98" t="str">
        <f>HYPERLINK("http://mirror.ff7data.com.ar/ff7/data/battle/battle.lgp/hubk.png","View Picture")</f>
        <v>View Picture</v>
      </c>
    </row>
    <row r="4465">
      <c r="A4465" s="55"/>
      <c r="B4465" s="119" t="s">
        <v>36262</v>
      </c>
      <c r="C4465" s="120" t="s">
        <v>4057</v>
      </c>
      <c r="D4465" s="33" t="s">
        <v>36242</v>
      </c>
      <c r="E4465" s="51" t="s">
        <v>901</v>
      </c>
      <c r="F4465" s="121" t="s">
        <v>3009</v>
      </c>
      <c r="G4465" s="98" t="str">
        <f>HYPERLINK("http://mirror.ff7data.com.ar/ff7/data/battle/battle.lgp/hubl.png","View Picture")</f>
        <v>View Picture</v>
      </c>
    </row>
    <row r="4466">
      <c r="A4466" s="55"/>
      <c r="B4466" s="119" t="s">
        <v>36263</v>
      </c>
      <c r="C4466" s="120" t="s">
        <v>4732</v>
      </c>
      <c r="D4466" s="33" t="s">
        <v>36242</v>
      </c>
      <c r="E4466" s="51" t="s">
        <v>901</v>
      </c>
      <c r="F4466" s="121" t="s">
        <v>3009</v>
      </c>
      <c r="G4466" s="98" t="str">
        <f>HYPERLINK("http://mirror.ff7data.com.ar/ff7/data/battle/battle.lgp/hubm.png","View Picture")</f>
        <v>View Picture</v>
      </c>
    </row>
    <row r="4467">
      <c r="A4467" s="55"/>
      <c r="B4467" s="119" t="s">
        <v>36264</v>
      </c>
      <c r="C4467" s="120" t="s">
        <v>7270</v>
      </c>
      <c r="D4467" s="33" t="s">
        <v>36242</v>
      </c>
      <c r="E4467" s="51" t="s">
        <v>901</v>
      </c>
      <c r="F4467" s="121" t="s">
        <v>3009</v>
      </c>
      <c r="G4467" s="98" t="str">
        <f>HYPERLINK("http://mirror.ff7data.com.ar/ff7/data/battle/battle.lgp/hubn.png","View Picture")</f>
        <v>View Picture</v>
      </c>
    </row>
    <row r="4468">
      <c r="A4468" s="55"/>
      <c r="B4468" s="119" t="s">
        <v>36265</v>
      </c>
      <c r="C4468" s="120" t="s">
        <v>36266</v>
      </c>
      <c r="D4468" s="33" t="s">
        <v>36242</v>
      </c>
      <c r="E4468" s="51" t="s">
        <v>901</v>
      </c>
      <c r="F4468" s="121" t="s">
        <v>3025</v>
      </c>
      <c r="H4468" s="46" t="s">
        <v>3002</v>
      </c>
    </row>
    <row r="4469">
      <c r="A4469" s="21"/>
      <c r="B4469" s="119" t="s">
        <v>36267</v>
      </c>
      <c r="C4469" s="120" t="s">
        <v>4846</v>
      </c>
      <c r="D4469" s="33" t="s">
        <v>36268</v>
      </c>
      <c r="E4469" s="51" t="s">
        <v>907</v>
      </c>
      <c r="F4469" s="121" t="s">
        <v>2971</v>
      </c>
      <c r="G4469" s="98" t="str">
        <f>HYPERLINK("http://mirror.ff7data.com.ar/ff7/data/battle/battle.lgp/hvaa.png","View Picture")</f>
        <v>View Picture</v>
      </c>
    </row>
    <row r="4470">
      <c r="A4470" s="55"/>
      <c r="B4470" s="119" t="s">
        <v>36269</v>
      </c>
      <c r="C4470" s="120" t="s">
        <v>12616</v>
      </c>
      <c r="D4470" s="33" t="s">
        <v>36270</v>
      </c>
      <c r="E4470" s="51" t="s">
        <v>907</v>
      </c>
      <c r="F4470" s="121" t="s">
        <v>2993</v>
      </c>
      <c r="H4470" s="46" t="s">
        <v>3002</v>
      </c>
    </row>
    <row r="4471">
      <c r="A4471" s="55"/>
      <c r="B4471" s="119" t="s">
        <v>36271</v>
      </c>
      <c r="C4471" s="120" t="s">
        <v>3614</v>
      </c>
      <c r="D4471" s="33" t="s">
        <v>36270</v>
      </c>
      <c r="E4471" s="51" t="s">
        <v>907</v>
      </c>
      <c r="F4471" s="121" t="s">
        <v>3009</v>
      </c>
      <c r="G4471" s="98" t="str">
        <f>HYPERLINK("http://mirror.ff7data.com.ar/ff7/data/battle/battle.lgp/hvam.png","View Picture")</f>
        <v>View Picture</v>
      </c>
    </row>
    <row r="4472">
      <c r="A4472" s="55"/>
      <c r="B4472" s="119" t="s">
        <v>36272</v>
      </c>
      <c r="C4472" s="120" t="s">
        <v>3749</v>
      </c>
      <c r="D4472" s="33" t="s">
        <v>36270</v>
      </c>
      <c r="E4472" s="51" t="s">
        <v>907</v>
      </c>
      <c r="F4472" s="121" t="s">
        <v>3009</v>
      </c>
      <c r="G4472" s="98" t="str">
        <f>HYPERLINK("http://mirror.ff7data.com.ar/ff7/data/battle/battle.lgp/hvan.png","View Picture")</f>
        <v>View Picture</v>
      </c>
    </row>
    <row r="4473">
      <c r="A4473" s="55"/>
      <c r="B4473" s="119" t="s">
        <v>36273</v>
      </c>
      <c r="C4473" s="120" t="s">
        <v>10078</v>
      </c>
      <c r="D4473" s="33" t="s">
        <v>36270</v>
      </c>
      <c r="E4473" s="51" t="s">
        <v>907</v>
      </c>
      <c r="F4473" s="121" t="s">
        <v>3009</v>
      </c>
      <c r="G4473" s="98" t="str">
        <f>HYPERLINK("http://mirror.ff7data.com.ar/ff7/data/battle/battle.lgp/hvap.png","View Picture")</f>
        <v>View Picture</v>
      </c>
    </row>
    <row r="4474">
      <c r="A4474" s="55"/>
      <c r="B4474" s="119" t="s">
        <v>36274</v>
      </c>
      <c r="C4474" s="120" t="s">
        <v>4372</v>
      </c>
      <c r="D4474" s="33" t="s">
        <v>36270</v>
      </c>
      <c r="E4474" s="51" t="s">
        <v>907</v>
      </c>
      <c r="F4474" s="121" t="s">
        <v>3009</v>
      </c>
      <c r="G4474" s="98" t="str">
        <f>HYPERLINK("http://mirror.ff7data.com.ar/ff7/data/battle/battle.lgp/hvaq.png","View Picture")</f>
        <v>View Picture</v>
      </c>
    </row>
    <row r="4475">
      <c r="A4475" s="55"/>
      <c r="B4475" s="119" t="s">
        <v>36275</v>
      </c>
      <c r="C4475" s="120" t="s">
        <v>4372</v>
      </c>
      <c r="D4475" s="33" t="s">
        <v>36270</v>
      </c>
      <c r="E4475" s="51" t="s">
        <v>907</v>
      </c>
      <c r="F4475" s="121" t="s">
        <v>3009</v>
      </c>
      <c r="G4475" s="98" t="str">
        <f>HYPERLINK("http://mirror.ff7data.com.ar/ff7/data/battle/battle.lgp/hvar.png","View Picture")</f>
        <v>View Picture</v>
      </c>
    </row>
    <row r="4476">
      <c r="A4476" s="55"/>
      <c r="B4476" s="119" t="s">
        <v>36276</v>
      </c>
      <c r="C4476" s="120" t="s">
        <v>4372</v>
      </c>
      <c r="D4476" s="33" t="s">
        <v>36270</v>
      </c>
      <c r="E4476" s="51" t="s">
        <v>907</v>
      </c>
      <c r="F4476" s="121" t="s">
        <v>3009</v>
      </c>
      <c r="G4476" s="98" t="str">
        <f>HYPERLINK("http://mirror.ff7data.com.ar/ff7/data/battle/battle.lgp/hvas.png","View Picture")</f>
        <v>View Picture</v>
      </c>
    </row>
    <row r="4477">
      <c r="A4477" s="55"/>
      <c r="B4477" s="119" t="s">
        <v>36277</v>
      </c>
      <c r="C4477" s="120" t="s">
        <v>4288</v>
      </c>
      <c r="D4477" s="33" t="s">
        <v>36270</v>
      </c>
      <c r="E4477" s="51" t="s">
        <v>907</v>
      </c>
      <c r="F4477" s="121" t="s">
        <v>3009</v>
      </c>
      <c r="G4477" s="98" t="str">
        <f>HYPERLINK("http://mirror.ff7data.com.ar/ff7/data/battle/battle.lgp/hvat.png","View Picture")</f>
        <v>View Picture</v>
      </c>
    </row>
    <row r="4478">
      <c r="A4478" s="55"/>
      <c r="B4478" s="119" t="s">
        <v>36278</v>
      </c>
      <c r="C4478" s="120" t="s">
        <v>10078</v>
      </c>
      <c r="D4478" s="33" t="s">
        <v>36270</v>
      </c>
      <c r="E4478" s="51" t="s">
        <v>907</v>
      </c>
      <c r="F4478" s="121" t="s">
        <v>3009</v>
      </c>
      <c r="G4478" s="98" t="str">
        <f>HYPERLINK("http://mirror.ff7data.com.ar/ff7/data/battle/battle.lgp/hvav.png","View Picture")</f>
        <v>View Picture</v>
      </c>
    </row>
    <row r="4479">
      <c r="A4479" s="55"/>
      <c r="B4479" s="119" t="s">
        <v>36279</v>
      </c>
      <c r="C4479" s="120" t="s">
        <v>4288</v>
      </c>
      <c r="D4479" s="33" t="s">
        <v>36270</v>
      </c>
      <c r="E4479" s="51" t="s">
        <v>907</v>
      </c>
      <c r="F4479" s="121" t="s">
        <v>3009</v>
      </c>
      <c r="G4479" s="98" t="str">
        <f>HYPERLINK("http://mirror.ff7data.com.ar/ff7/data/battle/battle.lgp/hvax.png","View Picture")</f>
        <v>View Picture</v>
      </c>
    </row>
    <row r="4480">
      <c r="A4480" s="55"/>
      <c r="B4480" s="119" t="s">
        <v>36280</v>
      </c>
      <c r="C4480" s="120" t="s">
        <v>4372</v>
      </c>
      <c r="D4480" s="33" t="s">
        <v>36270</v>
      </c>
      <c r="E4480" s="51" t="s">
        <v>907</v>
      </c>
      <c r="F4480" s="121" t="s">
        <v>3009</v>
      </c>
      <c r="G4480" s="98" t="str">
        <f>HYPERLINK("http://mirror.ff7data.com.ar/ff7/data/battle/battle.lgp/hvay.png","View Picture")</f>
        <v>View Picture</v>
      </c>
    </row>
    <row r="4481">
      <c r="A4481" s="55"/>
      <c r="B4481" s="119" t="s">
        <v>36281</v>
      </c>
      <c r="C4481" s="120" t="s">
        <v>4288</v>
      </c>
      <c r="D4481" s="33" t="s">
        <v>36270</v>
      </c>
      <c r="E4481" s="51" t="s">
        <v>907</v>
      </c>
      <c r="F4481" s="121" t="s">
        <v>3009</v>
      </c>
      <c r="G4481" s="98" t="str">
        <f>HYPERLINK("http://mirror.ff7data.com.ar/ff7/data/battle/battle.lgp/hvba.png","View Picture")</f>
        <v>View Picture</v>
      </c>
    </row>
    <row r="4482">
      <c r="A4482" s="55"/>
      <c r="B4482" s="119" t="s">
        <v>36282</v>
      </c>
      <c r="C4482" s="120" t="s">
        <v>4372</v>
      </c>
      <c r="D4482" s="33" t="s">
        <v>36270</v>
      </c>
      <c r="E4482" s="51" t="s">
        <v>907</v>
      </c>
      <c r="F4482" s="121" t="s">
        <v>3009</v>
      </c>
      <c r="G4482" s="98" t="str">
        <f>HYPERLINK("http://mirror.ff7data.com.ar/ff7/data/battle/battle.lgp/hvbb.png","View Picture")</f>
        <v>View Picture</v>
      </c>
    </row>
    <row r="4483">
      <c r="A4483" s="55"/>
      <c r="B4483" s="119" t="s">
        <v>36283</v>
      </c>
      <c r="C4483" s="120" t="s">
        <v>7148</v>
      </c>
      <c r="D4483" s="33" t="s">
        <v>36270</v>
      </c>
      <c r="E4483" s="51" t="s">
        <v>907</v>
      </c>
      <c r="F4483" s="121" t="s">
        <v>3009</v>
      </c>
      <c r="G4483" s="98" t="str">
        <f>HYPERLINK("http://mirror.ff7data.com.ar/ff7/data/battle/battle.lgp/hvbd.png","View Picture")</f>
        <v>View Picture</v>
      </c>
    </row>
    <row r="4484">
      <c r="A4484" s="55"/>
      <c r="B4484" s="119" t="s">
        <v>36284</v>
      </c>
      <c r="C4484" s="120" t="s">
        <v>7148</v>
      </c>
      <c r="D4484" s="33" t="s">
        <v>36270</v>
      </c>
      <c r="E4484" s="51" t="s">
        <v>907</v>
      </c>
      <c r="F4484" s="121" t="s">
        <v>3009</v>
      </c>
      <c r="G4484" s="98" t="str">
        <f>HYPERLINK("http://mirror.ff7data.com.ar/ff7/data/battle/battle.lgp/hvbe.png","View Picture")</f>
        <v>View Picture</v>
      </c>
    </row>
    <row r="4485">
      <c r="A4485" s="55"/>
      <c r="B4485" s="119" t="s">
        <v>36285</v>
      </c>
      <c r="C4485" s="120" t="s">
        <v>7148</v>
      </c>
      <c r="D4485" s="33" t="s">
        <v>36270</v>
      </c>
      <c r="E4485" s="51" t="s">
        <v>907</v>
      </c>
      <c r="F4485" s="121" t="s">
        <v>3009</v>
      </c>
      <c r="G4485" s="98" t="str">
        <f>HYPERLINK("http://mirror.ff7data.com.ar/ff7/data/battle/battle.lgp/hvbf.png","View Picture")</f>
        <v>View Picture</v>
      </c>
    </row>
    <row r="4486">
      <c r="A4486" s="55"/>
      <c r="B4486" s="119" t="s">
        <v>36286</v>
      </c>
      <c r="C4486" s="120" t="s">
        <v>6029</v>
      </c>
      <c r="D4486" s="33" t="s">
        <v>36270</v>
      </c>
      <c r="E4486" s="51" t="s">
        <v>907</v>
      </c>
      <c r="F4486" s="121" t="s">
        <v>3009</v>
      </c>
      <c r="G4486" s="98" t="str">
        <f>HYPERLINK("http://mirror.ff7data.com.ar/ff7/data/battle/battle.lgp/hvbg.png","View Picture")</f>
        <v>View Picture</v>
      </c>
    </row>
    <row r="4487">
      <c r="A4487" s="55"/>
      <c r="B4487" s="119" t="s">
        <v>36287</v>
      </c>
      <c r="C4487" s="120" t="s">
        <v>4541</v>
      </c>
      <c r="D4487" s="33" t="s">
        <v>36270</v>
      </c>
      <c r="E4487" s="51" t="s">
        <v>907</v>
      </c>
      <c r="F4487" s="121" t="s">
        <v>3009</v>
      </c>
      <c r="G4487" s="98" t="str">
        <f>HYPERLINK("http://mirror.ff7data.com.ar/ff7/data/battle/battle.lgp/hvbi.png","View Picture")</f>
        <v>View Picture</v>
      </c>
    </row>
    <row r="4488">
      <c r="A4488" s="55"/>
      <c r="B4488" s="119" t="s">
        <v>36288</v>
      </c>
      <c r="C4488" s="120" t="s">
        <v>4554</v>
      </c>
      <c r="D4488" s="33" t="s">
        <v>36270</v>
      </c>
      <c r="E4488" s="51" t="s">
        <v>907</v>
      </c>
      <c r="F4488" s="121" t="s">
        <v>3009</v>
      </c>
      <c r="G4488" s="98" t="str">
        <f>HYPERLINK("http://mirror.ff7data.com.ar/ff7/data/battle/battle.lgp/hvbj.png","View Picture")</f>
        <v>View Picture</v>
      </c>
    </row>
    <row r="4489">
      <c r="A4489" s="55"/>
      <c r="B4489" s="119" t="s">
        <v>36289</v>
      </c>
      <c r="C4489" s="120" t="s">
        <v>11112</v>
      </c>
      <c r="D4489" s="33" t="s">
        <v>36270</v>
      </c>
      <c r="E4489" s="51" t="s">
        <v>907</v>
      </c>
      <c r="F4489" s="121" t="s">
        <v>3009</v>
      </c>
      <c r="G4489" s="98" t="str">
        <f>HYPERLINK("http://mirror.ff7data.com.ar/ff7/data/battle/battle.lgp/hvbk.png","View Picture")</f>
        <v>View Picture</v>
      </c>
    </row>
    <row r="4490">
      <c r="A4490" s="55"/>
      <c r="B4490" s="119" t="s">
        <v>36290</v>
      </c>
      <c r="C4490" s="120" t="s">
        <v>6029</v>
      </c>
      <c r="D4490" s="33" t="s">
        <v>36270</v>
      </c>
      <c r="E4490" s="51" t="s">
        <v>907</v>
      </c>
      <c r="F4490" s="121" t="s">
        <v>3009</v>
      </c>
      <c r="G4490" s="98" t="str">
        <f>HYPERLINK("http://mirror.ff7data.com.ar/ff7/data/battle/battle.lgp/hvbl.png","View Picture")</f>
        <v>View Picture</v>
      </c>
    </row>
    <row r="4491">
      <c r="A4491" s="55"/>
      <c r="B4491" s="119" t="s">
        <v>36291</v>
      </c>
      <c r="C4491" s="120" t="s">
        <v>4217</v>
      </c>
      <c r="D4491" s="33" t="s">
        <v>36270</v>
      </c>
      <c r="E4491" s="51" t="s">
        <v>907</v>
      </c>
      <c r="F4491" s="121" t="s">
        <v>3009</v>
      </c>
      <c r="G4491" s="98" t="str">
        <f>HYPERLINK("http://mirror.ff7data.com.ar/ff7/data/battle/battle.lgp/hvbn.png","View Picture")</f>
        <v>View Picture</v>
      </c>
    </row>
    <row r="4492">
      <c r="A4492" s="55"/>
      <c r="B4492" s="119" t="s">
        <v>36292</v>
      </c>
      <c r="C4492" s="120" t="s">
        <v>4357</v>
      </c>
      <c r="D4492" s="33" t="s">
        <v>36270</v>
      </c>
      <c r="E4492" s="51" t="s">
        <v>907</v>
      </c>
      <c r="F4492" s="121" t="s">
        <v>3009</v>
      </c>
      <c r="G4492" s="98" t="str">
        <f>HYPERLINK("http://mirror.ff7data.com.ar/ff7/data/battle/battle.lgp/hvbo.png","View Picture")</f>
        <v>View Picture</v>
      </c>
    </row>
    <row r="4493">
      <c r="A4493" s="55"/>
      <c r="B4493" s="119" t="s">
        <v>36293</v>
      </c>
      <c r="C4493" s="120" t="s">
        <v>5891</v>
      </c>
      <c r="D4493" s="33" t="s">
        <v>36270</v>
      </c>
      <c r="E4493" s="51" t="s">
        <v>907</v>
      </c>
      <c r="F4493" s="121" t="s">
        <v>3009</v>
      </c>
      <c r="G4493" s="98" t="str">
        <f>HYPERLINK("http://mirror.ff7data.com.ar/ff7/data/battle/battle.lgp/hvbq.png","View Picture")</f>
        <v>View Picture</v>
      </c>
    </row>
    <row r="4494">
      <c r="A4494" s="55"/>
      <c r="B4494" s="119" t="s">
        <v>36294</v>
      </c>
      <c r="C4494" s="120" t="s">
        <v>5419</v>
      </c>
      <c r="D4494" s="33" t="s">
        <v>36270</v>
      </c>
      <c r="E4494" s="51" t="s">
        <v>907</v>
      </c>
      <c r="F4494" s="121" t="s">
        <v>3009</v>
      </c>
      <c r="G4494" s="98" t="str">
        <f>HYPERLINK("http://mirror.ff7data.com.ar/ff7/data/battle/battle.lgp/hvbr.png","View Picture")</f>
        <v>View Picture</v>
      </c>
    </row>
    <row r="4495">
      <c r="A4495" s="55"/>
      <c r="B4495" s="119" t="s">
        <v>36295</v>
      </c>
      <c r="C4495" s="120" t="s">
        <v>5859</v>
      </c>
      <c r="D4495" s="33" t="s">
        <v>36270</v>
      </c>
      <c r="E4495" s="51" t="s">
        <v>907</v>
      </c>
      <c r="F4495" s="121" t="s">
        <v>3025</v>
      </c>
      <c r="H4495" s="46" t="s">
        <v>3002</v>
      </c>
    </row>
    <row r="4496">
      <c r="A4496" s="21"/>
      <c r="B4496" s="119" t="s">
        <v>36296</v>
      </c>
      <c r="C4496" s="120" t="s">
        <v>22949</v>
      </c>
      <c r="D4496" s="33" t="s">
        <v>36297</v>
      </c>
      <c r="E4496" s="51" t="s">
        <v>912</v>
      </c>
      <c r="F4496" s="121" t="s">
        <v>2971</v>
      </c>
      <c r="G4496" s="98" t="str">
        <f>HYPERLINK("http://mirror.ff7data.com.ar/ff7/data/battle/battle.lgp/hwaa.png","View Picture")</f>
        <v>View Picture</v>
      </c>
    </row>
    <row r="4497">
      <c r="A4497" s="55"/>
      <c r="B4497" s="119" t="s">
        <v>36298</v>
      </c>
      <c r="C4497" s="120" t="s">
        <v>5724</v>
      </c>
      <c r="D4497" s="33" t="s">
        <v>36299</v>
      </c>
      <c r="E4497" s="51" t="s">
        <v>912</v>
      </c>
      <c r="F4497" s="121" t="s">
        <v>2993</v>
      </c>
      <c r="H4497" s="46" t="s">
        <v>3002</v>
      </c>
    </row>
    <row r="4498">
      <c r="A4498" s="55"/>
      <c r="B4498" s="119" t="s">
        <v>36300</v>
      </c>
      <c r="C4498" s="120" t="s">
        <v>8550</v>
      </c>
      <c r="D4498" s="33" t="s">
        <v>36299</v>
      </c>
      <c r="E4498" s="51" t="s">
        <v>912</v>
      </c>
      <c r="F4498" s="121" t="s">
        <v>3009</v>
      </c>
      <c r="G4498" s="98" t="str">
        <f>HYPERLINK("http://mirror.ff7data.com.ar/ff7/data/battle/battle.lgp/hwam.png","View Picture")</f>
        <v>View Picture</v>
      </c>
    </row>
    <row r="4499">
      <c r="A4499" s="55"/>
      <c r="B4499" s="119" t="s">
        <v>36301</v>
      </c>
      <c r="C4499" s="120" t="s">
        <v>7871</v>
      </c>
      <c r="D4499" s="33" t="s">
        <v>36299</v>
      </c>
      <c r="E4499" s="51" t="s">
        <v>912</v>
      </c>
      <c r="F4499" s="121" t="s">
        <v>3009</v>
      </c>
      <c r="G4499" s="98" t="str">
        <f>HYPERLINK("http://mirror.ff7data.com.ar/ff7/data/battle/battle.lgp/hwaq.png","View Picture")</f>
        <v>View Picture</v>
      </c>
    </row>
    <row r="4500">
      <c r="A4500" s="55"/>
      <c r="B4500" s="119" t="s">
        <v>36302</v>
      </c>
      <c r="C4500" s="120" t="s">
        <v>3842</v>
      </c>
      <c r="D4500" s="33" t="s">
        <v>36299</v>
      </c>
      <c r="E4500" s="51" t="s">
        <v>912</v>
      </c>
      <c r="F4500" s="121" t="s">
        <v>3009</v>
      </c>
      <c r="G4500" s="98" t="str">
        <f>HYPERLINK("http://mirror.ff7data.com.ar/ff7/data/battle/battle.lgp/hwas.png","View Picture")</f>
        <v>View Picture</v>
      </c>
    </row>
    <row r="4501">
      <c r="A4501" s="55"/>
      <c r="B4501" s="119" t="s">
        <v>36303</v>
      </c>
      <c r="C4501" s="120" t="s">
        <v>5891</v>
      </c>
      <c r="D4501" s="33" t="s">
        <v>36299</v>
      </c>
      <c r="E4501" s="51" t="s">
        <v>912</v>
      </c>
      <c r="F4501" s="121" t="s">
        <v>3009</v>
      </c>
      <c r="G4501" s="98" t="str">
        <f>HYPERLINK("http://mirror.ff7data.com.ar/ff7/data/battle/battle.lgp/hwau.png","View Picture")</f>
        <v>View Picture</v>
      </c>
    </row>
    <row r="4502">
      <c r="A4502" s="55"/>
      <c r="B4502" s="119" t="s">
        <v>36304</v>
      </c>
      <c r="C4502" s="120" t="s">
        <v>3842</v>
      </c>
      <c r="D4502" s="33" t="s">
        <v>36299</v>
      </c>
      <c r="E4502" s="51" t="s">
        <v>912</v>
      </c>
      <c r="F4502" s="121" t="s">
        <v>3009</v>
      </c>
      <c r="G4502" s="98" t="str">
        <f>HYPERLINK("http://mirror.ff7data.com.ar/ff7/data/battle/battle.lgp/hwaw.png","View Picture")</f>
        <v>View Picture</v>
      </c>
    </row>
    <row r="4503">
      <c r="A4503" s="55"/>
      <c r="B4503" s="119" t="s">
        <v>36305</v>
      </c>
      <c r="C4503" s="120" t="s">
        <v>3842</v>
      </c>
      <c r="D4503" s="33" t="s">
        <v>36299</v>
      </c>
      <c r="E4503" s="51" t="s">
        <v>912</v>
      </c>
      <c r="F4503" s="121" t="s">
        <v>3009</v>
      </c>
      <c r="G4503" s="98" t="str">
        <f>HYPERLINK("http://mirror.ff7data.com.ar/ff7/data/battle/battle.lgp/hway.png","View Picture")</f>
        <v>View Picture</v>
      </c>
    </row>
    <row r="4504">
      <c r="A4504" s="55"/>
      <c r="B4504" s="119" t="s">
        <v>36306</v>
      </c>
      <c r="C4504" s="120" t="s">
        <v>3648</v>
      </c>
      <c r="D4504" s="33" t="s">
        <v>36299</v>
      </c>
      <c r="E4504" s="51" t="s">
        <v>912</v>
      </c>
      <c r="F4504" s="121" t="s">
        <v>3009</v>
      </c>
      <c r="G4504" s="98" t="str">
        <f>HYPERLINK("http://mirror.ff7data.com.ar/ff7/data/battle/battle.lgp/hwbc.png","View Picture")</f>
        <v>View Picture</v>
      </c>
    </row>
    <row r="4505">
      <c r="A4505" s="55"/>
      <c r="B4505" s="119" t="s">
        <v>36307</v>
      </c>
      <c r="C4505" s="120" t="s">
        <v>18406</v>
      </c>
      <c r="D4505" s="33" t="s">
        <v>36299</v>
      </c>
      <c r="E4505" s="51" t="s">
        <v>912</v>
      </c>
      <c r="F4505" s="121" t="s">
        <v>3009</v>
      </c>
      <c r="G4505" s="98" t="str">
        <f>HYPERLINK("http://mirror.ff7data.com.ar/ff7/data/battle/battle.lgp/hwbd.png","View Picture")</f>
        <v>View Picture</v>
      </c>
    </row>
    <row r="4506">
      <c r="A4506" s="55"/>
      <c r="B4506" s="119" t="s">
        <v>36308</v>
      </c>
      <c r="C4506" s="120" t="s">
        <v>4719</v>
      </c>
      <c r="D4506" s="33" t="s">
        <v>36299</v>
      </c>
      <c r="E4506" s="51" t="s">
        <v>912</v>
      </c>
      <c r="F4506" s="121" t="s">
        <v>3009</v>
      </c>
      <c r="G4506" s="98" t="str">
        <f>HYPERLINK("http://mirror.ff7data.com.ar/ff7/data/battle/battle.lgp/hwbf.png","View Picture")</f>
        <v>View Picture</v>
      </c>
    </row>
    <row r="4507">
      <c r="A4507" s="55"/>
      <c r="B4507" s="119" t="s">
        <v>36309</v>
      </c>
      <c r="C4507" s="120" t="s">
        <v>4057</v>
      </c>
      <c r="D4507" s="33" t="s">
        <v>36299</v>
      </c>
      <c r="E4507" s="51" t="s">
        <v>912</v>
      </c>
      <c r="F4507" s="121" t="s">
        <v>3009</v>
      </c>
      <c r="G4507" s="98" t="str">
        <f>HYPERLINK("http://mirror.ff7data.com.ar/ff7/data/battle/battle.lgp/hwbh.png","View Picture")</f>
        <v>View Picture</v>
      </c>
    </row>
    <row r="4508">
      <c r="A4508" s="55"/>
      <c r="B4508" s="119" t="s">
        <v>36310</v>
      </c>
      <c r="C4508" s="120" t="s">
        <v>4057</v>
      </c>
      <c r="D4508" s="33" t="s">
        <v>36299</v>
      </c>
      <c r="E4508" s="51" t="s">
        <v>912</v>
      </c>
      <c r="F4508" s="121" t="s">
        <v>3009</v>
      </c>
      <c r="G4508" s="98" t="str">
        <f>HYPERLINK("http://mirror.ff7data.com.ar/ff7/data/battle/battle.lgp/hwbi.png","View Picture")</f>
        <v>View Picture</v>
      </c>
    </row>
    <row r="4509">
      <c r="A4509" s="55"/>
      <c r="B4509" s="119" t="s">
        <v>36311</v>
      </c>
      <c r="C4509" s="120" t="s">
        <v>4252</v>
      </c>
      <c r="D4509" s="33" t="s">
        <v>36299</v>
      </c>
      <c r="E4509" s="51" t="s">
        <v>912</v>
      </c>
      <c r="F4509" s="121" t="s">
        <v>3009</v>
      </c>
      <c r="G4509" s="98" t="str">
        <f>HYPERLINK("http://mirror.ff7data.com.ar/ff7/data/battle/battle.lgp/hwbj.png","View Picture")</f>
        <v>View Picture</v>
      </c>
    </row>
    <row r="4510">
      <c r="A4510" s="55"/>
      <c r="B4510" s="119" t="s">
        <v>36312</v>
      </c>
      <c r="C4510" s="120" t="s">
        <v>7165</v>
      </c>
      <c r="D4510" s="33" t="s">
        <v>36299</v>
      </c>
      <c r="E4510" s="51" t="s">
        <v>912</v>
      </c>
      <c r="F4510" s="121" t="s">
        <v>3009</v>
      </c>
      <c r="G4510" s="98" t="str">
        <f>HYPERLINK("http://mirror.ff7data.com.ar/ff7/data/battle/battle.lgp/hwbl.png","View Picture")</f>
        <v>View Picture</v>
      </c>
    </row>
    <row r="4511">
      <c r="A4511" s="55"/>
      <c r="B4511" s="119" t="s">
        <v>36313</v>
      </c>
      <c r="C4511" s="120" t="s">
        <v>4476</v>
      </c>
      <c r="D4511" s="33" t="s">
        <v>36299</v>
      </c>
      <c r="E4511" s="51" t="s">
        <v>912</v>
      </c>
      <c r="F4511" s="121" t="s">
        <v>3009</v>
      </c>
      <c r="G4511" s="98" t="str">
        <f>HYPERLINK("http://mirror.ff7data.com.ar/ff7/data/battle/battle.lgp/hwbn.png","View Picture")</f>
        <v>View Picture</v>
      </c>
    </row>
    <row r="4512">
      <c r="A4512" s="55"/>
      <c r="B4512" s="119" t="s">
        <v>36314</v>
      </c>
      <c r="C4512" s="120" t="s">
        <v>3749</v>
      </c>
      <c r="D4512" s="33" t="s">
        <v>36299</v>
      </c>
      <c r="E4512" s="51" t="s">
        <v>912</v>
      </c>
      <c r="F4512" s="121" t="s">
        <v>3009</v>
      </c>
      <c r="G4512" s="98" t="str">
        <f>HYPERLINK("http://mirror.ff7data.com.ar/ff7/data/battle/battle.lgp/hwbo.png","View Picture")</f>
        <v>View Picture</v>
      </c>
    </row>
    <row r="4513">
      <c r="A4513" s="55"/>
      <c r="B4513" s="119" t="s">
        <v>36315</v>
      </c>
      <c r="C4513" s="120" t="s">
        <v>3749</v>
      </c>
      <c r="D4513" s="33" t="s">
        <v>36299</v>
      </c>
      <c r="E4513" s="51" t="s">
        <v>912</v>
      </c>
      <c r="F4513" s="121" t="s">
        <v>3009</v>
      </c>
      <c r="G4513" s="98" t="str">
        <f>HYPERLINK("http://mirror.ff7data.com.ar/ff7/data/battle/battle.lgp/hwbp.png","View Picture")</f>
        <v>View Picture</v>
      </c>
    </row>
    <row r="4514">
      <c r="A4514" s="55"/>
      <c r="B4514" s="119" t="s">
        <v>36316</v>
      </c>
      <c r="C4514" s="120" t="s">
        <v>3749</v>
      </c>
      <c r="D4514" s="33" t="s">
        <v>36299</v>
      </c>
      <c r="E4514" s="51" t="s">
        <v>912</v>
      </c>
      <c r="F4514" s="121" t="s">
        <v>3009</v>
      </c>
      <c r="G4514" s="98" t="str">
        <f>HYPERLINK("http://mirror.ff7data.com.ar/ff7/data/battle/battle.lgp/hwbq.png","View Picture")</f>
        <v>View Picture</v>
      </c>
    </row>
    <row r="4515">
      <c r="A4515" s="55"/>
      <c r="B4515" s="119" t="s">
        <v>36317</v>
      </c>
      <c r="C4515" s="120" t="s">
        <v>4476</v>
      </c>
      <c r="D4515" s="33" t="s">
        <v>36299</v>
      </c>
      <c r="E4515" s="51" t="s">
        <v>912</v>
      </c>
      <c r="F4515" s="121" t="s">
        <v>3009</v>
      </c>
      <c r="G4515" s="98" t="str">
        <f>HYPERLINK("http://mirror.ff7data.com.ar/ff7/data/battle/battle.lgp/hwbr.png","View Picture")</f>
        <v>View Picture</v>
      </c>
    </row>
    <row r="4516">
      <c r="A4516" s="55"/>
      <c r="B4516" s="119" t="s">
        <v>36318</v>
      </c>
      <c r="C4516" s="120" t="s">
        <v>6029</v>
      </c>
      <c r="D4516" s="33" t="s">
        <v>36299</v>
      </c>
      <c r="E4516" s="51" t="s">
        <v>912</v>
      </c>
      <c r="F4516" s="121" t="s">
        <v>3009</v>
      </c>
      <c r="G4516" s="98" t="str">
        <f>HYPERLINK("http://mirror.ff7data.com.ar/ff7/data/battle/battle.lgp/hwbs.png","View Picture")</f>
        <v>View Picture</v>
      </c>
    </row>
    <row r="4517">
      <c r="A4517" s="55"/>
      <c r="B4517" s="119" t="s">
        <v>36319</v>
      </c>
      <c r="C4517" s="120" t="s">
        <v>6029</v>
      </c>
      <c r="D4517" s="33" t="s">
        <v>36299</v>
      </c>
      <c r="E4517" s="51" t="s">
        <v>912</v>
      </c>
      <c r="F4517" s="121" t="s">
        <v>3009</v>
      </c>
      <c r="G4517" s="98" t="str">
        <f>HYPERLINK("http://mirror.ff7data.com.ar/ff7/data/battle/battle.lgp/hwbt.png","View Picture")</f>
        <v>View Picture</v>
      </c>
    </row>
    <row r="4518">
      <c r="A4518" s="55"/>
      <c r="B4518" s="119" t="s">
        <v>36320</v>
      </c>
      <c r="C4518" s="120" t="s">
        <v>4030</v>
      </c>
      <c r="D4518" s="33" t="s">
        <v>36299</v>
      </c>
      <c r="E4518" s="51" t="s">
        <v>912</v>
      </c>
      <c r="F4518" s="121" t="s">
        <v>3009</v>
      </c>
      <c r="G4518" s="98" t="str">
        <f>HYPERLINK("http://mirror.ff7data.com.ar/ff7/data/battle/battle.lgp/hwbu.png","View Picture")</f>
        <v>View Picture</v>
      </c>
    </row>
    <row r="4519">
      <c r="A4519" s="55"/>
      <c r="B4519" s="119" t="s">
        <v>36321</v>
      </c>
      <c r="C4519" s="120" t="s">
        <v>3355</v>
      </c>
      <c r="D4519" s="33" t="s">
        <v>36299</v>
      </c>
      <c r="E4519" s="51" t="s">
        <v>912</v>
      </c>
      <c r="F4519" s="121" t="s">
        <v>3009</v>
      </c>
      <c r="G4519" s="98" t="str">
        <f>HYPERLINK("http://mirror.ff7data.com.ar/ff7/data/battle/battle.lgp/hwbv.png","View Picture")</f>
        <v>View Picture</v>
      </c>
    </row>
    <row r="4520">
      <c r="A4520" s="55"/>
      <c r="B4520" s="119" t="s">
        <v>36322</v>
      </c>
      <c r="C4520" s="120" t="s">
        <v>4057</v>
      </c>
      <c r="D4520" s="33" t="s">
        <v>36299</v>
      </c>
      <c r="E4520" s="51" t="s">
        <v>912</v>
      </c>
      <c r="F4520" s="121" t="s">
        <v>3009</v>
      </c>
      <c r="G4520" s="98" t="str">
        <f>HYPERLINK("http://mirror.ff7data.com.ar/ff7/data/battle/battle.lgp/hwbx.png","View Picture")</f>
        <v>View Picture</v>
      </c>
    </row>
    <row r="4521">
      <c r="A4521" s="55"/>
      <c r="B4521" s="119" t="s">
        <v>36323</v>
      </c>
      <c r="C4521" s="120" t="s">
        <v>5419</v>
      </c>
      <c r="D4521" s="33" t="s">
        <v>36299</v>
      </c>
      <c r="E4521" s="51" t="s">
        <v>912</v>
      </c>
      <c r="F4521" s="121" t="s">
        <v>3009</v>
      </c>
      <c r="G4521" s="98" t="str">
        <f>HYPERLINK("http://mirror.ff7data.com.ar/ff7/data/battle/battle.lgp/hwbz.png","View Picture")</f>
        <v>View Picture</v>
      </c>
    </row>
    <row r="4522">
      <c r="A4522" s="55"/>
      <c r="B4522" s="119" t="s">
        <v>36324</v>
      </c>
      <c r="C4522" s="120" t="s">
        <v>4357</v>
      </c>
      <c r="D4522" s="33" t="s">
        <v>36299</v>
      </c>
      <c r="E4522" s="51" t="s">
        <v>912</v>
      </c>
      <c r="F4522" s="121" t="s">
        <v>3009</v>
      </c>
      <c r="G4522" s="98" t="str">
        <f>HYPERLINK("http://mirror.ff7data.com.ar/ff7/data/battle/battle.lgp/hwcb.png","View Picture")</f>
        <v>View Picture</v>
      </c>
    </row>
    <row r="4523">
      <c r="A4523" s="55"/>
      <c r="B4523" s="119" t="s">
        <v>36325</v>
      </c>
      <c r="C4523" s="120" t="s">
        <v>33181</v>
      </c>
      <c r="D4523" s="33" t="s">
        <v>36299</v>
      </c>
      <c r="E4523" s="51" t="s">
        <v>912</v>
      </c>
      <c r="F4523" s="121" t="s">
        <v>3025</v>
      </c>
      <c r="H4523" s="46" t="s">
        <v>3002</v>
      </c>
    </row>
    <row r="4524">
      <c r="A4524" s="21"/>
      <c r="B4524" s="119" t="s">
        <v>36326</v>
      </c>
      <c r="C4524" s="120" t="s">
        <v>4196</v>
      </c>
      <c r="D4524" s="33" t="s">
        <v>36327</v>
      </c>
      <c r="E4524" s="51" t="s">
        <v>917</v>
      </c>
      <c r="F4524" s="121" t="s">
        <v>2971</v>
      </c>
      <c r="G4524" s="98" t="str">
        <f>HYPERLINK("http://mirror.ff7data.com.ar/ff7/data/battle/battle.lgp/hxaa.png","View Picture")</f>
        <v>View Picture</v>
      </c>
      <c r="H4524" s="46" t="s">
        <v>36328</v>
      </c>
    </row>
    <row r="4525">
      <c r="A4525" s="55"/>
      <c r="B4525" s="119" t="s">
        <v>36329</v>
      </c>
      <c r="C4525" s="120" t="s">
        <v>4926</v>
      </c>
      <c r="D4525" s="33" t="s">
        <v>36330</v>
      </c>
      <c r="E4525" s="51" t="s">
        <v>917</v>
      </c>
      <c r="F4525" s="121" t="s">
        <v>2993</v>
      </c>
      <c r="H4525" s="46" t="s">
        <v>3002</v>
      </c>
    </row>
    <row r="4526">
      <c r="A4526" s="55"/>
      <c r="B4526" s="119" t="s">
        <v>36331</v>
      </c>
      <c r="C4526" s="120" t="s">
        <v>3552</v>
      </c>
      <c r="D4526" s="33" t="s">
        <v>36332</v>
      </c>
      <c r="E4526" s="51" t="s">
        <v>917</v>
      </c>
      <c r="F4526" s="121" t="s">
        <v>3009</v>
      </c>
      <c r="G4526" s="98" t="str">
        <f>HYPERLINK("http://mirror.ff7data.com.ar/ff7/data/battle/battle.lgp/hxac.png","View Picture")</f>
        <v>View Picture</v>
      </c>
    </row>
    <row r="4527">
      <c r="A4527" s="55"/>
      <c r="B4527" s="119" t="s">
        <v>36333</v>
      </c>
      <c r="C4527" s="120" t="s">
        <v>4191</v>
      </c>
      <c r="D4527" s="33" t="s">
        <v>36332</v>
      </c>
      <c r="E4527" s="51" t="s">
        <v>917</v>
      </c>
      <c r="F4527" s="121" t="s">
        <v>3009</v>
      </c>
      <c r="G4527" s="98" t="str">
        <f>HYPERLINK("http://mirror.ff7data.com.ar/ff7/data/battle/battle.lgp/hxad.png","View Picture")</f>
        <v>View Picture</v>
      </c>
    </row>
    <row r="4528">
      <c r="A4528" s="55"/>
      <c r="B4528" s="119" t="s">
        <v>36334</v>
      </c>
      <c r="C4528" s="120" t="s">
        <v>4732</v>
      </c>
      <c r="D4528" s="33" t="s">
        <v>36332</v>
      </c>
      <c r="E4528" s="51" t="s">
        <v>917</v>
      </c>
      <c r="F4528" s="121" t="s">
        <v>3009</v>
      </c>
      <c r="G4528" s="98" t="str">
        <f>HYPERLINK("http://mirror.ff7data.com.ar/ff7/data/battle/battle.lgp/hxae.png","View Picture")</f>
        <v>View Picture</v>
      </c>
    </row>
    <row r="4529">
      <c r="A4529" s="55"/>
      <c r="B4529" s="119" t="s">
        <v>36335</v>
      </c>
      <c r="C4529" s="120" t="s">
        <v>5203</v>
      </c>
      <c r="D4529" s="33" t="s">
        <v>36330</v>
      </c>
      <c r="E4529" s="51" t="s">
        <v>917</v>
      </c>
      <c r="F4529" s="121" t="s">
        <v>3009</v>
      </c>
      <c r="G4529" s="98" t="str">
        <f>HYPERLINK("http://mirror.ff7data.com.ar/ff7/data/battle/battle.lgp/hxam.png","View Picture")</f>
        <v>View Picture</v>
      </c>
    </row>
    <row r="4530">
      <c r="A4530" s="55"/>
      <c r="B4530" s="119" t="s">
        <v>36336</v>
      </c>
      <c r="C4530" s="120" t="s">
        <v>6830</v>
      </c>
      <c r="D4530" s="33" t="s">
        <v>36330</v>
      </c>
      <c r="E4530" s="51" t="s">
        <v>917</v>
      </c>
      <c r="F4530" s="121" t="s">
        <v>3009</v>
      </c>
      <c r="G4530" s="98" t="str">
        <f>HYPERLINK("http://mirror.ff7data.com.ar/ff7/data/battle/battle.lgp/hxan.png","View Picture")</f>
        <v>View Picture</v>
      </c>
    </row>
    <row r="4531">
      <c r="A4531" s="55"/>
      <c r="B4531" s="119" t="s">
        <v>36337</v>
      </c>
      <c r="C4531" s="120" t="s">
        <v>3399</v>
      </c>
      <c r="D4531" s="33" t="s">
        <v>36330</v>
      </c>
      <c r="E4531" s="51" t="s">
        <v>917</v>
      </c>
      <c r="F4531" s="121" t="s">
        <v>3009</v>
      </c>
      <c r="G4531" s="98" t="str">
        <f>HYPERLINK("http://mirror.ff7data.com.ar/ff7/data/battle/battle.lgp/hxao.png","View Picture")</f>
        <v>View Picture</v>
      </c>
    </row>
    <row r="4532">
      <c r="A4532" s="55"/>
      <c r="B4532" s="119" t="s">
        <v>36338</v>
      </c>
      <c r="C4532" s="120" t="s">
        <v>3481</v>
      </c>
      <c r="D4532" s="33" t="s">
        <v>36330</v>
      </c>
      <c r="E4532" s="51" t="s">
        <v>917</v>
      </c>
      <c r="F4532" s="121" t="s">
        <v>3009</v>
      </c>
      <c r="G4532" s="98" t="str">
        <f>HYPERLINK("http://mirror.ff7data.com.ar/ff7/data/battle/battle.lgp/hxar.png","View Picture")</f>
        <v>View Picture</v>
      </c>
    </row>
    <row r="4533">
      <c r="A4533" s="55"/>
      <c r="B4533" s="119" t="s">
        <v>36339</v>
      </c>
      <c r="C4533" s="120" t="s">
        <v>3505</v>
      </c>
      <c r="D4533" s="33" t="s">
        <v>36330</v>
      </c>
      <c r="E4533" s="51" t="s">
        <v>917</v>
      </c>
      <c r="F4533" s="121" t="s">
        <v>3009</v>
      </c>
      <c r="G4533" s="98" t="str">
        <f>HYPERLINK("http://mirror.ff7data.com.ar/ff7/data/battle/battle.lgp/hxas.png","View Picture")</f>
        <v>View Picture</v>
      </c>
    </row>
    <row r="4534">
      <c r="A4534" s="55"/>
      <c r="B4534" s="119" t="s">
        <v>36340</v>
      </c>
      <c r="C4534" s="120" t="s">
        <v>3614</v>
      </c>
      <c r="D4534" s="33" t="s">
        <v>36330</v>
      </c>
      <c r="E4534" s="51" t="s">
        <v>917</v>
      </c>
      <c r="F4534" s="121" t="s">
        <v>3009</v>
      </c>
      <c r="G4534" s="98" t="str">
        <f>HYPERLINK("http://mirror.ff7data.com.ar/ff7/data/battle/battle.lgp/hxat.png","View Picture")</f>
        <v>View Picture</v>
      </c>
    </row>
    <row r="4535">
      <c r="A4535" s="55"/>
      <c r="B4535" s="119" t="s">
        <v>36341</v>
      </c>
      <c r="C4535" s="120" t="s">
        <v>4732</v>
      </c>
      <c r="D4535" s="33" t="s">
        <v>36330</v>
      </c>
      <c r="E4535" s="51" t="s">
        <v>917</v>
      </c>
      <c r="F4535" s="121" t="s">
        <v>3009</v>
      </c>
      <c r="G4535" s="98" t="str">
        <f>HYPERLINK("http://mirror.ff7data.com.ar/ff7/data/battle/battle.lgp/hxav.png","View Picture")</f>
        <v>View Picture</v>
      </c>
    </row>
    <row r="4536">
      <c r="A4536" s="55"/>
      <c r="B4536" s="119" t="s">
        <v>36342</v>
      </c>
      <c r="C4536" s="120" t="s">
        <v>3481</v>
      </c>
      <c r="D4536" s="33" t="s">
        <v>36330</v>
      </c>
      <c r="E4536" s="51" t="s">
        <v>917</v>
      </c>
      <c r="F4536" s="121" t="s">
        <v>3009</v>
      </c>
      <c r="G4536" s="98" t="str">
        <f>HYPERLINK("http://mirror.ff7data.com.ar/ff7/data/battle/battle.lgp/hxay.png","View Picture")</f>
        <v>View Picture</v>
      </c>
    </row>
    <row r="4537">
      <c r="A4537" s="55"/>
      <c r="B4537" s="119" t="s">
        <v>36343</v>
      </c>
      <c r="C4537" s="120" t="s">
        <v>13957</v>
      </c>
      <c r="D4537" s="33" t="s">
        <v>36330</v>
      </c>
      <c r="E4537" s="51" t="s">
        <v>917</v>
      </c>
      <c r="F4537" s="121" t="s">
        <v>3009</v>
      </c>
      <c r="G4537" s="98" t="str">
        <f>HYPERLINK("http://mirror.ff7data.com.ar/ff7/data/battle/battle.lgp/hxaz.png","View Picture")</f>
        <v>View Picture</v>
      </c>
    </row>
    <row r="4538">
      <c r="A4538" s="55"/>
      <c r="B4538" s="119" t="s">
        <v>36344</v>
      </c>
      <c r="C4538" s="120" t="s">
        <v>3614</v>
      </c>
      <c r="D4538" s="33" t="s">
        <v>36330</v>
      </c>
      <c r="E4538" s="51" t="s">
        <v>917</v>
      </c>
      <c r="F4538" s="121" t="s">
        <v>3009</v>
      </c>
      <c r="G4538" s="98" t="str">
        <f>HYPERLINK("http://mirror.ff7data.com.ar/ff7/data/battle/battle.lgp/hxba.png","View Picture")</f>
        <v>View Picture</v>
      </c>
    </row>
    <row r="4539">
      <c r="A4539" s="55"/>
      <c r="B4539" s="119" t="s">
        <v>36345</v>
      </c>
      <c r="C4539" s="120" t="s">
        <v>4439</v>
      </c>
      <c r="D4539" s="33" t="s">
        <v>36330</v>
      </c>
      <c r="E4539" s="51" t="s">
        <v>917</v>
      </c>
      <c r="F4539" s="121" t="s">
        <v>3009</v>
      </c>
      <c r="G4539" s="98" t="str">
        <f>HYPERLINK("http://mirror.ff7data.com.ar/ff7/data/battle/battle.lgp/hxbc.png","View Picture")</f>
        <v>View Picture</v>
      </c>
    </row>
    <row r="4540">
      <c r="A4540" s="55"/>
      <c r="B4540" s="119" t="s">
        <v>36346</v>
      </c>
      <c r="C4540" s="120" t="s">
        <v>5762</v>
      </c>
      <c r="D4540" s="33" t="s">
        <v>36330</v>
      </c>
      <c r="E4540" s="51" t="s">
        <v>917</v>
      </c>
      <c r="F4540" s="121" t="s">
        <v>3009</v>
      </c>
      <c r="G4540" s="98" t="str">
        <f>HYPERLINK("http://mirror.ff7data.com.ar/ff7/data/battle/battle.lgp/hxbe.png","View Picture")</f>
        <v>View Picture</v>
      </c>
    </row>
    <row r="4541">
      <c r="A4541" s="55"/>
      <c r="B4541" s="119" t="s">
        <v>36347</v>
      </c>
      <c r="C4541" s="120" t="s">
        <v>9571</v>
      </c>
      <c r="D4541" s="33" t="s">
        <v>36330</v>
      </c>
      <c r="E4541" s="51" t="s">
        <v>917</v>
      </c>
      <c r="F4541" s="121" t="s">
        <v>3009</v>
      </c>
      <c r="G4541" s="98" t="str">
        <f>HYPERLINK("http://mirror.ff7data.com.ar/ff7/data/battle/battle.lgp/hxbf.png","View Picture")</f>
        <v>View Picture</v>
      </c>
    </row>
    <row r="4542">
      <c r="A4542" s="55"/>
      <c r="B4542" s="119" t="s">
        <v>36348</v>
      </c>
      <c r="C4542" s="120" t="s">
        <v>4185</v>
      </c>
      <c r="D4542" s="33" t="s">
        <v>36330</v>
      </c>
      <c r="E4542" s="51" t="s">
        <v>917</v>
      </c>
      <c r="F4542" s="121" t="s">
        <v>3009</v>
      </c>
      <c r="G4542" s="98" t="str">
        <f>HYPERLINK("http://mirror.ff7data.com.ar/ff7/data/battle/battle.lgp/hxbh.png","View Picture")</f>
        <v>View Picture</v>
      </c>
    </row>
    <row r="4543">
      <c r="A4543" s="55"/>
      <c r="B4543" s="119" t="s">
        <v>36349</v>
      </c>
      <c r="C4543" s="120" t="s">
        <v>4185</v>
      </c>
      <c r="D4543" s="33" t="s">
        <v>36330</v>
      </c>
      <c r="E4543" s="51" t="s">
        <v>917</v>
      </c>
      <c r="F4543" s="121" t="s">
        <v>3009</v>
      </c>
      <c r="G4543" s="98" t="str">
        <f>HYPERLINK("http://mirror.ff7data.com.ar/ff7/data/battle/battle.lgp/hxbi.png","View Picture")</f>
        <v>View Picture</v>
      </c>
    </row>
    <row r="4544">
      <c r="A4544" s="55"/>
      <c r="B4544" s="119" t="s">
        <v>36350</v>
      </c>
      <c r="C4544" s="120" t="s">
        <v>4185</v>
      </c>
      <c r="D4544" s="33" t="s">
        <v>36330</v>
      </c>
      <c r="E4544" s="51" t="s">
        <v>917</v>
      </c>
      <c r="F4544" s="121" t="s">
        <v>3009</v>
      </c>
      <c r="G4544" s="98" t="str">
        <f>HYPERLINK("http://mirror.ff7data.com.ar/ff7/data/battle/battle.lgp/hxbj.png","View Picture")</f>
        <v>View Picture</v>
      </c>
    </row>
    <row r="4545">
      <c r="A4545" s="55"/>
      <c r="B4545" s="119" t="s">
        <v>36351</v>
      </c>
      <c r="C4545" s="120" t="s">
        <v>5967</v>
      </c>
      <c r="D4545" s="33" t="s">
        <v>36330</v>
      </c>
      <c r="E4545" s="51" t="s">
        <v>917</v>
      </c>
      <c r="F4545" s="121" t="s">
        <v>3009</v>
      </c>
      <c r="G4545" s="98" t="str">
        <f>HYPERLINK("http://mirror.ff7data.com.ar/ff7/data/battle/battle.lgp/hxbl.png","View Picture")</f>
        <v>View Picture</v>
      </c>
    </row>
    <row r="4546">
      <c r="A4546" s="55"/>
      <c r="B4546" s="119" t="s">
        <v>36352</v>
      </c>
      <c r="C4546" s="120" t="s">
        <v>10955</v>
      </c>
      <c r="D4546" s="33" t="s">
        <v>36330</v>
      </c>
      <c r="E4546" s="51" t="s">
        <v>917</v>
      </c>
      <c r="F4546" s="121" t="s">
        <v>3009</v>
      </c>
      <c r="G4546" s="98" t="str">
        <f>HYPERLINK("http://mirror.ff7data.com.ar/ff7/data/battle/battle.lgp/hxbm.png","View Picture")</f>
        <v>View Picture</v>
      </c>
    </row>
    <row r="4547">
      <c r="A4547" s="55"/>
      <c r="B4547" s="119" t="s">
        <v>36353</v>
      </c>
      <c r="C4547" s="120" t="s">
        <v>6018</v>
      </c>
      <c r="D4547" s="33" t="s">
        <v>36330</v>
      </c>
      <c r="E4547" s="51" t="s">
        <v>917</v>
      </c>
      <c r="F4547" s="121" t="s">
        <v>3025</v>
      </c>
      <c r="H4547" s="46" t="s">
        <v>3002</v>
      </c>
    </row>
    <row r="4548">
      <c r="A4548" s="21"/>
      <c r="B4548" s="119" t="s">
        <v>36354</v>
      </c>
      <c r="C4548" s="120" t="s">
        <v>2989</v>
      </c>
      <c r="D4548" s="33" t="s">
        <v>36355</v>
      </c>
      <c r="E4548" s="51" t="s">
        <v>924</v>
      </c>
      <c r="F4548" s="121" t="s">
        <v>2971</v>
      </c>
      <c r="G4548" s="98" t="str">
        <f>HYPERLINK("http://mirror.ff7data.com.ar/ff7/data/battle/battle.lgp/hyaa.png","View Picture")</f>
        <v>View Picture</v>
      </c>
    </row>
    <row r="4549">
      <c r="A4549" s="55"/>
      <c r="B4549" s="119" t="s">
        <v>36356</v>
      </c>
      <c r="C4549" s="120" t="s">
        <v>12616</v>
      </c>
      <c r="D4549" s="33" t="s">
        <v>36357</v>
      </c>
      <c r="E4549" s="51" t="s">
        <v>924</v>
      </c>
      <c r="F4549" s="121" t="s">
        <v>2993</v>
      </c>
      <c r="H4549" s="46" t="s">
        <v>3002</v>
      </c>
    </row>
    <row r="4550">
      <c r="A4550" s="55"/>
      <c r="B4550" s="119" t="s">
        <v>36358</v>
      </c>
      <c r="C4550" s="120" t="s">
        <v>5891</v>
      </c>
      <c r="D4550" s="33" t="s">
        <v>36357</v>
      </c>
      <c r="E4550" s="51" t="s">
        <v>924</v>
      </c>
      <c r="F4550" s="121" t="s">
        <v>3009</v>
      </c>
      <c r="G4550" s="98" t="str">
        <f>HYPERLINK("http://mirror.ff7data.com.ar/ff7/data/battle/battle.lgp/hyam.png","View Picture")</f>
        <v>View Picture</v>
      </c>
    </row>
    <row r="4551">
      <c r="A4551" s="55"/>
      <c r="B4551" s="119" t="s">
        <v>36359</v>
      </c>
      <c r="C4551" s="120" t="s">
        <v>4372</v>
      </c>
      <c r="D4551" s="33" t="s">
        <v>36357</v>
      </c>
      <c r="E4551" s="51" t="s">
        <v>924</v>
      </c>
      <c r="F4551" s="121" t="s">
        <v>3009</v>
      </c>
      <c r="G4551" s="98" t="str">
        <f>HYPERLINK("http://mirror.ff7data.com.ar/ff7/data/battle/battle.lgp/hyan.png","View Picture")</f>
        <v>View Picture</v>
      </c>
    </row>
    <row r="4552">
      <c r="A4552" s="55"/>
      <c r="B4552" s="119" t="s">
        <v>36360</v>
      </c>
      <c r="C4552" s="120" t="s">
        <v>3614</v>
      </c>
      <c r="D4552" s="33" t="s">
        <v>36357</v>
      </c>
      <c r="E4552" s="51" t="s">
        <v>924</v>
      </c>
      <c r="F4552" s="121" t="s">
        <v>3009</v>
      </c>
      <c r="G4552" s="98" t="str">
        <f>HYPERLINK("http://mirror.ff7data.com.ar/ff7/data/battle/battle.lgp/hyao.png","View Picture")</f>
        <v>View Picture</v>
      </c>
    </row>
    <row r="4553">
      <c r="A4553" s="55"/>
      <c r="B4553" s="119" t="s">
        <v>36361</v>
      </c>
      <c r="C4553" s="120" t="s">
        <v>4228</v>
      </c>
      <c r="D4553" s="33" t="s">
        <v>36357</v>
      </c>
      <c r="E4553" s="51" t="s">
        <v>924</v>
      </c>
      <c r="F4553" s="121" t="s">
        <v>3009</v>
      </c>
      <c r="G4553" s="98" t="str">
        <f>HYPERLINK("http://mirror.ff7data.com.ar/ff7/data/battle/battle.lgp/hyap.png","View Picture")</f>
        <v>View Picture</v>
      </c>
    </row>
    <row r="4554">
      <c r="A4554" s="55"/>
      <c r="B4554" s="119" t="s">
        <v>36362</v>
      </c>
      <c r="C4554" s="120" t="s">
        <v>3355</v>
      </c>
      <c r="D4554" s="33" t="s">
        <v>36357</v>
      </c>
      <c r="E4554" s="51" t="s">
        <v>924</v>
      </c>
      <c r="F4554" s="121" t="s">
        <v>3009</v>
      </c>
      <c r="G4554" s="98" t="str">
        <f>HYPERLINK("http://mirror.ff7data.com.ar/ff7/data/battle/battle.lgp/hyar.png","View Picture")</f>
        <v>View Picture</v>
      </c>
    </row>
    <row r="4555">
      <c r="A4555" s="55"/>
      <c r="B4555" s="119" t="s">
        <v>36363</v>
      </c>
      <c r="C4555" s="120" t="s">
        <v>7165</v>
      </c>
      <c r="D4555" s="33" t="s">
        <v>36357</v>
      </c>
      <c r="E4555" s="51" t="s">
        <v>924</v>
      </c>
      <c r="F4555" s="121" t="s">
        <v>3009</v>
      </c>
      <c r="G4555" s="98" t="str">
        <f>HYPERLINK("http://mirror.ff7data.com.ar/ff7/data/battle/battle.lgp/hyau.png","View Picture")</f>
        <v>View Picture</v>
      </c>
    </row>
    <row r="4556">
      <c r="A4556" s="55"/>
      <c r="B4556" s="119" t="s">
        <v>36364</v>
      </c>
      <c r="C4556" s="120" t="s">
        <v>4439</v>
      </c>
      <c r="D4556" s="33" t="s">
        <v>36357</v>
      </c>
      <c r="E4556" s="51" t="s">
        <v>924</v>
      </c>
      <c r="F4556" s="121" t="s">
        <v>3009</v>
      </c>
      <c r="G4556" s="98" t="str">
        <f>HYPERLINK("http://mirror.ff7data.com.ar/ff7/data/battle/battle.lgp/hyav.png","View Picture")</f>
        <v>View Picture</v>
      </c>
    </row>
    <row r="4557">
      <c r="A4557" s="55"/>
      <c r="B4557" s="119" t="s">
        <v>36365</v>
      </c>
      <c r="C4557" s="120" t="s">
        <v>3445</v>
      </c>
      <c r="D4557" s="33" t="s">
        <v>36357</v>
      </c>
      <c r="E4557" s="51" t="s">
        <v>924</v>
      </c>
      <c r="F4557" s="121" t="s">
        <v>3009</v>
      </c>
      <c r="G4557" s="98" t="str">
        <f>HYPERLINK("http://mirror.ff7data.com.ar/ff7/data/battle/battle.lgp/hyaw.png","View Picture")</f>
        <v>View Picture</v>
      </c>
    </row>
    <row r="4558">
      <c r="A4558" s="55"/>
      <c r="B4558" s="119" t="s">
        <v>36366</v>
      </c>
      <c r="C4558" s="120" t="s">
        <v>7165</v>
      </c>
      <c r="D4558" s="33" t="s">
        <v>36357</v>
      </c>
      <c r="E4558" s="51" t="s">
        <v>924</v>
      </c>
      <c r="F4558" s="121" t="s">
        <v>3009</v>
      </c>
      <c r="G4558" s="98" t="str">
        <f>HYPERLINK("http://mirror.ff7data.com.ar/ff7/data/battle/battle.lgp/hyaz.png","View Picture")</f>
        <v>View Picture</v>
      </c>
    </row>
    <row r="4559">
      <c r="A4559" s="55"/>
      <c r="B4559" s="119" t="s">
        <v>36367</v>
      </c>
      <c r="C4559" s="120" t="s">
        <v>4439</v>
      </c>
      <c r="D4559" s="33" t="s">
        <v>36357</v>
      </c>
      <c r="E4559" s="51" t="s">
        <v>924</v>
      </c>
      <c r="F4559" s="121" t="s">
        <v>3009</v>
      </c>
      <c r="G4559" s="98" t="str">
        <f>HYPERLINK("http://mirror.ff7data.com.ar/ff7/data/battle/battle.lgp/hyba.png","View Picture")</f>
        <v>View Picture</v>
      </c>
    </row>
    <row r="4560">
      <c r="A4560" s="55"/>
      <c r="B4560" s="119" t="s">
        <v>36368</v>
      </c>
      <c r="C4560" s="120" t="s">
        <v>3445</v>
      </c>
      <c r="D4560" s="33" t="s">
        <v>36357</v>
      </c>
      <c r="E4560" s="51" t="s">
        <v>924</v>
      </c>
      <c r="F4560" s="121" t="s">
        <v>3009</v>
      </c>
      <c r="G4560" s="98" t="str">
        <f>HYPERLINK("http://mirror.ff7data.com.ar/ff7/data/battle/battle.lgp/hybb.png","View Picture")</f>
        <v>View Picture</v>
      </c>
    </row>
    <row r="4561">
      <c r="A4561" s="55"/>
      <c r="B4561" s="119" t="s">
        <v>36369</v>
      </c>
      <c r="C4561" s="120" t="s">
        <v>4732</v>
      </c>
      <c r="D4561" s="33" t="s">
        <v>36357</v>
      </c>
      <c r="E4561" s="51" t="s">
        <v>924</v>
      </c>
      <c r="F4561" s="121" t="s">
        <v>3009</v>
      </c>
      <c r="G4561" s="98" t="str">
        <f>HYPERLINK("http://mirror.ff7data.com.ar/ff7/data/battle/battle.lgp/hybd.png","View Picture")</f>
        <v>View Picture</v>
      </c>
    </row>
    <row r="4562">
      <c r="A4562" s="55"/>
      <c r="B4562" s="119" t="s">
        <v>36370</v>
      </c>
      <c r="C4562" s="120" t="s">
        <v>4264</v>
      </c>
      <c r="D4562" s="33" t="s">
        <v>36357</v>
      </c>
      <c r="E4562" s="51" t="s">
        <v>924</v>
      </c>
      <c r="F4562" s="121" t="s">
        <v>3009</v>
      </c>
      <c r="G4562" s="98" t="str">
        <f>HYPERLINK("http://mirror.ff7data.com.ar/ff7/data/battle/battle.lgp/hybe.png","View Picture")</f>
        <v>View Picture</v>
      </c>
    </row>
    <row r="4563">
      <c r="A4563" s="55"/>
      <c r="B4563" s="119" t="s">
        <v>36371</v>
      </c>
      <c r="C4563" s="120" t="s">
        <v>4732</v>
      </c>
      <c r="D4563" s="33" t="s">
        <v>36357</v>
      </c>
      <c r="E4563" s="51" t="s">
        <v>924</v>
      </c>
      <c r="F4563" s="121" t="s">
        <v>3009</v>
      </c>
      <c r="G4563" s="98" t="str">
        <f>HYPERLINK("http://mirror.ff7data.com.ar/ff7/data/battle/battle.lgp/hybg.png","View Picture")</f>
        <v>View Picture</v>
      </c>
    </row>
    <row r="4564">
      <c r="A4564" s="55"/>
      <c r="B4564" s="119" t="s">
        <v>36372</v>
      </c>
      <c r="C4564" s="120" t="s">
        <v>4264</v>
      </c>
      <c r="D4564" s="33" t="s">
        <v>36357</v>
      </c>
      <c r="E4564" s="51" t="s">
        <v>924</v>
      </c>
      <c r="F4564" s="121" t="s">
        <v>3009</v>
      </c>
      <c r="G4564" s="98" t="str">
        <f>HYPERLINK("http://mirror.ff7data.com.ar/ff7/data/battle/battle.lgp/hybh.png","View Picture")</f>
        <v>View Picture</v>
      </c>
    </row>
    <row r="4565">
      <c r="A4565" s="55"/>
      <c r="B4565" s="119" t="s">
        <v>36373</v>
      </c>
      <c r="C4565" s="120" t="s">
        <v>6029</v>
      </c>
      <c r="D4565" s="33" t="s">
        <v>36357</v>
      </c>
      <c r="E4565" s="51" t="s">
        <v>924</v>
      </c>
      <c r="F4565" s="121" t="s">
        <v>3009</v>
      </c>
      <c r="G4565" s="98" t="str">
        <f>HYPERLINK("http://mirror.ff7data.com.ar/ff7/data/battle/battle.lgp/hybi.png","View Picture")</f>
        <v>View Picture</v>
      </c>
    </row>
    <row r="4566">
      <c r="A4566" s="55"/>
      <c r="B4566" s="119" t="s">
        <v>36374</v>
      </c>
      <c r="C4566" s="120" t="s">
        <v>4372</v>
      </c>
      <c r="D4566" s="33" t="s">
        <v>36357</v>
      </c>
      <c r="E4566" s="51" t="s">
        <v>924</v>
      </c>
      <c r="F4566" s="121" t="s">
        <v>3009</v>
      </c>
      <c r="G4566" s="98" t="str">
        <f>HYPERLINK("http://mirror.ff7data.com.ar/ff7/data/battle/battle.lgp/hybj.png","View Picture")</f>
        <v>View Picture</v>
      </c>
    </row>
    <row r="4567">
      <c r="A4567" s="55"/>
      <c r="B4567" s="119" t="s">
        <v>36375</v>
      </c>
      <c r="C4567" s="120" t="s">
        <v>4476</v>
      </c>
      <c r="D4567" s="33" t="s">
        <v>36357</v>
      </c>
      <c r="E4567" s="51" t="s">
        <v>924</v>
      </c>
      <c r="F4567" s="121" t="s">
        <v>3009</v>
      </c>
      <c r="G4567" s="98" t="str">
        <f>HYPERLINK("http://mirror.ff7data.com.ar/ff7/data/battle/battle.lgp/hybk.png","View Picture")</f>
        <v>View Picture</v>
      </c>
    </row>
    <row r="4568">
      <c r="A4568" s="55"/>
      <c r="B4568" s="119" t="s">
        <v>36376</v>
      </c>
      <c r="C4568" s="120" t="s">
        <v>4439</v>
      </c>
      <c r="D4568" s="33" t="s">
        <v>36357</v>
      </c>
      <c r="E4568" s="51" t="s">
        <v>924</v>
      </c>
      <c r="F4568" s="121" t="s">
        <v>3009</v>
      </c>
      <c r="G4568" s="98" t="str">
        <f>HYPERLINK("http://mirror.ff7data.com.ar/ff7/data/battle/battle.lgp/hybl.png","View Picture")</f>
        <v>View Picture</v>
      </c>
    </row>
    <row r="4569">
      <c r="A4569" s="55"/>
      <c r="B4569" s="119" t="s">
        <v>36377</v>
      </c>
      <c r="C4569" s="120" t="s">
        <v>7148</v>
      </c>
      <c r="D4569" s="33" t="s">
        <v>36357</v>
      </c>
      <c r="E4569" s="51" t="s">
        <v>924</v>
      </c>
      <c r="F4569" s="121" t="s">
        <v>3009</v>
      </c>
      <c r="G4569" s="98" t="str">
        <f>HYPERLINK("http://mirror.ff7data.com.ar/ff7/data/battle/battle.lgp/hybn.png","View Picture")</f>
        <v>View Picture</v>
      </c>
    </row>
    <row r="4570">
      <c r="A4570" s="55"/>
      <c r="B4570" s="119" t="s">
        <v>36378</v>
      </c>
      <c r="C4570" s="120" t="s">
        <v>7148</v>
      </c>
      <c r="D4570" s="33" t="s">
        <v>36357</v>
      </c>
      <c r="E4570" s="51" t="s">
        <v>924</v>
      </c>
      <c r="F4570" s="121" t="s">
        <v>3009</v>
      </c>
      <c r="G4570" s="98" t="str">
        <f>HYPERLINK("http://mirror.ff7data.com.ar/ff7/data/battle/battle.lgp/hybp.png","View Picture")</f>
        <v>View Picture</v>
      </c>
    </row>
    <row r="4571">
      <c r="A4571" s="55"/>
      <c r="B4571" s="119" t="s">
        <v>36379</v>
      </c>
      <c r="C4571" s="120" t="s">
        <v>18406</v>
      </c>
      <c r="D4571" s="33" t="s">
        <v>36357</v>
      </c>
      <c r="E4571" s="51" t="s">
        <v>924</v>
      </c>
      <c r="F4571" s="121" t="s">
        <v>3025</v>
      </c>
      <c r="H4571" s="46" t="s">
        <v>3002</v>
      </c>
    </row>
    <row r="4572">
      <c r="A4572" s="21"/>
      <c r="B4572" s="119" t="s">
        <v>36380</v>
      </c>
      <c r="C4572" s="120" t="s">
        <v>8004</v>
      </c>
      <c r="D4572" s="33" t="s">
        <v>36381</v>
      </c>
      <c r="E4572" s="51" t="s">
        <v>931</v>
      </c>
      <c r="F4572" s="121" t="s">
        <v>2971</v>
      </c>
      <c r="G4572" s="98" t="str">
        <f>HYPERLINK("http://mirror.ff7data.com.ar/ff7/data/battle/battle.lgp/hzaa.png","View Picture")</f>
        <v>View Picture</v>
      </c>
      <c r="H4572" s="46" t="s">
        <v>36382</v>
      </c>
    </row>
    <row r="4573">
      <c r="A4573" s="55"/>
      <c r="B4573" s="119" t="s">
        <v>36383</v>
      </c>
      <c r="C4573" s="120" t="s">
        <v>5724</v>
      </c>
      <c r="D4573" s="33" t="s">
        <v>36384</v>
      </c>
      <c r="E4573" s="51" t="s">
        <v>931</v>
      </c>
      <c r="F4573" s="121" t="s">
        <v>2993</v>
      </c>
      <c r="H4573" s="46" t="s">
        <v>3002</v>
      </c>
    </row>
    <row r="4574">
      <c r="A4574" s="55"/>
      <c r="B4574" s="119" t="s">
        <v>36385</v>
      </c>
      <c r="C4574" s="120" t="s">
        <v>4476</v>
      </c>
      <c r="D4574" s="33" t="s">
        <v>36384</v>
      </c>
      <c r="E4574" s="51" t="s">
        <v>931</v>
      </c>
      <c r="F4574" s="121" t="s">
        <v>3009</v>
      </c>
      <c r="G4574" s="98" t="str">
        <f>HYPERLINK("http://mirror.ff7data.com.ar/ff7/data/battle/battle.lgp/hzam.png","View Picture")</f>
        <v>View Picture</v>
      </c>
    </row>
    <row r="4575">
      <c r="A4575" s="55"/>
      <c r="B4575" s="119" t="s">
        <v>36386</v>
      </c>
      <c r="C4575" s="120" t="s">
        <v>4217</v>
      </c>
      <c r="D4575" s="33" t="s">
        <v>36384</v>
      </c>
      <c r="E4575" s="51" t="s">
        <v>931</v>
      </c>
      <c r="F4575" s="121" t="s">
        <v>3009</v>
      </c>
      <c r="G4575" s="98" t="str">
        <f>HYPERLINK("http://mirror.ff7data.com.ar/ff7/data/battle/battle.lgp/hzan.png","View Picture")</f>
        <v>View Picture</v>
      </c>
    </row>
    <row r="4576">
      <c r="A4576" s="55"/>
      <c r="B4576" s="119" t="s">
        <v>36387</v>
      </c>
      <c r="C4576" s="120" t="s">
        <v>4185</v>
      </c>
      <c r="D4576" s="33" t="s">
        <v>36384</v>
      </c>
      <c r="E4576" s="51" t="s">
        <v>931</v>
      </c>
      <c r="F4576" s="121" t="s">
        <v>3009</v>
      </c>
      <c r="G4576" s="98" t="str">
        <f>HYPERLINK("http://mirror.ff7data.com.ar/ff7/data/battle/battle.lgp/hzao.png","View Picture")</f>
        <v>View Picture</v>
      </c>
    </row>
    <row r="4577">
      <c r="A4577" s="55"/>
      <c r="B4577" s="119" t="s">
        <v>36388</v>
      </c>
      <c r="C4577" s="120" t="s">
        <v>4439</v>
      </c>
      <c r="D4577" s="33" t="s">
        <v>36384</v>
      </c>
      <c r="E4577" s="51" t="s">
        <v>931</v>
      </c>
      <c r="F4577" s="121" t="s">
        <v>3009</v>
      </c>
      <c r="G4577" s="98" t="str">
        <f>HYPERLINK("http://mirror.ff7data.com.ar/ff7/data/battle/battle.lgp/hzap.png","View Picture")</f>
        <v>View Picture</v>
      </c>
    </row>
    <row r="4578">
      <c r="A4578" s="55"/>
      <c r="B4578" s="119" t="s">
        <v>36389</v>
      </c>
      <c r="C4578" s="120" t="s">
        <v>4185</v>
      </c>
      <c r="D4578" s="33" t="s">
        <v>36384</v>
      </c>
      <c r="E4578" s="51" t="s">
        <v>931</v>
      </c>
      <c r="F4578" s="121" t="s">
        <v>3009</v>
      </c>
      <c r="G4578" s="98" t="str">
        <f>HYPERLINK("http://mirror.ff7data.com.ar/ff7/data/battle/battle.lgp/hzaq.png","View Picture")</f>
        <v>View Picture</v>
      </c>
    </row>
    <row r="4579">
      <c r="A4579" s="55"/>
      <c r="B4579" s="119" t="s">
        <v>36390</v>
      </c>
      <c r="C4579" s="120" t="s">
        <v>9571</v>
      </c>
      <c r="D4579" s="33" t="s">
        <v>36384</v>
      </c>
      <c r="E4579" s="51" t="s">
        <v>931</v>
      </c>
      <c r="F4579" s="121" t="s">
        <v>3009</v>
      </c>
      <c r="G4579" s="98" t="str">
        <f>HYPERLINK("http://mirror.ff7data.com.ar/ff7/data/battle/battle.lgp/hzar.png","View Picture")</f>
        <v>View Picture</v>
      </c>
    </row>
    <row r="4580">
      <c r="A4580" s="55"/>
      <c r="B4580" s="119" t="s">
        <v>36391</v>
      </c>
      <c r="C4580" s="120" t="s">
        <v>4476</v>
      </c>
      <c r="D4580" s="33" t="s">
        <v>36384</v>
      </c>
      <c r="E4580" s="51" t="s">
        <v>931</v>
      </c>
      <c r="F4580" s="121" t="s">
        <v>3009</v>
      </c>
      <c r="G4580" s="98" t="str">
        <f>HYPERLINK("http://mirror.ff7data.com.ar/ff7/data/battle/battle.lgp/hzas.png","View Picture")</f>
        <v>View Picture</v>
      </c>
    </row>
    <row r="4581">
      <c r="A4581" s="55"/>
      <c r="B4581" s="119" t="s">
        <v>36392</v>
      </c>
      <c r="C4581" s="120" t="s">
        <v>3749</v>
      </c>
      <c r="D4581" s="33" t="s">
        <v>36384</v>
      </c>
      <c r="E4581" s="51" t="s">
        <v>931</v>
      </c>
      <c r="F4581" s="121" t="s">
        <v>3009</v>
      </c>
      <c r="G4581" s="98" t="str">
        <f>HYPERLINK("http://mirror.ff7data.com.ar/ff7/data/battle/battle.lgp/hzau.png","View Picture")</f>
        <v>View Picture</v>
      </c>
    </row>
    <row r="4582">
      <c r="A4582" s="55"/>
      <c r="B4582" s="119" t="s">
        <v>36393</v>
      </c>
      <c r="C4582" s="120" t="s">
        <v>4057</v>
      </c>
      <c r="D4582" s="33" t="s">
        <v>36384</v>
      </c>
      <c r="E4582" s="51" t="s">
        <v>931</v>
      </c>
      <c r="F4582" s="121" t="s">
        <v>3009</v>
      </c>
      <c r="G4582" s="98" t="str">
        <f>HYPERLINK("http://mirror.ff7data.com.ar/ff7/data/battle/battle.lgp/hzaw.png","View Picture")</f>
        <v>View Picture</v>
      </c>
    </row>
    <row r="4583">
      <c r="A4583" s="55"/>
      <c r="B4583" s="119" t="s">
        <v>36394</v>
      </c>
      <c r="C4583" s="120" t="s">
        <v>4476</v>
      </c>
      <c r="D4583" s="33" t="s">
        <v>36384</v>
      </c>
      <c r="E4583" s="51" t="s">
        <v>931</v>
      </c>
      <c r="F4583" s="121" t="s">
        <v>3009</v>
      </c>
      <c r="G4583" s="98" t="str">
        <f>HYPERLINK("http://mirror.ff7data.com.ar/ff7/data/battle/battle.lgp/hzax.png","View Picture")</f>
        <v>View Picture</v>
      </c>
    </row>
    <row r="4584">
      <c r="A4584" s="55"/>
      <c r="B4584" s="119" t="s">
        <v>36395</v>
      </c>
      <c r="C4584" s="120" t="s">
        <v>4288</v>
      </c>
      <c r="D4584" s="33" t="s">
        <v>36384</v>
      </c>
      <c r="E4584" s="51" t="s">
        <v>931</v>
      </c>
      <c r="F4584" s="121" t="s">
        <v>3009</v>
      </c>
      <c r="G4584" s="98" t="str">
        <f>HYPERLINK("http://mirror.ff7data.com.ar/ff7/data/battle/battle.lgp/hzaz.png","View Picture")</f>
        <v>View Picture</v>
      </c>
    </row>
    <row r="4585">
      <c r="A4585" s="55"/>
      <c r="B4585" s="119" t="s">
        <v>36396</v>
      </c>
      <c r="C4585" s="120" t="s">
        <v>4476</v>
      </c>
      <c r="D4585" s="33" t="s">
        <v>36384</v>
      </c>
      <c r="E4585" s="51" t="s">
        <v>931</v>
      </c>
      <c r="F4585" s="121" t="s">
        <v>3009</v>
      </c>
      <c r="G4585" s="98" t="str">
        <f>HYPERLINK("http://mirror.ff7data.com.ar/ff7/data/battle/battle.lgp/hzba.png","View Picture")</f>
        <v>View Picture</v>
      </c>
    </row>
    <row r="4586">
      <c r="A4586" s="55"/>
      <c r="B4586" s="119" t="s">
        <v>36397</v>
      </c>
      <c r="C4586" s="120" t="s">
        <v>5419</v>
      </c>
      <c r="D4586" s="33" t="s">
        <v>36384</v>
      </c>
      <c r="E4586" s="51" t="s">
        <v>931</v>
      </c>
      <c r="F4586" s="121" t="s">
        <v>3009</v>
      </c>
      <c r="G4586" s="98" t="str">
        <f>HYPERLINK("http://mirror.ff7data.com.ar/ff7/data/battle/battle.lgp/hzbc.png","View Picture")</f>
        <v>View Picture</v>
      </c>
    </row>
    <row r="4587">
      <c r="A4587" s="55"/>
      <c r="B4587" s="119" t="s">
        <v>36398</v>
      </c>
      <c r="C4587" s="120" t="s">
        <v>6029</v>
      </c>
      <c r="D4587" s="33" t="s">
        <v>36384</v>
      </c>
      <c r="E4587" s="51" t="s">
        <v>931</v>
      </c>
      <c r="F4587" s="121" t="s">
        <v>3009</v>
      </c>
      <c r="G4587" s="98" t="str">
        <f>HYPERLINK("http://mirror.ff7data.com.ar/ff7/data/battle/battle.lgp/hzbd.png","View Picture")</f>
        <v>View Picture</v>
      </c>
    </row>
    <row r="4588">
      <c r="A4588" s="55"/>
      <c r="B4588" s="119" t="s">
        <v>36399</v>
      </c>
      <c r="C4588" s="120" t="s">
        <v>18731</v>
      </c>
      <c r="D4588" s="33" t="s">
        <v>36384</v>
      </c>
      <c r="E4588" s="51" t="s">
        <v>931</v>
      </c>
      <c r="F4588" s="121" t="s">
        <v>3009</v>
      </c>
      <c r="G4588" s="98" t="str">
        <f>HYPERLINK("http://mirror.ff7data.com.ar/ff7/data/battle/battle.lgp/hzbf.png","View Picture")</f>
        <v>View Picture</v>
      </c>
    </row>
    <row r="4589">
      <c r="A4589" s="55"/>
      <c r="B4589" s="119" t="s">
        <v>36400</v>
      </c>
      <c r="C4589" s="120" t="s">
        <v>4185</v>
      </c>
      <c r="D4589" s="33" t="s">
        <v>36384</v>
      </c>
      <c r="E4589" s="51" t="s">
        <v>931</v>
      </c>
      <c r="F4589" s="121" t="s">
        <v>3009</v>
      </c>
      <c r="G4589" s="98" t="str">
        <f>HYPERLINK("http://mirror.ff7data.com.ar/ff7/data/battle/battle.lgp/hzbg.png","View Picture")</f>
        <v>View Picture</v>
      </c>
    </row>
    <row r="4590">
      <c r="A4590" s="55"/>
      <c r="B4590" s="119" t="s">
        <v>36401</v>
      </c>
      <c r="C4590" s="120" t="s">
        <v>4185</v>
      </c>
      <c r="D4590" s="33" t="s">
        <v>36384</v>
      </c>
      <c r="E4590" s="51" t="s">
        <v>931</v>
      </c>
      <c r="F4590" s="121" t="s">
        <v>3009</v>
      </c>
      <c r="G4590" s="98" t="str">
        <f>HYPERLINK("http://mirror.ff7data.com.ar/ff7/data/battle/battle.lgp/hzbh.png","View Picture")</f>
        <v>View Picture</v>
      </c>
    </row>
    <row r="4591">
      <c r="A4591" s="55"/>
      <c r="B4591" s="119" t="s">
        <v>36402</v>
      </c>
      <c r="C4591" s="120" t="s">
        <v>4719</v>
      </c>
      <c r="D4591" s="33" t="s">
        <v>36384</v>
      </c>
      <c r="E4591" s="51" t="s">
        <v>931</v>
      </c>
      <c r="F4591" s="121" t="s">
        <v>3009</v>
      </c>
      <c r="G4591" s="98" t="str">
        <f>HYPERLINK("http://mirror.ff7data.com.ar/ff7/data/battle/battle.lgp/hzbj.png","View Picture")</f>
        <v>View Picture</v>
      </c>
    </row>
    <row r="4592">
      <c r="A4592" s="55"/>
      <c r="B4592" s="119" t="s">
        <v>36403</v>
      </c>
      <c r="C4592" s="120" t="s">
        <v>6029</v>
      </c>
      <c r="D4592" s="33" t="s">
        <v>36384</v>
      </c>
      <c r="E4592" s="51" t="s">
        <v>931</v>
      </c>
      <c r="F4592" s="121" t="s">
        <v>3009</v>
      </c>
      <c r="G4592" s="98" t="str">
        <f>HYPERLINK("http://mirror.ff7data.com.ar/ff7/data/battle/battle.lgp/hzbk.png","View Picture")</f>
        <v>View Picture</v>
      </c>
    </row>
    <row r="4593">
      <c r="A4593" s="55"/>
      <c r="B4593" s="119" t="s">
        <v>36404</v>
      </c>
      <c r="C4593" s="120" t="s">
        <v>4396</v>
      </c>
      <c r="D4593" s="33" t="s">
        <v>36384</v>
      </c>
      <c r="E4593" s="51" t="s">
        <v>931</v>
      </c>
      <c r="F4593" s="121" t="s">
        <v>3009</v>
      </c>
      <c r="G4593" s="98" t="str">
        <f>HYPERLINK("http://mirror.ff7data.com.ar/ff7/data/battle/battle.lgp/hzbl.png","View Picture")</f>
        <v>View Picture</v>
      </c>
    </row>
    <row r="4594">
      <c r="A4594" s="55"/>
      <c r="B4594" s="119" t="s">
        <v>36405</v>
      </c>
      <c r="C4594" s="120" t="s">
        <v>6029</v>
      </c>
      <c r="D4594" s="33" t="s">
        <v>36384</v>
      </c>
      <c r="E4594" s="51" t="s">
        <v>931</v>
      </c>
      <c r="F4594" s="121" t="s">
        <v>3009</v>
      </c>
      <c r="G4594" s="98" t="str">
        <f>HYPERLINK("http://mirror.ff7data.com.ar/ff7/data/battle/battle.lgp/hzbn.png","View Picture")</f>
        <v>View Picture</v>
      </c>
    </row>
    <row r="4595">
      <c r="A4595" s="55"/>
      <c r="B4595" s="119" t="s">
        <v>36406</v>
      </c>
      <c r="C4595" s="120" t="s">
        <v>4372</v>
      </c>
      <c r="D4595" s="33" t="s">
        <v>36384</v>
      </c>
      <c r="E4595" s="51" t="s">
        <v>931</v>
      </c>
      <c r="F4595" s="121" t="s">
        <v>3009</v>
      </c>
      <c r="G4595" s="98" t="str">
        <f>HYPERLINK("http://mirror.ff7data.com.ar/ff7/data/battle/battle.lgp/hzbp.png","View Picture")</f>
        <v>View Picture</v>
      </c>
    </row>
    <row r="4596">
      <c r="A4596" s="55"/>
      <c r="B4596" s="119" t="s">
        <v>36407</v>
      </c>
      <c r="C4596" s="120" t="s">
        <v>4476</v>
      </c>
      <c r="D4596" s="33" t="s">
        <v>36384</v>
      </c>
      <c r="E4596" s="51" t="s">
        <v>931</v>
      </c>
      <c r="F4596" s="121" t="s">
        <v>3009</v>
      </c>
      <c r="G4596" s="98" t="str">
        <f>HYPERLINK("http://mirror.ff7data.com.ar/ff7/data/battle/battle.lgp/hzbq.png","View Picture")</f>
        <v>View Picture</v>
      </c>
    </row>
    <row r="4597">
      <c r="A4597" s="55"/>
      <c r="B4597" s="119" t="s">
        <v>36408</v>
      </c>
      <c r="C4597" s="120" t="s">
        <v>4396</v>
      </c>
      <c r="D4597" s="33" t="s">
        <v>36384</v>
      </c>
      <c r="E4597" s="51" t="s">
        <v>931</v>
      </c>
      <c r="F4597" s="121" t="s">
        <v>3009</v>
      </c>
      <c r="G4597" s="98" t="str">
        <f>HYPERLINK("http://mirror.ff7data.com.ar/ff7/data/battle/battle.lgp/hzbr.png","View Picture")</f>
        <v>View Picture</v>
      </c>
    </row>
    <row r="4598">
      <c r="A4598" s="55"/>
      <c r="B4598" s="119" t="s">
        <v>36409</v>
      </c>
      <c r="C4598" s="120" t="s">
        <v>6029</v>
      </c>
      <c r="D4598" s="33" t="s">
        <v>36384</v>
      </c>
      <c r="E4598" s="51" t="s">
        <v>931</v>
      </c>
      <c r="F4598" s="121" t="s">
        <v>3009</v>
      </c>
      <c r="G4598" s="98" t="str">
        <f>HYPERLINK("http://mirror.ff7data.com.ar/ff7/data/battle/battle.lgp/hzbt.png","View Picture")</f>
        <v>View Picture</v>
      </c>
    </row>
    <row r="4599">
      <c r="A4599" s="55"/>
      <c r="B4599" s="119" t="s">
        <v>36410</v>
      </c>
      <c r="C4599" s="120" t="s">
        <v>4732</v>
      </c>
      <c r="D4599" s="33" t="s">
        <v>36384</v>
      </c>
      <c r="E4599" s="51" t="s">
        <v>931</v>
      </c>
      <c r="F4599" s="121" t="s">
        <v>3009</v>
      </c>
      <c r="G4599" s="98" t="str">
        <f>HYPERLINK("http://mirror.ff7data.com.ar/ff7/data/battle/battle.lgp/hzbu.png","View Picture")</f>
        <v>View Picture</v>
      </c>
    </row>
    <row r="4600">
      <c r="A4600" s="55"/>
      <c r="B4600" s="119" t="s">
        <v>36411</v>
      </c>
      <c r="C4600" s="120" t="s">
        <v>4264</v>
      </c>
      <c r="D4600" s="33" t="s">
        <v>36384</v>
      </c>
      <c r="E4600" s="51" t="s">
        <v>931</v>
      </c>
      <c r="F4600" s="121" t="s">
        <v>3009</v>
      </c>
      <c r="G4600" s="98" t="str">
        <f>HYPERLINK("http://mirror.ff7data.com.ar/ff7/data/battle/battle.lgp/hzbv.png","View Picture")</f>
        <v>View Picture</v>
      </c>
    </row>
    <row r="4601">
      <c r="A4601" s="55"/>
      <c r="B4601" s="119" t="s">
        <v>36412</v>
      </c>
      <c r="C4601" s="120" t="s">
        <v>4264</v>
      </c>
      <c r="D4601" s="33" t="s">
        <v>36384</v>
      </c>
      <c r="E4601" s="51" t="s">
        <v>931</v>
      </c>
      <c r="F4601" s="121" t="s">
        <v>3009</v>
      </c>
      <c r="G4601" s="98" t="str">
        <f>HYPERLINK("http://mirror.ff7data.com.ar/ff7/data/battle/battle.lgp/hzbw.png","View Picture")</f>
        <v>View Picture</v>
      </c>
    </row>
    <row r="4602">
      <c r="A4602" s="55"/>
      <c r="B4602" s="119" t="s">
        <v>36413</v>
      </c>
      <c r="C4602" s="120" t="s">
        <v>4719</v>
      </c>
      <c r="D4602" s="33" t="s">
        <v>36384</v>
      </c>
      <c r="E4602" s="51" t="s">
        <v>931</v>
      </c>
      <c r="F4602" s="121" t="s">
        <v>3009</v>
      </c>
      <c r="G4602" s="98" t="str">
        <f>HYPERLINK("http://mirror.ff7data.com.ar/ff7/data/battle/battle.lgp/hzbx.png","View Picture")</f>
        <v>View Picture</v>
      </c>
    </row>
    <row r="4603">
      <c r="A4603" s="55"/>
      <c r="B4603" s="119" t="s">
        <v>36414</v>
      </c>
      <c r="C4603" s="120" t="s">
        <v>4057</v>
      </c>
      <c r="D4603" s="33" t="s">
        <v>36384</v>
      </c>
      <c r="E4603" s="51" t="s">
        <v>931</v>
      </c>
      <c r="F4603" s="121" t="s">
        <v>3009</v>
      </c>
      <c r="G4603" s="98" t="str">
        <f>HYPERLINK("http://mirror.ff7data.com.ar/ff7/data/battle/battle.lgp/hzby.png","View Picture")</f>
        <v>View Picture</v>
      </c>
    </row>
    <row r="4604">
      <c r="A4604" s="55"/>
      <c r="B4604" s="119" t="s">
        <v>36415</v>
      </c>
      <c r="C4604" s="120" t="s">
        <v>4228</v>
      </c>
      <c r="D4604" s="33" t="s">
        <v>36384</v>
      </c>
      <c r="E4604" s="51" t="s">
        <v>931</v>
      </c>
      <c r="F4604" s="121" t="s">
        <v>3025</v>
      </c>
      <c r="H4604" s="46" t="s">
        <v>3002</v>
      </c>
    </row>
    <row r="4605">
      <c r="A4605" s="21"/>
      <c r="B4605" s="119" t="s">
        <v>36416</v>
      </c>
      <c r="C4605" s="120" t="s">
        <v>35790</v>
      </c>
      <c r="D4605" s="33" t="s">
        <v>36417</v>
      </c>
      <c r="E4605" s="51" t="s">
        <v>935</v>
      </c>
      <c r="F4605" s="121" t="s">
        <v>2971</v>
      </c>
      <c r="G4605" s="98" t="str">
        <f>HYPERLINK("http://mirror.ff7data.com.ar/ff7/data/battle/battle.lgp/iaaa.png","View Picture")</f>
        <v>View Picture</v>
      </c>
      <c r="H4605" s="46" t="s">
        <v>36418</v>
      </c>
    </row>
    <row r="4606">
      <c r="A4606" s="55"/>
      <c r="B4606" s="119" t="s">
        <v>36419</v>
      </c>
      <c r="C4606" s="120" t="s">
        <v>4209</v>
      </c>
      <c r="D4606" s="33" t="s">
        <v>36420</v>
      </c>
      <c r="E4606" s="51" t="s">
        <v>935</v>
      </c>
      <c r="F4606" s="121" t="s">
        <v>2993</v>
      </c>
      <c r="H4606" s="46" t="s">
        <v>3002</v>
      </c>
    </row>
    <row r="4607">
      <c r="A4607" s="55"/>
      <c r="B4607" s="119" t="s">
        <v>36421</v>
      </c>
      <c r="C4607" s="120" t="s">
        <v>6029</v>
      </c>
      <c r="D4607" s="33" t="s">
        <v>36420</v>
      </c>
      <c r="E4607" s="51" t="s">
        <v>935</v>
      </c>
      <c r="F4607" s="121" t="s">
        <v>3009</v>
      </c>
      <c r="G4607" s="98" t="str">
        <f>HYPERLINK("http://mirror.ff7data.com.ar/ff7/data/battle/battle.lgp/iaam.png","View Picture")</f>
        <v>View Picture</v>
      </c>
    </row>
    <row r="4608">
      <c r="A4608" s="55"/>
      <c r="B4608" s="119" t="s">
        <v>36422</v>
      </c>
      <c r="C4608" s="120" t="s">
        <v>6029</v>
      </c>
      <c r="D4608" s="33" t="s">
        <v>36420</v>
      </c>
      <c r="E4608" s="51" t="s">
        <v>935</v>
      </c>
      <c r="F4608" s="121" t="s">
        <v>3009</v>
      </c>
      <c r="G4608" s="98" t="str">
        <f>HYPERLINK("http://mirror.ff7data.com.ar/ff7/data/battle/battle.lgp/iaan.png","View Picture")</f>
        <v>View Picture</v>
      </c>
    </row>
    <row r="4609">
      <c r="A4609" s="55"/>
      <c r="B4609" s="119" t="s">
        <v>36423</v>
      </c>
      <c r="C4609" s="120" t="s">
        <v>6029</v>
      </c>
      <c r="D4609" s="33" t="s">
        <v>36420</v>
      </c>
      <c r="E4609" s="51" t="s">
        <v>935</v>
      </c>
      <c r="F4609" s="121" t="s">
        <v>3009</v>
      </c>
      <c r="G4609" s="98" t="str">
        <f>HYPERLINK("http://mirror.ff7data.com.ar/ff7/data/battle/battle.lgp/iaao.png","View Picture")</f>
        <v>View Picture</v>
      </c>
    </row>
    <row r="4610">
      <c r="A4610" s="55"/>
      <c r="B4610" s="119" t="s">
        <v>36424</v>
      </c>
      <c r="C4610" s="120" t="s">
        <v>4841</v>
      </c>
      <c r="D4610" s="33" t="s">
        <v>36420</v>
      </c>
      <c r="E4610" s="51" t="s">
        <v>935</v>
      </c>
      <c r="F4610" s="121" t="s">
        <v>3009</v>
      </c>
      <c r="G4610" s="98" t="str">
        <f>HYPERLINK("http://mirror.ff7data.com.ar/ff7/data/battle/battle.lgp/iaap.png","View Picture")</f>
        <v>View Picture</v>
      </c>
    </row>
    <row r="4611">
      <c r="A4611" s="55"/>
      <c r="B4611" s="119" t="s">
        <v>36425</v>
      </c>
      <c r="C4611" s="120" t="s">
        <v>3658</v>
      </c>
      <c r="D4611" s="33" t="s">
        <v>36420</v>
      </c>
      <c r="E4611" s="51" t="s">
        <v>935</v>
      </c>
      <c r="F4611" s="121" t="s">
        <v>3009</v>
      </c>
      <c r="G4611" s="98" t="str">
        <f>HYPERLINK("http://mirror.ff7data.com.ar/ff7/data/battle/battle.lgp/iaas.png","View Picture")</f>
        <v>View Picture</v>
      </c>
    </row>
    <row r="4612">
      <c r="A4612" s="55"/>
      <c r="B4612" s="119" t="s">
        <v>36426</v>
      </c>
      <c r="C4612" s="120" t="s">
        <v>7165</v>
      </c>
      <c r="D4612" s="33" t="s">
        <v>36420</v>
      </c>
      <c r="E4612" s="51" t="s">
        <v>935</v>
      </c>
      <c r="F4612" s="121" t="s">
        <v>3009</v>
      </c>
      <c r="G4612" s="98" t="str">
        <f>HYPERLINK("http://mirror.ff7data.com.ar/ff7/data/battle/battle.lgp/iaau.png","View Picture")</f>
        <v>View Picture</v>
      </c>
    </row>
    <row r="4613">
      <c r="A4613" s="55"/>
      <c r="B4613" s="119" t="s">
        <v>36427</v>
      </c>
      <c r="C4613" s="120" t="s">
        <v>4439</v>
      </c>
      <c r="D4613" s="33" t="s">
        <v>36420</v>
      </c>
      <c r="E4613" s="51" t="s">
        <v>935</v>
      </c>
      <c r="F4613" s="121" t="s">
        <v>3009</v>
      </c>
      <c r="G4613" s="98" t="str">
        <f>HYPERLINK("http://mirror.ff7data.com.ar/ff7/data/battle/battle.lgp/iaaw.png","View Picture")</f>
        <v>View Picture</v>
      </c>
    </row>
    <row r="4614">
      <c r="A4614" s="55"/>
      <c r="B4614" s="119" t="s">
        <v>36428</v>
      </c>
      <c r="C4614" s="120" t="s">
        <v>7871</v>
      </c>
      <c r="D4614" s="33" t="s">
        <v>36420</v>
      </c>
      <c r="E4614" s="51" t="s">
        <v>935</v>
      </c>
      <c r="F4614" s="121" t="s">
        <v>3009</v>
      </c>
      <c r="G4614" s="98" t="str">
        <f>HYPERLINK("http://mirror.ff7data.com.ar/ff7/data/battle/battle.lgp/iaax.png","View Picture")</f>
        <v>View Picture</v>
      </c>
    </row>
    <row r="4615">
      <c r="A4615" s="55"/>
      <c r="B4615" s="119" t="s">
        <v>36429</v>
      </c>
      <c r="C4615" s="120" t="s">
        <v>4439</v>
      </c>
      <c r="D4615" s="33" t="s">
        <v>36420</v>
      </c>
      <c r="E4615" s="51" t="s">
        <v>935</v>
      </c>
      <c r="F4615" s="121" t="s">
        <v>3009</v>
      </c>
      <c r="G4615" s="98" t="str">
        <f>HYPERLINK("http://mirror.ff7data.com.ar/ff7/data/battle/battle.lgp/iaaz.png","View Picture")</f>
        <v>View Picture</v>
      </c>
    </row>
    <row r="4616">
      <c r="A4616" s="55"/>
      <c r="B4616" s="119" t="s">
        <v>36430</v>
      </c>
      <c r="C4616" s="120" t="s">
        <v>7871</v>
      </c>
      <c r="D4616" s="33" t="s">
        <v>36420</v>
      </c>
      <c r="E4616" s="51" t="s">
        <v>935</v>
      </c>
      <c r="F4616" s="121" t="s">
        <v>3009</v>
      </c>
      <c r="G4616" s="98" t="str">
        <f>HYPERLINK("http://mirror.ff7data.com.ar/ff7/data/battle/battle.lgp/iaba.png","View Picture")</f>
        <v>View Picture</v>
      </c>
    </row>
    <row r="4617">
      <c r="A4617" s="55"/>
      <c r="B4617" s="119" t="s">
        <v>36431</v>
      </c>
      <c r="C4617" s="120" t="s">
        <v>4696</v>
      </c>
      <c r="D4617" s="33" t="s">
        <v>36420</v>
      </c>
      <c r="E4617" s="51" t="s">
        <v>935</v>
      </c>
      <c r="F4617" s="121" t="s">
        <v>3009</v>
      </c>
      <c r="G4617" s="98" t="str">
        <f>HYPERLINK("http://mirror.ff7data.com.ar/ff7/data/battle/battle.lgp/iabc.png","View Picture")</f>
        <v>View Picture</v>
      </c>
    </row>
    <row r="4618">
      <c r="A4618" s="55"/>
      <c r="B4618" s="119" t="s">
        <v>36432</v>
      </c>
      <c r="C4618" s="120" t="s">
        <v>4476</v>
      </c>
      <c r="D4618" s="33" t="s">
        <v>36420</v>
      </c>
      <c r="E4618" s="51" t="s">
        <v>935</v>
      </c>
      <c r="F4618" s="121" t="s">
        <v>3009</v>
      </c>
      <c r="G4618" s="98" t="str">
        <f>HYPERLINK("http://mirror.ff7data.com.ar/ff7/data/battle/battle.lgp/iabd.png","View Picture")</f>
        <v>View Picture</v>
      </c>
    </row>
    <row r="4619">
      <c r="A4619" s="55"/>
      <c r="B4619" s="119" t="s">
        <v>36433</v>
      </c>
      <c r="C4619" s="120" t="s">
        <v>4696</v>
      </c>
      <c r="D4619" s="33" t="s">
        <v>36420</v>
      </c>
      <c r="E4619" s="51" t="s">
        <v>935</v>
      </c>
      <c r="F4619" s="121" t="s">
        <v>3009</v>
      </c>
      <c r="G4619" s="98" t="str">
        <f>HYPERLINK("http://mirror.ff7data.com.ar/ff7/data/battle/battle.lgp/iabf.png","View Picture")</f>
        <v>View Picture</v>
      </c>
    </row>
    <row r="4620">
      <c r="A4620" s="55"/>
      <c r="B4620" s="119" t="s">
        <v>36434</v>
      </c>
      <c r="C4620" s="120" t="s">
        <v>4264</v>
      </c>
      <c r="D4620" s="33" t="s">
        <v>36420</v>
      </c>
      <c r="E4620" s="51" t="s">
        <v>935</v>
      </c>
      <c r="F4620" s="121" t="s">
        <v>3009</v>
      </c>
      <c r="G4620" s="98" t="str">
        <f>HYPERLINK("http://mirror.ff7data.com.ar/ff7/data/battle/battle.lgp/iabg.png","View Picture")</f>
        <v>View Picture</v>
      </c>
    </row>
    <row r="4621">
      <c r="A4621" s="55"/>
      <c r="B4621" s="119" t="s">
        <v>36435</v>
      </c>
      <c r="C4621" s="120" t="s">
        <v>4696</v>
      </c>
      <c r="D4621" s="33" t="s">
        <v>36420</v>
      </c>
      <c r="E4621" s="51" t="s">
        <v>935</v>
      </c>
      <c r="F4621" s="121" t="s">
        <v>3009</v>
      </c>
      <c r="G4621" s="98" t="str">
        <f>HYPERLINK("http://mirror.ff7data.com.ar/ff7/data/battle/battle.lgp/iabi.png","View Picture")</f>
        <v>View Picture</v>
      </c>
    </row>
    <row r="4622">
      <c r="A4622" s="55"/>
      <c r="B4622" s="119" t="s">
        <v>36436</v>
      </c>
      <c r="C4622" s="120" t="s">
        <v>4476</v>
      </c>
      <c r="D4622" s="33" t="s">
        <v>36420</v>
      </c>
      <c r="E4622" s="51" t="s">
        <v>935</v>
      </c>
      <c r="F4622" s="121" t="s">
        <v>3009</v>
      </c>
      <c r="G4622" s="98" t="str">
        <f>HYPERLINK("http://mirror.ff7data.com.ar/ff7/data/battle/battle.lgp/iabj.png","View Picture")</f>
        <v>View Picture</v>
      </c>
    </row>
    <row r="4623">
      <c r="A4623" s="55"/>
      <c r="B4623" s="119" t="s">
        <v>36437</v>
      </c>
      <c r="C4623" s="120" t="s">
        <v>4696</v>
      </c>
      <c r="D4623" s="33" t="s">
        <v>36420</v>
      </c>
      <c r="E4623" s="51" t="s">
        <v>935</v>
      </c>
      <c r="F4623" s="121" t="s">
        <v>3009</v>
      </c>
      <c r="G4623" s="98" t="str">
        <f>HYPERLINK("http://mirror.ff7data.com.ar/ff7/data/battle/battle.lgp/iabl.png","View Picture")</f>
        <v>View Picture</v>
      </c>
    </row>
    <row r="4624">
      <c r="A4624" s="55"/>
      <c r="B4624" s="119" t="s">
        <v>36438</v>
      </c>
      <c r="C4624" s="120" t="s">
        <v>4264</v>
      </c>
      <c r="D4624" s="33" t="s">
        <v>36420</v>
      </c>
      <c r="E4624" s="51" t="s">
        <v>935</v>
      </c>
      <c r="F4624" s="121" t="s">
        <v>3009</v>
      </c>
      <c r="G4624" s="98" t="str">
        <f>HYPERLINK("http://mirror.ff7data.com.ar/ff7/data/battle/battle.lgp/iabm.png","View Picture")</f>
        <v>View Picture</v>
      </c>
    </row>
    <row r="4625">
      <c r="A4625" s="55"/>
      <c r="B4625" s="119" t="s">
        <v>36439</v>
      </c>
      <c r="C4625" s="120" t="s">
        <v>4264</v>
      </c>
      <c r="D4625" s="33" t="s">
        <v>36420</v>
      </c>
      <c r="E4625" s="51" t="s">
        <v>935</v>
      </c>
      <c r="F4625" s="121" t="s">
        <v>3009</v>
      </c>
      <c r="G4625" s="98" t="str">
        <f>HYPERLINK("http://mirror.ff7data.com.ar/ff7/data/battle/battle.lgp/iabo.png","View Picture")</f>
        <v>View Picture</v>
      </c>
    </row>
    <row r="4626">
      <c r="A4626" s="55"/>
      <c r="B4626" s="119" t="s">
        <v>36440</v>
      </c>
      <c r="C4626" s="120" t="s">
        <v>6029</v>
      </c>
      <c r="D4626" s="33" t="s">
        <v>36420</v>
      </c>
      <c r="E4626" s="51" t="s">
        <v>935</v>
      </c>
      <c r="F4626" s="121" t="s">
        <v>3009</v>
      </c>
      <c r="G4626" s="98" t="str">
        <f>HYPERLINK("http://mirror.ff7data.com.ar/ff7/data/battle/battle.lgp/iabp.png","View Picture")</f>
        <v>View Picture</v>
      </c>
    </row>
    <row r="4627">
      <c r="A4627" s="55"/>
      <c r="B4627" s="119" t="s">
        <v>36441</v>
      </c>
      <c r="C4627" s="120" t="s">
        <v>4264</v>
      </c>
      <c r="D4627" s="33" t="s">
        <v>36420</v>
      </c>
      <c r="E4627" s="51" t="s">
        <v>935</v>
      </c>
      <c r="F4627" s="121" t="s">
        <v>3009</v>
      </c>
      <c r="G4627" s="98" t="str">
        <f>HYPERLINK("http://mirror.ff7data.com.ar/ff7/data/battle/battle.lgp/iabr.png","View Picture")</f>
        <v>View Picture</v>
      </c>
    </row>
    <row r="4628">
      <c r="A4628" s="55"/>
      <c r="B4628" s="119" t="s">
        <v>36442</v>
      </c>
      <c r="C4628" s="120" t="s">
        <v>4372</v>
      </c>
      <c r="D4628" s="33" t="s">
        <v>36420</v>
      </c>
      <c r="E4628" s="51" t="s">
        <v>935</v>
      </c>
      <c r="F4628" s="121" t="s">
        <v>3009</v>
      </c>
      <c r="G4628" s="98" t="str">
        <f>HYPERLINK("http://mirror.ff7data.com.ar/ff7/data/battle/battle.lgp/iabs.png","View Picture")</f>
        <v>View Picture</v>
      </c>
    </row>
    <row r="4629">
      <c r="A4629" s="55"/>
      <c r="B4629" s="119" t="s">
        <v>36443</v>
      </c>
      <c r="C4629" s="120" t="s">
        <v>4476</v>
      </c>
      <c r="D4629" s="33" t="s">
        <v>36420</v>
      </c>
      <c r="E4629" s="51" t="s">
        <v>935</v>
      </c>
      <c r="F4629" s="121" t="s">
        <v>3009</v>
      </c>
      <c r="G4629" s="98" t="str">
        <f>HYPERLINK("http://mirror.ff7data.com.ar/ff7/data/battle/battle.lgp/iabt.png","View Picture")</f>
        <v>View Picture</v>
      </c>
    </row>
    <row r="4630">
      <c r="A4630" s="55"/>
      <c r="B4630" s="119" t="s">
        <v>36444</v>
      </c>
      <c r="C4630" s="120" t="s">
        <v>14030</v>
      </c>
      <c r="D4630" s="33" t="s">
        <v>36420</v>
      </c>
      <c r="E4630" s="51" t="s">
        <v>935</v>
      </c>
      <c r="F4630" s="121" t="s">
        <v>3009</v>
      </c>
      <c r="G4630" s="98" t="str">
        <f>HYPERLINK("http://mirror.ff7data.com.ar/ff7/data/battle/battle.lgp/iabu.png","View Picture")</f>
        <v>View Picture</v>
      </c>
    </row>
    <row r="4631">
      <c r="A4631" s="55"/>
      <c r="B4631" s="119" t="s">
        <v>36445</v>
      </c>
      <c r="C4631" s="120" t="s">
        <v>4264</v>
      </c>
      <c r="D4631" s="33" t="s">
        <v>36420</v>
      </c>
      <c r="E4631" s="51" t="s">
        <v>935</v>
      </c>
      <c r="F4631" s="121" t="s">
        <v>3009</v>
      </c>
      <c r="G4631" s="98" t="str">
        <f>HYPERLINK("http://mirror.ff7data.com.ar/ff7/data/battle/battle.lgp/iabw.png","View Picture")</f>
        <v>View Picture</v>
      </c>
    </row>
    <row r="4632">
      <c r="A4632" s="55"/>
      <c r="B4632" s="119" t="s">
        <v>36446</v>
      </c>
      <c r="C4632" s="120" t="s">
        <v>4732</v>
      </c>
      <c r="D4632" s="33" t="s">
        <v>36420</v>
      </c>
      <c r="E4632" s="51" t="s">
        <v>935</v>
      </c>
      <c r="F4632" s="121" t="s">
        <v>3009</v>
      </c>
      <c r="G4632" s="98" t="str">
        <f>HYPERLINK("http://mirror.ff7data.com.ar/ff7/data/battle/battle.lgp/iabx.png","View Picture")</f>
        <v>View Picture</v>
      </c>
    </row>
    <row r="4633">
      <c r="A4633" s="55"/>
      <c r="B4633" s="119" t="s">
        <v>36447</v>
      </c>
      <c r="C4633" s="120" t="s">
        <v>4264</v>
      </c>
      <c r="D4633" s="33" t="s">
        <v>36420</v>
      </c>
      <c r="E4633" s="51" t="s">
        <v>935</v>
      </c>
      <c r="F4633" s="121" t="s">
        <v>3009</v>
      </c>
      <c r="G4633" s="98" t="str">
        <f>HYPERLINK("http://mirror.ff7data.com.ar/ff7/data/battle/battle.lgp/iabz.png","View Picture")</f>
        <v>View Picture</v>
      </c>
    </row>
    <row r="4634">
      <c r="A4634" s="55"/>
      <c r="B4634" s="119" t="s">
        <v>36448</v>
      </c>
      <c r="C4634" s="120" t="s">
        <v>4732</v>
      </c>
      <c r="D4634" s="33" t="s">
        <v>36420</v>
      </c>
      <c r="E4634" s="51" t="s">
        <v>935</v>
      </c>
      <c r="F4634" s="121" t="s">
        <v>3009</v>
      </c>
      <c r="G4634" s="98" t="str">
        <f>HYPERLINK("http://mirror.ff7data.com.ar/ff7/data/battle/battle.lgp/iaca.png","View Picture")</f>
        <v>View Picture</v>
      </c>
    </row>
    <row r="4635">
      <c r="A4635" s="55"/>
      <c r="B4635" s="119" t="s">
        <v>36449</v>
      </c>
      <c r="C4635" s="120" t="s">
        <v>36266</v>
      </c>
      <c r="D4635" s="33" t="s">
        <v>36420</v>
      </c>
      <c r="E4635" s="51" t="s">
        <v>935</v>
      </c>
      <c r="F4635" s="121" t="s">
        <v>3025</v>
      </c>
      <c r="H4635" s="46" t="s">
        <v>3002</v>
      </c>
    </row>
    <row r="4636">
      <c r="A4636" s="21"/>
      <c r="B4636" s="119" t="s">
        <v>36450</v>
      </c>
      <c r="C4636" s="120" t="s">
        <v>2989</v>
      </c>
      <c r="D4636" s="33" t="s">
        <v>36451</v>
      </c>
      <c r="E4636" s="51" t="s">
        <v>939</v>
      </c>
      <c r="F4636" s="121" t="s">
        <v>2971</v>
      </c>
      <c r="G4636" s="98" t="str">
        <f>HYPERLINK("http://mirror.ff7data.com.ar/ff7/data/battle/battle.lgp/ibaa.png","View Picture")</f>
        <v>View Picture</v>
      </c>
    </row>
    <row r="4637">
      <c r="A4637" s="55"/>
      <c r="B4637" s="119" t="s">
        <v>36452</v>
      </c>
      <c r="C4637" s="120" t="s">
        <v>9790</v>
      </c>
      <c r="D4637" s="33" t="s">
        <v>36453</v>
      </c>
      <c r="E4637" s="51" t="s">
        <v>939</v>
      </c>
      <c r="F4637" s="121" t="s">
        <v>2993</v>
      </c>
      <c r="H4637" s="46" t="s">
        <v>3002</v>
      </c>
    </row>
    <row r="4638">
      <c r="A4638" s="55"/>
      <c r="B4638" s="119" t="s">
        <v>36454</v>
      </c>
      <c r="C4638" s="120" t="s">
        <v>3749</v>
      </c>
      <c r="D4638" s="33" t="s">
        <v>36453</v>
      </c>
      <c r="E4638" s="51" t="s">
        <v>939</v>
      </c>
      <c r="F4638" s="121" t="s">
        <v>3009</v>
      </c>
      <c r="G4638" s="98" t="str">
        <f>HYPERLINK("http://mirror.ff7data.com.ar/ff7/data/battle/battle.lgp/ibam.png","View Picture")</f>
        <v>View Picture</v>
      </c>
    </row>
    <row r="4639">
      <c r="A4639" s="55"/>
      <c r="B4639" s="119" t="s">
        <v>36455</v>
      </c>
      <c r="C4639" s="120" t="s">
        <v>9290</v>
      </c>
      <c r="D4639" s="33" t="s">
        <v>36453</v>
      </c>
      <c r="E4639" s="51" t="s">
        <v>939</v>
      </c>
      <c r="F4639" s="121" t="s">
        <v>3009</v>
      </c>
      <c r="G4639" s="98" t="str">
        <f>HYPERLINK("http://mirror.ff7data.com.ar/ff7/data/battle/battle.lgp/iban.png","View Picture")</f>
        <v>View Picture</v>
      </c>
    </row>
    <row r="4640">
      <c r="A4640" s="55"/>
      <c r="B4640" s="119" t="s">
        <v>36456</v>
      </c>
      <c r="C4640" s="120" t="s">
        <v>4439</v>
      </c>
      <c r="D4640" s="33" t="s">
        <v>36453</v>
      </c>
      <c r="E4640" s="51" t="s">
        <v>939</v>
      </c>
      <c r="F4640" s="121" t="s">
        <v>3009</v>
      </c>
      <c r="G4640" s="98" t="str">
        <f>HYPERLINK("http://mirror.ff7data.com.ar/ff7/data/battle/battle.lgp/ibap.png","View Picture")</f>
        <v>View Picture</v>
      </c>
    </row>
    <row r="4641">
      <c r="A4641" s="55"/>
      <c r="B4641" s="119" t="s">
        <v>36457</v>
      </c>
      <c r="C4641" s="120" t="s">
        <v>4372</v>
      </c>
      <c r="D4641" s="33" t="s">
        <v>36453</v>
      </c>
      <c r="E4641" s="51" t="s">
        <v>939</v>
      </c>
      <c r="F4641" s="121" t="s">
        <v>3009</v>
      </c>
      <c r="G4641" s="98" t="str">
        <f>HYPERLINK("http://mirror.ff7data.com.ar/ff7/data/battle/battle.lgp/ibaq.png","View Picture")</f>
        <v>View Picture</v>
      </c>
    </row>
    <row r="4642">
      <c r="A4642" s="55"/>
      <c r="B4642" s="119" t="s">
        <v>36458</v>
      </c>
      <c r="C4642" s="120" t="s">
        <v>4439</v>
      </c>
      <c r="D4642" s="33" t="s">
        <v>36453</v>
      </c>
      <c r="E4642" s="51" t="s">
        <v>939</v>
      </c>
      <c r="F4642" s="121" t="s">
        <v>3009</v>
      </c>
      <c r="G4642" s="98" t="str">
        <f>HYPERLINK("http://mirror.ff7data.com.ar/ff7/data/battle/battle.lgp/ibas.png","View Picture")</f>
        <v>View Picture</v>
      </c>
    </row>
    <row r="4643">
      <c r="A4643" s="55"/>
      <c r="B4643" s="119" t="s">
        <v>36459</v>
      </c>
      <c r="C4643" s="120" t="s">
        <v>4372</v>
      </c>
      <c r="D4643" s="33" t="s">
        <v>36453</v>
      </c>
      <c r="E4643" s="51" t="s">
        <v>939</v>
      </c>
      <c r="F4643" s="121" t="s">
        <v>3009</v>
      </c>
      <c r="G4643" s="98" t="str">
        <f>HYPERLINK("http://mirror.ff7data.com.ar/ff7/data/battle/battle.lgp/ibat.png","View Picture")</f>
        <v>View Picture</v>
      </c>
    </row>
    <row r="4644">
      <c r="A4644" s="55"/>
      <c r="B4644" s="119" t="s">
        <v>36460</v>
      </c>
      <c r="C4644" s="120" t="s">
        <v>4288</v>
      </c>
      <c r="D4644" s="33" t="s">
        <v>36453</v>
      </c>
      <c r="E4644" s="51" t="s">
        <v>939</v>
      </c>
      <c r="F4644" s="121" t="s">
        <v>3009</v>
      </c>
      <c r="G4644" s="98" t="str">
        <f>HYPERLINK("http://mirror.ff7data.com.ar/ff7/data/battle/battle.lgp/ibav.png","View Picture")</f>
        <v>View Picture</v>
      </c>
    </row>
    <row r="4645">
      <c r="A4645" s="55"/>
      <c r="B4645" s="119" t="s">
        <v>36461</v>
      </c>
      <c r="C4645" s="120" t="s">
        <v>7148</v>
      </c>
      <c r="D4645" s="33" t="s">
        <v>36453</v>
      </c>
      <c r="E4645" s="51" t="s">
        <v>939</v>
      </c>
      <c r="F4645" s="121" t="s">
        <v>3009</v>
      </c>
      <c r="G4645" s="98" t="str">
        <f>HYPERLINK("http://mirror.ff7data.com.ar/ff7/data/battle/battle.lgp/ibax.png","View Picture")</f>
        <v>View Picture</v>
      </c>
    </row>
    <row r="4646">
      <c r="A4646" s="55"/>
      <c r="B4646" s="119" t="s">
        <v>36462</v>
      </c>
      <c r="C4646" s="120" t="s">
        <v>7148</v>
      </c>
      <c r="D4646" s="33" t="s">
        <v>36453</v>
      </c>
      <c r="E4646" s="51" t="s">
        <v>939</v>
      </c>
      <c r="F4646" s="121" t="s">
        <v>3009</v>
      </c>
      <c r="G4646" s="98" t="str">
        <f>HYPERLINK("http://mirror.ff7data.com.ar/ff7/data/battle/battle.lgp/ibay.png","View Picture")</f>
        <v>View Picture</v>
      </c>
    </row>
    <row r="4647">
      <c r="A4647" s="55"/>
      <c r="B4647" s="119" t="s">
        <v>36463</v>
      </c>
      <c r="C4647" s="120" t="s">
        <v>4252</v>
      </c>
      <c r="D4647" s="33" t="s">
        <v>36453</v>
      </c>
      <c r="E4647" s="51" t="s">
        <v>939</v>
      </c>
      <c r="F4647" s="121" t="s">
        <v>3009</v>
      </c>
      <c r="G4647" s="98" t="str">
        <f>HYPERLINK("http://mirror.ff7data.com.ar/ff7/data/battle/battle.lgp/ibaz.png","View Picture")</f>
        <v>View Picture</v>
      </c>
    </row>
    <row r="4648">
      <c r="A4648" s="55"/>
      <c r="B4648" s="119" t="s">
        <v>36464</v>
      </c>
      <c r="C4648" s="120" t="s">
        <v>7148</v>
      </c>
      <c r="D4648" s="33" t="s">
        <v>36453</v>
      </c>
      <c r="E4648" s="51" t="s">
        <v>939</v>
      </c>
      <c r="F4648" s="121" t="s">
        <v>3009</v>
      </c>
      <c r="G4648" s="98" t="str">
        <f>HYPERLINK("http://mirror.ff7data.com.ar/ff7/data/battle/battle.lgp/ibbb.png","View Picture")</f>
        <v>View Picture</v>
      </c>
    </row>
    <row r="4649">
      <c r="A4649" s="55"/>
      <c r="B4649" s="119" t="s">
        <v>36465</v>
      </c>
      <c r="C4649" s="120" t="s">
        <v>7148</v>
      </c>
      <c r="D4649" s="33" t="s">
        <v>36453</v>
      </c>
      <c r="E4649" s="51" t="s">
        <v>939</v>
      </c>
      <c r="F4649" s="121" t="s">
        <v>3009</v>
      </c>
      <c r="G4649" s="98" t="str">
        <f>HYPERLINK("http://mirror.ff7data.com.ar/ff7/data/battle/battle.lgp/ibbc.png","View Picture")</f>
        <v>View Picture</v>
      </c>
    </row>
    <row r="4650">
      <c r="A4650" s="55"/>
      <c r="B4650" s="119" t="s">
        <v>36466</v>
      </c>
      <c r="C4650" s="120" t="s">
        <v>4372</v>
      </c>
      <c r="D4650" s="33" t="s">
        <v>36453</v>
      </c>
      <c r="E4650" s="51" t="s">
        <v>939</v>
      </c>
      <c r="F4650" s="121" t="s">
        <v>3009</v>
      </c>
      <c r="G4650" s="98" t="str">
        <f>HYPERLINK("http://mirror.ff7data.com.ar/ff7/data/battle/battle.lgp/ibbd.png","View Picture")</f>
        <v>View Picture</v>
      </c>
    </row>
    <row r="4651">
      <c r="A4651" s="55"/>
      <c r="B4651" s="119" t="s">
        <v>36467</v>
      </c>
      <c r="C4651" s="120" t="s">
        <v>3842</v>
      </c>
      <c r="D4651" s="33" t="s">
        <v>36453</v>
      </c>
      <c r="E4651" s="51" t="s">
        <v>939</v>
      </c>
      <c r="F4651" s="121" t="s">
        <v>3009</v>
      </c>
      <c r="G4651" s="98" t="str">
        <f>HYPERLINK("http://mirror.ff7data.com.ar/ff7/data/battle/battle.lgp/ibbg.png","View Picture")</f>
        <v>View Picture</v>
      </c>
    </row>
    <row r="4652">
      <c r="A4652" s="55"/>
      <c r="B4652" s="119" t="s">
        <v>36468</v>
      </c>
      <c r="C4652" s="120" t="s">
        <v>4288</v>
      </c>
      <c r="D4652" s="33" t="s">
        <v>36453</v>
      </c>
      <c r="E4652" s="51" t="s">
        <v>939</v>
      </c>
      <c r="F4652" s="121" t="s">
        <v>3009</v>
      </c>
      <c r="G4652" s="98" t="str">
        <f>HYPERLINK("http://mirror.ff7data.com.ar/ff7/data/battle/battle.lgp/ibbh.png","View Picture")</f>
        <v>View Picture</v>
      </c>
    </row>
    <row r="4653">
      <c r="A4653" s="55"/>
      <c r="B4653" s="119" t="s">
        <v>36469</v>
      </c>
      <c r="C4653" s="120" t="s">
        <v>5419</v>
      </c>
      <c r="D4653" s="33" t="s">
        <v>36453</v>
      </c>
      <c r="E4653" s="51" t="s">
        <v>939</v>
      </c>
      <c r="F4653" s="121" t="s">
        <v>3009</v>
      </c>
      <c r="G4653" s="98" t="str">
        <f>HYPERLINK("http://mirror.ff7data.com.ar/ff7/data/battle/battle.lgp/ibbi.png","View Picture")</f>
        <v>View Picture</v>
      </c>
    </row>
    <row r="4654">
      <c r="A4654" s="55"/>
      <c r="B4654" s="119" t="s">
        <v>36470</v>
      </c>
      <c r="C4654" s="120" t="s">
        <v>3842</v>
      </c>
      <c r="D4654" s="33" t="s">
        <v>36453</v>
      </c>
      <c r="E4654" s="51" t="s">
        <v>939</v>
      </c>
      <c r="F4654" s="121" t="s">
        <v>3009</v>
      </c>
      <c r="G4654" s="98" t="str">
        <f>HYPERLINK("http://mirror.ff7data.com.ar/ff7/data/battle/battle.lgp/ibbl.png","View Picture")</f>
        <v>View Picture</v>
      </c>
    </row>
    <row r="4655">
      <c r="A4655" s="55"/>
      <c r="B4655" s="119" t="s">
        <v>36471</v>
      </c>
      <c r="C4655" s="120" t="s">
        <v>4288</v>
      </c>
      <c r="D4655" s="33" t="s">
        <v>36453</v>
      </c>
      <c r="E4655" s="51" t="s">
        <v>939</v>
      </c>
      <c r="F4655" s="121" t="s">
        <v>3009</v>
      </c>
      <c r="G4655" s="98" t="str">
        <f>HYPERLINK("http://mirror.ff7data.com.ar/ff7/data/battle/battle.lgp/ibbm.png","View Picture")</f>
        <v>View Picture</v>
      </c>
    </row>
    <row r="4656">
      <c r="A4656" s="55"/>
      <c r="B4656" s="119" t="s">
        <v>36472</v>
      </c>
      <c r="C4656" s="120" t="s">
        <v>5419</v>
      </c>
      <c r="D4656" s="33" t="s">
        <v>36453</v>
      </c>
      <c r="E4656" s="51" t="s">
        <v>939</v>
      </c>
      <c r="F4656" s="121" t="s">
        <v>3009</v>
      </c>
      <c r="G4656" s="98" t="str">
        <f>HYPERLINK("http://mirror.ff7data.com.ar/ff7/data/battle/battle.lgp/ibbn.png","View Picture")</f>
        <v>View Picture</v>
      </c>
    </row>
    <row r="4657">
      <c r="A4657" s="55"/>
      <c r="B4657" s="119" t="s">
        <v>36473</v>
      </c>
      <c r="C4657" s="120" t="s">
        <v>4372</v>
      </c>
      <c r="D4657" s="33" t="s">
        <v>36453</v>
      </c>
      <c r="E4657" s="51" t="s">
        <v>939</v>
      </c>
      <c r="F4657" s="121" t="s">
        <v>3009</v>
      </c>
      <c r="G4657" s="98" t="str">
        <f>HYPERLINK("http://mirror.ff7data.com.ar/ff7/data/battle/battle.lgp/ibbp.png","View Picture")</f>
        <v>View Picture</v>
      </c>
    </row>
    <row r="4658">
      <c r="A4658" s="55"/>
      <c r="B4658" s="119" t="s">
        <v>36474</v>
      </c>
      <c r="C4658" s="120" t="s">
        <v>3637</v>
      </c>
      <c r="D4658" s="33" t="s">
        <v>36453</v>
      </c>
      <c r="E4658" s="51" t="s">
        <v>939</v>
      </c>
      <c r="F4658" s="121" t="s">
        <v>3025</v>
      </c>
      <c r="H4658" s="46" t="s">
        <v>3002</v>
      </c>
    </row>
    <row r="4659">
      <c r="A4659" s="82"/>
      <c r="B4659" s="119" t="s">
        <v>36475</v>
      </c>
      <c r="C4659" s="120" t="s">
        <v>14867</v>
      </c>
      <c r="D4659" s="33" t="s">
        <v>36476</v>
      </c>
      <c r="E4659" s="51" t="s">
        <v>943</v>
      </c>
      <c r="F4659" s="121" t="s">
        <v>2971</v>
      </c>
      <c r="G4659" s="98" t="str">
        <f>HYPERLINK("http://mirror.ff7data.com.ar/ff7/data/battle/battle.lgp/icaa.png","View Picture")</f>
        <v>View Picture</v>
      </c>
      <c r="H4659" s="46" t="s">
        <v>36477</v>
      </c>
    </row>
    <row r="4660">
      <c r="A4660" s="55"/>
      <c r="B4660" s="119" t="s">
        <v>36478</v>
      </c>
      <c r="C4660" s="120" t="s">
        <v>5724</v>
      </c>
      <c r="D4660" s="33" t="s">
        <v>36479</v>
      </c>
      <c r="E4660" s="51" t="s">
        <v>943</v>
      </c>
      <c r="F4660" s="121" t="s">
        <v>2993</v>
      </c>
      <c r="H4660" s="46" t="s">
        <v>3002</v>
      </c>
    </row>
    <row r="4661">
      <c r="A4661" s="82"/>
      <c r="B4661" s="119" t="s">
        <v>36480</v>
      </c>
      <c r="C4661" s="120" t="s">
        <v>7081</v>
      </c>
      <c r="D4661" s="33" t="s">
        <v>36481</v>
      </c>
      <c r="E4661" s="51" t="s">
        <v>943</v>
      </c>
      <c r="F4661" s="121" t="s">
        <v>1348</v>
      </c>
      <c r="G4661" s="98" t="str">
        <f>HYPERLINK("http://mirror.ff7data.com.ar/ff7/data/battle/battle.lgp/icac.png","View Picture")</f>
        <v>View Picture</v>
      </c>
      <c r="H4661" s="46" t="s">
        <v>36482</v>
      </c>
    </row>
    <row r="4662">
      <c r="A4662" s="82"/>
      <c r="B4662" s="119" t="s">
        <v>36483</v>
      </c>
      <c r="C4662" s="120" t="s">
        <v>4191</v>
      </c>
      <c r="D4662" s="33" t="s">
        <v>36484</v>
      </c>
      <c r="E4662" s="51" t="s">
        <v>943</v>
      </c>
      <c r="F4662" s="121" t="s">
        <v>1348</v>
      </c>
      <c r="G4662" s="98" t="str">
        <f>HYPERLINK("http://mirror.ff7data.com.ar/ff7/data/battle/battle.lgp/icad.png","View Picture")</f>
        <v>View Picture</v>
      </c>
      <c r="H4662" s="46" t="s">
        <v>28999</v>
      </c>
    </row>
    <row r="4663">
      <c r="A4663" s="82"/>
      <c r="B4663" s="119" t="s">
        <v>36485</v>
      </c>
      <c r="C4663" s="120" t="s">
        <v>7165</v>
      </c>
      <c r="D4663" s="33" t="s">
        <v>36486</v>
      </c>
      <c r="E4663" s="51" t="s">
        <v>943</v>
      </c>
      <c r="F4663" s="121" t="s">
        <v>1348</v>
      </c>
      <c r="G4663" s="98" t="str">
        <f>HYPERLINK("http://mirror.ff7data.com.ar/ff7/data/battle/battle.lgp/icae.png","View Picture")</f>
        <v>View Picture</v>
      </c>
      <c r="H4663" s="46" t="s">
        <v>36487</v>
      </c>
    </row>
    <row r="4664">
      <c r="A4664" s="82"/>
      <c r="B4664" s="119" t="s">
        <v>36488</v>
      </c>
      <c r="C4664" s="120" t="s">
        <v>4228</v>
      </c>
      <c r="D4664" s="33" t="s">
        <v>36489</v>
      </c>
      <c r="E4664" s="51" t="s">
        <v>943</v>
      </c>
      <c r="F4664" s="121" t="s">
        <v>3009</v>
      </c>
      <c r="G4664" s="98" t="str">
        <f>HYPERLINK("http://mirror.ff7data.com.ar/ff7/data/battle/battle.lgp/icam.png","View Picture")</f>
        <v>View Picture</v>
      </c>
    </row>
    <row r="4665">
      <c r="A4665" s="82"/>
      <c r="B4665" s="119" t="s">
        <v>36490</v>
      </c>
      <c r="C4665" s="120" t="s">
        <v>33181</v>
      </c>
      <c r="D4665" s="33" t="s">
        <v>36491</v>
      </c>
      <c r="E4665" s="51" t="s">
        <v>943</v>
      </c>
      <c r="F4665" s="121" t="s">
        <v>3009</v>
      </c>
      <c r="G4665" s="98" t="str">
        <f>HYPERLINK("http://mirror.ff7data.com.ar/ff7/data/battle/battle.lgp/ican.png","View Picture")</f>
        <v>View Picture</v>
      </c>
    </row>
    <row r="4666">
      <c r="A4666" s="21"/>
      <c r="B4666" s="119" t="s">
        <v>36492</v>
      </c>
      <c r="C4666" s="120" t="s">
        <v>4439</v>
      </c>
      <c r="D4666" s="33" t="s">
        <v>36493</v>
      </c>
      <c r="E4666" s="51" t="s">
        <v>943</v>
      </c>
      <c r="F4666" s="121" t="s">
        <v>3009</v>
      </c>
      <c r="G4666" s="98" t="str">
        <f>HYPERLINK("http://mirror.ff7data.com.ar/ff7/data/battle/battle.lgp/icar.png","View Picture")</f>
        <v>View Picture</v>
      </c>
    </row>
    <row r="4667">
      <c r="A4667" s="21"/>
      <c r="B4667" s="119" t="s">
        <v>36494</v>
      </c>
      <c r="C4667" s="120" t="s">
        <v>4288</v>
      </c>
      <c r="D4667" s="33" t="s">
        <v>36495</v>
      </c>
      <c r="E4667" s="51" t="s">
        <v>943</v>
      </c>
      <c r="F4667" s="121" t="s">
        <v>3009</v>
      </c>
      <c r="G4667" s="98" t="str">
        <f>HYPERLINK("http://mirror.ff7data.com.ar/ff7/data/battle/battle.lgp/icas.png","View Picture")</f>
        <v>View Picture</v>
      </c>
    </row>
    <row r="4668">
      <c r="A4668" s="21"/>
      <c r="B4668" s="119" t="s">
        <v>36496</v>
      </c>
      <c r="C4668" s="120" t="s">
        <v>4288</v>
      </c>
      <c r="D4668" s="33" t="s">
        <v>36497</v>
      </c>
      <c r="E4668" s="51" t="s">
        <v>943</v>
      </c>
      <c r="F4668" s="121" t="s">
        <v>3009</v>
      </c>
      <c r="G4668" s="98" t="str">
        <f>HYPERLINK("http://mirror.ff7data.com.ar/ff7/data/battle/battle.lgp/icat.png","View Picture")</f>
        <v>View Picture</v>
      </c>
    </row>
    <row r="4669">
      <c r="A4669" s="21"/>
      <c r="B4669" s="119" t="s">
        <v>36498</v>
      </c>
      <c r="C4669" s="120" t="s">
        <v>4288</v>
      </c>
      <c r="D4669" s="33" t="s">
        <v>36499</v>
      </c>
      <c r="E4669" s="51" t="s">
        <v>943</v>
      </c>
      <c r="F4669" s="121" t="s">
        <v>3009</v>
      </c>
      <c r="G4669" s="98" t="str">
        <f>HYPERLINK("http://mirror.ff7data.com.ar/ff7/data/battle/battle.lgp/icau.png","View Picture")</f>
        <v>View Picture</v>
      </c>
    </row>
    <row r="4670">
      <c r="A4670" s="21"/>
      <c r="B4670" s="119" t="s">
        <v>36500</v>
      </c>
      <c r="C4670" s="120" t="s">
        <v>4288</v>
      </c>
      <c r="D4670" s="33" t="s">
        <v>36501</v>
      </c>
      <c r="E4670" s="51" t="s">
        <v>943</v>
      </c>
      <c r="F4670" s="121" t="s">
        <v>3009</v>
      </c>
      <c r="G4670" s="98" t="str">
        <f>HYPERLINK("http://mirror.ff7data.com.ar/ff7/data/battle/battle.lgp/icav.png","View Picture")</f>
        <v>View Picture</v>
      </c>
    </row>
    <row r="4671">
      <c r="A4671" s="21"/>
      <c r="B4671" s="119" t="s">
        <v>36502</v>
      </c>
      <c r="C4671" s="120" t="s">
        <v>4288</v>
      </c>
      <c r="D4671" s="33" t="s">
        <v>36503</v>
      </c>
      <c r="E4671" s="51" t="s">
        <v>943</v>
      </c>
      <c r="F4671" s="121" t="s">
        <v>3009</v>
      </c>
      <c r="G4671" s="98" t="str">
        <f>HYPERLINK("http://mirror.ff7data.com.ar/ff7/data/battle/battle.lgp/icaw.png","View Picture")</f>
        <v>View Picture</v>
      </c>
    </row>
    <row r="4672">
      <c r="A4672" s="21"/>
      <c r="B4672" s="119" t="s">
        <v>36504</v>
      </c>
      <c r="C4672" s="120" t="s">
        <v>4696</v>
      </c>
      <c r="D4672" s="33" t="s">
        <v>36505</v>
      </c>
      <c r="E4672" s="51" t="s">
        <v>943</v>
      </c>
      <c r="F4672" s="121" t="s">
        <v>3009</v>
      </c>
      <c r="G4672" s="98" t="str">
        <f>HYPERLINK("http://mirror.ff7data.com.ar/ff7/data/battle/battle.lgp/icax.png","View Picture")</f>
        <v>View Picture</v>
      </c>
    </row>
    <row r="4673">
      <c r="A4673" s="21"/>
      <c r="B4673" s="119" t="s">
        <v>36506</v>
      </c>
      <c r="C4673" s="120" t="s">
        <v>4565</v>
      </c>
      <c r="D4673" s="33" t="s">
        <v>36507</v>
      </c>
      <c r="E4673" s="51" t="s">
        <v>943</v>
      </c>
      <c r="F4673" s="121" t="s">
        <v>3009</v>
      </c>
      <c r="G4673" s="98" t="str">
        <f>HYPERLINK("http://mirror.ff7data.com.ar/ff7/data/battle/battle.lgp/icaz.png","View Picture")</f>
        <v>View Picture</v>
      </c>
    </row>
    <row r="4674">
      <c r="A4674" s="21"/>
      <c r="B4674" s="119" t="s">
        <v>36508</v>
      </c>
      <c r="C4674" s="120" t="s">
        <v>7148</v>
      </c>
      <c r="D4674" s="33" t="s">
        <v>36509</v>
      </c>
      <c r="E4674" s="51" t="s">
        <v>943</v>
      </c>
      <c r="F4674" s="121" t="s">
        <v>3009</v>
      </c>
      <c r="G4674" s="98" t="str">
        <f>HYPERLINK("http://mirror.ff7data.com.ar/ff7/data/battle/battle.lgp/icba.png","View Picture")</f>
        <v>View Picture</v>
      </c>
    </row>
    <row r="4675">
      <c r="A4675" s="21"/>
      <c r="B4675" s="119" t="s">
        <v>36510</v>
      </c>
      <c r="C4675" s="120" t="s">
        <v>7148</v>
      </c>
      <c r="D4675" s="33" t="s">
        <v>36511</v>
      </c>
      <c r="E4675" s="51" t="s">
        <v>943</v>
      </c>
      <c r="F4675" s="121" t="s">
        <v>3009</v>
      </c>
      <c r="G4675" s="98" t="str">
        <f>HYPERLINK("http://mirror.ff7data.com.ar/ff7/data/battle/battle.lgp/icbb.png","View Picture")</f>
        <v>View Picture</v>
      </c>
    </row>
    <row r="4676">
      <c r="A4676" s="21"/>
      <c r="B4676" s="119" t="s">
        <v>36512</v>
      </c>
      <c r="C4676" s="120" t="s">
        <v>7148</v>
      </c>
      <c r="D4676" s="33" t="s">
        <v>36513</v>
      </c>
      <c r="E4676" s="51" t="s">
        <v>943</v>
      </c>
      <c r="F4676" s="121" t="s">
        <v>3009</v>
      </c>
      <c r="G4676" s="98" t="str">
        <f>HYPERLINK("http://mirror.ff7data.com.ar/ff7/data/battle/battle.lgp/icbc.png","View Picture")</f>
        <v>View Picture</v>
      </c>
    </row>
    <row r="4677">
      <c r="A4677" s="21"/>
      <c r="B4677" s="119" t="s">
        <v>36514</v>
      </c>
      <c r="C4677" s="120" t="s">
        <v>7148</v>
      </c>
      <c r="D4677" s="33" t="s">
        <v>36515</v>
      </c>
      <c r="E4677" s="51" t="s">
        <v>943</v>
      </c>
      <c r="F4677" s="121" t="s">
        <v>3009</v>
      </c>
      <c r="G4677" s="98" t="str">
        <f>HYPERLINK("http://mirror.ff7data.com.ar/ff7/data/battle/battle.lgp/icbd.png","View Picture")</f>
        <v>View Picture</v>
      </c>
    </row>
    <row r="4678">
      <c r="A4678" s="21"/>
      <c r="B4678" s="119" t="s">
        <v>36516</v>
      </c>
      <c r="C4678" s="120" t="s">
        <v>3007</v>
      </c>
      <c r="D4678" s="33" t="s">
        <v>36517</v>
      </c>
      <c r="E4678" s="51" t="s">
        <v>943</v>
      </c>
      <c r="F4678" s="121" t="s">
        <v>3009</v>
      </c>
      <c r="G4678" s="98" t="str">
        <f>HYPERLINK("http://mirror.ff7data.com.ar/ff7/data/battle/battle.lgp/icbe.png","View Picture")</f>
        <v>View Picture</v>
      </c>
    </row>
    <row r="4679">
      <c r="A4679" s="21"/>
      <c r="B4679" s="119" t="s">
        <v>36518</v>
      </c>
      <c r="C4679" s="120" t="s">
        <v>7148</v>
      </c>
      <c r="D4679" s="33" t="s">
        <v>36519</v>
      </c>
      <c r="E4679" s="51" t="s">
        <v>943</v>
      </c>
      <c r="F4679" s="121" t="s">
        <v>3009</v>
      </c>
      <c r="G4679" s="98" t="str">
        <f>HYPERLINK("http://mirror.ff7data.com.ar/ff7/data/battle/battle.lgp/icbg.png","View Picture")</f>
        <v>View Picture</v>
      </c>
    </row>
    <row r="4680">
      <c r="A4680" s="21"/>
      <c r="B4680" s="119" t="s">
        <v>36520</v>
      </c>
      <c r="C4680" s="120" t="s">
        <v>7148</v>
      </c>
      <c r="D4680" s="33" t="s">
        <v>36521</v>
      </c>
      <c r="E4680" s="51" t="s">
        <v>943</v>
      </c>
      <c r="F4680" s="121" t="s">
        <v>3009</v>
      </c>
      <c r="G4680" s="98" t="str">
        <f>HYPERLINK("http://mirror.ff7data.com.ar/ff7/data/battle/battle.lgp/icbh.png","View Picture")</f>
        <v>View Picture</v>
      </c>
    </row>
    <row r="4681">
      <c r="A4681" s="21"/>
      <c r="B4681" s="119" t="s">
        <v>36522</v>
      </c>
      <c r="C4681" s="120" t="s">
        <v>4601</v>
      </c>
      <c r="D4681" s="33" t="s">
        <v>36523</v>
      </c>
      <c r="E4681" s="51" t="s">
        <v>943</v>
      </c>
      <c r="F4681" s="121" t="s">
        <v>3009</v>
      </c>
      <c r="G4681" s="98" t="str">
        <f>HYPERLINK("http://mirror.ff7data.com.ar/ff7/data/battle/battle.lgp/icbi.png","View Picture")</f>
        <v>View Picture</v>
      </c>
    </row>
    <row r="4682">
      <c r="A4682" s="21"/>
      <c r="B4682" s="119" t="s">
        <v>36524</v>
      </c>
      <c r="C4682" s="120" t="s">
        <v>7148</v>
      </c>
      <c r="D4682" s="33" t="s">
        <v>36525</v>
      </c>
      <c r="E4682" s="51" t="s">
        <v>943</v>
      </c>
      <c r="F4682" s="121" t="s">
        <v>3009</v>
      </c>
      <c r="G4682" s="98" t="str">
        <f>HYPERLINK("http://mirror.ff7data.com.ar/ff7/data/battle/battle.lgp/icbj.png","View Picture")</f>
        <v>View Picture</v>
      </c>
    </row>
    <row r="4683">
      <c r="A4683" s="21"/>
      <c r="B4683" s="119" t="s">
        <v>36526</v>
      </c>
      <c r="C4683" s="120" t="s">
        <v>7148</v>
      </c>
      <c r="D4683" s="33" t="s">
        <v>36527</v>
      </c>
      <c r="E4683" s="51" t="s">
        <v>943</v>
      </c>
      <c r="F4683" s="121" t="s">
        <v>3009</v>
      </c>
      <c r="G4683" s="98" t="str">
        <f>HYPERLINK("http://mirror.ff7data.com.ar/ff7/data/battle/battle.lgp/icbk.png","View Picture")</f>
        <v>View Picture</v>
      </c>
    </row>
    <row r="4684">
      <c r="A4684" s="21"/>
      <c r="B4684" s="119" t="s">
        <v>36528</v>
      </c>
      <c r="C4684" s="120" t="s">
        <v>3007</v>
      </c>
      <c r="D4684" s="33" t="s">
        <v>36529</v>
      </c>
      <c r="E4684" s="51" t="s">
        <v>943</v>
      </c>
      <c r="F4684" s="121" t="s">
        <v>3009</v>
      </c>
      <c r="G4684" s="98" t="str">
        <f>HYPERLINK("http://mirror.ff7data.com.ar/ff7/data/battle/battle.lgp/icbl.png","View Picture")</f>
        <v>View Picture</v>
      </c>
    </row>
    <row r="4685">
      <c r="A4685" s="82"/>
      <c r="B4685" s="119" t="s">
        <v>36530</v>
      </c>
      <c r="C4685" s="120" t="s">
        <v>4167</v>
      </c>
      <c r="D4685" s="33" t="s">
        <v>36531</v>
      </c>
      <c r="E4685" s="51" t="s">
        <v>943</v>
      </c>
      <c r="F4685" s="121" t="s">
        <v>3009</v>
      </c>
      <c r="G4685" s="98" t="str">
        <f>HYPERLINK("http://mirror.ff7data.com.ar/ff7/data/battle/battle.lgp/icbm.png","View Picture")</f>
        <v>View Picture</v>
      </c>
    </row>
    <row r="4686">
      <c r="A4686" s="84"/>
      <c r="B4686" s="119" t="s">
        <v>36532</v>
      </c>
      <c r="C4686" s="120" t="s">
        <v>3355</v>
      </c>
      <c r="D4686" s="33" t="s">
        <v>36479</v>
      </c>
      <c r="E4686" s="51" t="s">
        <v>943</v>
      </c>
      <c r="F4686" s="121" t="s">
        <v>3009</v>
      </c>
      <c r="G4686" s="98" t="str">
        <f>HYPERLINK("http://mirror.ff7data.com.ar/ff7/data/battle/battle.lgp/icbo.png","View Picture")</f>
        <v>View Picture</v>
      </c>
    </row>
    <row r="4687">
      <c r="A4687" s="84"/>
      <c r="B4687" s="119" t="s">
        <v>36533</v>
      </c>
      <c r="C4687" s="120" t="s">
        <v>3658</v>
      </c>
      <c r="D4687" s="33" t="s">
        <v>36479</v>
      </c>
      <c r="E4687" s="51" t="s">
        <v>943</v>
      </c>
      <c r="F4687" s="121" t="s">
        <v>3009</v>
      </c>
      <c r="G4687" s="98" t="str">
        <f>HYPERLINK("http://mirror.ff7data.com.ar/ff7/data/battle/battle.lgp/icbp.png","View Picture")</f>
        <v>View Picture</v>
      </c>
    </row>
    <row r="4688">
      <c r="A4688" s="84"/>
      <c r="B4688" s="119" t="s">
        <v>36534</v>
      </c>
      <c r="C4688" s="120" t="s">
        <v>3614</v>
      </c>
      <c r="D4688" s="33" t="s">
        <v>36479</v>
      </c>
      <c r="E4688" s="51" t="s">
        <v>943</v>
      </c>
      <c r="F4688" s="121" t="s">
        <v>3009</v>
      </c>
      <c r="G4688" s="98" t="str">
        <f>HYPERLINK("http://mirror.ff7data.com.ar/ff7/data/battle/battle.lgp/icbq.png","View Picture")</f>
        <v>View Picture</v>
      </c>
    </row>
    <row r="4689">
      <c r="A4689" s="84"/>
      <c r="B4689" s="119" t="s">
        <v>36535</v>
      </c>
      <c r="C4689" s="120" t="s">
        <v>7301</v>
      </c>
      <c r="D4689" s="33" t="s">
        <v>36479</v>
      </c>
      <c r="E4689" s="51" t="s">
        <v>943</v>
      </c>
      <c r="F4689" s="121" t="s">
        <v>3009</v>
      </c>
      <c r="G4689" s="98" t="str">
        <f>HYPERLINK("http://mirror.ff7data.com.ar/ff7/data/battle/battle.lgp/icbs.png","View Picture")</f>
        <v>View Picture</v>
      </c>
    </row>
    <row r="4690">
      <c r="A4690" s="84"/>
      <c r="B4690" s="119" t="s">
        <v>36536</v>
      </c>
      <c r="C4690" s="120" t="s">
        <v>3658</v>
      </c>
      <c r="D4690" s="33" t="s">
        <v>36479</v>
      </c>
      <c r="E4690" s="51" t="s">
        <v>943</v>
      </c>
      <c r="F4690" s="121" t="s">
        <v>3009</v>
      </c>
      <c r="G4690" s="98" t="str">
        <f>HYPERLINK("http://mirror.ff7data.com.ar/ff7/data/battle/battle.lgp/icbt.png","View Picture")</f>
        <v>View Picture</v>
      </c>
    </row>
    <row r="4691">
      <c r="A4691" s="84"/>
      <c r="B4691" s="119" t="s">
        <v>36537</v>
      </c>
      <c r="C4691" s="120" t="s">
        <v>3614</v>
      </c>
      <c r="D4691" s="33" t="s">
        <v>36479</v>
      </c>
      <c r="E4691" s="51" t="s">
        <v>943</v>
      </c>
      <c r="F4691" s="121" t="s">
        <v>3009</v>
      </c>
      <c r="G4691" s="98" t="str">
        <f>HYPERLINK("http://mirror.ff7data.com.ar/ff7/data/battle/battle.lgp/icbu.png","View Picture")</f>
        <v>View Picture</v>
      </c>
    </row>
    <row r="4692">
      <c r="A4692" s="84"/>
      <c r="B4692" s="119" t="s">
        <v>36538</v>
      </c>
      <c r="C4692" s="120" t="s">
        <v>7165</v>
      </c>
      <c r="D4692" s="33" t="s">
        <v>36479</v>
      </c>
      <c r="E4692" s="51" t="s">
        <v>943</v>
      </c>
      <c r="F4692" s="121" t="s">
        <v>3009</v>
      </c>
      <c r="G4692" s="98" t="str">
        <f>HYPERLINK("http://mirror.ff7data.com.ar/ff7/data/battle/battle.lgp/icbx.png","View Picture")</f>
        <v>View Picture</v>
      </c>
    </row>
    <row r="4693">
      <c r="A4693" s="84"/>
      <c r="B4693" s="119" t="s">
        <v>36539</v>
      </c>
      <c r="C4693" s="120" t="s">
        <v>4439</v>
      </c>
      <c r="D4693" s="33" t="s">
        <v>36479</v>
      </c>
      <c r="E4693" s="51" t="s">
        <v>943</v>
      </c>
      <c r="F4693" s="121" t="s">
        <v>3009</v>
      </c>
      <c r="G4693" s="98" t="str">
        <f>HYPERLINK("http://mirror.ff7data.com.ar/ff7/data/battle/battle.lgp/icby.png","View Picture")</f>
        <v>View Picture</v>
      </c>
    </row>
    <row r="4694">
      <c r="A4694" s="82"/>
      <c r="B4694" s="119" t="s">
        <v>36540</v>
      </c>
      <c r="C4694" s="120" t="s">
        <v>10078</v>
      </c>
      <c r="D4694" s="33" t="s">
        <v>36541</v>
      </c>
      <c r="E4694" s="51" t="s">
        <v>943</v>
      </c>
      <c r="F4694" s="121" t="s">
        <v>3009</v>
      </c>
      <c r="G4694" s="98" t="str">
        <f>HYPERLINK("http://mirror.ff7data.com.ar/ff7/data/battle/battle.lgp/icbz.png","View Picture")</f>
        <v>View Picture</v>
      </c>
    </row>
    <row r="4695">
      <c r="A4695" s="84"/>
      <c r="B4695" s="119" t="s">
        <v>36542</v>
      </c>
      <c r="C4695" s="120" t="s">
        <v>7165</v>
      </c>
      <c r="D4695" s="33" t="s">
        <v>36479</v>
      </c>
      <c r="E4695" s="51" t="s">
        <v>943</v>
      </c>
      <c r="F4695" s="121" t="s">
        <v>3009</v>
      </c>
      <c r="G4695" s="98" t="str">
        <f>HYPERLINK("http://mirror.ff7data.com.ar/ff7/data/battle/battle.lgp/iccc.png","View Picture")</f>
        <v>View Picture</v>
      </c>
    </row>
    <row r="4696">
      <c r="A4696" s="84"/>
      <c r="B4696" s="119" t="s">
        <v>36543</v>
      </c>
      <c r="C4696" s="120" t="s">
        <v>4439</v>
      </c>
      <c r="D4696" s="33" t="s">
        <v>36479</v>
      </c>
      <c r="E4696" s="51" t="s">
        <v>943</v>
      </c>
      <c r="F4696" s="121" t="s">
        <v>3009</v>
      </c>
      <c r="G4696" s="98" t="str">
        <f>HYPERLINK("http://mirror.ff7data.com.ar/ff7/data/battle/battle.lgp/iccd.png","View Picture")</f>
        <v>View Picture</v>
      </c>
    </row>
    <row r="4697">
      <c r="A4697" s="82"/>
      <c r="B4697" s="119" t="s">
        <v>36544</v>
      </c>
      <c r="C4697" s="120" t="s">
        <v>10078</v>
      </c>
      <c r="D4697" s="33" t="s">
        <v>36545</v>
      </c>
      <c r="E4697" s="51" t="s">
        <v>943</v>
      </c>
      <c r="F4697" s="121" t="s">
        <v>3009</v>
      </c>
      <c r="G4697" s="98" t="str">
        <f>HYPERLINK("http://mirror.ff7data.com.ar/ff7/data/battle/battle.lgp/icce.png","View Picture")</f>
        <v>View Picture</v>
      </c>
    </row>
    <row r="4698">
      <c r="A4698" s="84"/>
      <c r="B4698" s="119" t="s">
        <v>36546</v>
      </c>
      <c r="C4698" s="120" t="s">
        <v>4191</v>
      </c>
      <c r="D4698" s="33" t="s">
        <v>36479</v>
      </c>
      <c r="E4698" s="51" t="s">
        <v>943</v>
      </c>
      <c r="F4698" s="121" t="s">
        <v>3025</v>
      </c>
      <c r="H4698" s="46" t="s">
        <v>3002</v>
      </c>
    </row>
    <row r="4699">
      <c r="A4699" s="55"/>
      <c r="B4699" s="119" t="s">
        <v>36547</v>
      </c>
      <c r="C4699" s="120" t="s">
        <v>6802</v>
      </c>
      <c r="D4699" s="33" t="s">
        <v>36548</v>
      </c>
      <c r="E4699" s="51" t="s">
        <v>956</v>
      </c>
      <c r="F4699" s="121" t="s">
        <v>2971</v>
      </c>
      <c r="G4699" s="98" t="str">
        <f>HYPERLINK("http://mirror.ff7data.com.ar/ff7/data/battle/battle.lgp/idaa.png","View Picture")</f>
        <v>View Picture</v>
      </c>
      <c r="H4699" s="46" t="s">
        <v>36549</v>
      </c>
    </row>
    <row r="4700">
      <c r="A4700" s="55"/>
      <c r="B4700" s="119" t="s">
        <v>36550</v>
      </c>
      <c r="C4700" s="120" t="s">
        <v>5724</v>
      </c>
      <c r="D4700" s="33" t="s">
        <v>36551</v>
      </c>
      <c r="E4700" s="51" t="s">
        <v>956</v>
      </c>
      <c r="F4700" s="121" t="s">
        <v>2993</v>
      </c>
      <c r="H4700" s="46" t="s">
        <v>3002</v>
      </c>
    </row>
    <row r="4701">
      <c r="A4701" s="55"/>
      <c r="B4701" s="119" t="s">
        <v>36552</v>
      </c>
      <c r="C4701" s="120" t="s">
        <v>4439</v>
      </c>
      <c r="D4701" s="33" t="s">
        <v>36551</v>
      </c>
      <c r="E4701" s="51" t="s">
        <v>956</v>
      </c>
      <c r="F4701" s="121" t="s">
        <v>3009</v>
      </c>
      <c r="G4701" s="98" t="str">
        <f>HYPERLINK("http://mirror.ff7data.com.ar/ff7/data/battle/battle.lgp/idam.png","View Picture")</f>
        <v>View Picture</v>
      </c>
    </row>
    <row r="4702">
      <c r="A4702" s="55"/>
      <c r="B4702" s="119" t="s">
        <v>36553</v>
      </c>
      <c r="C4702" s="120" t="s">
        <v>4476</v>
      </c>
      <c r="D4702" s="33" t="s">
        <v>36551</v>
      </c>
      <c r="E4702" s="51" t="s">
        <v>956</v>
      </c>
      <c r="F4702" s="121" t="s">
        <v>3009</v>
      </c>
      <c r="G4702" s="98" t="str">
        <f>HYPERLINK("http://mirror.ff7data.com.ar/ff7/data/battle/battle.lgp/idan.png","View Picture")</f>
        <v>View Picture</v>
      </c>
    </row>
    <row r="4703">
      <c r="A4703" s="55"/>
      <c r="B4703" s="119" t="s">
        <v>36554</v>
      </c>
      <c r="C4703" s="120" t="s">
        <v>4476</v>
      </c>
      <c r="D4703" s="33" t="s">
        <v>36551</v>
      </c>
      <c r="E4703" s="51" t="s">
        <v>956</v>
      </c>
      <c r="F4703" s="121" t="s">
        <v>3009</v>
      </c>
      <c r="G4703" s="98" t="str">
        <f>HYPERLINK("http://mirror.ff7data.com.ar/ff7/data/battle/battle.lgp/idao.png","View Picture")</f>
        <v>View Picture</v>
      </c>
    </row>
    <row r="4704">
      <c r="A4704" s="55"/>
      <c r="B4704" s="119" t="s">
        <v>36555</v>
      </c>
      <c r="C4704" s="120" t="s">
        <v>4841</v>
      </c>
      <c r="D4704" s="33" t="s">
        <v>36551</v>
      </c>
      <c r="E4704" s="51" t="s">
        <v>956</v>
      </c>
      <c r="F4704" s="121" t="s">
        <v>3009</v>
      </c>
      <c r="G4704" s="98" t="str">
        <f>HYPERLINK("http://mirror.ff7data.com.ar/ff7/data/battle/battle.lgp/idap.png","View Picture")</f>
        <v>View Picture</v>
      </c>
    </row>
    <row r="4705">
      <c r="A4705" s="55"/>
      <c r="B4705" s="119" t="s">
        <v>36556</v>
      </c>
      <c r="C4705" s="120" t="s">
        <v>4719</v>
      </c>
      <c r="D4705" s="33" t="s">
        <v>36551</v>
      </c>
      <c r="E4705" s="51" t="s">
        <v>956</v>
      </c>
      <c r="F4705" s="121" t="s">
        <v>3009</v>
      </c>
      <c r="G4705" s="98" t="str">
        <f>HYPERLINK("http://mirror.ff7data.com.ar/ff7/data/battle/battle.lgp/idar.png","View Picture")</f>
        <v>View Picture</v>
      </c>
    </row>
    <row r="4706">
      <c r="A4706" s="55"/>
      <c r="B4706" s="119" t="s">
        <v>36557</v>
      </c>
      <c r="C4706" s="120" t="s">
        <v>4476</v>
      </c>
      <c r="D4706" s="33" t="s">
        <v>36551</v>
      </c>
      <c r="E4706" s="51" t="s">
        <v>956</v>
      </c>
      <c r="F4706" s="121" t="s">
        <v>3009</v>
      </c>
      <c r="G4706" s="98" t="str">
        <f>HYPERLINK("http://mirror.ff7data.com.ar/ff7/data/battle/battle.lgp/idat.png","View Picture")</f>
        <v>View Picture</v>
      </c>
    </row>
    <row r="4707">
      <c r="A4707" s="55"/>
      <c r="B4707" s="119" t="s">
        <v>36558</v>
      </c>
      <c r="C4707" s="120" t="s">
        <v>4264</v>
      </c>
      <c r="D4707" s="33" t="s">
        <v>36551</v>
      </c>
      <c r="E4707" s="51" t="s">
        <v>956</v>
      </c>
      <c r="F4707" s="121" t="s">
        <v>3009</v>
      </c>
      <c r="G4707" s="98" t="str">
        <f>HYPERLINK("http://mirror.ff7data.com.ar/ff7/data/battle/battle.lgp/idau.png","View Picture")</f>
        <v>View Picture</v>
      </c>
    </row>
    <row r="4708">
      <c r="A4708" s="55"/>
      <c r="B4708" s="119" t="s">
        <v>36559</v>
      </c>
      <c r="C4708" s="120" t="s">
        <v>7148</v>
      </c>
      <c r="D4708" s="33" t="s">
        <v>36551</v>
      </c>
      <c r="E4708" s="51" t="s">
        <v>956</v>
      </c>
      <c r="F4708" s="121" t="s">
        <v>3009</v>
      </c>
      <c r="G4708" s="98" t="str">
        <f>HYPERLINK("http://mirror.ff7data.com.ar/ff7/data/battle/battle.lgp/idav.png","View Picture")</f>
        <v>View Picture</v>
      </c>
    </row>
    <row r="4709">
      <c r="A4709" s="55"/>
      <c r="B4709" s="119" t="s">
        <v>36560</v>
      </c>
      <c r="C4709" s="120" t="s">
        <v>3842</v>
      </c>
      <c r="D4709" s="33" t="s">
        <v>36551</v>
      </c>
      <c r="E4709" s="51" t="s">
        <v>956</v>
      </c>
      <c r="F4709" s="121" t="s">
        <v>3009</v>
      </c>
      <c r="G4709" s="98" t="str">
        <f>HYPERLINK("http://mirror.ff7data.com.ar/ff7/data/battle/battle.lgp/idaw.png","View Picture")</f>
        <v>View Picture</v>
      </c>
    </row>
    <row r="4710">
      <c r="A4710" s="55"/>
      <c r="B4710" s="119" t="s">
        <v>36561</v>
      </c>
      <c r="C4710" s="120" t="s">
        <v>4476</v>
      </c>
      <c r="D4710" s="33" t="s">
        <v>36551</v>
      </c>
      <c r="E4710" s="51" t="s">
        <v>956</v>
      </c>
      <c r="F4710" s="121" t="s">
        <v>3009</v>
      </c>
      <c r="G4710" s="98" t="str">
        <f>HYPERLINK("http://mirror.ff7data.com.ar/ff7/data/battle/battle.lgp/iday.png","View Picture")</f>
        <v>View Picture</v>
      </c>
    </row>
    <row r="4711">
      <c r="A4711" s="55"/>
      <c r="B4711" s="119" t="s">
        <v>36562</v>
      </c>
      <c r="C4711" s="120" t="s">
        <v>4264</v>
      </c>
      <c r="D4711" s="33" t="s">
        <v>36551</v>
      </c>
      <c r="E4711" s="51" t="s">
        <v>956</v>
      </c>
      <c r="F4711" s="121" t="s">
        <v>3009</v>
      </c>
      <c r="G4711" s="98" t="str">
        <f>HYPERLINK("http://mirror.ff7data.com.ar/ff7/data/battle/battle.lgp/idaz.png","View Picture")</f>
        <v>View Picture</v>
      </c>
    </row>
    <row r="4712">
      <c r="A4712" s="55"/>
      <c r="B4712" s="119" t="s">
        <v>36563</v>
      </c>
      <c r="C4712" s="120" t="s">
        <v>7148</v>
      </c>
      <c r="D4712" s="33" t="s">
        <v>36551</v>
      </c>
      <c r="E4712" s="51" t="s">
        <v>956</v>
      </c>
      <c r="F4712" s="121" t="s">
        <v>3009</v>
      </c>
      <c r="G4712" s="98" t="str">
        <f>HYPERLINK("http://mirror.ff7data.com.ar/ff7/data/battle/battle.lgp/idba.png","View Picture")</f>
        <v>View Picture</v>
      </c>
    </row>
    <row r="4713">
      <c r="A4713" s="55"/>
      <c r="B4713" s="119" t="s">
        <v>36564</v>
      </c>
      <c r="C4713" s="120" t="s">
        <v>3842</v>
      </c>
      <c r="D4713" s="33" t="s">
        <v>36551</v>
      </c>
      <c r="E4713" s="51" t="s">
        <v>956</v>
      </c>
      <c r="F4713" s="121" t="s">
        <v>3009</v>
      </c>
      <c r="G4713" s="98" t="str">
        <f>HYPERLINK("http://mirror.ff7data.com.ar/ff7/data/battle/battle.lgp/idbb.png","View Picture")</f>
        <v>View Picture</v>
      </c>
    </row>
    <row r="4714">
      <c r="A4714" s="55"/>
      <c r="B4714" s="119" t="s">
        <v>36565</v>
      </c>
      <c r="C4714" s="120" t="s">
        <v>4185</v>
      </c>
      <c r="D4714" s="33" t="s">
        <v>36551</v>
      </c>
      <c r="E4714" s="51" t="s">
        <v>956</v>
      </c>
      <c r="F4714" s="121" t="s">
        <v>3009</v>
      </c>
      <c r="G4714" s="98" t="str">
        <f>HYPERLINK("http://mirror.ff7data.com.ar/ff7/data/battle/battle.lgp/idbd.png","View Picture")</f>
        <v>View Picture</v>
      </c>
    </row>
    <row r="4715">
      <c r="A4715" s="55"/>
      <c r="B4715" s="119" t="s">
        <v>36566</v>
      </c>
      <c r="C4715" s="120" t="s">
        <v>4439</v>
      </c>
      <c r="D4715" s="33" t="s">
        <v>36551</v>
      </c>
      <c r="E4715" s="51" t="s">
        <v>956</v>
      </c>
      <c r="F4715" s="121" t="s">
        <v>3009</v>
      </c>
      <c r="G4715" s="98" t="str">
        <f>HYPERLINK("http://mirror.ff7data.com.ar/ff7/data/battle/battle.lgp/idbe.png","View Picture")</f>
        <v>View Picture</v>
      </c>
    </row>
    <row r="4716">
      <c r="A4716" s="55"/>
      <c r="B4716" s="119" t="s">
        <v>36567</v>
      </c>
      <c r="C4716" s="120" t="s">
        <v>4264</v>
      </c>
      <c r="D4716" s="33" t="s">
        <v>36551</v>
      </c>
      <c r="E4716" s="51" t="s">
        <v>956</v>
      </c>
      <c r="F4716" s="121" t="s">
        <v>3009</v>
      </c>
      <c r="G4716" s="98" t="str">
        <f>HYPERLINK("http://mirror.ff7data.com.ar/ff7/data/battle/battle.lgp/idbf.png","View Picture")</f>
        <v>View Picture</v>
      </c>
    </row>
    <row r="4717">
      <c r="A4717" s="55"/>
      <c r="B4717" s="119" t="s">
        <v>36568</v>
      </c>
      <c r="C4717" s="120" t="s">
        <v>3842</v>
      </c>
      <c r="D4717" s="33" t="s">
        <v>36551</v>
      </c>
      <c r="E4717" s="51" t="s">
        <v>956</v>
      </c>
      <c r="F4717" s="121" t="s">
        <v>3009</v>
      </c>
      <c r="G4717" s="98" t="str">
        <f>HYPERLINK("http://mirror.ff7data.com.ar/ff7/data/battle/battle.lgp/idbg.png","View Picture")</f>
        <v>View Picture</v>
      </c>
    </row>
    <row r="4718">
      <c r="A4718" s="55"/>
      <c r="B4718" s="119" t="s">
        <v>36569</v>
      </c>
      <c r="C4718" s="120" t="s">
        <v>4476</v>
      </c>
      <c r="D4718" s="33" t="s">
        <v>36551</v>
      </c>
      <c r="E4718" s="51" t="s">
        <v>956</v>
      </c>
      <c r="F4718" s="121" t="s">
        <v>3009</v>
      </c>
      <c r="G4718" s="98" t="str">
        <f>HYPERLINK("http://mirror.ff7data.com.ar/ff7/data/battle/battle.lgp/idbi.png","View Picture")</f>
        <v>View Picture</v>
      </c>
    </row>
    <row r="4719">
      <c r="A4719" s="55"/>
      <c r="B4719" s="119" t="s">
        <v>36570</v>
      </c>
      <c r="C4719" s="120" t="s">
        <v>4732</v>
      </c>
      <c r="D4719" s="33" t="s">
        <v>36551</v>
      </c>
      <c r="E4719" s="51" t="s">
        <v>956</v>
      </c>
      <c r="F4719" s="121" t="s">
        <v>3009</v>
      </c>
      <c r="G4719" s="98" t="str">
        <f>HYPERLINK("http://mirror.ff7data.com.ar/ff7/data/battle/battle.lgp/idbj.png","View Picture")</f>
        <v>View Picture</v>
      </c>
    </row>
    <row r="4720">
      <c r="A4720" s="55"/>
      <c r="B4720" s="119" t="s">
        <v>36571</v>
      </c>
      <c r="C4720" s="120" t="s">
        <v>4288</v>
      </c>
      <c r="D4720" s="33" t="s">
        <v>36551</v>
      </c>
      <c r="E4720" s="51" t="s">
        <v>956</v>
      </c>
      <c r="F4720" s="121" t="s">
        <v>3009</v>
      </c>
      <c r="G4720" s="98" t="str">
        <f>HYPERLINK("http://mirror.ff7data.com.ar/ff7/data/battle/battle.lgp/idbk.png","View Picture")</f>
        <v>View Picture</v>
      </c>
    </row>
    <row r="4721">
      <c r="A4721" s="55"/>
      <c r="B4721" s="119" t="s">
        <v>36572</v>
      </c>
      <c r="C4721" s="120" t="s">
        <v>3842</v>
      </c>
      <c r="D4721" s="33" t="s">
        <v>36551</v>
      </c>
      <c r="E4721" s="51" t="s">
        <v>956</v>
      </c>
      <c r="F4721" s="121" t="s">
        <v>3009</v>
      </c>
      <c r="G4721" s="98" t="str">
        <f>HYPERLINK("http://mirror.ff7data.com.ar/ff7/data/battle/battle.lgp/idbl.png","View Picture")</f>
        <v>View Picture</v>
      </c>
    </row>
    <row r="4722">
      <c r="A4722" s="55"/>
      <c r="B4722" s="119" t="s">
        <v>36573</v>
      </c>
      <c r="C4722" s="120" t="s">
        <v>6029</v>
      </c>
      <c r="D4722" s="33" t="s">
        <v>36551</v>
      </c>
      <c r="E4722" s="51" t="s">
        <v>956</v>
      </c>
      <c r="F4722" s="121" t="s">
        <v>3009</v>
      </c>
      <c r="G4722" s="98" t="str">
        <f>HYPERLINK("http://mirror.ff7data.com.ar/ff7/data/battle/battle.lgp/idbm.png","View Picture")</f>
        <v>View Picture</v>
      </c>
    </row>
    <row r="4723">
      <c r="A4723" s="55"/>
      <c r="B4723" s="119" t="s">
        <v>36574</v>
      </c>
      <c r="C4723" s="120" t="s">
        <v>4732</v>
      </c>
      <c r="D4723" s="33" t="s">
        <v>36551</v>
      </c>
      <c r="E4723" s="51" t="s">
        <v>956</v>
      </c>
      <c r="F4723" s="121" t="s">
        <v>3009</v>
      </c>
      <c r="G4723" s="98" t="str">
        <f>HYPERLINK("http://mirror.ff7data.com.ar/ff7/data/battle/battle.lgp/idbn.png","View Picture")</f>
        <v>View Picture</v>
      </c>
    </row>
    <row r="4724">
      <c r="A4724" s="55"/>
      <c r="B4724" s="119" t="s">
        <v>36575</v>
      </c>
      <c r="C4724" s="120" t="s">
        <v>4883</v>
      </c>
      <c r="D4724" s="33" t="s">
        <v>36551</v>
      </c>
      <c r="E4724" s="51" t="s">
        <v>956</v>
      </c>
      <c r="F4724" s="121" t="s">
        <v>3009</v>
      </c>
      <c r="G4724" s="98" t="str">
        <f>HYPERLINK("http://mirror.ff7data.com.ar/ff7/data/battle/battle.lgp/idbo.png","View Picture")</f>
        <v>View Picture</v>
      </c>
    </row>
    <row r="4725">
      <c r="A4725" s="55"/>
      <c r="B4725" s="119" t="s">
        <v>36576</v>
      </c>
      <c r="C4725" s="120" t="s">
        <v>10195</v>
      </c>
      <c r="D4725" s="33" t="s">
        <v>36551</v>
      </c>
      <c r="E4725" s="51" t="s">
        <v>956</v>
      </c>
      <c r="F4725" s="121" t="s">
        <v>3025</v>
      </c>
      <c r="H4725" s="46" t="s">
        <v>3002</v>
      </c>
    </row>
    <row r="4726">
      <c r="A4726" s="55"/>
      <c r="B4726" s="119" t="s">
        <v>36577</v>
      </c>
      <c r="C4726" s="120" t="s">
        <v>4196</v>
      </c>
      <c r="D4726" s="33" t="s">
        <v>36578</v>
      </c>
      <c r="E4726" s="51" t="s">
        <v>962</v>
      </c>
      <c r="F4726" s="121" t="s">
        <v>2971</v>
      </c>
      <c r="G4726" s="98" t="str">
        <f>HYPERLINK("http://mirror.ff7data.com.ar/ff7/data/battle/battle.lgp/ieaa.png","View Picture")</f>
        <v>View Picture</v>
      </c>
    </row>
    <row r="4727">
      <c r="A4727" s="55"/>
      <c r="B4727" s="119" t="s">
        <v>36579</v>
      </c>
      <c r="C4727" s="120" t="s">
        <v>3557</v>
      </c>
      <c r="D4727" s="33" t="s">
        <v>36580</v>
      </c>
      <c r="E4727" s="51" t="s">
        <v>962</v>
      </c>
      <c r="F4727" s="121" t="s">
        <v>2993</v>
      </c>
      <c r="H4727" s="46" t="s">
        <v>3002</v>
      </c>
    </row>
    <row r="4728">
      <c r="A4728" s="55"/>
      <c r="B4728" s="119" t="s">
        <v>36581</v>
      </c>
      <c r="C4728" s="120" t="s">
        <v>3445</v>
      </c>
      <c r="D4728" s="33" t="s">
        <v>36580</v>
      </c>
      <c r="E4728" s="51" t="s">
        <v>962</v>
      </c>
      <c r="F4728" s="121" t="s">
        <v>3009</v>
      </c>
      <c r="G4728" s="98" t="str">
        <f>HYPERLINK("http://mirror.ff7data.com.ar/ff7/data/battle/battle.lgp/ieam.png","View Picture")</f>
        <v>View Picture</v>
      </c>
    </row>
    <row r="4729">
      <c r="A4729" s="55"/>
      <c r="B4729" s="119" t="s">
        <v>36582</v>
      </c>
      <c r="C4729" s="120" t="s">
        <v>3519</v>
      </c>
      <c r="D4729" s="33" t="s">
        <v>36580</v>
      </c>
      <c r="E4729" s="51" t="s">
        <v>962</v>
      </c>
      <c r="F4729" s="121" t="s">
        <v>3009</v>
      </c>
      <c r="G4729" s="98" t="str">
        <f>HYPERLINK("http://mirror.ff7data.com.ar/ff7/data/battle/battle.lgp/iean.png","View Picture")</f>
        <v>View Picture</v>
      </c>
    </row>
    <row r="4730">
      <c r="A4730" s="55"/>
      <c r="B4730" s="119" t="s">
        <v>36583</v>
      </c>
      <c r="C4730" s="120" t="s">
        <v>34499</v>
      </c>
      <c r="D4730" s="33" t="s">
        <v>36580</v>
      </c>
      <c r="E4730" s="51" t="s">
        <v>962</v>
      </c>
      <c r="F4730" s="121" t="s">
        <v>3009</v>
      </c>
      <c r="G4730" s="98" t="str">
        <f>HYPERLINK("http://mirror.ff7data.com.ar/ff7/data/battle/battle.lgp/ieao.png","View Picture")</f>
        <v>View Picture</v>
      </c>
    </row>
    <row r="4731">
      <c r="A4731" s="55"/>
      <c r="B4731" s="119" t="s">
        <v>36584</v>
      </c>
      <c r="C4731" s="120" t="s">
        <v>4732</v>
      </c>
      <c r="D4731" s="33" t="s">
        <v>36580</v>
      </c>
      <c r="E4731" s="51" t="s">
        <v>962</v>
      </c>
      <c r="F4731" s="121" t="s">
        <v>3009</v>
      </c>
      <c r="G4731" s="98" t="str">
        <f>HYPERLINK("http://mirror.ff7data.com.ar/ff7/data/battle/battle.lgp/ieaq.png","View Picture")</f>
        <v>View Picture</v>
      </c>
    </row>
    <row r="4732">
      <c r="A4732" s="55"/>
      <c r="B4732" s="119" t="s">
        <v>36585</v>
      </c>
      <c r="C4732" s="120" t="s">
        <v>4707</v>
      </c>
      <c r="D4732" s="33" t="s">
        <v>36580</v>
      </c>
      <c r="E4732" s="51" t="s">
        <v>962</v>
      </c>
      <c r="F4732" s="121" t="s">
        <v>3009</v>
      </c>
      <c r="G4732" s="98" t="str">
        <f>HYPERLINK("http://mirror.ff7data.com.ar/ff7/data/battle/battle.lgp/iear.png","View Picture")</f>
        <v>View Picture</v>
      </c>
    </row>
    <row r="4733">
      <c r="A4733" s="55"/>
      <c r="B4733" s="119" t="s">
        <v>36586</v>
      </c>
      <c r="C4733" s="120" t="s">
        <v>4719</v>
      </c>
      <c r="D4733" s="33" t="s">
        <v>36580</v>
      </c>
      <c r="E4733" s="51" t="s">
        <v>962</v>
      </c>
      <c r="F4733" s="121" t="s">
        <v>3009</v>
      </c>
      <c r="G4733" s="98" t="str">
        <f>HYPERLINK("http://mirror.ff7data.com.ar/ff7/data/battle/battle.lgp/ieau.png","View Picture")</f>
        <v>View Picture</v>
      </c>
    </row>
    <row r="4734">
      <c r="A4734" s="55"/>
      <c r="B4734" s="119" t="s">
        <v>36587</v>
      </c>
      <c r="C4734" s="120" t="s">
        <v>3658</v>
      </c>
      <c r="D4734" s="33" t="s">
        <v>36580</v>
      </c>
      <c r="E4734" s="51" t="s">
        <v>962</v>
      </c>
      <c r="F4734" s="121" t="s">
        <v>3009</v>
      </c>
      <c r="G4734" s="98" t="str">
        <f>HYPERLINK("http://mirror.ff7data.com.ar/ff7/data/battle/battle.lgp/ieav.png","View Picture")</f>
        <v>View Picture</v>
      </c>
    </row>
    <row r="4735">
      <c r="A4735" s="55"/>
      <c r="B4735" s="119" t="s">
        <v>36588</v>
      </c>
      <c r="C4735" s="120" t="s">
        <v>5419</v>
      </c>
      <c r="D4735" s="33" t="s">
        <v>36580</v>
      </c>
      <c r="E4735" s="51" t="s">
        <v>962</v>
      </c>
      <c r="F4735" s="121" t="s">
        <v>3009</v>
      </c>
      <c r="G4735" s="98" t="str">
        <f>HYPERLINK("http://mirror.ff7data.com.ar/ff7/data/battle/battle.lgp/ieaw.png","View Picture")</f>
        <v>View Picture</v>
      </c>
    </row>
    <row r="4736">
      <c r="A4736" s="55"/>
      <c r="B4736" s="119" t="s">
        <v>36589</v>
      </c>
      <c r="C4736" s="120" t="s">
        <v>4719</v>
      </c>
      <c r="D4736" s="33" t="s">
        <v>36580</v>
      </c>
      <c r="E4736" s="51" t="s">
        <v>962</v>
      </c>
      <c r="F4736" s="121" t="s">
        <v>3009</v>
      </c>
      <c r="G4736" s="98" t="str">
        <f>HYPERLINK("http://mirror.ff7data.com.ar/ff7/data/battle/battle.lgp/ieaz.png","View Picture")</f>
        <v>View Picture</v>
      </c>
    </row>
    <row r="4737">
      <c r="A4737" s="55"/>
      <c r="B4737" s="119" t="s">
        <v>36590</v>
      </c>
      <c r="C4737" s="120" t="s">
        <v>7165</v>
      </c>
      <c r="D4737" s="33" t="s">
        <v>36580</v>
      </c>
      <c r="E4737" s="51" t="s">
        <v>962</v>
      </c>
      <c r="F4737" s="121" t="s">
        <v>3009</v>
      </c>
      <c r="G4737" s="98" t="str">
        <f>HYPERLINK("http://mirror.ff7data.com.ar/ff7/data/battle/battle.lgp/ieba.png","View Picture")</f>
        <v>View Picture</v>
      </c>
    </row>
    <row r="4738">
      <c r="A4738" s="55"/>
      <c r="B4738" s="119" t="s">
        <v>36591</v>
      </c>
      <c r="C4738" s="120" t="s">
        <v>5419</v>
      </c>
      <c r="D4738" s="33" t="s">
        <v>36580</v>
      </c>
      <c r="E4738" s="51" t="s">
        <v>962</v>
      </c>
      <c r="F4738" s="121" t="s">
        <v>3009</v>
      </c>
      <c r="G4738" s="98" t="str">
        <f>HYPERLINK("http://mirror.ff7data.com.ar/ff7/data/battle/battle.lgp/iebb.png","View Picture")</f>
        <v>View Picture</v>
      </c>
    </row>
    <row r="4739">
      <c r="A4739" s="55"/>
      <c r="B4739" s="119" t="s">
        <v>36592</v>
      </c>
      <c r="C4739" s="120" t="s">
        <v>20391</v>
      </c>
      <c r="D4739" s="33" t="s">
        <v>36580</v>
      </c>
      <c r="E4739" s="51" t="s">
        <v>962</v>
      </c>
      <c r="F4739" s="121" t="s">
        <v>3009</v>
      </c>
      <c r="G4739" s="98" t="str">
        <f>HYPERLINK("http://mirror.ff7data.com.ar/ff7/data/battle/battle.lgp/iebd.png","View Picture")</f>
        <v>View Picture</v>
      </c>
    </row>
    <row r="4740">
      <c r="A4740" s="55"/>
      <c r="B4740" s="119" t="s">
        <v>36593</v>
      </c>
      <c r="C4740" s="120" t="s">
        <v>30420</v>
      </c>
      <c r="D4740" s="33" t="s">
        <v>36580</v>
      </c>
      <c r="E4740" s="51" t="s">
        <v>962</v>
      </c>
      <c r="F4740" s="121" t="s">
        <v>3009</v>
      </c>
      <c r="G4740" s="98" t="str">
        <f>HYPERLINK("http://mirror.ff7data.com.ar/ff7/data/battle/battle.lgp/iebe.png","View Picture")</f>
        <v>View Picture</v>
      </c>
    </row>
    <row r="4741">
      <c r="A4741" s="55"/>
      <c r="B4741" s="119" t="s">
        <v>36594</v>
      </c>
      <c r="C4741" s="120" t="s">
        <v>4372</v>
      </c>
      <c r="D4741" s="33" t="s">
        <v>36580</v>
      </c>
      <c r="E4741" s="51" t="s">
        <v>962</v>
      </c>
      <c r="F4741" s="121" t="s">
        <v>3009</v>
      </c>
      <c r="G4741" s="98" t="str">
        <f>HYPERLINK("http://mirror.ff7data.com.ar/ff7/data/battle/battle.lgp/iebg.png","View Picture")</f>
        <v>View Picture</v>
      </c>
    </row>
    <row r="4742">
      <c r="A4742" s="55"/>
      <c r="B4742" s="119" t="s">
        <v>36595</v>
      </c>
      <c r="C4742" s="120" t="s">
        <v>5419</v>
      </c>
      <c r="D4742" s="33" t="s">
        <v>36580</v>
      </c>
      <c r="E4742" s="51" t="s">
        <v>962</v>
      </c>
      <c r="F4742" s="121" t="s">
        <v>3009</v>
      </c>
      <c r="G4742" s="98" t="str">
        <f>HYPERLINK("http://mirror.ff7data.com.ar/ff7/data/battle/battle.lgp/iebh.png","View Picture")</f>
        <v>View Picture</v>
      </c>
    </row>
    <row r="4743">
      <c r="A4743" s="55"/>
      <c r="B4743" s="119" t="s">
        <v>36596</v>
      </c>
      <c r="C4743" s="120" t="s">
        <v>4357</v>
      </c>
      <c r="D4743" s="33" t="s">
        <v>36580</v>
      </c>
      <c r="E4743" s="51" t="s">
        <v>962</v>
      </c>
      <c r="F4743" s="121" t="s">
        <v>3009</v>
      </c>
      <c r="G4743" s="98" t="str">
        <f>HYPERLINK("http://mirror.ff7data.com.ar/ff7/data/battle/battle.lgp/iebi.png","View Picture")</f>
        <v>View Picture</v>
      </c>
    </row>
    <row r="4744">
      <c r="A4744" s="55"/>
      <c r="B4744" s="119" t="s">
        <v>36597</v>
      </c>
      <c r="C4744" s="120" t="s">
        <v>4372</v>
      </c>
      <c r="D4744" s="33" t="s">
        <v>36580</v>
      </c>
      <c r="E4744" s="51" t="s">
        <v>962</v>
      </c>
      <c r="F4744" s="121" t="s">
        <v>3009</v>
      </c>
      <c r="G4744" s="98" t="str">
        <f>HYPERLINK("http://mirror.ff7data.com.ar/ff7/data/battle/battle.lgp/iebk.png","View Picture")</f>
        <v>View Picture</v>
      </c>
    </row>
    <row r="4745">
      <c r="A4745" s="55"/>
      <c r="B4745" s="119" t="s">
        <v>36598</v>
      </c>
      <c r="C4745" s="120" t="s">
        <v>5419</v>
      </c>
      <c r="D4745" s="33" t="s">
        <v>36580</v>
      </c>
      <c r="E4745" s="51" t="s">
        <v>962</v>
      </c>
      <c r="F4745" s="121" t="s">
        <v>3009</v>
      </c>
      <c r="G4745" s="98" t="str">
        <f>HYPERLINK("http://mirror.ff7data.com.ar/ff7/data/battle/battle.lgp/iebl.png","View Picture")</f>
        <v>View Picture</v>
      </c>
    </row>
    <row r="4746">
      <c r="A4746" s="55"/>
      <c r="B4746" s="119" t="s">
        <v>36599</v>
      </c>
      <c r="C4746" s="120" t="s">
        <v>4357</v>
      </c>
      <c r="D4746" s="33" t="s">
        <v>36580</v>
      </c>
      <c r="E4746" s="51" t="s">
        <v>962</v>
      </c>
      <c r="F4746" s="121" t="s">
        <v>3009</v>
      </c>
      <c r="G4746" s="98" t="str">
        <f>HYPERLINK("http://mirror.ff7data.com.ar/ff7/data/battle/battle.lgp/iebm.png","View Picture")</f>
        <v>View Picture</v>
      </c>
    </row>
    <row r="4747">
      <c r="A4747" s="55"/>
      <c r="B4747" s="119" t="s">
        <v>36600</v>
      </c>
      <c r="C4747" s="120" t="s">
        <v>24176</v>
      </c>
      <c r="D4747" s="33" t="s">
        <v>36580</v>
      </c>
      <c r="E4747" s="51" t="s">
        <v>962</v>
      </c>
      <c r="F4747" s="121" t="s">
        <v>3025</v>
      </c>
      <c r="H4747" s="46" t="s">
        <v>3002</v>
      </c>
    </row>
    <row r="4748">
      <c r="A4748" s="82"/>
      <c r="B4748" s="119" t="s">
        <v>36601</v>
      </c>
      <c r="C4748" s="120" t="s">
        <v>11721</v>
      </c>
      <c r="D4748" s="33" t="s">
        <v>36602</v>
      </c>
      <c r="E4748" s="51" t="s">
        <v>967</v>
      </c>
      <c r="F4748" s="121" t="s">
        <v>2971</v>
      </c>
      <c r="G4748" s="98" t="str">
        <f>HYPERLINK("http://mirror.ff7data.com.ar/ff7/data/battle/battle.lgp/ifaa.png","View Picture")</f>
        <v>View Picture</v>
      </c>
    </row>
    <row r="4749">
      <c r="A4749" s="55"/>
      <c r="B4749" s="119" t="s">
        <v>36603</v>
      </c>
      <c r="C4749" s="120" t="s">
        <v>4209</v>
      </c>
      <c r="D4749" s="33" t="s">
        <v>36604</v>
      </c>
      <c r="E4749" s="51" t="s">
        <v>967</v>
      </c>
      <c r="F4749" s="121" t="s">
        <v>2993</v>
      </c>
      <c r="H4749" s="46" t="s">
        <v>3002</v>
      </c>
    </row>
    <row r="4750">
      <c r="A4750" s="82"/>
      <c r="B4750" s="119" t="s">
        <v>36605</v>
      </c>
      <c r="C4750" s="120" t="s">
        <v>4357</v>
      </c>
      <c r="D4750" s="33" t="s">
        <v>36606</v>
      </c>
      <c r="E4750" s="51" t="s">
        <v>967</v>
      </c>
      <c r="F4750" s="121" t="s">
        <v>3009</v>
      </c>
      <c r="G4750" s="98" t="str">
        <f>HYPERLINK("http://mirror.ff7data.com.ar/ff7/data/battle/battle.lgp/ifam.png","View Picture")</f>
        <v>View Picture</v>
      </c>
    </row>
    <row r="4751">
      <c r="A4751" s="55"/>
      <c r="B4751" s="119" t="s">
        <v>36607</v>
      </c>
      <c r="C4751" s="120" t="s">
        <v>4185</v>
      </c>
      <c r="D4751" s="33" t="s">
        <v>36604</v>
      </c>
      <c r="E4751" s="51" t="s">
        <v>967</v>
      </c>
      <c r="F4751" s="121" t="s">
        <v>3025</v>
      </c>
      <c r="H4751" s="46" t="s">
        <v>3002</v>
      </c>
    </row>
    <row r="4752">
      <c r="A4752" s="82"/>
      <c r="B4752" s="119" t="s">
        <v>36608</v>
      </c>
      <c r="C4752" s="120" t="s">
        <v>11721</v>
      </c>
      <c r="D4752" s="33" t="s">
        <v>36602</v>
      </c>
      <c r="E4752" s="51" t="s">
        <v>971</v>
      </c>
      <c r="F4752" s="121" t="s">
        <v>2971</v>
      </c>
      <c r="G4752" s="98" t="str">
        <f>HYPERLINK("http://mirror.ff7data.com.ar/ff7/data/battle/battle.lgp/igaa.png","View Picture")</f>
        <v>View Picture</v>
      </c>
    </row>
    <row r="4753">
      <c r="A4753" s="55"/>
      <c r="B4753" s="119" t="s">
        <v>36609</v>
      </c>
      <c r="C4753" s="120" t="s">
        <v>9790</v>
      </c>
      <c r="D4753" s="33" t="s">
        <v>36604</v>
      </c>
      <c r="E4753" s="51" t="s">
        <v>971</v>
      </c>
      <c r="F4753" s="121" t="s">
        <v>2993</v>
      </c>
      <c r="H4753" s="46" t="s">
        <v>3002</v>
      </c>
    </row>
    <row r="4754">
      <c r="A4754" s="82"/>
      <c r="B4754" s="119" t="s">
        <v>36610</v>
      </c>
      <c r="C4754" s="120" t="s">
        <v>5419</v>
      </c>
      <c r="D4754" s="33" t="s">
        <v>36606</v>
      </c>
      <c r="E4754" s="51" t="s">
        <v>971</v>
      </c>
      <c r="F4754" s="121" t="s">
        <v>3009</v>
      </c>
      <c r="G4754" s="98" t="str">
        <f>HYPERLINK("http://mirror.ff7data.com.ar/ff7/data/battle/battle.lgp/igam.png","View Picture")</f>
        <v>View Picture</v>
      </c>
    </row>
    <row r="4755">
      <c r="A4755" s="55"/>
      <c r="B4755" s="119" t="s">
        <v>36611</v>
      </c>
      <c r="C4755" s="120" t="s">
        <v>4439</v>
      </c>
      <c r="D4755" s="33" t="s">
        <v>36604</v>
      </c>
      <c r="E4755" s="51" t="s">
        <v>971</v>
      </c>
      <c r="F4755" s="121" t="s">
        <v>3025</v>
      </c>
      <c r="H4755" s="46" t="s">
        <v>3002</v>
      </c>
    </row>
    <row r="4756">
      <c r="A4756" s="55"/>
      <c r="B4756" s="119" t="s">
        <v>36612</v>
      </c>
      <c r="C4756" s="120" t="s">
        <v>8004</v>
      </c>
      <c r="D4756" s="33" t="s">
        <v>36613</v>
      </c>
      <c r="E4756" s="51" t="s">
        <v>978</v>
      </c>
      <c r="F4756" s="121" t="s">
        <v>2971</v>
      </c>
      <c r="G4756" s="98" t="str">
        <f>HYPERLINK("http://mirror.ff7data.com.ar/ff7/data/battle/battle.lgp/ihaa.png","View Picture")</f>
        <v>View Picture</v>
      </c>
    </row>
    <row r="4757">
      <c r="A4757" s="55"/>
      <c r="B4757" s="119" t="s">
        <v>36614</v>
      </c>
      <c r="C4757" s="120" t="s">
        <v>9790</v>
      </c>
      <c r="D4757" s="33" t="s">
        <v>36615</v>
      </c>
      <c r="E4757" s="51" t="s">
        <v>978</v>
      </c>
      <c r="F4757" s="121" t="s">
        <v>2993</v>
      </c>
      <c r="H4757" s="46" t="s">
        <v>3002</v>
      </c>
    </row>
    <row r="4758">
      <c r="A4758" s="55"/>
      <c r="B4758" s="119" t="s">
        <v>36616</v>
      </c>
      <c r="C4758" s="120" t="s">
        <v>5967</v>
      </c>
      <c r="D4758" s="33" t="s">
        <v>36615</v>
      </c>
      <c r="E4758" s="51" t="s">
        <v>978</v>
      </c>
      <c r="F4758" s="121" t="s">
        <v>3009</v>
      </c>
      <c r="G4758" s="98" t="str">
        <f>HYPERLINK("http://mirror.ff7data.com.ar/ff7/data/battle/battle.lgp/iham.png","View Picture")</f>
        <v>View Picture</v>
      </c>
    </row>
    <row r="4759">
      <c r="A4759" s="55"/>
      <c r="B4759" s="119" t="s">
        <v>36617</v>
      </c>
      <c r="C4759" s="120" t="s">
        <v>4217</v>
      </c>
      <c r="D4759" s="33" t="s">
        <v>36615</v>
      </c>
      <c r="E4759" s="51" t="s">
        <v>978</v>
      </c>
      <c r="F4759" s="121" t="s">
        <v>3009</v>
      </c>
      <c r="G4759" s="98" t="str">
        <f>HYPERLINK("http://mirror.ff7data.com.ar/ff7/data/battle/battle.lgp/ihan.png","View Picture")</f>
        <v>View Picture</v>
      </c>
    </row>
    <row r="4760">
      <c r="A4760" s="55"/>
      <c r="B4760" s="119" t="s">
        <v>36618</v>
      </c>
      <c r="C4760" s="120" t="s">
        <v>36619</v>
      </c>
      <c r="D4760" s="33" t="s">
        <v>36615</v>
      </c>
      <c r="E4760" s="51" t="s">
        <v>978</v>
      </c>
      <c r="F4760" s="121" t="s">
        <v>3009</v>
      </c>
      <c r="G4760" s="98" t="str">
        <f>HYPERLINK("http://mirror.ff7data.com.ar/ff7/data/battle/battle.lgp/ihao.png","View Picture")</f>
        <v>View Picture</v>
      </c>
    </row>
    <row r="4761">
      <c r="A4761" s="55"/>
      <c r="B4761" s="119" t="s">
        <v>36620</v>
      </c>
      <c r="C4761" s="120" t="s">
        <v>7471</v>
      </c>
      <c r="D4761" s="33" t="s">
        <v>36615</v>
      </c>
      <c r="E4761" s="51" t="s">
        <v>978</v>
      </c>
      <c r="F4761" s="121" t="s">
        <v>3009</v>
      </c>
      <c r="G4761" s="98" t="str">
        <f>HYPERLINK("http://mirror.ff7data.com.ar/ff7/data/battle/battle.lgp/ihau.png","View Picture")</f>
        <v>View Picture</v>
      </c>
    </row>
    <row r="4762">
      <c r="A4762" s="55"/>
      <c r="B4762" s="119" t="s">
        <v>36621</v>
      </c>
      <c r="C4762" s="120" t="s">
        <v>24176</v>
      </c>
      <c r="D4762" s="33" t="s">
        <v>36615</v>
      </c>
      <c r="E4762" s="51" t="s">
        <v>978</v>
      </c>
      <c r="F4762" s="121" t="s">
        <v>3009</v>
      </c>
      <c r="G4762" s="98" t="str">
        <f>HYPERLINK("http://mirror.ff7data.com.ar/ff7/data/battle/battle.lgp/ihav.png","View Picture")</f>
        <v>View Picture</v>
      </c>
    </row>
    <row r="4763">
      <c r="A4763" s="55"/>
      <c r="B4763" s="119" t="s">
        <v>36622</v>
      </c>
      <c r="C4763" s="120" t="s">
        <v>3355</v>
      </c>
      <c r="D4763" s="33" t="s">
        <v>36615</v>
      </c>
      <c r="E4763" s="51" t="s">
        <v>978</v>
      </c>
      <c r="F4763" s="121" t="s">
        <v>3009</v>
      </c>
      <c r="G4763" s="98" t="str">
        <f>HYPERLINK("http://mirror.ff7data.com.ar/ff7/data/battle/battle.lgp/ihax.png","View Picture")</f>
        <v>View Picture</v>
      </c>
    </row>
    <row r="4764">
      <c r="A4764" s="55"/>
      <c r="B4764" s="119" t="s">
        <v>36623</v>
      </c>
      <c r="C4764" s="120" t="s">
        <v>3355</v>
      </c>
      <c r="D4764" s="33" t="s">
        <v>36615</v>
      </c>
      <c r="E4764" s="51" t="s">
        <v>978</v>
      </c>
      <c r="F4764" s="121" t="s">
        <v>3009</v>
      </c>
      <c r="G4764" s="98" t="str">
        <f>HYPERLINK("http://mirror.ff7data.com.ar/ff7/data/battle/battle.lgp/ihaz.png","View Picture")</f>
        <v>View Picture</v>
      </c>
    </row>
    <row r="4765">
      <c r="A4765" s="55"/>
      <c r="B4765" s="119" t="s">
        <v>36624</v>
      </c>
      <c r="C4765" s="120" t="s">
        <v>7148</v>
      </c>
      <c r="D4765" s="33" t="s">
        <v>36615</v>
      </c>
      <c r="E4765" s="51" t="s">
        <v>978</v>
      </c>
      <c r="F4765" s="121" t="s">
        <v>3009</v>
      </c>
      <c r="G4765" s="98" t="str">
        <f>HYPERLINK("http://mirror.ff7data.com.ar/ff7/data/battle/battle.lgp/ihbc.png","View Picture")</f>
        <v>View Picture</v>
      </c>
    </row>
    <row r="4766">
      <c r="A4766" s="55"/>
      <c r="B4766" s="119" t="s">
        <v>36625</v>
      </c>
      <c r="C4766" s="120" t="s">
        <v>3007</v>
      </c>
      <c r="D4766" s="33" t="s">
        <v>36615</v>
      </c>
      <c r="E4766" s="51" t="s">
        <v>978</v>
      </c>
      <c r="F4766" s="121" t="s">
        <v>3009</v>
      </c>
      <c r="G4766" s="98" t="str">
        <f>HYPERLINK("http://mirror.ff7data.com.ar/ff7/data/battle/battle.lgp/ihbd.png","View Picture")</f>
        <v>View Picture</v>
      </c>
    </row>
    <row r="4767">
      <c r="A4767" s="55"/>
      <c r="B4767" s="119" t="s">
        <v>36626</v>
      </c>
      <c r="C4767" s="120" t="s">
        <v>7148</v>
      </c>
      <c r="D4767" s="33" t="s">
        <v>36615</v>
      </c>
      <c r="E4767" s="51" t="s">
        <v>978</v>
      </c>
      <c r="F4767" s="121" t="s">
        <v>3009</v>
      </c>
      <c r="G4767" s="98" t="str">
        <f>HYPERLINK("http://mirror.ff7data.com.ar/ff7/data/battle/battle.lgp/ihbf.png","View Picture")</f>
        <v>View Picture</v>
      </c>
    </row>
    <row r="4768">
      <c r="A4768" s="55"/>
      <c r="B4768" s="119" t="s">
        <v>36627</v>
      </c>
      <c r="C4768" s="120" t="s">
        <v>7148</v>
      </c>
      <c r="D4768" s="33" t="s">
        <v>36615</v>
      </c>
      <c r="E4768" s="51" t="s">
        <v>978</v>
      </c>
      <c r="F4768" s="121" t="s">
        <v>3009</v>
      </c>
      <c r="G4768" s="98" t="str">
        <f>HYPERLINK("http://mirror.ff7data.com.ar/ff7/data/battle/battle.lgp/ihbg.png","View Picture")</f>
        <v>View Picture</v>
      </c>
    </row>
    <row r="4769">
      <c r="A4769" s="55"/>
      <c r="B4769" s="119" t="s">
        <v>36628</v>
      </c>
      <c r="C4769" s="120" t="s">
        <v>3007</v>
      </c>
      <c r="D4769" s="33" t="s">
        <v>36615</v>
      </c>
      <c r="E4769" s="51" t="s">
        <v>978</v>
      </c>
      <c r="F4769" s="121" t="s">
        <v>3009</v>
      </c>
      <c r="G4769" s="98" t="str">
        <f>HYPERLINK("http://mirror.ff7data.com.ar/ff7/data/battle/battle.lgp/ihbh.png","View Picture")</f>
        <v>View Picture</v>
      </c>
    </row>
    <row r="4770">
      <c r="A4770" s="55"/>
      <c r="B4770" s="119" t="s">
        <v>36629</v>
      </c>
      <c r="C4770" s="120" t="s">
        <v>7148</v>
      </c>
      <c r="D4770" s="33" t="s">
        <v>36615</v>
      </c>
      <c r="E4770" s="51" t="s">
        <v>978</v>
      </c>
      <c r="F4770" s="121" t="s">
        <v>3009</v>
      </c>
      <c r="G4770" s="98" t="str">
        <f>HYPERLINK("http://mirror.ff7data.com.ar/ff7/data/battle/battle.lgp/ihbj.png","View Picture")</f>
        <v>View Picture</v>
      </c>
    </row>
    <row r="4771">
      <c r="A4771" s="55"/>
      <c r="B4771" s="119" t="s">
        <v>36630</v>
      </c>
      <c r="C4771" s="120" t="s">
        <v>7148</v>
      </c>
      <c r="D4771" s="33" t="s">
        <v>36615</v>
      </c>
      <c r="E4771" s="51" t="s">
        <v>978</v>
      </c>
      <c r="F4771" s="121" t="s">
        <v>3009</v>
      </c>
      <c r="G4771" s="98" t="str">
        <f>HYPERLINK("http://mirror.ff7data.com.ar/ff7/data/battle/battle.lgp/ihbk.png","View Picture")</f>
        <v>View Picture</v>
      </c>
    </row>
    <row r="4772">
      <c r="A4772" s="55"/>
      <c r="B4772" s="119" t="s">
        <v>36631</v>
      </c>
      <c r="C4772" s="120" t="s">
        <v>3007</v>
      </c>
      <c r="D4772" s="33" t="s">
        <v>36615</v>
      </c>
      <c r="E4772" s="51" t="s">
        <v>978</v>
      </c>
      <c r="F4772" s="121" t="s">
        <v>3009</v>
      </c>
      <c r="G4772" s="98" t="str">
        <f>HYPERLINK("http://mirror.ff7data.com.ar/ff7/data/battle/battle.lgp/ihbl.png","View Picture")</f>
        <v>View Picture</v>
      </c>
    </row>
    <row r="4773">
      <c r="A4773" s="55"/>
      <c r="B4773" s="119" t="s">
        <v>36632</v>
      </c>
      <c r="C4773" s="120" t="s">
        <v>7148</v>
      </c>
      <c r="D4773" s="33" t="s">
        <v>36615</v>
      </c>
      <c r="E4773" s="51" t="s">
        <v>978</v>
      </c>
      <c r="F4773" s="121" t="s">
        <v>3009</v>
      </c>
      <c r="G4773" s="98" t="str">
        <f>HYPERLINK("http://mirror.ff7data.com.ar/ff7/data/battle/battle.lgp/ihbn.png","View Picture")</f>
        <v>View Picture</v>
      </c>
    </row>
    <row r="4774">
      <c r="A4774" s="55"/>
      <c r="B4774" s="119" t="s">
        <v>36633</v>
      </c>
      <c r="C4774" s="120" t="s">
        <v>3007</v>
      </c>
      <c r="D4774" s="33" t="s">
        <v>36615</v>
      </c>
      <c r="E4774" s="51" t="s">
        <v>978</v>
      </c>
      <c r="F4774" s="121" t="s">
        <v>3009</v>
      </c>
      <c r="G4774" s="98" t="str">
        <f>HYPERLINK("http://mirror.ff7data.com.ar/ff7/data/battle/battle.lgp/ihbo.png","View Picture")</f>
        <v>View Picture</v>
      </c>
    </row>
    <row r="4775">
      <c r="A4775" s="55"/>
      <c r="B4775" s="119" t="s">
        <v>36634</v>
      </c>
      <c r="C4775" s="120" t="s">
        <v>7148</v>
      </c>
      <c r="D4775" s="33" t="s">
        <v>36615</v>
      </c>
      <c r="E4775" s="51" t="s">
        <v>978</v>
      </c>
      <c r="F4775" s="121" t="s">
        <v>3009</v>
      </c>
      <c r="G4775" s="98" t="str">
        <f>HYPERLINK("http://mirror.ff7data.com.ar/ff7/data/battle/battle.lgp/ihbq.png","View Picture")</f>
        <v>View Picture</v>
      </c>
    </row>
    <row r="4776">
      <c r="A4776" s="55"/>
      <c r="B4776" s="119" t="s">
        <v>36635</v>
      </c>
      <c r="C4776" s="120" t="s">
        <v>7148</v>
      </c>
      <c r="D4776" s="33" t="s">
        <v>36615</v>
      </c>
      <c r="E4776" s="51" t="s">
        <v>978</v>
      </c>
      <c r="F4776" s="121" t="s">
        <v>3009</v>
      </c>
      <c r="G4776" s="98" t="str">
        <f>HYPERLINK("http://mirror.ff7data.com.ar/ff7/data/battle/battle.lgp/ihbr.png","View Picture")</f>
        <v>View Picture</v>
      </c>
    </row>
    <row r="4777">
      <c r="A4777" s="55"/>
      <c r="B4777" s="119" t="s">
        <v>36636</v>
      </c>
      <c r="C4777" s="120" t="s">
        <v>3007</v>
      </c>
      <c r="D4777" s="33" t="s">
        <v>36615</v>
      </c>
      <c r="E4777" s="51" t="s">
        <v>978</v>
      </c>
      <c r="F4777" s="121" t="s">
        <v>3009</v>
      </c>
      <c r="G4777" s="98" t="str">
        <f>HYPERLINK("http://mirror.ff7data.com.ar/ff7/data/battle/battle.lgp/ihbs.png","View Picture")</f>
        <v>View Picture</v>
      </c>
    </row>
    <row r="4778">
      <c r="A4778" s="55"/>
      <c r="B4778" s="119" t="s">
        <v>36637</v>
      </c>
      <c r="C4778" s="120" t="s">
        <v>7148</v>
      </c>
      <c r="D4778" s="33" t="s">
        <v>36615</v>
      </c>
      <c r="E4778" s="51" t="s">
        <v>978</v>
      </c>
      <c r="F4778" s="121" t="s">
        <v>3009</v>
      </c>
      <c r="G4778" s="98" t="str">
        <f>HYPERLINK("http://mirror.ff7data.com.ar/ff7/data/battle/battle.lgp/ihbu.png","View Picture")</f>
        <v>View Picture</v>
      </c>
    </row>
    <row r="4779">
      <c r="A4779" s="55"/>
      <c r="B4779" s="119" t="s">
        <v>36638</v>
      </c>
      <c r="C4779" s="120" t="s">
        <v>3007</v>
      </c>
      <c r="D4779" s="33" t="s">
        <v>36615</v>
      </c>
      <c r="E4779" s="51" t="s">
        <v>978</v>
      </c>
      <c r="F4779" s="121" t="s">
        <v>3009</v>
      </c>
      <c r="G4779" s="98" t="str">
        <f>HYPERLINK("http://mirror.ff7data.com.ar/ff7/data/battle/battle.lgp/ihbv.png","View Picture")</f>
        <v>View Picture</v>
      </c>
    </row>
    <row r="4780">
      <c r="A4780" s="55"/>
      <c r="B4780" s="119" t="s">
        <v>36639</v>
      </c>
      <c r="C4780" s="120" t="s">
        <v>7148</v>
      </c>
      <c r="D4780" s="33" t="s">
        <v>36615</v>
      </c>
      <c r="E4780" s="51" t="s">
        <v>978</v>
      </c>
      <c r="F4780" s="121" t="s">
        <v>3009</v>
      </c>
      <c r="G4780" s="98" t="str">
        <f>HYPERLINK("http://mirror.ff7data.com.ar/ff7/data/battle/battle.lgp/ihbx.png","View Picture")</f>
        <v>View Picture</v>
      </c>
    </row>
    <row r="4781">
      <c r="A4781" s="55"/>
      <c r="B4781" s="119" t="s">
        <v>36640</v>
      </c>
      <c r="C4781" s="120" t="s">
        <v>3007</v>
      </c>
      <c r="D4781" s="33" t="s">
        <v>36615</v>
      </c>
      <c r="E4781" s="51" t="s">
        <v>978</v>
      </c>
      <c r="F4781" s="121" t="s">
        <v>3009</v>
      </c>
      <c r="G4781" s="98" t="str">
        <f>HYPERLINK("http://mirror.ff7data.com.ar/ff7/data/battle/battle.lgp/ihby.png","View Picture")</f>
        <v>View Picture</v>
      </c>
    </row>
    <row r="4782">
      <c r="A4782" s="55"/>
      <c r="B4782" s="119" t="s">
        <v>36641</v>
      </c>
      <c r="C4782" s="120" t="s">
        <v>9441</v>
      </c>
      <c r="D4782" s="33" t="s">
        <v>36615</v>
      </c>
      <c r="E4782" s="51" t="s">
        <v>978</v>
      </c>
      <c r="F4782" s="121" t="s">
        <v>3025</v>
      </c>
      <c r="H4782" s="46" t="s">
        <v>3002</v>
      </c>
    </row>
    <row r="4783">
      <c r="A4783" s="55"/>
      <c r="B4783" s="119" t="s">
        <v>36642</v>
      </c>
      <c r="C4783" s="120" t="s">
        <v>3557</v>
      </c>
      <c r="D4783" s="33" t="s">
        <v>36643</v>
      </c>
      <c r="E4783" s="51" t="s">
        <v>983</v>
      </c>
      <c r="F4783" s="121" t="s">
        <v>2971</v>
      </c>
      <c r="G4783" s="98" t="str">
        <f>HYPERLINK("http://mirror.ff7data.com.ar/ff7/data/battle/battle.lgp/iiaa.png","View Picture")</f>
        <v>View Picture</v>
      </c>
      <c r="H4783" s="46" t="s">
        <v>36644</v>
      </c>
    </row>
    <row r="4784">
      <c r="A4784" s="55"/>
      <c r="B4784" s="119" t="s">
        <v>36645</v>
      </c>
      <c r="C4784" s="120" t="s">
        <v>4109</v>
      </c>
      <c r="D4784" s="33" t="s">
        <v>36646</v>
      </c>
      <c r="E4784" s="51" t="s">
        <v>983</v>
      </c>
      <c r="F4784" s="121" t="s">
        <v>2993</v>
      </c>
      <c r="H4784" s="46" t="s">
        <v>3002</v>
      </c>
    </row>
    <row r="4785">
      <c r="A4785" s="55"/>
      <c r="B4785" s="119" t="s">
        <v>36647</v>
      </c>
      <c r="C4785" s="120" t="s">
        <v>4396</v>
      </c>
      <c r="D4785" s="33" t="s">
        <v>36646</v>
      </c>
      <c r="E4785" s="51" t="s">
        <v>983</v>
      </c>
      <c r="F4785" s="121" t="s">
        <v>3009</v>
      </c>
      <c r="G4785" s="98" t="str">
        <f>HYPERLINK("http://mirror.ff7data.com.ar/ff7/data/battle/battle.lgp/iiam.png","View Picture")</f>
        <v>View Picture</v>
      </c>
    </row>
    <row r="4786">
      <c r="A4786" s="55"/>
      <c r="B4786" s="119" t="s">
        <v>36648</v>
      </c>
      <c r="C4786" s="120" t="s">
        <v>4372</v>
      </c>
      <c r="D4786" s="33" t="s">
        <v>36646</v>
      </c>
      <c r="E4786" s="51" t="s">
        <v>983</v>
      </c>
      <c r="F4786" s="121" t="s">
        <v>3009</v>
      </c>
      <c r="G4786" s="98" t="str">
        <f>HYPERLINK("http://mirror.ff7data.com.ar/ff7/data/battle/battle.lgp/iian.png","View Picture")</f>
        <v>View Picture</v>
      </c>
    </row>
    <row r="4787">
      <c r="A4787" s="55"/>
      <c r="B4787" s="119" t="s">
        <v>36649</v>
      </c>
      <c r="C4787" s="120" t="s">
        <v>4719</v>
      </c>
      <c r="D4787" s="33" t="s">
        <v>36646</v>
      </c>
      <c r="E4787" s="51" t="s">
        <v>983</v>
      </c>
      <c r="F4787" s="121" t="s">
        <v>3009</v>
      </c>
      <c r="G4787" s="98" t="str">
        <f>HYPERLINK("http://mirror.ff7data.com.ar/ff7/data/battle/battle.lgp/iiao.png","View Picture")</f>
        <v>View Picture</v>
      </c>
    </row>
    <row r="4788">
      <c r="A4788" s="55"/>
      <c r="B4788" s="119" t="s">
        <v>36650</v>
      </c>
      <c r="C4788" s="120" t="s">
        <v>4357</v>
      </c>
      <c r="D4788" s="33" t="s">
        <v>36646</v>
      </c>
      <c r="E4788" s="51" t="s">
        <v>983</v>
      </c>
      <c r="F4788" s="121" t="s">
        <v>3009</v>
      </c>
      <c r="G4788" s="98" t="str">
        <f>HYPERLINK("http://mirror.ff7data.com.ar/ff7/data/battle/battle.lgp/iiap.png","View Picture")</f>
        <v>View Picture</v>
      </c>
    </row>
    <row r="4789">
      <c r="A4789" s="55"/>
      <c r="B4789" s="119" t="s">
        <v>36651</v>
      </c>
      <c r="C4789" s="120" t="s">
        <v>26138</v>
      </c>
      <c r="D4789" s="33" t="s">
        <v>36646</v>
      </c>
      <c r="E4789" s="51" t="s">
        <v>983</v>
      </c>
      <c r="F4789" s="121" t="s">
        <v>3009</v>
      </c>
      <c r="G4789" s="98" t="str">
        <f>HYPERLINK("http://mirror.ff7data.com.ar/ff7/data/battle/battle.lgp/iiaq.png","View Picture")</f>
        <v>View Picture</v>
      </c>
    </row>
    <row r="4790">
      <c r="A4790" s="55"/>
      <c r="B4790" s="119" t="s">
        <v>36652</v>
      </c>
      <c r="C4790" s="120" t="s">
        <v>3723</v>
      </c>
      <c r="D4790" s="33" t="s">
        <v>36646</v>
      </c>
      <c r="E4790" s="51" t="s">
        <v>983</v>
      </c>
      <c r="F4790" s="121" t="s">
        <v>3009</v>
      </c>
      <c r="G4790" s="98" t="str">
        <f>HYPERLINK("http://mirror.ff7data.com.ar/ff7/data/battle/battle.lgp/iiar.png","View Picture")</f>
        <v>View Picture</v>
      </c>
    </row>
    <row r="4791">
      <c r="A4791" s="55"/>
      <c r="B4791" s="119" t="s">
        <v>36653</v>
      </c>
      <c r="C4791" s="120" t="s">
        <v>3749</v>
      </c>
      <c r="D4791" s="33" t="s">
        <v>36646</v>
      </c>
      <c r="E4791" s="51" t="s">
        <v>983</v>
      </c>
      <c r="F4791" s="121" t="s">
        <v>3009</v>
      </c>
      <c r="G4791" s="98" t="str">
        <f>HYPERLINK("http://mirror.ff7data.com.ar/ff7/data/battle/battle.lgp/iiat.png","View Picture")</f>
        <v>View Picture</v>
      </c>
    </row>
    <row r="4792">
      <c r="A4792" s="55"/>
      <c r="B4792" s="119" t="s">
        <v>36654</v>
      </c>
      <c r="C4792" s="120" t="s">
        <v>4732</v>
      </c>
      <c r="D4792" s="33" t="s">
        <v>36646</v>
      </c>
      <c r="E4792" s="51" t="s">
        <v>983</v>
      </c>
      <c r="F4792" s="121" t="s">
        <v>3009</v>
      </c>
      <c r="G4792" s="98" t="str">
        <f>HYPERLINK("http://mirror.ff7data.com.ar/ff7/data/battle/battle.lgp/iiau.png","View Picture")</f>
        <v>View Picture</v>
      </c>
    </row>
    <row r="4793">
      <c r="A4793" s="55"/>
      <c r="B4793" s="119" t="s">
        <v>36655</v>
      </c>
      <c r="C4793" s="120" t="s">
        <v>3658</v>
      </c>
      <c r="D4793" s="33" t="s">
        <v>36646</v>
      </c>
      <c r="E4793" s="51" t="s">
        <v>983</v>
      </c>
      <c r="F4793" s="121" t="s">
        <v>3009</v>
      </c>
      <c r="G4793" s="98" t="str">
        <f>HYPERLINK("http://mirror.ff7data.com.ar/ff7/data/battle/battle.lgp/iiav.png","View Picture")</f>
        <v>View Picture</v>
      </c>
    </row>
    <row r="4794">
      <c r="A4794" s="55"/>
      <c r="B4794" s="119" t="s">
        <v>36656</v>
      </c>
      <c r="C4794" s="120" t="s">
        <v>4357</v>
      </c>
      <c r="D4794" s="33" t="s">
        <v>36646</v>
      </c>
      <c r="E4794" s="51" t="s">
        <v>983</v>
      </c>
      <c r="F4794" s="121" t="s">
        <v>3009</v>
      </c>
      <c r="G4794" s="98" t="str">
        <f>HYPERLINK("http://mirror.ff7data.com.ar/ff7/data/battle/battle.lgp/iiaw.png","View Picture")</f>
        <v>View Picture</v>
      </c>
    </row>
    <row r="4795">
      <c r="A4795" s="55"/>
      <c r="B4795" s="119" t="s">
        <v>36657</v>
      </c>
      <c r="C4795" s="120" t="s">
        <v>4476</v>
      </c>
      <c r="D4795" s="33" t="s">
        <v>36646</v>
      </c>
      <c r="E4795" s="51" t="s">
        <v>983</v>
      </c>
      <c r="F4795" s="121" t="s">
        <v>3009</v>
      </c>
      <c r="G4795" s="98" t="str">
        <f>HYPERLINK("http://mirror.ff7data.com.ar/ff7/data/battle/battle.lgp/iiay.png","View Picture")</f>
        <v>View Picture</v>
      </c>
    </row>
    <row r="4796">
      <c r="A4796" s="55"/>
      <c r="B4796" s="119" t="s">
        <v>36658</v>
      </c>
      <c r="C4796" s="120" t="s">
        <v>7165</v>
      </c>
      <c r="D4796" s="33" t="s">
        <v>36646</v>
      </c>
      <c r="E4796" s="51" t="s">
        <v>983</v>
      </c>
      <c r="F4796" s="121" t="s">
        <v>3009</v>
      </c>
      <c r="G4796" s="98" t="str">
        <f>HYPERLINK("http://mirror.ff7data.com.ar/ff7/data/battle/battle.lgp/iiaz.png","View Picture")</f>
        <v>View Picture</v>
      </c>
    </row>
    <row r="4797">
      <c r="A4797" s="55"/>
      <c r="B4797" s="119" t="s">
        <v>36659</v>
      </c>
      <c r="C4797" s="120" t="s">
        <v>4185</v>
      </c>
      <c r="D4797" s="33" t="s">
        <v>36646</v>
      </c>
      <c r="E4797" s="51" t="s">
        <v>983</v>
      </c>
      <c r="F4797" s="121" t="s">
        <v>3009</v>
      </c>
      <c r="G4797" s="98" t="str">
        <f>HYPERLINK("http://mirror.ff7data.com.ar/ff7/data/battle/battle.lgp/iiba.png","View Picture")</f>
        <v>View Picture</v>
      </c>
    </row>
    <row r="4798">
      <c r="A4798" s="55"/>
      <c r="B4798" s="119" t="s">
        <v>36660</v>
      </c>
      <c r="C4798" s="120" t="s">
        <v>5891</v>
      </c>
      <c r="D4798" s="33" t="s">
        <v>36646</v>
      </c>
      <c r="E4798" s="51" t="s">
        <v>983</v>
      </c>
      <c r="F4798" s="121" t="s">
        <v>3009</v>
      </c>
      <c r="G4798" s="98" t="str">
        <f>HYPERLINK("http://mirror.ff7data.com.ar/ff7/data/battle/battle.lgp/iibc.png","View Picture")</f>
        <v>View Picture</v>
      </c>
    </row>
    <row r="4799">
      <c r="A4799" s="55"/>
      <c r="B4799" s="119" t="s">
        <v>36661</v>
      </c>
      <c r="C4799" s="120" t="s">
        <v>4185</v>
      </c>
      <c r="D4799" s="33" t="s">
        <v>36646</v>
      </c>
      <c r="E4799" s="51" t="s">
        <v>983</v>
      </c>
      <c r="F4799" s="121" t="s">
        <v>3009</v>
      </c>
      <c r="G4799" s="98" t="str">
        <f>HYPERLINK("http://mirror.ff7data.com.ar/ff7/data/battle/battle.lgp/iibe.png","View Picture")</f>
        <v>View Picture</v>
      </c>
    </row>
    <row r="4800">
      <c r="A4800" s="55"/>
      <c r="B4800" s="119" t="s">
        <v>36662</v>
      </c>
      <c r="C4800" s="120" t="s">
        <v>3658</v>
      </c>
      <c r="D4800" s="33" t="s">
        <v>36646</v>
      </c>
      <c r="E4800" s="51" t="s">
        <v>983</v>
      </c>
      <c r="F4800" s="121" t="s">
        <v>3009</v>
      </c>
      <c r="G4800" s="98" t="str">
        <f>HYPERLINK("http://mirror.ff7data.com.ar/ff7/data/battle/battle.lgp/iibf.png","View Picture")</f>
        <v>View Picture</v>
      </c>
    </row>
    <row r="4801">
      <c r="A4801" s="55"/>
      <c r="B4801" s="119" t="s">
        <v>36663</v>
      </c>
      <c r="C4801" s="120" t="s">
        <v>4185</v>
      </c>
      <c r="D4801" s="33" t="s">
        <v>36646</v>
      </c>
      <c r="E4801" s="51" t="s">
        <v>983</v>
      </c>
      <c r="F4801" s="121" t="s">
        <v>3009</v>
      </c>
      <c r="G4801" s="98" t="str">
        <f>HYPERLINK("http://mirror.ff7data.com.ar/ff7/data/battle/battle.lgp/iibg.png","View Picture")</f>
        <v>View Picture</v>
      </c>
    </row>
    <row r="4802">
      <c r="A4802" s="55"/>
      <c r="B4802" s="119" t="s">
        <v>36664</v>
      </c>
      <c r="C4802" s="120" t="s">
        <v>4732</v>
      </c>
      <c r="D4802" s="33" t="s">
        <v>36646</v>
      </c>
      <c r="E4802" s="51" t="s">
        <v>983</v>
      </c>
      <c r="F4802" s="121" t="s">
        <v>3009</v>
      </c>
      <c r="G4802" s="98" t="str">
        <f>HYPERLINK("http://mirror.ff7data.com.ar/ff7/data/battle/battle.lgp/iibh.png","View Picture")</f>
        <v>View Picture</v>
      </c>
    </row>
    <row r="4803">
      <c r="A4803" s="55"/>
      <c r="B4803" s="119" t="s">
        <v>36665</v>
      </c>
      <c r="C4803" s="120" t="s">
        <v>3658</v>
      </c>
      <c r="D4803" s="33" t="s">
        <v>36646</v>
      </c>
      <c r="E4803" s="51" t="s">
        <v>983</v>
      </c>
      <c r="F4803" s="121" t="s">
        <v>3009</v>
      </c>
      <c r="G4803" s="98" t="str">
        <f>HYPERLINK("http://mirror.ff7data.com.ar/ff7/data/battle/battle.lgp/iibi.png","View Picture")</f>
        <v>View Picture</v>
      </c>
    </row>
    <row r="4804">
      <c r="A4804" s="55"/>
      <c r="B4804" s="119" t="s">
        <v>36666</v>
      </c>
      <c r="C4804" s="120" t="s">
        <v>4357</v>
      </c>
      <c r="D4804" s="33" t="s">
        <v>36646</v>
      </c>
      <c r="E4804" s="51" t="s">
        <v>983</v>
      </c>
      <c r="F4804" s="121" t="s">
        <v>3009</v>
      </c>
      <c r="G4804" s="98" t="str">
        <f>HYPERLINK("http://mirror.ff7data.com.ar/ff7/data/battle/battle.lgp/iibj.png","View Picture")</f>
        <v>View Picture</v>
      </c>
    </row>
    <row r="4805">
      <c r="A4805" s="55"/>
      <c r="B4805" s="119" t="s">
        <v>36667</v>
      </c>
      <c r="C4805" s="120" t="s">
        <v>3658</v>
      </c>
      <c r="D4805" s="33" t="s">
        <v>36646</v>
      </c>
      <c r="E4805" s="51" t="s">
        <v>983</v>
      </c>
      <c r="F4805" s="121" t="s">
        <v>3009</v>
      </c>
      <c r="G4805" s="98" t="str">
        <f>HYPERLINK("http://mirror.ff7data.com.ar/ff7/data/battle/battle.lgp/iibl.png","View Picture")</f>
        <v>View Picture</v>
      </c>
    </row>
    <row r="4806">
      <c r="A4806" s="55"/>
      <c r="B4806" s="119" t="s">
        <v>36668</v>
      </c>
      <c r="C4806" s="120" t="s">
        <v>4357</v>
      </c>
      <c r="D4806" s="33" t="s">
        <v>36646</v>
      </c>
      <c r="E4806" s="51" t="s">
        <v>983</v>
      </c>
      <c r="F4806" s="121" t="s">
        <v>3009</v>
      </c>
      <c r="G4806" s="98" t="str">
        <f>HYPERLINK("http://mirror.ff7data.com.ar/ff7/data/battle/battle.lgp/iibm.png","View Picture")</f>
        <v>View Picture</v>
      </c>
    </row>
    <row r="4807">
      <c r="A4807" s="55"/>
      <c r="B4807" s="119" t="s">
        <v>36669</v>
      </c>
      <c r="C4807" s="120" t="s">
        <v>4288</v>
      </c>
      <c r="D4807" s="33" t="s">
        <v>36646</v>
      </c>
      <c r="E4807" s="51" t="s">
        <v>983</v>
      </c>
      <c r="F4807" s="121" t="s">
        <v>3009</v>
      </c>
      <c r="G4807" s="98" t="str">
        <f>HYPERLINK("http://mirror.ff7data.com.ar/ff7/data/battle/battle.lgp/iibn.png","View Picture")</f>
        <v>View Picture</v>
      </c>
    </row>
    <row r="4808">
      <c r="A4808" s="55"/>
      <c r="B4808" s="119" t="s">
        <v>36670</v>
      </c>
      <c r="C4808" s="120" t="s">
        <v>4288</v>
      </c>
      <c r="D4808" s="33" t="s">
        <v>36646</v>
      </c>
      <c r="E4808" s="51" t="s">
        <v>983</v>
      </c>
      <c r="F4808" s="121" t="s">
        <v>3009</v>
      </c>
      <c r="G4808" s="98" t="str">
        <f>HYPERLINK("http://mirror.ff7data.com.ar/ff7/data/battle/battle.lgp/iibo.png","View Picture")</f>
        <v>View Picture</v>
      </c>
    </row>
    <row r="4809">
      <c r="A4809" s="55"/>
      <c r="B4809" s="119" t="s">
        <v>36671</v>
      </c>
      <c r="C4809" s="120" t="s">
        <v>3614</v>
      </c>
      <c r="D4809" s="33" t="s">
        <v>36646</v>
      </c>
      <c r="E4809" s="51" t="s">
        <v>983</v>
      </c>
      <c r="F4809" s="121" t="s">
        <v>3009</v>
      </c>
      <c r="G4809" s="98" t="str">
        <f>HYPERLINK("http://mirror.ff7data.com.ar/ff7/data/battle/battle.lgp/iibp.png","View Picture")</f>
        <v>View Picture</v>
      </c>
    </row>
    <row r="4810">
      <c r="A4810" s="55"/>
      <c r="B4810" s="119" t="s">
        <v>36672</v>
      </c>
      <c r="C4810" s="120" t="s">
        <v>4476</v>
      </c>
      <c r="D4810" s="33" t="s">
        <v>36646</v>
      </c>
      <c r="E4810" s="51" t="s">
        <v>983</v>
      </c>
      <c r="F4810" s="121" t="s">
        <v>3009</v>
      </c>
      <c r="G4810" s="98" t="str">
        <f>HYPERLINK("http://mirror.ff7data.com.ar/ff7/data/battle/battle.lgp/iibr.png","View Picture")</f>
        <v>View Picture</v>
      </c>
    </row>
    <row r="4811">
      <c r="A4811" s="55"/>
      <c r="B4811" s="119" t="s">
        <v>36673</v>
      </c>
      <c r="C4811" s="120" t="s">
        <v>4372</v>
      </c>
      <c r="D4811" s="33" t="s">
        <v>36646</v>
      </c>
      <c r="E4811" s="51" t="s">
        <v>983</v>
      </c>
      <c r="F4811" s="121" t="s">
        <v>3009</v>
      </c>
      <c r="G4811" s="98" t="str">
        <f>HYPERLINK("http://mirror.ff7data.com.ar/ff7/data/battle/battle.lgp/iibs.png","View Picture")</f>
        <v>View Picture</v>
      </c>
    </row>
    <row r="4812">
      <c r="A4812" s="55"/>
      <c r="B4812" s="119" t="s">
        <v>36674</v>
      </c>
      <c r="C4812" s="120" t="s">
        <v>7301</v>
      </c>
      <c r="D4812" s="33" t="s">
        <v>36646</v>
      </c>
      <c r="E4812" s="51" t="s">
        <v>983</v>
      </c>
      <c r="F4812" s="121" t="s">
        <v>3009</v>
      </c>
      <c r="G4812" s="98" t="str">
        <f>HYPERLINK("http://mirror.ff7data.com.ar/ff7/data/battle/battle.lgp/iibt.png","View Picture")</f>
        <v>View Picture</v>
      </c>
    </row>
    <row r="4813">
      <c r="A4813" s="55"/>
      <c r="B4813" s="119" t="s">
        <v>36675</v>
      </c>
      <c r="C4813" s="120" t="s">
        <v>4476</v>
      </c>
      <c r="D4813" s="33" t="s">
        <v>36646</v>
      </c>
      <c r="E4813" s="51" t="s">
        <v>983</v>
      </c>
      <c r="F4813" s="121" t="s">
        <v>3009</v>
      </c>
      <c r="G4813" s="98" t="str">
        <f>HYPERLINK("http://mirror.ff7data.com.ar/ff7/data/battle/battle.lgp/iibv.png","View Picture")</f>
        <v>View Picture</v>
      </c>
    </row>
    <row r="4814">
      <c r="A4814" s="55"/>
      <c r="B4814" s="119" t="s">
        <v>36676</v>
      </c>
      <c r="C4814" s="120" t="s">
        <v>4372</v>
      </c>
      <c r="D4814" s="33" t="s">
        <v>36646</v>
      </c>
      <c r="E4814" s="51" t="s">
        <v>983</v>
      </c>
      <c r="F4814" s="121" t="s">
        <v>3009</v>
      </c>
      <c r="G4814" s="98" t="str">
        <f>HYPERLINK("http://mirror.ff7data.com.ar/ff7/data/battle/battle.lgp/iibw.png","View Picture")</f>
        <v>View Picture</v>
      </c>
    </row>
    <row r="4815">
      <c r="A4815" s="55"/>
      <c r="B4815" s="119" t="s">
        <v>36677</v>
      </c>
      <c r="C4815" s="120" t="s">
        <v>3412</v>
      </c>
      <c r="D4815" s="33" t="s">
        <v>36646</v>
      </c>
      <c r="E4815" s="51" t="s">
        <v>983</v>
      </c>
      <c r="F4815" s="121" t="s">
        <v>3009</v>
      </c>
      <c r="G4815" s="98" t="str">
        <f>HYPERLINK("http://mirror.ff7data.com.ar/ff7/data/battle/battle.lgp/iibx.png","View Picture")</f>
        <v>View Picture</v>
      </c>
    </row>
    <row r="4816">
      <c r="A4816" s="55"/>
      <c r="B4816" s="119" t="s">
        <v>36678</v>
      </c>
      <c r="C4816" s="120" t="s">
        <v>6018</v>
      </c>
      <c r="D4816" s="33" t="s">
        <v>36646</v>
      </c>
      <c r="E4816" s="51" t="s">
        <v>983</v>
      </c>
      <c r="F4816" s="121" t="s">
        <v>3025</v>
      </c>
      <c r="H4816" s="46" t="s">
        <v>3002</v>
      </c>
    </row>
    <row r="4817">
      <c r="A4817" s="82"/>
      <c r="B4817" s="119" t="s">
        <v>36679</v>
      </c>
      <c r="C4817" s="120" t="s">
        <v>36680</v>
      </c>
      <c r="D4817" s="33" t="s">
        <v>36681</v>
      </c>
      <c r="E4817" s="51" t="s">
        <v>989</v>
      </c>
      <c r="F4817" s="121" t="s">
        <v>2971</v>
      </c>
      <c r="G4817" s="98" t="str">
        <f>HYPERLINK("http://mirror.ff7data.com.ar/ff7/data/battle/battle.lgp/ijaa.png","View Picture")</f>
        <v>View Picture</v>
      </c>
    </row>
    <row r="4818">
      <c r="A4818" s="55"/>
      <c r="B4818" s="119" t="s">
        <v>36682</v>
      </c>
      <c r="C4818" s="120" t="s">
        <v>11942</v>
      </c>
      <c r="D4818" s="33" t="s">
        <v>36683</v>
      </c>
      <c r="E4818" s="51" t="s">
        <v>989</v>
      </c>
      <c r="F4818" s="121" t="s">
        <v>2993</v>
      </c>
      <c r="H4818" s="46" t="s">
        <v>3002</v>
      </c>
    </row>
    <row r="4819">
      <c r="A4819" s="55"/>
      <c r="B4819" s="119" t="s">
        <v>36684</v>
      </c>
      <c r="C4819" s="120" t="s">
        <v>3997</v>
      </c>
      <c r="D4819" s="33" t="s">
        <v>36683</v>
      </c>
      <c r="E4819" s="51" t="s">
        <v>989</v>
      </c>
      <c r="F4819" s="121" t="s">
        <v>1348</v>
      </c>
      <c r="G4819" s="98" t="str">
        <f>HYPERLINK("http://mirror.ff7data.com.ar/ff7/data/battle/battle.lgp/ijac.png","View Picture")</f>
        <v>View Picture</v>
      </c>
    </row>
    <row r="4820">
      <c r="A4820" s="55"/>
      <c r="B4820" s="119" t="s">
        <v>36685</v>
      </c>
      <c r="C4820" s="120" t="s">
        <v>26095</v>
      </c>
      <c r="D4820" s="33" t="s">
        <v>36683</v>
      </c>
      <c r="E4820" s="51" t="s">
        <v>989</v>
      </c>
      <c r="F4820" s="121" t="s">
        <v>3009</v>
      </c>
      <c r="G4820" s="98" t="str">
        <f>HYPERLINK("http://mirror.ff7data.com.ar/ff7/data/battle/battle.lgp/ijam.png","View Picture")</f>
        <v>View Picture</v>
      </c>
    </row>
    <row r="4821">
      <c r="A4821" s="55"/>
      <c r="B4821" s="119" t="s">
        <v>36686</v>
      </c>
      <c r="C4821" s="120" t="s">
        <v>14071</v>
      </c>
      <c r="D4821" s="33" t="s">
        <v>36683</v>
      </c>
      <c r="E4821" s="51" t="s">
        <v>989</v>
      </c>
      <c r="F4821" s="121" t="s">
        <v>3025</v>
      </c>
      <c r="H4821" s="46" t="s">
        <v>3002</v>
      </c>
    </row>
    <row r="4822">
      <c r="A4822" s="55"/>
      <c r="B4822" s="119" t="s">
        <v>36687</v>
      </c>
      <c r="C4822" s="120" t="s">
        <v>9973</v>
      </c>
      <c r="D4822" s="33" t="s">
        <v>36688</v>
      </c>
      <c r="E4822" s="51" t="s">
        <v>994</v>
      </c>
      <c r="F4822" s="121" t="s">
        <v>2971</v>
      </c>
      <c r="G4822" s="98" t="str">
        <f>HYPERLINK("http://mirror.ff7data.com.ar/ff7/data/battle/battle.lgp/ikaa.png","View Picture")</f>
        <v>View Picture</v>
      </c>
      <c r="H4822" s="46" t="s">
        <v>36689</v>
      </c>
    </row>
    <row r="4823">
      <c r="A4823" s="55"/>
      <c r="B4823" s="119" t="s">
        <v>36690</v>
      </c>
      <c r="C4823" s="120" t="s">
        <v>7375</v>
      </c>
      <c r="D4823" s="33" t="s">
        <v>36691</v>
      </c>
      <c r="E4823" s="51" t="s">
        <v>994</v>
      </c>
      <c r="F4823" s="121" t="s">
        <v>2993</v>
      </c>
      <c r="H4823" s="46" t="s">
        <v>3002</v>
      </c>
    </row>
    <row r="4824">
      <c r="A4824" s="55"/>
      <c r="B4824" s="119" t="s">
        <v>36692</v>
      </c>
      <c r="C4824" s="120" t="s">
        <v>4191</v>
      </c>
      <c r="D4824" s="33" t="s">
        <v>36691</v>
      </c>
      <c r="E4824" s="51" t="s">
        <v>994</v>
      </c>
      <c r="F4824" s="121" t="s">
        <v>1348</v>
      </c>
      <c r="G4824" s="98" t="str">
        <f>HYPERLINK("http://mirror.ff7data.com.ar/ff7/data/battle/battle.lgp/ikac.png","View Picture")</f>
        <v>View Picture</v>
      </c>
    </row>
    <row r="4825">
      <c r="A4825" s="55"/>
      <c r="B4825" s="119" t="s">
        <v>36693</v>
      </c>
      <c r="C4825" s="120" t="s">
        <v>3768</v>
      </c>
      <c r="D4825" s="33" t="s">
        <v>36691</v>
      </c>
      <c r="E4825" s="51" t="s">
        <v>994</v>
      </c>
      <c r="F4825" s="121" t="s">
        <v>3009</v>
      </c>
      <c r="G4825" s="98" t="str">
        <f>HYPERLINK("http://mirror.ff7data.com.ar/ff7/data/battle/battle.lgp/ikam.png","View Picture")</f>
        <v>View Picture</v>
      </c>
    </row>
    <row r="4826">
      <c r="A4826" s="55"/>
      <c r="B4826" s="119" t="s">
        <v>36694</v>
      </c>
      <c r="C4826" s="120" t="s">
        <v>7894</v>
      </c>
      <c r="D4826" s="33" t="s">
        <v>36691</v>
      </c>
      <c r="E4826" s="51" t="s">
        <v>994</v>
      </c>
      <c r="F4826" s="121" t="s">
        <v>3009</v>
      </c>
      <c r="G4826" s="98" t="str">
        <f>HYPERLINK("http://mirror.ff7data.com.ar/ff7/data/battle/battle.lgp/ikan.png","View Picture")</f>
        <v>View Picture</v>
      </c>
    </row>
    <row r="4827">
      <c r="A4827" s="55"/>
      <c r="B4827" s="119" t="s">
        <v>36695</v>
      </c>
      <c r="C4827" s="120" t="s">
        <v>4185</v>
      </c>
      <c r="D4827" s="33" t="s">
        <v>36691</v>
      </c>
      <c r="E4827" s="51" t="s">
        <v>994</v>
      </c>
      <c r="F4827" s="121" t="s">
        <v>3009</v>
      </c>
      <c r="G4827" s="98" t="str">
        <f>HYPERLINK("http://mirror.ff7data.com.ar/ff7/data/battle/battle.lgp/ikaq.png","View Picture")</f>
        <v>View Picture</v>
      </c>
    </row>
    <row r="4828">
      <c r="A4828" s="55"/>
      <c r="B4828" s="119" t="s">
        <v>36696</v>
      </c>
      <c r="C4828" s="120" t="s">
        <v>4185</v>
      </c>
      <c r="D4828" s="33" t="s">
        <v>36691</v>
      </c>
      <c r="E4828" s="51" t="s">
        <v>994</v>
      </c>
      <c r="F4828" s="121" t="s">
        <v>3009</v>
      </c>
      <c r="G4828" s="98" t="str">
        <f>HYPERLINK("http://mirror.ff7data.com.ar/ff7/data/battle/battle.lgp/ikas.png","View Picture")</f>
        <v>View Picture</v>
      </c>
    </row>
    <row r="4829">
      <c r="A4829" s="55"/>
      <c r="B4829" s="119" t="s">
        <v>36697</v>
      </c>
      <c r="C4829" s="120" t="s">
        <v>4264</v>
      </c>
      <c r="D4829" s="33" t="s">
        <v>36691</v>
      </c>
      <c r="E4829" s="51" t="s">
        <v>994</v>
      </c>
      <c r="F4829" s="121" t="s">
        <v>3009</v>
      </c>
      <c r="G4829" s="98" t="str">
        <f>HYPERLINK("http://mirror.ff7data.com.ar/ff7/data/battle/battle.lgp/ikau.png","View Picture")</f>
        <v>View Picture</v>
      </c>
    </row>
    <row r="4830">
      <c r="A4830" s="55"/>
      <c r="B4830" s="119" t="s">
        <v>36698</v>
      </c>
      <c r="C4830" s="120" t="s">
        <v>36699</v>
      </c>
      <c r="D4830" s="33" t="s">
        <v>36691</v>
      </c>
      <c r="E4830" s="51" t="s">
        <v>994</v>
      </c>
      <c r="F4830" s="121" t="s">
        <v>3009</v>
      </c>
      <c r="G4830" s="98" t="str">
        <f>HYPERLINK("http://mirror.ff7data.com.ar/ff7/data/battle/battle.lgp/ikav.png","View Picture")</f>
        <v>View Picture</v>
      </c>
    </row>
    <row r="4831">
      <c r="A4831" s="55"/>
      <c r="B4831" s="119" t="s">
        <v>36700</v>
      </c>
      <c r="C4831" s="120" t="s">
        <v>4288</v>
      </c>
      <c r="D4831" s="33" t="s">
        <v>36691</v>
      </c>
      <c r="E4831" s="51" t="s">
        <v>994</v>
      </c>
      <c r="F4831" s="121" t="s">
        <v>3009</v>
      </c>
      <c r="G4831" s="98" t="str">
        <f>HYPERLINK("http://mirror.ff7data.com.ar/ff7/data/battle/battle.lgp/ikax.png","View Picture")</f>
        <v>View Picture</v>
      </c>
    </row>
    <row r="4832">
      <c r="A4832" s="55"/>
      <c r="B4832" s="119" t="s">
        <v>36701</v>
      </c>
      <c r="C4832" s="120" t="s">
        <v>36699</v>
      </c>
      <c r="D4832" s="33" t="s">
        <v>36691</v>
      </c>
      <c r="E4832" s="51" t="s">
        <v>994</v>
      </c>
      <c r="F4832" s="121" t="s">
        <v>3009</v>
      </c>
      <c r="G4832" s="98" t="str">
        <f>HYPERLINK("http://mirror.ff7data.com.ar/ff7/data/battle/battle.lgp/ikay.png","View Picture")</f>
        <v>View Picture</v>
      </c>
    </row>
    <row r="4833">
      <c r="A4833" s="55"/>
      <c r="B4833" s="119" t="s">
        <v>36702</v>
      </c>
      <c r="C4833" s="120" t="s">
        <v>4288</v>
      </c>
      <c r="D4833" s="33" t="s">
        <v>36691</v>
      </c>
      <c r="E4833" s="51" t="s">
        <v>994</v>
      </c>
      <c r="F4833" s="121" t="s">
        <v>3009</v>
      </c>
      <c r="G4833" s="98" t="str">
        <f>HYPERLINK("http://mirror.ff7data.com.ar/ff7/data/battle/battle.lgp/ikba.png","View Picture")</f>
        <v>View Picture</v>
      </c>
    </row>
    <row r="4834">
      <c r="A4834" s="55"/>
      <c r="B4834" s="119" t="s">
        <v>36703</v>
      </c>
      <c r="C4834" s="120" t="s">
        <v>29299</v>
      </c>
      <c r="D4834" s="33" t="s">
        <v>36691</v>
      </c>
      <c r="E4834" s="51" t="s">
        <v>994</v>
      </c>
      <c r="F4834" s="121" t="s">
        <v>3009</v>
      </c>
      <c r="G4834" s="98" t="str">
        <f>HYPERLINK("http://mirror.ff7data.com.ar/ff7/data/battle/battle.lgp/ikbb.png","View Picture")</f>
        <v>View Picture</v>
      </c>
    </row>
    <row r="4835">
      <c r="A4835" s="55"/>
      <c r="B4835" s="119" t="s">
        <v>36704</v>
      </c>
      <c r="C4835" s="120" t="s">
        <v>4264</v>
      </c>
      <c r="D4835" s="33" t="s">
        <v>36691</v>
      </c>
      <c r="E4835" s="51" t="s">
        <v>994</v>
      </c>
      <c r="F4835" s="121" t="s">
        <v>3009</v>
      </c>
      <c r="G4835" s="98" t="str">
        <f>HYPERLINK("http://mirror.ff7data.com.ar/ff7/data/battle/battle.lgp/ikbd.png","View Picture")</f>
        <v>View Picture</v>
      </c>
    </row>
    <row r="4836">
      <c r="A4836" s="55"/>
      <c r="B4836" s="119" t="s">
        <v>36705</v>
      </c>
      <c r="C4836" s="120" t="s">
        <v>4288</v>
      </c>
      <c r="D4836" s="33" t="s">
        <v>36691</v>
      </c>
      <c r="E4836" s="51" t="s">
        <v>994</v>
      </c>
      <c r="F4836" s="121" t="s">
        <v>3009</v>
      </c>
      <c r="G4836" s="98" t="str">
        <f>HYPERLINK("http://mirror.ff7data.com.ar/ff7/data/battle/battle.lgp/ikbf.png","View Picture")</f>
        <v>View Picture</v>
      </c>
    </row>
    <row r="4837">
      <c r="A4837" s="55"/>
      <c r="B4837" s="119" t="s">
        <v>36706</v>
      </c>
      <c r="C4837" s="120" t="s">
        <v>4439</v>
      </c>
      <c r="D4837" s="33" t="s">
        <v>36691</v>
      </c>
      <c r="E4837" s="51" t="s">
        <v>994</v>
      </c>
      <c r="F4837" s="121" t="s">
        <v>3009</v>
      </c>
      <c r="G4837" s="98" t="str">
        <f>HYPERLINK("http://mirror.ff7data.com.ar/ff7/data/battle/battle.lgp/ikbh.png","View Picture")</f>
        <v>View Picture</v>
      </c>
    </row>
    <row r="4838">
      <c r="A4838" s="55"/>
      <c r="B4838" s="119" t="s">
        <v>36707</v>
      </c>
      <c r="C4838" s="120" t="s">
        <v>29299</v>
      </c>
      <c r="D4838" s="33" t="s">
        <v>36691</v>
      </c>
      <c r="E4838" s="51" t="s">
        <v>994</v>
      </c>
      <c r="F4838" s="121" t="s">
        <v>3009</v>
      </c>
      <c r="G4838" s="98" t="str">
        <f>HYPERLINK("http://mirror.ff7data.com.ar/ff7/data/battle/battle.lgp/ikbi.png","View Picture")</f>
        <v>View Picture</v>
      </c>
    </row>
    <row r="4839">
      <c r="A4839" s="55"/>
      <c r="B4839" s="119" t="s">
        <v>36708</v>
      </c>
      <c r="C4839" s="120" t="s">
        <v>4264</v>
      </c>
      <c r="D4839" s="33" t="s">
        <v>36691</v>
      </c>
      <c r="E4839" s="51" t="s">
        <v>994</v>
      </c>
      <c r="F4839" s="121" t="s">
        <v>3009</v>
      </c>
      <c r="G4839" s="98" t="str">
        <f>HYPERLINK("http://mirror.ff7data.com.ar/ff7/data/battle/battle.lgp/ikbk.png","View Picture")</f>
        <v>View Picture</v>
      </c>
    </row>
    <row r="4840">
      <c r="A4840" s="55"/>
      <c r="B4840" s="119" t="s">
        <v>36709</v>
      </c>
      <c r="C4840" s="120" t="s">
        <v>3842</v>
      </c>
      <c r="D4840" s="33" t="s">
        <v>36691</v>
      </c>
      <c r="E4840" s="51" t="s">
        <v>994</v>
      </c>
      <c r="F4840" s="121" t="s">
        <v>3009</v>
      </c>
      <c r="G4840" s="98" t="str">
        <f>HYPERLINK("http://mirror.ff7data.com.ar/ff7/data/battle/battle.lgp/ikbl.png","View Picture")</f>
        <v>View Picture</v>
      </c>
    </row>
    <row r="4841">
      <c r="A4841" s="55"/>
      <c r="B4841" s="119" t="s">
        <v>36710</v>
      </c>
      <c r="C4841" s="120" t="s">
        <v>3566</v>
      </c>
      <c r="D4841" s="33" t="s">
        <v>36691</v>
      </c>
      <c r="E4841" s="51" t="s">
        <v>994</v>
      </c>
      <c r="F4841" s="121" t="s">
        <v>3009</v>
      </c>
      <c r="G4841" s="98" t="str">
        <f>HYPERLINK("http://mirror.ff7data.com.ar/ff7/data/battle/battle.lgp/ikbn.png","View Picture")</f>
        <v>View Picture</v>
      </c>
    </row>
    <row r="4842">
      <c r="A4842" s="55"/>
      <c r="B4842" s="119" t="s">
        <v>36711</v>
      </c>
      <c r="C4842" s="120" t="s">
        <v>4288</v>
      </c>
      <c r="D4842" s="33" t="s">
        <v>36691</v>
      </c>
      <c r="E4842" s="51" t="s">
        <v>994</v>
      </c>
      <c r="F4842" s="121" t="s">
        <v>3009</v>
      </c>
      <c r="G4842" s="98" t="str">
        <f>HYPERLINK("http://mirror.ff7data.com.ar/ff7/data/battle/battle.lgp/ikbp.png","View Picture")</f>
        <v>View Picture</v>
      </c>
    </row>
    <row r="4843">
      <c r="A4843" s="55"/>
      <c r="B4843" s="119" t="s">
        <v>36712</v>
      </c>
      <c r="C4843" s="120" t="s">
        <v>3658</v>
      </c>
      <c r="D4843" s="33" t="s">
        <v>36691</v>
      </c>
      <c r="E4843" s="51" t="s">
        <v>994</v>
      </c>
      <c r="F4843" s="121" t="s">
        <v>3009</v>
      </c>
      <c r="G4843" s="98" t="str">
        <f>HYPERLINK("http://mirror.ff7data.com.ar/ff7/data/battle/battle.lgp/ikbq.png","View Picture")</f>
        <v>View Picture</v>
      </c>
    </row>
    <row r="4844">
      <c r="A4844" s="55"/>
      <c r="B4844" s="119" t="s">
        <v>36713</v>
      </c>
      <c r="C4844" s="120" t="s">
        <v>10078</v>
      </c>
      <c r="D4844" s="33" t="s">
        <v>36691</v>
      </c>
      <c r="E4844" s="51" t="s">
        <v>994</v>
      </c>
      <c r="F4844" s="121" t="s">
        <v>3009</v>
      </c>
      <c r="G4844" s="98" t="str">
        <f>HYPERLINK("http://mirror.ff7data.com.ar/ff7/data/battle/battle.lgp/ikbs.png","View Picture")</f>
        <v>View Picture</v>
      </c>
    </row>
    <row r="4845">
      <c r="A4845" s="55"/>
      <c r="B4845" s="119" t="s">
        <v>36714</v>
      </c>
      <c r="C4845" s="120" t="s">
        <v>4396</v>
      </c>
      <c r="D4845" s="33" t="s">
        <v>36691</v>
      </c>
      <c r="E4845" s="51" t="s">
        <v>994</v>
      </c>
      <c r="F4845" s="121" t="s">
        <v>3009</v>
      </c>
      <c r="G4845" s="98" t="str">
        <f>HYPERLINK("http://mirror.ff7data.com.ar/ff7/data/battle/battle.lgp/ikbt.png","View Picture")</f>
        <v>View Picture</v>
      </c>
    </row>
    <row r="4846">
      <c r="A4846" s="55"/>
      <c r="B4846" s="119" t="s">
        <v>36715</v>
      </c>
      <c r="C4846" s="120" t="s">
        <v>4396</v>
      </c>
      <c r="D4846" s="33" t="s">
        <v>36691</v>
      </c>
      <c r="E4846" s="51" t="s">
        <v>994</v>
      </c>
      <c r="F4846" s="121" t="s">
        <v>3009</v>
      </c>
      <c r="G4846" s="98" t="str">
        <f>HYPERLINK("http://mirror.ff7data.com.ar/ff7/data/battle/battle.lgp/ikbv.png","View Picture")</f>
        <v>View Picture</v>
      </c>
    </row>
    <row r="4847">
      <c r="A4847" s="55"/>
      <c r="B4847" s="119" t="s">
        <v>36716</v>
      </c>
      <c r="C4847" s="120" t="s">
        <v>4396</v>
      </c>
      <c r="D4847" s="33" t="s">
        <v>36691</v>
      </c>
      <c r="E4847" s="51" t="s">
        <v>994</v>
      </c>
      <c r="F4847" s="121" t="s">
        <v>3009</v>
      </c>
      <c r="G4847" s="98" t="str">
        <f>HYPERLINK("http://mirror.ff7data.com.ar/ff7/data/battle/battle.lgp/ikbw.png","View Picture")</f>
        <v>View Picture</v>
      </c>
    </row>
    <row r="4848">
      <c r="A4848" s="55"/>
      <c r="B4848" s="119" t="s">
        <v>36717</v>
      </c>
      <c r="C4848" s="120" t="s">
        <v>4057</v>
      </c>
      <c r="D4848" s="33" t="s">
        <v>36691</v>
      </c>
      <c r="E4848" s="51" t="s">
        <v>994</v>
      </c>
      <c r="F4848" s="121" t="s">
        <v>3009</v>
      </c>
      <c r="G4848" s="98" t="str">
        <f>HYPERLINK("http://mirror.ff7data.com.ar/ff7/data/battle/battle.lgp/ikbx.png","View Picture")</f>
        <v>View Picture</v>
      </c>
    </row>
    <row r="4849">
      <c r="A4849" s="55"/>
      <c r="B4849" s="119" t="s">
        <v>36718</v>
      </c>
      <c r="C4849" s="120" t="s">
        <v>4372</v>
      </c>
      <c r="D4849" s="33" t="s">
        <v>36691</v>
      </c>
      <c r="E4849" s="51" t="s">
        <v>994</v>
      </c>
      <c r="F4849" s="121" t="s">
        <v>3009</v>
      </c>
      <c r="G4849" s="98" t="str">
        <f>HYPERLINK("http://mirror.ff7data.com.ar/ff7/data/battle/battle.lgp/ikby.png","View Picture")</f>
        <v>View Picture</v>
      </c>
    </row>
    <row r="4850">
      <c r="A4850" s="55"/>
      <c r="B4850" s="119" t="s">
        <v>36719</v>
      </c>
      <c r="C4850" s="120" t="s">
        <v>7165</v>
      </c>
      <c r="D4850" s="33" t="s">
        <v>36691</v>
      </c>
      <c r="E4850" s="51" t="s">
        <v>994</v>
      </c>
      <c r="F4850" s="121" t="s">
        <v>3009</v>
      </c>
      <c r="G4850" s="98" t="str">
        <f>HYPERLINK("http://mirror.ff7data.com.ar/ff7/data/battle/battle.lgp/ikbz.png","View Picture")</f>
        <v>View Picture</v>
      </c>
    </row>
    <row r="4851">
      <c r="A4851" s="55"/>
      <c r="B4851" s="119" t="s">
        <v>36720</v>
      </c>
      <c r="C4851" s="120" t="s">
        <v>7501</v>
      </c>
      <c r="D4851" s="33" t="s">
        <v>36691</v>
      </c>
      <c r="E4851" s="51" t="s">
        <v>994</v>
      </c>
      <c r="F4851" s="121" t="s">
        <v>3025</v>
      </c>
      <c r="H4851" s="46" t="s">
        <v>3002</v>
      </c>
    </row>
    <row r="4852">
      <c r="A4852" s="55"/>
      <c r="B4852" s="119" t="s">
        <v>36721</v>
      </c>
      <c r="C4852" s="120" t="s">
        <v>9973</v>
      </c>
      <c r="D4852" s="33" t="s">
        <v>36722</v>
      </c>
      <c r="E4852" s="51" t="s">
        <v>999</v>
      </c>
      <c r="F4852" s="121" t="s">
        <v>2971</v>
      </c>
      <c r="G4852" s="98" t="str">
        <f>HYPERLINK("http://mirror.ff7data.com.ar/ff7/data/battle/battle.lgp/ilaa.png","View Picture")</f>
        <v>View Picture</v>
      </c>
      <c r="H4852" s="46" t="s">
        <v>36723</v>
      </c>
    </row>
    <row r="4853">
      <c r="A4853" s="55"/>
      <c r="B4853" s="119" t="s">
        <v>36724</v>
      </c>
      <c r="C4853" s="120" t="s">
        <v>30662</v>
      </c>
      <c r="D4853" s="33" t="s">
        <v>36725</v>
      </c>
      <c r="E4853" s="51" t="s">
        <v>999</v>
      </c>
      <c r="F4853" s="121" t="s">
        <v>2993</v>
      </c>
      <c r="H4853" s="46" t="s">
        <v>3002</v>
      </c>
    </row>
    <row r="4854">
      <c r="A4854" s="55"/>
      <c r="B4854" s="119" t="s">
        <v>36726</v>
      </c>
      <c r="C4854" s="120" t="s">
        <v>7165</v>
      </c>
      <c r="D4854" s="33" t="s">
        <v>36725</v>
      </c>
      <c r="E4854" s="51" t="s">
        <v>999</v>
      </c>
      <c r="F4854" s="121" t="s">
        <v>3009</v>
      </c>
      <c r="G4854" s="98" t="str">
        <f>HYPERLINK("http://mirror.ff7data.com.ar/ff7/data/battle/battle.lgp/ilam.png","View Picture")</f>
        <v>View Picture</v>
      </c>
    </row>
    <row r="4855">
      <c r="A4855" s="55"/>
      <c r="B4855" s="119" t="s">
        <v>36727</v>
      </c>
      <c r="C4855" s="120" t="s">
        <v>3768</v>
      </c>
      <c r="D4855" s="33" t="s">
        <v>36725</v>
      </c>
      <c r="E4855" s="51" t="s">
        <v>999</v>
      </c>
      <c r="F4855" s="121" t="s">
        <v>3009</v>
      </c>
      <c r="G4855" s="98" t="str">
        <f>HYPERLINK("http://mirror.ff7data.com.ar/ff7/data/battle/battle.lgp/ilan.png","View Picture")</f>
        <v>View Picture</v>
      </c>
    </row>
    <row r="4856">
      <c r="A4856" s="55"/>
      <c r="B4856" s="119" t="s">
        <v>36728</v>
      </c>
      <c r="C4856" s="120" t="s">
        <v>4185</v>
      </c>
      <c r="D4856" s="33" t="s">
        <v>36725</v>
      </c>
      <c r="E4856" s="51" t="s">
        <v>999</v>
      </c>
      <c r="F4856" s="121" t="s">
        <v>3009</v>
      </c>
      <c r="G4856" s="98" t="str">
        <f>HYPERLINK("http://mirror.ff7data.com.ar/ff7/data/battle/battle.lgp/ilao.png","View Picture")</f>
        <v>View Picture</v>
      </c>
    </row>
    <row r="4857">
      <c r="A4857" s="55"/>
      <c r="B4857" s="119" t="s">
        <v>36729</v>
      </c>
      <c r="C4857" s="120" t="s">
        <v>3573</v>
      </c>
      <c r="D4857" s="33" t="s">
        <v>36725</v>
      </c>
      <c r="E4857" s="51" t="s">
        <v>999</v>
      </c>
      <c r="F4857" s="121" t="s">
        <v>3009</v>
      </c>
      <c r="G4857" s="98" t="str">
        <f>HYPERLINK("http://mirror.ff7data.com.ar/ff7/data/battle/battle.lgp/ilap.png","View Picture")</f>
        <v>View Picture</v>
      </c>
    </row>
    <row r="4858">
      <c r="A4858" s="55"/>
      <c r="B4858" s="119" t="s">
        <v>36730</v>
      </c>
      <c r="C4858" s="120" t="s">
        <v>7301</v>
      </c>
      <c r="D4858" s="33" t="s">
        <v>36725</v>
      </c>
      <c r="E4858" s="51" t="s">
        <v>999</v>
      </c>
      <c r="F4858" s="121" t="s">
        <v>3009</v>
      </c>
      <c r="G4858" s="98" t="str">
        <f>HYPERLINK("http://mirror.ff7data.com.ar/ff7/data/battle/battle.lgp/ilaq.png","View Picture")</f>
        <v>View Picture</v>
      </c>
    </row>
    <row r="4859">
      <c r="A4859" s="55"/>
      <c r="B4859" s="119" t="s">
        <v>36731</v>
      </c>
      <c r="C4859" s="120" t="s">
        <v>7871</v>
      </c>
      <c r="D4859" s="33" t="s">
        <v>36725</v>
      </c>
      <c r="E4859" s="51" t="s">
        <v>999</v>
      </c>
      <c r="F4859" s="121" t="s">
        <v>3009</v>
      </c>
      <c r="G4859" s="98" t="str">
        <f>HYPERLINK("http://mirror.ff7data.com.ar/ff7/data/battle/battle.lgp/ilas.png","View Picture")</f>
        <v>View Picture</v>
      </c>
    </row>
    <row r="4860">
      <c r="A4860" s="55"/>
      <c r="B4860" s="119" t="s">
        <v>36732</v>
      </c>
      <c r="C4860" s="120" t="s">
        <v>3494</v>
      </c>
      <c r="D4860" s="33" t="s">
        <v>36725</v>
      </c>
      <c r="E4860" s="51" t="s">
        <v>999</v>
      </c>
      <c r="F4860" s="121" t="s">
        <v>3009</v>
      </c>
      <c r="G4860" s="98" t="str">
        <f>HYPERLINK("http://mirror.ff7data.com.ar/ff7/data/battle/battle.lgp/ilat.png","View Picture")</f>
        <v>View Picture</v>
      </c>
    </row>
    <row r="4861">
      <c r="A4861" s="55"/>
      <c r="B4861" s="119" t="s">
        <v>36733</v>
      </c>
      <c r="C4861" s="120" t="s">
        <v>4439</v>
      </c>
      <c r="D4861" s="33" t="s">
        <v>36725</v>
      </c>
      <c r="E4861" s="51" t="s">
        <v>999</v>
      </c>
      <c r="F4861" s="121" t="s">
        <v>3009</v>
      </c>
      <c r="G4861" s="98" t="str">
        <f>HYPERLINK("http://mirror.ff7data.com.ar/ff7/data/battle/battle.lgp/ilau.png","View Picture")</f>
        <v>View Picture</v>
      </c>
    </row>
    <row r="4862">
      <c r="A4862" s="55"/>
      <c r="B4862" s="119" t="s">
        <v>36734</v>
      </c>
      <c r="C4862" s="120" t="s">
        <v>7871</v>
      </c>
      <c r="D4862" s="33" t="s">
        <v>36725</v>
      </c>
      <c r="E4862" s="51" t="s">
        <v>999</v>
      </c>
      <c r="F4862" s="121" t="s">
        <v>3009</v>
      </c>
      <c r="G4862" s="98" t="str">
        <f>HYPERLINK("http://mirror.ff7data.com.ar/ff7/data/battle/battle.lgp/ilaw.png","View Picture")</f>
        <v>View Picture</v>
      </c>
    </row>
    <row r="4863">
      <c r="A4863" s="55"/>
      <c r="B4863" s="119" t="s">
        <v>36735</v>
      </c>
      <c r="C4863" s="120" t="s">
        <v>11261</v>
      </c>
      <c r="D4863" s="33" t="s">
        <v>36725</v>
      </c>
      <c r="E4863" s="51" t="s">
        <v>999</v>
      </c>
      <c r="F4863" s="121" t="s">
        <v>3009</v>
      </c>
      <c r="G4863" s="98" t="str">
        <f>HYPERLINK("http://mirror.ff7data.com.ar/ff7/data/battle/battle.lgp/ilax.png","View Picture")</f>
        <v>View Picture</v>
      </c>
    </row>
    <row r="4864">
      <c r="A4864" s="55"/>
      <c r="B4864" s="119" t="s">
        <v>36736</v>
      </c>
      <c r="C4864" s="120" t="s">
        <v>4439</v>
      </c>
      <c r="D4864" s="33" t="s">
        <v>36725</v>
      </c>
      <c r="E4864" s="51" t="s">
        <v>999</v>
      </c>
      <c r="F4864" s="121" t="s">
        <v>3009</v>
      </c>
      <c r="G4864" s="98" t="str">
        <f>HYPERLINK("http://mirror.ff7data.com.ar/ff7/data/battle/battle.lgp/ilay.png","View Picture")</f>
        <v>View Picture</v>
      </c>
    </row>
    <row r="4865">
      <c r="A4865" s="55"/>
      <c r="B4865" s="119" t="s">
        <v>36737</v>
      </c>
      <c r="C4865" s="120" t="s">
        <v>5203</v>
      </c>
      <c r="D4865" s="33" t="s">
        <v>36725</v>
      </c>
      <c r="E4865" s="51" t="s">
        <v>999</v>
      </c>
      <c r="F4865" s="121" t="s">
        <v>3009</v>
      </c>
      <c r="G4865" s="98" t="str">
        <f>HYPERLINK("http://mirror.ff7data.com.ar/ff7/data/battle/battle.lgp/ilaz.png","View Picture")</f>
        <v>View Picture</v>
      </c>
    </row>
    <row r="4866">
      <c r="A4866" s="55"/>
      <c r="B4866" s="119" t="s">
        <v>36738</v>
      </c>
      <c r="C4866" s="120" t="s">
        <v>3842</v>
      </c>
      <c r="D4866" s="33" t="s">
        <v>36725</v>
      </c>
      <c r="E4866" s="51" t="s">
        <v>999</v>
      </c>
      <c r="F4866" s="121" t="s">
        <v>3009</v>
      </c>
      <c r="G4866" s="98" t="str">
        <f>HYPERLINK("http://mirror.ff7data.com.ar/ff7/data/battle/battle.lgp/ilbb.png","View Picture")</f>
        <v>View Picture</v>
      </c>
    </row>
    <row r="4867">
      <c r="A4867" s="55"/>
      <c r="B4867" s="119" t="s">
        <v>36739</v>
      </c>
      <c r="C4867" s="120" t="s">
        <v>5573</v>
      </c>
      <c r="D4867" s="33" t="s">
        <v>36725</v>
      </c>
      <c r="E4867" s="51" t="s">
        <v>999</v>
      </c>
      <c r="F4867" s="121" t="s">
        <v>3009</v>
      </c>
      <c r="G4867" s="98" t="str">
        <f>HYPERLINK("http://mirror.ff7data.com.ar/ff7/data/battle/battle.lgp/ilbc.png","View Picture")</f>
        <v>View Picture</v>
      </c>
    </row>
    <row r="4868">
      <c r="A4868" s="55"/>
      <c r="B4868" s="119" t="s">
        <v>36740</v>
      </c>
      <c r="C4868" s="120" t="s">
        <v>4476</v>
      </c>
      <c r="D4868" s="33" t="s">
        <v>36725</v>
      </c>
      <c r="E4868" s="51" t="s">
        <v>999</v>
      </c>
      <c r="F4868" s="121" t="s">
        <v>3009</v>
      </c>
      <c r="G4868" s="98" t="str">
        <f>HYPERLINK("http://mirror.ff7data.com.ar/ff7/data/battle/battle.lgp/ilbd.png","View Picture")</f>
        <v>View Picture</v>
      </c>
    </row>
    <row r="4869">
      <c r="A4869" s="55"/>
      <c r="B4869" s="119" t="s">
        <v>36741</v>
      </c>
      <c r="C4869" s="120" t="s">
        <v>3842</v>
      </c>
      <c r="D4869" s="33" t="s">
        <v>36725</v>
      </c>
      <c r="E4869" s="51" t="s">
        <v>999</v>
      </c>
      <c r="F4869" s="121" t="s">
        <v>3009</v>
      </c>
      <c r="G4869" s="98" t="str">
        <f>HYPERLINK("http://mirror.ff7data.com.ar/ff7/data/battle/battle.lgp/ilbf.png","View Picture")</f>
        <v>View Picture</v>
      </c>
    </row>
    <row r="4870">
      <c r="A4870" s="55"/>
      <c r="B4870" s="119" t="s">
        <v>36742</v>
      </c>
      <c r="C4870" s="120" t="s">
        <v>11261</v>
      </c>
      <c r="D4870" s="33" t="s">
        <v>36725</v>
      </c>
      <c r="E4870" s="51" t="s">
        <v>999</v>
      </c>
      <c r="F4870" s="121" t="s">
        <v>3009</v>
      </c>
      <c r="G4870" s="98" t="str">
        <f>HYPERLINK("http://mirror.ff7data.com.ar/ff7/data/battle/battle.lgp/ilbg.png","View Picture")</f>
        <v>View Picture</v>
      </c>
    </row>
    <row r="4871">
      <c r="A4871" s="55"/>
      <c r="B4871" s="119" t="s">
        <v>36743</v>
      </c>
      <c r="C4871" s="120" t="s">
        <v>4264</v>
      </c>
      <c r="D4871" s="33" t="s">
        <v>36725</v>
      </c>
      <c r="E4871" s="51" t="s">
        <v>999</v>
      </c>
      <c r="F4871" s="121" t="s">
        <v>3009</v>
      </c>
      <c r="G4871" s="98" t="str">
        <f>HYPERLINK("http://mirror.ff7data.com.ar/ff7/data/battle/battle.lgp/ilbh.png","View Picture")</f>
        <v>View Picture</v>
      </c>
    </row>
    <row r="4872">
      <c r="A4872" s="55"/>
      <c r="B4872" s="119" t="s">
        <v>36744</v>
      </c>
      <c r="C4872" s="120" t="s">
        <v>6029</v>
      </c>
      <c r="D4872" s="33" t="s">
        <v>36725</v>
      </c>
      <c r="E4872" s="51" t="s">
        <v>999</v>
      </c>
      <c r="F4872" s="121" t="s">
        <v>3009</v>
      </c>
      <c r="G4872" s="98" t="str">
        <f>HYPERLINK("http://mirror.ff7data.com.ar/ff7/data/battle/battle.lgp/ilbj.png","View Picture")</f>
        <v>View Picture</v>
      </c>
    </row>
    <row r="4873">
      <c r="A4873" s="55"/>
      <c r="B4873" s="119" t="s">
        <v>36745</v>
      </c>
      <c r="C4873" s="120" t="s">
        <v>6029</v>
      </c>
      <c r="D4873" s="33" t="s">
        <v>36725</v>
      </c>
      <c r="E4873" s="51" t="s">
        <v>999</v>
      </c>
      <c r="F4873" s="121" t="s">
        <v>3009</v>
      </c>
      <c r="G4873" s="98" t="str">
        <f>HYPERLINK("http://mirror.ff7data.com.ar/ff7/data/battle/battle.lgp/ilbk.png","View Picture")</f>
        <v>View Picture</v>
      </c>
    </row>
    <row r="4874">
      <c r="A4874" s="55"/>
      <c r="B4874" s="119" t="s">
        <v>36746</v>
      </c>
      <c r="C4874" s="120" t="s">
        <v>6029</v>
      </c>
      <c r="D4874" s="33" t="s">
        <v>36725</v>
      </c>
      <c r="E4874" s="51" t="s">
        <v>999</v>
      </c>
      <c r="F4874" s="121" t="s">
        <v>3009</v>
      </c>
      <c r="G4874" s="98" t="str">
        <f>HYPERLINK("http://mirror.ff7data.com.ar/ff7/data/battle/battle.lgp/ilbl.png","View Picture")</f>
        <v>View Picture</v>
      </c>
    </row>
    <row r="4875">
      <c r="A4875" s="55"/>
      <c r="B4875" s="119" t="s">
        <v>36747</v>
      </c>
      <c r="C4875" s="120" t="s">
        <v>7165</v>
      </c>
      <c r="D4875" s="33" t="s">
        <v>36725</v>
      </c>
      <c r="E4875" s="51" t="s">
        <v>999</v>
      </c>
      <c r="F4875" s="121" t="s">
        <v>3009</v>
      </c>
      <c r="G4875" s="98" t="str">
        <f>HYPERLINK("http://mirror.ff7data.com.ar/ff7/data/battle/battle.lgp/ilbm.png","View Picture")</f>
        <v>View Picture</v>
      </c>
    </row>
    <row r="4876">
      <c r="A4876" s="55"/>
      <c r="B4876" s="119" t="s">
        <v>36748</v>
      </c>
      <c r="C4876" s="120" t="s">
        <v>3842</v>
      </c>
      <c r="D4876" s="33" t="s">
        <v>36725</v>
      </c>
      <c r="E4876" s="51" t="s">
        <v>999</v>
      </c>
      <c r="F4876" s="121" t="s">
        <v>3009</v>
      </c>
      <c r="G4876" s="98" t="str">
        <f>HYPERLINK("http://mirror.ff7data.com.ar/ff7/data/battle/battle.lgp/ilbo.png","View Picture")</f>
        <v>View Picture</v>
      </c>
    </row>
    <row r="4877">
      <c r="A4877" s="55"/>
      <c r="B4877" s="119" t="s">
        <v>36749</v>
      </c>
      <c r="C4877" s="120" t="s">
        <v>9290</v>
      </c>
      <c r="D4877" s="33" t="s">
        <v>36725</v>
      </c>
      <c r="E4877" s="51" t="s">
        <v>999</v>
      </c>
      <c r="F4877" s="121" t="s">
        <v>3009</v>
      </c>
      <c r="G4877" s="98" t="str">
        <f>HYPERLINK("http://mirror.ff7data.com.ar/ff7/data/battle/battle.lgp/ilbp.png","View Picture")</f>
        <v>View Picture</v>
      </c>
    </row>
    <row r="4878">
      <c r="A4878" s="55"/>
      <c r="B4878" s="119" t="s">
        <v>36750</v>
      </c>
      <c r="C4878" s="120" t="s">
        <v>4185</v>
      </c>
      <c r="D4878" s="33" t="s">
        <v>36725</v>
      </c>
      <c r="E4878" s="51" t="s">
        <v>999</v>
      </c>
      <c r="F4878" s="121" t="s">
        <v>3009</v>
      </c>
      <c r="G4878" s="98" t="str">
        <f>HYPERLINK("http://mirror.ff7data.com.ar/ff7/data/battle/battle.lgp/ilbq.png","View Picture")</f>
        <v>View Picture</v>
      </c>
    </row>
    <row r="4879">
      <c r="A4879" s="55"/>
      <c r="B4879" s="119" t="s">
        <v>36751</v>
      </c>
      <c r="C4879" s="120" t="s">
        <v>3842</v>
      </c>
      <c r="D4879" s="33" t="s">
        <v>36725</v>
      </c>
      <c r="E4879" s="51" t="s">
        <v>999</v>
      </c>
      <c r="F4879" s="121" t="s">
        <v>3009</v>
      </c>
      <c r="G4879" s="98" t="str">
        <f>HYPERLINK("http://mirror.ff7data.com.ar/ff7/data/battle/battle.lgp/ilbs.png","View Picture")</f>
        <v>View Picture</v>
      </c>
    </row>
    <row r="4880">
      <c r="A4880" s="55"/>
      <c r="B4880" s="119" t="s">
        <v>36752</v>
      </c>
      <c r="C4880" s="120" t="s">
        <v>11261</v>
      </c>
      <c r="D4880" s="33" t="s">
        <v>36725</v>
      </c>
      <c r="E4880" s="51" t="s">
        <v>999</v>
      </c>
      <c r="F4880" s="121" t="s">
        <v>3009</v>
      </c>
      <c r="G4880" s="98" t="str">
        <f>HYPERLINK("http://mirror.ff7data.com.ar/ff7/data/battle/battle.lgp/ilbt.png","View Picture")</f>
        <v>View Picture</v>
      </c>
    </row>
    <row r="4881">
      <c r="A4881" s="55"/>
      <c r="B4881" s="119" t="s">
        <v>36753</v>
      </c>
      <c r="C4881" s="120" t="s">
        <v>4264</v>
      </c>
      <c r="D4881" s="33" t="s">
        <v>36725</v>
      </c>
      <c r="E4881" s="51" t="s">
        <v>999</v>
      </c>
      <c r="F4881" s="121" t="s">
        <v>3009</v>
      </c>
      <c r="G4881" s="98" t="str">
        <f>HYPERLINK("http://mirror.ff7data.com.ar/ff7/data/battle/battle.lgp/ilbu.png","View Picture")</f>
        <v>View Picture</v>
      </c>
    </row>
    <row r="4882">
      <c r="A4882" s="55"/>
      <c r="B4882" s="119" t="s">
        <v>36754</v>
      </c>
      <c r="C4882" s="120" t="s">
        <v>6029</v>
      </c>
      <c r="D4882" s="33" t="s">
        <v>36725</v>
      </c>
      <c r="E4882" s="51" t="s">
        <v>999</v>
      </c>
      <c r="F4882" s="121" t="s">
        <v>3009</v>
      </c>
      <c r="G4882" s="98" t="str">
        <f>HYPERLINK("http://mirror.ff7data.com.ar/ff7/data/battle/battle.lgp/ilbw.png","View Picture")</f>
        <v>View Picture</v>
      </c>
    </row>
    <row r="4883">
      <c r="A4883" s="55"/>
      <c r="B4883" s="119" t="s">
        <v>36755</v>
      </c>
      <c r="C4883" s="120" t="s">
        <v>6029</v>
      </c>
      <c r="D4883" s="33" t="s">
        <v>36725</v>
      </c>
      <c r="E4883" s="51" t="s">
        <v>999</v>
      </c>
      <c r="F4883" s="121" t="s">
        <v>3009</v>
      </c>
      <c r="G4883" s="98" t="str">
        <f>HYPERLINK("http://mirror.ff7data.com.ar/ff7/data/battle/battle.lgp/ilbx.png","View Picture")</f>
        <v>View Picture</v>
      </c>
    </row>
    <row r="4884">
      <c r="A4884" s="55"/>
      <c r="B4884" s="119" t="s">
        <v>36756</v>
      </c>
      <c r="C4884" s="120" t="s">
        <v>6029</v>
      </c>
      <c r="D4884" s="33" t="s">
        <v>36725</v>
      </c>
      <c r="E4884" s="51" t="s">
        <v>999</v>
      </c>
      <c r="F4884" s="121" t="s">
        <v>3009</v>
      </c>
      <c r="G4884" s="98" t="str">
        <f>HYPERLINK("http://mirror.ff7data.com.ar/ff7/data/battle/battle.lgp/ilby.png","View Picture")</f>
        <v>View Picture</v>
      </c>
    </row>
    <row r="4885">
      <c r="A4885" s="55"/>
      <c r="B4885" s="119" t="s">
        <v>36757</v>
      </c>
      <c r="C4885" s="120" t="s">
        <v>7165</v>
      </c>
      <c r="D4885" s="33" t="s">
        <v>36725</v>
      </c>
      <c r="E4885" s="51" t="s">
        <v>999</v>
      </c>
      <c r="F4885" s="121" t="s">
        <v>3009</v>
      </c>
      <c r="G4885" s="98" t="str">
        <f>HYPERLINK("http://mirror.ff7data.com.ar/ff7/data/battle/battle.lgp/ilbz.png","View Picture")</f>
        <v>View Picture</v>
      </c>
    </row>
    <row r="4886">
      <c r="A4886" s="55"/>
      <c r="B4886" s="119" t="s">
        <v>36758</v>
      </c>
      <c r="C4886" s="120" t="s">
        <v>7115</v>
      </c>
      <c r="D4886" s="33" t="s">
        <v>36725</v>
      </c>
      <c r="E4886" s="51" t="s">
        <v>999</v>
      </c>
      <c r="F4886" s="121" t="s">
        <v>3025</v>
      </c>
      <c r="H4886" s="46" t="s">
        <v>3002</v>
      </c>
    </row>
    <row r="4887">
      <c r="A4887" s="55"/>
      <c r="B4887" s="119" t="s">
        <v>36759</v>
      </c>
      <c r="C4887" s="120" t="s">
        <v>6789</v>
      </c>
      <c r="D4887" s="33" t="s">
        <v>36760</v>
      </c>
      <c r="E4887" s="51" t="s">
        <v>1004</v>
      </c>
      <c r="F4887" s="121" t="s">
        <v>2971</v>
      </c>
      <c r="G4887" s="98" t="str">
        <f>HYPERLINK("http://mirror.ff7data.com.ar/ff7/data/battle/battle.lgp/imaa.png","View Picture")</f>
        <v>View Picture</v>
      </c>
      <c r="H4887" s="46" t="s">
        <v>36761</v>
      </c>
    </row>
    <row r="4888">
      <c r="A4888" s="55"/>
      <c r="B4888" s="119" t="s">
        <v>36762</v>
      </c>
      <c r="C4888" s="120" t="s">
        <v>4209</v>
      </c>
      <c r="D4888" s="33" t="s">
        <v>36763</v>
      </c>
      <c r="E4888" s="51" t="s">
        <v>1004</v>
      </c>
      <c r="F4888" s="121" t="s">
        <v>2993</v>
      </c>
      <c r="H4888" s="46" t="s">
        <v>3002</v>
      </c>
    </row>
    <row r="4889">
      <c r="A4889" s="55"/>
      <c r="B4889" s="119" t="s">
        <v>36764</v>
      </c>
      <c r="C4889" s="120" t="s">
        <v>3842</v>
      </c>
      <c r="D4889" s="33" t="s">
        <v>36763</v>
      </c>
      <c r="E4889" s="51" t="s">
        <v>1004</v>
      </c>
      <c r="F4889" s="121" t="s">
        <v>3009</v>
      </c>
      <c r="G4889" s="98" t="str">
        <f>HYPERLINK("http://mirror.ff7data.com.ar/ff7/data/battle/battle.lgp/imam.png","View Picture")</f>
        <v>View Picture</v>
      </c>
    </row>
    <row r="4890">
      <c r="A4890" s="55"/>
      <c r="B4890" s="119" t="s">
        <v>36765</v>
      </c>
      <c r="C4890" s="120" t="s">
        <v>3658</v>
      </c>
      <c r="D4890" s="33" t="s">
        <v>36763</v>
      </c>
      <c r="E4890" s="51" t="s">
        <v>1004</v>
      </c>
      <c r="F4890" s="121" t="s">
        <v>3009</v>
      </c>
      <c r="G4890" s="98" t="str">
        <f>HYPERLINK("http://mirror.ff7data.com.ar/ff7/data/battle/battle.lgp/iman.png","View Picture")</f>
        <v>View Picture</v>
      </c>
    </row>
    <row r="4891">
      <c r="A4891" s="55"/>
      <c r="B4891" s="119" t="s">
        <v>36766</v>
      </c>
      <c r="C4891" s="120" t="s">
        <v>6830</v>
      </c>
      <c r="D4891" s="33" t="s">
        <v>36763</v>
      </c>
      <c r="E4891" s="51" t="s">
        <v>1004</v>
      </c>
      <c r="F4891" s="121" t="s">
        <v>3009</v>
      </c>
      <c r="G4891" s="98" t="str">
        <f>HYPERLINK("http://mirror.ff7data.com.ar/ff7/data/battle/battle.lgp/imap.png","View Picture")</f>
        <v>View Picture</v>
      </c>
    </row>
    <row r="4892">
      <c r="A4892" s="55"/>
      <c r="B4892" s="119" t="s">
        <v>36767</v>
      </c>
      <c r="C4892" s="120" t="s">
        <v>3007</v>
      </c>
      <c r="D4892" s="33" t="s">
        <v>36763</v>
      </c>
      <c r="E4892" s="51" t="s">
        <v>1004</v>
      </c>
      <c r="F4892" s="121" t="s">
        <v>3009</v>
      </c>
      <c r="G4892" s="98" t="str">
        <f>HYPERLINK("http://mirror.ff7data.com.ar/ff7/data/battle/battle.lgp/imar.png","View Picture")</f>
        <v>View Picture</v>
      </c>
    </row>
    <row r="4893">
      <c r="A4893" s="55"/>
      <c r="B4893" s="119" t="s">
        <v>36768</v>
      </c>
      <c r="C4893" s="120" t="s">
        <v>3007</v>
      </c>
      <c r="D4893" s="33" t="s">
        <v>36763</v>
      </c>
      <c r="E4893" s="51" t="s">
        <v>1004</v>
      </c>
      <c r="F4893" s="121" t="s">
        <v>3009</v>
      </c>
      <c r="G4893" s="98" t="str">
        <f>HYPERLINK("http://mirror.ff7data.com.ar/ff7/data/battle/battle.lgp/imat.png","View Picture")</f>
        <v>View Picture</v>
      </c>
    </row>
    <row r="4894">
      <c r="A4894" s="55"/>
      <c r="B4894" s="119" t="s">
        <v>36769</v>
      </c>
      <c r="C4894" s="120" t="s">
        <v>3007</v>
      </c>
      <c r="D4894" s="33" t="s">
        <v>36763</v>
      </c>
      <c r="E4894" s="51" t="s">
        <v>1004</v>
      </c>
      <c r="F4894" s="121" t="s">
        <v>3009</v>
      </c>
      <c r="G4894" s="98" t="str">
        <f>HYPERLINK("http://mirror.ff7data.com.ar/ff7/data/battle/battle.lgp/imav.png","View Picture")</f>
        <v>View Picture</v>
      </c>
    </row>
    <row r="4895">
      <c r="A4895" s="55"/>
      <c r="B4895" s="119" t="s">
        <v>36770</v>
      </c>
      <c r="C4895" s="120" t="s">
        <v>3007</v>
      </c>
      <c r="D4895" s="33" t="s">
        <v>36763</v>
      </c>
      <c r="E4895" s="51" t="s">
        <v>1004</v>
      </c>
      <c r="F4895" s="121" t="s">
        <v>3009</v>
      </c>
      <c r="G4895" s="98" t="str">
        <f>HYPERLINK("http://mirror.ff7data.com.ar/ff7/data/battle/battle.lgp/imax.png","View Picture")</f>
        <v>View Picture</v>
      </c>
    </row>
    <row r="4896">
      <c r="A4896" s="55"/>
      <c r="B4896" s="119" t="s">
        <v>36771</v>
      </c>
      <c r="C4896" s="120" t="s">
        <v>3007</v>
      </c>
      <c r="D4896" s="33" t="s">
        <v>36763</v>
      </c>
      <c r="E4896" s="51" t="s">
        <v>1004</v>
      </c>
      <c r="F4896" s="121" t="s">
        <v>3009</v>
      </c>
      <c r="G4896" s="98" t="str">
        <f>HYPERLINK("http://mirror.ff7data.com.ar/ff7/data/battle/battle.lgp/imaz.png","View Picture")</f>
        <v>View Picture</v>
      </c>
    </row>
    <row r="4897">
      <c r="A4897" s="55"/>
      <c r="B4897" s="119" t="s">
        <v>36772</v>
      </c>
      <c r="C4897" s="120" t="s">
        <v>3007</v>
      </c>
      <c r="D4897" s="33" t="s">
        <v>36763</v>
      </c>
      <c r="E4897" s="51" t="s">
        <v>1004</v>
      </c>
      <c r="F4897" s="121" t="s">
        <v>3009</v>
      </c>
      <c r="G4897" s="98" t="str">
        <f>HYPERLINK("http://mirror.ff7data.com.ar/ff7/data/battle/battle.lgp/imbb.png","View Picture")</f>
        <v>View Picture</v>
      </c>
    </row>
    <row r="4898">
      <c r="A4898" s="55"/>
      <c r="B4898" s="119" t="s">
        <v>36773</v>
      </c>
      <c r="C4898" s="120" t="s">
        <v>3007</v>
      </c>
      <c r="D4898" s="33" t="s">
        <v>36763</v>
      </c>
      <c r="E4898" s="51" t="s">
        <v>1004</v>
      </c>
      <c r="F4898" s="121" t="s">
        <v>3009</v>
      </c>
      <c r="G4898" s="98" t="str">
        <f>HYPERLINK("http://mirror.ff7data.com.ar/ff7/data/battle/battle.lgp/imbd.png","View Picture")</f>
        <v>View Picture</v>
      </c>
    </row>
    <row r="4899">
      <c r="A4899" s="55"/>
      <c r="B4899" s="119" t="s">
        <v>36774</v>
      </c>
      <c r="C4899" s="120" t="s">
        <v>3007</v>
      </c>
      <c r="D4899" s="33" t="s">
        <v>36763</v>
      </c>
      <c r="E4899" s="51" t="s">
        <v>1004</v>
      </c>
      <c r="F4899" s="121" t="s">
        <v>3009</v>
      </c>
      <c r="G4899" s="98" t="str">
        <f>HYPERLINK("http://mirror.ff7data.com.ar/ff7/data/battle/battle.lgp/imbf.png","View Picture")</f>
        <v>View Picture</v>
      </c>
    </row>
    <row r="4900">
      <c r="A4900" s="55"/>
      <c r="B4900" s="119" t="s">
        <v>36775</v>
      </c>
      <c r="C4900" s="120" t="s">
        <v>3007</v>
      </c>
      <c r="D4900" s="33" t="s">
        <v>36763</v>
      </c>
      <c r="E4900" s="51" t="s">
        <v>1004</v>
      </c>
      <c r="F4900" s="121" t="s">
        <v>3009</v>
      </c>
      <c r="G4900" s="98" t="str">
        <f>HYPERLINK("http://mirror.ff7data.com.ar/ff7/data/battle/battle.lgp/imbh.png","View Picture")</f>
        <v>View Picture</v>
      </c>
    </row>
    <row r="4901">
      <c r="A4901" s="55"/>
      <c r="B4901" s="119" t="s">
        <v>36776</v>
      </c>
      <c r="C4901" s="120" t="s">
        <v>3007</v>
      </c>
      <c r="D4901" s="33" t="s">
        <v>36763</v>
      </c>
      <c r="E4901" s="51" t="s">
        <v>1004</v>
      </c>
      <c r="F4901" s="121" t="s">
        <v>3009</v>
      </c>
      <c r="G4901" s="98" t="str">
        <f>HYPERLINK("http://mirror.ff7data.com.ar/ff7/data/battle/battle.lgp/imbj.png","View Picture")</f>
        <v>View Picture</v>
      </c>
    </row>
    <row r="4902">
      <c r="A4902" s="55"/>
      <c r="B4902" s="119" t="s">
        <v>36777</v>
      </c>
      <c r="C4902" s="120" t="s">
        <v>3007</v>
      </c>
      <c r="D4902" s="33" t="s">
        <v>36763</v>
      </c>
      <c r="E4902" s="51" t="s">
        <v>1004</v>
      </c>
      <c r="F4902" s="121" t="s">
        <v>3009</v>
      </c>
      <c r="G4902" s="98" t="str">
        <f>HYPERLINK("http://mirror.ff7data.com.ar/ff7/data/battle/battle.lgp/imbl.png","View Picture")</f>
        <v>View Picture</v>
      </c>
    </row>
    <row r="4903">
      <c r="A4903" s="55"/>
      <c r="B4903" s="119" t="s">
        <v>36778</v>
      </c>
      <c r="C4903" s="120" t="s">
        <v>4264</v>
      </c>
      <c r="D4903" s="33" t="s">
        <v>36763</v>
      </c>
      <c r="E4903" s="51" t="s">
        <v>1004</v>
      </c>
      <c r="F4903" s="121" t="s">
        <v>3009</v>
      </c>
      <c r="G4903" s="98" t="str">
        <f>HYPERLINK("http://mirror.ff7data.com.ar/ff7/data/battle/battle.lgp/imbn.png","View Picture")</f>
        <v>View Picture</v>
      </c>
    </row>
    <row r="4904">
      <c r="A4904" s="55"/>
      <c r="B4904" s="119" t="s">
        <v>36779</v>
      </c>
      <c r="C4904" s="120" t="s">
        <v>4185</v>
      </c>
      <c r="D4904" s="33" t="s">
        <v>36763</v>
      </c>
      <c r="E4904" s="51" t="s">
        <v>1004</v>
      </c>
      <c r="F4904" s="121" t="s">
        <v>3009</v>
      </c>
      <c r="G4904" s="98" t="str">
        <f>HYPERLINK("http://mirror.ff7data.com.ar/ff7/data/battle/battle.lgp/imbo.png","View Picture")</f>
        <v>View Picture</v>
      </c>
    </row>
    <row r="4905">
      <c r="A4905" s="55"/>
      <c r="B4905" s="119" t="s">
        <v>36780</v>
      </c>
      <c r="C4905" s="120" t="s">
        <v>4288</v>
      </c>
      <c r="D4905" s="33" t="s">
        <v>36763</v>
      </c>
      <c r="E4905" s="51" t="s">
        <v>1004</v>
      </c>
      <c r="F4905" s="121" t="s">
        <v>3009</v>
      </c>
      <c r="G4905" s="98" t="str">
        <f>HYPERLINK("http://mirror.ff7data.com.ar/ff7/data/battle/battle.lgp/imbp.png","View Picture")</f>
        <v>View Picture</v>
      </c>
    </row>
    <row r="4906">
      <c r="A4906" s="55"/>
      <c r="B4906" s="119" t="s">
        <v>36781</v>
      </c>
      <c r="C4906" s="120" t="s">
        <v>4264</v>
      </c>
      <c r="D4906" s="33" t="s">
        <v>36763</v>
      </c>
      <c r="E4906" s="51" t="s">
        <v>1004</v>
      </c>
      <c r="F4906" s="121" t="s">
        <v>3009</v>
      </c>
      <c r="G4906" s="98" t="str">
        <f>HYPERLINK("http://mirror.ff7data.com.ar/ff7/data/battle/battle.lgp/imbr.png","View Picture")</f>
        <v>View Picture</v>
      </c>
    </row>
    <row r="4907">
      <c r="A4907" s="55"/>
      <c r="B4907" s="119" t="s">
        <v>36782</v>
      </c>
      <c r="C4907" s="120" t="s">
        <v>4476</v>
      </c>
      <c r="D4907" s="33" t="s">
        <v>36763</v>
      </c>
      <c r="E4907" s="51" t="s">
        <v>1004</v>
      </c>
      <c r="F4907" s="121" t="s">
        <v>3009</v>
      </c>
      <c r="G4907" s="98" t="str">
        <f>HYPERLINK("http://mirror.ff7data.com.ar/ff7/data/battle/battle.lgp/imbs.png","View Picture")</f>
        <v>View Picture</v>
      </c>
    </row>
    <row r="4908">
      <c r="A4908" s="55"/>
      <c r="B4908" s="119" t="s">
        <v>36783</v>
      </c>
      <c r="C4908" s="120" t="s">
        <v>4288</v>
      </c>
      <c r="D4908" s="33" t="s">
        <v>36763</v>
      </c>
      <c r="E4908" s="51" t="s">
        <v>1004</v>
      </c>
      <c r="F4908" s="121" t="s">
        <v>3009</v>
      </c>
      <c r="G4908" s="98" t="str">
        <f>HYPERLINK("http://mirror.ff7data.com.ar/ff7/data/battle/battle.lgp/imbt.png","View Picture")</f>
        <v>View Picture</v>
      </c>
    </row>
    <row r="4909">
      <c r="A4909" s="55"/>
      <c r="B4909" s="119" t="s">
        <v>36784</v>
      </c>
      <c r="C4909" s="120" t="s">
        <v>6029</v>
      </c>
      <c r="D4909" s="33" t="s">
        <v>36763</v>
      </c>
      <c r="E4909" s="51" t="s">
        <v>1004</v>
      </c>
      <c r="F4909" s="121" t="s">
        <v>3009</v>
      </c>
      <c r="G4909" s="98" t="str">
        <f>HYPERLINK("http://mirror.ff7data.com.ar/ff7/data/battle/battle.lgp/imbu.png","View Picture")</f>
        <v>View Picture</v>
      </c>
    </row>
    <row r="4910">
      <c r="A4910" s="55"/>
      <c r="B4910" s="119" t="s">
        <v>36785</v>
      </c>
      <c r="C4910" s="120" t="s">
        <v>4565</v>
      </c>
      <c r="D4910" s="33" t="s">
        <v>36763</v>
      </c>
      <c r="E4910" s="51" t="s">
        <v>1004</v>
      </c>
      <c r="F4910" s="121" t="s">
        <v>3009</v>
      </c>
      <c r="G4910" s="98" t="str">
        <f>HYPERLINK("http://mirror.ff7data.com.ar/ff7/data/battle/battle.lgp/imbv.png","View Picture")</f>
        <v>View Picture</v>
      </c>
    </row>
    <row r="4911">
      <c r="A4911" s="55"/>
      <c r="B4911" s="119" t="s">
        <v>36786</v>
      </c>
      <c r="C4911" s="120" t="s">
        <v>4565</v>
      </c>
      <c r="D4911" s="33" t="s">
        <v>36763</v>
      </c>
      <c r="E4911" s="51" t="s">
        <v>1004</v>
      </c>
      <c r="F4911" s="121" t="s">
        <v>3009</v>
      </c>
      <c r="G4911" s="98" t="str">
        <f>HYPERLINK("http://mirror.ff7data.com.ar/ff7/data/battle/battle.lgp/imbw.png","View Picture")</f>
        <v>View Picture</v>
      </c>
    </row>
    <row r="4912">
      <c r="A4912" s="55"/>
      <c r="B4912" s="119" t="s">
        <v>36787</v>
      </c>
      <c r="C4912" s="120" t="s">
        <v>4565</v>
      </c>
      <c r="D4912" s="33" t="s">
        <v>36763</v>
      </c>
      <c r="E4912" s="51" t="s">
        <v>1004</v>
      </c>
      <c r="F4912" s="121" t="s">
        <v>3009</v>
      </c>
      <c r="G4912" s="98" t="str">
        <f>HYPERLINK("http://mirror.ff7data.com.ar/ff7/data/battle/battle.lgp/imbx.png","View Picture")</f>
        <v>View Picture</v>
      </c>
    </row>
    <row r="4913">
      <c r="A4913" s="55"/>
      <c r="B4913" s="119" t="s">
        <v>36788</v>
      </c>
      <c r="C4913" s="120" t="s">
        <v>4565</v>
      </c>
      <c r="D4913" s="33" t="s">
        <v>36763</v>
      </c>
      <c r="E4913" s="51" t="s">
        <v>1004</v>
      </c>
      <c r="F4913" s="121" t="s">
        <v>3009</v>
      </c>
      <c r="G4913" s="98" t="str">
        <f>HYPERLINK("http://mirror.ff7data.com.ar/ff7/data/battle/battle.lgp/imby.png","View Picture")</f>
        <v>View Picture</v>
      </c>
    </row>
    <row r="4914">
      <c r="A4914" s="55"/>
      <c r="B4914" s="119" t="s">
        <v>36789</v>
      </c>
      <c r="C4914" s="120" t="s">
        <v>4719</v>
      </c>
      <c r="D4914" s="33" t="s">
        <v>36763</v>
      </c>
      <c r="E4914" s="51" t="s">
        <v>1004</v>
      </c>
      <c r="F4914" s="121" t="s">
        <v>3009</v>
      </c>
      <c r="G4914" s="98" t="str">
        <f>HYPERLINK("http://mirror.ff7data.com.ar/ff7/data/battle/battle.lgp/imbz.png","View Picture")</f>
        <v>View Picture</v>
      </c>
    </row>
    <row r="4915">
      <c r="A4915" s="55"/>
      <c r="B4915" s="119" t="s">
        <v>36790</v>
      </c>
      <c r="C4915" s="120" t="s">
        <v>4264</v>
      </c>
      <c r="D4915" s="33" t="s">
        <v>36763</v>
      </c>
      <c r="E4915" s="51" t="s">
        <v>1004</v>
      </c>
      <c r="F4915" s="121" t="s">
        <v>3009</v>
      </c>
      <c r="G4915" s="98" t="str">
        <f>HYPERLINK("http://mirror.ff7data.com.ar/ff7/data/battle/battle.lgp/imcb.png","View Picture")</f>
        <v>View Picture</v>
      </c>
    </row>
    <row r="4916">
      <c r="A4916" s="55"/>
      <c r="B4916" s="119" t="s">
        <v>36791</v>
      </c>
      <c r="C4916" s="120" t="s">
        <v>4476</v>
      </c>
      <c r="D4916" s="33" t="s">
        <v>36763</v>
      </c>
      <c r="E4916" s="51" t="s">
        <v>1004</v>
      </c>
      <c r="F4916" s="121" t="s">
        <v>3009</v>
      </c>
      <c r="G4916" s="98" t="str">
        <f>HYPERLINK("http://mirror.ff7data.com.ar/ff7/data/battle/battle.lgp/imcc.png","View Picture")</f>
        <v>View Picture</v>
      </c>
    </row>
    <row r="4917">
      <c r="A4917" s="55"/>
      <c r="B4917" s="119" t="s">
        <v>36792</v>
      </c>
      <c r="C4917" s="120" t="s">
        <v>4288</v>
      </c>
      <c r="D4917" s="33" t="s">
        <v>36763</v>
      </c>
      <c r="E4917" s="51" t="s">
        <v>1004</v>
      </c>
      <c r="F4917" s="121" t="s">
        <v>3009</v>
      </c>
      <c r="G4917" s="98" t="str">
        <f>HYPERLINK("http://mirror.ff7data.com.ar/ff7/data/battle/battle.lgp/imcd.png","View Picture")</f>
        <v>View Picture</v>
      </c>
    </row>
    <row r="4918">
      <c r="A4918" s="55"/>
      <c r="B4918" s="119" t="s">
        <v>36793</v>
      </c>
      <c r="C4918" s="120" t="s">
        <v>4264</v>
      </c>
      <c r="D4918" s="33" t="s">
        <v>36763</v>
      </c>
      <c r="E4918" s="51" t="s">
        <v>1004</v>
      </c>
      <c r="F4918" s="121" t="s">
        <v>3009</v>
      </c>
      <c r="G4918" s="98" t="str">
        <f>HYPERLINK("http://mirror.ff7data.com.ar/ff7/data/battle/battle.lgp/imcf.png","View Picture")</f>
        <v>View Picture</v>
      </c>
    </row>
    <row r="4919">
      <c r="A4919" s="55"/>
      <c r="B4919" s="119" t="s">
        <v>36794</v>
      </c>
      <c r="C4919" s="120" t="s">
        <v>4476</v>
      </c>
      <c r="D4919" s="33" t="s">
        <v>36763</v>
      </c>
      <c r="E4919" s="51" t="s">
        <v>1004</v>
      </c>
      <c r="F4919" s="121" t="s">
        <v>3009</v>
      </c>
      <c r="G4919" s="98" t="str">
        <f>HYPERLINK("http://mirror.ff7data.com.ar/ff7/data/battle/battle.lgp/imcg.png","View Picture")</f>
        <v>View Picture</v>
      </c>
    </row>
    <row r="4920">
      <c r="A4920" s="55"/>
      <c r="B4920" s="119" t="s">
        <v>36795</v>
      </c>
      <c r="C4920" s="120" t="s">
        <v>4288</v>
      </c>
      <c r="D4920" s="33" t="s">
        <v>36763</v>
      </c>
      <c r="E4920" s="51" t="s">
        <v>1004</v>
      </c>
      <c r="F4920" s="121" t="s">
        <v>3009</v>
      </c>
      <c r="G4920" s="98" t="str">
        <f>HYPERLINK("http://mirror.ff7data.com.ar/ff7/data/battle/battle.lgp/imch.png","View Picture")</f>
        <v>View Picture</v>
      </c>
    </row>
    <row r="4921">
      <c r="A4921" s="55"/>
      <c r="B4921" s="119" t="s">
        <v>36796</v>
      </c>
      <c r="C4921" s="120" t="s">
        <v>14980</v>
      </c>
      <c r="D4921" s="33" t="s">
        <v>36763</v>
      </c>
      <c r="E4921" s="51" t="s">
        <v>1004</v>
      </c>
      <c r="F4921" s="121" t="s">
        <v>3025</v>
      </c>
      <c r="H4921" s="46" t="s">
        <v>3002</v>
      </c>
    </row>
    <row r="4922">
      <c r="A4922" s="55"/>
      <c r="B4922" s="119" t="s">
        <v>36797</v>
      </c>
      <c r="C4922" s="120" t="s">
        <v>3980</v>
      </c>
      <c r="D4922" s="33" t="s">
        <v>36798</v>
      </c>
      <c r="E4922" s="51" t="s">
        <v>1009</v>
      </c>
      <c r="F4922" s="121" t="s">
        <v>2971</v>
      </c>
      <c r="G4922" s="98" t="str">
        <f>HYPERLINK("http://mirror.ff7data.com.ar/ff7/data/battle/battle.lgp/inaa.png","View Picture")</f>
        <v>View Picture</v>
      </c>
      <c r="H4922" s="46" t="s">
        <v>36799</v>
      </c>
    </row>
    <row r="4923">
      <c r="A4923" s="55"/>
      <c r="B4923" s="119" t="s">
        <v>36800</v>
      </c>
      <c r="C4923" s="120" t="s">
        <v>7375</v>
      </c>
      <c r="D4923" s="33" t="s">
        <v>36801</v>
      </c>
      <c r="E4923" s="51" t="s">
        <v>1009</v>
      </c>
      <c r="F4923" s="121" t="s">
        <v>2993</v>
      </c>
      <c r="H4923" s="46" t="s">
        <v>3002</v>
      </c>
    </row>
    <row r="4924">
      <c r="A4924" s="55"/>
      <c r="B4924" s="119" t="s">
        <v>36802</v>
      </c>
      <c r="C4924" s="120" t="s">
        <v>7894</v>
      </c>
      <c r="D4924" s="33" t="s">
        <v>36801</v>
      </c>
      <c r="E4924" s="51" t="s">
        <v>1009</v>
      </c>
      <c r="F4924" s="121" t="s">
        <v>3009</v>
      </c>
      <c r="G4924" s="98" t="str">
        <f>HYPERLINK("http://mirror.ff7data.com.ar/ff7/data/battle/battle.lgp/inam.png","View Picture")</f>
        <v>View Picture</v>
      </c>
    </row>
    <row r="4925">
      <c r="A4925" s="55"/>
      <c r="B4925" s="119" t="s">
        <v>36803</v>
      </c>
      <c r="C4925" s="120" t="s">
        <v>4357</v>
      </c>
      <c r="D4925" s="33" t="s">
        <v>36801</v>
      </c>
      <c r="E4925" s="51" t="s">
        <v>1009</v>
      </c>
      <c r="F4925" s="121" t="s">
        <v>3009</v>
      </c>
      <c r="G4925" s="98" t="str">
        <f>HYPERLINK("http://mirror.ff7data.com.ar/ff7/data/battle/battle.lgp/inao.png","View Picture")</f>
        <v>View Picture</v>
      </c>
    </row>
    <row r="4926">
      <c r="A4926" s="55"/>
      <c r="B4926" s="119" t="s">
        <v>36804</v>
      </c>
      <c r="C4926" s="120" t="s">
        <v>5419</v>
      </c>
      <c r="D4926" s="33" t="s">
        <v>36801</v>
      </c>
      <c r="E4926" s="51" t="s">
        <v>1009</v>
      </c>
      <c r="F4926" s="121" t="s">
        <v>3009</v>
      </c>
      <c r="G4926" s="98" t="str">
        <f>HYPERLINK("http://mirror.ff7data.com.ar/ff7/data/battle/battle.lgp/inap.png","View Picture")</f>
        <v>View Picture</v>
      </c>
    </row>
    <row r="4927">
      <c r="A4927" s="55"/>
      <c r="B4927" s="119" t="s">
        <v>36805</v>
      </c>
      <c r="C4927" s="120" t="s">
        <v>4057</v>
      </c>
      <c r="D4927" s="33" t="s">
        <v>36801</v>
      </c>
      <c r="E4927" s="51" t="s">
        <v>1009</v>
      </c>
      <c r="F4927" s="121" t="s">
        <v>3009</v>
      </c>
      <c r="G4927" s="98" t="str">
        <f>HYPERLINK("http://mirror.ff7data.com.ar/ff7/data/battle/battle.lgp/inar.png","View Picture")</f>
        <v>View Picture</v>
      </c>
    </row>
    <row r="4928">
      <c r="A4928" s="55"/>
      <c r="B4928" s="119" t="s">
        <v>36806</v>
      </c>
      <c r="C4928" s="120" t="s">
        <v>4372</v>
      </c>
      <c r="D4928" s="33" t="s">
        <v>36801</v>
      </c>
      <c r="E4928" s="51" t="s">
        <v>1009</v>
      </c>
      <c r="F4928" s="121" t="s">
        <v>3009</v>
      </c>
      <c r="G4928" s="98" t="str">
        <f>HYPERLINK("http://mirror.ff7data.com.ar/ff7/data/battle/battle.lgp/inas.png","View Picture")</f>
        <v>View Picture</v>
      </c>
    </row>
    <row r="4929">
      <c r="A4929" s="55"/>
      <c r="B4929" s="119" t="s">
        <v>36807</v>
      </c>
      <c r="C4929" s="120" t="s">
        <v>4476</v>
      </c>
      <c r="D4929" s="33" t="s">
        <v>36801</v>
      </c>
      <c r="E4929" s="51" t="s">
        <v>1009</v>
      </c>
      <c r="F4929" s="121" t="s">
        <v>3009</v>
      </c>
      <c r="G4929" s="98" t="str">
        <f>HYPERLINK("http://mirror.ff7data.com.ar/ff7/data/battle/battle.lgp/inat.png","View Picture")</f>
        <v>View Picture</v>
      </c>
    </row>
    <row r="4930">
      <c r="A4930" s="55"/>
      <c r="B4930" s="119" t="s">
        <v>36808</v>
      </c>
      <c r="C4930" s="120" t="s">
        <v>3671</v>
      </c>
      <c r="D4930" s="33" t="s">
        <v>36801</v>
      </c>
      <c r="E4930" s="51" t="s">
        <v>1009</v>
      </c>
      <c r="F4930" s="121" t="s">
        <v>3009</v>
      </c>
      <c r="G4930" s="98" t="str">
        <f>HYPERLINK("http://mirror.ff7data.com.ar/ff7/data/battle/battle.lgp/inau.png","View Picture")</f>
        <v>View Picture</v>
      </c>
    </row>
    <row r="4931">
      <c r="A4931" s="55"/>
      <c r="B4931" s="119" t="s">
        <v>36809</v>
      </c>
      <c r="C4931" s="120" t="s">
        <v>4732</v>
      </c>
      <c r="D4931" s="33" t="s">
        <v>36801</v>
      </c>
      <c r="E4931" s="51" t="s">
        <v>1009</v>
      </c>
      <c r="F4931" s="121" t="s">
        <v>3009</v>
      </c>
      <c r="G4931" s="98" t="str">
        <f>HYPERLINK("http://mirror.ff7data.com.ar/ff7/data/battle/battle.lgp/inav.png","View Picture")</f>
        <v>View Picture</v>
      </c>
    </row>
    <row r="4932">
      <c r="A4932" s="55"/>
      <c r="B4932" s="119" t="s">
        <v>36810</v>
      </c>
      <c r="C4932" s="120" t="s">
        <v>4288</v>
      </c>
      <c r="D4932" s="33" t="s">
        <v>36801</v>
      </c>
      <c r="E4932" s="51" t="s">
        <v>1009</v>
      </c>
      <c r="F4932" s="121" t="s">
        <v>3009</v>
      </c>
      <c r="G4932" s="98" t="str">
        <f>HYPERLINK("http://mirror.ff7data.com.ar/ff7/data/battle/battle.lgp/inax.png","View Picture")</f>
        <v>View Picture</v>
      </c>
    </row>
    <row r="4933">
      <c r="A4933" s="55"/>
      <c r="B4933" s="119" t="s">
        <v>36811</v>
      </c>
      <c r="C4933" s="120" t="s">
        <v>21725</v>
      </c>
      <c r="D4933" s="33" t="s">
        <v>36801</v>
      </c>
      <c r="E4933" s="51" t="s">
        <v>1009</v>
      </c>
      <c r="F4933" s="121" t="s">
        <v>3009</v>
      </c>
      <c r="G4933" s="98" t="str">
        <f>HYPERLINK("http://mirror.ff7data.com.ar/ff7/data/battle/battle.lgp/inaz.png","View Picture")</f>
        <v>View Picture</v>
      </c>
    </row>
    <row r="4934">
      <c r="A4934" s="55"/>
      <c r="B4934" s="119" t="s">
        <v>36812</v>
      </c>
      <c r="C4934" s="120" t="s">
        <v>5419</v>
      </c>
      <c r="D4934" s="33" t="s">
        <v>36801</v>
      </c>
      <c r="E4934" s="51" t="s">
        <v>1009</v>
      </c>
      <c r="F4934" s="121" t="s">
        <v>3009</v>
      </c>
      <c r="G4934" s="98" t="str">
        <f>HYPERLINK("http://mirror.ff7data.com.ar/ff7/data/battle/battle.lgp/inbb.png","View Picture")</f>
        <v>View Picture</v>
      </c>
    </row>
    <row r="4935">
      <c r="A4935" s="55"/>
      <c r="B4935" s="119" t="s">
        <v>36813</v>
      </c>
      <c r="C4935" s="120" t="s">
        <v>5419</v>
      </c>
      <c r="D4935" s="33" t="s">
        <v>36801</v>
      </c>
      <c r="E4935" s="51" t="s">
        <v>1009</v>
      </c>
      <c r="F4935" s="121" t="s">
        <v>3009</v>
      </c>
      <c r="G4935" s="98" t="str">
        <f>HYPERLINK("http://mirror.ff7data.com.ar/ff7/data/battle/battle.lgp/inbd.png","View Picture")</f>
        <v>View Picture</v>
      </c>
    </row>
    <row r="4936">
      <c r="A4936" s="55"/>
      <c r="B4936" s="119" t="s">
        <v>36814</v>
      </c>
      <c r="C4936" s="120" t="s">
        <v>4264</v>
      </c>
      <c r="D4936" s="33" t="s">
        <v>36801</v>
      </c>
      <c r="E4936" s="51" t="s">
        <v>1009</v>
      </c>
      <c r="F4936" s="121" t="s">
        <v>3009</v>
      </c>
      <c r="G4936" s="98" t="str">
        <f>HYPERLINK("http://mirror.ff7data.com.ar/ff7/data/battle/battle.lgp/inbg.png","View Picture")</f>
        <v>View Picture</v>
      </c>
    </row>
    <row r="4937">
      <c r="A4937" s="55"/>
      <c r="B4937" s="119" t="s">
        <v>36815</v>
      </c>
      <c r="C4937" s="120" t="s">
        <v>4288</v>
      </c>
      <c r="D4937" s="33" t="s">
        <v>36801</v>
      </c>
      <c r="E4937" s="51" t="s">
        <v>1009</v>
      </c>
      <c r="F4937" s="121" t="s">
        <v>3009</v>
      </c>
      <c r="G4937" s="98" t="str">
        <f>HYPERLINK("http://mirror.ff7data.com.ar/ff7/data/battle/battle.lgp/inbh.png","View Picture")</f>
        <v>View Picture</v>
      </c>
    </row>
    <row r="4938">
      <c r="A4938" s="55"/>
      <c r="B4938" s="119" t="s">
        <v>36816</v>
      </c>
      <c r="C4938" s="120" t="s">
        <v>8063</v>
      </c>
      <c r="D4938" s="33" t="s">
        <v>36801</v>
      </c>
      <c r="E4938" s="51" t="s">
        <v>1009</v>
      </c>
      <c r="F4938" s="121" t="s">
        <v>3009</v>
      </c>
      <c r="G4938" s="98" t="str">
        <f>HYPERLINK("http://mirror.ff7data.com.ar/ff7/data/battle/battle.lgp/inbi.png","View Picture")</f>
        <v>View Picture</v>
      </c>
    </row>
    <row r="4939">
      <c r="A4939" s="55"/>
      <c r="B4939" s="119" t="s">
        <v>36817</v>
      </c>
      <c r="C4939" s="120" t="s">
        <v>3519</v>
      </c>
      <c r="D4939" s="33" t="s">
        <v>36801</v>
      </c>
      <c r="E4939" s="51" t="s">
        <v>1009</v>
      </c>
      <c r="F4939" s="121" t="s">
        <v>3025</v>
      </c>
      <c r="H4939" s="46" t="s">
        <v>3002</v>
      </c>
    </row>
    <row r="4940">
      <c r="A4940" s="55"/>
      <c r="B4940" s="119" t="s">
        <v>36818</v>
      </c>
      <c r="C4940" s="120" t="s">
        <v>4209</v>
      </c>
      <c r="D4940" s="33" t="s">
        <v>36819</v>
      </c>
      <c r="E4940" s="51" t="s">
        <v>1012</v>
      </c>
      <c r="F4940" s="121" t="s">
        <v>2971</v>
      </c>
      <c r="G4940" s="98" t="str">
        <f>HYPERLINK("http://mirror.ff7data.com.ar/ff7/data/battle/battle.lgp/ioaa.png","View Picture")</f>
        <v>View Picture</v>
      </c>
    </row>
    <row r="4941">
      <c r="A4941" s="55"/>
      <c r="B4941" s="119" t="s">
        <v>36820</v>
      </c>
      <c r="C4941" s="120" t="s">
        <v>9790</v>
      </c>
      <c r="D4941" s="33" t="s">
        <v>36821</v>
      </c>
      <c r="E4941" s="51" t="s">
        <v>1012</v>
      </c>
      <c r="F4941" s="121" t="s">
        <v>2993</v>
      </c>
      <c r="H4941" s="46" t="s">
        <v>3002</v>
      </c>
    </row>
    <row r="4942">
      <c r="A4942" s="55"/>
      <c r="B4942" s="119" t="s">
        <v>36822</v>
      </c>
      <c r="C4942" s="120" t="s">
        <v>3552</v>
      </c>
      <c r="D4942" s="33" t="s">
        <v>36823</v>
      </c>
      <c r="E4942" s="51" t="s">
        <v>1012</v>
      </c>
      <c r="F4942" s="121" t="s">
        <v>3009</v>
      </c>
      <c r="G4942" s="98" t="str">
        <f>HYPERLINK("http://mirror.ff7data.com.ar/ff7/data/battle/battle.lgp/ioac.png","View Picture")</f>
        <v>View Picture</v>
      </c>
    </row>
    <row r="4943">
      <c r="A4943" s="55"/>
      <c r="B4943" s="119" t="s">
        <v>36824</v>
      </c>
      <c r="C4943" s="120" t="s">
        <v>3997</v>
      </c>
      <c r="D4943" s="33" t="s">
        <v>36821</v>
      </c>
      <c r="E4943" s="51" t="s">
        <v>1012</v>
      </c>
      <c r="F4943" s="121" t="s">
        <v>3009</v>
      </c>
      <c r="G4943" s="98" t="str">
        <f>HYPERLINK("http://mirror.ff7data.com.ar/ff7/data/battle/battle.lgp/ioad.png","View Picture")</f>
        <v>View Picture</v>
      </c>
    </row>
    <row r="4944">
      <c r="A4944" s="55"/>
      <c r="B4944" s="119" t="s">
        <v>36825</v>
      </c>
      <c r="C4944" s="120" t="s">
        <v>7081</v>
      </c>
      <c r="D4944" s="33" t="s">
        <v>36821</v>
      </c>
      <c r="E4944" s="51" t="s">
        <v>1012</v>
      </c>
      <c r="F4944" s="121" t="s">
        <v>3009</v>
      </c>
      <c r="G4944" s="98" t="str">
        <f>HYPERLINK("http://mirror.ff7data.com.ar/ff7/data/battle/battle.lgp/ioae.png","View Picture")</f>
        <v>View Picture</v>
      </c>
    </row>
    <row r="4945">
      <c r="A4945" s="55"/>
      <c r="B4945" s="119" t="s">
        <v>36826</v>
      </c>
      <c r="C4945" s="120" t="s">
        <v>8649</v>
      </c>
      <c r="D4945" s="33" t="s">
        <v>36821</v>
      </c>
      <c r="E4945" s="51" t="s">
        <v>1012</v>
      </c>
      <c r="F4945" s="121" t="s">
        <v>3009</v>
      </c>
      <c r="G4945" s="98" t="str">
        <f>HYPERLINK("http://mirror.ff7data.com.ar/ff7/data/battle/battle.lgp/ioam.png","View Picture")</f>
        <v>View Picture</v>
      </c>
    </row>
    <row r="4946">
      <c r="A4946" s="55"/>
      <c r="B4946" s="119" t="s">
        <v>36827</v>
      </c>
      <c r="C4946" s="120" t="s">
        <v>5891</v>
      </c>
      <c r="D4946" s="33" t="s">
        <v>36821</v>
      </c>
      <c r="E4946" s="51" t="s">
        <v>1012</v>
      </c>
      <c r="F4946" s="121" t="s">
        <v>3009</v>
      </c>
      <c r="G4946" s="98" t="str">
        <f>HYPERLINK("http://mirror.ff7data.com.ar/ff7/data/battle/battle.lgp/ioao.png","View Picture")</f>
        <v>View Picture</v>
      </c>
    </row>
    <row r="4947">
      <c r="A4947" s="55"/>
      <c r="B4947" s="119" t="s">
        <v>36828</v>
      </c>
      <c r="C4947" s="120" t="s">
        <v>14980</v>
      </c>
      <c r="D4947" s="33" t="s">
        <v>36821</v>
      </c>
      <c r="E4947" s="51" t="s">
        <v>1012</v>
      </c>
      <c r="F4947" s="121" t="s">
        <v>3009</v>
      </c>
      <c r="G4947" s="98" t="str">
        <f>HYPERLINK("http://mirror.ff7data.com.ar/ff7/data/battle/battle.lgp/ioap.png","View Picture")</f>
        <v>View Picture</v>
      </c>
    </row>
    <row r="4948">
      <c r="A4948" s="55"/>
      <c r="B4948" s="119" t="s">
        <v>36829</v>
      </c>
      <c r="C4948" s="120" t="s">
        <v>4057</v>
      </c>
      <c r="D4948" s="33" t="s">
        <v>36821</v>
      </c>
      <c r="E4948" s="51" t="s">
        <v>1012</v>
      </c>
      <c r="F4948" s="121" t="s">
        <v>3009</v>
      </c>
      <c r="G4948" s="98" t="str">
        <f>HYPERLINK("http://mirror.ff7data.com.ar/ff7/data/battle/battle.lgp/ioaq.png","View Picture")</f>
        <v>View Picture</v>
      </c>
    </row>
    <row r="4949">
      <c r="A4949" s="55"/>
      <c r="B4949" s="119" t="s">
        <v>36830</v>
      </c>
      <c r="C4949" s="120" t="s">
        <v>6004</v>
      </c>
      <c r="D4949" s="33" t="s">
        <v>36821</v>
      </c>
      <c r="E4949" s="51" t="s">
        <v>1012</v>
      </c>
      <c r="F4949" s="121" t="s">
        <v>3009</v>
      </c>
      <c r="G4949" s="98" t="str">
        <f>HYPERLINK("http://mirror.ff7data.com.ar/ff7/data/battle/battle.lgp/ioas.png","View Picture")</f>
        <v>View Picture</v>
      </c>
    </row>
    <row r="4950">
      <c r="A4950" s="55"/>
      <c r="B4950" s="119" t="s">
        <v>36831</v>
      </c>
      <c r="C4950" s="120" t="s">
        <v>6004</v>
      </c>
      <c r="D4950" s="33" t="s">
        <v>36821</v>
      </c>
      <c r="E4950" s="51" t="s">
        <v>1012</v>
      </c>
      <c r="F4950" s="121" t="s">
        <v>3009</v>
      </c>
      <c r="G4950" s="98" t="str">
        <f>HYPERLINK("http://mirror.ff7data.com.ar/ff7/data/battle/battle.lgp/ioat.png","View Picture")</f>
        <v>View Picture</v>
      </c>
    </row>
    <row r="4951">
      <c r="A4951" s="55"/>
      <c r="B4951" s="119" t="s">
        <v>36832</v>
      </c>
      <c r="C4951" s="120" t="s">
        <v>6004</v>
      </c>
      <c r="D4951" s="33" t="s">
        <v>36821</v>
      </c>
      <c r="E4951" s="51" t="s">
        <v>1012</v>
      </c>
      <c r="F4951" s="121" t="s">
        <v>3009</v>
      </c>
      <c r="G4951" s="98" t="str">
        <f>HYPERLINK("http://mirror.ff7data.com.ar/ff7/data/battle/battle.lgp/ioau.png","View Picture")</f>
        <v>View Picture</v>
      </c>
    </row>
    <row r="4952">
      <c r="A4952" s="55"/>
      <c r="B4952" s="119" t="s">
        <v>36833</v>
      </c>
      <c r="C4952" s="120" t="s">
        <v>6004</v>
      </c>
      <c r="D4952" s="33" t="s">
        <v>36821</v>
      </c>
      <c r="E4952" s="51" t="s">
        <v>1012</v>
      </c>
      <c r="F4952" s="121" t="s">
        <v>3009</v>
      </c>
      <c r="G4952" s="98" t="str">
        <f>HYPERLINK("http://mirror.ff7data.com.ar/ff7/data/battle/battle.lgp/ioav.png","View Picture")</f>
        <v>View Picture</v>
      </c>
    </row>
    <row r="4953">
      <c r="A4953" s="55"/>
      <c r="B4953" s="119" t="s">
        <v>36834</v>
      </c>
      <c r="C4953" s="120" t="s">
        <v>12616</v>
      </c>
      <c r="D4953" s="33" t="s">
        <v>36821</v>
      </c>
      <c r="E4953" s="51" t="s">
        <v>1012</v>
      </c>
      <c r="F4953" s="121" t="s">
        <v>3009</v>
      </c>
      <c r="G4953" s="98" t="str">
        <f>HYPERLINK("http://mirror.ff7data.com.ar/ff7/data/battle/battle.lgp/ioaw.png","View Picture")</f>
        <v>View Picture</v>
      </c>
    </row>
    <row r="4954">
      <c r="A4954" s="55"/>
      <c r="B4954" s="119" t="s">
        <v>36835</v>
      </c>
      <c r="C4954" s="120" t="s">
        <v>6004</v>
      </c>
      <c r="D4954" s="33" t="s">
        <v>36821</v>
      </c>
      <c r="E4954" s="51" t="s">
        <v>1012</v>
      </c>
      <c r="F4954" s="121" t="s">
        <v>3009</v>
      </c>
      <c r="G4954" s="98" t="str">
        <f>HYPERLINK("http://mirror.ff7data.com.ar/ff7/data/battle/battle.lgp/ioay.png","View Picture")</f>
        <v>View Picture</v>
      </c>
    </row>
    <row r="4955">
      <c r="A4955" s="55"/>
      <c r="B4955" s="119" t="s">
        <v>36836</v>
      </c>
      <c r="C4955" s="120" t="s">
        <v>6004</v>
      </c>
      <c r="D4955" s="33" t="s">
        <v>36821</v>
      </c>
      <c r="E4955" s="51" t="s">
        <v>1012</v>
      </c>
      <c r="F4955" s="121" t="s">
        <v>3009</v>
      </c>
      <c r="G4955" s="98" t="str">
        <f>HYPERLINK("http://mirror.ff7data.com.ar/ff7/data/battle/battle.lgp/ioaz.png","View Picture")</f>
        <v>View Picture</v>
      </c>
    </row>
    <row r="4956">
      <c r="A4956" s="55"/>
      <c r="B4956" s="119" t="s">
        <v>36837</v>
      </c>
      <c r="C4956" s="120" t="s">
        <v>6004</v>
      </c>
      <c r="D4956" s="33" t="s">
        <v>36821</v>
      </c>
      <c r="E4956" s="51" t="s">
        <v>1012</v>
      </c>
      <c r="F4956" s="121" t="s">
        <v>3009</v>
      </c>
      <c r="G4956" s="98" t="str">
        <f>HYPERLINK("http://mirror.ff7data.com.ar/ff7/data/battle/battle.lgp/ioba.png","View Picture")</f>
        <v>View Picture</v>
      </c>
    </row>
    <row r="4957">
      <c r="A4957" s="55"/>
      <c r="B4957" s="119" t="s">
        <v>36838</v>
      </c>
      <c r="C4957" s="120" t="s">
        <v>6004</v>
      </c>
      <c r="D4957" s="33" t="s">
        <v>36821</v>
      </c>
      <c r="E4957" s="51" t="s">
        <v>1012</v>
      </c>
      <c r="F4957" s="121" t="s">
        <v>3009</v>
      </c>
      <c r="G4957" s="98" t="str">
        <f>HYPERLINK("http://mirror.ff7data.com.ar/ff7/data/battle/battle.lgp/iobb.png","View Picture")</f>
        <v>View Picture</v>
      </c>
    </row>
    <row r="4958">
      <c r="A4958" s="55"/>
      <c r="B4958" s="119" t="s">
        <v>36839</v>
      </c>
      <c r="C4958" s="120" t="s">
        <v>12616</v>
      </c>
      <c r="D4958" s="33" t="s">
        <v>36821</v>
      </c>
      <c r="E4958" s="51" t="s">
        <v>1012</v>
      </c>
      <c r="F4958" s="121" t="s">
        <v>3009</v>
      </c>
      <c r="G4958" s="98" t="str">
        <f>HYPERLINK("http://mirror.ff7data.com.ar/ff7/data/battle/battle.lgp/iobc.png","View Picture")</f>
        <v>View Picture</v>
      </c>
    </row>
    <row r="4959">
      <c r="A4959" s="55"/>
      <c r="B4959" s="119" t="s">
        <v>36840</v>
      </c>
      <c r="C4959" s="120" t="s">
        <v>4357</v>
      </c>
      <c r="D4959" s="33" t="s">
        <v>36821</v>
      </c>
      <c r="E4959" s="51" t="s">
        <v>1012</v>
      </c>
      <c r="F4959" s="121" t="s">
        <v>3009</v>
      </c>
      <c r="G4959" s="98" t="str">
        <f>HYPERLINK("http://mirror.ff7data.com.ar/ff7/data/battle/battle.lgp/iobe.png","View Picture")</f>
        <v>View Picture</v>
      </c>
    </row>
    <row r="4960">
      <c r="A4960" s="55"/>
      <c r="B4960" s="119" t="s">
        <v>36841</v>
      </c>
      <c r="C4960" s="120" t="s">
        <v>4288</v>
      </c>
      <c r="D4960" s="33" t="s">
        <v>36821</v>
      </c>
      <c r="E4960" s="51" t="s">
        <v>1012</v>
      </c>
      <c r="F4960" s="121" t="s">
        <v>3009</v>
      </c>
      <c r="G4960" s="98" t="str">
        <f>HYPERLINK("http://mirror.ff7data.com.ar/ff7/data/battle/battle.lgp/iobf.png","View Picture")</f>
        <v>View Picture</v>
      </c>
    </row>
    <row r="4961">
      <c r="A4961" s="55"/>
      <c r="B4961" s="119" t="s">
        <v>36842</v>
      </c>
      <c r="C4961" s="120" t="s">
        <v>5419</v>
      </c>
      <c r="D4961" s="33" t="s">
        <v>36821</v>
      </c>
      <c r="E4961" s="51" t="s">
        <v>1012</v>
      </c>
      <c r="F4961" s="121" t="s">
        <v>3009</v>
      </c>
      <c r="G4961" s="98" t="str">
        <f>HYPERLINK("http://mirror.ff7data.com.ar/ff7/data/battle/battle.lgp/iobg.png","View Picture")</f>
        <v>View Picture</v>
      </c>
    </row>
    <row r="4962">
      <c r="A4962" s="55"/>
      <c r="B4962" s="119" t="s">
        <v>36843</v>
      </c>
      <c r="C4962" s="120" t="s">
        <v>4357</v>
      </c>
      <c r="D4962" s="33" t="s">
        <v>36821</v>
      </c>
      <c r="E4962" s="51" t="s">
        <v>1012</v>
      </c>
      <c r="F4962" s="121" t="s">
        <v>3009</v>
      </c>
      <c r="G4962" s="98" t="str">
        <f>HYPERLINK("http://mirror.ff7data.com.ar/ff7/data/battle/battle.lgp/iobi.png","View Picture")</f>
        <v>View Picture</v>
      </c>
    </row>
    <row r="4963">
      <c r="A4963" s="55"/>
      <c r="B4963" s="119" t="s">
        <v>36844</v>
      </c>
      <c r="C4963" s="120" t="s">
        <v>4288</v>
      </c>
      <c r="D4963" s="33" t="s">
        <v>36821</v>
      </c>
      <c r="E4963" s="51" t="s">
        <v>1012</v>
      </c>
      <c r="F4963" s="121" t="s">
        <v>3009</v>
      </c>
      <c r="G4963" s="98" t="str">
        <f>HYPERLINK("http://mirror.ff7data.com.ar/ff7/data/battle/battle.lgp/iobj.png","View Picture")</f>
        <v>View Picture</v>
      </c>
    </row>
    <row r="4964">
      <c r="A4964" s="55"/>
      <c r="B4964" s="119" t="s">
        <v>36845</v>
      </c>
      <c r="C4964" s="120" t="s">
        <v>5419</v>
      </c>
      <c r="D4964" s="33" t="s">
        <v>36821</v>
      </c>
      <c r="E4964" s="51" t="s">
        <v>1012</v>
      </c>
      <c r="F4964" s="121" t="s">
        <v>3009</v>
      </c>
      <c r="G4964" s="98" t="str">
        <f>HYPERLINK("http://mirror.ff7data.com.ar/ff7/data/battle/battle.lgp/iobk.png","View Picture")</f>
        <v>View Picture</v>
      </c>
    </row>
    <row r="4965">
      <c r="A4965" s="55"/>
      <c r="B4965" s="119" t="s">
        <v>36846</v>
      </c>
      <c r="C4965" s="120" t="s">
        <v>4228</v>
      </c>
      <c r="D4965" s="33" t="s">
        <v>36821</v>
      </c>
      <c r="E4965" s="51" t="s">
        <v>1012</v>
      </c>
      <c r="F4965" s="121" t="s">
        <v>3009</v>
      </c>
      <c r="G4965" s="98" t="str">
        <f>HYPERLINK("http://mirror.ff7data.com.ar/ff7/data/battle/battle.lgp/iobl.png","View Picture")</f>
        <v>View Picture</v>
      </c>
    </row>
    <row r="4966">
      <c r="A4966" s="55"/>
      <c r="B4966" s="119" t="s">
        <v>36847</v>
      </c>
      <c r="C4966" s="120" t="s">
        <v>7148</v>
      </c>
      <c r="D4966" s="33" t="s">
        <v>36821</v>
      </c>
      <c r="E4966" s="51" t="s">
        <v>1012</v>
      </c>
      <c r="F4966" s="121" t="s">
        <v>3009</v>
      </c>
      <c r="G4966" s="98" t="str">
        <f>HYPERLINK("http://mirror.ff7data.com.ar/ff7/data/battle/battle.lgp/iobm.png","View Picture")</f>
        <v>View Picture</v>
      </c>
    </row>
    <row r="4967">
      <c r="A4967" s="55"/>
      <c r="B4967" s="119" t="s">
        <v>36848</v>
      </c>
      <c r="C4967" s="120" t="s">
        <v>7148</v>
      </c>
      <c r="D4967" s="33" t="s">
        <v>36821</v>
      </c>
      <c r="E4967" s="51" t="s">
        <v>1012</v>
      </c>
      <c r="F4967" s="121" t="s">
        <v>3009</v>
      </c>
      <c r="G4967" s="98" t="str">
        <f>HYPERLINK("http://mirror.ff7data.com.ar/ff7/data/battle/battle.lgp/iobn.png","View Picture")</f>
        <v>View Picture</v>
      </c>
    </row>
    <row r="4968">
      <c r="A4968" s="55"/>
      <c r="B4968" s="119" t="s">
        <v>36849</v>
      </c>
      <c r="C4968" s="120" t="s">
        <v>7148</v>
      </c>
      <c r="D4968" s="33" t="s">
        <v>36821</v>
      </c>
      <c r="E4968" s="51" t="s">
        <v>1012</v>
      </c>
      <c r="F4968" s="121" t="s">
        <v>3009</v>
      </c>
      <c r="G4968" s="98" t="str">
        <f>HYPERLINK("http://mirror.ff7data.com.ar/ff7/data/battle/battle.lgp/iobo.png","View Picture")</f>
        <v>View Picture</v>
      </c>
    </row>
    <row r="4969">
      <c r="A4969" s="55"/>
      <c r="B4969" s="119" t="s">
        <v>36850</v>
      </c>
      <c r="C4969" s="120" t="s">
        <v>7148</v>
      </c>
      <c r="D4969" s="33" t="s">
        <v>36821</v>
      </c>
      <c r="E4969" s="51" t="s">
        <v>1012</v>
      </c>
      <c r="F4969" s="121" t="s">
        <v>3009</v>
      </c>
      <c r="G4969" s="98" t="str">
        <f>HYPERLINK("http://mirror.ff7data.com.ar/ff7/data/battle/battle.lgp/iobp.png","View Picture")</f>
        <v>View Picture</v>
      </c>
    </row>
    <row r="4970">
      <c r="A4970" s="55"/>
      <c r="B4970" s="119" t="s">
        <v>36851</v>
      </c>
      <c r="C4970" s="120" t="s">
        <v>4883</v>
      </c>
      <c r="D4970" s="33" t="s">
        <v>36821</v>
      </c>
      <c r="E4970" s="51" t="s">
        <v>1012</v>
      </c>
      <c r="F4970" s="121" t="s">
        <v>3009</v>
      </c>
      <c r="G4970" s="98" t="str">
        <f>HYPERLINK("http://mirror.ff7data.com.ar/ff7/data/battle/battle.lgp/iobq.png","View Picture")</f>
        <v>View Picture</v>
      </c>
    </row>
    <row r="4971">
      <c r="A4971" s="55"/>
      <c r="B4971" s="119" t="s">
        <v>36852</v>
      </c>
      <c r="C4971" s="120" t="s">
        <v>3465</v>
      </c>
      <c r="D4971" s="33" t="s">
        <v>36821</v>
      </c>
      <c r="E4971" s="51" t="s">
        <v>1012</v>
      </c>
      <c r="F4971" s="121" t="s">
        <v>3025</v>
      </c>
      <c r="H4971" s="46" t="s">
        <v>3002</v>
      </c>
    </row>
    <row r="4972">
      <c r="A4972" s="55"/>
      <c r="B4972" s="119" t="s">
        <v>36853</v>
      </c>
      <c r="C4972" s="120" t="s">
        <v>4468</v>
      </c>
      <c r="D4972" s="33" t="s">
        <v>36854</v>
      </c>
      <c r="E4972" s="51" t="s">
        <v>1034</v>
      </c>
      <c r="F4972" s="121" t="s">
        <v>2971</v>
      </c>
      <c r="G4972" s="98" t="str">
        <f>HYPERLINK("http://mirror.ff7data.com.ar/ff7/data/battle/battle.lgp/ipaa.png","View Picture")</f>
        <v>View Picture</v>
      </c>
    </row>
    <row r="4973">
      <c r="A4973" s="55"/>
      <c r="B4973" s="119" t="s">
        <v>36855</v>
      </c>
      <c r="C4973" s="120" t="s">
        <v>4209</v>
      </c>
      <c r="D4973" s="33" t="s">
        <v>36856</v>
      </c>
      <c r="E4973" s="51" t="s">
        <v>1034</v>
      </c>
      <c r="F4973" s="121" t="s">
        <v>2993</v>
      </c>
      <c r="H4973" s="46" t="s">
        <v>3002</v>
      </c>
    </row>
    <row r="4974">
      <c r="A4974" s="55"/>
      <c r="B4974" s="119" t="s">
        <v>36857</v>
      </c>
      <c r="C4974" s="120" t="s">
        <v>3494</v>
      </c>
      <c r="D4974" s="33" t="s">
        <v>36856</v>
      </c>
      <c r="E4974" s="51" t="s">
        <v>1034</v>
      </c>
      <c r="F4974" s="121" t="s">
        <v>3009</v>
      </c>
      <c r="G4974" s="98" t="str">
        <f>HYPERLINK("http://mirror.ff7data.com.ar/ff7/data/battle/battle.lgp/ipam.png","View Picture")</f>
        <v>View Picture</v>
      </c>
    </row>
    <row r="4975">
      <c r="A4975" s="55"/>
      <c r="B4975" s="119" t="s">
        <v>36858</v>
      </c>
      <c r="C4975" s="120" t="s">
        <v>4191</v>
      </c>
      <c r="D4975" s="33" t="s">
        <v>36856</v>
      </c>
      <c r="E4975" s="51" t="s">
        <v>1034</v>
      </c>
      <c r="F4975" s="121" t="s">
        <v>3009</v>
      </c>
      <c r="G4975" s="98" t="str">
        <f>HYPERLINK("http://mirror.ff7data.com.ar/ff7/data/battle/battle.lgp/ipan.png","View Picture")</f>
        <v>View Picture</v>
      </c>
    </row>
    <row r="4976">
      <c r="A4976" s="55"/>
      <c r="B4976" s="119" t="s">
        <v>36859</v>
      </c>
      <c r="C4976" s="120" t="s">
        <v>7301</v>
      </c>
      <c r="D4976" s="33" t="s">
        <v>36856</v>
      </c>
      <c r="E4976" s="51" t="s">
        <v>1034</v>
      </c>
      <c r="F4976" s="121" t="s">
        <v>3009</v>
      </c>
      <c r="G4976" s="98" t="str">
        <f>HYPERLINK("http://mirror.ff7data.com.ar/ff7/data/battle/battle.lgp/ipap.png","View Picture")</f>
        <v>View Picture</v>
      </c>
    </row>
    <row r="4977">
      <c r="A4977" s="55"/>
      <c r="B4977" s="119" t="s">
        <v>36860</v>
      </c>
      <c r="C4977" s="120" t="s">
        <v>33181</v>
      </c>
      <c r="D4977" s="33" t="s">
        <v>36856</v>
      </c>
      <c r="E4977" s="51" t="s">
        <v>1034</v>
      </c>
      <c r="F4977" s="121" t="s">
        <v>3009</v>
      </c>
      <c r="G4977" s="98" t="str">
        <f>HYPERLINK("http://mirror.ff7data.com.ar/ff7/data/battle/battle.lgp/ipaq.png","View Picture")</f>
        <v>View Picture</v>
      </c>
    </row>
    <row r="4978">
      <c r="A4978" s="55"/>
      <c r="B4978" s="119" t="s">
        <v>36861</v>
      </c>
      <c r="C4978" s="120" t="s">
        <v>4288</v>
      </c>
      <c r="D4978" s="33" t="s">
        <v>36856</v>
      </c>
      <c r="E4978" s="51" t="s">
        <v>1034</v>
      </c>
      <c r="F4978" s="121" t="s">
        <v>3009</v>
      </c>
      <c r="G4978" s="98" t="str">
        <f>HYPERLINK("http://mirror.ff7data.com.ar/ff7/data/battle/battle.lgp/ipas.png","View Picture")</f>
        <v>View Picture</v>
      </c>
    </row>
    <row r="4979">
      <c r="A4979" s="55"/>
      <c r="B4979" s="119" t="s">
        <v>36862</v>
      </c>
      <c r="C4979" s="120" t="s">
        <v>4288</v>
      </c>
      <c r="D4979" s="33" t="s">
        <v>36856</v>
      </c>
      <c r="E4979" s="51" t="s">
        <v>1034</v>
      </c>
      <c r="F4979" s="121" t="s">
        <v>3009</v>
      </c>
      <c r="G4979" s="98" t="str">
        <f>HYPERLINK("http://mirror.ff7data.com.ar/ff7/data/battle/battle.lgp/ipat.png","View Picture")</f>
        <v>View Picture</v>
      </c>
    </row>
    <row r="4980">
      <c r="A4980" s="55"/>
      <c r="B4980" s="119" t="s">
        <v>36863</v>
      </c>
      <c r="C4980" s="120" t="s">
        <v>4288</v>
      </c>
      <c r="D4980" s="33" t="s">
        <v>36856</v>
      </c>
      <c r="E4980" s="51" t="s">
        <v>1034</v>
      </c>
      <c r="F4980" s="121" t="s">
        <v>3009</v>
      </c>
      <c r="G4980" s="98" t="str">
        <f>HYPERLINK("http://mirror.ff7data.com.ar/ff7/data/battle/battle.lgp/ipau.png","View Picture")</f>
        <v>View Picture</v>
      </c>
    </row>
    <row r="4981">
      <c r="A4981" s="55"/>
      <c r="B4981" s="119" t="s">
        <v>36864</v>
      </c>
      <c r="C4981" s="120" t="s">
        <v>4696</v>
      </c>
      <c r="D4981" s="33" t="s">
        <v>36856</v>
      </c>
      <c r="E4981" s="51" t="s">
        <v>1034</v>
      </c>
      <c r="F4981" s="121" t="s">
        <v>3009</v>
      </c>
      <c r="G4981" s="98" t="str">
        <f>HYPERLINK("http://mirror.ff7data.com.ar/ff7/data/battle/battle.lgp/ipav.png","View Picture")</f>
        <v>View Picture</v>
      </c>
    </row>
    <row r="4982">
      <c r="A4982" s="55"/>
      <c r="B4982" s="119" t="s">
        <v>36865</v>
      </c>
      <c r="C4982" s="120" t="s">
        <v>5859</v>
      </c>
      <c r="D4982" s="33" t="s">
        <v>36856</v>
      </c>
      <c r="E4982" s="51" t="s">
        <v>1034</v>
      </c>
      <c r="F4982" s="121" t="s">
        <v>3009</v>
      </c>
      <c r="G4982" s="98" t="str">
        <f>HYPERLINK("http://mirror.ff7data.com.ar/ff7/data/battle/battle.lgp/ipay.png","View Picture")</f>
        <v>View Picture</v>
      </c>
    </row>
    <row r="4983">
      <c r="A4983" s="55"/>
      <c r="B4983" s="119" t="s">
        <v>36866</v>
      </c>
      <c r="C4983" s="120" t="s">
        <v>3671</v>
      </c>
      <c r="D4983" s="33" t="s">
        <v>36856</v>
      </c>
      <c r="E4983" s="51" t="s">
        <v>1034</v>
      </c>
      <c r="F4983" s="121" t="s">
        <v>3009</v>
      </c>
      <c r="G4983" s="98" t="str">
        <f>HYPERLINK("http://mirror.ff7data.com.ar/ff7/data/battle/battle.lgp/ipaz.png","View Picture")</f>
        <v>View Picture</v>
      </c>
    </row>
    <row r="4984">
      <c r="A4984" s="55"/>
      <c r="B4984" s="119" t="s">
        <v>36867</v>
      </c>
      <c r="C4984" s="120" t="s">
        <v>3355</v>
      </c>
      <c r="D4984" s="33" t="s">
        <v>36856</v>
      </c>
      <c r="E4984" s="51" t="s">
        <v>1034</v>
      </c>
      <c r="F4984" s="121" t="s">
        <v>3009</v>
      </c>
      <c r="G4984" s="98" t="str">
        <f>HYPERLINK("http://mirror.ff7data.com.ar/ff7/data/battle/battle.lgp/ipba.png","View Picture")</f>
        <v>View Picture</v>
      </c>
    </row>
    <row r="4985">
      <c r="A4985" s="55"/>
      <c r="B4985" s="119" t="s">
        <v>36868</v>
      </c>
      <c r="C4985" s="120" t="s">
        <v>3494</v>
      </c>
      <c r="D4985" s="33" t="s">
        <v>36856</v>
      </c>
      <c r="E4985" s="51" t="s">
        <v>1034</v>
      </c>
      <c r="F4985" s="121" t="s">
        <v>3009</v>
      </c>
      <c r="G4985" s="98" t="str">
        <f>HYPERLINK("http://mirror.ff7data.com.ar/ff7/data/battle/battle.lgp/ipbb.png","View Picture")</f>
        <v>View Picture</v>
      </c>
    </row>
    <row r="4986">
      <c r="A4986" s="55"/>
      <c r="B4986" s="119" t="s">
        <v>36869</v>
      </c>
      <c r="C4986" s="120" t="s">
        <v>4719</v>
      </c>
      <c r="D4986" s="33" t="s">
        <v>36856</v>
      </c>
      <c r="E4986" s="51" t="s">
        <v>1034</v>
      </c>
      <c r="F4986" s="121" t="s">
        <v>3009</v>
      </c>
      <c r="G4986" s="98" t="str">
        <f>HYPERLINK("http://mirror.ff7data.com.ar/ff7/data/battle/battle.lgp/ipbd.png","View Picture")</f>
        <v>View Picture</v>
      </c>
    </row>
    <row r="4987">
      <c r="A4987" s="55"/>
      <c r="B4987" s="119" t="s">
        <v>36870</v>
      </c>
      <c r="C4987" s="120" t="s">
        <v>5573</v>
      </c>
      <c r="D4987" s="33" t="s">
        <v>36856</v>
      </c>
      <c r="E4987" s="51" t="s">
        <v>1034</v>
      </c>
      <c r="F4987" s="121" t="s">
        <v>3009</v>
      </c>
      <c r="G4987" s="98" t="str">
        <f>HYPERLINK("http://mirror.ff7data.com.ar/ff7/data/battle/battle.lgp/ipbg.png","View Picture")</f>
        <v>View Picture</v>
      </c>
    </row>
    <row r="4988">
      <c r="A4988" s="55"/>
      <c r="B4988" s="119" t="s">
        <v>36871</v>
      </c>
      <c r="C4988" s="120" t="s">
        <v>3671</v>
      </c>
      <c r="D4988" s="33" t="s">
        <v>36856</v>
      </c>
      <c r="E4988" s="51" t="s">
        <v>1034</v>
      </c>
      <c r="F4988" s="121" t="s">
        <v>3009</v>
      </c>
      <c r="G4988" s="98" t="str">
        <f>HYPERLINK("http://mirror.ff7data.com.ar/ff7/data/battle/battle.lgp/ipbh.png","View Picture")</f>
        <v>View Picture</v>
      </c>
    </row>
    <row r="4989">
      <c r="A4989" s="55"/>
      <c r="B4989" s="119" t="s">
        <v>36872</v>
      </c>
      <c r="C4989" s="120" t="s">
        <v>7301</v>
      </c>
      <c r="D4989" s="33" t="s">
        <v>36856</v>
      </c>
      <c r="E4989" s="51" t="s">
        <v>1034</v>
      </c>
      <c r="F4989" s="121" t="s">
        <v>3009</v>
      </c>
      <c r="G4989" s="98" t="str">
        <f>HYPERLINK("http://mirror.ff7data.com.ar/ff7/data/battle/battle.lgp/ipbi.png","View Picture")</f>
        <v>View Picture</v>
      </c>
    </row>
    <row r="4990">
      <c r="A4990" s="55"/>
      <c r="B4990" s="119" t="s">
        <v>36873</v>
      </c>
      <c r="C4990" s="120" t="s">
        <v>3465</v>
      </c>
      <c r="D4990" s="33" t="s">
        <v>36856</v>
      </c>
      <c r="E4990" s="51" t="s">
        <v>1034</v>
      </c>
      <c r="F4990" s="121" t="s">
        <v>3009</v>
      </c>
      <c r="G4990" s="98" t="str">
        <f>HYPERLINK("http://mirror.ff7data.com.ar/ff7/data/battle/battle.lgp/ipbj.png","View Picture")</f>
        <v>View Picture</v>
      </c>
    </row>
    <row r="4991">
      <c r="A4991" s="55"/>
      <c r="B4991" s="119" t="s">
        <v>36874</v>
      </c>
      <c r="C4991" s="120" t="s">
        <v>4719</v>
      </c>
      <c r="D4991" s="33" t="s">
        <v>36856</v>
      </c>
      <c r="E4991" s="51" t="s">
        <v>1034</v>
      </c>
      <c r="F4991" s="121" t="s">
        <v>3009</v>
      </c>
      <c r="G4991" s="98" t="str">
        <f>HYPERLINK("http://mirror.ff7data.com.ar/ff7/data/battle/battle.lgp/ipbl.png","View Picture")</f>
        <v>View Picture</v>
      </c>
    </row>
    <row r="4992">
      <c r="A4992" s="55"/>
      <c r="B4992" s="119" t="s">
        <v>36875</v>
      </c>
      <c r="C4992" s="120" t="s">
        <v>8649</v>
      </c>
      <c r="D4992" s="33" t="s">
        <v>36856</v>
      </c>
      <c r="E4992" s="51" t="s">
        <v>1034</v>
      </c>
      <c r="F4992" s="121" t="s">
        <v>3009</v>
      </c>
      <c r="G4992" s="98" t="str">
        <f>HYPERLINK("http://mirror.ff7data.com.ar/ff7/data/battle/battle.lgp/ipbn.png","View Picture")</f>
        <v>View Picture</v>
      </c>
    </row>
    <row r="4993">
      <c r="A4993" s="55"/>
      <c r="B4993" s="119" t="s">
        <v>36876</v>
      </c>
      <c r="C4993" s="120" t="s">
        <v>3412</v>
      </c>
      <c r="D4993" s="33" t="s">
        <v>36856</v>
      </c>
      <c r="E4993" s="51" t="s">
        <v>1034</v>
      </c>
      <c r="F4993" s="121" t="s">
        <v>3009</v>
      </c>
      <c r="G4993" s="98" t="str">
        <f>HYPERLINK("http://mirror.ff7data.com.ar/ff7/data/battle/battle.lgp/ipbo.png","View Picture")</f>
        <v>View Picture</v>
      </c>
    </row>
    <row r="4994">
      <c r="A4994" s="55"/>
      <c r="B4994" s="119" t="s">
        <v>36877</v>
      </c>
      <c r="C4994" s="120" t="s">
        <v>5891</v>
      </c>
      <c r="D4994" s="33" t="s">
        <v>36856</v>
      </c>
      <c r="E4994" s="51" t="s">
        <v>1034</v>
      </c>
      <c r="F4994" s="121" t="s">
        <v>3009</v>
      </c>
      <c r="G4994" s="98" t="str">
        <f>HYPERLINK("http://mirror.ff7data.com.ar/ff7/data/battle/battle.lgp/ipbp.png","View Picture")</f>
        <v>View Picture</v>
      </c>
    </row>
    <row r="4995">
      <c r="A4995" s="55"/>
      <c r="B4995" s="119" t="s">
        <v>36878</v>
      </c>
      <c r="C4995" s="120" t="s">
        <v>5891</v>
      </c>
      <c r="D4995" s="33" t="s">
        <v>36856</v>
      </c>
      <c r="E4995" s="51" t="s">
        <v>1034</v>
      </c>
      <c r="F4995" s="121" t="s">
        <v>3009</v>
      </c>
      <c r="G4995" s="98" t="str">
        <f>HYPERLINK("http://mirror.ff7data.com.ar/ff7/data/battle/battle.lgp/ipbq.png","View Picture")</f>
        <v>View Picture</v>
      </c>
    </row>
    <row r="4996">
      <c r="A4996" s="55"/>
      <c r="B4996" s="119" t="s">
        <v>36879</v>
      </c>
      <c r="C4996" s="120" t="s">
        <v>13957</v>
      </c>
      <c r="D4996" s="33" t="s">
        <v>36856</v>
      </c>
      <c r="E4996" s="51" t="s">
        <v>1034</v>
      </c>
      <c r="F4996" s="121" t="s">
        <v>3009</v>
      </c>
      <c r="G4996" s="98" t="str">
        <f>HYPERLINK("http://mirror.ff7data.com.ar/ff7/data/battle/battle.lgp/ipbs.png","View Picture")</f>
        <v>View Picture</v>
      </c>
    </row>
    <row r="4997">
      <c r="A4997" s="55"/>
      <c r="B4997" s="119" t="s">
        <v>36880</v>
      </c>
      <c r="C4997" s="120" t="s">
        <v>3412</v>
      </c>
      <c r="D4997" s="33" t="s">
        <v>36856</v>
      </c>
      <c r="E4997" s="51" t="s">
        <v>1034</v>
      </c>
      <c r="F4997" s="121" t="s">
        <v>3009</v>
      </c>
      <c r="G4997" s="98" t="str">
        <f>HYPERLINK("http://mirror.ff7data.com.ar/ff7/data/battle/battle.lgp/ipbt.png","View Picture")</f>
        <v>View Picture</v>
      </c>
    </row>
    <row r="4998">
      <c r="A4998" s="55"/>
      <c r="B4998" s="119" t="s">
        <v>36881</v>
      </c>
      <c r="C4998" s="120" t="s">
        <v>5891</v>
      </c>
      <c r="D4998" s="33" t="s">
        <v>36856</v>
      </c>
      <c r="E4998" s="51" t="s">
        <v>1034</v>
      </c>
      <c r="F4998" s="121" t="s">
        <v>3009</v>
      </c>
      <c r="G4998" s="98" t="str">
        <f>HYPERLINK("http://mirror.ff7data.com.ar/ff7/data/battle/battle.lgp/ipbu.png","View Picture")</f>
        <v>View Picture</v>
      </c>
    </row>
    <row r="4999">
      <c r="A4999" s="55"/>
      <c r="B4999" s="119" t="s">
        <v>36882</v>
      </c>
      <c r="C4999" s="120" t="s">
        <v>3749</v>
      </c>
      <c r="D4999" s="33" t="s">
        <v>36856</v>
      </c>
      <c r="E4999" s="51" t="s">
        <v>1034</v>
      </c>
      <c r="F4999" s="121" t="s">
        <v>3009</v>
      </c>
      <c r="G4999" s="98" t="str">
        <f>HYPERLINK("http://mirror.ff7data.com.ar/ff7/data/battle/battle.lgp/ipbv.png","View Picture")</f>
        <v>View Picture</v>
      </c>
    </row>
    <row r="5000">
      <c r="A5000" s="55"/>
      <c r="B5000" s="119" t="s">
        <v>36883</v>
      </c>
      <c r="C5000" s="120" t="s">
        <v>6010</v>
      </c>
      <c r="D5000" s="33" t="s">
        <v>36856</v>
      </c>
      <c r="E5000" s="51" t="s">
        <v>1034</v>
      </c>
      <c r="F5000" s="121" t="s">
        <v>3025</v>
      </c>
      <c r="H5000" s="46" t="s">
        <v>3002</v>
      </c>
    </row>
    <row r="5001">
      <c r="A5001" s="55"/>
      <c r="B5001" s="119" t="s">
        <v>36884</v>
      </c>
      <c r="C5001" s="120" t="s">
        <v>8241</v>
      </c>
      <c r="D5001" s="33" t="s">
        <v>36885</v>
      </c>
      <c r="E5001" s="51" t="s">
        <v>1039</v>
      </c>
      <c r="F5001" s="121" t="s">
        <v>2971</v>
      </c>
      <c r="G5001" s="98" t="str">
        <f>HYPERLINK("http://mirror.ff7data.com.ar/ff7/data/battle/battle.lgp/iqaa.png","View Picture")</f>
        <v>View Picture</v>
      </c>
    </row>
    <row r="5002">
      <c r="A5002" s="55"/>
      <c r="B5002" s="119" t="s">
        <v>36886</v>
      </c>
      <c r="C5002" s="120" t="s">
        <v>5724</v>
      </c>
      <c r="D5002" s="33" t="s">
        <v>36887</v>
      </c>
      <c r="E5002" s="51" t="s">
        <v>1039</v>
      </c>
      <c r="F5002" s="121" t="s">
        <v>2993</v>
      </c>
      <c r="H5002" s="46" t="s">
        <v>3002</v>
      </c>
    </row>
    <row r="5003">
      <c r="A5003" s="55"/>
      <c r="B5003" s="119" t="s">
        <v>36888</v>
      </c>
      <c r="C5003" s="120" t="s">
        <v>9600</v>
      </c>
      <c r="D5003" s="33" t="s">
        <v>36887</v>
      </c>
      <c r="E5003" s="51" t="s">
        <v>1039</v>
      </c>
      <c r="F5003" s="121" t="s">
        <v>3009</v>
      </c>
      <c r="G5003" s="98" t="str">
        <f>HYPERLINK("http://mirror.ff7data.com.ar/ff7/data/battle/battle.lgp/iqam.png","View Picture")</f>
        <v>View Picture</v>
      </c>
    </row>
    <row r="5004">
      <c r="A5004" s="55"/>
      <c r="B5004" s="119" t="s">
        <v>36889</v>
      </c>
      <c r="C5004" s="120" t="s">
        <v>8550</v>
      </c>
      <c r="D5004" s="33" t="s">
        <v>36887</v>
      </c>
      <c r="E5004" s="51" t="s">
        <v>1039</v>
      </c>
      <c r="F5004" s="121" t="s">
        <v>3009</v>
      </c>
      <c r="G5004" s="98" t="str">
        <f>HYPERLINK("http://mirror.ff7data.com.ar/ff7/data/battle/battle.lgp/iqan.png","View Picture")</f>
        <v>View Picture</v>
      </c>
    </row>
    <row r="5005">
      <c r="A5005" s="55"/>
      <c r="B5005" s="119" t="s">
        <v>36890</v>
      </c>
      <c r="C5005" s="120" t="s">
        <v>4732</v>
      </c>
      <c r="D5005" s="33" t="s">
        <v>36887</v>
      </c>
      <c r="E5005" s="51" t="s">
        <v>1039</v>
      </c>
      <c r="F5005" s="121" t="s">
        <v>3009</v>
      </c>
      <c r="G5005" s="98" t="str">
        <f>HYPERLINK("http://mirror.ff7data.com.ar/ff7/data/battle/battle.lgp/iqau.png","View Picture")</f>
        <v>View Picture</v>
      </c>
    </row>
    <row r="5006">
      <c r="A5006" s="55"/>
      <c r="B5006" s="119" t="s">
        <v>36891</v>
      </c>
      <c r="C5006" s="120" t="s">
        <v>4439</v>
      </c>
      <c r="D5006" s="33" t="s">
        <v>36887</v>
      </c>
      <c r="E5006" s="51" t="s">
        <v>1039</v>
      </c>
      <c r="F5006" s="121" t="s">
        <v>3009</v>
      </c>
      <c r="G5006" s="98" t="str">
        <f>HYPERLINK("http://mirror.ff7data.com.ar/ff7/data/battle/battle.lgp/iqay.png","View Picture")</f>
        <v>View Picture</v>
      </c>
    </row>
    <row r="5007">
      <c r="A5007" s="55"/>
      <c r="B5007" s="119" t="s">
        <v>36892</v>
      </c>
      <c r="C5007" s="120" t="s">
        <v>4476</v>
      </c>
      <c r="D5007" s="33" t="s">
        <v>36887</v>
      </c>
      <c r="E5007" s="51" t="s">
        <v>1039</v>
      </c>
      <c r="F5007" s="121" t="s">
        <v>3009</v>
      </c>
      <c r="G5007" s="98" t="str">
        <f>HYPERLINK("http://mirror.ff7data.com.ar/ff7/data/battle/battle.lgp/iqbc.png","View Picture")</f>
        <v>View Picture</v>
      </c>
    </row>
    <row r="5008">
      <c r="A5008" s="55"/>
      <c r="B5008" s="119" t="s">
        <v>36893</v>
      </c>
      <c r="C5008" s="120" t="s">
        <v>4476</v>
      </c>
      <c r="D5008" s="33" t="s">
        <v>36887</v>
      </c>
      <c r="E5008" s="51" t="s">
        <v>1039</v>
      </c>
      <c r="F5008" s="121" t="s">
        <v>3009</v>
      </c>
      <c r="G5008" s="98" t="str">
        <f>HYPERLINK("http://mirror.ff7data.com.ar/ff7/data/battle/battle.lgp/iqbg.png","View Picture")</f>
        <v>View Picture</v>
      </c>
    </row>
    <row r="5009">
      <c r="A5009" s="55"/>
      <c r="B5009" s="119" t="s">
        <v>36894</v>
      </c>
      <c r="C5009" s="120" t="s">
        <v>3614</v>
      </c>
      <c r="D5009" s="33" t="s">
        <v>36887</v>
      </c>
      <c r="E5009" s="51" t="s">
        <v>1039</v>
      </c>
      <c r="F5009" s="121" t="s">
        <v>3009</v>
      </c>
      <c r="G5009" s="98" t="str">
        <f>HYPERLINK("http://mirror.ff7data.com.ar/ff7/data/battle/battle.lgp/iqbi.png","View Picture")</f>
        <v>View Picture</v>
      </c>
    </row>
    <row r="5010">
      <c r="A5010" s="55"/>
      <c r="B5010" s="119" t="s">
        <v>36895</v>
      </c>
      <c r="C5010" s="120" t="s">
        <v>3614</v>
      </c>
      <c r="D5010" s="33" t="s">
        <v>36887</v>
      </c>
      <c r="E5010" s="51" t="s">
        <v>1039</v>
      </c>
      <c r="F5010" s="121" t="s">
        <v>3009</v>
      </c>
      <c r="G5010" s="98" t="str">
        <f>HYPERLINK("http://mirror.ff7data.com.ar/ff7/data/battle/battle.lgp/iqbk.png","View Picture")</f>
        <v>View Picture</v>
      </c>
    </row>
    <row r="5011">
      <c r="A5011" s="55"/>
      <c r="B5011" s="119" t="s">
        <v>36896</v>
      </c>
      <c r="C5011" s="120" t="s">
        <v>11962</v>
      </c>
      <c r="D5011" s="33" t="s">
        <v>36887</v>
      </c>
      <c r="E5011" s="51" t="s">
        <v>1039</v>
      </c>
      <c r="F5011" s="121" t="s">
        <v>3025</v>
      </c>
      <c r="H5011" s="46" t="s">
        <v>3002</v>
      </c>
    </row>
    <row r="5012">
      <c r="A5012" s="55"/>
      <c r="B5012" s="119" t="s">
        <v>36897</v>
      </c>
      <c r="C5012" s="120" t="s">
        <v>35790</v>
      </c>
      <c r="D5012" s="33" t="s">
        <v>36898</v>
      </c>
      <c r="E5012" s="51" t="s">
        <v>1044</v>
      </c>
      <c r="F5012" s="121" t="s">
        <v>2971</v>
      </c>
      <c r="G5012" s="98" t="str">
        <f>HYPERLINK("http://mirror.ff7data.com.ar/ff7/data/battle/battle.lgp/iraa.png","View Picture")</f>
        <v>View Picture</v>
      </c>
      <c r="H5012" s="46" t="s">
        <v>36899</v>
      </c>
    </row>
    <row r="5013">
      <c r="A5013" s="55"/>
      <c r="B5013" s="119" t="s">
        <v>36900</v>
      </c>
      <c r="C5013" s="120" t="s">
        <v>9790</v>
      </c>
      <c r="D5013" s="33" t="s">
        <v>36901</v>
      </c>
      <c r="E5013" s="51" t="s">
        <v>1044</v>
      </c>
      <c r="F5013" s="121" t="s">
        <v>2993</v>
      </c>
      <c r="H5013" s="46" t="s">
        <v>3002</v>
      </c>
    </row>
    <row r="5014">
      <c r="A5014" s="55"/>
      <c r="B5014" s="119" t="s">
        <v>36902</v>
      </c>
      <c r="C5014" s="120" t="s">
        <v>4841</v>
      </c>
      <c r="D5014" s="33" t="s">
        <v>36901</v>
      </c>
      <c r="E5014" s="51" t="s">
        <v>1044</v>
      </c>
      <c r="F5014" s="121" t="s">
        <v>3009</v>
      </c>
      <c r="G5014" s="98" t="str">
        <f>HYPERLINK("http://mirror.ff7data.com.ar/ff7/data/battle/battle.lgp/iram.png","View Picture")</f>
        <v>View Picture</v>
      </c>
    </row>
    <row r="5015">
      <c r="A5015" s="55"/>
      <c r="B5015" s="119" t="s">
        <v>36903</v>
      </c>
      <c r="C5015" s="120" t="s">
        <v>36904</v>
      </c>
      <c r="D5015" s="33" t="s">
        <v>36901</v>
      </c>
      <c r="E5015" s="51" t="s">
        <v>1044</v>
      </c>
      <c r="F5015" s="121" t="s">
        <v>3009</v>
      </c>
      <c r="G5015" s="98" t="str">
        <f>HYPERLINK("http://mirror.ff7data.com.ar/ff7/data/battle/battle.lgp/irao.png","View Picture")</f>
        <v>View Picture</v>
      </c>
    </row>
    <row r="5016">
      <c r="A5016" s="55"/>
      <c r="B5016" s="119" t="s">
        <v>36905</v>
      </c>
      <c r="C5016" s="120" t="s">
        <v>3914</v>
      </c>
      <c r="D5016" s="33" t="s">
        <v>36901</v>
      </c>
      <c r="E5016" s="51" t="s">
        <v>1044</v>
      </c>
      <c r="F5016" s="121" t="s">
        <v>3009</v>
      </c>
      <c r="G5016" s="98" t="str">
        <f>HYPERLINK("http://mirror.ff7data.com.ar/ff7/data/battle/battle.lgp/irap.png","View Picture")</f>
        <v>View Picture</v>
      </c>
    </row>
    <row r="5017">
      <c r="A5017" s="55"/>
      <c r="B5017" s="119" t="s">
        <v>36906</v>
      </c>
      <c r="C5017" s="120" t="s">
        <v>4264</v>
      </c>
      <c r="D5017" s="33" t="s">
        <v>36901</v>
      </c>
      <c r="E5017" s="51" t="s">
        <v>1044</v>
      </c>
      <c r="F5017" s="121" t="s">
        <v>3009</v>
      </c>
      <c r="G5017" s="98" t="str">
        <f>HYPERLINK("http://mirror.ff7data.com.ar/ff7/data/battle/battle.lgp/iraq.png","View Picture")</f>
        <v>View Picture</v>
      </c>
    </row>
    <row r="5018">
      <c r="A5018" s="55"/>
      <c r="B5018" s="119" t="s">
        <v>36907</v>
      </c>
      <c r="C5018" s="120" t="s">
        <v>3658</v>
      </c>
      <c r="D5018" s="33" t="s">
        <v>36901</v>
      </c>
      <c r="E5018" s="51" t="s">
        <v>1044</v>
      </c>
      <c r="F5018" s="121" t="s">
        <v>3009</v>
      </c>
      <c r="G5018" s="98" t="str">
        <f>HYPERLINK("http://mirror.ff7data.com.ar/ff7/data/battle/battle.lgp/iras.png","View Picture")</f>
        <v>View Picture</v>
      </c>
    </row>
    <row r="5019">
      <c r="A5019" s="55"/>
      <c r="B5019" s="119" t="s">
        <v>36908</v>
      </c>
      <c r="C5019" s="120" t="s">
        <v>4707</v>
      </c>
      <c r="D5019" s="33" t="s">
        <v>36901</v>
      </c>
      <c r="E5019" s="51" t="s">
        <v>1044</v>
      </c>
      <c r="F5019" s="121" t="s">
        <v>3009</v>
      </c>
      <c r="G5019" s="98" t="str">
        <f>HYPERLINK("http://mirror.ff7data.com.ar/ff7/data/battle/battle.lgp/irat.png","View Picture")</f>
        <v>View Picture</v>
      </c>
    </row>
    <row r="5020">
      <c r="A5020" s="55"/>
      <c r="B5020" s="119" t="s">
        <v>36909</v>
      </c>
      <c r="C5020" s="120" t="s">
        <v>6029</v>
      </c>
      <c r="D5020" s="33" t="s">
        <v>36901</v>
      </c>
      <c r="E5020" s="51" t="s">
        <v>1044</v>
      </c>
      <c r="F5020" s="121" t="s">
        <v>3009</v>
      </c>
      <c r="G5020" s="98" t="str">
        <f>HYPERLINK("http://mirror.ff7data.com.ar/ff7/data/battle/battle.lgp/irau.png","View Picture")</f>
        <v>View Picture</v>
      </c>
    </row>
    <row r="5021">
      <c r="A5021" s="55"/>
      <c r="B5021" s="119" t="s">
        <v>36910</v>
      </c>
      <c r="C5021" s="120" t="s">
        <v>4696</v>
      </c>
      <c r="D5021" s="33" t="s">
        <v>36901</v>
      </c>
      <c r="E5021" s="51" t="s">
        <v>1044</v>
      </c>
      <c r="F5021" s="121" t="s">
        <v>3009</v>
      </c>
      <c r="G5021" s="98" t="str">
        <f>HYPERLINK("http://mirror.ff7data.com.ar/ff7/data/battle/battle.lgp/iraw.png","View Picture")</f>
        <v>View Picture</v>
      </c>
    </row>
    <row r="5022">
      <c r="A5022" s="55"/>
      <c r="B5022" s="119" t="s">
        <v>36911</v>
      </c>
      <c r="C5022" s="120" t="s">
        <v>4732</v>
      </c>
      <c r="D5022" s="33" t="s">
        <v>36901</v>
      </c>
      <c r="E5022" s="51" t="s">
        <v>1044</v>
      </c>
      <c r="F5022" s="121" t="s">
        <v>3009</v>
      </c>
      <c r="G5022" s="98" t="str">
        <f>HYPERLINK("http://mirror.ff7data.com.ar/ff7/data/battle/battle.lgp/irax.png","View Picture")</f>
        <v>View Picture</v>
      </c>
    </row>
    <row r="5023">
      <c r="A5023" s="55"/>
      <c r="B5023" s="119" t="s">
        <v>36912</v>
      </c>
      <c r="C5023" s="120" t="s">
        <v>4696</v>
      </c>
      <c r="D5023" s="33" t="s">
        <v>36901</v>
      </c>
      <c r="E5023" s="51" t="s">
        <v>1044</v>
      </c>
      <c r="F5023" s="121" t="s">
        <v>3009</v>
      </c>
      <c r="G5023" s="98" t="str">
        <f>HYPERLINK("http://mirror.ff7data.com.ar/ff7/data/battle/battle.lgp/iraz.png","View Picture")</f>
        <v>View Picture</v>
      </c>
    </row>
    <row r="5024">
      <c r="A5024" s="55"/>
      <c r="B5024" s="119" t="s">
        <v>36913</v>
      </c>
      <c r="C5024" s="120" t="s">
        <v>4439</v>
      </c>
      <c r="D5024" s="33" t="s">
        <v>36901</v>
      </c>
      <c r="E5024" s="51" t="s">
        <v>1044</v>
      </c>
      <c r="F5024" s="121" t="s">
        <v>3009</v>
      </c>
      <c r="G5024" s="98" t="str">
        <f>HYPERLINK("http://mirror.ff7data.com.ar/ff7/data/battle/battle.lgp/irba.png","View Picture")</f>
        <v>View Picture</v>
      </c>
    </row>
    <row r="5025">
      <c r="A5025" s="55"/>
      <c r="B5025" s="119" t="s">
        <v>36914</v>
      </c>
      <c r="C5025" s="120" t="s">
        <v>4696</v>
      </c>
      <c r="D5025" s="33" t="s">
        <v>36901</v>
      </c>
      <c r="E5025" s="51" t="s">
        <v>1044</v>
      </c>
      <c r="F5025" s="121" t="s">
        <v>3009</v>
      </c>
      <c r="G5025" s="98" t="str">
        <f>HYPERLINK("http://mirror.ff7data.com.ar/ff7/data/battle/battle.lgp/irbc.png","View Picture")</f>
        <v>View Picture</v>
      </c>
    </row>
    <row r="5026">
      <c r="A5026" s="55"/>
      <c r="B5026" s="119" t="s">
        <v>36915</v>
      </c>
      <c r="C5026" s="120" t="s">
        <v>4732</v>
      </c>
      <c r="D5026" s="33" t="s">
        <v>36901</v>
      </c>
      <c r="E5026" s="51" t="s">
        <v>1044</v>
      </c>
      <c r="F5026" s="121" t="s">
        <v>3009</v>
      </c>
      <c r="G5026" s="98" t="str">
        <f>HYPERLINK("http://mirror.ff7data.com.ar/ff7/data/battle/battle.lgp/irbd.png","View Picture")</f>
        <v>View Picture</v>
      </c>
    </row>
    <row r="5027">
      <c r="A5027" s="55"/>
      <c r="B5027" s="119" t="s">
        <v>36916</v>
      </c>
      <c r="C5027" s="120" t="s">
        <v>7148</v>
      </c>
      <c r="D5027" s="33" t="s">
        <v>36901</v>
      </c>
      <c r="E5027" s="51" t="s">
        <v>1044</v>
      </c>
      <c r="F5027" s="121" t="s">
        <v>3009</v>
      </c>
      <c r="G5027" s="98" t="str">
        <f>HYPERLINK("http://mirror.ff7data.com.ar/ff7/data/battle/battle.lgp/irbf.png","View Picture")</f>
        <v>View Picture</v>
      </c>
    </row>
    <row r="5028">
      <c r="A5028" s="55"/>
      <c r="B5028" s="119" t="s">
        <v>36917</v>
      </c>
      <c r="C5028" s="120" t="s">
        <v>4288</v>
      </c>
      <c r="D5028" s="33" t="s">
        <v>36901</v>
      </c>
      <c r="E5028" s="51" t="s">
        <v>1044</v>
      </c>
      <c r="F5028" s="121" t="s">
        <v>3009</v>
      </c>
      <c r="G5028" s="98" t="str">
        <f>HYPERLINK("http://mirror.ff7data.com.ar/ff7/data/battle/battle.lgp/irbg.png","View Picture")</f>
        <v>View Picture</v>
      </c>
    </row>
    <row r="5029">
      <c r="A5029" s="55"/>
      <c r="B5029" s="119" t="s">
        <v>36918</v>
      </c>
      <c r="C5029" s="120" t="s">
        <v>4396</v>
      </c>
      <c r="D5029" s="33" t="s">
        <v>36901</v>
      </c>
      <c r="E5029" s="51" t="s">
        <v>1044</v>
      </c>
      <c r="F5029" s="121" t="s">
        <v>3009</v>
      </c>
      <c r="G5029" s="98" t="str">
        <f>HYPERLINK("http://mirror.ff7data.com.ar/ff7/data/battle/battle.lgp/irbh.png","View Picture")</f>
        <v>View Picture</v>
      </c>
    </row>
    <row r="5030">
      <c r="A5030" s="55"/>
      <c r="B5030" s="119" t="s">
        <v>36919</v>
      </c>
      <c r="C5030" s="120" t="s">
        <v>3658</v>
      </c>
      <c r="D5030" s="33" t="s">
        <v>36901</v>
      </c>
      <c r="E5030" s="51" t="s">
        <v>1044</v>
      </c>
      <c r="F5030" s="121" t="s">
        <v>3009</v>
      </c>
      <c r="G5030" s="98" t="str">
        <f>HYPERLINK("http://mirror.ff7data.com.ar/ff7/data/battle/battle.lgp/irbj.png","View Picture")</f>
        <v>View Picture</v>
      </c>
    </row>
    <row r="5031">
      <c r="A5031" s="55"/>
      <c r="B5031" s="119" t="s">
        <v>36920</v>
      </c>
      <c r="C5031" s="120" t="s">
        <v>3658</v>
      </c>
      <c r="D5031" s="33" t="s">
        <v>36901</v>
      </c>
      <c r="E5031" s="51" t="s">
        <v>1044</v>
      </c>
      <c r="F5031" s="121" t="s">
        <v>3009</v>
      </c>
      <c r="G5031" s="98" t="str">
        <f>HYPERLINK("http://mirror.ff7data.com.ar/ff7/data/battle/battle.lgp/irbl.png","View Picture")</f>
        <v>View Picture</v>
      </c>
    </row>
    <row r="5032">
      <c r="A5032" s="55"/>
      <c r="B5032" s="119" t="s">
        <v>36921</v>
      </c>
      <c r="C5032" s="120" t="s">
        <v>4707</v>
      </c>
      <c r="D5032" s="33" t="s">
        <v>36901</v>
      </c>
      <c r="E5032" s="51" t="s">
        <v>1044</v>
      </c>
      <c r="F5032" s="121" t="s">
        <v>3009</v>
      </c>
      <c r="G5032" s="98" t="str">
        <f>HYPERLINK("http://mirror.ff7data.com.ar/ff7/data/battle/battle.lgp/irbm.png","View Picture")</f>
        <v>View Picture</v>
      </c>
    </row>
    <row r="5033">
      <c r="A5033" s="55"/>
      <c r="B5033" s="119" t="s">
        <v>36922</v>
      </c>
      <c r="C5033" s="120" t="s">
        <v>6029</v>
      </c>
      <c r="D5033" s="33" t="s">
        <v>36901</v>
      </c>
      <c r="E5033" s="51" t="s">
        <v>1044</v>
      </c>
      <c r="F5033" s="121" t="s">
        <v>3009</v>
      </c>
      <c r="G5033" s="98" t="str">
        <f>HYPERLINK("http://mirror.ff7data.com.ar/ff7/data/battle/battle.lgp/irbn.png","View Picture")</f>
        <v>View Picture</v>
      </c>
    </row>
    <row r="5034">
      <c r="A5034" s="55"/>
      <c r="B5034" s="119" t="s">
        <v>36923</v>
      </c>
      <c r="C5034" s="120" t="s">
        <v>4696</v>
      </c>
      <c r="D5034" s="33" t="s">
        <v>36901</v>
      </c>
      <c r="E5034" s="51" t="s">
        <v>1044</v>
      </c>
      <c r="F5034" s="121" t="s">
        <v>3009</v>
      </c>
      <c r="G5034" s="98" t="str">
        <f>HYPERLINK("http://mirror.ff7data.com.ar/ff7/data/battle/battle.lgp/irbp.png","View Picture")</f>
        <v>View Picture</v>
      </c>
    </row>
    <row r="5035">
      <c r="A5035" s="55"/>
      <c r="B5035" s="119" t="s">
        <v>36924</v>
      </c>
      <c r="C5035" s="120" t="s">
        <v>4439</v>
      </c>
      <c r="D5035" s="33" t="s">
        <v>36901</v>
      </c>
      <c r="E5035" s="51" t="s">
        <v>1044</v>
      </c>
      <c r="F5035" s="121" t="s">
        <v>3009</v>
      </c>
      <c r="G5035" s="98" t="str">
        <f>HYPERLINK("http://mirror.ff7data.com.ar/ff7/data/battle/battle.lgp/irbq.png","View Picture")</f>
        <v>View Picture</v>
      </c>
    </row>
    <row r="5036">
      <c r="A5036" s="55"/>
      <c r="B5036" s="119" t="s">
        <v>36925</v>
      </c>
      <c r="C5036" s="120" t="s">
        <v>7322</v>
      </c>
      <c r="D5036" s="33" t="s">
        <v>36901</v>
      </c>
      <c r="E5036" s="51" t="s">
        <v>1044</v>
      </c>
      <c r="F5036" s="121" t="s">
        <v>3009</v>
      </c>
      <c r="G5036" s="98" t="str">
        <f>HYPERLINK("http://mirror.ff7data.com.ar/ff7/data/battle/battle.lgp/irbs.png","View Picture")</f>
        <v>View Picture</v>
      </c>
    </row>
    <row r="5037">
      <c r="A5037" s="55"/>
      <c r="B5037" s="119" t="s">
        <v>36926</v>
      </c>
      <c r="C5037" s="120" t="s">
        <v>4732</v>
      </c>
      <c r="D5037" s="33" t="s">
        <v>36901</v>
      </c>
      <c r="E5037" s="51" t="s">
        <v>1044</v>
      </c>
      <c r="F5037" s="121" t="s">
        <v>3009</v>
      </c>
      <c r="G5037" s="98" t="str">
        <f>HYPERLINK("http://mirror.ff7data.com.ar/ff7/data/battle/battle.lgp/irbt.png","View Picture")</f>
        <v>View Picture</v>
      </c>
    </row>
    <row r="5038">
      <c r="A5038" s="55"/>
      <c r="B5038" s="119" t="s">
        <v>36927</v>
      </c>
      <c r="C5038" s="120" t="s">
        <v>4696</v>
      </c>
      <c r="D5038" s="33" t="s">
        <v>36901</v>
      </c>
      <c r="E5038" s="51" t="s">
        <v>1044</v>
      </c>
      <c r="F5038" s="121" t="s">
        <v>3009</v>
      </c>
      <c r="G5038" s="98" t="str">
        <f>HYPERLINK("http://mirror.ff7data.com.ar/ff7/data/battle/battle.lgp/irbv.png","View Picture")</f>
        <v>View Picture</v>
      </c>
    </row>
    <row r="5039">
      <c r="A5039" s="55"/>
      <c r="B5039" s="119" t="s">
        <v>36928</v>
      </c>
      <c r="C5039" s="120" t="s">
        <v>4732</v>
      </c>
      <c r="D5039" s="33" t="s">
        <v>36901</v>
      </c>
      <c r="E5039" s="51" t="s">
        <v>1044</v>
      </c>
      <c r="F5039" s="121" t="s">
        <v>3009</v>
      </c>
      <c r="G5039" s="98" t="str">
        <f>HYPERLINK("http://mirror.ff7data.com.ar/ff7/data/battle/battle.lgp/irbw.png","View Picture")</f>
        <v>View Picture</v>
      </c>
    </row>
    <row r="5040">
      <c r="A5040" s="55"/>
      <c r="B5040" s="119" t="s">
        <v>36929</v>
      </c>
      <c r="C5040" s="120" t="s">
        <v>7148</v>
      </c>
      <c r="D5040" s="33" t="s">
        <v>36901</v>
      </c>
      <c r="E5040" s="51" t="s">
        <v>1044</v>
      </c>
      <c r="F5040" s="121" t="s">
        <v>3009</v>
      </c>
      <c r="G5040" s="98" t="str">
        <f>HYPERLINK("http://mirror.ff7data.com.ar/ff7/data/battle/battle.lgp/irby.png","View Picture")</f>
        <v>View Picture</v>
      </c>
    </row>
    <row r="5041">
      <c r="A5041" s="55"/>
      <c r="B5041" s="119" t="s">
        <v>36930</v>
      </c>
      <c r="C5041" s="120" t="s">
        <v>4288</v>
      </c>
      <c r="D5041" s="33" t="s">
        <v>36901</v>
      </c>
      <c r="E5041" s="51" t="s">
        <v>1044</v>
      </c>
      <c r="F5041" s="121" t="s">
        <v>3009</v>
      </c>
      <c r="G5041" s="98" t="str">
        <f>HYPERLINK("http://mirror.ff7data.com.ar/ff7/data/battle/battle.lgp/irbz.png","View Picture")</f>
        <v>View Picture</v>
      </c>
    </row>
    <row r="5042">
      <c r="A5042" s="55"/>
      <c r="B5042" s="119" t="s">
        <v>36931</v>
      </c>
      <c r="C5042" s="120" t="s">
        <v>4396</v>
      </c>
      <c r="D5042" s="33" t="s">
        <v>36901</v>
      </c>
      <c r="E5042" s="51" t="s">
        <v>1044</v>
      </c>
      <c r="F5042" s="121" t="s">
        <v>3009</v>
      </c>
      <c r="G5042" s="98" t="str">
        <f>HYPERLINK("http://mirror.ff7data.com.ar/ff7/data/battle/battle.lgp/irca.png","View Picture")</f>
        <v>View Picture</v>
      </c>
    </row>
    <row r="5043">
      <c r="A5043" s="55"/>
      <c r="B5043" s="119" t="s">
        <v>36932</v>
      </c>
      <c r="C5043" s="120" t="s">
        <v>4191</v>
      </c>
      <c r="D5043" s="33" t="s">
        <v>36901</v>
      </c>
      <c r="E5043" s="51" t="s">
        <v>1044</v>
      </c>
      <c r="F5043" s="121" t="s">
        <v>3025</v>
      </c>
      <c r="H5043" s="46" t="s">
        <v>3002</v>
      </c>
    </row>
    <row r="5044">
      <c r="A5044" s="55"/>
      <c r="B5044" s="119" t="s">
        <v>36933</v>
      </c>
      <c r="C5044" s="120" t="s">
        <v>6802</v>
      </c>
      <c r="D5044" s="33" t="s">
        <v>36934</v>
      </c>
      <c r="E5044" s="51" t="s">
        <v>1049</v>
      </c>
      <c r="F5044" s="121" t="s">
        <v>2971</v>
      </c>
      <c r="G5044" s="98" t="str">
        <f>HYPERLINK("http://mirror.ff7data.com.ar/ff7/data/battle/battle.lgp/isaa.png","View Picture")</f>
        <v>View Picture</v>
      </c>
    </row>
    <row r="5045">
      <c r="A5045" s="55"/>
      <c r="B5045" s="119" t="s">
        <v>36935</v>
      </c>
      <c r="C5045" s="120" t="s">
        <v>4846</v>
      </c>
      <c r="D5045" s="33" t="s">
        <v>36936</v>
      </c>
      <c r="E5045" s="51" t="s">
        <v>1049</v>
      </c>
      <c r="F5045" s="121" t="s">
        <v>2993</v>
      </c>
      <c r="H5045" s="46" t="s">
        <v>3002</v>
      </c>
    </row>
    <row r="5046">
      <c r="A5046" s="55"/>
      <c r="B5046" s="119" t="s">
        <v>36937</v>
      </c>
      <c r="C5046" s="120" t="s">
        <v>4841</v>
      </c>
      <c r="D5046" s="33" t="s">
        <v>36936</v>
      </c>
      <c r="E5046" s="51" t="s">
        <v>1049</v>
      </c>
      <c r="F5046" s="121" t="s">
        <v>3009</v>
      </c>
      <c r="G5046" s="98" t="str">
        <f>HYPERLINK("http://mirror.ff7data.com.ar/ff7/data/battle/battle.lgp/isam.png","View Picture")</f>
        <v>View Picture</v>
      </c>
    </row>
    <row r="5047">
      <c r="A5047" s="55"/>
      <c r="B5047" s="119" t="s">
        <v>36938</v>
      </c>
      <c r="C5047" s="120" t="s">
        <v>4288</v>
      </c>
      <c r="D5047" s="33" t="s">
        <v>36936</v>
      </c>
      <c r="E5047" s="51" t="s">
        <v>1049</v>
      </c>
      <c r="F5047" s="121" t="s">
        <v>3009</v>
      </c>
      <c r="G5047" s="98" t="str">
        <f>HYPERLINK("http://mirror.ff7data.com.ar/ff7/data/battle/battle.lgp/isan.png","View Picture")</f>
        <v>View Picture</v>
      </c>
    </row>
    <row r="5048">
      <c r="A5048" s="55"/>
      <c r="B5048" s="119" t="s">
        <v>36939</v>
      </c>
      <c r="C5048" s="120" t="s">
        <v>26041</v>
      </c>
      <c r="D5048" s="33" t="s">
        <v>36936</v>
      </c>
      <c r="E5048" s="51" t="s">
        <v>1049</v>
      </c>
      <c r="F5048" s="121" t="s">
        <v>3009</v>
      </c>
      <c r="G5048" s="98" t="str">
        <f>HYPERLINK("http://mirror.ff7data.com.ar/ff7/data/battle/battle.lgp/isao.png","View Picture")</f>
        <v>View Picture</v>
      </c>
    </row>
    <row r="5049">
      <c r="A5049" s="55"/>
      <c r="B5049" s="119" t="s">
        <v>36940</v>
      </c>
      <c r="C5049" s="120" t="s">
        <v>4030</v>
      </c>
      <c r="D5049" s="33" t="s">
        <v>36936</v>
      </c>
      <c r="E5049" s="51" t="s">
        <v>1049</v>
      </c>
      <c r="F5049" s="121" t="s">
        <v>3009</v>
      </c>
      <c r="G5049" s="98" t="str">
        <f>HYPERLINK("http://mirror.ff7data.com.ar/ff7/data/battle/battle.lgp/isap.png","View Picture")</f>
        <v>View Picture</v>
      </c>
    </row>
    <row r="5050">
      <c r="A5050" s="55"/>
      <c r="B5050" s="119" t="s">
        <v>36941</v>
      </c>
      <c r="C5050" s="120" t="s">
        <v>4719</v>
      </c>
      <c r="D5050" s="33" t="s">
        <v>36936</v>
      </c>
      <c r="E5050" s="51" t="s">
        <v>1049</v>
      </c>
      <c r="F5050" s="121" t="s">
        <v>3009</v>
      </c>
      <c r="G5050" s="98" t="str">
        <f>HYPERLINK("http://mirror.ff7data.com.ar/ff7/data/battle/battle.lgp/isar.png","View Picture")</f>
        <v>View Picture</v>
      </c>
    </row>
    <row r="5051">
      <c r="A5051" s="55"/>
      <c r="B5051" s="119" t="s">
        <v>36942</v>
      </c>
      <c r="C5051" s="120" t="s">
        <v>4565</v>
      </c>
      <c r="D5051" s="33" t="s">
        <v>36936</v>
      </c>
      <c r="E5051" s="51" t="s">
        <v>1049</v>
      </c>
      <c r="F5051" s="121" t="s">
        <v>3009</v>
      </c>
      <c r="G5051" s="98" t="str">
        <f>HYPERLINK("http://mirror.ff7data.com.ar/ff7/data/battle/battle.lgp/isat.png","View Picture")</f>
        <v>View Picture</v>
      </c>
    </row>
    <row r="5052">
      <c r="A5052" s="55"/>
      <c r="B5052" s="119" t="s">
        <v>36943</v>
      </c>
      <c r="C5052" s="120" t="s">
        <v>20274</v>
      </c>
      <c r="D5052" s="33" t="s">
        <v>36936</v>
      </c>
      <c r="E5052" s="51" t="s">
        <v>1049</v>
      </c>
      <c r="F5052" s="121" t="s">
        <v>3009</v>
      </c>
      <c r="G5052" s="98" t="str">
        <f>HYPERLINK("http://mirror.ff7data.com.ar/ff7/data/battle/battle.lgp/isau.png","View Picture")</f>
        <v>View Picture</v>
      </c>
    </row>
    <row r="5053">
      <c r="A5053" s="55"/>
      <c r="B5053" s="119" t="s">
        <v>36944</v>
      </c>
      <c r="C5053" s="120" t="s">
        <v>3648</v>
      </c>
      <c r="D5053" s="33" t="s">
        <v>36936</v>
      </c>
      <c r="E5053" s="51" t="s">
        <v>1049</v>
      </c>
      <c r="F5053" s="121" t="s">
        <v>3009</v>
      </c>
      <c r="G5053" s="98" t="str">
        <f>HYPERLINK("http://mirror.ff7data.com.ar/ff7/data/battle/battle.lgp/isaw.png","View Picture")</f>
        <v>View Picture</v>
      </c>
    </row>
    <row r="5054">
      <c r="A5054" s="55"/>
      <c r="B5054" s="119" t="s">
        <v>36945</v>
      </c>
      <c r="C5054" s="120" t="s">
        <v>5419</v>
      </c>
      <c r="D5054" s="33" t="s">
        <v>36936</v>
      </c>
      <c r="E5054" s="51" t="s">
        <v>1049</v>
      </c>
      <c r="F5054" s="121" t="s">
        <v>3009</v>
      </c>
      <c r="G5054" s="98" t="str">
        <f>HYPERLINK("http://mirror.ff7data.com.ar/ff7/data/battle/battle.lgp/isay.png","View Picture")</f>
        <v>View Picture</v>
      </c>
    </row>
    <row r="5055">
      <c r="A5055" s="55"/>
      <c r="B5055" s="119" t="s">
        <v>36946</v>
      </c>
      <c r="C5055" s="120" t="s">
        <v>4565</v>
      </c>
      <c r="D5055" s="33" t="s">
        <v>36936</v>
      </c>
      <c r="E5055" s="51" t="s">
        <v>1049</v>
      </c>
      <c r="F5055" s="121" t="s">
        <v>3009</v>
      </c>
      <c r="G5055" s="98" t="str">
        <f>HYPERLINK("http://mirror.ff7data.com.ar/ff7/data/battle/battle.lgp/isba.png","View Picture")</f>
        <v>View Picture</v>
      </c>
    </row>
    <row r="5056">
      <c r="A5056" s="55"/>
      <c r="B5056" s="119" t="s">
        <v>36947</v>
      </c>
      <c r="C5056" s="120" t="s">
        <v>21725</v>
      </c>
      <c r="D5056" s="33" t="s">
        <v>36936</v>
      </c>
      <c r="E5056" s="51" t="s">
        <v>1049</v>
      </c>
      <c r="F5056" s="121" t="s">
        <v>3009</v>
      </c>
      <c r="G5056" s="98" t="str">
        <f>HYPERLINK("http://mirror.ff7data.com.ar/ff7/data/battle/battle.lgp/isbb.png","View Picture")</f>
        <v>View Picture</v>
      </c>
    </row>
    <row r="5057">
      <c r="A5057" s="55"/>
      <c r="B5057" s="119" t="s">
        <v>36948</v>
      </c>
      <c r="C5057" s="120" t="s">
        <v>3648</v>
      </c>
      <c r="D5057" s="33" t="s">
        <v>36936</v>
      </c>
      <c r="E5057" s="51" t="s">
        <v>1049</v>
      </c>
      <c r="F5057" s="121" t="s">
        <v>3009</v>
      </c>
      <c r="G5057" s="98" t="str">
        <f>HYPERLINK("http://mirror.ff7data.com.ar/ff7/data/battle/battle.lgp/isbd.png","View Picture")</f>
        <v>View Picture</v>
      </c>
    </row>
    <row r="5058">
      <c r="A5058" s="55"/>
      <c r="B5058" s="119" t="s">
        <v>36949</v>
      </c>
      <c r="C5058" s="120" t="s">
        <v>5419</v>
      </c>
      <c r="D5058" s="33" t="s">
        <v>36936</v>
      </c>
      <c r="E5058" s="51" t="s">
        <v>1049</v>
      </c>
      <c r="F5058" s="121" t="s">
        <v>3009</v>
      </c>
      <c r="G5058" s="98" t="str">
        <f>HYPERLINK("http://mirror.ff7data.com.ar/ff7/data/battle/battle.lgp/isbf.png","View Picture")</f>
        <v>View Picture</v>
      </c>
    </row>
    <row r="5059">
      <c r="A5059" s="55"/>
      <c r="B5059" s="119" t="s">
        <v>36950</v>
      </c>
      <c r="C5059" s="120" t="s">
        <v>3412</v>
      </c>
      <c r="D5059" s="33" t="s">
        <v>36936</v>
      </c>
      <c r="E5059" s="51" t="s">
        <v>1049</v>
      </c>
      <c r="F5059" s="121" t="s">
        <v>3009</v>
      </c>
      <c r="G5059" s="98" t="str">
        <f>HYPERLINK("http://mirror.ff7data.com.ar/ff7/data/battle/battle.lgp/isbh.png","View Picture")</f>
        <v>View Picture</v>
      </c>
    </row>
    <row r="5060">
      <c r="A5060" s="55"/>
      <c r="B5060" s="119" t="s">
        <v>36951</v>
      </c>
      <c r="C5060" s="120" t="s">
        <v>7301</v>
      </c>
      <c r="D5060" s="33" t="s">
        <v>36936</v>
      </c>
      <c r="E5060" s="51" t="s">
        <v>1049</v>
      </c>
      <c r="F5060" s="121" t="s">
        <v>3009</v>
      </c>
      <c r="G5060" s="98" t="str">
        <f>HYPERLINK("http://mirror.ff7data.com.ar/ff7/data/battle/battle.lgp/isbj.png","View Picture")</f>
        <v>View Picture</v>
      </c>
    </row>
    <row r="5061">
      <c r="A5061" s="55"/>
      <c r="B5061" s="119" t="s">
        <v>36952</v>
      </c>
      <c r="C5061" s="120" t="s">
        <v>6769</v>
      </c>
      <c r="D5061" s="33" t="s">
        <v>36936</v>
      </c>
      <c r="E5061" s="51" t="s">
        <v>1049</v>
      </c>
      <c r="F5061" s="121" t="s">
        <v>3009</v>
      </c>
      <c r="G5061" s="98" t="str">
        <f>HYPERLINK("http://mirror.ff7data.com.ar/ff7/data/battle/battle.lgp/isbl.png","View Picture")</f>
        <v>View Picture</v>
      </c>
    </row>
    <row r="5062">
      <c r="A5062" s="55"/>
      <c r="B5062" s="119" t="s">
        <v>36953</v>
      </c>
      <c r="C5062" s="120" t="s">
        <v>6769</v>
      </c>
      <c r="D5062" s="33" t="s">
        <v>36936</v>
      </c>
      <c r="E5062" s="51" t="s">
        <v>1049</v>
      </c>
      <c r="F5062" s="121" t="s">
        <v>3009</v>
      </c>
      <c r="G5062" s="98" t="str">
        <f>HYPERLINK("http://mirror.ff7data.com.ar/ff7/data/battle/battle.lgp/isbm.png","View Picture")</f>
        <v>View Picture</v>
      </c>
    </row>
    <row r="5063">
      <c r="A5063" s="55"/>
      <c r="B5063" s="119" t="s">
        <v>36954</v>
      </c>
      <c r="C5063" s="120" t="s">
        <v>25262</v>
      </c>
      <c r="D5063" s="33" t="s">
        <v>36936</v>
      </c>
      <c r="E5063" s="51" t="s">
        <v>1049</v>
      </c>
      <c r="F5063" s="121" t="s">
        <v>3009</v>
      </c>
      <c r="G5063" s="98" t="str">
        <f>HYPERLINK("http://mirror.ff7data.com.ar/ff7/data/battle/battle.lgp/isbn.png","View Picture")</f>
        <v>View Picture</v>
      </c>
    </row>
    <row r="5064">
      <c r="A5064" s="55"/>
      <c r="B5064" s="119" t="s">
        <v>36955</v>
      </c>
      <c r="C5064" s="120" t="s">
        <v>8923</v>
      </c>
      <c r="D5064" s="33" t="s">
        <v>36936</v>
      </c>
      <c r="E5064" s="51" t="s">
        <v>1049</v>
      </c>
      <c r="F5064" s="121" t="s">
        <v>3009</v>
      </c>
      <c r="G5064" s="98" t="str">
        <f>HYPERLINK("http://mirror.ff7data.com.ar/ff7/data/battle/battle.lgp/isbo.png","View Picture")</f>
        <v>View Picture</v>
      </c>
    </row>
    <row r="5065">
      <c r="A5065" s="55"/>
      <c r="B5065" s="119" t="s">
        <v>36956</v>
      </c>
      <c r="C5065" s="120" t="s">
        <v>6830</v>
      </c>
      <c r="D5065" s="33" t="s">
        <v>36936</v>
      </c>
      <c r="E5065" s="51" t="s">
        <v>1049</v>
      </c>
      <c r="F5065" s="121" t="s">
        <v>3025</v>
      </c>
      <c r="H5065" s="46" t="s">
        <v>3002</v>
      </c>
    </row>
    <row r="5066">
      <c r="A5066" s="55"/>
      <c r="B5066" s="119" t="s">
        <v>36957</v>
      </c>
      <c r="C5066" s="120" t="s">
        <v>2959</v>
      </c>
      <c r="D5066" s="33" t="s">
        <v>36958</v>
      </c>
      <c r="E5066" s="51" t="s">
        <v>1052</v>
      </c>
      <c r="F5066" s="121" t="s">
        <v>2971</v>
      </c>
      <c r="G5066" s="98" t="str">
        <f>HYPERLINK("http://mirror.ff7data.com.ar/ff7/data/battle/battle.lgp/itaa.png","View Picture")</f>
        <v>View Picture</v>
      </c>
    </row>
    <row r="5067">
      <c r="A5067" s="55"/>
      <c r="B5067" s="119" t="s">
        <v>36959</v>
      </c>
      <c r="C5067" s="120" t="s">
        <v>8016</v>
      </c>
      <c r="D5067" s="33" t="s">
        <v>36960</v>
      </c>
      <c r="E5067" s="51" t="s">
        <v>1052</v>
      </c>
      <c r="F5067" s="121" t="s">
        <v>2993</v>
      </c>
      <c r="H5067" s="46" t="s">
        <v>3002</v>
      </c>
    </row>
    <row r="5068">
      <c r="A5068" s="55"/>
      <c r="B5068" s="119" t="s">
        <v>36961</v>
      </c>
      <c r="C5068" s="120" t="s">
        <v>7081</v>
      </c>
      <c r="D5068" s="33" t="s">
        <v>36960</v>
      </c>
      <c r="E5068" s="51" t="s">
        <v>1052</v>
      </c>
      <c r="F5068" s="121" t="s">
        <v>1348</v>
      </c>
      <c r="G5068" s="98" t="str">
        <f>HYPERLINK("http://mirror.ff7data.com.ar/ff7/data/battle/battle.lgp/itac.png","View Picture")</f>
        <v>View Picture</v>
      </c>
    </row>
    <row r="5069">
      <c r="A5069" s="55"/>
      <c r="B5069" s="119" t="s">
        <v>36962</v>
      </c>
      <c r="C5069" s="120" t="s">
        <v>11918</v>
      </c>
      <c r="D5069" s="33" t="s">
        <v>36960</v>
      </c>
      <c r="E5069" s="51" t="s">
        <v>1052</v>
      </c>
      <c r="F5069" s="121" t="s">
        <v>3009</v>
      </c>
      <c r="G5069" s="98" t="str">
        <f>HYPERLINK("http://mirror.ff7data.com.ar/ff7/data/battle/battle.lgp/itam.png","View Picture")</f>
        <v>View Picture</v>
      </c>
    </row>
    <row r="5070">
      <c r="A5070" s="55"/>
      <c r="B5070" s="119" t="s">
        <v>36963</v>
      </c>
      <c r="C5070" s="120" t="s">
        <v>7756</v>
      </c>
      <c r="D5070" s="33" t="s">
        <v>36960</v>
      </c>
      <c r="E5070" s="51" t="s">
        <v>1052</v>
      </c>
      <c r="F5070" s="121" t="s">
        <v>3009</v>
      </c>
      <c r="G5070" s="98" t="str">
        <f>HYPERLINK("http://mirror.ff7data.com.ar/ff7/data/battle/battle.lgp/itan.png","View Picture")</f>
        <v>View Picture</v>
      </c>
    </row>
    <row r="5071">
      <c r="A5071" s="55"/>
      <c r="B5071" s="119" t="s">
        <v>36964</v>
      </c>
      <c r="C5071" s="120" t="s">
        <v>7756</v>
      </c>
      <c r="D5071" s="33" t="s">
        <v>36960</v>
      </c>
      <c r="E5071" s="51" t="s">
        <v>1052</v>
      </c>
      <c r="F5071" s="121" t="s">
        <v>3009</v>
      </c>
      <c r="G5071" s="98" t="str">
        <f>HYPERLINK("http://mirror.ff7data.com.ar/ff7/data/battle/battle.lgp/itao.png","View Picture")</f>
        <v>View Picture</v>
      </c>
    </row>
    <row r="5072">
      <c r="A5072" s="55"/>
      <c r="B5072" s="119" t="s">
        <v>36965</v>
      </c>
      <c r="C5072" s="120" t="s">
        <v>4288</v>
      </c>
      <c r="D5072" s="33" t="s">
        <v>36960</v>
      </c>
      <c r="E5072" s="51" t="s">
        <v>1052</v>
      </c>
      <c r="F5072" s="121" t="s">
        <v>3025</v>
      </c>
      <c r="H5072" s="46" t="s">
        <v>3002</v>
      </c>
    </row>
    <row r="5073">
      <c r="A5073" s="55"/>
      <c r="B5073" s="119" t="s">
        <v>36966</v>
      </c>
      <c r="C5073" s="120" t="s">
        <v>6789</v>
      </c>
      <c r="D5073" s="33" t="s">
        <v>36967</v>
      </c>
      <c r="E5073" s="147" t="s">
        <v>1057</v>
      </c>
      <c r="F5073" s="121" t="s">
        <v>2971</v>
      </c>
      <c r="G5073" s="98" t="str">
        <f>HYPERLINK("http://mirror.ff7data.com.ar/ff7/data/battle/battle.lgp/iuaa.png","View Picture")</f>
        <v>View Picture</v>
      </c>
    </row>
    <row r="5074">
      <c r="A5074" s="55"/>
      <c r="B5074" s="119" t="s">
        <v>36968</v>
      </c>
      <c r="C5074" s="120" t="s">
        <v>11732</v>
      </c>
      <c r="D5074" s="33" t="s">
        <v>36969</v>
      </c>
      <c r="E5074" s="147" t="s">
        <v>1057</v>
      </c>
      <c r="F5074" s="121" t="s">
        <v>2993</v>
      </c>
      <c r="H5074" s="46" t="s">
        <v>3002</v>
      </c>
    </row>
    <row r="5075">
      <c r="A5075" s="55"/>
      <c r="B5075" s="119" t="s">
        <v>36970</v>
      </c>
      <c r="C5075" s="120" t="s">
        <v>3749</v>
      </c>
      <c r="D5075" s="33" t="s">
        <v>36969</v>
      </c>
      <c r="E5075" s="147" t="s">
        <v>1057</v>
      </c>
      <c r="F5075" s="121" t="s">
        <v>3009</v>
      </c>
      <c r="G5075" s="98" t="str">
        <f>HYPERLINK("http://mirror.ff7data.com.ar/ff7/data/battle/battle.lgp/iuam.png","View Picture")</f>
        <v>View Picture</v>
      </c>
    </row>
    <row r="5076">
      <c r="A5076" s="55"/>
      <c r="B5076" s="119" t="s">
        <v>36971</v>
      </c>
      <c r="C5076" s="120" t="s">
        <v>7871</v>
      </c>
      <c r="D5076" s="33" t="s">
        <v>36969</v>
      </c>
      <c r="E5076" s="147" t="s">
        <v>1057</v>
      </c>
      <c r="F5076" s="121" t="s">
        <v>3009</v>
      </c>
      <c r="G5076" s="98" t="str">
        <f>HYPERLINK("http://mirror.ff7data.com.ar/ff7/data/battle/battle.lgp/iuan.png","View Picture")</f>
        <v>View Picture</v>
      </c>
    </row>
    <row r="5077">
      <c r="A5077" s="55"/>
      <c r="B5077" s="119" t="s">
        <v>36972</v>
      </c>
      <c r="C5077" s="120" t="s">
        <v>4057</v>
      </c>
      <c r="D5077" s="33" t="s">
        <v>36969</v>
      </c>
      <c r="E5077" s="147" t="s">
        <v>1057</v>
      </c>
      <c r="F5077" s="121" t="s">
        <v>3009</v>
      </c>
      <c r="G5077" s="98" t="str">
        <f>HYPERLINK("http://mirror.ff7data.com.ar/ff7/data/battle/battle.lgp/iuaq.png","View Picture")</f>
        <v>View Picture</v>
      </c>
    </row>
    <row r="5078">
      <c r="A5078" s="55"/>
      <c r="B5078" s="119" t="s">
        <v>36973</v>
      </c>
      <c r="C5078" s="120" t="s">
        <v>4185</v>
      </c>
      <c r="D5078" s="33" t="s">
        <v>36969</v>
      </c>
      <c r="E5078" s="147" t="s">
        <v>1057</v>
      </c>
      <c r="F5078" s="121" t="s">
        <v>3009</v>
      </c>
      <c r="G5078" s="98" t="str">
        <f>HYPERLINK("http://mirror.ff7data.com.ar/ff7/data/battle/battle.lgp/iuar.png","View Picture")</f>
        <v>View Picture</v>
      </c>
    </row>
    <row r="5079">
      <c r="A5079" s="55"/>
      <c r="B5079" s="119" t="s">
        <v>36974</v>
      </c>
      <c r="C5079" s="120" t="s">
        <v>3723</v>
      </c>
      <c r="D5079" s="33" t="s">
        <v>36969</v>
      </c>
      <c r="E5079" s="147" t="s">
        <v>1057</v>
      </c>
      <c r="F5079" s="121" t="s">
        <v>3009</v>
      </c>
      <c r="G5079" s="98" t="str">
        <f>HYPERLINK("http://mirror.ff7data.com.ar/ff7/data/battle/battle.lgp/iuas.png","View Picture")</f>
        <v>View Picture</v>
      </c>
    </row>
    <row r="5080">
      <c r="A5080" s="55"/>
      <c r="B5080" s="119" t="s">
        <v>36975</v>
      </c>
      <c r="C5080" s="120" t="s">
        <v>4264</v>
      </c>
      <c r="D5080" s="33" t="s">
        <v>36969</v>
      </c>
      <c r="E5080" s="147" t="s">
        <v>1057</v>
      </c>
      <c r="F5080" s="121" t="s">
        <v>3009</v>
      </c>
      <c r="G5080" s="98" t="str">
        <f>HYPERLINK("http://mirror.ff7data.com.ar/ff7/data/battle/battle.lgp/iuau.png","View Picture")</f>
        <v>View Picture</v>
      </c>
    </row>
    <row r="5081">
      <c r="A5081" s="55"/>
      <c r="B5081" s="119" t="s">
        <v>36976</v>
      </c>
      <c r="C5081" s="120" t="s">
        <v>4476</v>
      </c>
      <c r="D5081" s="33" t="s">
        <v>36969</v>
      </c>
      <c r="E5081" s="147" t="s">
        <v>1057</v>
      </c>
      <c r="F5081" s="121" t="s">
        <v>3009</v>
      </c>
      <c r="G5081" s="98" t="str">
        <f>HYPERLINK("http://mirror.ff7data.com.ar/ff7/data/battle/battle.lgp/iuav.png","View Picture")</f>
        <v>View Picture</v>
      </c>
    </row>
    <row r="5082">
      <c r="A5082" s="55"/>
      <c r="B5082" s="119" t="s">
        <v>36977</v>
      </c>
      <c r="C5082" s="120" t="s">
        <v>4185</v>
      </c>
      <c r="D5082" s="33" t="s">
        <v>36969</v>
      </c>
      <c r="E5082" s="147" t="s">
        <v>1057</v>
      </c>
      <c r="F5082" s="121" t="s">
        <v>3009</v>
      </c>
      <c r="G5082" s="98" t="str">
        <f>HYPERLINK("http://mirror.ff7data.com.ar/ff7/data/battle/battle.lgp/iuaw.png","View Picture")</f>
        <v>View Picture</v>
      </c>
    </row>
    <row r="5083">
      <c r="A5083" s="55"/>
      <c r="B5083" s="119" t="s">
        <v>36978</v>
      </c>
      <c r="C5083" s="120" t="s">
        <v>3637</v>
      </c>
      <c r="D5083" s="33" t="s">
        <v>36969</v>
      </c>
      <c r="E5083" s="147" t="s">
        <v>1057</v>
      </c>
      <c r="F5083" s="121" t="s">
        <v>3009</v>
      </c>
      <c r="G5083" s="98" t="str">
        <f>HYPERLINK("http://mirror.ff7data.com.ar/ff7/data/battle/battle.lgp/iuax.png","View Picture")</f>
        <v>View Picture</v>
      </c>
    </row>
    <row r="5084">
      <c r="A5084" s="55"/>
      <c r="B5084" s="119" t="s">
        <v>36979</v>
      </c>
      <c r="C5084" s="120" t="s">
        <v>7062</v>
      </c>
      <c r="D5084" s="33" t="s">
        <v>36969</v>
      </c>
      <c r="E5084" s="147" t="s">
        <v>1057</v>
      </c>
      <c r="F5084" s="121" t="s">
        <v>3009</v>
      </c>
      <c r="G5084" s="98" t="str">
        <f>HYPERLINK("http://mirror.ff7data.com.ar/ff7/data/battle/battle.lgp/iuay.png","View Picture")</f>
        <v>View Picture</v>
      </c>
    </row>
    <row r="5085">
      <c r="A5085" s="55"/>
      <c r="B5085" s="119" t="s">
        <v>36980</v>
      </c>
      <c r="C5085" s="120" t="s">
        <v>3343</v>
      </c>
      <c r="D5085" s="33" t="s">
        <v>36969</v>
      </c>
      <c r="E5085" s="147" t="s">
        <v>1057</v>
      </c>
      <c r="F5085" s="121" t="s">
        <v>3009</v>
      </c>
      <c r="G5085" s="98" t="str">
        <f>HYPERLINK("http://mirror.ff7data.com.ar/ff7/data/battle/battle.lgp/iuba.png","View Picture")</f>
        <v>View Picture</v>
      </c>
    </row>
    <row r="5086">
      <c r="A5086" s="55"/>
      <c r="B5086" s="119" t="s">
        <v>36981</v>
      </c>
      <c r="C5086" s="120" t="s">
        <v>4057</v>
      </c>
      <c r="D5086" s="33" t="s">
        <v>36969</v>
      </c>
      <c r="E5086" s="147" t="s">
        <v>1057</v>
      </c>
      <c r="F5086" s="121" t="s">
        <v>3009</v>
      </c>
      <c r="G5086" s="98" t="str">
        <f>HYPERLINK("http://mirror.ff7data.com.ar/ff7/data/battle/battle.lgp/iubd.png","View Picture")</f>
        <v>View Picture</v>
      </c>
    </row>
    <row r="5087">
      <c r="A5087" s="55"/>
      <c r="B5087" s="119" t="s">
        <v>36982</v>
      </c>
      <c r="C5087" s="120" t="s">
        <v>4439</v>
      </c>
      <c r="D5087" s="33" t="s">
        <v>36969</v>
      </c>
      <c r="E5087" s="147" t="s">
        <v>1057</v>
      </c>
      <c r="F5087" s="121" t="s">
        <v>3009</v>
      </c>
      <c r="G5087" s="98" t="str">
        <f>HYPERLINK("http://mirror.ff7data.com.ar/ff7/data/battle/battle.lgp/iube.png","View Picture")</f>
        <v>View Picture</v>
      </c>
    </row>
    <row r="5088">
      <c r="A5088" s="55"/>
      <c r="B5088" s="119" t="s">
        <v>36983</v>
      </c>
      <c r="C5088" s="120" t="s">
        <v>3343</v>
      </c>
      <c r="D5088" s="33" t="s">
        <v>36969</v>
      </c>
      <c r="E5088" s="147" t="s">
        <v>1057</v>
      </c>
      <c r="F5088" s="121" t="s">
        <v>3009</v>
      </c>
      <c r="G5088" s="98" t="str">
        <f>HYPERLINK("http://mirror.ff7data.com.ar/ff7/data/battle/battle.lgp/iubf.png","View Picture")</f>
        <v>View Picture</v>
      </c>
    </row>
    <row r="5089">
      <c r="A5089" s="55"/>
      <c r="B5089" s="119" t="s">
        <v>36984</v>
      </c>
      <c r="C5089" s="120" t="s">
        <v>4264</v>
      </c>
      <c r="D5089" s="33" t="s">
        <v>36969</v>
      </c>
      <c r="E5089" s="147" t="s">
        <v>1057</v>
      </c>
      <c r="F5089" s="121" t="s">
        <v>3009</v>
      </c>
      <c r="G5089" s="98" t="str">
        <f>HYPERLINK("http://mirror.ff7data.com.ar/ff7/data/battle/battle.lgp/iubh.png","View Picture")</f>
        <v>View Picture</v>
      </c>
    </row>
    <row r="5090">
      <c r="A5090" s="55"/>
      <c r="B5090" s="119" t="s">
        <v>36985</v>
      </c>
      <c r="C5090" s="120" t="s">
        <v>4185</v>
      </c>
      <c r="D5090" s="33" t="s">
        <v>36969</v>
      </c>
      <c r="E5090" s="147" t="s">
        <v>1057</v>
      </c>
      <c r="F5090" s="121" t="s">
        <v>3009</v>
      </c>
      <c r="G5090" s="98" t="str">
        <f>HYPERLINK("http://mirror.ff7data.com.ar/ff7/data/battle/battle.lgp/iubi.png","View Picture")</f>
        <v>View Picture</v>
      </c>
    </row>
    <row r="5091">
      <c r="A5091" s="55"/>
      <c r="B5091" s="119" t="s">
        <v>36986</v>
      </c>
      <c r="C5091" s="120" t="s">
        <v>4185</v>
      </c>
      <c r="D5091" s="33" t="s">
        <v>36969</v>
      </c>
      <c r="E5091" s="147" t="s">
        <v>1057</v>
      </c>
      <c r="F5091" s="121" t="s">
        <v>3009</v>
      </c>
      <c r="G5091" s="98" t="str">
        <f>HYPERLINK("http://mirror.ff7data.com.ar/ff7/data/battle/battle.lgp/iubj.png","View Picture")</f>
        <v>View Picture</v>
      </c>
    </row>
    <row r="5092">
      <c r="A5092" s="55"/>
      <c r="B5092" s="119" t="s">
        <v>36987</v>
      </c>
      <c r="C5092" s="120" t="s">
        <v>3412</v>
      </c>
      <c r="D5092" s="33" t="s">
        <v>36969</v>
      </c>
      <c r="E5092" s="147" t="s">
        <v>1057</v>
      </c>
      <c r="F5092" s="121" t="s">
        <v>3009</v>
      </c>
      <c r="G5092" s="98" t="str">
        <f>HYPERLINK("http://mirror.ff7data.com.ar/ff7/data/battle/battle.lgp/iubk.png","View Picture")</f>
        <v>View Picture</v>
      </c>
    </row>
    <row r="5093">
      <c r="A5093" s="55"/>
      <c r="B5093" s="119" t="s">
        <v>36988</v>
      </c>
      <c r="C5093" s="120" t="s">
        <v>7894</v>
      </c>
      <c r="D5093" s="33" t="s">
        <v>36969</v>
      </c>
      <c r="E5093" s="147" t="s">
        <v>1057</v>
      </c>
      <c r="F5093" s="121" t="s">
        <v>3009</v>
      </c>
      <c r="G5093" s="98" t="str">
        <f>HYPERLINK("http://mirror.ff7data.com.ar/ff7/data/battle/battle.lgp/iubl.png","View Picture")</f>
        <v>View Picture</v>
      </c>
    </row>
    <row r="5094">
      <c r="A5094" s="55"/>
      <c r="B5094" s="119" t="s">
        <v>36989</v>
      </c>
      <c r="C5094" s="120" t="s">
        <v>3343</v>
      </c>
      <c r="D5094" s="33" t="s">
        <v>36969</v>
      </c>
      <c r="E5094" s="147" t="s">
        <v>1057</v>
      </c>
      <c r="F5094" s="121" t="s">
        <v>3009</v>
      </c>
      <c r="G5094" s="98" t="str">
        <f>HYPERLINK("http://mirror.ff7data.com.ar/ff7/data/battle/battle.lgp/iubn.png","View Picture")</f>
        <v>View Picture</v>
      </c>
    </row>
    <row r="5095">
      <c r="A5095" s="55"/>
      <c r="B5095" s="119" t="s">
        <v>36990</v>
      </c>
      <c r="C5095" s="120" t="s">
        <v>3842</v>
      </c>
      <c r="D5095" s="33" t="s">
        <v>36969</v>
      </c>
      <c r="E5095" s="147" t="s">
        <v>1057</v>
      </c>
      <c r="F5095" s="121" t="s">
        <v>3009</v>
      </c>
      <c r="G5095" s="98" t="str">
        <f>HYPERLINK("http://mirror.ff7data.com.ar/ff7/data/battle/battle.lgp/iubp.png","View Picture")</f>
        <v>View Picture</v>
      </c>
    </row>
    <row r="5096">
      <c r="A5096" s="55"/>
      <c r="B5096" s="119" t="s">
        <v>36991</v>
      </c>
      <c r="C5096" s="120" t="s">
        <v>6029</v>
      </c>
      <c r="D5096" s="33" t="s">
        <v>36969</v>
      </c>
      <c r="E5096" s="147" t="s">
        <v>1057</v>
      </c>
      <c r="F5096" s="121" t="s">
        <v>3009</v>
      </c>
      <c r="G5096" s="98" t="str">
        <f>HYPERLINK("http://mirror.ff7data.com.ar/ff7/data/battle/battle.lgp/iubq.png","View Picture")</f>
        <v>View Picture</v>
      </c>
    </row>
    <row r="5097">
      <c r="A5097" s="55"/>
      <c r="B5097" s="119" t="s">
        <v>36992</v>
      </c>
      <c r="C5097" s="120" t="s">
        <v>8376</v>
      </c>
      <c r="D5097" s="33" t="s">
        <v>36969</v>
      </c>
      <c r="E5097" s="147" t="s">
        <v>1057</v>
      </c>
      <c r="F5097" s="121" t="s">
        <v>3009</v>
      </c>
      <c r="G5097" s="98" t="str">
        <f>HYPERLINK("http://mirror.ff7data.com.ar/ff7/data/battle/battle.lgp/iubr.png","View Picture")</f>
        <v>View Picture</v>
      </c>
    </row>
    <row r="5098">
      <c r="A5098" s="55"/>
      <c r="B5098" s="119" t="s">
        <v>36993</v>
      </c>
      <c r="C5098" s="120" t="s">
        <v>3658</v>
      </c>
      <c r="D5098" s="33" t="s">
        <v>36969</v>
      </c>
      <c r="E5098" s="147" t="s">
        <v>1057</v>
      </c>
      <c r="F5098" s="121" t="s">
        <v>3009</v>
      </c>
      <c r="G5098" s="98" t="str">
        <f>HYPERLINK("http://mirror.ff7data.com.ar/ff7/data/battle/battle.lgp/iubt.png","View Picture")</f>
        <v>View Picture</v>
      </c>
    </row>
    <row r="5099">
      <c r="A5099" s="55"/>
      <c r="B5099" s="119" t="s">
        <v>36994</v>
      </c>
      <c r="C5099" s="120" t="s">
        <v>6029</v>
      </c>
      <c r="D5099" s="33" t="s">
        <v>36969</v>
      </c>
      <c r="E5099" s="147" t="s">
        <v>1057</v>
      </c>
      <c r="F5099" s="121" t="s">
        <v>3009</v>
      </c>
      <c r="G5099" s="98" t="str">
        <f>HYPERLINK("http://mirror.ff7data.com.ar/ff7/data/battle/battle.lgp/iubu.png","View Picture")</f>
        <v>View Picture</v>
      </c>
    </row>
    <row r="5100">
      <c r="A5100" s="55"/>
      <c r="B5100" s="119" t="s">
        <v>36995</v>
      </c>
      <c r="C5100" s="120" t="s">
        <v>8376</v>
      </c>
      <c r="D5100" s="33" t="s">
        <v>36969</v>
      </c>
      <c r="E5100" s="147" t="s">
        <v>1057</v>
      </c>
      <c r="F5100" s="121" t="s">
        <v>3009</v>
      </c>
      <c r="G5100" s="98" t="str">
        <f>HYPERLINK("http://mirror.ff7data.com.ar/ff7/data/battle/battle.lgp/iubv.png","View Picture")</f>
        <v>View Picture</v>
      </c>
    </row>
    <row r="5101">
      <c r="A5101" s="55"/>
      <c r="B5101" s="119" t="s">
        <v>36996</v>
      </c>
      <c r="C5101" s="120" t="s">
        <v>21725</v>
      </c>
      <c r="D5101" s="33" t="s">
        <v>36969</v>
      </c>
      <c r="E5101" s="147" t="s">
        <v>1057</v>
      </c>
      <c r="F5101" s="121" t="s">
        <v>3009</v>
      </c>
      <c r="G5101" s="98" t="str">
        <f>HYPERLINK("http://mirror.ff7data.com.ar/ff7/data/battle/battle.lgp/iubx.png","View Picture")</f>
        <v>View Picture</v>
      </c>
    </row>
    <row r="5102">
      <c r="A5102" s="55"/>
      <c r="B5102" s="119" t="s">
        <v>36997</v>
      </c>
      <c r="C5102" s="120" t="s">
        <v>4439</v>
      </c>
      <c r="D5102" s="33" t="s">
        <v>36969</v>
      </c>
      <c r="E5102" s="147" t="s">
        <v>1057</v>
      </c>
      <c r="F5102" s="121" t="s">
        <v>3009</v>
      </c>
      <c r="G5102" s="98" t="str">
        <f>HYPERLINK("http://mirror.ff7data.com.ar/ff7/data/battle/battle.lgp/iuby.png","View Picture")</f>
        <v>View Picture</v>
      </c>
    </row>
    <row r="5103">
      <c r="A5103" s="55"/>
      <c r="B5103" s="119" t="s">
        <v>36998</v>
      </c>
      <c r="C5103" s="120" t="s">
        <v>18731</v>
      </c>
      <c r="D5103" s="33" t="s">
        <v>36969</v>
      </c>
      <c r="E5103" s="147" t="s">
        <v>1057</v>
      </c>
      <c r="F5103" s="121" t="s">
        <v>3009</v>
      </c>
      <c r="G5103" s="98" t="str">
        <f>HYPERLINK("http://mirror.ff7data.com.ar/ff7/data/battle/battle.lgp/iubz.png","View Picture")</f>
        <v>View Picture</v>
      </c>
    </row>
    <row r="5104">
      <c r="A5104" s="55"/>
      <c r="B5104" s="119" t="s">
        <v>36999</v>
      </c>
      <c r="C5104" s="120" t="s">
        <v>4732</v>
      </c>
      <c r="D5104" s="33" t="s">
        <v>36969</v>
      </c>
      <c r="E5104" s="147" t="s">
        <v>1057</v>
      </c>
      <c r="F5104" s="121" t="s">
        <v>3009</v>
      </c>
      <c r="G5104" s="98" t="str">
        <f>HYPERLINK("http://mirror.ff7data.com.ar/ff7/data/battle/battle.lgp/iuca.png","View Picture")</f>
        <v>View Picture</v>
      </c>
    </row>
    <row r="5105">
      <c r="A5105" s="55"/>
      <c r="B5105" s="119" t="s">
        <v>37000</v>
      </c>
      <c r="C5105" s="120" t="s">
        <v>4288</v>
      </c>
      <c r="D5105" s="33" t="s">
        <v>36969</v>
      </c>
      <c r="E5105" s="147" t="s">
        <v>1057</v>
      </c>
      <c r="F5105" s="121" t="s">
        <v>3009</v>
      </c>
      <c r="G5105" s="98" t="str">
        <f>HYPERLINK("http://mirror.ff7data.com.ar/ff7/data/battle/battle.lgp/iucb.png","View Picture")</f>
        <v>View Picture</v>
      </c>
    </row>
    <row r="5106">
      <c r="A5106" s="55"/>
      <c r="B5106" s="119" t="s">
        <v>37001</v>
      </c>
      <c r="C5106" s="120" t="s">
        <v>4439</v>
      </c>
      <c r="D5106" s="33" t="s">
        <v>36969</v>
      </c>
      <c r="E5106" s="147" t="s">
        <v>1057</v>
      </c>
      <c r="F5106" s="121" t="s">
        <v>3009</v>
      </c>
      <c r="G5106" s="98" t="str">
        <f>HYPERLINK("http://mirror.ff7data.com.ar/ff7/data/battle/battle.lgp/iucc.png","View Picture")</f>
        <v>View Picture</v>
      </c>
    </row>
    <row r="5107">
      <c r="A5107" s="55"/>
      <c r="B5107" s="119" t="s">
        <v>37002</v>
      </c>
      <c r="C5107" s="120" t="s">
        <v>4217</v>
      </c>
      <c r="D5107" s="33" t="s">
        <v>36969</v>
      </c>
      <c r="E5107" s="147" t="s">
        <v>1057</v>
      </c>
      <c r="F5107" s="121" t="s">
        <v>3009</v>
      </c>
      <c r="G5107" s="98" t="str">
        <f>HYPERLINK("http://mirror.ff7data.com.ar/ff7/data/battle/battle.lgp/iucd.png","View Picture")</f>
        <v>View Picture</v>
      </c>
    </row>
    <row r="5108">
      <c r="A5108" s="55"/>
      <c r="B5108" s="119" t="s">
        <v>37003</v>
      </c>
      <c r="C5108" s="120" t="s">
        <v>4658</v>
      </c>
      <c r="D5108" s="33" t="s">
        <v>36969</v>
      </c>
      <c r="E5108" s="147" t="s">
        <v>1057</v>
      </c>
      <c r="F5108" s="121" t="s">
        <v>3009</v>
      </c>
      <c r="G5108" s="98" t="str">
        <f>HYPERLINK("http://mirror.ff7data.com.ar/ff7/data/battle/battle.lgp/iucf.png","View Picture")</f>
        <v>View Picture</v>
      </c>
    </row>
    <row r="5109">
      <c r="A5109" s="55"/>
      <c r="B5109" s="119" t="s">
        <v>37004</v>
      </c>
      <c r="C5109" s="120" t="s">
        <v>4439</v>
      </c>
      <c r="D5109" s="33" t="s">
        <v>36969</v>
      </c>
      <c r="E5109" s="147" t="s">
        <v>1057</v>
      </c>
      <c r="F5109" s="121" t="s">
        <v>3009</v>
      </c>
      <c r="G5109" s="98" t="str">
        <f>HYPERLINK("http://mirror.ff7data.com.ar/ff7/data/battle/battle.lgp/iucg.png","View Picture")</f>
        <v>View Picture</v>
      </c>
    </row>
    <row r="5110">
      <c r="A5110" s="55"/>
      <c r="B5110" s="119" t="s">
        <v>37005</v>
      </c>
      <c r="C5110" s="120" t="s">
        <v>37006</v>
      </c>
      <c r="D5110" s="33" t="s">
        <v>36969</v>
      </c>
      <c r="E5110" s="147" t="s">
        <v>1057</v>
      </c>
      <c r="F5110" s="121" t="s">
        <v>3009</v>
      </c>
      <c r="G5110" s="98" t="str">
        <f>HYPERLINK("http://mirror.ff7data.com.ar/ff7/data/battle/battle.lgp/iuch.png","View Picture")</f>
        <v>View Picture</v>
      </c>
    </row>
    <row r="5111">
      <c r="A5111" s="55"/>
      <c r="B5111" s="119" t="s">
        <v>37007</v>
      </c>
      <c r="C5111" s="120" t="s">
        <v>36619</v>
      </c>
      <c r="D5111" s="33" t="s">
        <v>36969</v>
      </c>
      <c r="E5111" s="147" t="s">
        <v>1057</v>
      </c>
      <c r="F5111" s="121" t="s">
        <v>3025</v>
      </c>
      <c r="H5111" s="46" t="s">
        <v>3002</v>
      </c>
    </row>
    <row r="5112">
      <c r="A5112" s="82"/>
      <c r="B5112" s="119" t="s">
        <v>37008</v>
      </c>
      <c r="C5112" s="120" t="s">
        <v>6789</v>
      </c>
      <c r="D5112" s="33" t="s">
        <v>37009</v>
      </c>
      <c r="E5112" s="51" t="s">
        <v>1063</v>
      </c>
      <c r="F5112" s="121" t="s">
        <v>2971</v>
      </c>
      <c r="G5112" s="98" t="str">
        <f>HYPERLINK("http://mirror.ff7data.com.ar/ff7/data/battle/battle.lgp/ivaa.png","View Picture")</f>
        <v>View Picture</v>
      </c>
    </row>
    <row r="5113">
      <c r="A5113" s="55"/>
      <c r="B5113" s="119" t="s">
        <v>37010</v>
      </c>
      <c r="C5113" s="120" t="s">
        <v>20511</v>
      </c>
      <c r="D5113" s="33" t="s">
        <v>37011</v>
      </c>
      <c r="E5113" s="51" t="s">
        <v>1063</v>
      </c>
      <c r="F5113" s="121" t="s">
        <v>2993</v>
      </c>
      <c r="H5113" s="46" t="s">
        <v>3002</v>
      </c>
    </row>
    <row r="5114">
      <c r="A5114" s="82"/>
      <c r="B5114" s="119" t="s">
        <v>37012</v>
      </c>
      <c r="C5114" s="120" t="s">
        <v>7062</v>
      </c>
      <c r="D5114" s="33" t="s">
        <v>37013</v>
      </c>
      <c r="E5114" s="51" t="s">
        <v>1063</v>
      </c>
      <c r="F5114" s="121" t="s">
        <v>3009</v>
      </c>
      <c r="G5114" s="98" t="str">
        <f>HYPERLINK("http://mirror.ff7data.com.ar/ff7/data/battle/battle.lgp/ivay.png","View Picture")</f>
        <v>View Picture</v>
      </c>
    </row>
    <row r="5115">
      <c r="A5115" s="55"/>
      <c r="B5115" s="119" t="s">
        <v>37014</v>
      </c>
      <c r="C5115" s="120" t="s">
        <v>15135</v>
      </c>
      <c r="D5115" s="33" t="s">
        <v>37011</v>
      </c>
      <c r="E5115" s="51" t="s">
        <v>1063</v>
      </c>
      <c r="F5115" s="121" t="s">
        <v>3025</v>
      </c>
      <c r="H5115" s="46" t="s">
        <v>3002</v>
      </c>
    </row>
    <row r="5116">
      <c r="A5116" s="55"/>
      <c r="B5116" s="119" t="s">
        <v>37015</v>
      </c>
      <c r="C5116" s="120" t="s">
        <v>9973</v>
      </c>
      <c r="D5116" s="33" t="s">
        <v>37016</v>
      </c>
      <c r="E5116" s="147" t="s">
        <v>1069</v>
      </c>
      <c r="F5116" s="121" t="s">
        <v>2971</v>
      </c>
      <c r="G5116" s="98" t="str">
        <f>HYPERLINK("http://mirror.ff7data.com.ar/ff7/data/battle/battle.lgp/iwaa.png","View Picture")</f>
        <v>View Picture</v>
      </c>
      <c r="H5116" s="46" t="s">
        <v>37017</v>
      </c>
    </row>
    <row r="5117">
      <c r="A5117" s="55"/>
      <c r="B5117" s="119" t="s">
        <v>37018</v>
      </c>
      <c r="C5117" s="120" t="s">
        <v>9790</v>
      </c>
      <c r="D5117" s="33" t="s">
        <v>37019</v>
      </c>
      <c r="E5117" s="147" t="s">
        <v>1069</v>
      </c>
      <c r="F5117" s="121" t="s">
        <v>2993</v>
      </c>
      <c r="H5117" s="46" t="s">
        <v>3002</v>
      </c>
    </row>
    <row r="5118">
      <c r="A5118" s="55"/>
      <c r="B5118" s="119" t="s">
        <v>37020</v>
      </c>
      <c r="C5118" s="120" t="s">
        <v>6029</v>
      </c>
      <c r="D5118" s="33" t="s">
        <v>37019</v>
      </c>
      <c r="E5118" s="147" t="s">
        <v>1069</v>
      </c>
      <c r="F5118" s="121" t="s">
        <v>3009</v>
      </c>
      <c r="G5118" s="98" t="str">
        <f>HYPERLINK("http://mirror.ff7data.com.ar/ff7/data/battle/battle.lgp/iwam.png","View Picture")</f>
        <v>View Picture</v>
      </c>
    </row>
    <row r="5119">
      <c r="A5119" s="55"/>
      <c r="B5119" s="119" t="s">
        <v>37021</v>
      </c>
      <c r="C5119" s="120" t="s">
        <v>6029</v>
      </c>
      <c r="D5119" s="33" t="s">
        <v>37019</v>
      </c>
      <c r="E5119" s="147" t="s">
        <v>1069</v>
      </c>
      <c r="F5119" s="121" t="s">
        <v>3009</v>
      </c>
      <c r="G5119" s="98" t="str">
        <f>HYPERLINK("http://mirror.ff7data.com.ar/ff7/data/battle/battle.lgp/iwan.png","View Picture")</f>
        <v>View Picture</v>
      </c>
    </row>
    <row r="5120">
      <c r="A5120" s="55"/>
      <c r="B5120" s="119" t="s">
        <v>37022</v>
      </c>
      <c r="C5120" s="120" t="s">
        <v>4357</v>
      </c>
      <c r="D5120" s="33" t="s">
        <v>37019</v>
      </c>
      <c r="E5120" s="147" t="s">
        <v>1069</v>
      </c>
      <c r="F5120" s="121" t="s">
        <v>3009</v>
      </c>
      <c r="G5120" s="98" t="str">
        <f>HYPERLINK("http://mirror.ff7data.com.ar/ff7/data/battle/battle.lgp/iwao.png","View Picture")</f>
        <v>View Picture</v>
      </c>
    </row>
    <row r="5121">
      <c r="A5121" s="55"/>
      <c r="B5121" s="119" t="s">
        <v>37023</v>
      </c>
      <c r="C5121" s="120" t="s">
        <v>4185</v>
      </c>
      <c r="D5121" s="33" t="s">
        <v>37019</v>
      </c>
      <c r="E5121" s="147" t="s">
        <v>1069</v>
      </c>
      <c r="F5121" s="121" t="s">
        <v>3009</v>
      </c>
      <c r="G5121" s="98" t="str">
        <f>HYPERLINK("http://mirror.ff7data.com.ar/ff7/data/battle/battle.lgp/iwap.png","View Picture")</f>
        <v>View Picture</v>
      </c>
    </row>
    <row r="5122">
      <c r="A5122" s="55"/>
      <c r="B5122" s="119" t="s">
        <v>37024</v>
      </c>
      <c r="C5122" s="120" t="s">
        <v>4185</v>
      </c>
      <c r="D5122" s="33" t="s">
        <v>37019</v>
      </c>
      <c r="E5122" s="147" t="s">
        <v>1069</v>
      </c>
      <c r="F5122" s="121" t="s">
        <v>3009</v>
      </c>
      <c r="G5122" s="98" t="str">
        <f>HYPERLINK("http://mirror.ff7data.com.ar/ff7/data/battle/battle.lgp/iwaq.png","View Picture")</f>
        <v>View Picture</v>
      </c>
    </row>
    <row r="5123">
      <c r="A5123" s="55"/>
      <c r="B5123" s="119" t="s">
        <v>37025</v>
      </c>
      <c r="C5123" s="120" t="s">
        <v>4057</v>
      </c>
      <c r="D5123" s="33" t="s">
        <v>37019</v>
      </c>
      <c r="E5123" s="147" t="s">
        <v>1069</v>
      </c>
      <c r="F5123" s="121" t="s">
        <v>3009</v>
      </c>
      <c r="G5123" s="98" t="str">
        <f>HYPERLINK("http://mirror.ff7data.com.ar/ff7/data/battle/battle.lgp/iwar.png","View Picture")</f>
        <v>View Picture</v>
      </c>
    </row>
    <row r="5124">
      <c r="A5124" s="55"/>
      <c r="B5124" s="119" t="s">
        <v>37026</v>
      </c>
      <c r="C5124" s="120" t="s">
        <v>3412</v>
      </c>
      <c r="D5124" s="33" t="s">
        <v>37019</v>
      </c>
      <c r="E5124" s="147" t="s">
        <v>1069</v>
      </c>
      <c r="F5124" s="121" t="s">
        <v>3009</v>
      </c>
      <c r="G5124" s="98" t="str">
        <f>HYPERLINK("http://mirror.ff7data.com.ar/ff7/data/battle/battle.lgp/iwat.png","View Picture")</f>
        <v>View Picture</v>
      </c>
    </row>
    <row r="5125">
      <c r="A5125" s="55"/>
      <c r="B5125" s="119" t="s">
        <v>37027</v>
      </c>
      <c r="C5125" s="120" t="s">
        <v>18144</v>
      </c>
      <c r="D5125" s="33" t="s">
        <v>37019</v>
      </c>
      <c r="E5125" s="147" t="s">
        <v>1069</v>
      </c>
      <c r="F5125" s="121" t="s">
        <v>3009</v>
      </c>
      <c r="G5125" s="98" t="str">
        <f>HYPERLINK("http://mirror.ff7data.com.ar/ff7/data/battle/battle.lgp/iwau.png","View Picture")</f>
        <v>View Picture</v>
      </c>
    </row>
    <row r="5126">
      <c r="A5126" s="55"/>
      <c r="B5126" s="119" t="s">
        <v>37028</v>
      </c>
      <c r="C5126" s="120" t="s">
        <v>4357</v>
      </c>
      <c r="D5126" s="33" t="s">
        <v>37019</v>
      </c>
      <c r="E5126" s="147" t="s">
        <v>1069</v>
      </c>
      <c r="F5126" s="121" t="s">
        <v>3009</v>
      </c>
      <c r="G5126" s="98" t="str">
        <f>HYPERLINK("http://mirror.ff7data.com.ar/ff7/data/battle/battle.lgp/iwaw.png","View Picture")</f>
        <v>View Picture</v>
      </c>
    </row>
    <row r="5127">
      <c r="A5127" s="55"/>
      <c r="B5127" s="119" t="s">
        <v>37029</v>
      </c>
      <c r="C5127" s="120" t="s">
        <v>4476</v>
      </c>
      <c r="D5127" s="33" t="s">
        <v>37019</v>
      </c>
      <c r="E5127" s="147" t="s">
        <v>1069</v>
      </c>
      <c r="F5127" s="121" t="s">
        <v>3009</v>
      </c>
      <c r="G5127" s="98" t="str">
        <f>HYPERLINK("http://mirror.ff7data.com.ar/ff7/data/battle/battle.lgp/iwax.png","View Picture")</f>
        <v>View Picture</v>
      </c>
    </row>
    <row r="5128">
      <c r="A5128" s="55"/>
      <c r="B5128" s="119" t="s">
        <v>37030</v>
      </c>
      <c r="C5128" s="120" t="s">
        <v>4217</v>
      </c>
      <c r="D5128" s="33" t="s">
        <v>37019</v>
      </c>
      <c r="E5128" s="147" t="s">
        <v>1069</v>
      </c>
      <c r="F5128" s="121" t="s">
        <v>3009</v>
      </c>
      <c r="G5128" s="98" t="str">
        <f>HYPERLINK("http://mirror.ff7data.com.ar/ff7/data/battle/battle.lgp/iwaz.png","View Picture")</f>
        <v>View Picture</v>
      </c>
    </row>
    <row r="5129">
      <c r="A5129" s="55"/>
      <c r="B5129" s="119" t="s">
        <v>37031</v>
      </c>
      <c r="C5129" s="120" t="s">
        <v>4057</v>
      </c>
      <c r="D5129" s="33" t="s">
        <v>37019</v>
      </c>
      <c r="E5129" s="147" t="s">
        <v>1069</v>
      </c>
      <c r="F5129" s="121" t="s">
        <v>3009</v>
      </c>
      <c r="G5129" s="98" t="str">
        <f>HYPERLINK("http://mirror.ff7data.com.ar/ff7/data/battle/battle.lgp/iwba.png","View Picture")</f>
        <v>View Picture</v>
      </c>
    </row>
    <row r="5130">
      <c r="A5130" s="55"/>
      <c r="B5130" s="119" t="s">
        <v>37032</v>
      </c>
      <c r="C5130" s="120" t="s">
        <v>7165</v>
      </c>
      <c r="D5130" s="33" t="s">
        <v>37019</v>
      </c>
      <c r="E5130" s="147" t="s">
        <v>1069</v>
      </c>
      <c r="F5130" s="121" t="s">
        <v>3009</v>
      </c>
      <c r="G5130" s="98" t="str">
        <f>HYPERLINK("http://mirror.ff7data.com.ar/ff7/data/battle/battle.lgp/iwbd.png","View Picture")</f>
        <v>View Picture</v>
      </c>
    </row>
    <row r="5131">
      <c r="A5131" s="55"/>
      <c r="B5131" s="119" t="s">
        <v>37033</v>
      </c>
      <c r="C5131" s="120" t="s">
        <v>4185</v>
      </c>
      <c r="D5131" s="33" t="s">
        <v>37019</v>
      </c>
      <c r="E5131" s="147" t="s">
        <v>1069</v>
      </c>
      <c r="F5131" s="121" t="s">
        <v>3009</v>
      </c>
      <c r="G5131" s="98" t="str">
        <f>HYPERLINK("http://mirror.ff7data.com.ar/ff7/data/battle/battle.lgp/iwbe.png","View Picture")</f>
        <v>View Picture</v>
      </c>
    </row>
    <row r="5132">
      <c r="A5132" s="55"/>
      <c r="B5132" s="119" t="s">
        <v>37034</v>
      </c>
      <c r="C5132" s="120" t="s">
        <v>4217</v>
      </c>
      <c r="D5132" s="33" t="s">
        <v>37019</v>
      </c>
      <c r="E5132" s="147" t="s">
        <v>1069</v>
      </c>
      <c r="F5132" s="121" t="s">
        <v>3009</v>
      </c>
      <c r="G5132" s="98" t="str">
        <f>HYPERLINK("http://mirror.ff7data.com.ar/ff7/data/battle/battle.lgp/iwbg.png","View Picture")</f>
        <v>View Picture</v>
      </c>
    </row>
    <row r="5133">
      <c r="A5133" s="55"/>
      <c r="B5133" s="119" t="s">
        <v>37035</v>
      </c>
      <c r="C5133" s="120" t="s">
        <v>4057</v>
      </c>
      <c r="D5133" s="33" t="s">
        <v>37019</v>
      </c>
      <c r="E5133" s="147" t="s">
        <v>1069</v>
      </c>
      <c r="F5133" s="121" t="s">
        <v>3009</v>
      </c>
      <c r="G5133" s="98" t="str">
        <f>HYPERLINK("http://mirror.ff7data.com.ar/ff7/data/battle/battle.lgp/iwbh.png","View Picture")</f>
        <v>View Picture</v>
      </c>
    </row>
    <row r="5134">
      <c r="A5134" s="55"/>
      <c r="B5134" s="119" t="s">
        <v>37036</v>
      </c>
      <c r="C5134" s="120" t="s">
        <v>4476</v>
      </c>
      <c r="D5134" s="33" t="s">
        <v>37019</v>
      </c>
      <c r="E5134" s="147" t="s">
        <v>1069</v>
      </c>
      <c r="F5134" s="121" t="s">
        <v>3009</v>
      </c>
      <c r="G5134" s="98" t="str">
        <f>HYPERLINK("http://mirror.ff7data.com.ar/ff7/data/battle/battle.lgp/iwbl.png","View Picture")</f>
        <v>View Picture</v>
      </c>
    </row>
    <row r="5135">
      <c r="A5135" s="55"/>
      <c r="B5135" s="119" t="s">
        <v>37037</v>
      </c>
      <c r="C5135" s="120" t="s">
        <v>4185</v>
      </c>
      <c r="D5135" s="33" t="s">
        <v>37019</v>
      </c>
      <c r="E5135" s="147" t="s">
        <v>1069</v>
      </c>
      <c r="F5135" s="121" t="s">
        <v>3009</v>
      </c>
      <c r="G5135" s="98" t="str">
        <f>HYPERLINK("http://mirror.ff7data.com.ar/ff7/data/battle/battle.lgp/iwbm.png","View Picture")</f>
        <v>View Picture</v>
      </c>
    </row>
    <row r="5136">
      <c r="A5136" s="55"/>
      <c r="B5136" s="119" t="s">
        <v>37038</v>
      </c>
      <c r="C5136" s="120" t="s">
        <v>4439</v>
      </c>
      <c r="D5136" s="33" t="s">
        <v>37019</v>
      </c>
      <c r="E5136" s="147" t="s">
        <v>1069</v>
      </c>
      <c r="F5136" s="121" t="s">
        <v>3009</v>
      </c>
      <c r="G5136" s="98" t="str">
        <f>HYPERLINK("http://mirror.ff7data.com.ar/ff7/data/battle/battle.lgp/iwbn.png","View Picture")</f>
        <v>View Picture</v>
      </c>
    </row>
    <row r="5137">
      <c r="A5137" s="55"/>
      <c r="B5137" s="119" t="s">
        <v>37039</v>
      </c>
      <c r="C5137" s="120" t="s">
        <v>4288</v>
      </c>
      <c r="D5137" s="33" t="s">
        <v>37019</v>
      </c>
      <c r="E5137" s="147" t="s">
        <v>1069</v>
      </c>
      <c r="F5137" s="121" t="s">
        <v>3009</v>
      </c>
      <c r="G5137" s="98" t="str">
        <f>HYPERLINK("http://mirror.ff7data.com.ar/ff7/data/battle/battle.lgp/iwbp.png","View Picture")</f>
        <v>View Picture</v>
      </c>
    </row>
    <row r="5138">
      <c r="A5138" s="55"/>
      <c r="B5138" s="119" t="s">
        <v>37040</v>
      </c>
      <c r="C5138" s="120" t="s">
        <v>4288</v>
      </c>
      <c r="D5138" s="33" t="s">
        <v>37019</v>
      </c>
      <c r="E5138" s="147" t="s">
        <v>1069</v>
      </c>
      <c r="F5138" s="121" t="s">
        <v>3009</v>
      </c>
      <c r="G5138" s="98" t="str">
        <f>HYPERLINK("http://mirror.ff7data.com.ar/ff7/data/battle/battle.lgp/iwbq.png","View Picture")</f>
        <v>View Picture</v>
      </c>
    </row>
    <row r="5139">
      <c r="A5139" s="55"/>
      <c r="B5139" s="119" t="s">
        <v>37041</v>
      </c>
      <c r="C5139" s="120" t="s">
        <v>4264</v>
      </c>
      <c r="D5139" s="33" t="s">
        <v>37019</v>
      </c>
      <c r="E5139" s="147" t="s">
        <v>1069</v>
      </c>
      <c r="F5139" s="121" t="s">
        <v>3009</v>
      </c>
      <c r="G5139" s="98" t="str">
        <f>HYPERLINK("http://mirror.ff7data.com.ar/ff7/data/battle/battle.lgp/iwbr.png","View Picture")</f>
        <v>View Picture</v>
      </c>
    </row>
    <row r="5140">
      <c r="A5140" s="55"/>
      <c r="B5140" s="119" t="s">
        <v>37042</v>
      </c>
      <c r="C5140" s="120" t="s">
        <v>4288</v>
      </c>
      <c r="D5140" s="33" t="s">
        <v>37019</v>
      </c>
      <c r="E5140" s="147" t="s">
        <v>1069</v>
      </c>
      <c r="F5140" s="121" t="s">
        <v>3009</v>
      </c>
      <c r="G5140" s="98" t="str">
        <f>HYPERLINK("http://mirror.ff7data.com.ar/ff7/data/battle/battle.lgp/iwbs.png","View Picture")</f>
        <v>View Picture</v>
      </c>
    </row>
    <row r="5141">
      <c r="A5141" s="55"/>
      <c r="B5141" s="119" t="s">
        <v>37043</v>
      </c>
      <c r="C5141" s="120" t="s">
        <v>4288</v>
      </c>
      <c r="D5141" s="33" t="s">
        <v>37019</v>
      </c>
      <c r="E5141" s="147" t="s">
        <v>1069</v>
      </c>
      <c r="F5141" s="121" t="s">
        <v>3009</v>
      </c>
      <c r="G5141" s="98" t="str">
        <f>HYPERLINK("http://mirror.ff7data.com.ar/ff7/data/battle/battle.lgp/iwbt.png","View Picture")</f>
        <v>View Picture</v>
      </c>
    </row>
    <row r="5142">
      <c r="A5142" s="55"/>
      <c r="B5142" s="119" t="s">
        <v>37044</v>
      </c>
      <c r="C5142" s="120" t="s">
        <v>3842</v>
      </c>
      <c r="D5142" s="33" t="s">
        <v>37019</v>
      </c>
      <c r="E5142" s="147" t="s">
        <v>1069</v>
      </c>
      <c r="F5142" s="121" t="s">
        <v>3009</v>
      </c>
      <c r="G5142" s="98" t="str">
        <f>HYPERLINK("http://mirror.ff7data.com.ar/ff7/data/battle/battle.lgp/iwbu.png","View Picture")</f>
        <v>View Picture</v>
      </c>
    </row>
    <row r="5143">
      <c r="A5143" s="55"/>
      <c r="B5143" s="119" t="s">
        <v>37045</v>
      </c>
      <c r="C5143" s="120" t="s">
        <v>4185</v>
      </c>
      <c r="D5143" s="33" t="s">
        <v>37019</v>
      </c>
      <c r="E5143" s="147" t="s">
        <v>1069</v>
      </c>
      <c r="F5143" s="121" t="s">
        <v>3009</v>
      </c>
      <c r="G5143" s="98" t="str">
        <f>HYPERLINK("http://mirror.ff7data.com.ar/ff7/data/battle/battle.lgp/iwbx.png","View Picture")</f>
        <v>View Picture</v>
      </c>
    </row>
    <row r="5144">
      <c r="A5144" s="55"/>
      <c r="B5144" s="119" t="s">
        <v>37046</v>
      </c>
      <c r="C5144" s="120" t="s">
        <v>4185</v>
      </c>
      <c r="D5144" s="33" t="s">
        <v>37019</v>
      </c>
      <c r="E5144" s="147" t="s">
        <v>1069</v>
      </c>
      <c r="F5144" s="121" t="s">
        <v>3009</v>
      </c>
      <c r="G5144" s="98" t="str">
        <f>HYPERLINK("http://mirror.ff7data.com.ar/ff7/data/battle/battle.lgp/iwby.png","View Picture")</f>
        <v>View Picture</v>
      </c>
    </row>
    <row r="5145">
      <c r="A5145" s="55"/>
      <c r="B5145" s="119" t="s">
        <v>37047</v>
      </c>
      <c r="C5145" s="120" t="s">
        <v>4439</v>
      </c>
      <c r="D5145" s="33" t="s">
        <v>37019</v>
      </c>
      <c r="E5145" s="147" t="s">
        <v>1069</v>
      </c>
      <c r="F5145" s="121" t="s">
        <v>3009</v>
      </c>
      <c r="G5145" s="98" t="str">
        <f>HYPERLINK("http://mirror.ff7data.com.ar/ff7/data/battle/battle.lgp/iwbz.png","View Picture")</f>
        <v>View Picture</v>
      </c>
    </row>
    <row r="5146">
      <c r="A5146" s="55"/>
      <c r="B5146" s="119" t="s">
        <v>37048</v>
      </c>
      <c r="C5146" s="120" t="s">
        <v>4240</v>
      </c>
      <c r="D5146" s="33" t="s">
        <v>37019</v>
      </c>
      <c r="E5146" s="147" t="s">
        <v>1069</v>
      </c>
      <c r="F5146" s="121" t="s">
        <v>3025</v>
      </c>
      <c r="H5146" s="46" t="s">
        <v>3002</v>
      </c>
    </row>
    <row r="5147">
      <c r="A5147" s="55"/>
      <c r="B5147" s="119" t="s">
        <v>37049</v>
      </c>
      <c r="C5147" s="120" t="s">
        <v>6789</v>
      </c>
      <c r="D5147" s="33" t="s">
        <v>37050</v>
      </c>
      <c r="E5147" s="51" t="s">
        <v>1074</v>
      </c>
      <c r="F5147" s="121" t="s">
        <v>2971</v>
      </c>
      <c r="G5147" s="98" t="str">
        <f>HYPERLINK("http://mirror.ff7data.com.ar/ff7/data/battle/battle.lgp/ixaa.png","View Picture")</f>
        <v>View Picture</v>
      </c>
    </row>
    <row r="5148">
      <c r="A5148" s="55"/>
      <c r="B5148" s="119" t="s">
        <v>37051</v>
      </c>
      <c r="C5148" s="120" t="s">
        <v>3299</v>
      </c>
      <c r="D5148" s="33" t="s">
        <v>37052</v>
      </c>
      <c r="E5148" s="51" t="s">
        <v>1074</v>
      </c>
      <c r="F5148" s="121" t="s">
        <v>2993</v>
      </c>
      <c r="H5148" s="46" t="s">
        <v>3002</v>
      </c>
    </row>
    <row r="5149">
      <c r="A5149" s="55"/>
      <c r="B5149" s="119" t="s">
        <v>37053</v>
      </c>
      <c r="C5149" s="120" t="s">
        <v>3412</v>
      </c>
      <c r="D5149" s="33" t="s">
        <v>37052</v>
      </c>
      <c r="E5149" s="51" t="s">
        <v>1074</v>
      </c>
      <c r="F5149" s="121" t="s">
        <v>3009</v>
      </c>
      <c r="G5149" s="98" t="str">
        <f>HYPERLINK("http://mirror.ff7data.com.ar/ff7/data/battle/battle.lgp/ixam.png","View Picture")</f>
        <v>View Picture</v>
      </c>
    </row>
    <row r="5150">
      <c r="A5150" s="55"/>
      <c r="B5150" s="119" t="s">
        <v>37054</v>
      </c>
      <c r="C5150" s="120" t="s">
        <v>4357</v>
      </c>
      <c r="D5150" s="33" t="s">
        <v>37052</v>
      </c>
      <c r="E5150" s="51" t="s">
        <v>1074</v>
      </c>
      <c r="F5150" s="121" t="s">
        <v>3009</v>
      </c>
      <c r="G5150" s="98" t="str">
        <f>HYPERLINK("http://mirror.ff7data.com.ar/ff7/data/battle/battle.lgp/ixan.png","View Picture")</f>
        <v>View Picture</v>
      </c>
    </row>
    <row r="5151">
      <c r="A5151" s="55"/>
      <c r="B5151" s="119" t="s">
        <v>37055</v>
      </c>
      <c r="C5151" s="120" t="s">
        <v>4357</v>
      </c>
      <c r="D5151" s="33" t="s">
        <v>37052</v>
      </c>
      <c r="E5151" s="51" t="s">
        <v>1074</v>
      </c>
      <c r="F5151" s="121" t="s">
        <v>3009</v>
      </c>
      <c r="G5151" s="98" t="str">
        <f>HYPERLINK("http://mirror.ff7data.com.ar/ff7/data/battle/battle.lgp/ixao.png","View Picture")</f>
        <v>View Picture</v>
      </c>
    </row>
    <row r="5152">
      <c r="A5152" s="55"/>
      <c r="B5152" s="119" t="s">
        <v>37056</v>
      </c>
      <c r="C5152" s="120" t="s">
        <v>5419</v>
      </c>
      <c r="D5152" s="33" t="s">
        <v>37052</v>
      </c>
      <c r="E5152" s="51" t="s">
        <v>1074</v>
      </c>
      <c r="F5152" s="121" t="s">
        <v>3009</v>
      </c>
      <c r="G5152" s="98" t="str">
        <f>HYPERLINK("http://mirror.ff7data.com.ar/ff7/data/battle/battle.lgp/ixap.png","View Picture")</f>
        <v>View Picture</v>
      </c>
    </row>
    <row r="5153">
      <c r="A5153" s="55"/>
      <c r="B5153" s="119" t="s">
        <v>37057</v>
      </c>
      <c r="C5153" s="120" t="s">
        <v>4057</v>
      </c>
      <c r="D5153" s="33" t="s">
        <v>37052</v>
      </c>
      <c r="E5153" s="51" t="s">
        <v>1074</v>
      </c>
      <c r="F5153" s="121" t="s">
        <v>3009</v>
      </c>
      <c r="G5153" s="98" t="str">
        <f>HYPERLINK("http://mirror.ff7data.com.ar/ff7/data/battle/battle.lgp/ixaq.png","View Picture")</f>
        <v>View Picture</v>
      </c>
    </row>
    <row r="5154">
      <c r="A5154" s="55"/>
      <c r="B5154" s="119" t="s">
        <v>37058</v>
      </c>
      <c r="C5154" s="120" t="s">
        <v>4476</v>
      </c>
      <c r="D5154" s="33" t="s">
        <v>37052</v>
      </c>
      <c r="E5154" s="51" t="s">
        <v>1074</v>
      </c>
      <c r="F5154" s="121" t="s">
        <v>3009</v>
      </c>
      <c r="G5154" s="98" t="str">
        <f>HYPERLINK("http://mirror.ff7data.com.ar/ff7/data/battle/battle.lgp/ixar.png","View Picture")</f>
        <v>View Picture</v>
      </c>
    </row>
    <row r="5155">
      <c r="A5155" s="55"/>
      <c r="B5155" s="119" t="s">
        <v>37059</v>
      </c>
      <c r="C5155" s="120" t="s">
        <v>3614</v>
      </c>
      <c r="D5155" s="33" t="s">
        <v>37052</v>
      </c>
      <c r="E5155" s="51" t="s">
        <v>1074</v>
      </c>
      <c r="F5155" s="121" t="s">
        <v>3009</v>
      </c>
      <c r="G5155" s="98" t="str">
        <f>HYPERLINK("http://mirror.ff7data.com.ar/ff7/data/battle/battle.lgp/ixas.png","View Picture")</f>
        <v>View Picture</v>
      </c>
    </row>
    <row r="5156">
      <c r="A5156" s="55"/>
      <c r="B5156" s="119" t="s">
        <v>37060</v>
      </c>
      <c r="C5156" s="120" t="s">
        <v>7301</v>
      </c>
      <c r="D5156" s="33" t="s">
        <v>37052</v>
      </c>
      <c r="E5156" s="51" t="s">
        <v>1074</v>
      </c>
      <c r="F5156" s="121" t="s">
        <v>3009</v>
      </c>
      <c r="G5156" s="98" t="str">
        <f>HYPERLINK("http://mirror.ff7data.com.ar/ff7/data/battle/battle.lgp/ixat.png","View Picture")</f>
        <v>View Picture</v>
      </c>
    </row>
    <row r="5157">
      <c r="A5157" s="55"/>
      <c r="B5157" s="119" t="s">
        <v>37061</v>
      </c>
      <c r="C5157" s="120" t="s">
        <v>5419</v>
      </c>
      <c r="D5157" s="33" t="s">
        <v>37052</v>
      </c>
      <c r="E5157" s="51" t="s">
        <v>1074</v>
      </c>
      <c r="F5157" s="121" t="s">
        <v>3009</v>
      </c>
      <c r="G5157" s="98" t="str">
        <f>HYPERLINK("http://mirror.ff7data.com.ar/ff7/data/battle/battle.lgp/ixau.png","View Picture")</f>
        <v>View Picture</v>
      </c>
    </row>
    <row r="5158">
      <c r="A5158" s="55"/>
      <c r="B5158" s="119" t="s">
        <v>37062</v>
      </c>
      <c r="C5158" s="120" t="s">
        <v>4719</v>
      </c>
      <c r="D5158" s="33" t="s">
        <v>37052</v>
      </c>
      <c r="E5158" s="51" t="s">
        <v>1074</v>
      </c>
      <c r="F5158" s="121" t="s">
        <v>3009</v>
      </c>
      <c r="G5158" s="98" t="str">
        <f>HYPERLINK("http://mirror.ff7data.com.ar/ff7/data/battle/battle.lgp/ixav.png","View Picture")</f>
        <v>View Picture</v>
      </c>
    </row>
    <row r="5159">
      <c r="A5159" s="55"/>
      <c r="B5159" s="119" t="s">
        <v>37063</v>
      </c>
      <c r="C5159" s="120" t="s">
        <v>6018</v>
      </c>
      <c r="D5159" s="33" t="s">
        <v>37052</v>
      </c>
      <c r="E5159" s="51" t="s">
        <v>1074</v>
      </c>
      <c r="F5159" s="121" t="s">
        <v>3009</v>
      </c>
      <c r="G5159" s="98" t="str">
        <f>HYPERLINK("http://mirror.ff7data.com.ar/ff7/data/battle/battle.lgp/ixaw.png","View Picture")</f>
        <v>View Picture</v>
      </c>
    </row>
    <row r="5160">
      <c r="A5160" s="55"/>
      <c r="B5160" s="119" t="s">
        <v>37064</v>
      </c>
      <c r="C5160" s="120" t="s">
        <v>4252</v>
      </c>
      <c r="D5160" s="33" t="s">
        <v>37052</v>
      </c>
      <c r="E5160" s="51" t="s">
        <v>1074</v>
      </c>
      <c r="F5160" s="121" t="s">
        <v>3009</v>
      </c>
      <c r="G5160" s="98" t="str">
        <f>HYPERLINK("http://mirror.ff7data.com.ar/ff7/data/battle/battle.lgp/ixax.png","View Picture")</f>
        <v>View Picture</v>
      </c>
    </row>
    <row r="5161">
      <c r="A5161" s="55"/>
      <c r="B5161" s="119" t="s">
        <v>37065</v>
      </c>
      <c r="C5161" s="120" t="s">
        <v>7062</v>
      </c>
      <c r="D5161" s="33" t="s">
        <v>37052</v>
      </c>
      <c r="E5161" s="51" t="s">
        <v>1074</v>
      </c>
      <c r="F5161" s="121" t="s">
        <v>3009</v>
      </c>
      <c r="G5161" s="98" t="str">
        <f>HYPERLINK("http://mirror.ff7data.com.ar/ff7/data/battle/battle.lgp/ixaz.png","View Picture")</f>
        <v>View Picture</v>
      </c>
    </row>
    <row r="5162">
      <c r="A5162" s="55"/>
      <c r="B5162" s="119" t="s">
        <v>37066</v>
      </c>
      <c r="C5162" s="120" t="s">
        <v>4240</v>
      </c>
      <c r="D5162" s="33" t="s">
        <v>37052</v>
      </c>
      <c r="E5162" s="51" t="s">
        <v>1074</v>
      </c>
      <c r="F5162" s="121" t="s">
        <v>3009</v>
      </c>
      <c r="G5162" s="98" t="str">
        <f>HYPERLINK("http://mirror.ff7data.com.ar/ff7/data/battle/battle.lgp/ixbb.png","View Picture")</f>
        <v>View Picture</v>
      </c>
    </row>
    <row r="5163">
      <c r="A5163" s="55"/>
      <c r="B5163" s="119" t="s">
        <v>37067</v>
      </c>
      <c r="C5163" s="120" t="s">
        <v>19628</v>
      </c>
      <c r="D5163" s="33" t="s">
        <v>37052</v>
      </c>
      <c r="E5163" s="51" t="s">
        <v>1074</v>
      </c>
      <c r="F5163" s="121" t="s">
        <v>3009</v>
      </c>
      <c r="G5163" s="98" t="str">
        <f>HYPERLINK("http://mirror.ff7data.com.ar/ff7/data/battle/battle.lgp/ixbd.png","View Picture")</f>
        <v>View Picture</v>
      </c>
    </row>
    <row r="5164">
      <c r="A5164" s="55"/>
      <c r="B5164" s="119" t="s">
        <v>37068</v>
      </c>
      <c r="C5164" s="120" t="s">
        <v>5925</v>
      </c>
      <c r="D5164" s="33" t="s">
        <v>37052</v>
      </c>
      <c r="E5164" s="51" t="s">
        <v>1074</v>
      </c>
      <c r="F5164" s="121" t="s">
        <v>3009</v>
      </c>
      <c r="G5164" s="98" t="str">
        <f>HYPERLINK("http://mirror.ff7data.com.ar/ff7/data/battle/battle.lgp/ixbf.png","View Picture")</f>
        <v>View Picture</v>
      </c>
    </row>
    <row r="5165">
      <c r="A5165" s="55"/>
      <c r="B5165" s="119" t="s">
        <v>37069</v>
      </c>
      <c r="C5165" s="120" t="s">
        <v>3842</v>
      </c>
      <c r="D5165" s="33" t="s">
        <v>37052</v>
      </c>
      <c r="E5165" s="51" t="s">
        <v>1074</v>
      </c>
      <c r="F5165" s="121" t="s">
        <v>3009</v>
      </c>
      <c r="G5165" s="98" t="str">
        <f>HYPERLINK("http://mirror.ff7data.com.ar/ff7/data/battle/battle.lgp/ixbh.png","View Picture")</f>
        <v>View Picture</v>
      </c>
    </row>
    <row r="5166">
      <c r="A5166" s="55"/>
      <c r="B5166" s="119" t="s">
        <v>37070</v>
      </c>
      <c r="C5166" s="120" t="s">
        <v>4396</v>
      </c>
      <c r="D5166" s="33" t="s">
        <v>37052</v>
      </c>
      <c r="E5166" s="51" t="s">
        <v>1074</v>
      </c>
      <c r="F5166" s="121" t="s">
        <v>3009</v>
      </c>
      <c r="G5166" s="98" t="str">
        <f>HYPERLINK("http://mirror.ff7data.com.ar/ff7/data/battle/battle.lgp/ixbi.png","View Picture")</f>
        <v>View Picture</v>
      </c>
    </row>
    <row r="5167">
      <c r="A5167" s="55"/>
      <c r="B5167" s="119" t="s">
        <v>37071</v>
      </c>
      <c r="C5167" s="120" t="s">
        <v>3481</v>
      </c>
      <c r="D5167" s="33" t="s">
        <v>37052</v>
      </c>
      <c r="E5167" s="51" t="s">
        <v>1074</v>
      </c>
      <c r="F5167" s="121" t="s">
        <v>3009</v>
      </c>
      <c r="G5167" s="98" t="str">
        <f>HYPERLINK("http://mirror.ff7data.com.ar/ff7/data/battle/battle.lgp/ixbj.png","View Picture")</f>
        <v>View Picture</v>
      </c>
    </row>
    <row r="5168">
      <c r="A5168" s="55"/>
      <c r="B5168" s="119" t="s">
        <v>37072</v>
      </c>
      <c r="C5168" s="120" t="s">
        <v>3842</v>
      </c>
      <c r="D5168" s="33" t="s">
        <v>37052</v>
      </c>
      <c r="E5168" s="51" t="s">
        <v>1074</v>
      </c>
      <c r="F5168" s="121" t="s">
        <v>3009</v>
      </c>
      <c r="G5168" s="98" t="str">
        <f>HYPERLINK("http://mirror.ff7data.com.ar/ff7/data/battle/battle.lgp/ixbl.png","View Picture")</f>
        <v>View Picture</v>
      </c>
    </row>
    <row r="5169">
      <c r="A5169" s="55"/>
      <c r="B5169" s="119" t="s">
        <v>37073</v>
      </c>
      <c r="C5169" s="120" t="s">
        <v>4396</v>
      </c>
      <c r="D5169" s="33" t="s">
        <v>37052</v>
      </c>
      <c r="E5169" s="51" t="s">
        <v>1074</v>
      </c>
      <c r="F5169" s="121" t="s">
        <v>3009</v>
      </c>
      <c r="G5169" s="98" t="str">
        <f>HYPERLINK("http://mirror.ff7data.com.ar/ff7/data/battle/battle.lgp/ixbm.png","View Picture")</f>
        <v>View Picture</v>
      </c>
    </row>
    <row r="5170">
      <c r="A5170" s="55"/>
      <c r="B5170" s="119" t="s">
        <v>37074</v>
      </c>
      <c r="C5170" s="120" t="s">
        <v>3481</v>
      </c>
      <c r="D5170" s="33" t="s">
        <v>37052</v>
      </c>
      <c r="E5170" s="51" t="s">
        <v>1074</v>
      </c>
      <c r="F5170" s="121" t="s">
        <v>3009</v>
      </c>
      <c r="G5170" s="98" t="str">
        <f>HYPERLINK("http://mirror.ff7data.com.ar/ff7/data/battle/battle.lgp/ixbn.png","View Picture")</f>
        <v>View Picture</v>
      </c>
    </row>
    <row r="5171">
      <c r="A5171" s="55"/>
      <c r="B5171" s="119" t="s">
        <v>37075</v>
      </c>
      <c r="C5171" s="120" t="s">
        <v>3749</v>
      </c>
      <c r="D5171" s="33" t="s">
        <v>37052</v>
      </c>
      <c r="E5171" s="51" t="s">
        <v>1074</v>
      </c>
      <c r="F5171" s="121" t="s">
        <v>3009</v>
      </c>
      <c r="G5171" s="98" t="str">
        <f>HYPERLINK("http://mirror.ff7data.com.ar/ff7/data/battle/battle.lgp/ixbq.png","View Picture")</f>
        <v>View Picture</v>
      </c>
    </row>
    <row r="5172">
      <c r="A5172" s="55"/>
      <c r="B5172" s="119" t="s">
        <v>37076</v>
      </c>
      <c r="C5172" s="120" t="s">
        <v>3723</v>
      </c>
      <c r="D5172" s="33" t="s">
        <v>37052</v>
      </c>
      <c r="E5172" s="51" t="s">
        <v>1074</v>
      </c>
      <c r="F5172" s="121" t="s">
        <v>3009</v>
      </c>
      <c r="G5172" s="98" t="str">
        <f>HYPERLINK("http://mirror.ff7data.com.ar/ff7/data/battle/battle.lgp/ixbr.png","View Picture")</f>
        <v>View Picture</v>
      </c>
    </row>
    <row r="5173">
      <c r="A5173" s="55"/>
      <c r="B5173" s="119" t="s">
        <v>37077</v>
      </c>
      <c r="C5173" s="120" t="s">
        <v>14030</v>
      </c>
      <c r="D5173" s="33" t="s">
        <v>37052</v>
      </c>
      <c r="E5173" s="51" t="s">
        <v>1074</v>
      </c>
      <c r="F5173" s="121" t="s">
        <v>3009</v>
      </c>
      <c r="G5173" s="98" t="str">
        <f>HYPERLINK("http://mirror.ff7data.com.ar/ff7/data/battle/battle.lgp/ixbs.png","View Picture")</f>
        <v>View Picture</v>
      </c>
    </row>
    <row r="5174">
      <c r="A5174" s="55"/>
      <c r="B5174" s="119" t="s">
        <v>37078</v>
      </c>
      <c r="C5174" s="120" t="s">
        <v>5891</v>
      </c>
      <c r="D5174" s="33" t="s">
        <v>37052</v>
      </c>
      <c r="E5174" s="51" t="s">
        <v>1074</v>
      </c>
      <c r="F5174" s="121" t="s">
        <v>3009</v>
      </c>
      <c r="G5174" s="98" t="str">
        <f>HYPERLINK("http://mirror.ff7data.com.ar/ff7/data/battle/battle.lgp/ixbu.png","View Picture")</f>
        <v>View Picture</v>
      </c>
    </row>
    <row r="5175">
      <c r="A5175" s="55"/>
      <c r="B5175" s="119" t="s">
        <v>37079</v>
      </c>
      <c r="C5175" s="120" t="s">
        <v>4396</v>
      </c>
      <c r="D5175" s="33" t="s">
        <v>37052</v>
      </c>
      <c r="E5175" s="51" t="s">
        <v>1074</v>
      </c>
      <c r="F5175" s="121" t="s">
        <v>3009</v>
      </c>
      <c r="G5175" s="98" t="str">
        <f>HYPERLINK("http://mirror.ff7data.com.ar/ff7/data/battle/battle.lgp/ixbv.png","View Picture")</f>
        <v>View Picture</v>
      </c>
    </row>
    <row r="5176">
      <c r="A5176" s="55"/>
      <c r="B5176" s="119" t="s">
        <v>37080</v>
      </c>
      <c r="C5176" s="120" t="s">
        <v>4732</v>
      </c>
      <c r="D5176" s="33" t="s">
        <v>37052</v>
      </c>
      <c r="E5176" s="51" t="s">
        <v>1074</v>
      </c>
      <c r="F5176" s="121" t="s">
        <v>3009</v>
      </c>
      <c r="G5176" s="98" t="str">
        <f>HYPERLINK("http://mirror.ff7data.com.ar/ff7/data/battle/battle.lgp/ixbw.png","View Picture")</f>
        <v>View Picture</v>
      </c>
    </row>
    <row r="5177">
      <c r="A5177" s="55"/>
      <c r="B5177" s="119" t="s">
        <v>37081</v>
      </c>
      <c r="C5177" s="120" t="s">
        <v>3658</v>
      </c>
      <c r="D5177" s="33" t="s">
        <v>37052</v>
      </c>
      <c r="E5177" s="51" t="s">
        <v>1074</v>
      </c>
      <c r="F5177" s="121" t="s">
        <v>3009</v>
      </c>
      <c r="G5177" s="98" t="str">
        <f>HYPERLINK("http://mirror.ff7data.com.ar/ff7/data/battle/battle.lgp/ixby.png","View Picture")</f>
        <v>View Picture</v>
      </c>
    </row>
    <row r="5178">
      <c r="A5178" s="55"/>
      <c r="B5178" s="119" t="s">
        <v>37082</v>
      </c>
      <c r="C5178" s="120" t="s">
        <v>4185</v>
      </c>
      <c r="D5178" s="33" t="s">
        <v>37052</v>
      </c>
      <c r="E5178" s="51" t="s">
        <v>1074</v>
      </c>
      <c r="F5178" s="121" t="s">
        <v>3009</v>
      </c>
      <c r="G5178" s="98" t="str">
        <f>HYPERLINK("http://mirror.ff7data.com.ar/ff7/data/battle/battle.lgp/ixbz.png","View Picture")</f>
        <v>View Picture</v>
      </c>
    </row>
    <row r="5179">
      <c r="A5179" s="55"/>
      <c r="B5179" s="119" t="s">
        <v>37083</v>
      </c>
      <c r="C5179" s="120" t="s">
        <v>7081</v>
      </c>
      <c r="D5179" s="33" t="s">
        <v>37052</v>
      </c>
      <c r="E5179" s="51" t="s">
        <v>1074</v>
      </c>
      <c r="F5179" s="121" t="s">
        <v>3009</v>
      </c>
      <c r="G5179" s="98" t="str">
        <f>HYPERLINK("http://mirror.ff7data.com.ar/ff7/data/battle/battle.lgp/ixca.png","View Picture")</f>
        <v>View Picture</v>
      </c>
    </row>
    <row r="5180">
      <c r="A5180" s="55"/>
      <c r="B5180" s="119" t="s">
        <v>37084</v>
      </c>
      <c r="C5180" s="120" t="s">
        <v>3658</v>
      </c>
      <c r="D5180" s="33" t="s">
        <v>37052</v>
      </c>
      <c r="E5180" s="51" t="s">
        <v>1074</v>
      </c>
      <c r="F5180" s="121" t="s">
        <v>3009</v>
      </c>
      <c r="G5180" s="98" t="str">
        <f>HYPERLINK("http://mirror.ff7data.com.ar/ff7/data/battle/battle.lgp/ixcc.png","View Picture")</f>
        <v>View Picture</v>
      </c>
    </row>
    <row r="5181">
      <c r="A5181" s="55"/>
      <c r="B5181" s="119" t="s">
        <v>37085</v>
      </c>
      <c r="C5181" s="120" t="s">
        <v>3648</v>
      </c>
      <c r="D5181" s="33" t="s">
        <v>37052</v>
      </c>
      <c r="E5181" s="51" t="s">
        <v>1074</v>
      </c>
      <c r="F5181" s="121" t="s">
        <v>3009</v>
      </c>
      <c r="G5181" s="98" t="str">
        <f>HYPERLINK("http://mirror.ff7data.com.ar/ff7/data/battle/battle.lgp/ixcd.png","View Picture")</f>
        <v>View Picture</v>
      </c>
    </row>
    <row r="5182">
      <c r="A5182" s="55"/>
      <c r="B5182" s="119" t="s">
        <v>37086</v>
      </c>
      <c r="C5182" s="120" t="s">
        <v>5891</v>
      </c>
      <c r="D5182" s="33" t="s">
        <v>37052</v>
      </c>
      <c r="E5182" s="51" t="s">
        <v>1074</v>
      </c>
      <c r="F5182" s="121" t="s">
        <v>3009</v>
      </c>
      <c r="G5182" s="98" t="str">
        <f>HYPERLINK("http://mirror.ff7data.com.ar/ff7/data/battle/battle.lgp/ixcf.png","View Picture")</f>
        <v>View Picture</v>
      </c>
    </row>
    <row r="5183">
      <c r="A5183" s="55"/>
      <c r="B5183" s="119" t="s">
        <v>37087</v>
      </c>
      <c r="C5183" s="120" t="s">
        <v>4396</v>
      </c>
      <c r="D5183" s="33" t="s">
        <v>37052</v>
      </c>
      <c r="E5183" s="51" t="s">
        <v>1074</v>
      </c>
      <c r="F5183" s="121" t="s">
        <v>3009</v>
      </c>
      <c r="G5183" s="98" t="str">
        <f>HYPERLINK("http://mirror.ff7data.com.ar/ff7/data/battle/battle.lgp/ixcg.png","View Picture")</f>
        <v>View Picture</v>
      </c>
    </row>
    <row r="5184">
      <c r="A5184" s="55"/>
      <c r="B5184" s="119" t="s">
        <v>37088</v>
      </c>
      <c r="C5184" s="120" t="s">
        <v>4732</v>
      </c>
      <c r="D5184" s="33" t="s">
        <v>37052</v>
      </c>
      <c r="E5184" s="51" t="s">
        <v>1074</v>
      </c>
      <c r="F5184" s="121" t="s">
        <v>3009</v>
      </c>
      <c r="G5184" s="98" t="str">
        <f>HYPERLINK("http://mirror.ff7data.com.ar/ff7/data/battle/battle.lgp/ixch.png","View Picture")</f>
        <v>View Picture</v>
      </c>
    </row>
    <row r="5185">
      <c r="A5185" s="55"/>
      <c r="B5185" s="119" t="s">
        <v>37089</v>
      </c>
      <c r="C5185" s="120" t="s">
        <v>6018</v>
      </c>
      <c r="D5185" s="33" t="s">
        <v>37052</v>
      </c>
      <c r="E5185" s="51" t="s">
        <v>1074</v>
      </c>
      <c r="F5185" s="121" t="s">
        <v>3025</v>
      </c>
      <c r="H5185" s="46" t="s">
        <v>3002</v>
      </c>
    </row>
    <row r="5186">
      <c r="A5186" s="55"/>
      <c r="B5186" s="119" t="s">
        <v>37090</v>
      </c>
      <c r="C5186" s="120" t="s">
        <v>11721</v>
      </c>
      <c r="D5186" s="33" t="s">
        <v>37091</v>
      </c>
      <c r="E5186" s="147" t="s">
        <v>1078</v>
      </c>
      <c r="F5186" s="121" t="s">
        <v>2971</v>
      </c>
      <c r="G5186" s="98" t="str">
        <f>HYPERLINK("http://mirror.ff7data.com.ar/ff7/data/battle/battle.lgp/iyaa.png","View Picture")</f>
        <v>View Picture</v>
      </c>
    </row>
    <row r="5187">
      <c r="A5187" s="55"/>
      <c r="B5187" s="119" t="s">
        <v>37092</v>
      </c>
      <c r="C5187" s="120" t="s">
        <v>5724</v>
      </c>
      <c r="D5187" s="33" t="s">
        <v>37093</v>
      </c>
      <c r="E5187" s="147" t="s">
        <v>1078</v>
      </c>
      <c r="F5187" s="121" t="s">
        <v>2993</v>
      </c>
      <c r="H5187" s="46" t="s">
        <v>3002</v>
      </c>
    </row>
    <row r="5188">
      <c r="A5188" s="55"/>
      <c r="B5188" s="119" t="s">
        <v>37094</v>
      </c>
      <c r="C5188" s="120" t="s">
        <v>3552</v>
      </c>
      <c r="D5188" s="33" t="s">
        <v>37093</v>
      </c>
      <c r="E5188" s="147" t="s">
        <v>1078</v>
      </c>
      <c r="F5188" s="121" t="s">
        <v>1348</v>
      </c>
      <c r="G5188" s="98" t="str">
        <f>HYPERLINK("http://mirror.ff7data.com.ar/ff7/data/battle/battle.lgp/iyac.png","View Picture")</f>
        <v>View Picture</v>
      </c>
    </row>
    <row r="5189">
      <c r="A5189" s="55"/>
      <c r="B5189" s="119" t="s">
        <v>37095</v>
      </c>
      <c r="C5189" s="120" t="s">
        <v>3552</v>
      </c>
      <c r="D5189" s="33" t="s">
        <v>37093</v>
      </c>
      <c r="E5189" s="147" t="s">
        <v>1078</v>
      </c>
      <c r="F5189" s="121" t="s">
        <v>1348</v>
      </c>
      <c r="G5189" s="98" t="str">
        <f>HYPERLINK("http://mirror.ff7data.com.ar/ff7/data/battle/battle.lgp/iyad.png","View Picture")</f>
        <v>View Picture</v>
      </c>
    </row>
    <row r="5190">
      <c r="A5190" s="55"/>
      <c r="B5190" s="119" t="s">
        <v>37096</v>
      </c>
      <c r="C5190" s="120" t="s">
        <v>3552</v>
      </c>
      <c r="D5190" s="33" t="s">
        <v>37093</v>
      </c>
      <c r="E5190" s="147" t="s">
        <v>1078</v>
      </c>
      <c r="F5190" s="121" t="s">
        <v>1348</v>
      </c>
      <c r="G5190" s="98" t="str">
        <f>HYPERLINK("http://mirror.ff7data.com.ar/ff7/data/battle/battle.lgp/iyae.png","View Picture")</f>
        <v>View Picture</v>
      </c>
    </row>
    <row r="5191">
      <c r="A5191" s="55"/>
      <c r="B5191" s="119" t="s">
        <v>37097</v>
      </c>
      <c r="C5191" s="120" t="s">
        <v>4372</v>
      </c>
      <c r="D5191" s="33" t="s">
        <v>37093</v>
      </c>
      <c r="E5191" s="147" t="s">
        <v>1078</v>
      </c>
      <c r="F5191" s="121" t="s">
        <v>3009</v>
      </c>
      <c r="G5191" s="98" t="str">
        <f>HYPERLINK("http://mirror.ff7data.com.ar/ff7/data/battle/battle.lgp/iyam.png","View Picture")</f>
        <v>View Picture</v>
      </c>
    </row>
    <row r="5192">
      <c r="A5192" s="55"/>
      <c r="B5192" s="119" t="s">
        <v>37098</v>
      </c>
      <c r="C5192" s="120" t="s">
        <v>3648</v>
      </c>
      <c r="D5192" s="33" t="s">
        <v>37093</v>
      </c>
      <c r="E5192" s="147" t="s">
        <v>1078</v>
      </c>
      <c r="F5192" s="121" t="s">
        <v>3025</v>
      </c>
      <c r="H5192" s="46" t="s">
        <v>3002</v>
      </c>
    </row>
    <row r="5193">
      <c r="A5193" s="55"/>
      <c r="B5193" s="119" t="s">
        <v>37099</v>
      </c>
      <c r="C5193" s="120" t="s">
        <v>6802</v>
      </c>
      <c r="D5193" s="33" t="s">
        <v>37100</v>
      </c>
      <c r="E5193" s="51" t="s">
        <v>1083</v>
      </c>
      <c r="F5193" s="121" t="s">
        <v>2971</v>
      </c>
      <c r="G5193" s="98" t="str">
        <f>HYPERLINK("http://mirror.ff7data.com.ar/ff7/data/battle/battle.lgp/izaa.png","View Picture")</f>
        <v>View Picture</v>
      </c>
    </row>
    <row r="5194">
      <c r="A5194" s="55"/>
      <c r="B5194" s="119" t="s">
        <v>37101</v>
      </c>
      <c r="C5194" s="120" t="s">
        <v>4109</v>
      </c>
      <c r="D5194" s="33" t="s">
        <v>37102</v>
      </c>
      <c r="E5194" s="51" t="s">
        <v>1083</v>
      </c>
      <c r="F5194" s="121" t="s">
        <v>2993</v>
      </c>
      <c r="H5194" s="46" t="s">
        <v>3002</v>
      </c>
    </row>
    <row r="5195">
      <c r="A5195" s="55"/>
      <c r="B5195" s="119" t="s">
        <v>37103</v>
      </c>
      <c r="C5195" s="120" t="s">
        <v>36266</v>
      </c>
      <c r="D5195" s="33" t="s">
        <v>37102</v>
      </c>
      <c r="E5195" s="51" t="s">
        <v>1083</v>
      </c>
      <c r="F5195" s="121" t="s">
        <v>3009</v>
      </c>
      <c r="G5195" s="98" t="str">
        <f>HYPERLINK("http://mirror.ff7data.com.ar/ff7/data/battle/battle.lgp/izam.png","View Picture")</f>
        <v>View Picture</v>
      </c>
    </row>
    <row r="5196">
      <c r="A5196" s="55"/>
      <c r="B5196" s="119" t="s">
        <v>37104</v>
      </c>
      <c r="C5196" s="120" t="s">
        <v>4156</v>
      </c>
      <c r="D5196" s="33" t="s">
        <v>37102</v>
      </c>
      <c r="E5196" s="51" t="s">
        <v>1083</v>
      </c>
      <c r="F5196" s="121" t="s">
        <v>3009</v>
      </c>
      <c r="G5196" s="98" t="str">
        <f>HYPERLINK("http://mirror.ff7data.com.ar/ff7/data/battle/battle.lgp/izan.png","View Picture")</f>
        <v>View Picture</v>
      </c>
    </row>
    <row r="5197">
      <c r="A5197" s="55"/>
      <c r="B5197" s="119" t="s">
        <v>37105</v>
      </c>
      <c r="C5197" s="120" t="s">
        <v>4185</v>
      </c>
      <c r="D5197" s="33" t="s">
        <v>37102</v>
      </c>
      <c r="E5197" s="51" t="s">
        <v>1083</v>
      </c>
      <c r="F5197" s="121" t="s">
        <v>3009</v>
      </c>
      <c r="G5197" s="98" t="str">
        <f>HYPERLINK("http://mirror.ff7data.com.ar/ff7/data/battle/battle.lgp/izaq.png","View Picture")</f>
        <v>View Picture</v>
      </c>
    </row>
    <row r="5198">
      <c r="A5198" s="55"/>
      <c r="B5198" s="119" t="s">
        <v>37106</v>
      </c>
      <c r="C5198" s="120" t="s">
        <v>3614</v>
      </c>
      <c r="D5198" s="33" t="s">
        <v>37102</v>
      </c>
      <c r="E5198" s="51" t="s">
        <v>1083</v>
      </c>
      <c r="F5198" s="121" t="s">
        <v>3009</v>
      </c>
      <c r="G5198" s="98" t="str">
        <f>HYPERLINK("http://mirror.ff7data.com.ar/ff7/data/battle/battle.lgp/izar.png","View Picture")</f>
        <v>View Picture</v>
      </c>
    </row>
    <row r="5199">
      <c r="A5199" s="55"/>
      <c r="B5199" s="119" t="s">
        <v>37107</v>
      </c>
      <c r="C5199" s="120" t="s">
        <v>6029</v>
      </c>
      <c r="D5199" s="33" t="s">
        <v>37102</v>
      </c>
      <c r="E5199" s="51" t="s">
        <v>1083</v>
      </c>
      <c r="F5199" s="121" t="s">
        <v>3009</v>
      </c>
      <c r="G5199" s="98" t="str">
        <f>HYPERLINK("http://mirror.ff7data.com.ar/ff7/data/battle/battle.lgp/izas.png","View Picture")</f>
        <v>View Picture</v>
      </c>
    </row>
    <row r="5200">
      <c r="A5200" s="55"/>
      <c r="B5200" s="119" t="s">
        <v>37108</v>
      </c>
      <c r="C5200" s="120" t="s">
        <v>4696</v>
      </c>
      <c r="D5200" s="33" t="s">
        <v>37102</v>
      </c>
      <c r="E5200" s="51" t="s">
        <v>1083</v>
      </c>
      <c r="F5200" s="121" t="s">
        <v>3009</v>
      </c>
      <c r="G5200" s="98" t="str">
        <f>HYPERLINK("http://mirror.ff7data.com.ar/ff7/data/battle/battle.lgp/izat.png","View Picture")</f>
        <v>View Picture</v>
      </c>
    </row>
    <row r="5201">
      <c r="A5201" s="55"/>
      <c r="B5201" s="119" t="s">
        <v>37109</v>
      </c>
      <c r="C5201" s="120" t="s">
        <v>4476</v>
      </c>
      <c r="D5201" s="33" t="s">
        <v>37102</v>
      </c>
      <c r="E5201" s="51" t="s">
        <v>1083</v>
      </c>
      <c r="F5201" s="121" t="s">
        <v>3009</v>
      </c>
      <c r="G5201" s="98" t="str">
        <f>HYPERLINK("http://mirror.ff7data.com.ar/ff7/data/battle/battle.lgp/izau.png","View Picture")</f>
        <v>View Picture</v>
      </c>
    </row>
    <row r="5202">
      <c r="A5202" s="55"/>
      <c r="B5202" s="119" t="s">
        <v>37110</v>
      </c>
      <c r="C5202" s="120" t="s">
        <v>4696</v>
      </c>
      <c r="D5202" s="33" t="s">
        <v>37102</v>
      </c>
      <c r="E5202" s="51" t="s">
        <v>1083</v>
      </c>
      <c r="F5202" s="121" t="s">
        <v>3009</v>
      </c>
      <c r="G5202" s="98" t="str">
        <f>HYPERLINK("http://mirror.ff7data.com.ar/ff7/data/battle/battle.lgp/izav.png","View Picture")</f>
        <v>View Picture</v>
      </c>
    </row>
    <row r="5203">
      <c r="A5203" s="55"/>
      <c r="B5203" s="119" t="s">
        <v>37111</v>
      </c>
      <c r="C5203" s="120" t="s">
        <v>7258</v>
      </c>
      <c r="D5203" s="33" t="s">
        <v>37102</v>
      </c>
      <c r="E5203" s="51" t="s">
        <v>1083</v>
      </c>
      <c r="F5203" s="121" t="s">
        <v>3009</v>
      </c>
      <c r="G5203" s="98" t="str">
        <f>HYPERLINK("http://mirror.ff7data.com.ar/ff7/data/battle/battle.lgp/izaw.png","View Picture")</f>
        <v>View Picture</v>
      </c>
    </row>
    <row r="5204">
      <c r="A5204" s="55"/>
      <c r="B5204" s="119" t="s">
        <v>37112</v>
      </c>
      <c r="C5204" s="120" t="s">
        <v>4185</v>
      </c>
      <c r="D5204" s="33" t="s">
        <v>37102</v>
      </c>
      <c r="E5204" s="51" t="s">
        <v>1083</v>
      </c>
      <c r="F5204" s="121" t="s">
        <v>3009</v>
      </c>
      <c r="G5204" s="98" t="str">
        <f>HYPERLINK("http://mirror.ff7data.com.ar/ff7/data/battle/battle.lgp/izaz.png","View Picture")</f>
        <v>View Picture</v>
      </c>
    </row>
    <row r="5205">
      <c r="A5205" s="55"/>
      <c r="B5205" s="119" t="s">
        <v>37113</v>
      </c>
      <c r="C5205" s="120" t="s">
        <v>7871</v>
      </c>
      <c r="D5205" s="33" t="s">
        <v>37102</v>
      </c>
      <c r="E5205" s="51" t="s">
        <v>1083</v>
      </c>
      <c r="F5205" s="121" t="s">
        <v>3009</v>
      </c>
      <c r="G5205" s="98" t="str">
        <f>HYPERLINK("http://mirror.ff7data.com.ar/ff7/data/battle/battle.lgp/izba.png","View Picture")</f>
        <v>View Picture</v>
      </c>
    </row>
    <row r="5206">
      <c r="A5206" s="55"/>
      <c r="B5206" s="119" t="s">
        <v>37114</v>
      </c>
      <c r="C5206" s="120" t="s">
        <v>3412</v>
      </c>
      <c r="D5206" s="33" t="s">
        <v>37102</v>
      </c>
      <c r="E5206" s="51" t="s">
        <v>1083</v>
      </c>
      <c r="F5206" s="121" t="s">
        <v>3009</v>
      </c>
      <c r="G5206" s="98" t="str">
        <f>HYPERLINK("http://mirror.ff7data.com.ar/ff7/data/battle/battle.lgp/izbb.png","View Picture")</f>
        <v>View Picture</v>
      </c>
    </row>
    <row r="5207">
      <c r="A5207" s="55"/>
      <c r="B5207" s="119" t="s">
        <v>37115</v>
      </c>
      <c r="C5207" s="120" t="s">
        <v>6029</v>
      </c>
      <c r="D5207" s="33" t="s">
        <v>37102</v>
      </c>
      <c r="E5207" s="51" t="s">
        <v>1083</v>
      </c>
      <c r="F5207" s="121" t="s">
        <v>3009</v>
      </c>
      <c r="G5207" s="98" t="str">
        <f>HYPERLINK("http://mirror.ff7data.com.ar/ff7/data/battle/battle.lgp/izbe.png","View Picture")</f>
        <v>View Picture</v>
      </c>
    </row>
    <row r="5208">
      <c r="A5208" s="55"/>
      <c r="B5208" s="119" t="s">
        <v>37116</v>
      </c>
      <c r="C5208" s="120" t="s">
        <v>4372</v>
      </c>
      <c r="D5208" s="33" t="s">
        <v>37102</v>
      </c>
      <c r="E5208" s="51" t="s">
        <v>1083</v>
      </c>
      <c r="F5208" s="121" t="s">
        <v>3009</v>
      </c>
      <c r="G5208" s="98" t="str">
        <f>HYPERLINK("http://mirror.ff7data.com.ar/ff7/data/battle/battle.lgp/izbf.png","View Picture")</f>
        <v>View Picture</v>
      </c>
    </row>
    <row r="5209">
      <c r="A5209" s="55"/>
      <c r="B5209" s="119" t="s">
        <v>37117</v>
      </c>
      <c r="C5209" s="120" t="s">
        <v>6029</v>
      </c>
      <c r="D5209" s="33" t="s">
        <v>37102</v>
      </c>
      <c r="E5209" s="51" t="s">
        <v>1083</v>
      </c>
      <c r="F5209" s="121" t="s">
        <v>3009</v>
      </c>
      <c r="G5209" s="98" t="str">
        <f>HYPERLINK("http://mirror.ff7data.com.ar/ff7/data/battle/battle.lgp/izbi.png","View Picture")</f>
        <v>View Picture</v>
      </c>
    </row>
    <row r="5210">
      <c r="A5210" s="55"/>
      <c r="B5210" s="119" t="s">
        <v>37118</v>
      </c>
      <c r="C5210" s="120" t="s">
        <v>4372</v>
      </c>
      <c r="D5210" s="33" t="s">
        <v>37102</v>
      </c>
      <c r="E5210" s="51" t="s">
        <v>1083</v>
      </c>
      <c r="F5210" s="121" t="s">
        <v>3009</v>
      </c>
      <c r="G5210" s="98" t="str">
        <f>HYPERLINK("http://mirror.ff7data.com.ar/ff7/data/battle/battle.lgp/izbj.png","View Picture")</f>
        <v>View Picture</v>
      </c>
    </row>
    <row r="5211">
      <c r="A5211" s="55"/>
      <c r="B5211" s="119" t="s">
        <v>37119</v>
      </c>
      <c r="C5211" s="120" t="s">
        <v>4732</v>
      </c>
      <c r="D5211" s="33" t="s">
        <v>37102</v>
      </c>
      <c r="E5211" s="51" t="s">
        <v>1083</v>
      </c>
      <c r="F5211" s="121" t="s">
        <v>3009</v>
      </c>
      <c r="G5211" s="98" t="str">
        <f>HYPERLINK("http://mirror.ff7data.com.ar/ff7/data/battle/battle.lgp/izbl.png","View Picture")</f>
        <v>View Picture</v>
      </c>
    </row>
    <row r="5212">
      <c r="A5212" s="55"/>
      <c r="B5212" s="119" t="s">
        <v>37120</v>
      </c>
      <c r="C5212" s="120" t="s">
        <v>4732</v>
      </c>
      <c r="D5212" s="33" t="s">
        <v>37102</v>
      </c>
      <c r="E5212" s="51" t="s">
        <v>1083</v>
      </c>
      <c r="F5212" s="121" t="s">
        <v>3009</v>
      </c>
      <c r="G5212" s="98" t="str">
        <f>HYPERLINK("http://mirror.ff7data.com.ar/ff7/data/battle/battle.lgp/izbm.png","View Picture")</f>
        <v>View Picture</v>
      </c>
    </row>
    <row r="5213">
      <c r="A5213" s="55"/>
      <c r="B5213" s="119" t="s">
        <v>37121</v>
      </c>
      <c r="C5213" s="120" t="s">
        <v>4732</v>
      </c>
      <c r="D5213" s="33" t="s">
        <v>37102</v>
      </c>
      <c r="E5213" s="51" t="s">
        <v>1083</v>
      </c>
      <c r="F5213" s="121" t="s">
        <v>3009</v>
      </c>
      <c r="G5213" s="98" t="str">
        <f>HYPERLINK("http://mirror.ff7data.com.ar/ff7/data/battle/battle.lgp/izbn.png","View Picture")</f>
        <v>View Picture</v>
      </c>
    </row>
    <row r="5214">
      <c r="A5214" s="55"/>
      <c r="B5214" s="119" t="s">
        <v>37122</v>
      </c>
      <c r="C5214" s="120" t="s">
        <v>4264</v>
      </c>
      <c r="D5214" s="33" t="s">
        <v>37102</v>
      </c>
      <c r="E5214" s="51" t="s">
        <v>1083</v>
      </c>
      <c r="F5214" s="121" t="s">
        <v>3009</v>
      </c>
      <c r="G5214" s="98" t="str">
        <f>HYPERLINK("http://mirror.ff7data.com.ar/ff7/data/battle/battle.lgp/izbo.png","View Picture")</f>
        <v>View Picture</v>
      </c>
    </row>
    <row r="5215">
      <c r="A5215" s="55"/>
      <c r="B5215" s="119" t="s">
        <v>37123</v>
      </c>
      <c r="C5215" s="120" t="s">
        <v>3573</v>
      </c>
      <c r="D5215" s="33" t="s">
        <v>37102</v>
      </c>
      <c r="E5215" s="51" t="s">
        <v>1083</v>
      </c>
      <c r="F5215" s="121" t="s">
        <v>3025</v>
      </c>
      <c r="H5215" s="46" t="s">
        <v>3002</v>
      </c>
    </row>
    <row r="5216">
      <c r="A5216" s="55"/>
      <c r="B5216" s="119" t="s">
        <v>37124</v>
      </c>
      <c r="C5216" s="120" t="s">
        <v>4196</v>
      </c>
      <c r="D5216" s="33" t="s">
        <v>37125</v>
      </c>
      <c r="E5216" s="147" t="s">
        <v>1088</v>
      </c>
      <c r="F5216" s="121" t="s">
        <v>2971</v>
      </c>
      <c r="G5216" s="98" t="str">
        <f>HYPERLINK("http://mirror.ff7data.com.ar/ff7/data/battle/battle.lgp/jaaa.png","View Picture")</f>
        <v>View Picture</v>
      </c>
      <c r="H5216" s="46" t="s">
        <v>37126</v>
      </c>
    </row>
    <row r="5217">
      <c r="A5217" s="55"/>
      <c r="B5217" s="119" t="s">
        <v>37127</v>
      </c>
      <c r="C5217" s="120" t="s">
        <v>8016</v>
      </c>
      <c r="D5217" s="33" t="s">
        <v>37128</v>
      </c>
      <c r="E5217" s="147" t="s">
        <v>1088</v>
      </c>
      <c r="F5217" s="121" t="s">
        <v>2993</v>
      </c>
      <c r="H5217" s="46" t="s">
        <v>3002</v>
      </c>
    </row>
    <row r="5218">
      <c r="A5218" s="55"/>
      <c r="B5218" s="119" t="s">
        <v>37129</v>
      </c>
      <c r="C5218" s="120" t="s">
        <v>4086</v>
      </c>
      <c r="D5218" s="33" t="s">
        <v>37128</v>
      </c>
      <c r="E5218" s="147" t="s">
        <v>1088</v>
      </c>
      <c r="F5218" s="121" t="s">
        <v>3009</v>
      </c>
      <c r="G5218" s="98" t="str">
        <f>HYPERLINK("http://mirror.ff7data.com.ar/ff7/data/battle/battle.lgp/jaam.png","View Picture")</f>
        <v>View Picture</v>
      </c>
    </row>
    <row r="5219">
      <c r="A5219" s="55"/>
      <c r="B5219" s="119" t="s">
        <v>37130</v>
      </c>
      <c r="C5219" s="120" t="s">
        <v>21493</v>
      </c>
      <c r="D5219" s="33" t="s">
        <v>37128</v>
      </c>
      <c r="E5219" s="147" t="s">
        <v>1088</v>
      </c>
      <c r="F5219" s="121" t="s">
        <v>3009</v>
      </c>
      <c r="G5219" s="98" t="str">
        <f>HYPERLINK("http://mirror.ff7data.com.ar/ff7/data/battle/battle.lgp/jaan.png","View Picture")</f>
        <v>View Picture</v>
      </c>
    </row>
    <row r="5220">
      <c r="A5220" s="55"/>
      <c r="B5220" s="119" t="s">
        <v>37131</v>
      </c>
      <c r="C5220" s="120" t="s">
        <v>6010</v>
      </c>
      <c r="D5220" s="33" t="s">
        <v>37128</v>
      </c>
      <c r="E5220" s="147" t="s">
        <v>1088</v>
      </c>
      <c r="F5220" s="121" t="s">
        <v>3009</v>
      </c>
      <c r="G5220" s="98" t="str">
        <f>HYPERLINK("http://mirror.ff7data.com.ar/ff7/data/battle/battle.lgp/jaap.png","View Picture")</f>
        <v>View Picture</v>
      </c>
    </row>
    <row r="5221">
      <c r="A5221" s="55"/>
      <c r="B5221" s="119" t="s">
        <v>37132</v>
      </c>
      <c r="C5221" s="120" t="s">
        <v>5859</v>
      </c>
      <c r="D5221" s="33" t="s">
        <v>37128</v>
      </c>
      <c r="E5221" s="147" t="s">
        <v>1088</v>
      </c>
      <c r="F5221" s="121" t="s">
        <v>3009</v>
      </c>
      <c r="G5221" s="98" t="str">
        <f>HYPERLINK("http://mirror.ff7data.com.ar/ff7/data/battle/battle.lgp/jaax.png","View Picture")</f>
        <v>View Picture</v>
      </c>
    </row>
    <row r="5222">
      <c r="A5222" s="55"/>
      <c r="B5222" s="119" t="s">
        <v>37133</v>
      </c>
      <c r="C5222" s="120" t="s">
        <v>4357</v>
      </c>
      <c r="D5222" s="33" t="s">
        <v>37128</v>
      </c>
      <c r="E5222" s="147" t="s">
        <v>1088</v>
      </c>
      <c r="F5222" s="121" t="s">
        <v>3009</v>
      </c>
      <c r="G5222" s="98" t="str">
        <f>HYPERLINK("http://mirror.ff7data.com.ar/ff7/data/battle/battle.lgp/jabb.png","View Picture")</f>
        <v>View Picture</v>
      </c>
    </row>
    <row r="5223">
      <c r="A5223" s="55"/>
      <c r="B5223" s="119" t="s">
        <v>37134</v>
      </c>
      <c r="C5223" s="120" t="s">
        <v>4732</v>
      </c>
      <c r="D5223" s="33" t="s">
        <v>37128</v>
      </c>
      <c r="E5223" s="147" t="s">
        <v>1088</v>
      </c>
      <c r="F5223" s="121" t="s">
        <v>3009</v>
      </c>
      <c r="G5223" s="98" t="str">
        <f>HYPERLINK("http://mirror.ff7data.com.ar/ff7/data/battle/battle.lgp/jabc.png","View Picture")</f>
        <v>View Picture</v>
      </c>
    </row>
    <row r="5224">
      <c r="A5224" s="55"/>
      <c r="B5224" s="119" t="s">
        <v>37135</v>
      </c>
      <c r="C5224" s="120" t="s">
        <v>5419</v>
      </c>
      <c r="D5224" s="33" t="s">
        <v>37128</v>
      </c>
      <c r="E5224" s="147" t="s">
        <v>1088</v>
      </c>
      <c r="F5224" s="121" t="s">
        <v>3009</v>
      </c>
      <c r="G5224" s="98" t="str">
        <f>HYPERLINK("http://mirror.ff7data.com.ar/ff7/data/battle/battle.lgp/jabd.png","View Picture")</f>
        <v>View Picture</v>
      </c>
    </row>
    <row r="5225">
      <c r="A5225" s="55"/>
      <c r="B5225" s="119" t="s">
        <v>37136</v>
      </c>
      <c r="C5225" s="120" t="s">
        <v>4357</v>
      </c>
      <c r="D5225" s="33" t="s">
        <v>37128</v>
      </c>
      <c r="E5225" s="147" t="s">
        <v>1088</v>
      </c>
      <c r="F5225" s="121" t="s">
        <v>3009</v>
      </c>
      <c r="G5225" s="98" t="str">
        <f>HYPERLINK("http://mirror.ff7data.com.ar/ff7/data/battle/battle.lgp/jabj.png","View Picture")</f>
        <v>View Picture</v>
      </c>
    </row>
    <row r="5226">
      <c r="A5226" s="55"/>
      <c r="B5226" s="119" t="s">
        <v>37137</v>
      </c>
      <c r="C5226" s="120" t="s">
        <v>10955</v>
      </c>
      <c r="D5226" s="33" t="s">
        <v>37128</v>
      </c>
      <c r="E5226" s="147" t="s">
        <v>1088</v>
      </c>
      <c r="F5226" s="121" t="s">
        <v>3025</v>
      </c>
      <c r="H5226" s="46" t="s">
        <v>3002</v>
      </c>
    </row>
    <row r="5227">
      <c r="A5227" s="55"/>
      <c r="B5227" s="119" t="s">
        <v>37138</v>
      </c>
      <c r="C5227" s="120" t="s">
        <v>13823</v>
      </c>
      <c r="D5227" s="33" t="s">
        <v>37139</v>
      </c>
      <c r="E5227" s="51" t="s">
        <v>1094</v>
      </c>
      <c r="F5227" s="121" t="s">
        <v>2971</v>
      </c>
      <c r="G5227" s="98" t="str">
        <f>HYPERLINK("http://mirror.ff7data.com.ar/ff7/data/battle/battle.lgp/jbaa.png","View Picture")</f>
        <v>View Picture</v>
      </c>
    </row>
    <row r="5228">
      <c r="A5228" s="55"/>
      <c r="B5228" s="119" t="s">
        <v>37140</v>
      </c>
      <c r="C5228" s="120" t="s">
        <v>4846</v>
      </c>
      <c r="D5228" s="33" t="s">
        <v>37141</v>
      </c>
      <c r="E5228" s="51" t="s">
        <v>1094</v>
      </c>
      <c r="F5228" s="121" t="s">
        <v>2993</v>
      </c>
      <c r="H5228" s="46" t="s">
        <v>3002</v>
      </c>
    </row>
    <row r="5229">
      <c r="A5229" s="55"/>
      <c r="B5229" s="119" t="s">
        <v>37142</v>
      </c>
      <c r="C5229" s="120" t="s">
        <v>37143</v>
      </c>
      <c r="D5229" s="33" t="s">
        <v>37141</v>
      </c>
      <c r="E5229" s="51" t="s">
        <v>1094</v>
      </c>
      <c r="F5229" s="121" t="s">
        <v>3009</v>
      </c>
      <c r="G5229" s="98" t="str">
        <f>HYPERLINK("http://mirror.ff7data.com.ar/ff7/data/battle/battle.lgp/jbam.png","View Picture")</f>
        <v>View Picture</v>
      </c>
    </row>
    <row r="5230">
      <c r="A5230" s="55"/>
      <c r="B5230" s="119" t="s">
        <v>37144</v>
      </c>
      <c r="C5230" s="120" t="s">
        <v>3318</v>
      </c>
      <c r="D5230" s="33" t="s">
        <v>37141</v>
      </c>
      <c r="E5230" s="51" t="s">
        <v>1094</v>
      </c>
      <c r="F5230" s="121" t="s">
        <v>3009</v>
      </c>
      <c r="G5230" s="98" t="str">
        <f>HYPERLINK("http://mirror.ff7data.com.ar/ff7/data/battle/battle.lgp/jban.png","View Picture")</f>
        <v>View Picture</v>
      </c>
    </row>
    <row r="5231">
      <c r="A5231" s="55"/>
      <c r="B5231" s="119" t="s">
        <v>37145</v>
      </c>
      <c r="C5231" s="120" t="s">
        <v>7301</v>
      </c>
      <c r="D5231" s="33" t="s">
        <v>37141</v>
      </c>
      <c r="E5231" s="51" t="s">
        <v>1094</v>
      </c>
      <c r="F5231" s="121" t="s">
        <v>3009</v>
      </c>
      <c r="G5231" s="98" t="str">
        <f>HYPERLINK("http://mirror.ff7data.com.ar/ff7/data/battle/battle.lgp/jbat.png","View Picture")</f>
        <v>View Picture</v>
      </c>
    </row>
    <row r="5232">
      <c r="A5232" s="55"/>
      <c r="B5232" s="119" t="s">
        <v>37146</v>
      </c>
      <c r="C5232" s="120" t="s">
        <v>3355</v>
      </c>
      <c r="D5232" s="33" t="s">
        <v>37141</v>
      </c>
      <c r="E5232" s="51" t="s">
        <v>1094</v>
      </c>
      <c r="F5232" s="121" t="s">
        <v>3009</v>
      </c>
      <c r="G5232" s="98" t="str">
        <f>HYPERLINK("http://mirror.ff7data.com.ar/ff7/data/battle/battle.lgp/jbav.png","View Picture")</f>
        <v>View Picture</v>
      </c>
    </row>
    <row r="5233">
      <c r="A5233" s="55"/>
      <c r="B5233" s="119" t="s">
        <v>37147</v>
      </c>
      <c r="C5233" s="120" t="s">
        <v>4217</v>
      </c>
      <c r="D5233" s="33" t="s">
        <v>37141</v>
      </c>
      <c r="E5233" s="51" t="s">
        <v>1094</v>
      </c>
      <c r="F5233" s="121" t="s">
        <v>3025</v>
      </c>
      <c r="H5233" s="46" t="s">
        <v>3002</v>
      </c>
    </row>
    <row r="5234">
      <c r="A5234" s="55"/>
      <c r="B5234" s="119" t="s">
        <v>37148</v>
      </c>
      <c r="C5234" s="120" t="s">
        <v>11721</v>
      </c>
      <c r="D5234" s="33" t="s">
        <v>37149</v>
      </c>
      <c r="E5234" s="147" t="s">
        <v>1102</v>
      </c>
      <c r="F5234" s="121" t="s">
        <v>2971</v>
      </c>
      <c r="G5234" s="98" t="str">
        <f>HYPERLINK("http://mirror.ff7data.com.ar/ff7/data/battle/battle.lgp/jcaa.png","View Picture")</f>
        <v>View Picture</v>
      </c>
    </row>
    <row r="5235">
      <c r="A5235" s="55"/>
      <c r="B5235" s="119" t="s">
        <v>37150</v>
      </c>
      <c r="C5235" s="120" t="s">
        <v>6802</v>
      </c>
      <c r="D5235" s="33" t="s">
        <v>37151</v>
      </c>
      <c r="E5235" s="147" t="s">
        <v>1102</v>
      </c>
      <c r="F5235" s="121" t="s">
        <v>2993</v>
      </c>
      <c r="H5235" s="46" t="s">
        <v>3002</v>
      </c>
    </row>
    <row r="5236">
      <c r="A5236" s="55"/>
      <c r="B5236" s="119" t="s">
        <v>37152</v>
      </c>
      <c r="C5236" s="120" t="s">
        <v>4228</v>
      </c>
      <c r="D5236" s="33" t="s">
        <v>37151</v>
      </c>
      <c r="E5236" s="147" t="s">
        <v>1102</v>
      </c>
      <c r="F5236" s="121" t="s">
        <v>3009</v>
      </c>
      <c r="G5236" s="98" t="str">
        <f>HYPERLINK("http://mirror.ff7data.com.ar/ff7/data/battle/battle.lgp/jcam.png","View Picture")</f>
        <v>View Picture</v>
      </c>
    </row>
    <row r="5237">
      <c r="A5237" s="55"/>
      <c r="B5237" s="119" t="s">
        <v>37153</v>
      </c>
      <c r="C5237" s="120" t="s">
        <v>4109</v>
      </c>
      <c r="D5237" s="33" t="s">
        <v>37151</v>
      </c>
      <c r="E5237" s="147" t="s">
        <v>1102</v>
      </c>
      <c r="F5237" s="121" t="s">
        <v>3025</v>
      </c>
      <c r="H5237" s="46" t="s">
        <v>3002</v>
      </c>
    </row>
    <row r="5238">
      <c r="A5238" s="21"/>
      <c r="B5238" s="119" t="s">
        <v>37154</v>
      </c>
      <c r="C5238" s="120" t="s">
        <v>4196</v>
      </c>
      <c r="D5238" s="33" t="s">
        <v>37155</v>
      </c>
      <c r="E5238" s="51" t="s">
        <v>1107</v>
      </c>
      <c r="F5238" s="121" t="s">
        <v>2971</v>
      </c>
      <c r="G5238" s="98" t="str">
        <f>HYPERLINK("http://mirror.ff7data.com.ar/ff7/data/battle/battle.lgp/jdaa.png","View Picture")</f>
        <v>View Picture</v>
      </c>
      <c r="H5238" s="46" t="s">
        <v>37156</v>
      </c>
    </row>
    <row r="5239">
      <c r="A5239" s="55"/>
      <c r="B5239" s="119" t="s">
        <v>37157</v>
      </c>
      <c r="C5239" s="120" t="s">
        <v>11942</v>
      </c>
      <c r="D5239" s="33" t="s">
        <v>37158</v>
      </c>
      <c r="E5239" s="51" t="s">
        <v>1107</v>
      </c>
      <c r="F5239" s="121" t="s">
        <v>2993</v>
      </c>
      <c r="H5239" s="46" t="s">
        <v>3002</v>
      </c>
    </row>
    <row r="5240">
      <c r="A5240" s="55"/>
      <c r="B5240" s="119" t="s">
        <v>37159</v>
      </c>
      <c r="C5240" s="120" t="s">
        <v>3842</v>
      </c>
      <c r="D5240" s="33" t="s">
        <v>37158</v>
      </c>
      <c r="E5240" s="51" t="s">
        <v>1107</v>
      </c>
      <c r="F5240" s="121" t="s">
        <v>3009</v>
      </c>
      <c r="G5240" s="98" t="str">
        <f>HYPERLINK("http://mirror.ff7data.com.ar/ff7/data/battle/battle.lgp/jdam.png","View Picture")</f>
        <v>View Picture</v>
      </c>
    </row>
    <row r="5241">
      <c r="A5241" s="55"/>
      <c r="B5241" s="119" t="s">
        <v>37160</v>
      </c>
      <c r="C5241" s="120" t="s">
        <v>5925</v>
      </c>
      <c r="D5241" s="33" t="s">
        <v>37158</v>
      </c>
      <c r="E5241" s="51" t="s">
        <v>1107</v>
      </c>
      <c r="F5241" s="121" t="s">
        <v>3009</v>
      </c>
      <c r="G5241" s="98" t="str">
        <f>HYPERLINK("http://mirror.ff7data.com.ar/ff7/data/battle/battle.lgp/jdan.png","View Picture")</f>
        <v>View Picture</v>
      </c>
    </row>
    <row r="5242">
      <c r="A5242" s="55"/>
      <c r="B5242" s="119" t="s">
        <v>37161</v>
      </c>
      <c r="C5242" s="120" t="s">
        <v>11962</v>
      </c>
      <c r="D5242" s="33" t="s">
        <v>37158</v>
      </c>
      <c r="E5242" s="51" t="s">
        <v>1107</v>
      </c>
      <c r="F5242" s="121" t="s">
        <v>3009</v>
      </c>
      <c r="G5242" s="98" t="str">
        <f>HYPERLINK("http://mirror.ff7data.com.ar/ff7/data/battle/battle.lgp/jdao.png","View Picture")</f>
        <v>View Picture</v>
      </c>
    </row>
    <row r="5243">
      <c r="A5243" s="55"/>
      <c r="B5243" s="119" t="s">
        <v>37162</v>
      </c>
      <c r="C5243" s="120" t="s">
        <v>10078</v>
      </c>
      <c r="D5243" s="33" t="s">
        <v>37158</v>
      </c>
      <c r="E5243" s="51" t="s">
        <v>1107</v>
      </c>
      <c r="F5243" s="121" t="s">
        <v>3009</v>
      </c>
      <c r="G5243" s="98" t="str">
        <f>HYPERLINK("http://mirror.ff7data.com.ar/ff7/data/battle/battle.lgp/jdar.png","View Picture")</f>
        <v>View Picture</v>
      </c>
    </row>
    <row r="5244">
      <c r="A5244" s="55"/>
      <c r="B5244" s="119" t="s">
        <v>37163</v>
      </c>
      <c r="C5244" s="120" t="s">
        <v>4439</v>
      </c>
      <c r="D5244" s="33" t="s">
        <v>37158</v>
      </c>
      <c r="E5244" s="51" t="s">
        <v>1107</v>
      </c>
      <c r="F5244" s="121" t="s">
        <v>3009</v>
      </c>
      <c r="G5244" s="98" t="str">
        <f>HYPERLINK("http://mirror.ff7data.com.ar/ff7/data/battle/battle.lgp/jdas.png","View Picture")</f>
        <v>View Picture</v>
      </c>
    </row>
    <row r="5245">
      <c r="A5245" s="55"/>
      <c r="B5245" s="119" t="s">
        <v>37164</v>
      </c>
      <c r="C5245" s="120" t="s">
        <v>4217</v>
      </c>
      <c r="D5245" s="33" t="s">
        <v>37158</v>
      </c>
      <c r="E5245" s="51" t="s">
        <v>1107</v>
      </c>
      <c r="F5245" s="121" t="s">
        <v>3009</v>
      </c>
      <c r="G5245" s="98" t="str">
        <f>HYPERLINK("http://mirror.ff7data.com.ar/ff7/data/battle/battle.lgp/jdat.png","View Picture")</f>
        <v>View Picture</v>
      </c>
    </row>
    <row r="5246">
      <c r="A5246" s="55"/>
      <c r="B5246" s="119" t="s">
        <v>37165</v>
      </c>
      <c r="C5246" s="120" t="s">
        <v>10078</v>
      </c>
      <c r="D5246" s="33" t="s">
        <v>37158</v>
      </c>
      <c r="E5246" s="51" t="s">
        <v>1107</v>
      </c>
      <c r="F5246" s="121" t="s">
        <v>3009</v>
      </c>
      <c r="G5246" s="98" t="str">
        <f>HYPERLINK("http://mirror.ff7data.com.ar/ff7/data/battle/battle.lgp/jdaw.png","View Picture")</f>
        <v>View Picture</v>
      </c>
    </row>
    <row r="5247">
      <c r="A5247" s="55"/>
      <c r="B5247" s="119" t="s">
        <v>37166</v>
      </c>
      <c r="C5247" s="120" t="s">
        <v>4732</v>
      </c>
      <c r="D5247" s="33" t="s">
        <v>37158</v>
      </c>
      <c r="E5247" s="51" t="s">
        <v>1107</v>
      </c>
      <c r="F5247" s="121" t="s">
        <v>3009</v>
      </c>
      <c r="G5247" s="98" t="str">
        <f>HYPERLINK("http://mirror.ff7data.com.ar/ff7/data/battle/battle.lgp/jdax.png","View Picture")</f>
        <v>View Picture</v>
      </c>
    </row>
    <row r="5248">
      <c r="A5248" s="55"/>
      <c r="B5248" s="119" t="s">
        <v>37167</v>
      </c>
      <c r="C5248" s="120" t="s">
        <v>4217</v>
      </c>
      <c r="D5248" s="33" t="s">
        <v>37158</v>
      </c>
      <c r="E5248" s="51" t="s">
        <v>1107</v>
      </c>
      <c r="F5248" s="121" t="s">
        <v>3009</v>
      </c>
      <c r="G5248" s="98" t="str">
        <f>HYPERLINK("http://mirror.ff7data.com.ar/ff7/data/battle/battle.lgp/jday.png","View Picture")</f>
        <v>View Picture</v>
      </c>
    </row>
    <row r="5249">
      <c r="A5249" s="55"/>
      <c r="B5249" s="119" t="s">
        <v>37168</v>
      </c>
      <c r="C5249" s="120" t="s">
        <v>4476</v>
      </c>
      <c r="D5249" s="33" t="s">
        <v>37158</v>
      </c>
      <c r="E5249" s="51" t="s">
        <v>1107</v>
      </c>
      <c r="F5249" s="121" t="s">
        <v>3009</v>
      </c>
      <c r="G5249" s="98" t="str">
        <f>HYPERLINK("http://mirror.ff7data.com.ar/ff7/data/battle/battle.lgp/jdba.png","View Picture")</f>
        <v>View Picture</v>
      </c>
    </row>
    <row r="5250">
      <c r="A5250" s="55"/>
      <c r="B5250" s="119" t="s">
        <v>37169</v>
      </c>
      <c r="C5250" s="120" t="s">
        <v>4439</v>
      </c>
      <c r="D5250" s="33" t="s">
        <v>37158</v>
      </c>
      <c r="E5250" s="51" t="s">
        <v>1107</v>
      </c>
      <c r="F5250" s="121" t="s">
        <v>3009</v>
      </c>
      <c r="G5250" s="98" t="str">
        <f>HYPERLINK("http://mirror.ff7data.com.ar/ff7/data/battle/battle.lgp/jdbc.png","View Picture")</f>
        <v>View Picture</v>
      </c>
    </row>
    <row r="5251">
      <c r="A5251" s="55"/>
      <c r="B5251" s="119" t="s">
        <v>37170</v>
      </c>
      <c r="C5251" s="120" t="s">
        <v>4217</v>
      </c>
      <c r="D5251" s="33" t="s">
        <v>37158</v>
      </c>
      <c r="E5251" s="51" t="s">
        <v>1107</v>
      </c>
      <c r="F5251" s="121" t="s">
        <v>3009</v>
      </c>
      <c r="G5251" s="98" t="str">
        <f>HYPERLINK("http://mirror.ff7data.com.ar/ff7/data/battle/battle.lgp/jdbd.png","View Picture")</f>
        <v>View Picture</v>
      </c>
    </row>
    <row r="5252">
      <c r="A5252" s="55"/>
      <c r="B5252" s="119" t="s">
        <v>37171</v>
      </c>
      <c r="C5252" s="120" t="s">
        <v>6029</v>
      </c>
      <c r="D5252" s="33" t="s">
        <v>37158</v>
      </c>
      <c r="E5252" s="51" t="s">
        <v>1107</v>
      </c>
      <c r="F5252" s="121" t="s">
        <v>3009</v>
      </c>
      <c r="G5252" s="98" t="str">
        <f>HYPERLINK("http://mirror.ff7data.com.ar/ff7/data/battle/battle.lgp/jdbe.png","View Picture")</f>
        <v>View Picture</v>
      </c>
    </row>
    <row r="5253">
      <c r="A5253" s="55"/>
      <c r="B5253" s="119" t="s">
        <v>37172</v>
      </c>
      <c r="C5253" s="120" t="s">
        <v>4264</v>
      </c>
      <c r="D5253" s="33" t="s">
        <v>37158</v>
      </c>
      <c r="E5253" s="51" t="s">
        <v>1107</v>
      </c>
      <c r="F5253" s="121" t="s">
        <v>3009</v>
      </c>
      <c r="G5253" s="98" t="str">
        <f>HYPERLINK("http://mirror.ff7data.com.ar/ff7/data/battle/battle.lgp/jdbg.png","View Picture")</f>
        <v>View Picture</v>
      </c>
    </row>
    <row r="5254">
      <c r="A5254" s="55"/>
      <c r="B5254" s="119" t="s">
        <v>37173</v>
      </c>
      <c r="C5254" s="120" t="s">
        <v>4439</v>
      </c>
      <c r="D5254" s="33" t="s">
        <v>37158</v>
      </c>
      <c r="E5254" s="51" t="s">
        <v>1107</v>
      </c>
      <c r="F5254" s="121" t="s">
        <v>3009</v>
      </c>
      <c r="G5254" s="98" t="str">
        <f>HYPERLINK("http://mirror.ff7data.com.ar/ff7/data/battle/battle.lgp/jdbi.png","View Picture")</f>
        <v>View Picture</v>
      </c>
    </row>
    <row r="5255">
      <c r="A5255" s="55"/>
      <c r="B5255" s="119" t="s">
        <v>37174</v>
      </c>
      <c r="C5255" s="120" t="s">
        <v>4217</v>
      </c>
      <c r="D5255" s="33" t="s">
        <v>37158</v>
      </c>
      <c r="E5255" s="51" t="s">
        <v>1107</v>
      </c>
      <c r="F5255" s="121" t="s">
        <v>3009</v>
      </c>
      <c r="G5255" s="98" t="str">
        <f>HYPERLINK("http://mirror.ff7data.com.ar/ff7/data/battle/battle.lgp/jdbj.png","View Picture")</f>
        <v>View Picture</v>
      </c>
    </row>
    <row r="5256">
      <c r="A5256" s="55"/>
      <c r="B5256" s="119" t="s">
        <v>37175</v>
      </c>
      <c r="C5256" s="120" t="s">
        <v>6029</v>
      </c>
      <c r="D5256" s="33" t="s">
        <v>37158</v>
      </c>
      <c r="E5256" s="51" t="s">
        <v>1107</v>
      </c>
      <c r="F5256" s="121" t="s">
        <v>3009</v>
      </c>
      <c r="G5256" s="98" t="str">
        <f>HYPERLINK("http://mirror.ff7data.com.ar/ff7/data/battle/battle.lgp/jdbk.png","View Picture")</f>
        <v>View Picture</v>
      </c>
    </row>
    <row r="5257">
      <c r="A5257" s="55"/>
      <c r="B5257" s="119" t="s">
        <v>37176</v>
      </c>
      <c r="C5257" s="120" t="s">
        <v>4264</v>
      </c>
      <c r="D5257" s="33" t="s">
        <v>37158</v>
      </c>
      <c r="E5257" s="51" t="s">
        <v>1107</v>
      </c>
      <c r="F5257" s="121" t="s">
        <v>3009</v>
      </c>
      <c r="G5257" s="98" t="str">
        <f>HYPERLINK("http://mirror.ff7data.com.ar/ff7/data/battle/battle.lgp/jdbm.png","View Picture")</f>
        <v>View Picture</v>
      </c>
    </row>
    <row r="5258">
      <c r="A5258" s="55"/>
      <c r="B5258" s="119" t="s">
        <v>37177</v>
      </c>
      <c r="C5258" s="120" t="s">
        <v>3875</v>
      </c>
      <c r="D5258" s="33" t="s">
        <v>37158</v>
      </c>
      <c r="E5258" s="51" t="s">
        <v>1107</v>
      </c>
      <c r="F5258" s="121" t="s">
        <v>3025</v>
      </c>
      <c r="H5258" s="46" t="s">
        <v>3002</v>
      </c>
    </row>
    <row r="5259">
      <c r="A5259" s="21"/>
      <c r="B5259" s="119" t="s">
        <v>37178</v>
      </c>
      <c r="C5259" s="120" t="s">
        <v>4456</v>
      </c>
      <c r="D5259" s="33" t="s">
        <v>37179</v>
      </c>
      <c r="E5259" s="51" t="s">
        <v>1112</v>
      </c>
      <c r="F5259" s="121" t="s">
        <v>2971</v>
      </c>
      <c r="G5259" s="98" t="str">
        <f>HYPERLINK("http://mirror.ff7data.com.ar/ff7/data/battle/battle.lgp/jeaa.png","View Picture")</f>
        <v>View Picture</v>
      </c>
      <c r="H5259" s="46" t="s">
        <v>37180</v>
      </c>
    </row>
    <row r="5260">
      <c r="A5260" s="55"/>
      <c r="B5260" s="119" t="s">
        <v>37181</v>
      </c>
      <c r="C5260" s="120" t="s">
        <v>9790</v>
      </c>
      <c r="D5260" s="33" t="s">
        <v>37182</v>
      </c>
      <c r="E5260" s="51" t="s">
        <v>1112</v>
      </c>
      <c r="F5260" s="121" t="s">
        <v>2993</v>
      </c>
      <c r="H5260" s="46" t="s">
        <v>3002</v>
      </c>
    </row>
    <row r="5261">
      <c r="A5261" s="55"/>
      <c r="B5261" s="119" t="s">
        <v>37183</v>
      </c>
      <c r="C5261" s="120" t="s">
        <v>5730</v>
      </c>
      <c r="D5261" s="33" t="s">
        <v>37182</v>
      </c>
      <c r="E5261" s="51" t="s">
        <v>1112</v>
      </c>
      <c r="F5261" s="121" t="s">
        <v>3009</v>
      </c>
      <c r="G5261" s="98" t="str">
        <f>HYPERLINK("http://mirror.ff7data.com.ar/ff7/data/battle/battle.lgp/jeam.png","View Picture")</f>
        <v>View Picture</v>
      </c>
    </row>
    <row r="5262">
      <c r="A5262" s="55"/>
      <c r="B5262" s="119" t="s">
        <v>37184</v>
      </c>
      <c r="C5262" s="120" t="s">
        <v>4264</v>
      </c>
      <c r="D5262" s="33" t="s">
        <v>37182</v>
      </c>
      <c r="E5262" s="51" t="s">
        <v>1112</v>
      </c>
      <c r="F5262" s="121" t="s">
        <v>3009</v>
      </c>
      <c r="G5262" s="98" t="str">
        <f>HYPERLINK("http://mirror.ff7data.com.ar/ff7/data/battle/battle.lgp/jeao.png","View Picture")</f>
        <v>View Picture</v>
      </c>
    </row>
    <row r="5263">
      <c r="A5263" s="55"/>
      <c r="B5263" s="119" t="s">
        <v>37185</v>
      </c>
      <c r="C5263" s="120" t="s">
        <v>4185</v>
      </c>
      <c r="D5263" s="33" t="s">
        <v>37182</v>
      </c>
      <c r="E5263" s="51" t="s">
        <v>1112</v>
      </c>
      <c r="F5263" s="121" t="s">
        <v>3009</v>
      </c>
      <c r="G5263" s="98" t="str">
        <f>HYPERLINK("http://mirror.ff7data.com.ar/ff7/data/battle/battle.lgp/jeap.png","View Picture")</f>
        <v>View Picture</v>
      </c>
    </row>
    <row r="5264">
      <c r="A5264" s="55"/>
      <c r="B5264" s="119" t="s">
        <v>37186</v>
      </c>
      <c r="C5264" s="120" t="s">
        <v>5762</v>
      </c>
      <c r="D5264" s="33" t="s">
        <v>37182</v>
      </c>
      <c r="E5264" s="51" t="s">
        <v>1112</v>
      </c>
      <c r="F5264" s="121" t="s">
        <v>3009</v>
      </c>
      <c r="G5264" s="98" t="str">
        <f>HYPERLINK("http://mirror.ff7data.com.ar/ff7/data/battle/battle.lgp/jear.png","View Picture")</f>
        <v>View Picture</v>
      </c>
    </row>
    <row r="5265">
      <c r="A5265" s="55"/>
      <c r="B5265" s="119" t="s">
        <v>37187</v>
      </c>
      <c r="C5265" s="120" t="s">
        <v>4439</v>
      </c>
      <c r="D5265" s="33" t="s">
        <v>37182</v>
      </c>
      <c r="E5265" s="51" t="s">
        <v>1112</v>
      </c>
      <c r="F5265" s="121" t="s">
        <v>3009</v>
      </c>
      <c r="G5265" s="98" t="str">
        <f>HYPERLINK("http://mirror.ff7data.com.ar/ff7/data/battle/battle.lgp/jeat.png","View Picture")</f>
        <v>View Picture</v>
      </c>
    </row>
    <row r="5266">
      <c r="A5266" s="55"/>
      <c r="B5266" s="119" t="s">
        <v>37188</v>
      </c>
      <c r="C5266" s="120" t="s">
        <v>4732</v>
      </c>
      <c r="D5266" s="33" t="s">
        <v>37182</v>
      </c>
      <c r="E5266" s="51" t="s">
        <v>1112</v>
      </c>
      <c r="F5266" s="121" t="s">
        <v>3009</v>
      </c>
      <c r="G5266" s="98" t="str">
        <f>HYPERLINK("http://mirror.ff7data.com.ar/ff7/data/battle/battle.lgp/jeav.png","View Picture")</f>
        <v>View Picture</v>
      </c>
    </row>
    <row r="5267">
      <c r="A5267" s="55"/>
      <c r="B5267" s="119" t="s">
        <v>37189</v>
      </c>
      <c r="C5267" s="120" t="s">
        <v>4732</v>
      </c>
      <c r="D5267" s="33" t="s">
        <v>37182</v>
      </c>
      <c r="E5267" s="51" t="s">
        <v>1112</v>
      </c>
      <c r="F5267" s="121" t="s">
        <v>3009</v>
      </c>
      <c r="G5267" s="98" t="str">
        <f>HYPERLINK("http://mirror.ff7data.com.ar/ff7/data/battle/battle.lgp/jeax.png","View Picture")</f>
        <v>View Picture</v>
      </c>
    </row>
    <row r="5268">
      <c r="A5268" s="55"/>
      <c r="B5268" s="119" t="s">
        <v>37190</v>
      </c>
      <c r="C5268" s="120" t="s">
        <v>4732</v>
      </c>
      <c r="D5268" s="33" t="s">
        <v>37182</v>
      </c>
      <c r="E5268" s="51" t="s">
        <v>1112</v>
      </c>
      <c r="F5268" s="121" t="s">
        <v>3009</v>
      </c>
      <c r="G5268" s="98" t="str">
        <f>HYPERLINK("http://mirror.ff7data.com.ar/ff7/data/battle/battle.lgp/jeaz.png","View Picture")</f>
        <v>View Picture</v>
      </c>
    </row>
    <row r="5269">
      <c r="A5269" s="55"/>
      <c r="B5269" s="119" t="s">
        <v>37191</v>
      </c>
      <c r="C5269" s="120" t="s">
        <v>4264</v>
      </c>
      <c r="D5269" s="33" t="s">
        <v>37182</v>
      </c>
      <c r="E5269" s="51" t="s">
        <v>1112</v>
      </c>
      <c r="F5269" s="121" t="s">
        <v>3009</v>
      </c>
      <c r="G5269" s="98" t="str">
        <f>HYPERLINK("http://mirror.ff7data.com.ar/ff7/data/battle/battle.lgp/jebb.png","View Picture")</f>
        <v>View Picture</v>
      </c>
    </row>
    <row r="5270">
      <c r="A5270" s="55"/>
      <c r="B5270" s="119" t="s">
        <v>37192</v>
      </c>
      <c r="C5270" s="120" t="s">
        <v>4185</v>
      </c>
      <c r="D5270" s="33" t="s">
        <v>37182</v>
      </c>
      <c r="E5270" s="51" t="s">
        <v>1112</v>
      </c>
      <c r="F5270" s="121" t="s">
        <v>3009</v>
      </c>
      <c r="G5270" s="98" t="str">
        <f>HYPERLINK("http://mirror.ff7data.com.ar/ff7/data/battle/battle.lgp/jebc.png","View Picture")</f>
        <v>View Picture</v>
      </c>
    </row>
    <row r="5271">
      <c r="A5271" s="55"/>
      <c r="B5271" s="119" t="s">
        <v>37193</v>
      </c>
      <c r="C5271" s="120" t="s">
        <v>5762</v>
      </c>
      <c r="D5271" s="33" t="s">
        <v>37182</v>
      </c>
      <c r="E5271" s="51" t="s">
        <v>1112</v>
      </c>
      <c r="F5271" s="121" t="s">
        <v>3009</v>
      </c>
      <c r="G5271" s="98" t="str">
        <f>HYPERLINK("http://mirror.ff7data.com.ar/ff7/data/battle/battle.lgp/jebe.png","View Picture")</f>
        <v>View Picture</v>
      </c>
    </row>
    <row r="5272">
      <c r="A5272" s="55"/>
      <c r="B5272" s="119" t="s">
        <v>37194</v>
      </c>
      <c r="C5272" s="120" t="s">
        <v>5859</v>
      </c>
      <c r="D5272" s="33" t="s">
        <v>37182</v>
      </c>
      <c r="E5272" s="51" t="s">
        <v>1112</v>
      </c>
      <c r="F5272" s="121" t="s">
        <v>3009</v>
      </c>
      <c r="G5272" s="98" t="str">
        <f>HYPERLINK("http://mirror.ff7data.com.ar/ff7/data/battle/battle.lgp/jebg.png","View Picture")</f>
        <v>View Picture</v>
      </c>
    </row>
    <row r="5273">
      <c r="A5273" s="55"/>
      <c r="B5273" s="119" t="s">
        <v>37195</v>
      </c>
      <c r="C5273" s="120" t="s">
        <v>4719</v>
      </c>
      <c r="D5273" s="33" t="s">
        <v>37182</v>
      </c>
      <c r="E5273" s="51" t="s">
        <v>1112</v>
      </c>
      <c r="F5273" s="121" t="s">
        <v>3009</v>
      </c>
      <c r="G5273" s="98" t="str">
        <f>HYPERLINK("http://mirror.ff7data.com.ar/ff7/data/battle/battle.lgp/jebi.png","View Picture")</f>
        <v>View Picture</v>
      </c>
    </row>
    <row r="5274">
      <c r="A5274" s="55"/>
      <c r="B5274" s="119" t="s">
        <v>37196</v>
      </c>
      <c r="C5274" s="120" t="s">
        <v>3671</v>
      </c>
      <c r="D5274" s="33" t="s">
        <v>37182</v>
      </c>
      <c r="E5274" s="51" t="s">
        <v>1112</v>
      </c>
      <c r="F5274" s="121" t="s">
        <v>3009</v>
      </c>
      <c r="G5274" s="98" t="str">
        <f>HYPERLINK("http://mirror.ff7data.com.ar/ff7/data/battle/battle.lgp/jebj.png","View Picture")</f>
        <v>View Picture</v>
      </c>
    </row>
    <row r="5275">
      <c r="A5275" s="55"/>
      <c r="B5275" s="119" t="s">
        <v>37197</v>
      </c>
      <c r="C5275" s="120" t="s">
        <v>5891</v>
      </c>
      <c r="D5275" s="33" t="s">
        <v>37182</v>
      </c>
      <c r="E5275" s="51" t="s">
        <v>1112</v>
      </c>
      <c r="F5275" s="121" t="s">
        <v>3009</v>
      </c>
      <c r="G5275" s="98" t="str">
        <f>HYPERLINK("http://mirror.ff7data.com.ar/ff7/data/battle/battle.lgp/jebk.png","View Picture")</f>
        <v>View Picture</v>
      </c>
    </row>
    <row r="5276">
      <c r="A5276" s="55"/>
      <c r="B5276" s="119" t="s">
        <v>37198</v>
      </c>
      <c r="C5276" s="120" t="s">
        <v>5904</v>
      </c>
      <c r="D5276" s="33" t="s">
        <v>37182</v>
      </c>
      <c r="E5276" s="51" t="s">
        <v>1112</v>
      </c>
      <c r="F5276" s="121" t="s">
        <v>3009</v>
      </c>
      <c r="G5276" s="98" t="str">
        <f>HYPERLINK("http://mirror.ff7data.com.ar/ff7/data/battle/battle.lgp/jebl.png","View Picture")</f>
        <v>View Picture</v>
      </c>
    </row>
    <row r="5277">
      <c r="A5277" s="55"/>
      <c r="B5277" s="119" t="s">
        <v>37199</v>
      </c>
      <c r="C5277" s="120" t="s">
        <v>4372</v>
      </c>
      <c r="D5277" s="33" t="s">
        <v>37182</v>
      </c>
      <c r="E5277" s="51" t="s">
        <v>1112</v>
      </c>
      <c r="F5277" s="121" t="s">
        <v>3009</v>
      </c>
      <c r="G5277" s="98" t="str">
        <f>HYPERLINK("http://mirror.ff7data.com.ar/ff7/data/battle/battle.lgp/jebn.png","View Picture")</f>
        <v>View Picture</v>
      </c>
    </row>
    <row r="5278">
      <c r="A5278" s="55"/>
      <c r="B5278" s="119" t="s">
        <v>37200</v>
      </c>
      <c r="C5278" s="120" t="s">
        <v>5925</v>
      </c>
      <c r="D5278" s="33" t="s">
        <v>37182</v>
      </c>
      <c r="E5278" s="51" t="s">
        <v>1112</v>
      </c>
      <c r="F5278" s="121" t="s">
        <v>3009</v>
      </c>
      <c r="G5278" s="98" t="str">
        <f>HYPERLINK("http://mirror.ff7data.com.ar/ff7/data/battle/battle.lgp/jebp.png","View Picture")</f>
        <v>View Picture</v>
      </c>
    </row>
    <row r="5279">
      <c r="A5279" s="55"/>
      <c r="B5279" s="119" t="s">
        <v>37201</v>
      </c>
      <c r="C5279" s="120" t="s">
        <v>4719</v>
      </c>
      <c r="D5279" s="33" t="s">
        <v>37182</v>
      </c>
      <c r="E5279" s="51" t="s">
        <v>1112</v>
      </c>
      <c r="F5279" s="121" t="s">
        <v>3009</v>
      </c>
      <c r="G5279" s="98" t="str">
        <f>HYPERLINK("http://mirror.ff7data.com.ar/ff7/data/battle/battle.lgp/jebr.png","View Picture")</f>
        <v>View Picture</v>
      </c>
    </row>
    <row r="5280">
      <c r="A5280" s="55"/>
      <c r="B5280" s="119" t="s">
        <v>37202</v>
      </c>
      <c r="C5280" s="120" t="s">
        <v>3671</v>
      </c>
      <c r="D5280" s="33" t="s">
        <v>37182</v>
      </c>
      <c r="E5280" s="51" t="s">
        <v>1112</v>
      </c>
      <c r="F5280" s="121" t="s">
        <v>3009</v>
      </c>
      <c r="G5280" s="98" t="str">
        <f>HYPERLINK("http://mirror.ff7data.com.ar/ff7/data/battle/battle.lgp/jebs.png","View Picture")</f>
        <v>View Picture</v>
      </c>
    </row>
    <row r="5281">
      <c r="A5281" s="55"/>
      <c r="B5281" s="119" t="s">
        <v>37203</v>
      </c>
      <c r="C5281" s="120" t="s">
        <v>3749</v>
      </c>
      <c r="D5281" s="33" t="s">
        <v>37182</v>
      </c>
      <c r="E5281" s="51" t="s">
        <v>1112</v>
      </c>
      <c r="F5281" s="121" t="s">
        <v>3009</v>
      </c>
      <c r="G5281" s="98" t="str">
        <f>HYPERLINK("http://mirror.ff7data.com.ar/ff7/data/battle/battle.lgp/jebt.png","View Picture")</f>
        <v>View Picture</v>
      </c>
    </row>
    <row r="5282">
      <c r="A5282" s="55"/>
      <c r="B5282" s="119" t="s">
        <v>37204</v>
      </c>
      <c r="C5282" s="120" t="s">
        <v>5967</v>
      </c>
      <c r="D5282" s="33" t="s">
        <v>37182</v>
      </c>
      <c r="E5282" s="51" t="s">
        <v>1112</v>
      </c>
      <c r="F5282" s="121" t="s">
        <v>3009</v>
      </c>
      <c r="G5282" s="98" t="str">
        <f>HYPERLINK("http://mirror.ff7data.com.ar/ff7/data/battle/battle.lgp/jebu.png","View Picture")</f>
        <v>View Picture</v>
      </c>
    </row>
    <row r="5283">
      <c r="A5283" s="55"/>
      <c r="B5283" s="119" t="s">
        <v>37205</v>
      </c>
      <c r="C5283" s="120" t="s">
        <v>4372</v>
      </c>
      <c r="D5283" s="33" t="s">
        <v>37182</v>
      </c>
      <c r="E5283" s="51" t="s">
        <v>1112</v>
      </c>
      <c r="F5283" s="121" t="s">
        <v>3009</v>
      </c>
      <c r="G5283" s="98" t="str">
        <f>HYPERLINK("http://mirror.ff7data.com.ar/ff7/data/battle/battle.lgp/jebw.png","View Picture")</f>
        <v>View Picture</v>
      </c>
    </row>
    <row r="5284">
      <c r="A5284" s="55"/>
      <c r="B5284" s="119" t="s">
        <v>37206</v>
      </c>
      <c r="C5284" s="120" t="s">
        <v>4240</v>
      </c>
      <c r="D5284" s="33" t="s">
        <v>37182</v>
      </c>
      <c r="E5284" s="51" t="s">
        <v>1112</v>
      </c>
      <c r="F5284" s="121" t="s">
        <v>3025</v>
      </c>
      <c r="H5284" s="46" t="s">
        <v>3002</v>
      </c>
    </row>
    <row r="5285">
      <c r="A5285" s="21"/>
      <c r="B5285" s="119" t="s">
        <v>37207</v>
      </c>
      <c r="C5285" s="120" t="s">
        <v>6611</v>
      </c>
      <c r="D5285" s="33" t="s">
        <v>37208</v>
      </c>
      <c r="E5285" s="51" t="s">
        <v>1115</v>
      </c>
      <c r="F5285" s="121" t="s">
        <v>2971</v>
      </c>
      <c r="G5285" s="98" t="str">
        <f>HYPERLINK("http://mirror.ff7data.com.ar/ff7/data/battle/battle.lgp/jfaa.png","View Picture")</f>
        <v>View Picture</v>
      </c>
      <c r="H5285" s="46" t="s">
        <v>37209</v>
      </c>
    </row>
    <row r="5286">
      <c r="A5286" s="55"/>
      <c r="B5286" s="119" t="s">
        <v>37210</v>
      </c>
      <c r="C5286" s="120" t="s">
        <v>5222</v>
      </c>
      <c r="D5286" s="33" t="s">
        <v>37211</v>
      </c>
      <c r="E5286" s="51" t="s">
        <v>1115</v>
      </c>
      <c r="F5286" s="121" t="s">
        <v>2993</v>
      </c>
      <c r="H5286" s="46" t="s">
        <v>3002</v>
      </c>
    </row>
    <row r="5287">
      <c r="A5287" s="55"/>
      <c r="B5287" s="119" t="s">
        <v>37212</v>
      </c>
      <c r="C5287" s="120" t="s">
        <v>7258</v>
      </c>
      <c r="D5287" s="33" t="s">
        <v>37211</v>
      </c>
      <c r="E5287" s="51" t="s">
        <v>1115</v>
      </c>
      <c r="F5287" s="121" t="s">
        <v>3009</v>
      </c>
      <c r="G5287" s="98" t="str">
        <f>HYPERLINK("http://mirror.ff7data.com.ar/ff7/data/battle/battle.lgp/jfam.png","View Picture")</f>
        <v>View Picture</v>
      </c>
    </row>
    <row r="5288">
      <c r="A5288" s="55"/>
      <c r="B5288" s="119" t="s">
        <v>37213</v>
      </c>
      <c r="C5288" s="120" t="s">
        <v>7270</v>
      </c>
      <c r="D5288" s="33" t="s">
        <v>37211</v>
      </c>
      <c r="E5288" s="51" t="s">
        <v>1115</v>
      </c>
      <c r="F5288" s="121" t="s">
        <v>3009</v>
      </c>
      <c r="G5288" s="98" t="str">
        <f>HYPERLINK("http://mirror.ff7data.com.ar/ff7/data/battle/battle.lgp/jfan.png","View Picture")</f>
        <v>View Picture</v>
      </c>
    </row>
    <row r="5289">
      <c r="A5289" s="55"/>
      <c r="B5289" s="119" t="s">
        <v>37214</v>
      </c>
      <c r="C5289" s="120" t="s">
        <v>3465</v>
      </c>
      <c r="D5289" s="33" t="s">
        <v>37211</v>
      </c>
      <c r="E5289" s="51" t="s">
        <v>1115</v>
      </c>
      <c r="F5289" s="121" t="s">
        <v>3009</v>
      </c>
      <c r="G5289" s="98" t="str">
        <f>HYPERLINK("http://mirror.ff7data.com.ar/ff7/data/battle/battle.lgp/jfao.png","View Picture")</f>
        <v>View Picture</v>
      </c>
    </row>
    <row r="5290">
      <c r="A5290" s="55"/>
      <c r="B5290" s="119" t="s">
        <v>37215</v>
      </c>
      <c r="C5290" s="120" t="s">
        <v>4439</v>
      </c>
      <c r="D5290" s="33" t="s">
        <v>37211</v>
      </c>
      <c r="E5290" s="51" t="s">
        <v>1115</v>
      </c>
      <c r="F5290" s="121" t="s">
        <v>3009</v>
      </c>
      <c r="G5290" s="98" t="str">
        <f>HYPERLINK("http://mirror.ff7data.com.ar/ff7/data/battle/battle.lgp/jfas.png","View Picture")</f>
        <v>View Picture</v>
      </c>
    </row>
    <row r="5291">
      <c r="A5291" s="55"/>
      <c r="B5291" s="119" t="s">
        <v>37216</v>
      </c>
      <c r="C5291" s="120" t="s">
        <v>7301</v>
      </c>
      <c r="D5291" s="33" t="s">
        <v>37211</v>
      </c>
      <c r="E5291" s="51" t="s">
        <v>1115</v>
      </c>
      <c r="F5291" s="121" t="s">
        <v>3009</v>
      </c>
      <c r="G5291" s="98" t="str">
        <f>HYPERLINK("http://mirror.ff7data.com.ar/ff7/data/battle/battle.lgp/jfat.png","View Picture")</f>
        <v>View Picture</v>
      </c>
    </row>
    <row r="5292">
      <c r="A5292" s="55"/>
      <c r="B5292" s="119" t="s">
        <v>37217</v>
      </c>
      <c r="C5292" s="120" t="s">
        <v>9041</v>
      </c>
      <c r="D5292" s="33" t="s">
        <v>37211</v>
      </c>
      <c r="E5292" s="51" t="s">
        <v>1115</v>
      </c>
      <c r="F5292" s="121" t="s">
        <v>3009</v>
      </c>
      <c r="G5292" s="98" t="str">
        <f>HYPERLINK("http://mirror.ff7data.com.ar/ff7/data/battle/battle.lgp/jfau.png","View Picture")</f>
        <v>View Picture</v>
      </c>
    </row>
    <row r="5293">
      <c r="A5293" s="55"/>
      <c r="B5293" s="119" t="s">
        <v>37218</v>
      </c>
      <c r="C5293" s="120" t="s">
        <v>7322</v>
      </c>
      <c r="D5293" s="33" t="s">
        <v>37211</v>
      </c>
      <c r="E5293" s="51" t="s">
        <v>1115</v>
      </c>
      <c r="F5293" s="121" t="s">
        <v>3009</v>
      </c>
      <c r="G5293" s="98" t="str">
        <f>HYPERLINK("http://mirror.ff7data.com.ar/ff7/data/battle/battle.lgp/jfaw.png","View Picture")</f>
        <v>View Picture</v>
      </c>
    </row>
    <row r="5294">
      <c r="A5294" s="55"/>
      <c r="B5294" s="119" t="s">
        <v>37219</v>
      </c>
      <c r="C5294" s="120" t="s">
        <v>7165</v>
      </c>
      <c r="D5294" s="33" t="s">
        <v>37211</v>
      </c>
      <c r="E5294" s="51" t="s">
        <v>1115</v>
      </c>
      <c r="F5294" s="121" t="s">
        <v>3009</v>
      </c>
      <c r="G5294" s="98" t="str">
        <f>HYPERLINK("http://mirror.ff7data.com.ar/ff7/data/battle/battle.lgp/jfay.png","View Picture")</f>
        <v>View Picture</v>
      </c>
    </row>
    <row r="5295">
      <c r="A5295" s="55"/>
      <c r="B5295" s="119" t="s">
        <v>37220</v>
      </c>
      <c r="C5295" s="120" t="s">
        <v>6029</v>
      </c>
      <c r="D5295" s="33" t="s">
        <v>37211</v>
      </c>
      <c r="E5295" s="51" t="s">
        <v>1115</v>
      </c>
      <c r="F5295" s="121" t="s">
        <v>3009</v>
      </c>
      <c r="G5295" s="98" t="str">
        <f>HYPERLINK("http://mirror.ff7data.com.ar/ff7/data/battle/battle.lgp/jfaz.png","View Picture")</f>
        <v>View Picture</v>
      </c>
    </row>
    <row r="5296">
      <c r="A5296" s="55"/>
      <c r="B5296" s="119" t="s">
        <v>37221</v>
      </c>
      <c r="C5296" s="120" t="s">
        <v>4185</v>
      </c>
      <c r="D5296" s="33" t="s">
        <v>37211</v>
      </c>
      <c r="E5296" s="51" t="s">
        <v>1115</v>
      </c>
      <c r="F5296" s="121" t="s">
        <v>3009</v>
      </c>
      <c r="G5296" s="98" t="str">
        <f>HYPERLINK("http://mirror.ff7data.com.ar/ff7/data/battle/battle.lgp/jfba.png","View Picture")</f>
        <v>View Picture</v>
      </c>
    </row>
    <row r="5297">
      <c r="A5297" s="55"/>
      <c r="B5297" s="119" t="s">
        <v>37222</v>
      </c>
      <c r="C5297" s="120" t="s">
        <v>5891</v>
      </c>
      <c r="D5297" s="33" t="s">
        <v>37211</v>
      </c>
      <c r="E5297" s="51" t="s">
        <v>1115</v>
      </c>
      <c r="F5297" s="121" t="s">
        <v>3009</v>
      </c>
      <c r="G5297" s="98" t="str">
        <f>HYPERLINK("http://mirror.ff7data.com.ar/ff7/data/battle/battle.lgp/jfbc.png","View Picture")</f>
        <v>View Picture</v>
      </c>
    </row>
    <row r="5298">
      <c r="A5298" s="55"/>
      <c r="B5298" s="119" t="s">
        <v>37223</v>
      </c>
      <c r="C5298" s="120" t="s">
        <v>4185</v>
      </c>
      <c r="D5298" s="33" t="s">
        <v>37211</v>
      </c>
      <c r="E5298" s="51" t="s">
        <v>1115</v>
      </c>
      <c r="F5298" s="121" t="s">
        <v>3009</v>
      </c>
      <c r="G5298" s="98" t="str">
        <f>HYPERLINK("http://mirror.ff7data.com.ar/ff7/data/battle/battle.lgp/jfbd.png","View Picture")</f>
        <v>View Picture</v>
      </c>
    </row>
    <row r="5299">
      <c r="A5299" s="55"/>
      <c r="B5299" s="119" t="s">
        <v>37224</v>
      </c>
      <c r="C5299" s="120" t="s">
        <v>4732</v>
      </c>
      <c r="D5299" s="33" t="s">
        <v>37211</v>
      </c>
      <c r="E5299" s="51" t="s">
        <v>1115</v>
      </c>
      <c r="F5299" s="121" t="s">
        <v>3009</v>
      </c>
      <c r="G5299" s="98" t="str">
        <f>HYPERLINK("http://mirror.ff7data.com.ar/ff7/data/battle/battle.lgp/jfbe.png","View Picture")</f>
        <v>View Picture</v>
      </c>
    </row>
    <row r="5300">
      <c r="A5300" s="55"/>
      <c r="B5300" s="119" t="s">
        <v>37225</v>
      </c>
      <c r="C5300" s="120" t="s">
        <v>3412</v>
      </c>
      <c r="D5300" s="33" t="s">
        <v>37211</v>
      </c>
      <c r="E5300" s="51" t="s">
        <v>1115</v>
      </c>
      <c r="F5300" s="121" t="s">
        <v>3025</v>
      </c>
      <c r="H5300" s="46" t="s">
        <v>3002</v>
      </c>
    </row>
    <row r="5301">
      <c r="A5301" s="21"/>
      <c r="B5301" s="119" t="s">
        <v>37226</v>
      </c>
      <c r="C5301" s="120" t="s">
        <v>2989</v>
      </c>
      <c r="D5301" s="33" t="s">
        <v>37227</v>
      </c>
      <c r="E5301" s="51" t="s">
        <v>1123</v>
      </c>
      <c r="F5301" s="121" t="s">
        <v>2971</v>
      </c>
      <c r="G5301" s="98" t="str">
        <f>HYPERLINK("http://mirror.ff7data.com.ar/ff7/data/battle/battle.lgp/jgaa.png","View Picture")</f>
        <v>View Picture</v>
      </c>
    </row>
    <row r="5302">
      <c r="A5302" s="55"/>
      <c r="B5302" s="119" t="s">
        <v>37228</v>
      </c>
      <c r="C5302" s="120" t="s">
        <v>7486</v>
      </c>
      <c r="D5302" s="33" t="s">
        <v>37229</v>
      </c>
      <c r="E5302" s="51" t="s">
        <v>1123</v>
      </c>
      <c r="F5302" s="121" t="s">
        <v>2993</v>
      </c>
      <c r="H5302" s="46" t="s">
        <v>3002</v>
      </c>
    </row>
    <row r="5303">
      <c r="A5303" s="55"/>
      <c r="B5303" s="119" t="s">
        <v>37230</v>
      </c>
      <c r="C5303" s="120" t="s">
        <v>10955</v>
      </c>
      <c r="D5303" s="33" t="s">
        <v>37229</v>
      </c>
      <c r="E5303" s="51" t="s">
        <v>1123</v>
      </c>
      <c r="F5303" s="121" t="s">
        <v>3009</v>
      </c>
      <c r="G5303" s="98" t="str">
        <f>HYPERLINK("http://mirror.ff7data.com.ar/ff7/data/battle/battle.lgp/jgam.png","View Picture")</f>
        <v>View Picture</v>
      </c>
    </row>
    <row r="5304">
      <c r="A5304" s="55"/>
      <c r="B5304" s="119" t="s">
        <v>37231</v>
      </c>
      <c r="C5304" s="120" t="s">
        <v>3318</v>
      </c>
      <c r="D5304" s="33" t="s">
        <v>37229</v>
      </c>
      <c r="E5304" s="51" t="s">
        <v>1123</v>
      </c>
      <c r="F5304" s="121" t="s">
        <v>3009</v>
      </c>
      <c r="G5304" s="98" t="str">
        <f>HYPERLINK("http://mirror.ff7data.com.ar/ff7/data/battle/battle.lgp/jgan.png","View Picture")</f>
        <v>View Picture</v>
      </c>
    </row>
    <row r="5305">
      <c r="A5305" s="55"/>
      <c r="B5305" s="119" t="s">
        <v>37232</v>
      </c>
      <c r="C5305" s="120" t="s">
        <v>5891</v>
      </c>
      <c r="D5305" s="33" t="s">
        <v>37229</v>
      </c>
      <c r="E5305" s="51" t="s">
        <v>1123</v>
      </c>
      <c r="F5305" s="121" t="s">
        <v>3009</v>
      </c>
      <c r="G5305" s="98" t="str">
        <f>HYPERLINK("http://mirror.ff7data.com.ar/ff7/data/battle/battle.lgp/jgap.png","View Picture")</f>
        <v>View Picture</v>
      </c>
    </row>
    <row r="5306">
      <c r="A5306" s="55"/>
      <c r="B5306" s="119" t="s">
        <v>37233</v>
      </c>
      <c r="C5306" s="120" t="s">
        <v>5203</v>
      </c>
      <c r="D5306" s="33" t="s">
        <v>37229</v>
      </c>
      <c r="E5306" s="51" t="s">
        <v>1123</v>
      </c>
      <c r="F5306" s="121" t="s">
        <v>3009</v>
      </c>
      <c r="G5306" s="98" t="str">
        <f>HYPERLINK("http://mirror.ff7data.com.ar/ff7/data/battle/battle.lgp/jgaq.png","View Picture")</f>
        <v>View Picture</v>
      </c>
    </row>
    <row r="5307">
      <c r="A5307" s="55"/>
      <c r="B5307" s="119" t="s">
        <v>37234</v>
      </c>
      <c r="C5307" s="120" t="s">
        <v>4476</v>
      </c>
      <c r="D5307" s="33" t="s">
        <v>37229</v>
      </c>
      <c r="E5307" s="51" t="s">
        <v>1123</v>
      </c>
      <c r="F5307" s="121" t="s">
        <v>3009</v>
      </c>
      <c r="G5307" s="98" t="str">
        <f>HYPERLINK("http://mirror.ff7data.com.ar/ff7/data/battle/battle.lgp/jgas.png","View Picture")</f>
        <v>View Picture</v>
      </c>
    </row>
    <row r="5308">
      <c r="A5308" s="55"/>
      <c r="B5308" s="119" t="s">
        <v>37235</v>
      </c>
      <c r="C5308" s="120" t="s">
        <v>4476</v>
      </c>
      <c r="D5308" s="33" t="s">
        <v>37229</v>
      </c>
      <c r="E5308" s="51" t="s">
        <v>1123</v>
      </c>
      <c r="F5308" s="121" t="s">
        <v>3009</v>
      </c>
      <c r="G5308" s="98" t="str">
        <f>HYPERLINK("http://mirror.ff7data.com.ar/ff7/data/battle/battle.lgp/jgau.png","View Picture")</f>
        <v>View Picture</v>
      </c>
    </row>
    <row r="5309">
      <c r="A5309" s="55"/>
      <c r="B5309" s="119" t="s">
        <v>37236</v>
      </c>
      <c r="C5309" s="120" t="s">
        <v>5891</v>
      </c>
      <c r="D5309" s="33" t="s">
        <v>37229</v>
      </c>
      <c r="E5309" s="51" t="s">
        <v>1123</v>
      </c>
      <c r="F5309" s="121" t="s">
        <v>3009</v>
      </c>
      <c r="G5309" s="98" t="str">
        <f>HYPERLINK("http://mirror.ff7data.com.ar/ff7/data/battle/battle.lgp/jgaw.png","View Picture")</f>
        <v>View Picture</v>
      </c>
    </row>
    <row r="5310">
      <c r="A5310" s="55"/>
      <c r="B5310" s="119" t="s">
        <v>37237</v>
      </c>
      <c r="C5310" s="120" t="s">
        <v>8649</v>
      </c>
      <c r="D5310" s="33" t="s">
        <v>37229</v>
      </c>
      <c r="E5310" s="51" t="s">
        <v>1123</v>
      </c>
      <c r="F5310" s="121" t="s">
        <v>3009</v>
      </c>
      <c r="G5310" s="98" t="str">
        <f>HYPERLINK("http://mirror.ff7data.com.ar/ff7/data/battle/battle.lgp/jgax.png","View Picture")</f>
        <v>View Picture</v>
      </c>
    </row>
    <row r="5311">
      <c r="A5311" s="55"/>
      <c r="B5311" s="119" t="s">
        <v>37238</v>
      </c>
      <c r="C5311" s="120" t="s">
        <v>4476</v>
      </c>
      <c r="D5311" s="33" t="s">
        <v>37229</v>
      </c>
      <c r="E5311" s="51" t="s">
        <v>1123</v>
      </c>
      <c r="F5311" s="121" t="s">
        <v>3009</v>
      </c>
      <c r="G5311" s="98" t="str">
        <f>HYPERLINK("http://mirror.ff7data.com.ar/ff7/data/battle/battle.lgp/jgaz.png","View Picture")</f>
        <v>View Picture</v>
      </c>
    </row>
    <row r="5312">
      <c r="A5312" s="55"/>
      <c r="B5312" s="119" t="s">
        <v>37239</v>
      </c>
      <c r="C5312" s="120" t="s">
        <v>4476</v>
      </c>
      <c r="D5312" s="33" t="s">
        <v>37229</v>
      </c>
      <c r="E5312" s="51" t="s">
        <v>1123</v>
      </c>
      <c r="F5312" s="121" t="s">
        <v>3009</v>
      </c>
      <c r="G5312" s="98" t="str">
        <f>HYPERLINK("http://mirror.ff7data.com.ar/ff7/data/battle/battle.lgp/jgbb.png","View Picture")</f>
        <v>View Picture</v>
      </c>
    </row>
    <row r="5313">
      <c r="A5313" s="55"/>
      <c r="B5313" s="119" t="s">
        <v>37240</v>
      </c>
      <c r="C5313" s="120" t="s">
        <v>3658</v>
      </c>
      <c r="D5313" s="33" t="s">
        <v>37229</v>
      </c>
      <c r="E5313" s="51" t="s">
        <v>1123</v>
      </c>
      <c r="F5313" s="121" t="s">
        <v>3009</v>
      </c>
      <c r="G5313" s="98" t="str">
        <f>HYPERLINK("http://mirror.ff7data.com.ar/ff7/data/battle/battle.lgp/jgbd.png","View Picture")</f>
        <v>View Picture</v>
      </c>
    </row>
    <row r="5314">
      <c r="A5314" s="55"/>
      <c r="B5314" s="119" t="s">
        <v>37241</v>
      </c>
      <c r="C5314" s="120" t="s">
        <v>3434</v>
      </c>
      <c r="D5314" s="33" t="s">
        <v>37229</v>
      </c>
      <c r="E5314" s="51" t="s">
        <v>1123</v>
      </c>
      <c r="F5314" s="121" t="s">
        <v>3009</v>
      </c>
      <c r="G5314" s="98" t="str">
        <f>HYPERLINK("http://mirror.ff7data.com.ar/ff7/data/battle/battle.lgp/jgbe.png","View Picture")</f>
        <v>View Picture</v>
      </c>
    </row>
    <row r="5315">
      <c r="A5315" s="55"/>
      <c r="B5315" s="119" t="s">
        <v>37242</v>
      </c>
      <c r="C5315" s="120" t="s">
        <v>4719</v>
      </c>
      <c r="D5315" s="33" t="s">
        <v>37229</v>
      </c>
      <c r="E5315" s="51" t="s">
        <v>1123</v>
      </c>
      <c r="F5315" s="121" t="s">
        <v>3009</v>
      </c>
      <c r="G5315" s="98" t="str">
        <f>HYPERLINK("http://mirror.ff7data.com.ar/ff7/data/battle/battle.lgp/jgbg.png","View Picture")</f>
        <v>View Picture</v>
      </c>
    </row>
    <row r="5316">
      <c r="A5316" s="55"/>
      <c r="B5316" s="119" t="s">
        <v>37243</v>
      </c>
      <c r="C5316" s="120" t="s">
        <v>4719</v>
      </c>
      <c r="D5316" s="33" t="s">
        <v>37229</v>
      </c>
      <c r="E5316" s="51" t="s">
        <v>1123</v>
      </c>
      <c r="F5316" s="121" t="s">
        <v>3009</v>
      </c>
      <c r="G5316" s="98" t="str">
        <f>HYPERLINK("http://mirror.ff7data.com.ar/ff7/data/battle/battle.lgp/jgbi.png","View Picture")</f>
        <v>View Picture</v>
      </c>
    </row>
    <row r="5317">
      <c r="A5317" s="55"/>
      <c r="B5317" s="119" t="s">
        <v>37244</v>
      </c>
      <c r="C5317" s="120" t="s">
        <v>7165</v>
      </c>
      <c r="D5317" s="33" t="s">
        <v>37229</v>
      </c>
      <c r="E5317" s="51" t="s">
        <v>1123</v>
      </c>
      <c r="F5317" s="121" t="s">
        <v>3009</v>
      </c>
      <c r="G5317" s="98" t="str">
        <f>HYPERLINK("http://mirror.ff7data.com.ar/ff7/data/battle/battle.lgp/jgbk.png","View Picture")</f>
        <v>View Picture</v>
      </c>
    </row>
    <row r="5318">
      <c r="A5318" s="55"/>
      <c r="B5318" s="119" t="s">
        <v>37245</v>
      </c>
      <c r="C5318" s="120" t="s">
        <v>3434</v>
      </c>
      <c r="D5318" s="33" t="s">
        <v>37229</v>
      </c>
      <c r="E5318" s="51" t="s">
        <v>1123</v>
      </c>
      <c r="F5318" s="121" t="s">
        <v>3009</v>
      </c>
      <c r="G5318" s="98" t="str">
        <f>HYPERLINK("http://mirror.ff7data.com.ar/ff7/data/battle/battle.lgp/jgbl.png","View Picture")</f>
        <v>View Picture</v>
      </c>
    </row>
    <row r="5319">
      <c r="A5319" s="55"/>
      <c r="B5319" s="119" t="s">
        <v>37246</v>
      </c>
      <c r="C5319" s="120" t="s">
        <v>4372</v>
      </c>
      <c r="D5319" s="33" t="s">
        <v>37229</v>
      </c>
      <c r="E5319" s="51" t="s">
        <v>1123</v>
      </c>
      <c r="F5319" s="121" t="s">
        <v>3009</v>
      </c>
      <c r="G5319" s="98" t="str">
        <f>HYPERLINK("http://mirror.ff7data.com.ar/ff7/data/battle/battle.lgp/jgbn.png","View Picture")</f>
        <v>View Picture</v>
      </c>
    </row>
    <row r="5320">
      <c r="A5320" s="55"/>
      <c r="B5320" s="119" t="s">
        <v>37247</v>
      </c>
      <c r="C5320" s="120" t="s">
        <v>4719</v>
      </c>
      <c r="D5320" s="33" t="s">
        <v>37229</v>
      </c>
      <c r="E5320" s="51" t="s">
        <v>1123</v>
      </c>
      <c r="F5320" s="121" t="s">
        <v>3009</v>
      </c>
      <c r="G5320" s="98" t="str">
        <f>HYPERLINK("http://mirror.ff7data.com.ar/ff7/data/battle/battle.lgp/jgbp.png","View Picture")</f>
        <v>View Picture</v>
      </c>
    </row>
    <row r="5321">
      <c r="A5321" s="55"/>
      <c r="B5321" s="119" t="s">
        <v>37248</v>
      </c>
      <c r="C5321" s="120" t="s">
        <v>9600</v>
      </c>
      <c r="D5321" s="33" t="s">
        <v>37229</v>
      </c>
      <c r="E5321" s="51" t="s">
        <v>1123</v>
      </c>
      <c r="F5321" s="121" t="s">
        <v>3025</v>
      </c>
      <c r="H5321" s="46" t="s">
        <v>3002</v>
      </c>
    </row>
    <row r="5322">
      <c r="A5322" s="21"/>
      <c r="B5322" s="119" t="s">
        <v>37249</v>
      </c>
      <c r="C5322" s="120" t="s">
        <v>34740</v>
      </c>
      <c r="D5322" s="33" t="s">
        <v>37250</v>
      </c>
      <c r="E5322" s="51" t="s">
        <v>1128</v>
      </c>
      <c r="F5322" s="121" t="s">
        <v>2971</v>
      </c>
      <c r="G5322" s="98" t="str">
        <f>HYPERLINK("http://mirror.ff7data.com.ar/ff7/data/battle/battle.lgp/jhaa.png","View Picture")</f>
        <v>View Picture</v>
      </c>
    </row>
    <row r="5323">
      <c r="A5323" s="55"/>
      <c r="B5323" s="119" t="s">
        <v>37251</v>
      </c>
      <c r="C5323" s="120" t="s">
        <v>8016</v>
      </c>
      <c r="D5323" s="33" t="s">
        <v>37252</v>
      </c>
      <c r="E5323" s="51" t="s">
        <v>1128</v>
      </c>
      <c r="F5323" s="121" t="s">
        <v>2993</v>
      </c>
      <c r="H5323" s="46" t="s">
        <v>3002</v>
      </c>
    </row>
    <row r="5324">
      <c r="A5324" s="55"/>
      <c r="B5324" s="119" t="s">
        <v>37253</v>
      </c>
      <c r="C5324" s="120" t="s">
        <v>3318</v>
      </c>
      <c r="D5324" s="33" t="s">
        <v>37252</v>
      </c>
      <c r="E5324" s="51" t="s">
        <v>1128</v>
      </c>
      <c r="F5324" s="121" t="s">
        <v>3009</v>
      </c>
      <c r="G5324" s="98" t="str">
        <f>HYPERLINK("http://mirror.ff7data.com.ar/ff7/data/battle/battle.lgp/jham.png","View Picture")</f>
        <v>View Picture</v>
      </c>
    </row>
    <row r="5325">
      <c r="A5325" s="55"/>
      <c r="B5325" s="119" t="s">
        <v>37254</v>
      </c>
      <c r="C5325" s="120" t="s">
        <v>3749</v>
      </c>
      <c r="D5325" s="33" t="s">
        <v>37252</v>
      </c>
      <c r="E5325" s="51" t="s">
        <v>1128</v>
      </c>
      <c r="F5325" s="121" t="s">
        <v>3009</v>
      </c>
      <c r="G5325" s="98" t="str">
        <f>HYPERLINK("http://mirror.ff7data.com.ar/ff7/data/battle/battle.lgp/jhao.png","View Picture")</f>
        <v>View Picture</v>
      </c>
    </row>
    <row r="5326">
      <c r="A5326" s="55"/>
      <c r="B5326" s="119" t="s">
        <v>37255</v>
      </c>
      <c r="C5326" s="120" t="s">
        <v>5203</v>
      </c>
      <c r="D5326" s="33" t="s">
        <v>37252</v>
      </c>
      <c r="E5326" s="51" t="s">
        <v>1128</v>
      </c>
      <c r="F5326" s="121" t="s">
        <v>3009</v>
      </c>
      <c r="G5326" s="98" t="str">
        <f>HYPERLINK("http://mirror.ff7data.com.ar/ff7/data/battle/battle.lgp/jhap.png","View Picture")</f>
        <v>View Picture</v>
      </c>
    </row>
    <row r="5327">
      <c r="A5327" s="55"/>
      <c r="B5327" s="119" t="s">
        <v>37256</v>
      </c>
      <c r="C5327" s="120" t="s">
        <v>4476</v>
      </c>
      <c r="D5327" s="33" t="s">
        <v>37252</v>
      </c>
      <c r="E5327" s="51" t="s">
        <v>1128</v>
      </c>
      <c r="F5327" s="121" t="s">
        <v>3009</v>
      </c>
      <c r="G5327" s="98" t="str">
        <f>HYPERLINK("http://mirror.ff7data.com.ar/ff7/data/battle/battle.lgp/jhar.png","View Picture")</f>
        <v>View Picture</v>
      </c>
    </row>
    <row r="5328">
      <c r="A5328" s="55"/>
      <c r="B5328" s="119" t="s">
        <v>37257</v>
      </c>
      <c r="C5328" s="120" t="s">
        <v>4476</v>
      </c>
      <c r="D5328" s="33" t="s">
        <v>37252</v>
      </c>
      <c r="E5328" s="51" t="s">
        <v>1128</v>
      </c>
      <c r="F5328" s="121" t="s">
        <v>3009</v>
      </c>
      <c r="G5328" s="98" t="str">
        <f>HYPERLINK("http://mirror.ff7data.com.ar/ff7/data/battle/battle.lgp/jhat.png","View Picture")</f>
        <v>View Picture</v>
      </c>
    </row>
    <row r="5329">
      <c r="A5329" s="55"/>
      <c r="B5329" s="119" t="s">
        <v>37258</v>
      </c>
      <c r="C5329" s="120" t="s">
        <v>4288</v>
      </c>
      <c r="D5329" s="33" t="s">
        <v>37252</v>
      </c>
      <c r="E5329" s="51" t="s">
        <v>1128</v>
      </c>
      <c r="F5329" s="121" t="s">
        <v>3009</v>
      </c>
      <c r="G5329" s="98" t="str">
        <f>HYPERLINK("http://mirror.ff7data.com.ar/ff7/data/battle/battle.lgp/jhau.png","View Picture")</f>
        <v>View Picture</v>
      </c>
    </row>
    <row r="5330">
      <c r="A5330" s="55"/>
      <c r="B5330" s="119" t="s">
        <v>37259</v>
      </c>
      <c r="C5330" s="120" t="s">
        <v>4288</v>
      </c>
      <c r="D5330" s="33" t="s">
        <v>37252</v>
      </c>
      <c r="E5330" s="51" t="s">
        <v>1128</v>
      </c>
      <c r="F5330" s="121" t="s">
        <v>3009</v>
      </c>
      <c r="G5330" s="98" t="str">
        <f>HYPERLINK("http://mirror.ff7data.com.ar/ff7/data/battle/battle.lgp/jhav.png","View Picture")</f>
        <v>View Picture</v>
      </c>
    </row>
    <row r="5331">
      <c r="A5331" s="55"/>
      <c r="B5331" s="119" t="s">
        <v>37260</v>
      </c>
      <c r="C5331" s="120" t="s">
        <v>4288</v>
      </c>
      <c r="D5331" s="33" t="s">
        <v>37252</v>
      </c>
      <c r="E5331" s="51" t="s">
        <v>1128</v>
      </c>
      <c r="F5331" s="121" t="s">
        <v>3009</v>
      </c>
      <c r="G5331" s="98" t="str">
        <f>HYPERLINK("http://mirror.ff7data.com.ar/ff7/data/battle/battle.lgp/jhaw.png","View Picture")</f>
        <v>View Picture</v>
      </c>
    </row>
    <row r="5332">
      <c r="A5332" s="55"/>
      <c r="B5332" s="119" t="s">
        <v>37261</v>
      </c>
      <c r="C5332" s="120" t="s">
        <v>7165</v>
      </c>
      <c r="D5332" s="33" t="s">
        <v>37252</v>
      </c>
      <c r="E5332" s="51" t="s">
        <v>1128</v>
      </c>
      <c r="F5332" s="121" t="s">
        <v>3009</v>
      </c>
      <c r="G5332" s="98" t="str">
        <f>HYPERLINK("http://mirror.ff7data.com.ar/ff7/data/battle/battle.lgp/jhax.png","View Picture")</f>
        <v>View Picture</v>
      </c>
    </row>
    <row r="5333">
      <c r="A5333" s="55"/>
      <c r="B5333" s="119" t="s">
        <v>37262</v>
      </c>
      <c r="C5333" s="120" t="s">
        <v>4264</v>
      </c>
      <c r="D5333" s="33" t="s">
        <v>37252</v>
      </c>
      <c r="E5333" s="51" t="s">
        <v>1128</v>
      </c>
      <c r="F5333" s="121" t="s">
        <v>3009</v>
      </c>
      <c r="G5333" s="98" t="str">
        <f>HYPERLINK("http://mirror.ff7data.com.ar/ff7/data/battle/battle.lgp/jhaz.png","View Picture")</f>
        <v>View Picture</v>
      </c>
    </row>
    <row r="5334">
      <c r="A5334" s="55"/>
      <c r="B5334" s="119" t="s">
        <v>37263</v>
      </c>
      <c r="C5334" s="120" t="s">
        <v>4476</v>
      </c>
      <c r="D5334" s="33" t="s">
        <v>37252</v>
      </c>
      <c r="E5334" s="51" t="s">
        <v>1128</v>
      </c>
      <c r="F5334" s="121" t="s">
        <v>3009</v>
      </c>
      <c r="G5334" s="98" t="str">
        <f>HYPERLINK("http://mirror.ff7data.com.ar/ff7/data/battle/battle.lgp/jhba.png","View Picture")</f>
        <v>View Picture</v>
      </c>
    </row>
    <row r="5335">
      <c r="A5335" s="55"/>
      <c r="B5335" s="119" t="s">
        <v>37264</v>
      </c>
      <c r="C5335" s="120" t="s">
        <v>4264</v>
      </c>
      <c r="D5335" s="33" t="s">
        <v>37252</v>
      </c>
      <c r="E5335" s="51" t="s">
        <v>1128</v>
      </c>
      <c r="F5335" s="121" t="s">
        <v>3009</v>
      </c>
      <c r="G5335" s="98" t="str">
        <f>HYPERLINK("http://mirror.ff7data.com.ar/ff7/data/battle/battle.lgp/jhbc.png","View Picture")</f>
        <v>View Picture</v>
      </c>
    </row>
    <row r="5336">
      <c r="A5336" s="55"/>
      <c r="B5336" s="119" t="s">
        <v>37265</v>
      </c>
      <c r="C5336" s="120" t="s">
        <v>6029</v>
      </c>
      <c r="D5336" s="33" t="s">
        <v>37252</v>
      </c>
      <c r="E5336" s="51" t="s">
        <v>1128</v>
      </c>
      <c r="F5336" s="121" t="s">
        <v>3009</v>
      </c>
      <c r="G5336" s="98" t="str">
        <f>HYPERLINK("http://mirror.ff7data.com.ar/ff7/data/battle/battle.lgp/jhbd.png","View Picture")</f>
        <v>View Picture</v>
      </c>
    </row>
    <row r="5337">
      <c r="A5337" s="55"/>
      <c r="B5337" s="119" t="s">
        <v>37266</v>
      </c>
      <c r="C5337" s="120" t="s">
        <v>4264</v>
      </c>
      <c r="D5337" s="33" t="s">
        <v>37252</v>
      </c>
      <c r="E5337" s="51" t="s">
        <v>1128</v>
      </c>
      <c r="F5337" s="121" t="s">
        <v>3009</v>
      </c>
      <c r="G5337" s="98" t="str">
        <f>HYPERLINK("http://mirror.ff7data.com.ar/ff7/data/battle/battle.lgp/jhbf.png","View Picture")</f>
        <v>View Picture</v>
      </c>
    </row>
    <row r="5338">
      <c r="A5338" s="55"/>
      <c r="B5338" s="119" t="s">
        <v>37267</v>
      </c>
      <c r="C5338" s="120" t="s">
        <v>4372</v>
      </c>
      <c r="D5338" s="33" t="s">
        <v>37252</v>
      </c>
      <c r="E5338" s="51" t="s">
        <v>1128</v>
      </c>
      <c r="F5338" s="121" t="s">
        <v>3009</v>
      </c>
      <c r="G5338" s="98" t="str">
        <f>HYPERLINK("http://mirror.ff7data.com.ar/ff7/data/battle/battle.lgp/jhbg.png","View Picture")</f>
        <v>View Picture</v>
      </c>
    </row>
    <row r="5339">
      <c r="A5339" s="55"/>
      <c r="B5339" s="119" t="s">
        <v>37268</v>
      </c>
      <c r="C5339" s="120" t="s">
        <v>3749</v>
      </c>
      <c r="D5339" s="33" t="s">
        <v>37252</v>
      </c>
      <c r="E5339" s="51" t="s">
        <v>1128</v>
      </c>
      <c r="F5339" s="121" t="s">
        <v>3009</v>
      </c>
      <c r="G5339" s="98" t="str">
        <f>HYPERLINK("http://mirror.ff7data.com.ar/ff7/data/battle/battle.lgp/jhbi.png","View Picture")</f>
        <v>View Picture</v>
      </c>
    </row>
    <row r="5340">
      <c r="A5340" s="55"/>
      <c r="B5340" s="119" t="s">
        <v>37269</v>
      </c>
      <c r="C5340" s="120" t="s">
        <v>8649</v>
      </c>
      <c r="D5340" s="33" t="s">
        <v>37252</v>
      </c>
      <c r="E5340" s="51" t="s">
        <v>1128</v>
      </c>
      <c r="F5340" s="121" t="s">
        <v>3009</v>
      </c>
      <c r="G5340" s="98" t="str">
        <f>HYPERLINK("http://mirror.ff7data.com.ar/ff7/data/battle/battle.lgp/jhbj.png","View Picture")</f>
        <v>View Picture</v>
      </c>
    </row>
    <row r="5341">
      <c r="A5341" s="55"/>
      <c r="B5341" s="119" t="s">
        <v>37270</v>
      </c>
      <c r="C5341" s="120" t="s">
        <v>4476</v>
      </c>
      <c r="D5341" s="33" t="s">
        <v>37252</v>
      </c>
      <c r="E5341" s="51" t="s">
        <v>1128</v>
      </c>
      <c r="F5341" s="121" t="s">
        <v>3009</v>
      </c>
      <c r="G5341" s="98" t="str">
        <f>HYPERLINK("http://mirror.ff7data.com.ar/ff7/data/battle/battle.lgp/jhbl.png","View Picture")</f>
        <v>View Picture</v>
      </c>
    </row>
    <row r="5342">
      <c r="A5342" s="55"/>
      <c r="B5342" s="119" t="s">
        <v>37271</v>
      </c>
      <c r="C5342" s="120" t="s">
        <v>4476</v>
      </c>
      <c r="D5342" s="33" t="s">
        <v>37252</v>
      </c>
      <c r="E5342" s="51" t="s">
        <v>1128</v>
      </c>
      <c r="F5342" s="121" t="s">
        <v>3009</v>
      </c>
      <c r="G5342" s="98" t="str">
        <f>HYPERLINK("http://mirror.ff7data.com.ar/ff7/data/battle/battle.lgp/jhbn.png","View Picture")</f>
        <v>View Picture</v>
      </c>
    </row>
    <row r="5343">
      <c r="A5343" s="55"/>
      <c r="B5343" s="119" t="s">
        <v>37272</v>
      </c>
      <c r="C5343" s="120" t="s">
        <v>3637</v>
      </c>
      <c r="D5343" s="33" t="s">
        <v>37252</v>
      </c>
      <c r="E5343" s="51" t="s">
        <v>1128</v>
      </c>
      <c r="F5343" s="121" t="s">
        <v>3025</v>
      </c>
      <c r="H5343" s="46" t="s">
        <v>3002</v>
      </c>
    </row>
    <row r="5344">
      <c r="A5344" s="21"/>
      <c r="B5344" s="119" t="s">
        <v>37273</v>
      </c>
      <c r="C5344" s="120" t="s">
        <v>34740</v>
      </c>
      <c r="D5344" s="33" t="s">
        <v>37274</v>
      </c>
      <c r="E5344" s="51" t="s">
        <v>1133</v>
      </c>
      <c r="F5344" s="121" t="s">
        <v>2971</v>
      </c>
      <c r="G5344" s="98" t="str">
        <f>HYPERLINK("http://mirror.ff7data.com.ar/ff7/data/battle/battle.lgp/jiaa.png","View Picture")</f>
        <v>View Picture</v>
      </c>
    </row>
    <row r="5345">
      <c r="A5345" s="55"/>
      <c r="B5345" s="119" t="s">
        <v>37275</v>
      </c>
      <c r="C5345" s="120" t="s">
        <v>4109</v>
      </c>
      <c r="D5345" s="33" t="s">
        <v>37276</v>
      </c>
      <c r="E5345" s="51" t="s">
        <v>1133</v>
      </c>
      <c r="F5345" s="121" t="s">
        <v>2993</v>
      </c>
      <c r="H5345" s="46" t="s">
        <v>3002</v>
      </c>
    </row>
    <row r="5346">
      <c r="A5346" s="55"/>
      <c r="B5346" s="119" t="s">
        <v>37277</v>
      </c>
      <c r="C5346" s="120" t="s">
        <v>10955</v>
      </c>
      <c r="D5346" s="33" t="s">
        <v>37276</v>
      </c>
      <c r="E5346" s="51" t="s">
        <v>1133</v>
      </c>
      <c r="F5346" s="121" t="s">
        <v>3009</v>
      </c>
      <c r="G5346" s="98" t="str">
        <f>HYPERLINK("http://mirror.ff7data.com.ar/ff7/data/battle/battle.lgp/jiam.png","View Picture")</f>
        <v>View Picture</v>
      </c>
    </row>
    <row r="5347">
      <c r="A5347" s="55"/>
      <c r="B5347" s="119" t="s">
        <v>37278</v>
      </c>
      <c r="C5347" s="120" t="s">
        <v>4288</v>
      </c>
      <c r="D5347" s="33" t="s">
        <v>37276</v>
      </c>
      <c r="E5347" s="51" t="s">
        <v>1133</v>
      </c>
      <c r="F5347" s="121" t="s">
        <v>3009</v>
      </c>
      <c r="G5347" s="98" t="str">
        <f>HYPERLINK("http://mirror.ff7data.com.ar/ff7/data/battle/battle.lgp/jiao.png","View Picture")</f>
        <v>View Picture</v>
      </c>
    </row>
    <row r="5348">
      <c r="A5348" s="55"/>
      <c r="B5348" s="119" t="s">
        <v>37279</v>
      </c>
      <c r="C5348" s="120" t="s">
        <v>4185</v>
      </c>
      <c r="D5348" s="33" t="s">
        <v>37276</v>
      </c>
      <c r="E5348" s="51" t="s">
        <v>1133</v>
      </c>
      <c r="F5348" s="121" t="s">
        <v>3009</v>
      </c>
      <c r="G5348" s="98" t="str">
        <f>HYPERLINK("http://mirror.ff7data.com.ar/ff7/data/battle/battle.lgp/jiap.png","View Picture")</f>
        <v>View Picture</v>
      </c>
    </row>
    <row r="5349">
      <c r="A5349" s="55"/>
      <c r="B5349" s="119" t="s">
        <v>37280</v>
      </c>
      <c r="C5349" s="120" t="s">
        <v>7871</v>
      </c>
      <c r="D5349" s="33" t="s">
        <v>37276</v>
      </c>
      <c r="E5349" s="51" t="s">
        <v>1133</v>
      </c>
      <c r="F5349" s="121" t="s">
        <v>3009</v>
      </c>
      <c r="G5349" s="98" t="str">
        <f>HYPERLINK("http://mirror.ff7data.com.ar/ff7/data/battle/battle.lgp/jiaq.png","View Picture")</f>
        <v>View Picture</v>
      </c>
    </row>
    <row r="5350">
      <c r="A5350" s="55"/>
      <c r="B5350" s="119" t="s">
        <v>37281</v>
      </c>
      <c r="C5350" s="120" t="s">
        <v>4288</v>
      </c>
      <c r="D5350" s="33" t="s">
        <v>37276</v>
      </c>
      <c r="E5350" s="51" t="s">
        <v>1133</v>
      </c>
      <c r="F5350" s="121" t="s">
        <v>3009</v>
      </c>
      <c r="G5350" s="98" t="str">
        <f>HYPERLINK("http://mirror.ff7data.com.ar/ff7/data/battle/battle.lgp/jias.png","View Picture")</f>
        <v>View Picture</v>
      </c>
    </row>
    <row r="5351">
      <c r="A5351" s="55"/>
      <c r="B5351" s="119" t="s">
        <v>37282</v>
      </c>
      <c r="C5351" s="120" t="s">
        <v>4185</v>
      </c>
      <c r="D5351" s="33" t="s">
        <v>37276</v>
      </c>
      <c r="E5351" s="51" t="s">
        <v>1133</v>
      </c>
      <c r="F5351" s="121" t="s">
        <v>3009</v>
      </c>
      <c r="G5351" s="98" t="str">
        <f>HYPERLINK("http://mirror.ff7data.com.ar/ff7/data/battle/battle.lgp/jiat.png","View Picture")</f>
        <v>View Picture</v>
      </c>
    </row>
    <row r="5352">
      <c r="A5352" s="55"/>
      <c r="B5352" s="119" t="s">
        <v>37283</v>
      </c>
      <c r="C5352" s="120" t="s">
        <v>4288</v>
      </c>
      <c r="D5352" s="33" t="s">
        <v>37276</v>
      </c>
      <c r="E5352" s="51" t="s">
        <v>1133</v>
      </c>
      <c r="F5352" s="121" t="s">
        <v>3009</v>
      </c>
      <c r="G5352" s="98" t="str">
        <f>HYPERLINK("http://mirror.ff7data.com.ar/ff7/data/battle/battle.lgp/jiav.png","View Picture")</f>
        <v>View Picture</v>
      </c>
    </row>
    <row r="5353">
      <c r="A5353" s="55"/>
      <c r="B5353" s="119" t="s">
        <v>37284</v>
      </c>
      <c r="C5353" s="120" t="s">
        <v>4185</v>
      </c>
      <c r="D5353" s="33" t="s">
        <v>37276</v>
      </c>
      <c r="E5353" s="51" t="s">
        <v>1133</v>
      </c>
      <c r="F5353" s="121" t="s">
        <v>3009</v>
      </c>
      <c r="G5353" s="98" t="str">
        <f>HYPERLINK("http://mirror.ff7data.com.ar/ff7/data/battle/battle.lgp/jiaw.png","View Picture")</f>
        <v>View Picture</v>
      </c>
    </row>
    <row r="5354">
      <c r="A5354" s="55"/>
      <c r="B5354" s="119" t="s">
        <v>37285</v>
      </c>
      <c r="C5354" s="120" t="s">
        <v>4288</v>
      </c>
      <c r="D5354" s="33" t="s">
        <v>37276</v>
      </c>
      <c r="E5354" s="51" t="s">
        <v>1133</v>
      </c>
      <c r="F5354" s="121" t="s">
        <v>3009</v>
      </c>
      <c r="G5354" s="98" t="str">
        <f>HYPERLINK("http://mirror.ff7data.com.ar/ff7/data/battle/battle.lgp/jiay.png","View Picture")</f>
        <v>View Picture</v>
      </c>
    </row>
    <row r="5355">
      <c r="A5355" s="55"/>
      <c r="B5355" s="119" t="s">
        <v>37286</v>
      </c>
      <c r="C5355" s="120" t="s">
        <v>4185</v>
      </c>
      <c r="D5355" s="33" t="s">
        <v>37276</v>
      </c>
      <c r="E5355" s="51" t="s">
        <v>1133</v>
      </c>
      <c r="F5355" s="121" t="s">
        <v>3009</v>
      </c>
      <c r="G5355" s="98" t="str">
        <f>HYPERLINK("http://mirror.ff7data.com.ar/ff7/data/battle/battle.lgp/jiaz.png","View Picture")</f>
        <v>View Picture</v>
      </c>
    </row>
    <row r="5356">
      <c r="A5356" s="55"/>
      <c r="B5356" s="119" t="s">
        <v>37287</v>
      </c>
      <c r="C5356" s="120" t="s">
        <v>7165</v>
      </c>
      <c r="D5356" s="33" t="s">
        <v>37276</v>
      </c>
      <c r="E5356" s="51" t="s">
        <v>1133</v>
      </c>
      <c r="F5356" s="121" t="s">
        <v>3009</v>
      </c>
      <c r="G5356" s="98" t="str">
        <f>HYPERLINK("http://mirror.ff7data.com.ar/ff7/data/battle/battle.lgp/jibb.png","View Picture")</f>
        <v>View Picture</v>
      </c>
    </row>
    <row r="5357">
      <c r="A5357" s="55"/>
      <c r="B5357" s="119" t="s">
        <v>37288</v>
      </c>
      <c r="C5357" s="120" t="s">
        <v>3434</v>
      </c>
      <c r="D5357" s="33" t="s">
        <v>37276</v>
      </c>
      <c r="E5357" s="51" t="s">
        <v>1133</v>
      </c>
      <c r="F5357" s="121" t="s">
        <v>3009</v>
      </c>
      <c r="G5357" s="98" t="str">
        <f>HYPERLINK("http://mirror.ff7data.com.ar/ff7/data/battle/battle.lgp/jibc.png","View Picture")</f>
        <v>View Picture</v>
      </c>
    </row>
    <row r="5358">
      <c r="A5358" s="55"/>
      <c r="B5358" s="119" t="s">
        <v>37289</v>
      </c>
      <c r="C5358" s="120" t="s">
        <v>4719</v>
      </c>
      <c r="D5358" s="33" t="s">
        <v>37276</v>
      </c>
      <c r="E5358" s="51" t="s">
        <v>1133</v>
      </c>
      <c r="F5358" s="121" t="s">
        <v>3009</v>
      </c>
      <c r="G5358" s="98" t="str">
        <f>HYPERLINK("http://mirror.ff7data.com.ar/ff7/data/battle/battle.lgp/jibe.png","View Picture")</f>
        <v>View Picture</v>
      </c>
    </row>
    <row r="5359">
      <c r="A5359" s="55"/>
      <c r="B5359" s="119" t="s">
        <v>37290</v>
      </c>
      <c r="C5359" s="120" t="s">
        <v>4719</v>
      </c>
      <c r="D5359" s="33" t="s">
        <v>37276</v>
      </c>
      <c r="E5359" s="51" t="s">
        <v>1133</v>
      </c>
      <c r="F5359" s="121" t="s">
        <v>3009</v>
      </c>
      <c r="G5359" s="98" t="str">
        <f>HYPERLINK("http://mirror.ff7data.com.ar/ff7/data/battle/battle.lgp/jibg.png","View Picture")</f>
        <v>View Picture</v>
      </c>
    </row>
    <row r="5360">
      <c r="A5360" s="55"/>
      <c r="B5360" s="119" t="s">
        <v>37291</v>
      </c>
      <c r="C5360" s="120" t="s">
        <v>7165</v>
      </c>
      <c r="D5360" s="33" t="s">
        <v>37276</v>
      </c>
      <c r="E5360" s="51" t="s">
        <v>1133</v>
      </c>
      <c r="F5360" s="121" t="s">
        <v>3009</v>
      </c>
      <c r="G5360" s="98" t="str">
        <f>HYPERLINK("http://mirror.ff7data.com.ar/ff7/data/battle/battle.lgp/jibi.png","View Picture")</f>
        <v>View Picture</v>
      </c>
    </row>
    <row r="5361">
      <c r="A5361" s="55"/>
      <c r="B5361" s="119" t="s">
        <v>37292</v>
      </c>
      <c r="C5361" s="120" t="s">
        <v>3465</v>
      </c>
      <c r="D5361" s="33" t="s">
        <v>37276</v>
      </c>
      <c r="E5361" s="51" t="s">
        <v>1133</v>
      </c>
      <c r="F5361" s="121" t="s">
        <v>3009</v>
      </c>
      <c r="G5361" s="98" t="str">
        <f>HYPERLINK("http://mirror.ff7data.com.ar/ff7/data/battle/battle.lgp/jibj.png","View Picture")</f>
        <v>View Picture</v>
      </c>
    </row>
    <row r="5362">
      <c r="A5362" s="55"/>
      <c r="B5362" s="119" t="s">
        <v>37293</v>
      </c>
      <c r="C5362" s="120" t="s">
        <v>4719</v>
      </c>
      <c r="D5362" s="33" t="s">
        <v>37276</v>
      </c>
      <c r="E5362" s="51" t="s">
        <v>1133</v>
      </c>
      <c r="F5362" s="121" t="s">
        <v>3009</v>
      </c>
      <c r="G5362" s="98" t="str">
        <f>HYPERLINK("http://mirror.ff7data.com.ar/ff7/data/battle/battle.lgp/jibl.png","View Picture")</f>
        <v>View Picture</v>
      </c>
    </row>
    <row r="5363">
      <c r="A5363" s="55"/>
      <c r="B5363" s="119" t="s">
        <v>37294</v>
      </c>
      <c r="C5363" s="120" t="s">
        <v>4719</v>
      </c>
      <c r="D5363" s="33" t="s">
        <v>37276</v>
      </c>
      <c r="E5363" s="51" t="s">
        <v>1133</v>
      </c>
      <c r="F5363" s="121" t="s">
        <v>3009</v>
      </c>
      <c r="G5363" s="98" t="str">
        <f>HYPERLINK("http://mirror.ff7data.com.ar/ff7/data/battle/battle.lgp/jibn.png","View Picture")</f>
        <v>View Picture</v>
      </c>
    </row>
    <row r="5364">
      <c r="A5364" s="55"/>
      <c r="B5364" s="119" t="s">
        <v>37295</v>
      </c>
      <c r="C5364" s="120" t="s">
        <v>4240</v>
      </c>
      <c r="D5364" s="33" t="s">
        <v>37276</v>
      </c>
      <c r="E5364" s="51" t="s">
        <v>1133</v>
      </c>
      <c r="F5364" s="121" t="s">
        <v>3025</v>
      </c>
      <c r="H5364" s="46" t="s">
        <v>3002</v>
      </c>
    </row>
    <row r="5365">
      <c r="A5365" s="21"/>
      <c r="B5365" s="119" t="s">
        <v>37296</v>
      </c>
      <c r="C5365" s="120" t="s">
        <v>11208</v>
      </c>
      <c r="D5365" s="33" t="s">
        <v>37297</v>
      </c>
      <c r="E5365" s="51" t="s">
        <v>1138</v>
      </c>
      <c r="F5365" s="121" t="s">
        <v>2971</v>
      </c>
      <c r="G5365" s="98" t="str">
        <f>HYPERLINK("http://mirror.ff7data.com.ar/ff7/data/battle/battle.lgp/jjaa.png","View Picture")</f>
        <v>View Picture</v>
      </c>
      <c r="H5365" s="46" t="s">
        <v>37298</v>
      </c>
    </row>
    <row r="5366">
      <c r="A5366" s="55"/>
      <c r="B5366" s="119" t="s">
        <v>37299</v>
      </c>
      <c r="C5366" s="120" t="s">
        <v>30662</v>
      </c>
      <c r="D5366" s="33" t="s">
        <v>37300</v>
      </c>
      <c r="E5366" s="51" t="s">
        <v>1138</v>
      </c>
      <c r="F5366" s="121" t="s">
        <v>2993</v>
      </c>
      <c r="H5366" s="46" t="s">
        <v>3002</v>
      </c>
    </row>
    <row r="5367">
      <c r="A5367" s="55"/>
      <c r="B5367" s="119" t="s">
        <v>37301</v>
      </c>
      <c r="C5367" s="120" t="s">
        <v>3997</v>
      </c>
      <c r="D5367" s="33" t="s">
        <v>37300</v>
      </c>
      <c r="E5367" s="51" t="s">
        <v>1138</v>
      </c>
      <c r="F5367" s="121" t="s">
        <v>1348</v>
      </c>
      <c r="G5367" s="98" t="str">
        <f>HYPERLINK("http://mirror.ff7data.com.ar/ff7/data/battle/battle.lgp/jjac.png","View Picture")</f>
        <v>View Picture</v>
      </c>
    </row>
    <row r="5368">
      <c r="A5368" s="55"/>
      <c r="B5368" s="119" t="s">
        <v>37302</v>
      </c>
      <c r="C5368" s="120" t="s">
        <v>37303</v>
      </c>
      <c r="D5368" s="33" t="s">
        <v>37300</v>
      </c>
      <c r="E5368" s="51" t="s">
        <v>1138</v>
      </c>
      <c r="F5368" s="121" t="s">
        <v>3009</v>
      </c>
      <c r="G5368" s="98" t="str">
        <f>HYPERLINK("http://mirror.ff7data.com.ar/ff7/data/battle/battle.lgp/jjam.png","View Picture")</f>
        <v>View Picture</v>
      </c>
    </row>
    <row r="5369">
      <c r="A5369" s="55"/>
      <c r="B5369" s="119" t="s">
        <v>37304</v>
      </c>
      <c r="C5369" s="120" t="s">
        <v>4264</v>
      </c>
      <c r="D5369" s="33" t="s">
        <v>37300</v>
      </c>
      <c r="E5369" s="51" t="s">
        <v>1138</v>
      </c>
      <c r="F5369" s="121" t="s">
        <v>3009</v>
      </c>
      <c r="G5369" s="98" t="str">
        <f>HYPERLINK("http://mirror.ff7data.com.ar/ff7/data/battle/battle.lgp/jjao.png","View Picture")</f>
        <v>View Picture</v>
      </c>
    </row>
    <row r="5370">
      <c r="A5370" s="55"/>
      <c r="B5370" s="119" t="s">
        <v>37305</v>
      </c>
      <c r="C5370" s="120" t="s">
        <v>4288</v>
      </c>
      <c r="D5370" s="33" t="s">
        <v>37300</v>
      </c>
      <c r="E5370" s="51" t="s">
        <v>1138</v>
      </c>
      <c r="F5370" s="121" t="s">
        <v>3009</v>
      </c>
      <c r="G5370" s="98" t="str">
        <f>HYPERLINK("http://mirror.ff7data.com.ar/ff7/data/battle/battle.lgp/jjaq.png","View Picture")</f>
        <v>View Picture</v>
      </c>
    </row>
    <row r="5371">
      <c r="A5371" s="55"/>
      <c r="B5371" s="119" t="s">
        <v>37306</v>
      </c>
      <c r="C5371" s="120" t="s">
        <v>5419</v>
      </c>
      <c r="D5371" s="33" t="s">
        <v>37300</v>
      </c>
      <c r="E5371" s="51" t="s">
        <v>1138</v>
      </c>
      <c r="F5371" s="121" t="s">
        <v>3009</v>
      </c>
      <c r="G5371" s="98" t="str">
        <f>HYPERLINK("http://mirror.ff7data.com.ar/ff7/data/battle/battle.lgp/jjas.png","View Picture")</f>
        <v>View Picture</v>
      </c>
    </row>
    <row r="5372">
      <c r="A5372" s="55"/>
      <c r="B5372" s="119" t="s">
        <v>37307</v>
      </c>
      <c r="C5372" s="120" t="s">
        <v>14030</v>
      </c>
      <c r="D5372" s="33" t="s">
        <v>37300</v>
      </c>
      <c r="E5372" s="51" t="s">
        <v>1138</v>
      </c>
      <c r="F5372" s="121" t="s">
        <v>3009</v>
      </c>
      <c r="G5372" s="98" t="str">
        <f>HYPERLINK("http://mirror.ff7data.com.ar/ff7/data/battle/battle.lgp/jjau.png","View Picture")</f>
        <v>View Picture</v>
      </c>
    </row>
    <row r="5373">
      <c r="A5373" s="55"/>
      <c r="B5373" s="119" t="s">
        <v>37308</v>
      </c>
      <c r="C5373" s="120" t="s">
        <v>14030</v>
      </c>
      <c r="D5373" s="33" t="s">
        <v>37300</v>
      </c>
      <c r="E5373" s="51" t="s">
        <v>1138</v>
      </c>
      <c r="F5373" s="121" t="s">
        <v>3009</v>
      </c>
      <c r="G5373" s="98" t="str">
        <f>HYPERLINK("http://mirror.ff7data.com.ar/ff7/data/battle/battle.lgp/jjaw.png","View Picture")</f>
        <v>View Picture</v>
      </c>
    </row>
    <row r="5374">
      <c r="A5374" s="55"/>
      <c r="B5374" s="119" t="s">
        <v>37309</v>
      </c>
      <c r="C5374" s="120" t="s">
        <v>3481</v>
      </c>
      <c r="D5374" s="33" t="s">
        <v>37300</v>
      </c>
      <c r="E5374" s="51" t="s">
        <v>1138</v>
      </c>
      <c r="F5374" s="121" t="s">
        <v>3009</v>
      </c>
      <c r="G5374" s="98" t="str">
        <f>HYPERLINK("http://mirror.ff7data.com.ar/ff7/data/battle/battle.lgp/jjba.png","View Picture")</f>
        <v>View Picture</v>
      </c>
    </row>
    <row r="5375">
      <c r="A5375" s="55"/>
      <c r="B5375" s="119" t="s">
        <v>37310</v>
      </c>
      <c r="C5375" s="120" t="s">
        <v>11280</v>
      </c>
      <c r="D5375" s="33" t="s">
        <v>37300</v>
      </c>
      <c r="E5375" s="51" t="s">
        <v>1138</v>
      </c>
      <c r="F5375" s="121" t="s">
        <v>3025</v>
      </c>
      <c r="H5375" s="46" t="s">
        <v>3002</v>
      </c>
    </row>
    <row r="5376" ht="22.5" customHeight="1">
      <c r="A5376" s="21"/>
      <c r="B5376" s="119" t="s">
        <v>37311</v>
      </c>
      <c r="C5376" s="120" t="s">
        <v>7600</v>
      </c>
      <c r="D5376" s="33" t="s">
        <v>37312</v>
      </c>
      <c r="E5376" s="147" t="s">
        <v>1141</v>
      </c>
      <c r="F5376" s="121" t="s">
        <v>2971</v>
      </c>
      <c r="G5376" s="98" t="str">
        <f>HYPERLINK("http://mirror.ff7data.com.ar/ff7/data/battle/battle.lgp/jkaa.png","View Picture")</f>
        <v>View Picture</v>
      </c>
      <c r="H5376" s="46" t="s">
        <v>37313</v>
      </c>
    </row>
    <row r="5377">
      <c r="A5377" s="55"/>
      <c r="B5377" s="119" t="s">
        <v>37314</v>
      </c>
      <c r="C5377" s="120" t="s">
        <v>7606</v>
      </c>
      <c r="D5377" s="33" t="s">
        <v>37315</v>
      </c>
      <c r="E5377" s="147" t="s">
        <v>1141</v>
      </c>
      <c r="F5377" s="121" t="s">
        <v>2993</v>
      </c>
      <c r="H5377" s="46" t="s">
        <v>3002</v>
      </c>
    </row>
    <row r="5378">
      <c r="A5378" s="55"/>
      <c r="B5378" s="119" t="s">
        <v>37316</v>
      </c>
      <c r="C5378" s="120" t="s">
        <v>4288</v>
      </c>
      <c r="D5378" s="33" t="s">
        <v>37315</v>
      </c>
      <c r="E5378" s="147" t="s">
        <v>1141</v>
      </c>
      <c r="F5378" s="121" t="s">
        <v>3009</v>
      </c>
      <c r="G5378" s="98" t="str">
        <f>HYPERLINK("http://mirror.ff7data.com.ar/ff7/data/battle/battle.lgp/jkam.png","View Picture")</f>
        <v>View Picture</v>
      </c>
    </row>
    <row r="5379">
      <c r="A5379" s="55"/>
      <c r="B5379" s="119" t="s">
        <v>37317</v>
      </c>
      <c r="C5379" s="120" t="s">
        <v>7148</v>
      </c>
      <c r="D5379" s="33" t="s">
        <v>37315</v>
      </c>
      <c r="E5379" s="147" t="s">
        <v>1141</v>
      </c>
      <c r="F5379" s="121" t="s">
        <v>3009</v>
      </c>
      <c r="G5379" s="98" t="str">
        <f>HYPERLINK("http://mirror.ff7data.com.ar/ff7/data/battle/battle.lgp/jkan.png","View Picture")</f>
        <v>View Picture</v>
      </c>
    </row>
    <row r="5380">
      <c r="A5380" s="55"/>
      <c r="B5380" s="119" t="s">
        <v>37318</v>
      </c>
      <c r="C5380" s="120" t="s">
        <v>4396</v>
      </c>
      <c r="D5380" s="33" t="s">
        <v>37315</v>
      </c>
      <c r="E5380" s="147" t="s">
        <v>1141</v>
      </c>
      <c r="F5380" s="121" t="s">
        <v>3009</v>
      </c>
      <c r="G5380" s="98" t="str">
        <f>HYPERLINK("http://mirror.ff7data.com.ar/ff7/data/battle/battle.lgp/jkao.png","View Picture")</f>
        <v>View Picture</v>
      </c>
    </row>
    <row r="5381">
      <c r="A5381" s="55"/>
      <c r="B5381" s="119" t="s">
        <v>37319</v>
      </c>
      <c r="C5381" s="120" t="s">
        <v>13619</v>
      </c>
      <c r="D5381" s="33" t="s">
        <v>37315</v>
      </c>
      <c r="E5381" s="147" t="s">
        <v>1141</v>
      </c>
      <c r="F5381" s="121" t="s">
        <v>3009</v>
      </c>
      <c r="G5381" s="98" t="str">
        <f>HYPERLINK("http://mirror.ff7data.com.ar/ff7/data/battle/battle.lgp/jkap.png","View Picture")</f>
        <v>View Picture</v>
      </c>
    </row>
    <row r="5382">
      <c r="A5382" s="55"/>
      <c r="B5382" s="119" t="s">
        <v>37320</v>
      </c>
      <c r="C5382" s="120" t="s">
        <v>4228</v>
      </c>
      <c r="D5382" s="33" t="s">
        <v>37315</v>
      </c>
      <c r="E5382" s="147" t="s">
        <v>1141</v>
      </c>
      <c r="F5382" s="121" t="s">
        <v>3009</v>
      </c>
      <c r="G5382" s="98" t="str">
        <f>HYPERLINK("http://mirror.ff7data.com.ar/ff7/data/battle/battle.lgp/jkat.png","View Picture")</f>
        <v>View Picture</v>
      </c>
    </row>
    <row r="5383">
      <c r="A5383" s="55"/>
      <c r="B5383" s="119" t="s">
        <v>37321</v>
      </c>
      <c r="C5383" s="120" t="s">
        <v>4288</v>
      </c>
      <c r="D5383" s="33" t="s">
        <v>37315</v>
      </c>
      <c r="E5383" s="147" t="s">
        <v>1141</v>
      </c>
      <c r="F5383" s="121" t="s">
        <v>3009</v>
      </c>
      <c r="G5383" s="98" t="str">
        <f>HYPERLINK("http://mirror.ff7data.com.ar/ff7/data/battle/battle.lgp/jkav.png","View Picture")</f>
        <v>View Picture</v>
      </c>
    </row>
    <row r="5384">
      <c r="A5384" s="55"/>
      <c r="B5384" s="119" t="s">
        <v>37322</v>
      </c>
      <c r="C5384" s="120" t="s">
        <v>4288</v>
      </c>
      <c r="D5384" s="33" t="s">
        <v>37315</v>
      </c>
      <c r="E5384" s="147" t="s">
        <v>1141</v>
      </c>
      <c r="F5384" s="121" t="s">
        <v>3009</v>
      </c>
      <c r="G5384" s="98" t="str">
        <f>HYPERLINK("http://mirror.ff7data.com.ar/ff7/data/battle/battle.lgp/jkaw.png","View Picture")</f>
        <v>View Picture</v>
      </c>
    </row>
    <row r="5385">
      <c r="A5385" s="55"/>
      <c r="B5385" s="119" t="s">
        <v>37323</v>
      </c>
      <c r="C5385" s="120" t="s">
        <v>4264</v>
      </c>
      <c r="D5385" s="33" t="s">
        <v>37315</v>
      </c>
      <c r="E5385" s="147" t="s">
        <v>1141</v>
      </c>
      <c r="F5385" s="121" t="s">
        <v>3009</v>
      </c>
      <c r="G5385" s="98" t="str">
        <f>HYPERLINK("http://mirror.ff7data.com.ar/ff7/data/battle/battle.lgp/jkax.png","View Picture")</f>
        <v>View Picture</v>
      </c>
    </row>
    <row r="5386">
      <c r="A5386" s="55"/>
      <c r="B5386" s="119" t="s">
        <v>37324</v>
      </c>
      <c r="C5386" s="120" t="s">
        <v>4264</v>
      </c>
      <c r="D5386" s="33" t="s">
        <v>37315</v>
      </c>
      <c r="E5386" s="147" t="s">
        <v>1141</v>
      </c>
      <c r="F5386" s="121" t="s">
        <v>3009</v>
      </c>
      <c r="G5386" s="98" t="str">
        <f>HYPERLINK("http://mirror.ff7data.com.ar/ff7/data/battle/battle.lgp/jkay.png","View Picture")</f>
        <v>View Picture</v>
      </c>
    </row>
    <row r="5387">
      <c r="A5387" s="55"/>
      <c r="B5387" s="119" t="s">
        <v>37325</v>
      </c>
      <c r="C5387" s="120" t="s">
        <v>4288</v>
      </c>
      <c r="D5387" s="33" t="s">
        <v>37315</v>
      </c>
      <c r="E5387" s="147" t="s">
        <v>1141</v>
      </c>
      <c r="F5387" s="121" t="s">
        <v>3009</v>
      </c>
      <c r="G5387" s="98" t="str">
        <f>HYPERLINK("http://mirror.ff7data.com.ar/ff7/data/battle/battle.lgp/jkaz.png","View Picture")</f>
        <v>View Picture</v>
      </c>
    </row>
    <row r="5388">
      <c r="A5388" s="55"/>
      <c r="B5388" s="119" t="s">
        <v>37326</v>
      </c>
      <c r="C5388" s="120" t="s">
        <v>3658</v>
      </c>
      <c r="D5388" s="33" t="s">
        <v>37315</v>
      </c>
      <c r="E5388" s="147" t="s">
        <v>1141</v>
      </c>
      <c r="F5388" s="121" t="s">
        <v>3025</v>
      </c>
      <c r="H5388" s="46" t="s">
        <v>3002</v>
      </c>
    </row>
    <row r="5389">
      <c r="A5389" s="21"/>
      <c r="B5389" s="119" t="s">
        <v>37327</v>
      </c>
      <c r="C5389" s="120" t="s">
        <v>6611</v>
      </c>
      <c r="D5389" s="33" t="s">
        <v>6612</v>
      </c>
      <c r="E5389" s="51" t="s">
        <v>1146</v>
      </c>
      <c r="F5389" s="121" t="s">
        <v>2971</v>
      </c>
      <c r="G5389" s="98" t="str">
        <f>HYPERLINK("http://mirror.ff7data.com.ar/ff7/data/battle/battle.lgp/jlaa.png","View Picture")</f>
        <v>View Picture</v>
      </c>
      <c r="H5389" s="46" t="s">
        <v>37328</v>
      </c>
    </row>
    <row r="5390">
      <c r="A5390" s="55"/>
      <c r="B5390" s="119" t="s">
        <v>37329</v>
      </c>
      <c r="C5390" s="120" t="s">
        <v>4209</v>
      </c>
      <c r="D5390" s="33" t="s">
        <v>6624</v>
      </c>
      <c r="E5390" s="51" t="s">
        <v>1146</v>
      </c>
      <c r="F5390" s="121" t="s">
        <v>2993</v>
      </c>
      <c r="H5390" s="46" t="s">
        <v>3002</v>
      </c>
    </row>
    <row r="5391">
      <c r="A5391" s="55"/>
      <c r="B5391" s="119" t="s">
        <v>37330</v>
      </c>
      <c r="C5391" s="120" t="s">
        <v>4439</v>
      </c>
      <c r="D5391" s="33" t="s">
        <v>6624</v>
      </c>
      <c r="E5391" s="51" t="s">
        <v>1146</v>
      </c>
      <c r="F5391" s="121" t="s">
        <v>3009</v>
      </c>
      <c r="G5391" s="98" t="str">
        <f>HYPERLINK("http://mirror.ff7data.com.ar/ff7/data/battle/battle.lgp/jlam.png","View Picture")</f>
        <v>View Picture</v>
      </c>
    </row>
    <row r="5392">
      <c r="A5392" s="55"/>
      <c r="B5392" s="119" t="s">
        <v>37331</v>
      </c>
      <c r="C5392" s="120" t="s">
        <v>4439</v>
      </c>
      <c r="D5392" s="33" t="s">
        <v>6624</v>
      </c>
      <c r="E5392" s="51" t="s">
        <v>1146</v>
      </c>
      <c r="F5392" s="121" t="s">
        <v>3009</v>
      </c>
      <c r="G5392" s="98" t="str">
        <f>HYPERLINK("http://mirror.ff7data.com.ar/ff7/data/battle/battle.lgp/jlan.png","View Picture")</f>
        <v>View Picture</v>
      </c>
    </row>
    <row r="5393">
      <c r="A5393" s="55"/>
      <c r="B5393" s="119" t="s">
        <v>37332</v>
      </c>
      <c r="C5393" s="120" t="s">
        <v>3875</v>
      </c>
      <c r="D5393" s="33" t="s">
        <v>6624</v>
      </c>
      <c r="E5393" s="51" t="s">
        <v>1146</v>
      </c>
      <c r="F5393" s="121" t="s">
        <v>3009</v>
      </c>
      <c r="G5393" s="98" t="str">
        <f>HYPERLINK("http://mirror.ff7data.com.ar/ff7/data/battle/battle.lgp/jlao.png","View Picture")</f>
        <v>View Picture</v>
      </c>
    </row>
    <row r="5394">
      <c r="A5394" s="55"/>
      <c r="B5394" s="119" t="s">
        <v>37333</v>
      </c>
      <c r="C5394" s="120" t="s">
        <v>6667</v>
      </c>
      <c r="D5394" s="33" t="s">
        <v>6624</v>
      </c>
      <c r="E5394" s="51" t="s">
        <v>1146</v>
      </c>
      <c r="F5394" s="121" t="s">
        <v>3009</v>
      </c>
      <c r="G5394" s="98" t="str">
        <f>HYPERLINK("http://mirror.ff7data.com.ar/ff7/data/battle/battle.lgp/jlas.png","View Picture")</f>
        <v>View Picture</v>
      </c>
    </row>
    <row r="5395">
      <c r="A5395" s="55"/>
      <c r="B5395" s="119" t="s">
        <v>37334</v>
      </c>
      <c r="C5395" s="120" t="s">
        <v>6679</v>
      </c>
      <c r="D5395" s="33" t="s">
        <v>6624</v>
      </c>
      <c r="E5395" s="51" t="s">
        <v>1146</v>
      </c>
      <c r="F5395" s="121" t="s">
        <v>3009</v>
      </c>
      <c r="G5395" s="98" t="str">
        <f>HYPERLINK("http://mirror.ff7data.com.ar/ff7/data/battle/battle.lgp/jlau.png","View Picture")</f>
        <v>View Picture</v>
      </c>
    </row>
    <row r="5396">
      <c r="A5396" s="55"/>
      <c r="B5396" s="119" t="s">
        <v>37335</v>
      </c>
      <c r="C5396" s="120" t="s">
        <v>6679</v>
      </c>
      <c r="D5396" s="33" t="s">
        <v>6624</v>
      </c>
      <c r="E5396" s="51" t="s">
        <v>1146</v>
      </c>
      <c r="F5396" s="121" t="s">
        <v>3009</v>
      </c>
      <c r="G5396" s="98" t="str">
        <f>HYPERLINK("http://mirror.ff7data.com.ar/ff7/data/battle/battle.lgp/jlaw.png","View Picture")</f>
        <v>View Picture</v>
      </c>
    </row>
    <row r="5397">
      <c r="A5397" s="55"/>
      <c r="B5397" s="119" t="s">
        <v>37336</v>
      </c>
      <c r="C5397" s="120" t="s">
        <v>5891</v>
      </c>
      <c r="D5397" s="33" t="s">
        <v>6624</v>
      </c>
      <c r="E5397" s="51" t="s">
        <v>1146</v>
      </c>
      <c r="F5397" s="121" t="s">
        <v>3009</v>
      </c>
      <c r="G5397" s="98" t="str">
        <f>HYPERLINK("http://mirror.ff7data.com.ar/ff7/data/battle/battle.lgp/jlay.png","View Picture")</f>
        <v>View Picture</v>
      </c>
    </row>
    <row r="5398">
      <c r="A5398" s="55"/>
      <c r="B5398" s="119" t="s">
        <v>37337</v>
      </c>
      <c r="C5398" s="120" t="s">
        <v>3343</v>
      </c>
      <c r="D5398" s="33" t="s">
        <v>6624</v>
      </c>
      <c r="E5398" s="51" t="s">
        <v>1146</v>
      </c>
      <c r="F5398" s="121" t="s">
        <v>3009</v>
      </c>
      <c r="G5398" s="98" t="str">
        <f>HYPERLINK("http://mirror.ff7data.com.ar/ff7/data/battle/battle.lgp/jlaz.png","View Picture")</f>
        <v>View Picture</v>
      </c>
    </row>
    <row r="5399">
      <c r="A5399" s="55"/>
      <c r="B5399" s="119" t="s">
        <v>37338</v>
      </c>
      <c r="C5399" s="120" t="s">
        <v>4264</v>
      </c>
      <c r="D5399" s="33" t="s">
        <v>6624</v>
      </c>
      <c r="E5399" s="51" t="s">
        <v>1146</v>
      </c>
      <c r="F5399" s="121" t="s">
        <v>3009</v>
      </c>
      <c r="G5399" s="98" t="str">
        <f>HYPERLINK("http://mirror.ff7data.com.ar/ff7/data/battle/battle.lgp/jlbb.png","View Picture")</f>
        <v>View Picture</v>
      </c>
    </row>
    <row r="5400">
      <c r="A5400" s="55"/>
      <c r="B5400" s="119" t="s">
        <v>37339</v>
      </c>
      <c r="C5400" s="120" t="s">
        <v>4288</v>
      </c>
      <c r="D5400" s="33" t="s">
        <v>6624</v>
      </c>
      <c r="E5400" s="51" t="s">
        <v>1146</v>
      </c>
      <c r="F5400" s="121" t="s">
        <v>3009</v>
      </c>
      <c r="G5400" s="98" t="str">
        <f>HYPERLINK("http://mirror.ff7data.com.ar/ff7/data/battle/battle.lgp/jlbc.png","View Picture")</f>
        <v>View Picture</v>
      </c>
    </row>
    <row r="5401">
      <c r="A5401" s="55"/>
      <c r="B5401" s="119" t="s">
        <v>37340</v>
      </c>
      <c r="C5401" s="120" t="s">
        <v>4732</v>
      </c>
      <c r="D5401" s="33" t="s">
        <v>6624</v>
      </c>
      <c r="E5401" s="51" t="s">
        <v>1146</v>
      </c>
      <c r="F5401" s="121" t="s">
        <v>3009</v>
      </c>
      <c r="G5401" s="98" t="str">
        <f>HYPERLINK("http://mirror.ff7data.com.ar/ff7/data/battle/battle.lgp/jlbd.png","View Picture")</f>
        <v>View Picture</v>
      </c>
    </row>
    <row r="5402">
      <c r="A5402" s="55"/>
      <c r="B5402" s="119" t="s">
        <v>37341</v>
      </c>
      <c r="C5402" s="120" t="s">
        <v>6769</v>
      </c>
      <c r="D5402" s="33" t="s">
        <v>6624</v>
      </c>
      <c r="E5402" s="51" t="s">
        <v>1146</v>
      </c>
      <c r="F5402" s="121" t="s">
        <v>3009</v>
      </c>
      <c r="G5402" s="98" t="str">
        <f>HYPERLINK("http://mirror.ff7data.com.ar/ff7/data/battle/battle.lgp/jlbe.png","View Picture")</f>
        <v>View Picture</v>
      </c>
    </row>
    <row r="5403">
      <c r="A5403" s="55"/>
      <c r="B5403" s="119" t="s">
        <v>37342</v>
      </c>
      <c r="C5403" s="120" t="s">
        <v>3658</v>
      </c>
      <c r="D5403" s="33" t="s">
        <v>6624</v>
      </c>
      <c r="E5403" s="51" t="s">
        <v>1146</v>
      </c>
      <c r="F5403" s="121" t="s">
        <v>3025</v>
      </c>
      <c r="H5403" s="46" t="s">
        <v>3002</v>
      </c>
    </row>
    <row r="5404">
      <c r="A5404" s="21"/>
      <c r="B5404" s="119" t="s">
        <v>37343</v>
      </c>
      <c r="C5404" s="120" t="s">
        <v>3007</v>
      </c>
      <c r="D5404" s="33" t="s">
        <v>37344</v>
      </c>
      <c r="E5404" s="51" t="s">
        <v>1148</v>
      </c>
      <c r="F5404" s="121" t="s">
        <v>2971</v>
      </c>
      <c r="G5404" s="98" t="str">
        <f>HYPERLINK("http://mirror.ff7data.com.ar/ff7/data/battle/battle.lgp/jmaa.png","View Picture")</f>
        <v>View Picture</v>
      </c>
    </row>
    <row r="5405">
      <c r="A5405" s="55"/>
      <c r="B5405" s="119" t="s">
        <v>37345</v>
      </c>
      <c r="C5405" s="120" t="s">
        <v>4109</v>
      </c>
      <c r="D5405" s="33" t="s">
        <v>37346</v>
      </c>
      <c r="E5405" s="51" t="s">
        <v>1148</v>
      </c>
      <c r="F5405" s="121" t="s">
        <v>2993</v>
      </c>
      <c r="H5405" s="46" t="s">
        <v>3002</v>
      </c>
    </row>
    <row r="5406">
      <c r="A5406" s="55"/>
      <c r="B5406" s="119" t="s">
        <v>37347</v>
      </c>
      <c r="C5406" s="120" t="s">
        <v>37348</v>
      </c>
      <c r="D5406" s="33" t="s">
        <v>37346</v>
      </c>
      <c r="E5406" s="51" t="s">
        <v>1148</v>
      </c>
      <c r="F5406" s="121" t="s">
        <v>3009</v>
      </c>
      <c r="G5406" s="98" t="str">
        <f>HYPERLINK("http://mirror.ff7data.com.ar/ff7/data/battle/battle.lgp/jmam.png","View Picture")</f>
        <v>View Picture</v>
      </c>
    </row>
    <row r="5407">
      <c r="A5407" s="55"/>
      <c r="B5407" s="119" t="s">
        <v>37349</v>
      </c>
      <c r="C5407" s="120" t="s">
        <v>3505</v>
      </c>
      <c r="D5407" s="33" t="s">
        <v>37346</v>
      </c>
      <c r="E5407" s="51" t="s">
        <v>1148</v>
      </c>
      <c r="F5407" s="121" t="s">
        <v>3009</v>
      </c>
      <c r="G5407" s="98" t="str">
        <f>HYPERLINK("http://mirror.ff7data.com.ar/ff7/data/battle/battle.lgp/jmap.png","View Picture")</f>
        <v>View Picture</v>
      </c>
    </row>
    <row r="5408">
      <c r="A5408" s="55"/>
      <c r="B5408" s="119" t="s">
        <v>37350</v>
      </c>
      <c r="C5408" s="120" t="s">
        <v>29777</v>
      </c>
      <c r="D5408" s="33" t="s">
        <v>37346</v>
      </c>
      <c r="E5408" s="51" t="s">
        <v>1148</v>
      </c>
      <c r="F5408" s="121" t="s">
        <v>3009</v>
      </c>
      <c r="G5408" s="98" t="str">
        <f>HYPERLINK("http://mirror.ff7data.com.ar/ff7/data/battle/battle.lgp/jmaq.png","View Picture")</f>
        <v>View Picture</v>
      </c>
    </row>
    <row r="5409">
      <c r="A5409" s="55"/>
      <c r="B5409" s="119" t="s">
        <v>37351</v>
      </c>
      <c r="C5409" s="120" t="s">
        <v>16866</v>
      </c>
      <c r="D5409" s="33" t="s">
        <v>37346</v>
      </c>
      <c r="E5409" s="51" t="s">
        <v>1148</v>
      </c>
      <c r="F5409" s="121" t="s">
        <v>3009</v>
      </c>
      <c r="G5409" s="98" t="str">
        <f>HYPERLINK("http://mirror.ff7data.com.ar/ff7/data/battle/battle.lgp/jmar.png","View Picture")</f>
        <v>View Picture</v>
      </c>
    </row>
    <row r="5410">
      <c r="A5410" s="55"/>
      <c r="B5410" s="119" t="s">
        <v>37352</v>
      </c>
      <c r="C5410" s="120" t="s">
        <v>10217</v>
      </c>
      <c r="D5410" s="33" t="s">
        <v>37346</v>
      </c>
      <c r="E5410" s="51" t="s">
        <v>1148</v>
      </c>
      <c r="F5410" s="121" t="s">
        <v>3009</v>
      </c>
      <c r="G5410" s="98" t="str">
        <f>HYPERLINK("http://mirror.ff7data.com.ar/ff7/data/battle/battle.lgp/jmat.png","View Picture")</f>
        <v>View Picture</v>
      </c>
    </row>
    <row r="5411">
      <c r="A5411" s="55"/>
      <c r="B5411" s="119" t="s">
        <v>37353</v>
      </c>
      <c r="C5411" s="120" t="s">
        <v>22833</v>
      </c>
      <c r="D5411" s="33" t="s">
        <v>37346</v>
      </c>
      <c r="E5411" s="51" t="s">
        <v>1148</v>
      </c>
      <c r="F5411" s="121" t="s">
        <v>3009</v>
      </c>
      <c r="G5411" s="98" t="str">
        <f>HYPERLINK("http://mirror.ff7data.com.ar/ff7/data/battle/battle.lgp/jmau.png","View Picture")</f>
        <v>View Picture</v>
      </c>
    </row>
    <row r="5412">
      <c r="A5412" s="55"/>
      <c r="B5412" s="119" t="s">
        <v>37354</v>
      </c>
      <c r="C5412" s="120" t="s">
        <v>24131</v>
      </c>
      <c r="D5412" s="33" t="s">
        <v>37346</v>
      </c>
      <c r="E5412" s="51" t="s">
        <v>1148</v>
      </c>
      <c r="F5412" s="121" t="s">
        <v>3009</v>
      </c>
      <c r="G5412" s="98" t="str">
        <f>HYPERLINK("http://mirror.ff7data.com.ar/ff7/data/battle/battle.lgp/jmaw.png","View Picture")</f>
        <v>View Picture</v>
      </c>
    </row>
    <row r="5413">
      <c r="A5413" s="55"/>
      <c r="B5413" s="119" t="s">
        <v>37355</v>
      </c>
      <c r="C5413" s="120" t="s">
        <v>29777</v>
      </c>
      <c r="D5413" s="33" t="s">
        <v>37346</v>
      </c>
      <c r="E5413" s="51" t="s">
        <v>1148</v>
      </c>
      <c r="F5413" s="121" t="s">
        <v>3009</v>
      </c>
      <c r="G5413" s="98" t="str">
        <f>HYPERLINK("http://mirror.ff7data.com.ar/ff7/data/battle/battle.lgp/jmax.png","View Picture")</f>
        <v>View Picture</v>
      </c>
    </row>
    <row r="5414">
      <c r="A5414" s="55"/>
      <c r="B5414" s="119" t="s">
        <v>37356</v>
      </c>
      <c r="C5414" s="120" t="s">
        <v>20391</v>
      </c>
      <c r="D5414" s="33" t="s">
        <v>37346</v>
      </c>
      <c r="E5414" s="51" t="s">
        <v>1148</v>
      </c>
      <c r="F5414" s="121" t="s">
        <v>3009</v>
      </c>
      <c r="G5414" s="98" t="str">
        <f>HYPERLINK("http://mirror.ff7data.com.ar/ff7/data/battle/battle.lgp/jmaz.png","View Picture")</f>
        <v>View Picture</v>
      </c>
    </row>
    <row r="5415">
      <c r="A5415" s="55"/>
      <c r="B5415" s="119" t="s">
        <v>37357</v>
      </c>
      <c r="C5415" s="120" t="s">
        <v>20391</v>
      </c>
      <c r="D5415" s="33" t="s">
        <v>37346</v>
      </c>
      <c r="E5415" s="51" t="s">
        <v>1148</v>
      </c>
      <c r="F5415" s="121" t="s">
        <v>3009</v>
      </c>
      <c r="G5415" s="98" t="str">
        <f>HYPERLINK("http://mirror.ff7data.com.ar/ff7/data/battle/battle.lgp/jmba.png","View Picture")</f>
        <v>View Picture</v>
      </c>
    </row>
    <row r="5416">
      <c r="A5416" s="55"/>
      <c r="B5416" s="119" t="s">
        <v>37358</v>
      </c>
      <c r="C5416" s="120" t="s">
        <v>3505</v>
      </c>
      <c r="D5416" s="33" t="s">
        <v>37346</v>
      </c>
      <c r="E5416" s="51" t="s">
        <v>1148</v>
      </c>
      <c r="F5416" s="121" t="s">
        <v>3009</v>
      </c>
      <c r="G5416" s="98" t="str">
        <f>HYPERLINK("http://mirror.ff7data.com.ar/ff7/data/battle/battle.lgp/jmbd.png","View Picture")</f>
        <v>View Picture</v>
      </c>
    </row>
    <row r="5417">
      <c r="A5417" s="55"/>
      <c r="B5417" s="119" t="s">
        <v>37359</v>
      </c>
      <c r="C5417" s="120" t="s">
        <v>20391</v>
      </c>
      <c r="D5417" s="33" t="s">
        <v>37346</v>
      </c>
      <c r="E5417" s="51" t="s">
        <v>1148</v>
      </c>
      <c r="F5417" s="121" t="s">
        <v>3009</v>
      </c>
      <c r="G5417" s="98" t="str">
        <f>HYPERLINK("http://mirror.ff7data.com.ar/ff7/data/battle/battle.lgp/jmbe.png","View Picture")</f>
        <v>View Picture</v>
      </c>
    </row>
    <row r="5418">
      <c r="A5418" s="55"/>
      <c r="B5418" s="119" t="s">
        <v>37360</v>
      </c>
      <c r="C5418" s="120" t="s">
        <v>24131</v>
      </c>
      <c r="D5418" s="33" t="s">
        <v>37346</v>
      </c>
      <c r="E5418" s="51" t="s">
        <v>1148</v>
      </c>
      <c r="F5418" s="121" t="s">
        <v>3009</v>
      </c>
      <c r="G5418" s="98" t="str">
        <f>HYPERLINK("http://mirror.ff7data.com.ar/ff7/data/battle/battle.lgp/jmbf.png","View Picture")</f>
        <v>View Picture</v>
      </c>
    </row>
    <row r="5419">
      <c r="A5419" s="55"/>
      <c r="B5419" s="119" t="s">
        <v>37361</v>
      </c>
      <c r="C5419" s="120" t="s">
        <v>24131</v>
      </c>
      <c r="D5419" s="33" t="s">
        <v>37346</v>
      </c>
      <c r="E5419" s="51" t="s">
        <v>1148</v>
      </c>
      <c r="F5419" s="121" t="s">
        <v>3009</v>
      </c>
      <c r="G5419" s="98" t="str">
        <f>HYPERLINK("http://mirror.ff7data.com.ar/ff7/data/battle/battle.lgp/jmbh.png","View Picture")</f>
        <v>View Picture</v>
      </c>
    </row>
    <row r="5420">
      <c r="A5420" s="55"/>
      <c r="B5420" s="119" t="s">
        <v>37362</v>
      </c>
      <c r="C5420" s="120" t="s">
        <v>37363</v>
      </c>
      <c r="D5420" s="33" t="s">
        <v>37346</v>
      </c>
      <c r="E5420" s="51" t="s">
        <v>1148</v>
      </c>
      <c r="F5420" s="121" t="s">
        <v>3009</v>
      </c>
      <c r="G5420" s="98" t="str">
        <f>HYPERLINK("http://mirror.ff7data.com.ar/ff7/data/battle/battle.lgp/jmbi.png","View Picture")</f>
        <v>View Picture</v>
      </c>
    </row>
    <row r="5421">
      <c r="A5421" s="55"/>
      <c r="B5421" s="119" t="s">
        <v>37364</v>
      </c>
      <c r="C5421" s="120" t="s">
        <v>20391</v>
      </c>
      <c r="D5421" s="33" t="s">
        <v>37346</v>
      </c>
      <c r="E5421" s="51" t="s">
        <v>1148</v>
      </c>
      <c r="F5421" s="121" t="s">
        <v>3009</v>
      </c>
      <c r="G5421" s="98" t="str">
        <f>HYPERLINK("http://mirror.ff7data.com.ar/ff7/data/battle/battle.lgp/jmbk.png","View Picture")</f>
        <v>View Picture</v>
      </c>
    </row>
    <row r="5422">
      <c r="A5422" s="55"/>
      <c r="B5422" s="119" t="s">
        <v>37365</v>
      </c>
      <c r="C5422" s="120" t="s">
        <v>37363</v>
      </c>
      <c r="D5422" s="33" t="s">
        <v>37346</v>
      </c>
      <c r="E5422" s="51" t="s">
        <v>1148</v>
      </c>
      <c r="F5422" s="121" t="s">
        <v>3009</v>
      </c>
      <c r="G5422" s="98" t="str">
        <f>HYPERLINK("http://mirror.ff7data.com.ar/ff7/data/battle/battle.lgp/jmbl.png","View Picture")</f>
        <v>View Picture</v>
      </c>
    </row>
    <row r="5423">
      <c r="A5423" s="55"/>
      <c r="B5423" s="119" t="s">
        <v>37366</v>
      </c>
      <c r="C5423" s="120" t="s">
        <v>10217</v>
      </c>
      <c r="D5423" s="33" t="s">
        <v>37346</v>
      </c>
      <c r="E5423" s="51" t="s">
        <v>1148</v>
      </c>
      <c r="F5423" s="121" t="s">
        <v>3009</v>
      </c>
      <c r="G5423" s="98" t="str">
        <f>HYPERLINK("http://mirror.ff7data.com.ar/ff7/data/battle/battle.lgp/jmbn.png","View Picture")</f>
        <v>View Picture</v>
      </c>
    </row>
    <row r="5424">
      <c r="A5424" s="55"/>
      <c r="B5424" s="119" t="s">
        <v>37367</v>
      </c>
      <c r="C5424" s="120" t="s">
        <v>22833</v>
      </c>
      <c r="D5424" s="33" t="s">
        <v>37346</v>
      </c>
      <c r="E5424" s="51" t="s">
        <v>1148</v>
      </c>
      <c r="F5424" s="121" t="s">
        <v>3009</v>
      </c>
      <c r="G5424" s="98" t="str">
        <f>HYPERLINK("http://mirror.ff7data.com.ar/ff7/data/battle/battle.lgp/jmbo.png","View Picture")</f>
        <v>View Picture</v>
      </c>
    </row>
    <row r="5425">
      <c r="A5425" s="55"/>
      <c r="B5425" s="119" t="s">
        <v>37368</v>
      </c>
      <c r="C5425" s="120" t="s">
        <v>4191</v>
      </c>
      <c r="D5425" s="33" t="s">
        <v>37346</v>
      </c>
      <c r="E5425" s="51" t="s">
        <v>1148</v>
      </c>
      <c r="F5425" s="121" t="s">
        <v>3009</v>
      </c>
      <c r="G5425" s="98" t="str">
        <f>HYPERLINK("http://mirror.ff7data.com.ar/ff7/data/battle/battle.lgp/jmbq.png","View Picture")</f>
        <v>View Picture</v>
      </c>
    </row>
    <row r="5426">
      <c r="A5426" s="55"/>
      <c r="B5426" s="119" t="s">
        <v>37369</v>
      </c>
      <c r="C5426" s="120" t="s">
        <v>4030</v>
      </c>
      <c r="D5426" s="33" t="s">
        <v>37346</v>
      </c>
      <c r="E5426" s="51" t="s">
        <v>1148</v>
      </c>
      <c r="F5426" s="121" t="s">
        <v>3009</v>
      </c>
      <c r="G5426" s="98" t="str">
        <f>HYPERLINK("http://mirror.ff7data.com.ar/ff7/data/battle/battle.lgp/jmbr.png","View Picture")</f>
        <v>View Picture</v>
      </c>
    </row>
    <row r="5427">
      <c r="A5427" s="55"/>
      <c r="B5427" s="119" t="s">
        <v>37370</v>
      </c>
      <c r="C5427" s="120" t="s">
        <v>5891</v>
      </c>
      <c r="D5427" s="33" t="s">
        <v>37346</v>
      </c>
      <c r="E5427" s="51" t="s">
        <v>1148</v>
      </c>
      <c r="F5427" s="121" t="s">
        <v>3009</v>
      </c>
      <c r="G5427" s="98" t="str">
        <f>HYPERLINK("http://mirror.ff7data.com.ar/ff7/data/battle/battle.lgp/jmbs.png","View Picture")</f>
        <v>View Picture</v>
      </c>
    </row>
    <row r="5428">
      <c r="A5428" s="55"/>
      <c r="B5428" s="119" t="s">
        <v>37371</v>
      </c>
      <c r="C5428" s="120" t="s">
        <v>4217</v>
      </c>
      <c r="D5428" s="33" t="s">
        <v>37346</v>
      </c>
      <c r="E5428" s="51" t="s">
        <v>1148</v>
      </c>
      <c r="F5428" s="121" t="s">
        <v>3009</v>
      </c>
      <c r="G5428" s="98" t="str">
        <f>HYPERLINK("http://mirror.ff7data.com.ar/ff7/data/battle/battle.lgp/jmbv.png","View Picture")</f>
        <v>View Picture</v>
      </c>
    </row>
    <row r="5429">
      <c r="A5429" s="55"/>
      <c r="B5429" s="119" t="s">
        <v>37372</v>
      </c>
      <c r="C5429" s="120" t="s">
        <v>4476</v>
      </c>
      <c r="D5429" s="33" t="s">
        <v>37346</v>
      </c>
      <c r="E5429" s="51" t="s">
        <v>1148</v>
      </c>
      <c r="F5429" s="121" t="s">
        <v>3009</v>
      </c>
      <c r="G5429" s="98" t="str">
        <f>HYPERLINK("http://mirror.ff7data.com.ar/ff7/data/battle/battle.lgp/jmbw.png","View Picture")</f>
        <v>View Picture</v>
      </c>
    </row>
    <row r="5430">
      <c r="A5430" s="55"/>
      <c r="B5430" s="119" t="s">
        <v>37373</v>
      </c>
      <c r="C5430" s="120" t="s">
        <v>4185</v>
      </c>
      <c r="D5430" s="33" t="s">
        <v>37346</v>
      </c>
      <c r="E5430" s="51" t="s">
        <v>1148</v>
      </c>
      <c r="F5430" s="121" t="s">
        <v>3009</v>
      </c>
      <c r="G5430" s="98" t="str">
        <f>HYPERLINK("http://mirror.ff7data.com.ar/ff7/data/battle/battle.lgp/jmbx.png","View Picture")</f>
        <v>View Picture</v>
      </c>
    </row>
    <row r="5431">
      <c r="A5431" s="55"/>
      <c r="B5431" s="119" t="s">
        <v>37374</v>
      </c>
      <c r="C5431" s="120" t="s">
        <v>3768</v>
      </c>
      <c r="D5431" s="33" t="s">
        <v>37346</v>
      </c>
      <c r="E5431" s="51" t="s">
        <v>1148</v>
      </c>
      <c r="F5431" s="121" t="s">
        <v>3009</v>
      </c>
      <c r="G5431" s="98" t="str">
        <f>HYPERLINK("http://mirror.ff7data.com.ar/ff7/data/battle/battle.lgp/jmby.png","View Picture")</f>
        <v>View Picture</v>
      </c>
    </row>
    <row r="5432">
      <c r="A5432" s="55"/>
      <c r="B5432" s="119" t="s">
        <v>37375</v>
      </c>
      <c r="C5432" s="120" t="s">
        <v>3658</v>
      </c>
      <c r="D5432" s="33" t="s">
        <v>37346</v>
      </c>
      <c r="E5432" s="51" t="s">
        <v>1148</v>
      </c>
      <c r="F5432" s="121" t="s">
        <v>3009</v>
      </c>
      <c r="G5432" s="98" t="str">
        <f>HYPERLINK("http://mirror.ff7data.com.ar/ff7/data/battle/battle.lgp/jmca.png","View Picture")</f>
        <v>View Picture</v>
      </c>
    </row>
    <row r="5433">
      <c r="A5433" s="55"/>
      <c r="B5433" s="119" t="s">
        <v>37376</v>
      </c>
      <c r="C5433" s="120" t="s">
        <v>10078</v>
      </c>
      <c r="D5433" s="33" t="s">
        <v>37346</v>
      </c>
      <c r="E5433" s="51" t="s">
        <v>1148</v>
      </c>
      <c r="F5433" s="121" t="s">
        <v>3009</v>
      </c>
      <c r="G5433" s="98" t="str">
        <f>HYPERLINK("http://mirror.ff7data.com.ar/ff7/data/battle/battle.lgp/jmcd.png","View Picture")</f>
        <v>View Picture</v>
      </c>
    </row>
    <row r="5434">
      <c r="A5434" s="55"/>
      <c r="B5434" s="119" t="s">
        <v>37377</v>
      </c>
      <c r="C5434" s="120" t="s">
        <v>4476</v>
      </c>
      <c r="D5434" s="33" t="s">
        <v>37346</v>
      </c>
      <c r="E5434" s="51" t="s">
        <v>1148</v>
      </c>
      <c r="F5434" s="121" t="s">
        <v>3009</v>
      </c>
      <c r="G5434" s="98" t="str">
        <f>HYPERLINK("http://mirror.ff7data.com.ar/ff7/data/battle/battle.lgp/jmce.png","View Picture")</f>
        <v>View Picture</v>
      </c>
    </row>
    <row r="5435">
      <c r="A5435" s="55"/>
      <c r="B5435" s="119" t="s">
        <v>37378</v>
      </c>
      <c r="C5435" s="120" t="s">
        <v>4185</v>
      </c>
      <c r="D5435" s="33" t="s">
        <v>37346</v>
      </c>
      <c r="E5435" s="51" t="s">
        <v>1148</v>
      </c>
      <c r="F5435" s="121" t="s">
        <v>3009</v>
      </c>
      <c r="G5435" s="98" t="str">
        <f>HYPERLINK("http://mirror.ff7data.com.ar/ff7/data/battle/battle.lgp/jmcf.png","View Picture")</f>
        <v>View Picture</v>
      </c>
    </row>
    <row r="5436">
      <c r="A5436" s="55"/>
      <c r="B5436" s="119" t="s">
        <v>37379</v>
      </c>
      <c r="C5436" s="120" t="s">
        <v>3671</v>
      </c>
      <c r="D5436" s="33" t="s">
        <v>37346</v>
      </c>
      <c r="E5436" s="51" t="s">
        <v>1148</v>
      </c>
      <c r="F5436" s="121" t="s">
        <v>3009</v>
      </c>
      <c r="G5436" s="98" t="str">
        <f>HYPERLINK("http://mirror.ff7data.com.ar/ff7/data/battle/battle.lgp/jmcg.png","View Picture")</f>
        <v>View Picture</v>
      </c>
    </row>
    <row r="5437">
      <c r="A5437" s="55"/>
      <c r="B5437" s="119" t="s">
        <v>37380</v>
      </c>
      <c r="C5437" s="120" t="s">
        <v>3573</v>
      </c>
      <c r="D5437" s="33" t="s">
        <v>37346</v>
      </c>
      <c r="E5437" s="51" t="s">
        <v>1148</v>
      </c>
      <c r="F5437" s="121" t="s">
        <v>3025</v>
      </c>
      <c r="H5437" s="46" t="s">
        <v>3002</v>
      </c>
    </row>
    <row r="5438">
      <c r="A5438" s="21"/>
      <c r="B5438" s="119" t="s">
        <v>37381</v>
      </c>
      <c r="C5438" s="120" t="s">
        <v>11751</v>
      </c>
      <c r="D5438" s="33" t="s">
        <v>37382</v>
      </c>
      <c r="E5438" s="51" t="s">
        <v>1153</v>
      </c>
      <c r="F5438" s="121" t="s">
        <v>2971</v>
      </c>
      <c r="G5438" s="98" t="str">
        <f>HYPERLINK("http://mirror.ff7data.com.ar/ff7/data/battle/battle.lgp/jnaa.png","View Picture")</f>
        <v>View Picture</v>
      </c>
      <c r="H5438" s="46" t="s">
        <v>37383</v>
      </c>
    </row>
    <row r="5439">
      <c r="A5439" s="55"/>
      <c r="B5439" s="119" t="s">
        <v>37384</v>
      </c>
      <c r="C5439" s="120" t="s">
        <v>4456</v>
      </c>
      <c r="D5439" s="33" t="s">
        <v>37385</v>
      </c>
      <c r="E5439" s="51" t="s">
        <v>1153</v>
      </c>
      <c r="F5439" s="121" t="s">
        <v>2993</v>
      </c>
      <c r="H5439" s="46" t="s">
        <v>3002</v>
      </c>
    </row>
    <row r="5440">
      <c r="A5440" s="55"/>
      <c r="B5440" s="119" t="s">
        <v>37386</v>
      </c>
      <c r="C5440" s="120" t="s">
        <v>11771</v>
      </c>
      <c r="D5440" s="33" t="s">
        <v>37385</v>
      </c>
      <c r="E5440" s="51" t="s">
        <v>1153</v>
      </c>
      <c r="F5440" s="121" t="s">
        <v>3009</v>
      </c>
      <c r="G5440" s="98" t="str">
        <f>HYPERLINK("http://mirror.ff7data.com.ar/ff7/data/battle/battle.lgp/jnam.png","View Picture")</f>
        <v>View Picture</v>
      </c>
    </row>
    <row r="5441">
      <c r="A5441" s="55"/>
      <c r="B5441" s="119" t="s">
        <v>37387</v>
      </c>
      <c r="C5441" s="120" t="s">
        <v>11778</v>
      </c>
      <c r="D5441" s="33" t="s">
        <v>37385</v>
      </c>
      <c r="E5441" s="51" t="s">
        <v>1153</v>
      </c>
      <c r="F5441" s="121" t="s">
        <v>3009</v>
      </c>
      <c r="G5441" s="98" t="str">
        <f>HYPERLINK("http://mirror.ff7data.com.ar/ff7/data/battle/battle.lgp/jnan.png","View Picture")</f>
        <v>View Picture</v>
      </c>
    </row>
    <row r="5442">
      <c r="A5442" s="55"/>
      <c r="B5442" s="119" t="s">
        <v>37388</v>
      </c>
      <c r="C5442" s="120" t="s">
        <v>28460</v>
      </c>
      <c r="D5442" s="33" t="s">
        <v>37385</v>
      </c>
      <c r="E5442" s="51" t="s">
        <v>1153</v>
      </c>
      <c r="F5442" s="121" t="s">
        <v>3009</v>
      </c>
      <c r="G5442" s="98" t="str">
        <f>HYPERLINK("http://mirror.ff7data.com.ar/ff7/data/battle/battle.lgp/jnao.png","View Picture")</f>
        <v>View Picture</v>
      </c>
    </row>
    <row r="5443">
      <c r="A5443" s="55"/>
      <c r="B5443" s="119" t="s">
        <v>37389</v>
      </c>
      <c r="C5443" s="120" t="s">
        <v>11785</v>
      </c>
      <c r="D5443" s="33" t="s">
        <v>37385</v>
      </c>
      <c r="E5443" s="51" t="s">
        <v>1153</v>
      </c>
      <c r="F5443" s="121" t="s">
        <v>3009</v>
      </c>
      <c r="G5443" s="98" t="str">
        <f>HYPERLINK("http://mirror.ff7data.com.ar/ff7/data/battle/battle.lgp/jnap.png","View Picture")</f>
        <v>View Picture</v>
      </c>
    </row>
    <row r="5444">
      <c r="A5444" s="55"/>
      <c r="B5444" s="119" t="s">
        <v>37390</v>
      </c>
      <c r="C5444" s="120" t="s">
        <v>11785</v>
      </c>
      <c r="D5444" s="33" t="s">
        <v>37385</v>
      </c>
      <c r="E5444" s="51" t="s">
        <v>1153</v>
      </c>
      <c r="F5444" s="121" t="s">
        <v>3009</v>
      </c>
      <c r="G5444" s="98" t="str">
        <f>HYPERLINK("http://mirror.ff7data.com.ar/ff7/data/battle/battle.lgp/jnaq.png","View Picture")</f>
        <v>View Picture</v>
      </c>
    </row>
    <row r="5445">
      <c r="A5445" s="55"/>
      <c r="B5445" s="119" t="s">
        <v>37391</v>
      </c>
      <c r="C5445" s="120" t="s">
        <v>11778</v>
      </c>
      <c r="D5445" s="33" t="s">
        <v>37385</v>
      </c>
      <c r="E5445" s="51" t="s">
        <v>1153</v>
      </c>
      <c r="F5445" s="121" t="s">
        <v>3009</v>
      </c>
      <c r="G5445" s="98" t="str">
        <f>HYPERLINK("http://mirror.ff7data.com.ar/ff7/data/battle/battle.lgp/jnar.png","View Picture")</f>
        <v>View Picture</v>
      </c>
    </row>
    <row r="5446">
      <c r="A5446" s="55"/>
      <c r="B5446" s="119" t="s">
        <v>37392</v>
      </c>
      <c r="C5446" s="120" t="s">
        <v>11785</v>
      </c>
      <c r="D5446" s="33" t="s">
        <v>37385</v>
      </c>
      <c r="E5446" s="51" t="s">
        <v>1153</v>
      </c>
      <c r="F5446" s="121" t="s">
        <v>3009</v>
      </c>
      <c r="G5446" s="98" t="str">
        <f>HYPERLINK("http://mirror.ff7data.com.ar/ff7/data/battle/battle.lgp/jnas.png","View Picture")</f>
        <v>View Picture</v>
      </c>
    </row>
    <row r="5447">
      <c r="A5447" s="55"/>
      <c r="B5447" s="119" t="s">
        <v>37393</v>
      </c>
      <c r="C5447" s="120" t="s">
        <v>11785</v>
      </c>
      <c r="D5447" s="33" t="s">
        <v>37385</v>
      </c>
      <c r="E5447" s="51" t="s">
        <v>1153</v>
      </c>
      <c r="F5447" s="121" t="s">
        <v>3009</v>
      </c>
      <c r="G5447" s="98" t="str">
        <f>HYPERLINK("http://mirror.ff7data.com.ar/ff7/data/battle/battle.lgp/jnat.png","View Picture")</f>
        <v>View Picture</v>
      </c>
    </row>
    <row r="5448">
      <c r="A5448" s="55"/>
      <c r="B5448" s="119" t="s">
        <v>37394</v>
      </c>
      <c r="C5448" s="120" t="s">
        <v>11785</v>
      </c>
      <c r="D5448" s="33" t="s">
        <v>37385</v>
      </c>
      <c r="E5448" s="51" t="s">
        <v>1153</v>
      </c>
      <c r="F5448" s="121" t="s">
        <v>3009</v>
      </c>
      <c r="G5448" s="98" t="str">
        <f>HYPERLINK("http://mirror.ff7data.com.ar/ff7/data/battle/battle.lgp/jnau.png","View Picture")</f>
        <v>View Picture</v>
      </c>
    </row>
    <row r="5449">
      <c r="A5449" s="55"/>
      <c r="B5449" s="119" t="s">
        <v>37395</v>
      </c>
      <c r="C5449" s="120" t="s">
        <v>11771</v>
      </c>
      <c r="D5449" s="33" t="s">
        <v>37385</v>
      </c>
      <c r="E5449" s="51" t="s">
        <v>1153</v>
      </c>
      <c r="F5449" s="121" t="s">
        <v>3009</v>
      </c>
      <c r="G5449" s="98" t="str">
        <f>HYPERLINK("http://mirror.ff7data.com.ar/ff7/data/battle/battle.lgp/jnav.png","View Picture")</f>
        <v>View Picture</v>
      </c>
    </row>
    <row r="5450">
      <c r="A5450" s="55"/>
      <c r="B5450" s="119" t="s">
        <v>37396</v>
      </c>
      <c r="C5450" s="120" t="s">
        <v>11785</v>
      </c>
      <c r="D5450" s="33" t="s">
        <v>37385</v>
      </c>
      <c r="E5450" s="51" t="s">
        <v>1153</v>
      </c>
      <c r="F5450" s="121" t="s">
        <v>3009</v>
      </c>
      <c r="G5450" s="98" t="str">
        <f>HYPERLINK("http://mirror.ff7data.com.ar/ff7/data/battle/battle.lgp/jnaw.png","View Picture")</f>
        <v>View Picture</v>
      </c>
    </row>
    <row r="5451">
      <c r="A5451" s="55"/>
      <c r="B5451" s="119" t="s">
        <v>37397</v>
      </c>
      <c r="C5451" s="120" t="s">
        <v>11785</v>
      </c>
      <c r="D5451" s="33" t="s">
        <v>37385</v>
      </c>
      <c r="E5451" s="51" t="s">
        <v>1153</v>
      </c>
      <c r="F5451" s="121" t="s">
        <v>3009</v>
      </c>
      <c r="G5451" s="98" t="str">
        <f>HYPERLINK("http://mirror.ff7data.com.ar/ff7/data/battle/battle.lgp/jnax.png","View Picture")</f>
        <v>View Picture</v>
      </c>
    </row>
    <row r="5452">
      <c r="A5452" s="55"/>
      <c r="B5452" s="119" t="s">
        <v>37398</v>
      </c>
      <c r="C5452" s="120" t="s">
        <v>11785</v>
      </c>
      <c r="D5452" s="33" t="s">
        <v>37385</v>
      </c>
      <c r="E5452" s="51" t="s">
        <v>1153</v>
      </c>
      <c r="F5452" s="121" t="s">
        <v>3009</v>
      </c>
      <c r="G5452" s="98" t="str">
        <f>HYPERLINK("http://mirror.ff7data.com.ar/ff7/data/battle/battle.lgp/jnay.png","View Picture")</f>
        <v>View Picture</v>
      </c>
    </row>
    <row r="5453">
      <c r="A5453" s="55"/>
      <c r="B5453" s="119" t="s">
        <v>37399</v>
      </c>
      <c r="C5453" s="120" t="s">
        <v>11785</v>
      </c>
      <c r="D5453" s="33" t="s">
        <v>37385</v>
      </c>
      <c r="E5453" s="51" t="s">
        <v>1153</v>
      </c>
      <c r="F5453" s="121" t="s">
        <v>3009</v>
      </c>
      <c r="G5453" s="98" t="str">
        <f>HYPERLINK("http://mirror.ff7data.com.ar/ff7/data/battle/battle.lgp/jnaz.png","View Picture")</f>
        <v>View Picture</v>
      </c>
    </row>
    <row r="5454">
      <c r="A5454" s="55"/>
      <c r="B5454" s="119" t="s">
        <v>37400</v>
      </c>
      <c r="C5454" s="120" t="s">
        <v>11778</v>
      </c>
      <c r="D5454" s="33" t="s">
        <v>37385</v>
      </c>
      <c r="E5454" s="51" t="s">
        <v>1153</v>
      </c>
      <c r="F5454" s="121" t="s">
        <v>3009</v>
      </c>
      <c r="G5454" s="98" t="str">
        <f>HYPERLINK("http://mirror.ff7data.com.ar/ff7/data/battle/battle.lgp/jnba.png","View Picture")</f>
        <v>View Picture</v>
      </c>
    </row>
    <row r="5455">
      <c r="A5455" s="55"/>
      <c r="B5455" s="119" t="s">
        <v>37401</v>
      </c>
      <c r="C5455" s="120" t="s">
        <v>11785</v>
      </c>
      <c r="D5455" s="33" t="s">
        <v>37385</v>
      </c>
      <c r="E5455" s="51" t="s">
        <v>1153</v>
      </c>
      <c r="F5455" s="121" t="s">
        <v>3009</v>
      </c>
      <c r="G5455" s="98" t="str">
        <f>HYPERLINK("http://mirror.ff7data.com.ar/ff7/data/battle/battle.lgp/jnbb.png","View Picture")</f>
        <v>View Picture</v>
      </c>
    </row>
    <row r="5456">
      <c r="A5456" s="55"/>
      <c r="B5456" s="119" t="s">
        <v>37402</v>
      </c>
      <c r="C5456" s="120" t="s">
        <v>11785</v>
      </c>
      <c r="D5456" s="33" t="s">
        <v>37385</v>
      </c>
      <c r="E5456" s="51" t="s">
        <v>1153</v>
      </c>
      <c r="F5456" s="121" t="s">
        <v>3009</v>
      </c>
      <c r="G5456" s="98" t="str">
        <f>HYPERLINK("http://mirror.ff7data.com.ar/ff7/data/battle/battle.lgp/jnbc.png","View Picture")</f>
        <v>View Picture</v>
      </c>
    </row>
    <row r="5457">
      <c r="A5457" s="55"/>
      <c r="B5457" s="119" t="s">
        <v>37403</v>
      </c>
      <c r="C5457" s="120" t="s">
        <v>11785</v>
      </c>
      <c r="D5457" s="33" t="s">
        <v>37385</v>
      </c>
      <c r="E5457" s="51" t="s">
        <v>1153</v>
      </c>
      <c r="F5457" s="121" t="s">
        <v>3009</v>
      </c>
      <c r="G5457" s="98" t="str">
        <f>HYPERLINK("http://mirror.ff7data.com.ar/ff7/data/battle/battle.lgp/jnbd.png","View Picture")</f>
        <v>View Picture</v>
      </c>
    </row>
    <row r="5458">
      <c r="A5458" s="55"/>
      <c r="B5458" s="119" t="s">
        <v>37404</v>
      </c>
      <c r="C5458" s="120" t="s">
        <v>3723</v>
      </c>
      <c r="D5458" s="33" t="s">
        <v>37385</v>
      </c>
      <c r="E5458" s="51" t="s">
        <v>1153</v>
      </c>
      <c r="F5458" s="121" t="s">
        <v>3009</v>
      </c>
      <c r="G5458" s="98" t="str">
        <f>HYPERLINK("http://mirror.ff7data.com.ar/ff7/data/battle/battle.lgp/jnbe.png","View Picture")</f>
        <v>View Picture</v>
      </c>
    </row>
    <row r="5459">
      <c r="A5459" s="55"/>
      <c r="B5459" s="119" t="s">
        <v>37405</v>
      </c>
      <c r="C5459" s="120" t="s">
        <v>11918</v>
      </c>
      <c r="D5459" s="33" t="s">
        <v>37385</v>
      </c>
      <c r="E5459" s="51" t="s">
        <v>1153</v>
      </c>
      <c r="F5459" s="121" t="s">
        <v>3009</v>
      </c>
      <c r="G5459" s="98" t="str">
        <f>HYPERLINK("http://mirror.ff7data.com.ar/ff7/data/battle/battle.lgp/jnbf.png","View Picture")</f>
        <v>View Picture</v>
      </c>
    </row>
    <row r="5460">
      <c r="A5460" s="55"/>
      <c r="B5460" s="119" t="s">
        <v>37406</v>
      </c>
      <c r="C5460" s="120" t="s">
        <v>4476</v>
      </c>
      <c r="D5460" s="33" t="s">
        <v>37385</v>
      </c>
      <c r="E5460" s="51" t="s">
        <v>1153</v>
      </c>
      <c r="F5460" s="121" t="s">
        <v>3009</v>
      </c>
      <c r="G5460" s="98" t="str">
        <f>HYPERLINK("http://mirror.ff7data.com.ar/ff7/data/battle/battle.lgp/jnbh.png","View Picture")</f>
        <v>View Picture</v>
      </c>
    </row>
    <row r="5461">
      <c r="A5461" s="55"/>
      <c r="B5461" s="119" t="s">
        <v>37407</v>
      </c>
      <c r="C5461" s="120" t="s">
        <v>3875</v>
      </c>
      <c r="D5461" s="33" t="s">
        <v>37385</v>
      </c>
      <c r="E5461" s="51" t="s">
        <v>1153</v>
      </c>
      <c r="F5461" s="121" t="s">
        <v>3025</v>
      </c>
      <c r="H5461" s="46" t="s">
        <v>3002</v>
      </c>
    </row>
    <row r="5462">
      <c r="A5462" s="21"/>
      <c r="B5462" s="119" t="s">
        <v>37408</v>
      </c>
      <c r="C5462" s="120" t="s">
        <v>3980</v>
      </c>
      <c r="D5462" s="33" t="s">
        <v>37409</v>
      </c>
      <c r="E5462" s="51" t="s">
        <v>1156</v>
      </c>
      <c r="F5462" s="121" t="s">
        <v>2971</v>
      </c>
      <c r="G5462" s="98" t="str">
        <f>HYPERLINK("http://mirror.ff7data.com.ar/ff7/data/battle/battle.lgp/joaa.png","View Picture")</f>
        <v>View Picture</v>
      </c>
    </row>
    <row r="5463">
      <c r="A5463" s="55"/>
      <c r="B5463" s="119" t="s">
        <v>37410</v>
      </c>
      <c r="C5463" s="120" t="s">
        <v>9790</v>
      </c>
      <c r="D5463" s="33" t="s">
        <v>37411</v>
      </c>
      <c r="E5463" s="51" t="s">
        <v>1156</v>
      </c>
      <c r="F5463" s="121" t="s">
        <v>2993</v>
      </c>
      <c r="H5463" s="46" t="s">
        <v>3002</v>
      </c>
    </row>
    <row r="5464">
      <c r="A5464" s="55"/>
      <c r="B5464" s="119" t="s">
        <v>37412</v>
      </c>
      <c r="C5464" s="120" t="s">
        <v>4217</v>
      </c>
      <c r="D5464" s="33" t="s">
        <v>37411</v>
      </c>
      <c r="E5464" s="51" t="s">
        <v>1156</v>
      </c>
      <c r="F5464" s="121" t="s">
        <v>3009</v>
      </c>
      <c r="G5464" s="98" t="str">
        <f>HYPERLINK("http://mirror.ff7data.com.ar/ff7/data/battle/battle.lgp/joam.png","View Picture")</f>
        <v>View Picture</v>
      </c>
    </row>
    <row r="5465">
      <c r="A5465" s="55"/>
      <c r="B5465" s="119" t="s">
        <v>37413</v>
      </c>
      <c r="C5465" s="120" t="s">
        <v>4057</v>
      </c>
      <c r="D5465" s="33" t="s">
        <v>37411</v>
      </c>
      <c r="E5465" s="51" t="s">
        <v>1156</v>
      </c>
      <c r="F5465" s="121" t="s">
        <v>3009</v>
      </c>
      <c r="G5465" s="98" t="str">
        <f>HYPERLINK("http://mirror.ff7data.com.ar/ff7/data/battle/battle.lgp/joan.png","View Picture")</f>
        <v>View Picture</v>
      </c>
    </row>
    <row r="5466">
      <c r="A5466" s="55"/>
      <c r="B5466" s="119" t="s">
        <v>37414</v>
      </c>
      <c r="C5466" s="120" t="s">
        <v>5419</v>
      </c>
      <c r="D5466" s="33" t="s">
        <v>37411</v>
      </c>
      <c r="E5466" s="51" t="s">
        <v>1156</v>
      </c>
      <c r="F5466" s="121" t="s">
        <v>3009</v>
      </c>
      <c r="G5466" s="98" t="str">
        <f>HYPERLINK("http://mirror.ff7data.com.ar/ff7/data/battle/battle.lgp/joao.png","View Picture")</f>
        <v>View Picture</v>
      </c>
    </row>
    <row r="5467">
      <c r="A5467" s="55"/>
      <c r="B5467" s="119" t="s">
        <v>37415</v>
      </c>
      <c r="C5467" s="120" t="s">
        <v>4057</v>
      </c>
      <c r="D5467" s="33" t="s">
        <v>37411</v>
      </c>
      <c r="E5467" s="51" t="s">
        <v>1156</v>
      </c>
      <c r="F5467" s="121" t="s">
        <v>3009</v>
      </c>
      <c r="G5467" s="98" t="str">
        <f>HYPERLINK("http://mirror.ff7data.com.ar/ff7/data/battle/battle.lgp/joap.png","View Picture")</f>
        <v>View Picture</v>
      </c>
    </row>
    <row r="5468">
      <c r="A5468" s="55"/>
      <c r="B5468" s="119" t="s">
        <v>37416</v>
      </c>
      <c r="C5468" s="120" t="s">
        <v>4057</v>
      </c>
      <c r="D5468" s="33" t="s">
        <v>37411</v>
      </c>
      <c r="E5468" s="51" t="s">
        <v>1156</v>
      </c>
      <c r="F5468" s="121" t="s">
        <v>3009</v>
      </c>
      <c r="G5468" s="98" t="str">
        <f>HYPERLINK("http://mirror.ff7data.com.ar/ff7/data/battle/battle.lgp/joaq.png","View Picture")</f>
        <v>View Picture</v>
      </c>
    </row>
    <row r="5469">
      <c r="A5469" s="55"/>
      <c r="B5469" s="119" t="s">
        <v>37417</v>
      </c>
      <c r="C5469" s="120" t="s">
        <v>4057</v>
      </c>
      <c r="D5469" s="33" t="s">
        <v>37411</v>
      </c>
      <c r="E5469" s="51" t="s">
        <v>1156</v>
      </c>
      <c r="F5469" s="121" t="s">
        <v>3009</v>
      </c>
      <c r="G5469" s="98" t="str">
        <f>HYPERLINK("http://mirror.ff7data.com.ar/ff7/data/battle/battle.lgp/joar.png","View Picture")</f>
        <v>View Picture</v>
      </c>
    </row>
    <row r="5470">
      <c r="A5470" s="55"/>
      <c r="B5470" s="119" t="s">
        <v>37418</v>
      </c>
      <c r="C5470" s="120" t="s">
        <v>4057</v>
      </c>
      <c r="D5470" s="33" t="s">
        <v>37411</v>
      </c>
      <c r="E5470" s="51" t="s">
        <v>1156</v>
      </c>
      <c r="F5470" s="121" t="s">
        <v>3009</v>
      </c>
      <c r="G5470" s="98" t="str">
        <f>HYPERLINK("http://mirror.ff7data.com.ar/ff7/data/battle/battle.lgp/joas.png","View Picture")</f>
        <v>View Picture</v>
      </c>
    </row>
    <row r="5471">
      <c r="A5471" s="55"/>
      <c r="B5471" s="119" t="s">
        <v>37419</v>
      </c>
      <c r="C5471" s="120" t="s">
        <v>4057</v>
      </c>
      <c r="D5471" s="33" t="s">
        <v>37411</v>
      </c>
      <c r="E5471" s="51" t="s">
        <v>1156</v>
      </c>
      <c r="F5471" s="121" t="s">
        <v>3009</v>
      </c>
      <c r="G5471" s="98" t="str">
        <f>HYPERLINK("http://mirror.ff7data.com.ar/ff7/data/battle/battle.lgp/joat.png","View Picture")</f>
        <v>View Picture</v>
      </c>
    </row>
    <row r="5472">
      <c r="A5472" s="55"/>
      <c r="B5472" s="119" t="s">
        <v>37420</v>
      </c>
      <c r="C5472" s="120" t="s">
        <v>4057</v>
      </c>
      <c r="D5472" s="33" t="s">
        <v>37411</v>
      </c>
      <c r="E5472" s="51" t="s">
        <v>1156</v>
      </c>
      <c r="F5472" s="121" t="s">
        <v>3009</v>
      </c>
      <c r="G5472" s="98" t="str">
        <f>HYPERLINK("http://mirror.ff7data.com.ar/ff7/data/battle/battle.lgp/joau.png","View Picture")</f>
        <v>View Picture</v>
      </c>
    </row>
    <row r="5473">
      <c r="A5473" s="55"/>
      <c r="B5473" s="119" t="s">
        <v>37421</v>
      </c>
      <c r="C5473" s="120" t="s">
        <v>4057</v>
      </c>
      <c r="D5473" s="33" t="s">
        <v>37411</v>
      </c>
      <c r="E5473" s="51" t="s">
        <v>1156</v>
      </c>
      <c r="F5473" s="121" t="s">
        <v>3009</v>
      </c>
      <c r="G5473" s="98" t="str">
        <f>HYPERLINK("http://mirror.ff7data.com.ar/ff7/data/battle/battle.lgp/joav.png","View Picture")</f>
        <v>View Picture</v>
      </c>
    </row>
    <row r="5474">
      <c r="A5474" s="55"/>
      <c r="B5474" s="119" t="s">
        <v>37422</v>
      </c>
      <c r="C5474" s="120" t="s">
        <v>4719</v>
      </c>
      <c r="D5474" s="33" t="s">
        <v>37411</v>
      </c>
      <c r="E5474" s="51" t="s">
        <v>1156</v>
      </c>
      <c r="F5474" s="121" t="s">
        <v>3009</v>
      </c>
      <c r="G5474" s="98" t="str">
        <f>HYPERLINK("http://mirror.ff7data.com.ar/ff7/data/battle/battle.lgp/joaw.png","View Picture")</f>
        <v>View Picture</v>
      </c>
    </row>
    <row r="5475">
      <c r="A5475" s="55"/>
      <c r="B5475" s="119" t="s">
        <v>37423</v>
      </c>
      <c r="C5475" s="120" t="s">
        <v>4240</v>
      </c>
      <c r="D5475" s="33" t="s">
        <v>37411</v>
      </c>
      <c r="E5475" s="51" t="s">
        <v>1156</v>
      </c>
      <c r="F5475" s="121" t="s">
        <v>3009</v>
      </c>
      <c r="G5475" s="98" t="str">
        <f>HYPERLINK("http://mirror.ff7data.com.ar/ff7/data/battle/battle.lgp/joay.png","View Picture")</f>
        <v>View Picture</v>
      </c>
    </row>
    <row r="5476">
      <c r="A5476" s="55"/>
      <c r="B5476" s="119" t="s">
        <v>37424</v>
      </c>
      <c r="C5476" s="120" t="s">
        <v>4057</v>
      </c>
      <c r="D5476" s="33" t="s">
        <v>37411</v>
      </c>
      <c r="E5476" s="51" t="s">
        <v>1156</v>
      </c>
      <c r="F5476" s="121" t="s">
        <v>3009</v>
      </c>
      <c r="G5476" s="98" t="str">
        <f>HYPERLINK("http://mirror.ff7data.com.ar/ff7/data/battle/battle.lgp/joba.png","View Picture")</f>
        <v>View Picture</v>
      </c>
    </row>
    <row r="5477">
      <c r="A5477" s="55"/>
      <c r="B5477" s="119" t="s">
        <v>37425</v>
      </c>
      <c r="C5477" s="120" t="s">
        <v>7165</v>
      </c>
      <c r="D5477" s="33" t="s">
        <v>37411</v>
      </c>
      <c r="E5477" s="51" t="s">
        <v>1156</v>
      </c>
      <c r="F5477" s="121" t="s">
        <v>3009</v>
      </c>
      <c r="G5477" s="98" t="str">
        <f>HYPERLINK("http://mirror.ff7data.com.ar/ff7/data/battle/battle.lgp/jobc.png","View Picture")</f>
        <v>View Picture</v>
      </c>
    </row>
    <row r="5478">
      <c r="A5478" s="55"/>
      <c r="B5478" s="119" t="s">
        <v>37426</v>
      </c>
      <c r="C5478" s="120" t="s">
        <v>5419</v>
      </c>
      <c r="D5478" s="33" t="s">
        <v>37411</v>
      </c>
      <c r="E5478" s="51" t="s">
        <v>1156</v>
      </c>
      <c r="F5478" s="121" t="s">
        <v>3009</v>
      </c>
      <c r="G5478" s="98" t="str">
        <f>HYPERLINK("http://mirror.ff7data.com.ar/ff7/data/battle/battle.lgp/jobd.png","View Picture")</f>
        <v>View Picture</v>
      </c>
    </row>
    <row r="5479">
      <c r="A5479" s="55"/>
      <c r="B5479" s="119" t="s">
        <v>37427</v>
      </c>
      <c r="C5479" s="120" t="s">
        <v>4185</v>
      </c>
      <c r="D5479" s="33" t="s">
        <v>37411</v>
      </c>
      <c r="E5479" s="51" t="s">
        <v>1156</v>
      </c>
      <c r="F5479" s="121" t="s">
        <v>3009</v>
      </c>
      <c r="G5479" s="98" t="str">
        <f>HYPERLINK("http://mirror.ff7data.com.ar/ff7/data/battle/battle.lgp/jobe.png","View Picture")</f>
        <v>View Picture</v>
      </c>
    </row>
    <row r="5480">
      <c r="A5480" s="55"/>
      <c r="B5480" s="119" t="s">
        <v>37428</v>
      </c>
      <c r="C5480" s="120" t="s">
        <v>3658</v>
      </c>
      <c r="D5480" s="33" t="s">
        <v>37411</v>
      </c>
      <c r="E5480" s="51" t="s">
        <v>1156</v>
      </c>
      <c r="F5480" s="121" t="s">
        <v>3009</v>
      </c>
      <c r="G5480" s="98" t="str">
        <f>HYPERLINK("http://mirror.ff7data.com.ar/ff7/data/battle/battle.lgp/jobg.png","View Picture")</f>
        <v>View Picture</v>
      </c>
    </row>
    <row r="5481">
      <c r="A5481" s="55"/>
      <c r="B5481" s="119" t="s">
        <v>37429</v>
      </c>
      <c r="C5481" s="120" t="s">
        <v>3658</v>
      </c>
      <c r="D5481" s="33" t="s">
        <v>37411</v>
      </c>
      <c r="E5481" s="51" t="s">
        <v>1156</v>
      </c>
      <c r="F5481" s="121" t="s">
        <v>3009</v>
      </c>
      <c r="G5481" s="98" t="str">
        <f>HYPERLINK("http://mirror.ff7data.com.ar/ff7/data/battle/battle.lgp/jobh.png","View Picture")</f>
        <v>View Picture</v>
      </c>
    </row>
    <row r="5482">
      <c r="A5482" s="55"/>
      <c r="B5482" s="119" t="s">
        <v>37430</v>
      </c>
      <c r="C5482" s="120" t="s">
        <v>4476</v>
      </c>
      <c r="D5482" s="33" t="s">
        <v>37411</v>
      </c>
      <c r="E5482" s="51" t="s">
        <v>1156</v>
      </c>
      <c r="F5482" s="121" t="s">
        <v>3009</v>
      </c>
      <c r="G5482" s="98" t="str">
        <f>HYPERLINK("http://mirror.ff7data.com.ar/ff7/data/battle/battle.lgp/jobi.png","View Picture")</f>
        <v>View Picture</v>
      </c>
    </row>
    <row r="5483">
      <c r="A5483" s="55"/>
      <c r="B5483" s="119" t="s">
        <v>37431</v>
      </c>
      <c r="C5483" s="120" t="s">
        <v>13957</v>
      </c>
      <c r="D5483" s="33" t="s">
        <v>37411</v>
      </c>
      <c r="E5483" s="51" t="s">
        <v>1156</v>
      </c>
      <c r="F5483" s="121" t="s">
        <v>3025</v>
      </c>
      <c r="H5483" s="46" t="s">
        <v>3002</v>
      </c>
    </row>
    <row r="5484">
      <c r="A5484" s="21"/>
      <c r="B5484" s="119" t="s">
        <v>37432</v>
      </c>
      <c r="C5484" s="120" t="s">
        <v>4196</v>
      </c>
      <c r="D5484" s="33" t="s">
        <v>37433</v>
      </c>
      <c r="E5484" s="51" t="s">
        <v>1161</v>
      </c>
      <c r="F5484" s="121" t="s">
        <v>2971</v>
      </c>
      <c r="G5484" s="98" t="str">
        <f>HYPERLINK("http://mirror.ff7data.com.ar/ff7/data/battle/battle.lgp/jpaa.png","View Picture")</f>
        <v>View Picture</v>
      </c>
      <c r="H5484" s="46" t="s">
        <v>37434</v>
      </c>
    </row>
    <row r="5485">
      <c r="A5485" s="55"/>
      <c r="B5485" s="119" t="s">
        <v>37435</v>
      </c>
      <c r="C5485" s="120" t="s">
        <v>12616</v>
      </c>
      <c r="D5485" s="33" t="s">
        <v>37436</v>
      </c>
      <c r="E5485" s="51" t="s">
        <v>1161</v>
      </c>
      <c r="F5485" s="121" t="s">
        <v>2993</v>
      </c>
      <c r="H5485" s="46" t="s">
        <v>3002</v>
      </c>
    </row>
    <row r="5486">
      <c r="A5486" s="55"/>
      <c r="B5486" s="119" t="s">
        <v>37437</v>
      </c>
      <c r="C5486" s="120" t="s">
        <v>4372</v>
      </c>
      <c r="D5486" s="33" t="s">
        <v>37436</v>
      </c>
      <c r="E5486" s="51" t="s">
        <v>1161</v>
      </c>
      <c r="F5486" s="121" t="s">
        <v>3009</v>
      </c>
      <c r="G5486" s="98" t="str">
        <f>HYPERLINK("http://mirror.ff7data.com.ar/ff7/data/battle/battle.lgp/jpam.png","View Picture")</f>
        <v>View Picture</v>
      </c>
    </row>
    <row r="5487">
      <c r="A5487" s="55"/>
      <c r="B5487" s="119" t="s">
        <v>37438</v>
      </c>
      <c r="C5487" s="120" t="s">
        <v>6830</v>
      </c>
      <c r="D5487" s="33" t="s">
        <v>37436</v>
      </c>
      <c r="E5487" s="51" t="s">
        <v>1161</v>
      </c>
      <c r="F5487" s="121" t="s">
        <v>3009</v>
      </c>
      <c r="G5487" s="98" t="str">
        <f>HYPERLINK("http://mirror.ff7data.com.ar/ff7/data/battle/battle.lgp/jpan.png","View Picture")</f>
        <v>View Picture</v>
      </c>
    </row>
    <row r="5488">
      <c r="A5488" s="55"/>
      <c r="B5488" s="119" t="s">
        <v>37439</v>
      </c>
      <c r="C5488" s="120" t="s">
        <v>3465</v>
      </c>
      <c r="D5488" s="33" t="s">
        <v>37436</v>
      </c>
      <c r="E5488" s="51" t="s">
        <v>1161</v>
      </c>
      <c r="F5488" s="121" t="s">
        <v>3009</v>
      </c>
      <c r="G5488" s="98" t="str">
        <f>HYPERLINK("http://mirror.ff7data.com.ar/ff7/data/battle/battle.lgp/jpao.png","View Picture")</f>
        <v>View Picture</v>
      </c>
    </row>
    <row r="5489">
      <c r="A5489" s="55"/>
      <c r="B5489" s="119" t="s">
        <v>37440</v>
      </c>
      <c r="C5489" s="120" t="s">
        <v>3842</v>
      </c>
      <c r="D5489" s="33" t="s">
        <v>37436</v>
      </c>
      <c r="E5489" s="51" t="s">
        <v>1161</v>
      </c>
      <c r="F5489" s="121" t="s">
        <v>3009</v>
      </c>
      <c r="G5489" s="98" t="str">
        <f>HYPERLINK("http://mirror.ff7data.com.ar/ff7/data/battle/battle.lgp/jpar.png","View Picture")</f>
        <v>View Picture</v>
      </c>
    </row>
    <row r="5490">
      <c r="A5490" s="55"/>
      <c r="B5490" s="119" t="s">
        <v>37441</v>
      </c>
      <c r="C5490" s="120" t="s">
        <v>4707</v>
      </c>
      <c r="D5490" s="33" t="s">
        <v>37436</v>
      </c>
      <c r="E5490" s="51" t="s">
        <v>1161</v>
      </c>
      <c r="F5490" s="121" t="s">
        <v>3009</v>
      </c>
      <c r="G5490" s="98" t="str">
        <f>HYPERLINK("http://mirror.ff7data.com.ar/ff7/data/battle/battle.lgp/jpas.png","View Picture")</f>
        <v>View Picture</v>
      </c>
    </row>
    <row r="5491">
      <c r="A5491" s="55"/>
      <c r="B5491" s="119" t="s">
        <v>37442</v>
      </c>
      <c r="C5491" s="120" t="s">
        <v>3853</v>
      </c>
      <c r="D5491" s="33" t="s">
        <v>37436</v>
      </c>
      <c r="E5491" s="51" t="s">
        <v>1161</v>
      </c>
      <c r="F5491" s="121" t="s">
        <v>3009</v>
      </c>
      <c r="G5491" s="98" t="str">
        <f>HYPERLINK("http://mirror.ff7data.com.ar/ff7/data/battle/battle.lgp/jpat.png","View Picture")</f>
        <v>View Picture</v>
      </c>
    </row>
    <row r="5492">
      <c r="A5492" s="55"/>
      <c r="B5492" s="119" t="s">
        <v>37443</v>
      </c>
      <c r="C5492" s="120" t="s">
        <v>3658</v>
      </c>
      <c r="D5492" s="33" t="s">
        <v>37436</v>
      </c>
      <c r="E5492" s="51" t="s">
        <v>1161</v>
      </c>
      <c r="F5492" s="121" t="s">
        <v>3009</v>
      </c>
      <c r="G5492" s="98" t="str">
        <f>HYPERLINK("http://mirror.ff7data.com.ar/ff7/data/battle/battle.lgp/jpay.png","View Picture")</f>
        <v>View Picture</v>
      </c>
    </row>
    <row r="5493">
      <c r="A5493" s="55"/>
      <c r="B5493" s="119" t="s">
        <v>37444</v>
      </c>
      <c r="C5493" s="120" t="s">
        <v>4707</v>
      </c>
      <c r="D5493" s="33" t="s">
        <v>37436</v>
      </c>
      <c r="E5493" s="51" t="s">
        <v>1161</v>
      </c>
      <c r="F5493" s="121" t="s">
        <v>3009</v>
      </c>
      <c r="G5493" s="98" t="str">
        <f>HYPERLINK("http://mirror.ff7data.com.ar/ff7/data/battle/battle.lgp/jpaz.png","View Picture")</f>
        <v>View Picture</v>
      </c>
    </row>
    <row r="5494">
      <c r="A5494" s="55"/>
      <c r="B5494" s="119" t="s">
        <v>37445</v>
      </c>
      <c r="C5494" s="120" t="s">
        <v>3749</v>
      </c>
      <c r="D5494" s="33" t="s">
        <v>37436</v>
      </c>
      <c r="E5494" s="51" t="s">
        <v>1161</v>
      </c>
      <c r="F5494" s="121" t="s">
        <v>3009</v>
      </c>
      <c r="G5494" s="98" t="str">
        <f>HYPERLINK("http://mirror.ff7data.com.ar/ff7/data/battle/battle.lgp/jpba.png","View Picture")</f>
        <v>View Picture</v>
      </c>
    </row>
    <row r="5495">
      <c r="A5495" s="55"/>
      <c r="B5495" s="119" t="s">
        <v>37446</v>
      </c>
      <c r="C5495" s="120" t="s">
        <v>4057</v>
      </c>
      <c r="D5495" s="33" t="s">
        <v>37436</v>
      </c>
      <c r="E5495" s="51" t="s">
        <v>1161</v>
      </c>
      <c r="F5495" s="121" t="s">
        <v>3009</v>
      </c>
      <c r="G5495" s="98" t="str">
        <f>HYPERLINK("http://mirror.ff7data.com.ar/ff7/data/battle/battle.lgp/jpbc.png","View Picture")</f>
        <v>View Picture</v>
      </c>
    </row>
    <row r="5496">
      <c r="A5496" s="55"/>
      <c r="B5496" s="119" t="s">
        <v>37447</v>
      </c>
      <c r="C5496" s="120" t="s">
        <v>4357</v>
      </c>
      <c r="D5496" s="33" t="s">
        <v>37436</v>
      </c>
      <c r="E5496" s="51" t="s">
        <v>1161</v>
      </c>
      <c r="F5496" s="121" t="s">
        <v>3009</v>
      </c>
      <c r="G5496" s="98" t="str">
        <f>HYPERLINK("http://mirror.ff7data.com.ar/ff7/data/battle/battle.lgp/jpbd.png","View Picture")</f>
        <v>View Picture</v>
      </c>
    </row>
    <row r="5497">
      <c r="A5497" s="55"/>
      <c r="B5497" s="119" t="s">
        <v>37448</v>
      </c>
      <c r="C5497" s="120" t="s">
        <v>4439</v>
      </c>
      <c r="D5497" s="33" t="s">
        <v>37436</v>
      </c>
      <c r="E5497" s="51" t="s">
        <v>1161</v>
      </c>
      <c r="F5497" s="121" t="s">
        <v>3009</v>
      </c>
      <c r="G5497" s="98" t="str">
        <f>HYPERLINK("http://mirror.ff7data.com.ar/ff7/data/battle/battle.lgp/jpbe.png","View Picture")</f>
        <v>View Picture</v>
      </c>
    </row>
    <row r="5498">
      <c r="A5498" s="55"/>
      <c r="B5498" s="119" t="s">
        <v>37449</v>
      </c>
      <c r="C5498" s="120" t="s">
        <v>4288</v>
      </c>
      <c r="D5498" s="33" t="s">
        <v>37436</v>
      </c>
      <c r="E5498" s="51" t="s">
        <v>1161</v>
      </c>
      <c r="F5498" s="121" t="s">
        <v>3009</v>
      </c>
      <c r="G5498" s="98" t="str">
        <f>HYPERLINK("http://mirror.ff7data.com.ar/ff7/data/battle/battle.lgp/jpbf.png","View Picture")</f>
        <v>View Picture</v>
      </c>
    </row>
    <row r="5499">
      <c r="A5499" s="55"/>
      <c r="B5499" s="119" t="s">
        <v>37450</v>
      </c>
      <c r="C5499" s="120" t="s">
        <v>5419</v>
      </c>
      <c r="D5499" s="33" t="s">
        <v>37436</v>
      </c>
      <c r="E5499" s="51" t="s">
        <v>1161</v>
      </c>
      <c r="F5499" s="121" t="s">
        <v>3009</v>
      </c>
      <c r="G5499" s="98" t="str">
        <f>HYPERLINK("http://mirror.ff7data.com.ar/ff7/data/battle/battle.lgp/jpbh.png","View Picture")</f>
        <v>View Picture</v>
      </c>
    </row>
    <row r="5500">
      <c r="A5500" s="55"/>
      <c r="B5500" s="119" t="s">
        <v>37451</v>
      </c>
      <c r="C5500" s="120" t="s">
        <v>5419</v>
      </c>
      <c r="D5500" s="33" t="s">
        <v>37436</v>
      </c>
      <c r="E5500" s="51" t="s">
        <v>1161</v>
      </c>
      <c r="F5500" s="121" t="s">
        <v>3009</v>
      </c>
      <c r="G5500" s="98" t="str">
        <f>HYPERLINK("http://mirror.ff7data.com.ar/ff7/data/battle/battle.lgp/jpbi.png","View Picture")</f>
        <v>View Picture</v>
      </c>
    </row>
    <row r="5501">
      <c r="A5501" s="55"/>
      <c r="B5501" s="119" t="s">
        <v>37452</v>
      </c>
      <c r="C5501" s="120" t="s">
        <v>4439</v>
      </c>
      <c r="D5501" s="33" t="s">
        <v>37436</v>
      </c>
      <c r="E5501" s="51" t="s">
        <v>1161</v>
      </c>
      <c r="F5501" s="121" t="s">
        <v>3009</v>
      </c>
      <c r="G5501" s="98" t="str">
        <f>HYPERLINK("http://mirror.ff7data.com.ar/ff7/data/battle/battle.lgp/jpbj.png","View Picture")</f>
        <v>View Picture</v>
      </c>
    </row>
    <row r="5502">
      <c r="A5502" s="55"/>
      <c r="B5502" s="119" t="s">
        <v>37453</v>
      </c>
      <c r="C5502" s="120" t="s">
        <v>4288</v>
      </c>
      <c r="D5502" s="33" t="s">
        <v>37436</v>
      </c>
      <c r="E5502" s="51" t="s">
        <v>1161</v>
      </c>
      <c r="F5502" s="121" t="s">
        <v>3009</v>
      </c>
      <c r="G5502" s="98" t="str">
        <f>HYPERLINK("http://mirror.ff7data.com.ar/ff7/data/battle/battle.lgp/jpbk.png","View Picture")</f>
        <v>View Picture</v>
      </c>
    </row>
    <row r="5503">
      <c r="A5503" s="55"/>
      <c r="B5503" s="119" t="s">
        <v>37454</v>
      </c>
      <c r="C5503" s="120" t="s">
        <v>4288</v>
      </c>
      <c r="D5503" s="33" t="s">
        <v>37436</v>
      </c>
      <c r="E5503" s="51" t="s">
        <v>1161</v>
      </c>
      <c r="F5503" s="121" t="s">
        <v>3009</v>
      </c>
      <c r="G5503" s="98" t="str">
        <f>HYPERLINK("http://mirror.ff7data.com.ar/ff7/data/battle/battle.lgp/jpck.png","View Picture")</f>
        <v>View Picture</v>
      </c>
    </row>
    <row r="5504">
      <c r="A5504" s="55"/>
      <c r="B5504" s="119" t="s">
        <v>37455</v>
      </c>
      <c r="C5504" s="120" t="s">
        <v>5925</v>
      </c>
      <c r="D5504" s="33" t="s">
        <v>37436</v>
      </c>
      <c r="E5504" s="51" t="s">
        <v>1161</v>
      </c>
      <c r="F5504" s="121" t="s">
        <v>3025</v>
      </c>
      <c r="H5504" s="46" t="s">
        <v>3002</v>
      </c>
    </row>
    <row r="5505">
      <c r="A5505" s="21"/>
      <c r="B5505" s="119" t="s">
        <v>37456</v>
      </c>
      <c r="C5505" s="120" t="s">
        <v>4196</v>
      </c>
      <c r="D5505" s="33" t="s">
        <v>37457</v>
      </c>
      <c r="E5505" s="51" t="s">
        <v>1167</v>
      </c>
      <c r="F5505" s="121" t="s">
        <v>2971</v>
      </c>
      <c r="G5505" s="98" t="str">
        <f>HYPERLINK("http://mirror.ff7data.com.ar/ff7/data/battle/battle.lgp/jqaa.png","View Picture")</f>
        <v>View Picture</v>
      </c>
      <c r="H5505" s="46" t="s">
        <v>37458</v>
      </c>
    </row>
    <row r="5506">
      <c r="A5506" s="55"/>
      <c r="B5506" s="119" t="s">
        <v>37459</v>
      </c>
      <c r="C5506" s="120" t="s">
        <v>4846</v>
      </c>
      <c r="D5506" s="33" t="s">
        <v>37460</v>
      </c>
      <c r="E5506" s="51" t="s">
        <v>1167</v>
      </c>
      <c r="F5506" s="121" t="s">
        <v>2993</v>
      </c>
      <c r="H5506" s="46" t="s">
        <v>3002</v>
      </c>
    </row>
    <row r="5507">
      <c r="A5507" s="55"/>
      <c r="B5507" s="119" t="s">
        <v>37461</v>
      </c>
      <c r="C5507" s="120" t="s">
        <v>4372</v>
      </c>
      <c r="D5507" s="33" t="s">
        <v>37460</v>
      </c>
      <c r="E5507" s="51" t="s">
        <v>1167</v>
      </c>
      <c r="F5507" s="121" t="s">
        <v>3009</v>
      </c>
      <c r="G5507" s="98" t="str">
        <f>HYPERLINK("http://mirror.ff7data.com.ar/ff7/data/battle/battle.lgp/jqam.png","View Picture")</f>
        <v>View Picture</v>
      </c>
    </row>
    <row r="5508">
      <c r="A5508" s="55"/>
      <c r="B5508" s="119" t="s">
        <v>37462</v>
      </c>
      <c r="C5508" s="120" t="s">
        <v>7894</v>
      </c>
      <c r="D5508" s="33" t="s">
        <v>37460</v>
      </c>
      <c r="E5508" s="51" t="s">
        <v>1167</v>
      </c>
      <c r="F5508" s="121" t="s">
        <v>3009</v>
      </c>
      <c r="G5508" s="98" t="str">
        <f>HYPERLINK("http://mirror.ff7data.com.ar/ff7/data/battle/battle.lgp/jqan.png","View Picture")</f>
        <v>View Picture</v>
      </c>
    </row>
    <row r="5509">
      <c r="A5509" s="55"/>
      <c r="B5509" s="119" t="s">
        <v>37463</v>
      </c>
      <c r="C5509" s="120" t="s">
        <v>7129</v>
      </c>
      <c r="D5509" s="33" t="s">
        <v>37460</v>
      </c>
      <c r="E5509" s="51" t="s">
        <v>1167</v>
      </c>
      <c r="F5509" s="121" t="s">
        <v>3009</v>
      </c>
      <c r="G5509" s="98" t="str">
        <f>HYPERLINK("http://mirror.ff7data.com.ar/ff7/data/battle/battle.lgp/jqao.png","View Picture")</f>
        <v>View Picture</v>
      </c>
    </row>
    <row r="5510">
      <c r="A5510" s="55"/>
      <c r="B5510" s="119" t="s">
        <v>37464</v>
      </c>
      <c r="C5510" s="120" t="s">
        <v>3658</v>
      </c>
      <c r="D5510" s="33" t="s">
        <v>37460</v>
      </c>
      <c r="E5510" s="51" t="s">
        <v>1167</v>
      </c>
      <c r="F5510" s="121" t="s">
        <v>3009</v>
      </c>
      <c r="G5510" s="98" t="str">
        <f>HYPERLINK("http://mirror.ff7data.com.ar/ff7/data/battle/battle.lgp/jqar.png","View Picture")</f>
        <v>View Picture</v>
      </c>
    </row>
    <row r="5511">
      <c r="A5511" s="55"/>
      <c r="B5511" s="119" t="s">
        <v>37465</v>
      </c>
      <c r="C5511" s="120" t="s">
        <v>4707</v>
      </c>
      <c r="D5511" s="33" t="s">
        <v>37460</v>
      </c>
      <c r="E5511" s="51" t="s">
        <v>1167</v>
      </c>
      <c r="F5511" s="121" t="s">
        <v>3009</v>
      </c>
      <c r="G5511" s="98" t="str">
        <f>HYPERLINK("http://mirror.ff7data.com.ar/ff7/data/battle/battle.lgp/jqas.png","View Picture")</f>
        <v>View Picture</v>
      </c>
    </row>
    <row r="5512">
      <c r="A5512" s="55"/>
      <c r="B5512" s="119" t="s">
        <v>37466</v>
      </c>
      <c r="C5512" s="120" t="s">
        <v>3853</v>
      </c>
      <c r="D5512" s="33" t="s">
        <v>37460</v>
      </c>
      <c r="E5512" s="51" t="s">
        <v>1167</v>
      </c>
      <c r="F5512" s="121" t="s">
        <v>3009</v>
      </c>
      <c r="G5512" s="98" t="str">
        <f>HYPERLINK("http://mirror.ff7data.com.ar/ff7/data/battle/battle.lgp/jqat.png","View Picture")</f>
        <v>View Picture</v>
      </c>
    </row>
    <row r="5513">
      <c r="A5513" s="55"/>
      <c r="B5513" s="119" t="s">
        <v>37467</v>
      </c>
      <c r="C5513" s="120" t="s">
        <v>3658</v>
      </c>
      <c r="D5513" s="33" t="s">
        <v>37460</v>
      </c>
      <c r="E5513" s="51" t="s">
        <v>1167</v>
      </c>
      <c r="F5513" s="121" t="s">
        <v>3009</v>
      </c>
      <c r="G5513" s="98" t="str">
        <f>HYPERLINK("http://mirror.ff7data.com.ar/ff7/data/battle/battle.lgp/jqay.png","View Picture")</f>
        <v>View Picture</v>
      </c>
    </row>
    <row r="5514">
      <c r="A5514" s="55"/>
      <c r="B5514" s="119" t="s">
        <v>37468</v>
      </c>
      <c r="C5514" s="120" t="s">
        <v>4707</v>
      </c>
      <c r="D5514" s="33" t="s">
        <v>37460</v>
      </c>
      <c r="E5514" s="51" t="s">
        <v>1167</v>
      </c>
      <c r="F5514" s="121" t="s">
        <v>3009</v>
      </c>
      <c r="G5514" s="98" t="str">
        <f>HYPERLINK("http://mirror.ff7data.com.ar/ff7/data/battle/battle.lgp/jqaz.png","View Picture")</f>
        <v>View Picture</v>
      </c>
    </row>
    <row r="5515">
      <c r="A5515" s="55"/>
      <c r="B5515" s="119" t="s">
        <v>37469</v>
      </c>
      <c r="C5515" s="120" t="s">
        <v>3749</v>
      </c>
      <c r="D5515" s="33" t="s">
        <v>37460</v>
      </c>
      <c r="E5515" s="51" t="s">
        <v>1167</v>
      </c>
      <c r="F5515" s="121" t="s">
        <v>3009</v>
      </c>
      <c r="G5515" s="98" t="str">
        <f>HYPERLINK("http://mirror.ff7data.com.ar/ff7/data/battle/battle.lgp/jqba.png","View Picture")</f>
        <v>View Picture</v>
      </c>
    </row>
    <row r="5516">
      <c r="A5516" s="55"/>
      <c r="B5516" s="119" t="s">
        <v>37470</v>
      </c>
      <c r="C5516" s="120" t="s">
        <v>5419</v>
      </c>
      <c r="D5516" s="33" t="s">
        <v>37460</v>
      </c>
      <c r="E5516" s="51" t="s">
        <v>1167</v>
      </c>
      <c r="F5516" s="121" t="s">
        <v>3009</v>
      </c>
      <c r="G5516" s="98" t="str">
        <f>HYPERLINK("http://mirror.ff7data.com.ar/ff7/data/battle/battle.lgp/jqbc.png","View Picture")</f>
        <v>View Picture</v>
      </c>
    </row>
    <row r="5517">
      <c r="A5517" s="55"/>
      <c r="B5517" s="119" t="s">
        <v>37471</v>
      </c>
      <c r="C5517" s="120" t="s">
        <v>4357</v>
      </c>
      <c r="D5517" s="33" t="s">
        <v>37460</v>
      </c>
      <c r="E5517" s="51" t="s">
        <v>1167</v>
      </c>
      <c r="F5517" s="121" t="s">
        <v>3009</v>
      </c>
      <c r="G5517" s="98" t="str">
        <f>HYPERLINK("http://mirror.ff7data.com.ar/ff7/data/battle/battle.lgp/jqbd.png","View Picture")</f>
        <v>View Picture</v>
      </c>
    </row>
    <row r="5518">
      <c r="A5518" s="55"/>
      <c r="B5518" s="119" t="s">
        <v>37472</v>
      </c>
      <c r="C5518" s="120" t="s">
        <v>4439</v>
      </c>
      <c r="D5518" s="33" t="s">
        <v>37460</v>
      </c>
      <c r="E5518" s="51" t="s">
        <v>1167</v>
      </c>
      <c r="F5518" s="121" t="s">
        <v>3009</v>
      </c>
      <c r="G5518" s="98" t="str">
        <f>HYPERLINK("http://mirror.ff7data.com.ar/ff7/data/battle/battle.lgp/jqbe.png","View Picture")</f>
        <v>View Picture</v>
      </c>
    </row>
    <row r="5519">
      <c r="A5519" s="55"/>
      <c r="B5519" s="119" t="s">
        <v>37473</v>
      </c>
      <c r="C5519" s="120" t="s">
        <v>4288</v>
      </c>
      <c r="D5519" s="33" t="s">
        <v>37460</v>
      </c>
      <c r="E5519" s="51" t="s">
        <v>1167</v>
      </c>
      <c r="F5519" s="121" t="s">
        <v>3009</v>
      </c>
      <c r="G5519" s="98" t="str">
        <f>HYPERLINK("http://mirror.ff7data.com.ar/ff7/data/battle/battle.lgp/jqbf.png","View Picture")</f>
        <v>View Picture</v>
      </c>
    </row>
    <row r="5520">
      <c r="A5520" s="55"/>
      <c r="B5520" s="119" t="s">
        <v>37474</v>
      </c>
      <c r="C5520" s="120" t="s">
        <v>4357</v>
      </c>
      <c r="D5520" s="33" t="s">
        <v>37460</v>
      </c>
      <c r="E5520" s="51" t="s">
        <v>1167</v>
      </c>
      <c r="F5520" s="121" t="s">
        <v>3009</v>
      </c>
      <c r="G5520" s="98" t="str">
        <f>HYPERLINK("http://mirror.ff7data.com.ar/ff7/data/battle/battle.lgp/jqbh.png","View Picture")</f>
        <v>View Picture</v>
      </c>
    </row>
    <row r="5521">
      <c r="A5521" s="55"/>
      <c r="B5521" s="119" t="s">
        <v>37475</v>
      </c>
      <c r="C5521" s="120" t="s">
        <v>4057</v>
      </c>
      <c r="D5521" s="33" t="s">
        <v>37460</v>
      </c>
      <c r="E5521" s="51" t="s">
        <v>1167</v>
      </c>
      <c r="F5521" s="121" t="s">
        <v>3009</v>
      </c>
      <c r="G5521" s="98" t="str">
        <f>HYPERLINK("http://mirror.ff7data.com.ar/ff7/data/battle/battle.lgp/jqbi.png","View Picture")</f>
        <v>View Picture</v>
      </c>
    </row>
    <row r="5522">
      <c r="A5522" s="55"/>
      <c r="B5522" s="119" t="s">
        <v>37476</v>
      </c>
      <c r="C5522" s="120" t="s">
        <v>4439</v>
      </c>
      <c r="D5522" s="33" t="s">
        <v>37460</v>
      </c>
      <c r="E5522" s="51" t="s">
        <v>1167</v>
      </c>
      <c r="F5522" s="121" t="s">
        <v>3009</v>
      </c>
      <c r="G5522" s="98" t="str">
        <f>HYPERLINK("http://mirror.ff7data.com.ar/ff7/data/battle/battle.lgp/jqbj.png","View Picture")</f>
        <v>View Picture</v>
      </c>
    </row>
    <row r="5523">
      <c r="A5523" s="55"/>
      <c r="B5523" s="119" t="s">
        <v>37477</v>
      </c>
      <c r="C5523" s="120" t="s">
        <v>4288</v>
      </c>
      <c r="D5523" s="33" t="s">
        <v>37460</v>
      </c>
      <c r="E5523" s="51" t="s">
        <v>1167</v>
      </c>
      <c r="F5523" s="121" t="s">
        <v>3009</v>
      </c>
      <c r="G5523" s="98" t="str">
        <f>HYPERLINK("http://mirror.ff7data.com.ar/ff7/data/battle/battle.lgp/jqbk.png","View Picture")</f>
        <v>View Picture</v>
      </c>
    </row>
    <row r="5524">
      <c r="A5524" s="55"/>
      <c r="B5524" s="119" t="s">
        <v>37478</v>
      </c>
      <c r="C5524" s="120" t="s">
        <v>4288</v>
      </c>
      <c r="D5524" s="33" t="s">
        <v>37460</v>
      </c>
      <c r="E5524" s="51" t="s">
        <v>1167</v>
      </c>
      <c r="F5524" s="121" t="s">
        <v>3009</v>
      </c>
      <c r="G5524" s="98" t="str">
        <f>HYPERLINK("http://mirror.ff7data.com.ar/ff7/data/battle/battle.lgp/jqck.png","View Picture")</f>
        <v>View Picture</v>
      </c>
    </row>
    <row r="5525">
      <c r="A5525" s="55"/>
      <c r="B5525" s="119" t="s">
        <v>37479</v>
      </c>
      <c r="C5525" s="120" t="s">
        <v>5925</v>
      </c>
      <c r="D5525" s="33" t="s">
        <v>37460</v>
      </c>
      <c r="E5525" s="51" t="s">
        <v>1167</v>
      </c>
      <c r="F5525" s="121" t="s">
        <v>3025</v>
      </c>
      <c r="H5525" s="46" t="s">
        <v>3002</v>
      </c>
    </row>
    <row r="5526">
      <c r="A5526" s="21"/>
      <c r="B5526" s="119" t="s">
        <v>37480</v>
      </c>
      <c r="C5526" s="120" t="s">
        <v>4196</v>
      </c>
      <c r="D5526" s="33" t="s">
        <v>37481</v>
      </c>
      <c r="E5526" s="51" t="s">
        <v>1172</v>
      </c>
      <c r="F5526" s="121" t="s">
        <v>2971</v>
      </c>
      <c r="G5526" s="98" t="str">
        <f>HYPERLINK("http://mirror.ff7data.com.ar/ff7/data/battle/battle.lgp/jraa.png","View Picture")</f>
        <v>View Picture</v>
      </c>
      <c r="H5526" s="123" t="s">
        <v>37482</v>
      </c>
    </row>
    <row r="5527">
      <c r="A5527" s="55"/>
      <c r="B5527" s="119" t="s">
        <v>37483</v>
      </c>
      <c r="C5527" s="120" t="s">
        <v>12616</v>
      </c>
      <c r="D5527" s="33" t="s">
        <v>37484</v>
      </c>
      <c r="E5527" s="51" t="s">
        <v>1172</v>
      </c>
      <c r="F5527" s="121" t="s">
        <v>2993</v>
      </c>
      <c r="H5527" s="46" t="s">
        <v>3002</v>
      </c>
    </row>
    <row r="5528">
      <c r="A5528" s="55"/>
      <c r="B5528" s="119" t="s">
        <v>37485</v>
      </c>
      <c r="C5528" s="120" t="s">
        <v>4396</v>
      </c>
      <c r="D5528" s="33" t="s">
        <v>37484</v>
      </c>
      <c r="E5528" s="51" t="s">
        <v>1172</v>
      </c>
      <c r="F5528" s="121" t="s">
        <v>3009</v>
      </c>
      <c r="G5528" s="98" t="str">
        <f>HYPERLINK("http://mirror.ff7data.com.ar/ff7/data/battle/battle.lgp/jram.png","View Picture")</f>
        <v>View Picture</v>
      </c>
    </row>
    <row r="5529">
      <c r="A5529" s="55"/>
      <c r="B5529" s="119" t="s">
        <v>37486</v>
      </c>
      <c r="C5529" s="120" t="s">
        <v>4228</v>
      </c>
      <c r="D5529" s="33" t="s">
        <v>37484</v>
      </c>
      <c r="E5529" s="51" t="s">
        <v>1172</v>
      </c>
      <c r="F5529" s="121" t="s">
        <v>3009</v>
      </c>
      <c r="G5529" s="98" t="str">
        <f>HYPERLINK("http://mirror.ff7data.com.ar/ff7/data/battle/battle.lgp/jran.png","View Picture")</f>
        <v>View Picture</v>
      </c>
    </row>
    <row r="5530">
      <c r="A5530" s="55"/>
      <c r="B5530" s="119" t="s">
        <v>37487</v>
      </c>
      <c r="C5530" s="120" t="s">
        <v>7062</v>
      </c>
      <c r="D5530" s="33" t="s">
        <v>37484</v>
      </c>
      <c r="E5530" s="51" t="s">
        <v>1172</v>
      </c>
      <c r="F5530" s="121" t="s">
        <v>3009</v>
      </c>
      <c r="G5530" s="98" t="str">
        <f>HYPERLINK("http://mirror.ff7data.com.ar/ff7/data/battle/battle.lgp/jrao.png","View Picture")</f>
        <v>View Picture</v>
      </c>
    </row>
    <row r="5531">
      <c r="A5531" s="55"/>
      <c r="B5531" s="119" t="s">
        <v>37488</v>
      </c>
      <c r="C5531" s="120" t="s">
        <v>10078</v>
      </c>
      <c r="D5531" s="33" t="s">
        <v>37484</v>
      </c>
      <c r="E5531" s="51" t="s">
        <v>1172</v>
      </c>
      <c r="F5531" s="121" t="s">
        <v>3009</v>
      </c>
      <c r="G5531" s="98" t="str">
        <f>HYPERLINK("http://mirror.ff7data.com.ar/ff7/data/battle/battle.lgp/jrar.png","View Picture")</f>
        <v>View Picture</v>
      </c>
    </row>
    <row r="5532">
      <c r="A5532" s="55"/>
      <c r="B5532" s="119" t="s">
        <v>37489</v>
      </c>
      <c r="C5532" s="120" t="s">
        <v>4264</v>
      </c>
      <c r="D5532" s="33" t="s">
        <v>37484</v>
      </c>
      <c r="E5532" s="51" t="s">
        <v>1172</v>
      </c>
      <c r="F5532" s="121" t="s">
        <v>3009</v>
      </c>
      <c r="G5532" s="98" t="str">
        <f>HYPERLINK("http://mirror.ff7data.com.ar/ff7/data/battle/battle.lgp/jras.png","View Picture")</f>
        <v>View Picture</v>
      </c>
    </row>
    <row r="5533">
      <c r="A5533" s="55"/>
      <c r="B5533" s="119" t="s">
        <v>37490</v>
      </c>
      <c r="C5533" s="120" t="s">
        <v>4167</v>
      </c>
      <c r="D5533" s="33" t="s">
        <v>37484</v>
      </c>
      <c r="E5533" s="51" t="s">
        <v>1172</v>
      </c>
      <c r="F5533" s="121" t="s">
        <v>3009</v>
      </c>
      <c r="G5533" s="98" t="str">
        <f>HYPERLINK("http://mirror.ff7data.com.ar/ff7/data/battle/battle.lgp/jrat.png","View Picture")</f>
        <v>View Picture</v>
      </c>
    </row>
    <row r="5534">
      <c r="A5534" s="55"/>
      <c r="B5534" s="119" t="s">
        <v>37491</v>
      </c>
      <c r="C5534" s="120" t="s">
        <v>4288</v>
      </c>
      <c r="D5534" s="33" t="s">
        <v>37484</v>
      </c>
      <c r="E5534" s="51" t="s">
        <v>1172</v>
      </c>
      <c r="F5534" s="121" t="s">
        <v>3009</v>
      </c>
      <c r="G5534" s="98" t="str">
        <f>HYPERLINK("http://mirror.ff7data.com.ar/ff7/data/battle/battle.lgp/jrav.png","View Picture")</f>
        <v>View Picture</v>
      </c>
    </row>
    <row r="5535">
      <c r="A5535" s="55"/>
      <c r="B5535" s="119" t="s">
        <v>37492</v>
      </c>
      <c r="C5535" s="120" t="s">
        <v>4217</v>
      </c>
      <c r="D5535" s="33" t="s">
        <v>37484</v>
      </c>
      <c r="E5535" s="51" t="s">
        <v>1172</v>
      </c>
      <c r="F5535" s="121" t="s">
        <v>3009</v>
      </c>
      <c r="G5535" s="98" t="str">
        <f>HYPERLINK("http://mirror.ff7data.com.ar/ff7/data/battle/battle.lgp/jray.png","View Picture")</f>
        <v>View Picture</v>
      </c>
    </row>
    <row r="5536">
      <c r="A5536" s="55"/>
      <c r="B5536" s="119" t="s">
        <v>37493</v>
      </c>
      <c r="C5536" s="120" t="s">
        <v>4264</v>
      </c>
      <c r="D5536" s="33" t="s">
        <v>37484</v>
      </c>
      <c r="E5536" s="51" t="s">
        <v>1172</v>
      </c>
      <c r="F5536" s="121" t="s">
        <v>3009</v>
      </c>
      <c r="G5536" s="98" t="str">
        <f>HYPERLINK("http://mirror.ff7data.com.ar/ff7/data/battle/battle.lgp/jraz.png","View Picture")</f>
        <v>View Picture</v>
      </c>
    </row>
    <row r="5537">
      <c r="A5537" s="55"/>
      <c r="B5537" s="119" t="s">
        <v>37494</v>
      </c>
      <c r="C5537" s="120" t="s">
        <v>4217</v>
      </c>
      <c r="D5537" s="33" t="s">
        <v>37484</v>
      </c>
      <c r="E5537" s="51" t="s">
        <v>1172</v>
      </c>
      <c r="F5537" s="121" t="s">
        <v>3009</v>
      </c>
      <c r="G5537" s="98" t="str">
        <f>HYPERLINK("http://mirror.ff7data.com.ar/ff7/data/battle/battle.lgp/jrba.png","View Picture")</f>
        <v>View Picture</v>
      </c>
    </row>
    <row r="5538">
      <c r="A5538" s="55"/>
      <c r="B5538" s="119" t="s">
        <v>37495</v>
      </c>
      <c r="C5538" s="120" t="s">
        <v>3749</v>
      </c>
      <c r="D5538" s="33" t="s">
        <v>37484</v>
      </c>
      <c r="E5538" s="51" t="s">
        <v>1172</v>
      </c>
      <c r="F5538" s="121" t="s">
        <v>3009</v>
      </c>
      <c r="G5538" s="98" t="str">
        <f>HYPERLINK("http://mirror.ff7data.com.ar/ff7/data/battle/battle.lgp/jrbc.png","View Picture")</f>
        <v>View Picture</v>
      </c>
    </row>
    <row r="5539">
      <c r="A5539" s="55"/>
      <c r="B5539" s="119" t="s">
        <v>37496</v>
      </c>
      <c r="C5539" s="120" t="s">
        <v>4357</v>
      </c>
      <c r="D5539" s="33" t="s">
        <v>37484</v>
      </c>
      <c r="E5539" s="51" t="s">
        <v>1172</v>
      </c>
      <c r="F5539" s="121" t="s">
        <v>3009</v>
      </c>
      <c r="G5539" s="98" t="str">
        <f>HYPERLINK("http://mirror.ff7data.com.ar/ff7/data/battle/battle.lgp/jrbd.png","View Picture")</f>
        <v>View Picture</v>
      </c>
    </row>
    <row r="5540">
      <c r="A5540" s="55"/>
      <c r="B5540" s="119" t="s">
        <v>37497</v>
      </c>
      <c r="C5540" s="120" t="s">
        <v>4372</v>
      </c>
      <c r="D5540" s="33" t="s">
        <v>37484</v>
      </c>
      <c r="E5540" s="51" t="s">
        <v>1172</v>
      </c>
      <c r="F5540" s="121" t="s">
        <v>3009</v>
      </c>
      <c r="G5540" s="98" t="str">
        <f>HYPERLINK("http://mirror.ff7data.com.ar/ff7/data/battle/battle.lgp/jrbe.png","View Picture")</f>
        <v>View Picture</v>
      </c>
    </row>
    <row r="5541">
      <c r="A5541" s="55"/>
      <c r="B5541" s="119" t="s">
        <v>37498</v>
      </c>
      <c r="C5541" s="120" t="s">
        <v>4372</v>
      </c>
      <c r="D5541" s="33" t="s">
        <v>37484</v>
      </c>
      <c r="E5541" s="51" t="s">
        <v>1172</v>
      </c>
      <c r="F5541" s="121" t="s">
        <v>3009</v>
      </c>
      <c r="G5541" s="98" t="str">
        <f>HYPERLINK("http://mirror.ff7data.com.ar/ff7/data/battle/battle.lgp/jrbf.png","View Picture")</f>
        <v>View Picture</v>
      </c>
    </row>
    <row r="5542">
      <c r="A5542" s="55"/>
      <c r="B5542" s="119" t="s">
        <v>37499</v>
      </c>
      <c r="C5542" s="120" t="s">
        <v>3648</v>
      </c>
      <c r="D5542" s="33" t="s">
        <v>37484</v>
      </c>
      <c r="E5542" s="51" t="s">
        <v>1172</v>
      </c>
      <c r="F5542" s="121" t="s">
        <v>3009</v>
      </c>
      <c r="G5542" s="98" t="str">
        <f>HYPERLINK("http://mirror.ff7data.com.ar/ff7/data/battle/battle.lgp/jrbh.png","View Picture")</f>
        <v>View Picture</v>
      </c>
    </row>
    <row r="5543">
      <c r="A5543" s="55"/>
      <c r="B5543" s="119" t="s">
        <v>37500</v>
      </c>
      <c r="C5543" s="120" t="s">
        <v>7165</v>
      </c>
      <c r="D5543" s="33" t="s">
        <v>37484</v>
      </c>
      <c r="E5543" s="51" t="s">
        <v>1172</v>
      </c>
      <c r="F5543" s="121" t="s">
        <v>3009</v>
      </c>
      <c r="G5543" s="98" t="str">
        <f>HYPERLINK("http://mirror.ff7data.com.ar/ff7/data/battle/battle.lgp/jrbi.png","View Picture")</f>
        <v>View Picture</v>
      </c>
    </row>
    <row r="5544">
      <c r="A5544" s="55"/>
      <c r="B5544" s="119" t="s">
        <v>37501</v>
      </c>
      <c r="C5544" s="120" t="s">
        <v>4372</v>
      </c>
      <c r="D5544" s="33" t="s">
        <v>37484</v>
      </c>
      <c r="E5544" s="51" t="s">
        <v>1172</v>
      </c>
      <c r="F5544" s="121" t="s">
        <v>3009</v>
      </c>
      <c r="G5544" s="98" t="str">
        <f>HYPERLINK("http://mirror.ff7data.com.ar/ff7/data/battle/battle.lgp/jrbj.png","View Picture")</f>
        <v>View Picture</v>
      </c>
    </row>
    <row r="5545">
      <c r="A5545" s="55"/>
      <c r="B5545" s="119" t="s">
        <v>37502</v>
      </c>
      <c r="C5545" s="120" t="s">
        <v>4372</v>
      </c>
      <c r="D5545" s="33" t="s">
        <v>37484</v>
      </c>
      <c r="E5545" s="51" t="s">
        <v>1172</v>
      </c>
      <c r="F5545" s="121" t="s">
        <v>3009</v>
      </c>
      <c r="G5545" s="98" t="str">
        <f>HYPERLINK("http://mirror.ff7data.com.ar/ff7/data/battle/battle.lgp/jrbk.png","View Picture")</f>
        <v>View Picture</v>
      </c>
    </row>
    <row r="5546">
      <c r="A5546" s="55"/>
      <c r="B5546" s="119" t="s">
        <v>37503</v>
      </c>
      <c r="C5546" s="120" t="s">
        <v>4439</v>
      </c>
      <c r="D5546" s="33" t="s">
        <v>37484</v>
      </c>
      <c r="E5546" s="51" t="s">
        <v>1172</v>
      </c>
      <c r="F5546" s="121" t="s">
        <v>3009</v>
      </c>
      <c r="G5546" s="98" t="str">
        <f>HYPERLINK("http://mirror.ff7data.com.ar/ff7/data/battle/battle.lgp/jrbm.png","View Picture")</f>
        <v>View Picture</v>
      </c>
    </row>
    <row r="5547">
      <c r="A5547" s="55"/>
      <c r="B5547" s="119" t="s">
        <v>37504</v>
      </c>
      <c r="C5547" s="120" t="s">
        <v>4288</v>
      </c>
      <c r="D5547" s="33" t="s">
        <v>37484</v>
      </c>
      <c r="E5547" s="51" t="s">
        <v>1172</v>
      </c>
      <c r="F5547" s="121" t="s">
        <v>3009</v>
      </c>
      <c r="G5547" s="98" t="str">
        <f>HYPERLINK("http://mirror.ff7data.com.ar/ff7/data/battle/battle.lgp/jrck.png","View Picture")</f>
        <v>View Picture</v>
      </c>
    </row>
    <row r="5548">
      <c r="A5548" s="55"/>
      <c r="B5548" s="119" t="s">
        <v>37505</v>
      </c>
      <c r="C5548" s="120" t="s">
        <v>5925</v>
      </c>
      <c r="D5548" s="33" t="s">
        <v>37484</v>
      </c>
      <c r="E5548" s="51" t="s">
        <v>1172</v>
      </c>
      <c r="F5548" s="121" t="s">
        <v>3025</v>
      </c>
      <c r="H5548" s="46" t="s">
        <v>3002</v>
      </c>
    </row>
    <row r="5549">
      <c r="A5549" s="21"/>
      <c r="B5549" s="119" t="s">
        <v>37506</v>
      </c>
      <c r="C5549" s="120" t="s">
        <v>3299</v>
      </c>
      <c r="D5549" s="33" t="s">
        <v>37507</v>
      </c>
      <c r="E5549" s="51" t="s">
        <v>1177</v>
      </c>
      <c r="F5549" s="121" t="s">
        <v>2971</v>
      </c>
      <c r="G5549" s="98" t="str">
        <f>HYPERLINK("http://mirror.ff7data.com.ar/ff7/data/battle/battle.lgp/jsaa.png","View Picture")</f>
        <v>View Picture</v>
      </c>
      <c r="H5549" s="46" t="s">
        <v>37508</v>
      </c>
    </row>
    <row r="5550">
      <c r="A5550" s="55"/>
      <c r="B5550" s="119" t="s">
        <v>37509</v>
      </c>
      <c r="C5550" s="120" t="s">
        <v>7375</v>
      </c>
      <c r="D5550" s="33" t="s">
        <v>37510</v>
      </c>
      <c r="E5550" s="51" t="s">
        <v>1177</v>
      </c>
      <c r="F5550" s="121" t="s">
        <v>2993</v>
      </c>
      <c r="H5550" s="46" t="s">
        <v>3002</v>
      </c>
    </row>
    <row r="5551">
      <c r="A5551" s="55"/>
      <c r="B5551" s="119" t="s">
        <v>37511</v>
      </c>
      <c r="C5551" s="120" t="s">
        <v>3997</v>
      </c>
      <c r="D5551" s="33" t="s">
        <v>37512</v>
      </c>
      <c r="E5551" s="51" t="s">
        <v>1177</v>
      </c>
      <c r="F5551" s="121" t="s">
        <v>1348</v>
      </c>
      <c r="G5551" s="98" t="str">
        <f>HYPERLINK("http://mirror.ff7data.com.ar/ff7/data/battle/battle.lgp/jsac.png","View Picture")</f>
        <v>View Picture</v>
      </c>
    </row>
    <row r="5552">
      <c r="A5552" s="55"/>
      <c r="B5552" s="119" t="s">
        <v>37513</v>
      </c>
      <c r="C5552" s="120" t="s">
        <v>3671</v>
      </c>
      <c r="D5552" s="33" t="s">
        <v>37514</v>
      </c>
      <c r="E5552" s="51" t="s">
        <v>1177</v>
      </c>
      <c r="F5552" s="121" t="s">
        <v>1348</v>
      </c>
      <c r="G5552" s="98" t="str">
        <f>HYPERLINK("http://mirror.ff7data.com.ar/ff7/data/battle/battle.lgp/jsad.png","View Picture")</f>
        <v>View Picture</v>
      </c>
    </row>
    <row r="5553">
      <c r="A5553" s="55"/>
      <c r="B5553" s="119" t="s">
        <v>37515</v>
      </c>
      <c r="C5553" s="120" t="s">
        <v>3552</v>
      </c>
      <c r="D5553" s="33" t="s">
        <v>37516</v>
      </c>
      <c r="E5553" s="51" t="s">
        <v>1177</v>
      </c>
      <c r="F5553" s="121" t="s">
        <v>1348</v>
      </c>
      <c r="G5553" s="98" t="str">
        <f>HYPERLINK("http://mirror.ff7data.com.ar/ff7/data/battle/battle.lgp/jsae.png","View Picture")</f>
        <v>View Picture</v>
      </c>
    </row>
    <row r="5554">
      <c r="A5554" s="55"/>
      <c r="B5554" s="119" t="s">
        <v>37517</v>
      </c>
      <c r="C5554" s="120" t="s">
        <v>4372</v>
      </c>
      <c r="D5554" s="33" t="s">
        <v>37510</v>
      </c>
      <c r="E5554" s="51" t="s">
        <v>1177</v>
      </c>
      <c r="F5554" s="121" t="s">
        <v>3009</v>
      </c>
      <c r="G5554" s="98" t="str">
        <f>HYPERLINK("http://mirror.ff7data.com.ar/ff7/data/battle/battle.lgp/jsam.png","View Picture")</f>
        <v>View Picture</v>
      </c>
    </row>
    <row r="5555">
      <c r="A5555" s="55"/>
      <c r="B5555" s="119" t="s">
        <v>37518</v>
      </c>
      <c r="C5555" s="120" t="s">
        <v>3723</v>
      </c>
      <c r="D5555" s="33" t="s">
        <v>37510</v>
      </c>
      <c r="E5555" s="51" t="s">
        <v>1177</v>
      </c>
      <c r="F5555" s="121" t="s">
        <v>3009</v>
      </c>
      <c r="G5555" s="98" t="str">
        <f>HYPERLINK("http://mirror.ff7data.com.ar/ff7/data/battle/battle.lgp/jsan.png","View Picture")</f>
        <v>View Picture</v>
      </c>
    </row>
    <row r="5556">
      <c r="A5556" s="55"/>
      <c r="B5556" s="119" t="s">
        <v>37519</v>
      </c>
      <c r="C5556" s="120" t="s">
        <v>4228</v>
      </c>
      <c r="D5556" s="33" t="s">
        <v>37510</v>
      </c>
      <c r="E5556" s="51" t="s">
        <v>1177</v>
      </c>
      <c r="F5556" s="121" t="s">
        <v>3009</v>
      </c>
      <c r="G5556" s="98" t="str">
        <f>HYPERLINK("http://mirror.ff7data.com.ar/ff7/data/battle/battle.lgp/jsao.png","View Picture")</f>
        <v>View Picture</v>
      </c>
    </row>
    <row r="5557">
      <c r="A5557" s="55"/>
      <c r="B5557" s="119" t="s">
        <v>37520</v>
      </c>
      <c r="C5557" s="120" t="s">
        <v>4057</v>
      </c>
      <c r="D5557" s="33" t="s">
        <v>37510</v>
      </c>
      <c r="E5557" s="51" t="s">
        <v>1177</v>
      </c>
      <c r="F5557" s="121" t="s">
        <v>3009</v>
      </c>
      <c r="G5557" s="98" t="str">
        <f>HYPERLINK("http://mirror.ff7data.com.ar/ff7/data/battle/battle.lgp/jsar.png","View Picture")</f>
        <v>View Picture</v>
      </c>
    </row>
    <row r="5558">
      <c r="A5558" s="55"/>
      <c r="B5558" s="119" t="s">
        <v>37521</v>
      </c>
      <c r="C5558" s="120" t="s">
        <v>4252</v>
      </c>
      <c r="D5558" s="33" t="s">
        <v>37510</v>
      </c>
      <c r="E5558" s="51" t="s">
        <v>1177</v>
      </c>
      <c r="F5558" s="121" t="s">
        <v>3009</v>
      </c>
      <c r="G5558" s="98" t="str">
        <f>HYPERLINK("http://mirror.ff7data.com.ar/ff7/data/battle/battle.lgp/jsas.png","View Picture")</f>
        <v>View Picture</v>
      </c>
    </row>
    <row r="5559">
      <c r="A5559" s="55"/>
      <c r="B5559" s="119" t="s">
        <v>37522</v>
      </c>
      <c r="C5559" s="120" t="s">
        <v>5356</v>
      </c>
      <c r="D5559" s="33" t="s">
        <v>37510</v>
      </c>
      <c r="E5559" s="51" t="s">
        <v>1177</v>
      </c>
      <c r="F5559" s="121" t="s">
        <v>3009</v>
      </c>
      <c r="G5559" s="98" t="str">
        <f>HYPERLINK("http://mirror.ff7data.com.ar/ff7/data/battle/battle.lgp/jsau.png","View Picture")</f>
        <v>View Picture</v>
      </c>
    </row>
    <row r="5560">
      <c r="A5560" s="55"/>
      <c r="B5560" s="119" t="s">
        <v>37523</v>
      </c>
      <c r="C5560" s="120" t="s">
        <v>5356</v>
      </c>
      <c r="D5560" s="33" t="s">
        <v>37510</v>
      </c>
      <c r="E5560" s="51" t="s">
        <v>1177</v>
      </c>
      <c r="F5560" s="121" t="s">
        <v>3009</v>
      </c>
      <c r="G5560" s="98" t="str">
        <f>HYPERLINK("http://mirror.ff7data.com.ar/ff7/data/battle/battle.lgp/jsaw.png","View Picture")</f>
        <v>View Picture</v>
      </c>
    </row>
    <row r="5561">
      <c r="A5561" s="55"/>
      <c r="B5561" s="119" t="s">
        <v>37524</v>
      </c>
      <c r="C5561" s="120" t="s">
        <v>5356</v>
      </c>
      <c r="D5561" s="33" t="s">
        <v>37510</v>
      </c>
      <c r="E5561" s="51" t="s">
        <v>1177</v>
      </c>
      <c r="F5561" s="121" t="s">
        <v>3009</v>
      </c>
      <c r="G5561" s="98" t="str">
        <f>HYPERLINK("http://mirror.ff7data.com.ar/ff7/data/battle/battle.lgp/jsay.png","View Picture")</f>
        <v>View Picture</v>
      </c>
    </row>
    <row r="5562">
      <c r="A5562" s="55"/>
      <c r="B5562" s="119" t="s">
        <v>37525</v>
      </c>
      <c r="C5562" s="120" t="s">
        <v>5356</v>
      </c>
      <c r="D5562" s="33" t="s">
        <v>37510</v>
      </c>
      <c r="E5562" s="51" t="s">
        <v>1177</v>
      </c>
      <c r="F5562" s="121" t="s">
        <v>3009</v>
      </c>
      <c r="G5562" s="98" t="str">
        <f>HYPERLINK("http://mirror.ff7data.com.ar/ff7/data/battle/battle.lgp/jsba.png","View Picture")</f>
        <v>View Picture</v>
      </c>
    </row>
    <row r="5563">
      <c r="A5563" s="55"/>
      <c r="B5563" s="119" t="s">
        <v>37526</v>
      </c>
      <c r="C5563" s="120" t="s">
        <v>5419</v>
      </c>
      <c r="D5563" s="33" t="s">
        <v>37510</v>
      </c>
      <c r="E5563" s="51" t="s">
        <v>1177</v>
      </c>
      <c r="F5563" s="121" t="s">
        <v>3009</v>
      </c>
      <c r="G5563" s="98" t="str">
        <f>HYPERLINK("http://mirror.ff7data.com.ar/ff7/data/battle/battle.lgp/jsbd.png","View Picture")</f>
        <v>View Picture</v>
      </c>
    </row>
    <row r="5564">
      <c r="A5564" s="55"/>
      <c r="B5564" s="119" t="s">
        <v>37527</v>
      </c>
      <c r="C5564" s="120" t="s">
        <v>4252</v>
      </c>
      <c r="D5564" s="33" t="s">
        <v>37510</v>
      </c>
      <c r="E5564" s="51" t="s">
        <v>1177</v>
      </c>
      <c r="F5564" s="121" t="s">
        <v>3009</v>
      </c>
      <c r="G5564" s="98" t="str">
        <f>HYPERLINK("http://mirror.ff7data.com.ar/ff7/data/battle/battle.lgp/jsbe.png","View Picture")</f>
        <v>View Picture</v>
      </c>
    </row>
    <row r="5565">
      <c r="A5565" s="55"/>
      <c r="B5565" s="119" t="s">
        <v>37528</v>
      </c>
      <c r="C5565" s="120" t="s">
        <v>5356</v>
      </c>
      <c r="D5565" s="33" t="s">
        <v>37510</v>
      </c>
      <c r="E5565" s="51" t="s">
        <v>1177</v>
      </c>
      <c r="F5565" s="121" t="s">
        <v>3009</v>
      </c>
      <c r="G5565" s="98" t="str">
        <f>HYPERLINK("http://mirror.ff7data.com.ar/ff7/data/battle/battle.lgp/jsbg.png","View Picture")</f>
        <v>View Picture</v>
      </c>
    </row>
    <row r="5566">
      <c r="A5566" s="55"/>
      <c r="B5566" s="119" t="s">
        <v>37529</v>
      </c>
      <c r="C5566" s="120" t="s">
        <v>5356</v>
      </c>
      <c r="D5566" s="33" t="s">
        <v>37510</v>
      </c>
      <c r="E5566" s="51" t="s">
        <v>1177</v>
      </c>
      <c r="F5566" s="121" t="s">
        <v>3009</v>
      </c>
      <c r="G5566" s="98" t="str">
        <f>HYPERLINK("http://mirror.ff7data.com.ar/ff7/data/battle/battle.lgp/jsbi.png","View Picture")</f>
        <v>View Picture</v>
      </c>
    </row>
    <row r="5567">
      <c r="A5567" s="55"/>
      <c r="B5567" s="119" t="s">
        <v>37530</v>
      </c>
      <c r="C5567" s="120" t="s">
        <v>5356</v>
      </c>
      <c r="D5567" s="33" t="s">
        <v>37510</v>
      </c>
      <c r="E5567" s="51" t="s">
        <v>1177</v>
      </c>
      <c r="F5567" s="121" t="s">
        <v>3009</v>
      </c>
      <c r="G5567" s="98" t="str">
        <f>HYPERLINK("http://mirror.ff7data.com.ar/ff7/data/battle/battle.lgp/jsbk.png","View Picture")</f>
        <v>View Picture</v>
      </c>
    </row>
    <row r="5568">
      <c r="A5568" s="55"/>
      <c r="B5568" s="119" t="s">
        <v>37531</v>
      </c>
      <c r="C5568" s="120" t="s">
        <v>5356</v>
      </c>
      <c r="D5568" s="33" t="s">
        <v>37510</v>
      </c>
      <c r="E5568" s="51" t="s">
        <v>1177</v>
      </c>
      <c r="F5568" s="121" t="s">
        <v>3009</v>
      </c>
      <c r="G5568" s="98" t="str">
        <f>HYPERLINK("http://mirror.ff7data.com.ar/ff7/data/battle/battle.lgp/jsbm.png","View Picture")</f>
        <v>View Picture</v>
      </c>
    </row>
    <row r="5569">
      <c r="A5569" s="55"/>
      <c r="B5569" s="119" t="s">
        <v>37532</v>
      </c>
      <c r="C5569" s="120" t="s">
        <v>4264</v>
      </c>
      <c r="D5569" s="33" t="s">
        <v>37510</v>
      </c>
      <c r="E5569" s="51" t="s">
        <v>1177</v>
      </c>
      <c r="F5569" s="121" t="s">
        <v>3009</v>
      </c>
      <c r="G5569" s="98" t="str">
        <f>HYPERLINK("http://mirror.ff7data.com.ar/ff7/data/battle/battle.lgp/jsbo.png","View Picture")</f>
        <v>View Picture</v>
      </c>
    </row>
    <row r="5570">
      <c r="A5570" s="55"/>
      <c r="B5570" s="119" t="s">
        <v>37533</v>
      </c>
      <c r="C5570" s="120" t="s">
        <v>4185</v>
      </c>
      <c r="D5570" s="33" t="s">
        <v>37510</v>
      </c>
      <c r="E5570" s="51" t="s">
        <v>1177</v>
      </c>
      <c r="F5570" s="121" t="s">
        <v>3009</v>
      </c>
      <c r="G5570" s="98" t="str">
        <f>HYPERLINK("http://mirror.ff7data.com.ar/ff7/data/battle/battle.lgp/jsbp.png","View Picture")</f>
        <v>View Picture</v>
      </c>
    </row>
    <row r="5571">
      <c r="A5571" s="55"/>
      <c r="B5571" s="119" t="s">
        <v>37534</v>
      </c>
      <c r="C5571" s="120" t="s">
        <v>3648</v>
      </c>
      <c r="D5571" s="33" t="s">
        <v>37510</v>
      </c>
      <c r="E5571" s="51" t="s">
        <v>1177</v>
      </c>
      <c r="F5571" s="121" t="s">
        <v>3009</v>
      </c>
      <c r="G5571" s="98" t="str">
        <f>HYPERLINK("http://mirror.ff7data.com.ar/ff7/data/battle/battle.lgp/jsbq.png","View Picture")</f>
        <v>View Picture</v>
      </c>
    </row>
    <row r="5572">
      <c r="A5572" s="55"/>
      <c r="B5572" s="119" t="s">
        <v>37535</v>
      </c>
      <c r="C5572" s="120" t="s">
        <v>4264</v>
      </c>
      <c r="D5572" s="33" t="s">
        <v>37510</v>
      </c>
      <c r="E5572" s="51" t="s">
        <v>1177</v>
      </c>
      <c r="F5572" s="121" t="s">
        <v>3009</v>
      </c>
      <c r="G5572" s="98" t="str">
        <f>HYPERLINK("http://mirror.ff7data.com.ar/ff7/data/battle/battle.lgp/jsbs.png","View Picture")</f>
        <v>View Picture</v>
      </c>
    </row>
    <row r="5573">
      <c r="A5573" s="55"/>
      <c r="B5573" s="119" t="s">
        <v>37536</v>
      </c>
      <c r="C5573" s="120" t="s">
        <v>4185</v>
      </c>
      <c r="D5573" s="33" t="s">
        <v>37510</v>
      </c>
      <c r="E5573" s="51" t="s">
        <v>1177</v>
      </c>
      <c r="F5573" s="121" t="s">
        <v>3009</v>
      </c>
      <c r="G5573" s="98" t="str">
        <f>HYPERLINK("http://mirror.ff7data.com.ar/ff7/data/battle/battle.lgp/jsbt.png","View Picture")</f>
        <v>View Picture</v>
      </c>
    </row>
    <row r="5574">
      <c r="A5574" s="55"/>
      <c r="B5574" s="119" t="s">
        <v>37537</v>
      </c>
      <c r="C5574" s="120" t="s">
        <v>4396</v>
      </c>
      <c r="D5574" s="33" t="s">
        <v>37510</v>
      </c>
      <c r="E5574" s="51" t="s">
        <v>1177</v>
      </c>
      <c r="F5574" s="121" t="s">
        <v>3009</v>
      </c>
      <c r="G5574" s="98" t="str">
        <f>HYPERLINK("http://mirror.ff7data.com.ar/ff7/data/battle/battle.lgp/jsbu.png","View Picture")</f>
        <v>View Picture</v>
      </c>
    </row>
    <row r="5575">
      <c r="A5575" s="55"/>
      <c r="B5575" s="119" t="s">
        <v>37538</v>
      </c>
      <c r="C5575" s="120" t="s">
        <v>7471</v>
      </c>
      <c r="D5575" s="33" t="s">
        <v>37510</v>
      </c>
      <c r="E5575" s="51" t="s">
        <v>1177</v>
      </c>
      <c r="F5575" s="121" t="s">
        <v>3025</v>
      </c>
      <c r="H5575" s="46" t="s">
        <v>3002</v>
      </c>
    </row>
    <row r="5576">
      <c r="A5576" s="21"/>
      <c r="B5576" s="119" t="s">
        <v>37539</v>
      </c>
      <c r="C5576" s="120" t="s">
        <v>11208</v>
      </c>
      <c r="D5576" s="33" t="s">
        <v>37540</v>
      </c>
      <c r="E5576" s="51" t="s">
        <v>1182</v>
      </c>
      <c r="F5576" s="121" t="s">
        <v>2971</v>
      </c>
      <c r="G5576" s="98" t="str">
        <f>HYPERLINK("http://mirror.ff7data.com.ar/ff7/data/battle/battle.lgp/jtaa.png","View Picture")</f>
        <v>View Picture</v>
      </c>
      <c r="H5576" s="46" t="s">
        <v>37541</v>
      </c>
    </row>
    <row r="5577">
      <c r="A5577" s="55"/>
      <c r="B5577" s="119" t="s">
        <v>37542</v>
      </c>
      <c r="C5577" s="120" t="s">
        <v>5222</v>
      </c>
      <c r="D5577" s="33" t="s">
        <v>37543</v>
      </c>
      <c r="E5577" s="51" t="s">
        <v>1182</v>
      </c>
      <c r="F5577" s="121" t="s">
        <v>2993</v>
      </c>
      <c r="H5577" s="46" t="s">
        <v>3002</v>
      </c>
    </row>
    <row r="5578">
      <c r="A5578" s="55"/>
      <c r="B5578" s="119" t="s">
        <v>37544</v>
      </c>
      <c r="C5578" s="120" t="s">
        <v>3573</v>
      </c>
      <c r="D5578" s="33" t="s">
        <v>37543</v>
      </c>
      <c r="E5578" s="51" t="s">
        <v>1182</v>
      </c>
      <c r="F5578" s="121" t="s">
        <v>3009</v>
      </c>
      <c r="G5578" s="98" t="str">
        <f>HYPERLINK("http://mirror.ff7data.com.ar/ff7/data/battle/battle.lgp/jtan.png","View Picture")</f>
        <v>View Picture</v>
      </c>
    </row>
    <row r="5579">
      <c r="A5579" s="55"/>
      <c r="B5579" s="119" t="s">
        <v>37545</v>
      </c>
      <c r="C5579" s="120" t="s">
        <v>3412</v>
      </c>
      <c r="D5579" s="33" t="s">
        <v>37543</v>
      </c>
      <c r="E5579" s="51" t="s">
        <v>1182</v>
      </c>
      <c r="F5579" s="121" t="s">
        <v>3009</v>
      </c>
      <c r="G5579" s="98" t="str">
        <f>HYPERLINK("http://mirror.ff7data.com.ar/ff7/data/battle/battle.lgp/jtap.png","View Picture")</f>
        <v>View Picture</v>
      </c>
    </row>
    <row r="5580">
      <c r="A5580" s="55"/>
      <c r="B5580" s="119" t="s">
        <v>37546</v>
      </c>
      <c r="C5580" s="120" t="s">
        <v>4228</v>
      </c>
      <c r="D5580" s="33" t="s">
        <v>37543</v>
      </c>
      <c r="E5580" s="51" t="s">
        <v>1182</v>
      </c>
      <c r="F5580" s="121" t="s">
        <v>3009</v>
      </c>
      <c r="G5580" s="98" t="str">
        <f>HYPERLINK("http://mirror.ff7data.com.ar/ff7/data/battle/battle.lgp/jtaq.png","View Picture")</f>
        <v>View Picture</v>
      </c>
    </row>
    <row r="5581">
      <c r="A5581" s="55"/>
      <c r="B5581" s="119" t="s">
        <v>37547</v>
      </c>
      <c r="C5581" s="120" t="s">
        <v>3412</v>
      </c>
      <c r="D5581" s="33" t="s">
        <v>37543</v>
      </c>
      <c r="E5581" s="51" t="s">
        <v>1182</v>
      </c>
      <c r="F5581" s="121" t="s">
        <v>3009</v>
      </c>
      <c r="G5581" s="98" t="str">
        <f>HYPERLINK("http://mirror.ff7data.com.ar/ff7/data/battle/battle.lgp/jtas.png","View Picture")</f>
        <v>View Picture</v>
      </c>
    </row>
    <row r="5582">
      <c r="A5582" s="55"/>
      <c r="B5582" s="119" t="s">
        <v>37548</v>
      </c>
      <c r="C5582" s="120" t="s">
        <v>4719</v>
      </c>
      <c r="D5582" s="33" t="s">
        <v>37543</v>
      </c>
      <c r="E5582" s="51" t="s">
        <v>1182</v>
      </c>
      <c r="F5582" s="121" t="s">
        <v>3009</v>
      </c>
      <c r="G5582" s="98" t="str">
        <f>HYPERLINK("http://mirror.ff7data.com.ar/ff7/data/battle/battle.lgp/jtau.png","View Picture")</f>
        <v>View Picture</v>
      </c>
    </row>
    <row r="5583">
      <c r="A5583" s="55"/>
      <c r="B5583" s="119" t="s">
        <v>37549</v>
      </c>
      <c r="C5583" s="120" t="s">
        <v>5203</v>
      </c>
      <c r="D5583" s="33" t="s">
        <v>37543</v>
      </c>
      <c r="E5583" s="51" t="s">
        <v>1182</v>
      </c>
      <c r="F5583" s="121" t="s">
        <v>3009</v>
      </c>
      <c r="G5583" s="98" t="str">
        <f>HYPERLINK("http://mirror.ff7data.com.ar/ff7/data/battle/battle.lgp/jtaw.png","View Picture")</f>
        <v>View Picture</v>
      </c>
    </row>
    <row r="5584">
      <c r="A5584" s="55"/>
      <c r="B5584" s="119" t="s">
        <v>37550</v>
      </c>
      <c r="C5584" s="120" t="s">
        <v>4228</v>
      </c>
      <c r="D5584" s="33" t="s">
        <v>37543</v>
      </c>
      <c r="E5584" s="51" t="s">
        <v>1182</v>
      </c>
      <c r="F5584" s="121" t="s">
        <v>3009</v>
      </c>
      <c r="G5584" s="98" t="str">
        <f>HYPERLINK("http://mirror.ff7data.com.ar/ff7/data/battle/battle.lgp/jtay.png","View Picture")</f>
        <v>View Picture</v>
      </c>
    </row>
    <row r="5585">
      <c r="A5585" s="55"/>
      <c r="B5585" s="119" t="s">
        <v>37551</v>
      </c>
      <c r="C5585" s="120" t="s">
        <v>4372</v>
      </c>
      <c r="D5585" s="33" t="s">
        <v>37543</v>
      </c>
      <c r="E5585" s="51" t="s">
        <v>1182</v>
      </c>
      <c r="F5585" s="121" t="s">
        <v>3009</v>
      </c>
      <c r="G5585" s="98" t="str">
        <f>HYPERLINK("http://mirror.ff7data.com.ar/ff7/data/battle/battle.lgp/jtba.png","View Picture")</f>
        <v>View Picture</v>
      </c>
    </row>
    <row r="5586">
      <c r="A5586" s="55"/>
      <c r="B5586" s="119" t="s">
        <v>37552</v>
      </c>
      <c r="C5586" s="120" t="s">
        <v>7165</v>
      </c>
      <c r="D5586" s="33" t="s">
        <v>37543</v>
      </c>
      <c r="E5586" s="51" t="s">
        <v>1182</v>
      </c>
      <c r="F5586" s="121" t="s">
        <v>3025</v>
      </c>
      <c r="H5586" s="46" t="s">
        <v>3002</v>
      </c>
    </row>
    <row r="5587">
      <c r="A5587" s="21"/>
      <c r="B5587" s="119" t="s">
        <v>37553</v>
      </c>
      <c r="C5587" s="120" t="s">
        <v>11751</v>
      </c>
      <c r="D5587" s="33" t="s">
        <v>37554</v>
      </c>
      <c r="E5587" s="51" t="s">
        <v>1188</v>
      </c>
      <c r="F5587" s="121" t="s">
        <v>2971</v>
      </c>
      <c r="G5587" s="98" t="str">
        <f>HYPERLINK("http://mirror.ff7data.com.ar/ff7/data/battle/battle.lgp/juaa.png","View Picture")</f>
        <v>View Picture</v>
      </c>
    </row>
    <row r="5588">
      <c r="A5588" s="55"/>
      <c r="B5588" s="119" t="s">
        <v>37555</v>
      </c>
      <c r="C5588" s="120" t="s">
        <v>4456</v>
      </c>
      <c r="D5588" s="33" t="s">
        <v>37556</v>
      </c>
      <c r="E5588" s="51" t="s">
        <v>1188</v>
      </c>
      <c r="F5588" s="121" t="s">
        <v>2993</v>
      </c>
      <c r="H5588" s="46" t="s">
        <v>3002</v>
      </c>
    </row>
    <row r="5589">
      <c r="A5589" s="55"/>
      <c r="B5589" s="119" t="s">
        <v>37557</v>
      </c>
      <c r="C5589" s="120" t="s">
        <v>3658</v>
      </c>
      <c r="D5589" s="33" t="s">
        <v>37556</v>
      </c>
      <c r="E5589" s="51" t="s">
        <v>1188</v>
      </c>
      <c r="F5589" s="121" t="s">
        <v>3009</v>
      </c>
      <c r="G5589" s="98" t="str">
        <f>HYPERLINK("http://mirror.ff7data.com.ar/ff7/data/battle/battle.lgp/juam.png","View Picture")</f>
        <v>View Picture</v>
      </c>
    </row>
    <row r="5590">
      <c r="A5590" s="55"/>
      <c r="B5590" s="119" t="s">
        <v>37558</v>
      </c>
      <c r="C5590" s="120" t="s">
        <v>4841</v>
      </c>
      <c r="D5590" s="33" t="s">
        <v>37556</v>
      </c>
      <c r="E5590" s="51" t="s">
        <v>1188</v>
      </c>
      <c r="F5590" s="121" t="s">
        <v>3009</v>
      </c>
      <c r="G5590" s="98" t="str">
        <f>HYPERLINK("http://mirror.ff7data.com.ar/ff7/data/battle/battle.lgp/juan.png","View Picture")</f>
        <v>View Picture</v>
      </c>
    </row>
    <row r="5591">
      <c r="A5591" s="55"/>
      <c r="B5591" s="119" t="s">
        <v>37559</v>
      </c>
      <c r="C5591" s="120" t="s">
        <v>4217</v>
      </c>
      <c r="D5591" s="33" t="s">
        <v>37556</v>
      </c>
      <c r="E5591" s="51" t="s">
        <v>1188</v>
      </c>
      <c r="F5591" s="121" t="s">
        <v>3009</v>
      </c>
      <c r="G5591" s="98" t="str">
        <f>HYPERLINK("http://mirror.ff7data.com.ar/ff7/data/battle/battle.lgp/juap.png","View Picture")</f>
        <v>View Picture</v>
      </c>
    </row>
    <row r="5592">
      <c r="A5592" s="55"/>
      <c r="B5592" s="119" t="s">
        <v>37560</v>
      </c>
      <c r="C5592" s="120" t="s">
        <v>10078</v>
      </c>
      <c r="D5592" s="33" t="s">
        <v>37556</v>
      </c>
      <c r="E5592" s="51" t="s">
        <v>1188</v>
      </c>
      <c r="F5592" s="121" t="s">
        <v>3009</v>
      </c>
      <c r="G5592" s="98" t="str">
        <f>HYPERLINK("http://mirror.ff7data.com.ar/ff7/data/battle/battle.lgp/juaq.png","View Picture")</f>
        <v>View Picture</v>
      </c>
    </row>
    <row r="5593">
      <c r="A5593" s="55"/>
      <c r="B5593" s="119" t="s">
        <v>37561</v>
      </c>
      <c r="C5593" s="120" t="s">
        <v>10078</v>
      </c>
      <c r="D5593" s="33" t="s">
        <v>37556</v>
      </c>
      <c r="E5593" s="51" t="s">
        <v>1188</v>
      </c>
      <c r="F5593" s="121" t="s">
        <v>3009</v>
      </c>
      <c r="G5593" s="98" t="str">
        <f>HYPERLINK("http://mirror.ff7data.com.ar/ff7/data/battle/battle.lgp/juar.png","View Picture")</f>
        <v>View Picture</v>
      </c>
    </row>
    <row r="5594">
      <c r="A5594" s="55"/>
      <c r="B5594" s="119" t="s">
        <v>37562</v>
      </c>
      <c r="C5594" s="120" t="s">
        <v>4217</v>
      </c>
      <c r="D5594" s="33" t="s">
        <v>37556</v>
      </c>
      <c r="E5594" s="51" t="s">
        <v>1188</v>
      </c>
      <c r="F5594" s="121" t="s">
        <v>3009</v>
      </c>
      <c r="G5594" s="98" t="str">
        <f>HYPERLINK("http://mirror.ff7data.com.ar/ff7/data/battle/battle.lgp/juau.png","View Picture")</f>
        <v>View Picture</v>
      </c>
    </row>
    <row r="5595">
      <c r="A5595" s="55"/>
      <c r="B5595" s="119" t="s">
        <v>37563</v>
      </c>
      <c r="C5595" s="120" t="s">
        <v>10078</v>
      </c>
      <c r="D5595" s="33" t="s">
        <v>37556</v>
      </c>
      <c r="E5595" s="51" t="s">
        <v>1188</v>
      </c>
      <c r="F5595" s="121" t="s">
        <v>3009</v>
      </c>
      <c r="G5595" s="98" t="str">
        <f>HYPERLINK("http://mirror.ff7data.com.ar/ff7/data/battle/battle.lgp/juav.png","View Picture")</f>
        <v>View Picture</v>
      </c>
    </row>
    <row r="5596">
      <c r="A5596" s="55"/>
      <c r="B5596" s="119" t="s">
        <v>37564</v>
      </c>
      <c r="C5596" s="120" t="s">
        <v>7270</v>
      </c>
      <c r="D5596" s="33" t="s">
        <v>37556</v>
      </c>
      <c r="E5596" s="51" t="s">
        <v>1188</v>
      </c>
      <c r="F5596" s="121" t="s">
        <v>3009</v>
      </c>
      <c r="G5596" s="98" t="str">
        <f>HYPERLINK("http://mirror.ff7data.com.ar/ff7/data/battle/battle.lgp/juaw.png","View Picture")</f>
        <v>View Picture</v>
      </c>
    </row>
    <row r="5597">
      <c r="A5597" s="55"/>
      <c r="B5597" s="119" t="s">
        <v>37565</v>
      </c>
      <c r="C5597" s="120" t="s">
        <v>4357</v>
      </c>
      <c r="D5597" s="33" t="s">
        <v>37556</v>
      </c>
      <c r="E5597" s="51" t="s">
        <v>1188</v>
      </c>
      <c r="F5597" s="121" t="s">
        <v>3009</v>
      </c>
      <c r="G5597" s="98" t="str">
        <f>HYPERLINK("http://mirror.ff7data.com.ar/ff7/data/battle/battle.lgp/juba.png","View Picture")</f>
        <v>View Picture</v>
      </c>
    </row>
    <row r="5598">
      <c r="A5598" s="55"/>
      <c r="B5598" s="119" t="s">
        <v>37566</v>
      </c>
      <c r="C5598" s="120" t="s">
        <v>34499</v>
      </c>
      <c r="D5598" s="33" t="s">
        <v>37556</v>
      </c>
      <c r="E5598" s="51" t="s">
        <v>1188</v>
      </c>
      <c r="F5598" s="121" t="s">
        <v>3009</v>
      </c>
      <c r="G5598" s="98" t="str">
        <f>HYPERLINK("http://mirror.ff7data.com.ar/ff7/data/battle/battle.lgp/jubb.png","View Picture")</f>
        <v>View Picture</v>
      </c>
    </row>
    <row r="5599">
      <c r="A5599" s="55"/>
      <c r="B5599" s="119" t="s">
        <v>37567</v>
      </c>
      <c r="C5599" s="120" t="s">
        <v>5203</v>
      </c>
      <c r="D5599" s="33" t="s">
        <v>37556</v>
      </c>
      <c r="E5599" s="51" t="s">
        <v>1188</v>
      </c>
      <c r="F5599" s="121" t="s">
        <v>3009</v>
      </c>
      <c r="G5599" s="98" t="str">
        <f>HYPERLINK("http://mirror.ff7data.com.ar/ff7/data/battle/battle.lgp/jubc.png","View Picture")</f>
        <v>View Picture</v>
      </c>
    </row>
    <row r="5600">
      <c r="A5600" s="55"/>
      <c r="B5600" s="119" t="s">
        <v>37568</v>
      </c>
      <c r="C5600" s="120" t="s">
        <v>4357</v>
      </c>
      <c r="D5600" s="33" t="s">
        <v>37556</v>
      </c>
      <c r="E5600" s="51" t="s">
        <v>1188</v>
      </c>
      <c r="F5600" s="121" t="s">
        <v>3009</v>
      </c>
      <c r="G5600" s="98" t="str">
        <f>HYPERLINK("http://mirror.ff7data.com.ar/ff7/data/battle/battle.lgp/jubf.png","View Picture")</f>
        <v>View Picture</v>
      </c>
    </row>
    <row r="5601">
      <c r="A5601" s="55"/>
      <c r="B5601" s="119" t="s">
        <v>37569</v>
      </c>
      <c r="C5601" s="120" t="s">
        <v>14815</v>
      </c>
      <c r="D5601" s="33" t="s">
        <v>37556</v>
      </c>
      <c r="E5601" s="51" t="s">
        <v>1188</v>
      </c>
      <c r="F5601" s="121" t="s">
        <v>3009</v>
      </c>
      <c r="G5601" s="98" t="str">
        <f>HYPERLINK("http://mirror.ff7data.com.ar/ff7/data/battle/battle.lgp/jubg.png","View Picture")</f>
        <v>View Picture</v>
      </c>
    </row>
    <row r="5602">
      <c r="A5602" s="55"/>
      <c r="B5602" s="119" t="s">
        <v>37570</v>
      </c>
      <c r="C5602" s="120" t="s">
        <v>13957</v>
      </c>
      <c r="D5602" s="33" t="s">
        <v>37556</v>
      </c>
      <c r="E5602" s="51" t="s">
        <v>1188</v>
      </c>
      <c r="F5602" s="121" t="s">
        <v>3009</v>
      </c>
      <c r="G5602" s="98" t="str">
        <f>HYPERLINK("http://mirror.ff7data.com.ar/ff7/data/battle/battle.lgp/jubh.png","View Picture")</f>
        <v>View Picture</v>
      </c>
    </row>
    <row r="5603">
      <c r="A5603" s="55"/>
      <c r="B5603" s="119" t="s">
        <v>37571</v>
      </c>
      <c r="C5603" s="120" t="s">
        <v>14980</v>
      </c>
      <c r="D5603" s="33" t="s">
        <v>37556</v>
      </c>
      <c r="E5603" s="51" t="s">
        <v>1188</v>
      </c>
      <c r="F5603" s="121" t="s">
        <v>3025</v>
      </c>
      <c r="H5603" s="46" t="s">
        <v>3002</v>
      </c>
    </row>
    <row r="5604">
      <c r="A5604" s="21"/>
      <c r="B5604" s="119" t="s">
        <v>37572</v>
      </c>
      <c r="C5604" s="120" t="s">
        <v>11721</v>
      </c>
      <c r="D5604" s="33" t="s">
        <v>37573</v>
      </c>
      <c r="E5604" s="147" t="s">
        <v>1192</v>
      </c>
      <c r="F5604" s="121" t="s">
        <v>2971</v>
      </c>
      <c r="G5604" s="98" t="str">
        <f>HYPERLINK("http://mirror.ff7data.com.ar/ff7/data/battle/battle.lgp/jvaa.png","View Picture")</f>
        <v>View Picture</v>
      </c>
    </row>
    <row r="5605">
      <c r="A5605" s="55"/>
      <c r="B5605" s="119" t="s">
        <v>37574</v>
      </c>
      <c r="C5605" s="120" t="s">
        <v>4209</v>
      </c>
      <c r="D5605" s="33" t="s">
        <v>37575</v>
      </c>
      <c r="E5605" s="147" t="s">
        <v>1192</v>
      </c>
      <c r="F5605" s="121" t="s">
        <v>2993</v>
      </c>
      <c r="H5605" s="46" t="s">
        <v>3002</v>
      </c>
    </row>
    <row r="5606">
      <c r="A5606" s="55"/>
      <c r="B5606" s="119" t="s">
        <v>37576</v>
      </c>
      <c r="C5606" s="120" t="s">
        <v>14030</v>
      </c>
      <c r="D5606" s="33" t="s">
        <v>37575</v>
      </c>
      <c r="E5606" s="147" t="s">
        <v>1192</v>
      </c>
      <c r="F5606" s="121" t="s">
        <v>3009</v>
      </c>
      <c r="G5606" s="98" t="str">
        <f>HYPERLINK("http://mirror.ff7data.com.ar/ff7/data/battle/battle.lgp/jvam.png","View Picture")</f>
        <v>View Picture</v>
      </c>
    </row>
    <row r="5607">
      <c r="A5607" s="55"/>
      <c r="B5607" s="119" t="s">
        <v>37577</v>
      </c>
      <c r="C5607" s="120" t="s">
        <v>4185</v>
      </c>
      <c r="D5607" s="33" t="s">
        <v>37575</v>
      </c>
      <c r="E5607" s="147" t="s">
        <v>1192</v>
      </c>
      <c r="F5607" s="121" t="s">
        <v>3025</v>
      </c>
      <c r="H5607" s="46" t="s">
        <v>3002</v>
      </c>
    </row>
    <row r="5608">
      <c r="A5608" s="21"/>
      <c r="B5608" s="119" t="s">
        <v>37578</v>
      </c>
      <c r="C5608" s="120" t="s">
        <v>11721</v>
      </c>
      <c r="D5608" s="33" t="s">
        <v>37579</v>
      </c>
      <c r="E5608" s="147" t="s">
        <v>1198</v>
      </c>
      <c r="F5608" s="121" t="s">
        <v>2971</v>
      </c>
      <c r="G5608" s="98" t="str">
        <f>HYPERLINK("http://mirror.ff7data.com.ar/ff7/data/battle/battle.lgp/jwaa.png","View Picture")</f>
        <v>View Picture</v>
      </c>
    </row>
    <row r="5609">
      <c r="A5609" s="55"/>
      <c r="B5609" s="119" t="s">
        <v>37580</v>
      </c>
      <c r="C5609" s="120" t="s">
        <v>5222</v>
      </c>
      <c r="D5609" s="33" t="s">
        <v>37581</v>
      </c>
      <c r="E5609" s="147" t="s">
        <v>1198</v>
      </c>
      <c r="F5609" s="121" t="s">
        <v>2993</v>
      </c>
      <c r="H5609" s="46" t="s">
        <v>3002</v>
      </c>
    </row>
    <row r="5610">
      <c r="A5610" s="55"/>
      <c r="B5610" s="119" t="s">
        <v>37582</v>
      </c>
      <c r="C5610" s="120" t="s">
        <v>3505</v>
      </c>
      <c r="D5610" s="33" t="s">
        <v>37581</v>
      </c>
      <c r="E5610" s="147" t="s">
        <v>1198</v>
      </c>
      <c r="F5610" s="121" t="s">
        <v>3009</v>
      </c>
      <c r="G5610" s="98" t="str">
        <f>HYPERLINK("http://mirror.ff7data.com.ar/ff7/data/battle/battle.lgp/jwam.png","View Picture")</f>
        <v>View Picture</v>
      </c>
    </row>
    <row r="5611">
      <c r="A5611" s="55"/>
      <c r="B5611" s="119" t="s">
        <v>37583</v>
      </c>
      <c r="C5611" s="120" t="s">
        <v>4185</v>
      </c>
      <c r="D5611" s="33" t="s">
        <v>37581</v>
      </c>
      <c r="E5611" s="147" t="s">
        <v>1198</v>
      </c>
      <c r="F5611" s="121" t="s">
        <v>3025</v>
      </c>
      <c r="H5611" s="46" t="s">
        <v>3002</v>
      </c>
    </row>
    <row r="5612">
      <c r="A5612" s="21"/>
      <c r="B5612" s="119" t="s">
        <v>37584</v>
      </c>
      <c r="C5612" s="120" t="s">
        <v>8241</v>
      </c>
      <c r="D5612" s="33" t="s">
        <v>37585</v>
      </c>
      <c r="E5612" s="51" t="s">
        <v>1203</v>
      </c>
      <c r="F5612" s="121" t="s">
        <v>2971</v>
      </c>
      <c r="G5612" s="98" t="str">
        <f>HYPERLINK("http://mirror.ff7data.com.ar/ff7/data/battle/battle.lgp/jxaa.png","View Picture")</f>
        <v>View Picture</v>
      </c>
    </row>
    <row r="5613">
      <c r="A5613" s="55"/>
      <c r="B5613" s="119" t="s">
        <v>37586</v>
      </c>
      <c r="C5613" s="120" t="s">
        <v>12616</v>
      </c>
      <c r="D5613" s="33" t="s">
        <v>37587</v>
      </c>
      <c r="E5613" s="51" t="s">
        <v>1203</v>
      </c>
      <c r="F5613" s="121" t="s">
        <v>2993</v>
      </c>
      <c r="H5613" s="46" t="s">
        <v>3002</v>
      </c>
    </row>
    <row r="5614">
      <c r="A5614" s="55"/>
      <c r="B5614" s="119" t="s">
        <v>37588</v>
      </c>
      <c r="C5614" s="120" t="s">
        <v>4841</v>
      </c>
      <c r="D5614" s="33" t="s">
        <v>37587</v>
      </c>
      <c r="E5614" s="51" t="s">
        <v>1203</v>
      </c>
      <c r="F5614" s="121" t="s">
        <v>3009</v>
      </c>
      <c r="G5614" s="98" t="str">
        <f>HYPERLINK("http://mirror.ff7data.com.ar/ff7/data/battle/battle.lgp/jxam.png","View Picture")</f>
        <v>View Picture</v>
      </c>
    </row>
    <row r="5615">
      <c r="A5615" s="55"/>
      <c r="B5615" s="119" t="s">
        <v>37589</v>
      </c>
      <c r="C5615" s="120" t="s">
        <v>3658</v>
      </c>
      <c r="D5615" s="33" t="s">
        <v>37587</v>
      </c>
      <c r="E5615" s="51" t="s">
        <v>1203</v>
      </c>
      <c r="F5615" s="121" t="s">
        <v>3009</v>
      </c>
      <c r="G5615" s="98" t="str">
        <f>HYPERLINK("http://mirror.ff7data.com.ar/ff7/data/battle/battle.lgp/jxar.png","View Picture")</f>
        <v>View Picture</v>
      </c>
    </row>
    <row r="5616">
      <c r="A5616" s="55"/>
      <c r="B5616" s="119" t="s">
        <v>37590</v>
      </c>
      <c r="C5616" s="120" t="s">
        <v>3318</v>
      </c>
      <c r="D5616" s="33" t="s">
        <v>37587</v>
      </c>
      <c r="E5616" s="51" t="s">
        <v>1203</v>
      </c>
      <c r="F5616" s="121" t="s">
        <v>3009</v>
      </c>
      <c r="G5616" s="98" t="str">
        <f>HYPERLINK("http://mirror.ff7data.com.ar/ff7/data/battle/battle.lgp/jxas.png","View Picture")</f>
        <v>View Picture</v>
      </c>
    </row>
    <row r="5617">
      <c r="A5617" s="55"/>
      <c r="B5617" s="119" t="s">
        <v>37591</v>
      </c>
      <c r="C5617" s="120" t="s">
        <v>7301</v>
      </c>
      <c r="D5617" s="33" t="s">
        <v>37587</v>
      </c>
      <c r="E5617" s="51" t="s">
        <v>1203</v>
      </c>
      <c r="F5617" s="121" t="s">
        <v>3009</v>
      </c>
      <c r="G5617" s="98" t="str">
        <f>HYPERLINK("http://mirror.ff7data.com.ar/ff7/data/battle/battle.lgp/jxaw.png","View Picture")</f>
        <v>View Picture</v>
      </c>
    </row>
    <row r="5618">
      <c r="A5618" s="55"/>
      <c r="B5618" s="119" t="s">
        <v>37592</v>
      </c>
      <c r="C5618" s="120" t="s">
        <v>3658</v>
      </c>
      <c r="D5618" s="33" t="s">
        <v>37587</v>
      </c>
      <c r="E5618" s="51" t="s">
        <v>1203</v>
      </c>
      <c r="F5618" s="121" t="s">
        <v>3009</v>
      </c>
      <c r="G5618" s="98" t="str">
        <f>HYPERLINK("http://mirror.ff7data.com.ar/ff7/data/battle/battle.lgp/jxbb.png","View Picture")</f>
        <v>View Picture</v>
      </c>
    </row>
    <row r="5619">
      <c r="A5619" s="55"/>
      <c r="B5619" s="119" t="s">
        <v>37593</v>
      </c>
      <c r="C5619" s="120" t="s">
        <v>3318</v>
      </c>
      <c r="D5619" s="33" t="s">
        <v>37587</v>
      </c>
      <c r="E5619" s="51" t="s">
        <v>1203</v>
      </c>
      <c r="F5619" s="121" t="s">
        <v>3009</v>
      </c>
      <c r="G5619" s="98" t="str">
        <f>HYPERLINK("http://mirror.ff7data.com.ar/ff7/data/battle/battle.lgp/jxbg.png","View Picture")</f>
        <v>View Picture</v>
      </c>
    </row>
    <row r="5620">
      <c r="A5620" s="55"/>
      <c r="B5620" s="119" t="s">
        <v>37594</v>
      </c>
      <c r="C5620" s="120" t="s">
        <v>3318</v>
      </c>
      <c r="D5620" s="33" t="s">
        <v>37587</v>
      </c>
      <c r="E5620" s="51" t="s">
        <v>1203</v>
      </c>
      <c r="F5620" s="121" t="s">
        <v>3009</v>
      </c>
      <c r="G5620" s="98" t="str">
        <f>HYPERLINK("http://mirror.ff7data.com.ar/ff7/data/battle/battle.lgp/jxbl.png","View Picture")</f>
        <v>View Picture</v>
      </c>
    </row>
    <row r="5621">
      <c r="A5621" s="55"/>
      <c r="B5621" s="119" t="s">
        <v>37595</v>
      </c>
      <c r="C5621" s="120" t="s">
        <v>8376</v>
      </c>
      <c r="D5621" s="33" t="s">
        <v>37587</v>
      </c>
      <c r="E5621" s="51" t="s">
        <v>1203</v>
      </c>
      <c r="F5621" s="121" t="s">
        <v>3025</v>
      </c>
      <c r="H5621" s="46" t="s">
        <v>3002</v>
      </c>
    </row>
    <row r="5622">
      <c r="A5622" s="21"/>
      <c r="B5622" s="119" t="s">
        <v>37596</v>
      </c>
      <c r="C5622" s="120" t="s">
        <v>4846</v>
      </c>
      <c r="D5622" s="33" t="s">
        <v>37597</v>
      </c>
      <c r="E5622" s="51" t="s">
        <v>1207</v>
      </c>
      <c r="F5622" s="121" t="s">
        <v>2971</v>
      </c>
      <c r="G5622" s="98" t="str">
        <f>HYPERLINK("http://mirror.ff7data.com.ar/ff7/data/battle/battle.lgp/jyaa.png","View Picture")</f>
        <v>View Picture</v>
      </c>
    </row>
    <row r="5623">
      <c r="A5623" s="55"/>
      <c r="B5623" s="119" t="s">
        <v>37598</v>
      </c>
      <c r="C5623" s="120" t="s">
        <v>37599</v>
      </c>
      <c r="D5623" s="33" t="s">
        <v>37600</v>
      </c>
      <c r="E5623" s="51" t="s">
        <v>1207</v>
      </c>
      <c r="F5623" s="121" t="s">
        <v>2993</v>
      </c>
      <c r="H5623" s="46" t="s">
        <v>3002</v>
      </c>
    </row>
    <row r="5624">
      <c r="A5624" s="55"/>
      <c r="B5624" s="119" t="s">
        <v>37601</v>
      </c>
      <c r="C5624" s="120" t="s">
        <v>4030</v>
      </c>
      <c r="D5624" s="33" t="s">
        <v>37600</v>
      </c>
      <c r="E5624" s="51" t="s">
        <v>1207</v>
      </c>
      <c r="F5624" s="121" t="s">
        <v>3009</v>
      </c>
      <c r="G5624" s="98" t="str">
        <f>HYPERLINK("http://mirror.ff7data.com.ar/ff7/data/battle/battle.lgp/jyao.png","View Picture")</f>
        <v>View Picture</v>
      </c>
    </row>
    <row r="5625">
      <c r="A5625" s="55"/>
      <c r="B5625" s="119" t="s">
        <v>37602</v>
      </c>
      <c r="C5625" s="120" t="s">
        <v>7871</v>
      </c>
      <c r="D5625" s="33" t="s">
        <v>37600</v>
      </c>
      <c r="E5625" s="51" t="s">
        <v>1207</v>
      </c>
      <c r="F5625" s="121" t="s">
        <v>3009</v>
      </c>
      <c r="G5625" s="98" t="str">
        <f>HYPERLINK("http://mirror.ff7data.com.ar/ff7/data/battle/battle.lgp/jyap.png","View Picture")</f>
        <v>View Picture</v>
      </c>
    </row>
    <row r="5626">
      <c r="A5626" s="55"/>
      <c r="B5626" s="119" t="s">
        <v>37603</v>
      </c>
      <c r="C5626" s="120" t="s">
        <v>7129</v>
      </c>
      <c r="D5626" s="33" t="s">
        <v>37600</v>
      </c>
      <c r="E5626" s="51" t="s">
        <v>1207</v>
      </c>
      <c r="F5626" s="121" t="s">
        <v>3009</v>
      </c>
      <c r="G5626" s="98" t="str">
        <f>HYPERLINK("http://mirror.ff7data.com.ar/ff7/data/battle/battle.lgp/jyaq.png","View Picture")</f>
        <v>View Picture</v>
      </c>
    </row>
    <row r="5627">
      <c r="A5627" s="55"/>
      <c r="B5627" s="119" t="s">
        <v>37604</v>
      </c>
      <c r="C5627" s="120" t="s">
        <v>3768</v>
      </c>
      <c r="D5627" s="33" t="s">
        <v>37600</v>
      </c>
      <c r="E5627" s="51" t="s">
        <v>1207</v>
      </c>
      <c r="F5627" s="121" t="s">
        <v>3009</v>
      </c>
      <c r="G5627" s="98" t="str">
        <f>HYPERLINK("http://mirror.ff7data.com.ar/ff7/data/battle/battle.lgp/jyas.png","View Picture")</f>
        <v>View Picture</v>
      </c>
    </row>
    <row r="5628">
      <c r="A5628" s="55"/>
      <c r="B5628" s="119" t="s">
        <v>37605</v>
      </c>
      <c r="C5628" s="120" t="s">
        <v>4707</v>
      </c>
      <c r="D5628" s="33" t="s">
        <v>37600</v>
      </c>
      <c r="E5628" s="51" t="s">
        <v>1207</v>
      </c>
      <c r="F5628" s="121" t="s">
        <v>3009</v>
      </c>
      <c r="G5628" s="98" t="str">
        <f>HYPERLINK("http://mirror.ff7data.com.ar/ff7/data/battle/battle.lgp/jyaw.png","View Picture")</f>
        <v>View Picture</v>
      </c>
    </row>
    <row r="5629">
      <c r="A5629" s="55"/>
      <c r="B5629" s="119" t="s">
        <v>37606</v>
      </c>
      <c r="C5629" s="120" t="s">
        <v>4185</v>
      </c>
      <c r="D5629" s="33" t="s">
        <v>37600</v>
      </c>
      <c r="E5629" s="51" t="s">
        <v>1207</v>
      </c>
      <c r="F5629" s="121" t="s">
        <v>3009</v>
      </c>
      <c r="G5629" s="98" t="str">
        <f>HYPERLINK("http://mirror.ff7data.com.ar/ff7/data/battle/battle.lgp/jyax.png","View Picture")</f>
        <v>View Picture</v>
      </c>
    </row>
    <row r="5630">
      <c r="A5630" s="55"/>
      <c r="B5630" s="119" t="s">
        <v>37607</v>
      </c>
      <c r="C5630" s="120" t="s">
        <v>4372</v>
      </c>
      <c r="D5630" s="33" t="s">
        <v>37600</v>
      </c>
      <c r="E5630" s="51" t="s">
        <v>1207</v>
      </c>
      <c r="F5630" s="121" t="s">
        <v>3009</v>
      </c>
      <c r="G5630" s="98" t="str">
        <f>HYPERLINK("http://mirror.ff7data.com.ar/ff7/data/battle/battle.lgp/jyay.png","View Picture")</f>
        <v>View Picture</v>
      </c>
    </row>
    <row r="5631">
      <c r="A5631" s="55"/>
      <c r="B5631" s="119" t="s">
        <v>37608</v>
      </c>
      <c r="C5631" s="120" t="s">
        <v>4372</v>
      </c>
      <c r="D5631" s="33" t="s">
        <v>37600</v>
      </c>
      <c r="E5631" s="51" t="s">
        <v>1207</v>
      </c>
      <c r="F5631" s="121" t="s">
        <v>3009</v>
      </c>
      <c r="G5631" s="98" t="str">
        <f>HYPERLINK("http://mirror.ff7data.com.ar/ff7/data/battle/battle.lgp/jyaz.png","View Picture")</f>
        <v>View Picture</v>
      </c>
    </row>
    <row r="5632">
      <c r="A5632" s="55"/>
      <c r="B5632" s="119" t="s">
        <v>37609</v>
      </c>
      <c r="C5632" s="120" t="s">
        <v>6029</v>
      </c>
      <c r="D5632" s="33" t="s">
        <v>37600</v>
      </c>
      <c r="E5632" s="51" t="s">
        <v>1207</v>
      </c>
      <c r="F5632" s="121" t="s">
        <v>3009</v>
      </c>
      <c r="G5632" s="98" t="str">
        <f>HYPERLINK("http://mirror.ff7data.com.ar/ff7/data/battle/battle.lgp/jybc.png","View Picture")</f>
        <v>View Picture</v>
      </c>
    </row>
    <row r="5633">
      <c r="A5633" s="55"/>
      <c r="B5633" s="119" t="s">
        <v>37610</v>
      </c>
      <c r="C5633" s="120" t="s">
        <v>4122</v>
      </c>
      <c r="D5633" s="33" t="s">
        <v>37600</v>
      </c>
      <c r="E5633" s="51" t="s">
        <v>1207</v>
      </c>
      <c r="F5633" s="121" t="s">
        <v>3009</v>
      </c>
      <c r="G5633" s="98" t="str">
        <f>HYPERLINK("http://mirror.ff7data.com.ar/ff7/data/battle/battle.lgp/jybd.png","View Picture")</f>
        <v>View Picture</v>
      </c>
    </row>
    <row r="5634">
      <c r="A5634" s="55"/>
      <c r="B5634" s="119" t="s">
        <v>37611</v>
      </c>
      <c r="C5634" s="120" t="s">
        <v>4396</v>
      </c>
      <c r="D5634" s="33" t="s">
        <v>37600</v>
      </c>
      <c r="E5634" s="51" t="s">
        <v>1207</v>
      </c>
      <c r="F5634" s="121" t="s">
        <v>3009</v>
      </c>
      <c r="G5634" s="98" t="str">
        <f>HYPERLINK("http://mirror.ff7data.com.ar/ff7/data/battle/battle.lgp/jybf.png","View Picture")</f>
        <v>View Picture</v>
      </c>
    </row>
    <row r="5635">
      <c r="A5635" s="55"/>
      <c r="B5635" s="119" t="s">
        <v>37612</v>
      </c>
      <c r="C5635" s="120" t="s">
        <v>4396</v>
      </c>
      <c r="D5635" s="33" t="s">
        <v>37600</v>
      </c>
      <c r="E5635" s="51" t="s">
        <v>1207</v>
      </c>
      <c r="F5635" s="121" t="s">
        <v>3009</v>
      </c>
      <c r="G5635" s="98" t="str">
        <f>HYPERLINK("http://mirror.ff7data.com.ar/ff7/data/battle/battle.lgp/jybh.png","View Picture")</f>
        <v>View Picture</v>
      </c>
    </row>
    <row r="5636">
      <c r="A5636" s="55"/>
      <c r="B5636" s="119" t="s">
        <v>37613</v>
      </c>
      <c r="C5636" s="120" t="s">
        <v>3875</v>
      </c>
      <c r="D5636" s="33" t="s">
        <v>37600</v>
      </c>
      <c r="E5636" s="51" t="s">
        <v>1207</v>
      </c>
      <c r="F5636" s="121" t="s">
        <v>3009</v>
      </c>
      <c r="G5636" s="98" t="str">
        <f>HYPERLINK("http://mirror.ff7data.com.ar/ff7/data/battle/battle.lgp/jybk.png","View Picture")</f>
        <v>View Picture</v>
      </c>
    </row>
    <row r="5637">
      <c r="A5637" s="55"/>
      <c r="B5637" s="119" t="s">
        <v>37614</v>
      </c>
      <c r="C5637" s="120" t="s">
        <v>3614</v>
      </c>
      <c r="D5637" s="33" t="s">
        <v>37600</v>
      </c>
      <c r="E5637" s="51" t="s">
        <v>1207</v>
      </c>
      <c r="F5637" s="121" t="s">
        <v>3009</v>
      </c>
      <c r="G5637" s="98" t="str">
        <f>HYPERLINK("http://mirror.ff7data.com.ar/ff7/data/battle/battle.lgp/jybl.png","View Picture")</f>
        <v>View Picture</v>
      </c>
    </row>
    <row r="5638">
      <c r="A5638" s="55"/>
      <c r="B5638" s="119" t="s">
        <v>37615</v>
      </c>
      <c r="C5638" s="120" t="s">
        <v>13619</v>
      </c>
      <c r="D5638" s="33" t="s">
        <v>37600</v>
      </c>
      <c r="E5638" s="51" t="s">
        <v>1207</v>
      </c>
      <c r="F5638" s="121" t="s">
        <v>3009</v>
      </c>
      <c r="G5638" s="98" t="str">
        <f>HYPERLINK("http://mirror.ff7data.com.ar/ff7/data/battle/battle.lgp/jybp.png","View Picture")</f>
        <v>View Picture</v>
      </c>
    </row>
    <row r="5639">
      <c r="A5639" s="55"/>
      <c r="B5639" s="119" t="s">
        <v>37616</v>
      </c>
      <c r="C5639" s="120" t="s">
        <v>7871</v>
      </c>
      <c r="D5639" s="33" t="s">
        <v>37600</v>
      </c>
      <c r="E5639" s="51" t="s">
        <v>1207</v>
      </c>
      <c r="F5639" s="121" t="s">
        <v>3009</v>
      </c>
      <c r="G5639" s="98" t="str">
        <f>HYPERLINK("http://mirror.ff7data.com.ar/ff7/data/battle/battle.lgp/jybq.png","View Picture")</f>
        <v>View Picture</v>
      </c>
    </row>
    <row r="5640">
      <c r="A5640" s="55"/>
      <c r="B5640" s="119" t="s">
        <v>37617</v>
      </c>
      <c r="C5640" s="120" t="s">
        <v>3552</v>
      </c>
      <c r="D5640" s="33" t="s">
        <v>37600</v>
      </c>
      <c r="E5640" s="51" t="s">
        <v>1207</v>
      </c>
      <c r="F5640" s="121" t="s">
        <v>3025</v>
      </c>
      <c r="H5640" s="46" t="s">
        <v>3002</v>
      </c>
    </row>
    <row r="5641">
      <c r="A5641" s="55"/>
      <c r="B5641" s="119" t="s">
        <v>37618</v>
      </c>
      <c r="C5641" s="120" t="s">
        <v>37619</v>
      </c>
      <c r="D5641" s="33" t="s">
        <v>37620</v>
      </c>
      <c r="E5641" s="51" t="s">
        <v>1213</v>
      </c>
      <c r="F5641" s="121" t="s">
        <v>2971</v>
      </c>
      <c r="G5641" s="98" t="str">
        <f>HYPERLINK("http://mirror.ff7data.com.ar/ff7/data/battle/battle.lgp/jzaa.png","View Picture")</f>
        <v>View Picture</v>
      </c>
    </row>
    <row r="5642">
      <c r="A5642" s="55"/>
      <c r="B5642" s="119" t="s">
        <v>37621</v>
      </c>
      <c r="C5642" s="120" t="s">
        <v>37622</v>
      </c>
      <c r="D5642" s="33" t="s">
        <v>37623</v>
      </c>
      <c r="E5642" s="51" t="s">
        <v>1213</v>
      </c>
      <c r="F5642" s="121" t="s">
        <v>2993</v>
      </c>
      <c r="H5642" s="46" t="s">
        <v>3002</v>
      </c>
    </row>
    <row r="5643">
      <c r="A5643" s="55"/>
      <c r="B5643" s="119" t="s">
        <v>37624</v>
      </c>
      <c r="C5643" s="120" t="s">
        <v>3318</v>
      </c>
      <c r="D5643" s="33" t="s">
        <v>37623</v>
      </c>
      <c r="E5643" s="51" t="s">
        <v>1213</v>
      </c>
      <c r="F5643" s="121" t="s">
        <v>3009</v>
      </c>
      <c r="G5643" s="98" t="str">
        <f>HYPERLINK("http://mirror.ff7data.com.ar/ff7/data/battle/battle.lgp/jzav.png","View Picture")</f>
        <v>View Picture</v>
      </c>
    </row>
    <row r="5644">
      <c r="A5644" s="55"/>
      <c r="B5644" s="119" t="s">
        <v>37625</v>
      </c>
      <c r="C5644" s="120" t="s">
        <v>9441</v>
      </c>
      <c r="D5644" s="33" t="s">
        <v>37623</v>
      </c>
      <c r="E5644" s="51" t="s">
        <v>1213</v>
      </c>
      <c r="F5644" s="121" t="s">
        <v>3009</v>
      </c>
      <c r="G5644" s="98" t="str">
        <f>HYPERLINK("http://mirror.ff7data.com.ar/ff7/data/battle/battle.lgp/jzax.png","View Picture")</f>
        <v>View Picture</v>
      </c>
    </row>
    <row r="5645">
      <c r="A5645" s="55"/>
      <c r="B5645" s="119" t="s">
        <v>37626</v>
      </c>
      <c r="C5645" s="120" t="s">
        <v>5573</v>
      </c>
      <c r="D5645" s="33" t="s">
        <v>37623</v>
      </c>
      <c r="E5645" s="51" t="s">
        <v>1213</v>
      </c>
      <c r="F5645" s="121" t="s">
        <v>3009</v>
      </c>
      <c r="G5645" s="98" t="str">
        <f>HYPERLINK("http://mirror.ff7data.com.ar/ff7/data/battle/battle.lgp/jzaz.png","View Picture")</f>
        <v>View Picture</v>
      </c>
    </row>
    <row r="5646">
      <c r="A5646" s="55"/>
      <c r="B5646" s="119" t="s">
        <v>37627</v>
      </c>
      <c r="C5646" s="120" t="s">
        <v>7871</v>
      </c>
      <c r="D5646" s="33" t="s">
        <v>37623</v>
      </c>
      <c r="E5646" s="51" t="s">
        <v>1213</v>
      </c>
      <c r="F5646" s="121" t="s">
        <v>3009</v>
      </c>
      <c r="G5646" s="98" t="str">
        <f>HYPERLINK("http://mirror.ff7data.com.ar/ff7/data/battle/battle.lgp/jzbb.png","View Picture")</f>
        <v>View Picture</v>
      </c>
    </row>
    <row r="5647">
      <c r="A5647" s="55"/>
      <c r="B5647" s="119" t="s">
        <v>37628</v>
      </c>
      <c r="C5647" s="120" t="s">
        <v>4191</v>
      </c>
      <c r="D5647" s="33" t="s">
        <v>37623</v>
      </c>
      <c r="E5647" s="51" t="s">
        <v>1213</v>
      </c>
      <c r="F5647" s="121" t="s">
        <v>3025</v>
      </c>
      <c r="H5647" s="46" t="s">
        <v>3002</v>
      </c>
    </row>
    <row r="5648">
      <c r="A5648" s="55"/>
      <c r="B5648" s="119" t="s">
        <v>37629</v>
      </c>
      <c r="C5648" s="120" t="s">
        <v>37619</v>
      </c>
      <c r="D5648" s="33" t="s">
        <v>37630</v>
      </c>
      <c r="E5648" s="51" t="s">
        <v>1218</v>
      </c>
      <c r="F5648" s="121" t="s">
        <v>2971</v>
      </c>
      <c r="G5648" s="98" t="str">
        <f>HYPERLINK("http://mirror.ff7data.com.ar/ff7/data/battle/battle.lgp/kaaa.png","View Picture")</f>
        <v>View Picture</v>
      </c>
    </row>
    <row r="5649">
      <c r="A5649" s="55"/>
      <c r="B5649" s="119" t="s">
        <v>37631</v>
      </c>
      <c r="C5649" s="120" t="s">
        <v>37632</v>
      </c>
      <c r="D5649" s="33" t="s">
        <v>37633</v>
      </c>
      <c r="E5649" s="51" t="s">
        <v>1218</v>
      </c>
      <c r="F5649" s="121" t="s">
        <v>2993</v>
      </c>
      <c r="H5649" s="46" t="s">
        <v>3002</v>
      </c>
    </row>
    <row r="5650">
      <c r="A5650" s="55"/>
      <c r="B5650" s="119" t="s">
        <v>37634</v>
      </c>
      <c r="C5650" s="120" t="s">
        <v>4167</v>
      </c>
      <c r="D5650" s="33" t="s">
        <v>37633</v>
      </c>
      <c r="E5650" s="51" t="s">
        <v>1218</v>
      </c>
      <c r="F5650" s="121" t="s">
        <v>3009</v>
      </c>
      <c r="G5650" s="98" t="str">
        <f>HYPERLINK("http://mirror.ff7data.com.ar/ff7/data/battle/battle.lgp/kaav.png","View Picture")</f>
        <v>View Picture</v>
      </c>
    </row>
    <row r="5651">
      <c r="A5651" s="55"/>
      <c r="B5651" s="119" t="s">
        <v>37635</v>
      </c>
      <c r="C5651" s="120" t="s">
        <v>7081</v>
      </c>
      <c r="D5651" s="33" t="s">
        <v>37633</v>
      </c>
      <c r="E5651" s="51" t="s">
        <v>1218</v>
      </c>
      <c r="F5651" s="121" t="s">
        <v>3009</v>
      </c>
      <c r="G5651" s="98" t="str">
        <f>HYPERLINK("http://mirror.ff7data.com.ar/ff7/data/battle/battle.lgp/kaax.png","View Picture")</f>
        <v>View Picture</v>
      </c>
    </row>
    <row r="5652">
      <c r="A5652" s="55"/>
      <c r="B5652" s="119" t="s">
        <v>37636</v>
      </c>
      <c r="C5652" s="120" t="s">
        <v>7501</v>
      </c>
      <c r="D5652" s="33" t="s">
        <v>37633</v>
      </c>
      <c r="E5652" s="51" t="s">
        <v>1218</v>
      </c>
      <c r="F5652" s="121" t="s">
        <v>3009</v>
      </c>
      <c r="G5652" s="98" t="str">
        <f>HYPERLINK("http://mirror.ff7data.com.ar/ff7/data/battle/battle.lgp/kaaz.png","View Picture")</f>
        <v>View Picture</v>
      </c>
    </row>
    <row r="5653">
      <c r="A5653" s="55"/>
      <c r="B5653" s="119" t="s">
        <v>37637</v>
      </c>
      <c r="C5653" s="120" t="s">
        <v>7270</v>
      </c>
      <c r="D5653" s="33" t="s">
        <v>37633</v>
      </c>
      <c r="E5653" s="51" t="s">
        <v>1218</v>
      </c>
      <c r="F5653" s="121" t="s">
        <v>3009</v>
      </c>
      <c r="G5653" s="98" t="str">
        <f>HYPERLINK("http://mirror.ff7data.com.ar/ff7/data/battle/battle.lgp/kabb.png","View Picture")</f>
        <v>View Picture</v>
      </c>
    </row>
    <row r="5654">
      <c r="A5654" s="55"/>
      <c r="B5654" s="119" t="s">
        <v>37638</v>
      </c>
      <c r="C5654" s="120" t="s">
        <v>4191</v>
      </c>
      <c r="D5654" s="33" t="s">
        <v>37633</v>
      </c>
      <c r="E5654" s="51" t="s">
        <v>1218</v>
      </c>
      <c r="F5654" s="121" t="s">
        <v>3025</v>
      </c>
      <c r="H5654" s="46" t="s">
        <v>3002</v>
      </c>
    </row>
    <row r="5655">
      <c r="A5655" s="21"/>
      <c r="B5655" s="119" t="s">
        <v>37639</v>
      </c>
      <c r="C5655" s="120" t="s">
        <v>4196</v>
      </c>
      <c r="D5655" s="33" t="s">
        <v>37640</v>
      </c>
      <c r="E5655" s="51" t="s">
        <v>1223</v>
      </c>
      <c r="F5655" s="121" t="s">
        <v>2971</v>
      </c>
      <c r="G5655" s="98" t="str">
        <f>HYPERLINK("http://mirror.ff7data.com.ar/ff7/data/battle/battle.lgp/kbaa.png","View Picture")</f>
        <v>View Picture</v>
      </c>
    </row>
    <row r="5656">
      <c r="A5656" s="55"/>
      <c r="B5656" s="119" t="s">
        <v>37641</v>
      </c>
      <c r="C5656" s="120" t="s">
        <v>3906</v>
      </c>
      <c r="D5656" s="33" t="s">
        <v>37642</v>
      </c>
      <c r="E5656" s="51" t="s">
        <v>1223</v>
      </c>
      <c r="F5656" s="121" t="s">
        <v>2993</v>
      </c>
      <c r="H5656" s="46" t="s">
        <v>3002</v>
      </c>
    </row>
    <row r="5657">
      <c r="A5657" s="55"/>
      <c r="B5657" s="119" t="s">
        <v>37643</v>
      </c>
      <c r="C5657" s="120" t="s">
        <v>4185</v>
      </c>
      <c r="D5657" s="33" t="s">
        <v>37642</v>
      </c>
      <c r="E5657" s="51" t="s">
        <v>1223</v>
      </c>
      <c r="F5657" s="121" t="s">
        <v>3009</v>
      </c>
      <c r="G5657" s="98" t="str">
        <f>HYPERLINK("http://mirror.ff7data.com.ar/ff7/data/battle/battle.lgp/kbam.png","View Picture")</f>
        <v>View Picture</v>
      </c>
    </row>
    <row r="5658">
      <c r="A5658" s="55"/>
      <c r="B5658" s="119" t="s">
        <v>37644</v>
      </c>
      <c r="C5658" s="120" t="s">
        <v>4288</v>
      </c>
      <c r="D5658" s="33" t="s">
        <v>37642</v>
      </c>
      <c r="E5658" s="51" t="s">
        <v>1223</v>
      </c>
      <c r="F5658" s="121" t="s">
        <v>3009</v>
      </c>
      <c r="G5658" s="98" t="str">
        <f>HYPERLINK("http://mirror.ff7data.com.ar/ff7/data/battle/battle.lgp/kban.png","View Picture")</f>
        <v>View Picture</v>
      </c>
    </row>
    <row r="5659">
      <c r="A5659" s="55"/>
      <c r="B5659" s="119" t="s">
        <v>37645</v>
      </c>
      <c r="C5659" s="120" t="s">
        <v>4264</v>
      </c>
      <c r="D5659" s="33" t="s">
        <v>37642</v>
      </c>
      <c r="E5659" s="51" t="s">
        <v>1223</v>
      </c>
      <c r="F5659" s="121" t="s">
        <v>3009</v>
      </c>
      <c r="G5659" s="98" t="str">
        <f>HYPERLINK("http://mirror.ff7data.com.ar/ff7/data/battle/battle.lgp/kbao.png","View Picture")</f>
        <v>View Picture</v>
      </c>
    </row>
    <row r="5660">
      <c r="A5660" s="55"/>
      <c r="B5660" s="119" t="s">
        <v>37646</v>
      </c>
      <c r="C5660" s="120" t="s">
        <v>4926</v>
      </c>
      <c r="D5660" s="33" t="s">
        <v>37642</v>
      </c>
      <c r="E5660" s="51" t="s">
        <v>1223</v>
      </c>
      <c r="F5660" s="121" t="s">
        <v>3009</v>
      </c>
      <c r="G5660" s="98" t="str">
        <f>HYPERLINK("http://mirror.ff7data.com.ar/ff7/data/battle/battle.lgp/kbap.png","View Picture")</f>
        <v>View Picture</v>
      </c>
    </row>
    <row r="5661">
      <c r="A5661" s="55"/>
      <c r="B5661" s="119" t="s">
        <v>37647</v>
      </c>
      <c r="C5661" s="120" t="s">
        <v>4926</v>
      </c>
      <c r="D5661" s="33" t="s">
        <v>37642</v>
      </c>
      <c r="E5661" s="51" t="s">
        <v>1223</v>
      </c>
      <c r="F5661" s="121" t="s">
        <v>3009</v>
      </c>
      <c r="G5661" s="98" t="str">
        <f>HYPERLINK("http://mirror.ff7data.com.ar/ff7/data/battle/battle.lgp/kbaq.png","View Picture")</f>
        <v>View Picture</v>
      </c>
    </row>
    <row r="5662">
      <c r="A5662" s="55"/>
      <c r="B5662" s="119" t="s">
        <v>37648</v>
      </c>
      <c r="C5662" s="120" t="s">
        <v>4288</v>
      </c>
      <c r="D5662" s="33" t="s">
        <v>37642</v>
      </c>
      <c r="E5662" s="51" t="s">
        <v>1223</v>
      </c>
      <c r="F5662" s="121" t="s">
        <v>3009</v>
      </c>
      <c r="G5662" s="98" t="str">
        <f>HYPERLINK("http://mirror.ff7data.com.ar/ff7/data/battle/battle.lgp/kbar.png","View Picture")</f>
        <v>View Picture</v>
      </c>
    </row>
    <row r="5663">
      <c r="A5663" s="55"/>
      <c r="B5663" s="119" t="s">
        <v>37649</v>
      </c>
      <c r="C5663" s="120" t="s">
        <v>22949</v>
      </c>
      <c r="D5663" s="33" t="s">
        <v>37642</v>
      </c>
      <c r="E5663" s="51" t="s">
        <v>1223</v>
      </c>
      <c r="F5663" s="121" t="s">
        <v>3009</v>
      </c>
      <c r="G5663" s="98" t="str">
        <f>HYPERLINK("http://mirror.ff7data.com.ar/ff7/data/battle/battle.lgp/kbas.png","View Picture")</f>
        <v>View Picture</v>
      </c>
    </row>
    <row r="5664">
      <c r="A5664" s="55"/>
      <c r="B5664" s="119" t="s">
        <v>37650</v>
      </c>
      <c r="C5664" s="120" t="s">
        <v>22949</v>
      </c>
      <c r="D5664" s="33" t="s">
        <v>37642</v>
      </c>
      <c r="E5664" s="51" t="s">
        <v>1223</v>
      </c>
      <c r="F5664" s="121" t="s">
        <v>3009</v>
      </c>
      <c r="G5664" s="98" t="str">
        <f>HYPERLINK("http://mirror.ff7data.com.ar/ff7/data/battle/battle.lgp/kbat.png","View Picture")</f>
        <v>View Picture</v>
      </c>
    </row>
    <row r="5665">
      <c r="A5665" s="55"/>
      <c r="B5665" s="119" t="s">
        <v>37651</v>
      </c>
      <c r="C5665" s="120" t="s">
        <v>4264</v>
      </c>
      <c r="D5665" s="33" t="s">
        <v>37642</v>
      </c>
      <c r="E5665" s="51" t="s">
        <v>1223</v>
      </c>
      <c r="F5665" s="121" t="s">
        <v>3009</v>
      </c>
      <c r="G5665" s="98" t="str">
        <f>HYPERLINK("http://mirror.ff7data.com.ar/ff7/data/battle/battle.lgp/kbau.png","View Picture")</f>
        <v>View Picture</v>
      </c>
    </row>
    <row r="5666">
      <c r="A5666" s="55"/>
      <c r="B5666" s="119" t="s">
        <v>37652</v>
      </c>
      <c r="C5666" s="120" t="s">
        <v>4926</v>
      </c>
      <c r="D5666" s="33" t="s">
        <v>37642</v>
      </c>
      <c r="E5666" s="51" t="s">
        <v>1223</v>
      </c>
      <c r="F5666" s="121" t="s">
        <v>3009</v>
      </c>
      <c r="G5666" s="98" t="str">
        <f>HYPERLINK("http://mirror.ff7data.com.ar/ff7/data/battle/battle.lgp/kbav.png","View Picture")</f>
        <v>View Picture</v>
      </c>
    </row>
    <row r="5667">
      <c r="A5667" s="55"/>
      <c r="B5667" s="119" t="s">
        <v>37653</v>
      </c>
      <c r="C5667" s="120" t="s">
        <v>4926</v>
      </c>
      <c r="D5667" s="33" t="s">
        <v>37642</v>
      </c>
      <c r="E5667" s="51" t="s">
        <v>1223</v>
      </c>
      <c r="F5667" s="121" t="s">
        <v>3009</v>
      </c>
      <c r="G5667" s="98" t="str">
        <f>HYPERLINK("http://mirror.ff7data.com.ar/ff7/data/battle/battle.lgp/kbaw.png","View Picture")</f>
        <v>View Picture</v>
      </c>
    </row>
    <row r="5668">
      <c r="A5668" s="55"/>
      <c r="B5668" s="119" t="s">
        <v>37654</v>
      </c>
      <c r="C5668" s="120" t="s">
        <v>4288</v>
      </c>
      <c r="D5668" s="33" t="s">
        <v>37642</v>
      </c>
      <c r="E5668" s="51" t="s">
        <v>1223</v>
      </c>
      <c r="F5668" s="121" t="s">
        <v>3009</v>
      </c>
      <c r="G5668" s="98" t="str">
        <f>HYPERLINK("http://mirror.ff7data.com.ar/ff7/data/battle/battle.lgp/kbax.png","View Picture")</f>
        <v>View Picture</v>
      </c>
    </row>
    <row r="5669">
      <c r="A5669" s="55"/>
      <c r="B5669" s="119" t="s">
        <v>37655</v>
      </c>
      <c r="C5669" s="120" t="s">
        <v>4926</v>
      </c>
      <c r="D5669" s="33" t="s">
        <v>37642</v>
      </c>
      <c r="E5669" s="51" t="s">
        <v>1223</v>
      </c>
      <c r="F5669" s="121" t="s">
        <v>3009</v>
      </c>
      <c r="G5669" s="98" t="str">
        <f>HYPERLINK("http://mirror.ff7data.com.ar/ff7/data/battle/battle.lgp/kbay.png","View Picture")</f>
        <v>View Picture</v>
      </c>
    </row>
    <row r="5670">
      <c r="A5670" s="55"/>
      <c r="B5670" s="119" t="s">
        <v>37656</v>
      </c>
      <c r="C5670" s="120" t="s">
        <v>4926</v>
      </c>
      <c r="D5670" s="33" t="s">
        <v>37642</v>
      </c>
      <c r="E5670" s="51" t="s">
        <v>1223</v>
      </c>
      <c r="F5670" s="121" t="s">
        <v>3009</v>
      </c>
      <c r="G5670" s="98" t="str">
        <f>HYPERLINK("http://mirror.ff7data.com.ar/ff7/data/battle/battle.lgp/kbaz.png","View Picture")</f>
        <v>View Picture</v>
      </c>
    </row>
    <row r="5671">
      <c r="A5671" s="55"/>
      <c r="B5671" s="119" t="s">
        <v>37657</v>
      </c>
      <c r="C5671" s="120" t="s">
        <v>4288</v>
      </c>
      <c r="D5671" s="33" t="s">
        <v>37642</v>
      </c>
      <c r="E5671" s="51" t="s">
        <v>1223</v>
      </c>
      <c r="F5671" s="121" t="s">
        <v>3009</v>
      </c>
      <c r="G5671" s="98" t="str">
        <f>HYPERLINK("http://mirror.ff7data.com.ar/ff7/data/battle/battle.lgp/kbba.png","View Picture")</f>
        <v>View Picture</v>
      </c>
    </row>
    <row r="5672">
      <c r="A5672" s="55"/>
      <c r="B5672" s="119" t="s">
        <v>37658</v>
      </c>
      <c r="C5672" s="120" t="s">
        <v>4926</v>
      </c>
      <c r="D5672" s="33" t="s">
        <v>37642</v>
      </c>
      <c r="E5672" s="51" t="s">
        <v>1223</v>
      </c>
      <c r="F5672" s="121" t="s">
        <v>3009</v>
      </c>
      <c r="G5672" s="98" t="str">
        <f>HYPERLINK("http://mirror.ff7data.com.ar/ff7/data/battle/battle.lgp/kbbb.png","View Picture")</f>
        <v>View Picture</v>
      </c>
    </row>
    <row r="5673">
      <c r="A5673" s="55"/>
      <c r="B5673" s="119" t="s">
        <v>37659</v>
      </c>
      <c r="C5673" s="120" t="s">
        <v>22949</v>
      </c>
      <c r="D5673" s="33" t="s">
        <v>37642</v>
      </c>
      <c r="E5673" s="51" t="s">
        <v>1223</v>
      </c>
      <c r="F5673" s="121" t="s">
        <v>3009</v>
      </c>
      <c r="G5673" s="98" t="str">
        <f>HYPERLINK("http://mirror.ff7data.com.ar/ff7/data/battle/battle.lgp/kbbc.png","View Picture")</f>
        <v>View Picture</v>
      </c>
    </row>
    <row r="5674">
      <c r="A5674" s="55"/>
      <c r="B5674" s="119" t="s">
        <v>37660</v>
      </c>
      <c r="C5674" s="120" t="s">
        <v>4288</v>
      </c>
      <c r="D5674" s="33" t="s">
        <v>37642</v>
      </c>
      <c r="E5674" s="51" t="s">
        <v>1223</v>
      </c>
      <c r="F5674" s="121" t="s">
        <v>3009</v>
      </c>
      <c r="G5674" s="98" t="str">
        <f>HYPERLINK("http://mirror.ff7data.com.ar/ff7/data/battle/battle.lgp/kbbd.png","View Picture")</f>
        <v>View Picture</v>
      </c>
    </row>
    <row r="5675">
      <c r="A5675" s="55"/>
      <c r="B5675" s="119" t="s">
        <v>37661</v>
      </c>
      <c r="C5675" s="120" t="s">
        <v>37662</v>
      </c>
      <c r="D5675" s="33" t="s">
        <v>37642</v>
      </c>
      <c r="E5675" s="51" t="s">
        <v>1223</v>
      </c>
      <c r="F5675" s="121" t="s">
        <v>3009</v>
      </c>
      <c r="G5675" s="98" t="str">
        <f>HYPERLINK("http://mirror.ff7data.com.ar/ff7/data/battle/battle.lgp/kbbe.png","View Picture")</f>
        <v>View Picture</v>
      </c>
    </row>
    <row r="5676">
      <c r="A5676" s="55"/>
      <c r="B5676" s="119" t="s">
        <v>37663</v>
      </c>
      <c r="C5676" s="120" t="s">
        <v>4926</v>
      </c>
      <c r="D5676" s="33" t="s">
        <v>37642</v>
      </c>
      <c r="E5676" s="51" t="s">
        <v>1223</v>
      </c>
      <c r="F5676" s="121" t="s">
        <v>3009</v>
      </c>
      <c r="G5676" s="98" t="str">
        <f>HYPERLINK("http://mirror.ff7data.com.ar/ff7/data/battle/battle.lgp/kbbf.png","View Picture")</f>
        <v>View Picture</v>
      </c>
    </row>
    <row r="5677">
      <c r="A5677" s="55"/>
      <c r="B5677" s="119" t="s">
        <v>37664</v>
      </c>
      <c r="C5677" s="120" t="s">
        <v>4288</v>
      </c>
      <c r="D5677" s="33" t="s">
        <v>37642</v>
      </c>
      <c r="E5677" s="51" t="s">
        <v>1223</v>
      </c>
      <c r="F5677" s="121" t="s">
        <v>3009</v>
      </c>
      <c r="G5677" s="98" t="str">
        <f>HYPERLINK("http://mirror.ff7data.com.ar/ff7/data/battle/battle.lgp/kbbg.png","View Picture")</f>
        <v>View Picture</v>
      </c>
    </row>
    <row r="5678">
      <c r="A5678" s="55"/>
      <c r="B5678" s="119" t="s">
        <v>37665</v>
      </c>
      <c r="C5678" s="120" t="s">
        <v>4288</v>
      </c>
      <c r="D5678" s="33" t="s">
        <v>37642</v>
      </c>
      <c r="E5678" s="51" t="s">
        <v>1223</v>
      </c>
      <c r="F5678" s="121" t="s">
        <v>3009</v>
      </c>
      <c r="G5678" s="98" t="str">
        <f>HYPERLINK("http://mirror.ff7data.com.ar/ff7/data/battle/battle.lgp/kbbh.png","View Picture")</f>
        <v>View Picture</v>
      </c>
    </row>
    <row r="5679">
      <c r="A5679" s="55"/>
      <c r="B5679" s="119" t="s">
        <v>37666</v>
      </c>
      <c r="C5679" s="120" t="s">
        <v>4288</v>
      </c>
      <c r="D5679" s="33" t="s">
        <v>37642</v>
      </c>
      <c r="E5679" s="51" t="s">
        <v>1223</v>
      </c>
      <c r="F5679" s="121" t="s">
        <v>3009</v>
      </c>
      <c r="G5679" s="98" t="str">
        <f>HYPERLINK("http://mirror.ff7data.com.ar/ff7/data/battle/battle.lgp/kbbi.png","View Picture")</f>
        <v>View Picture</v>
      </c>
    </row>
    <row r="5680">
      <c r="A5680" s="55"/>
      <c r="B5680" s="119" t="s">
        <v>37667</v>
      </c>
      <c r="C5680" s="120" t="s">
        <v>7270</v>
      </c>
      <c r="D5680" s="33" t="s">
        <v>37642</v>
      </c>
      <c r="E5680" s="51" t="s">
        <v>1223</v>
      </c>
      <c r="F5680" s="121" t="s">
        <v>3009</v>
      </c>
      <c r="G5680" s="98" t="str">
        <f>HYPERLINK("http://mirror.ff7data.com.ar/ff7/data/battle/battle.lgp/kbbj.png","View Picture")</f>
        <v>View Picture</v>
      </c>
    </row>
    <row r="5681">
      <c r="A5681" s="55"/>
      <c r="B5681" s="119" t="s">
        <v>37668</v>
      </c>
      <c r="C5681" s="120" t="s">
        <v>4167</v>
      </c>
      <c r="D5681" s="33" t="s">
        <v>37642</v>
      </c>
      <c r="E5681" s="51" t="s">
        <v>1223</v>
      </c>
      <c r="F5681" s="121" t="s">
        <v>3009</v>
      </c>
      <c r="G5681" s="98" t="str">
        <f>HYPERLINK("http://mirror.ff7data.com.ar/ff7/data/battle/battle.lgp/kbbl.png","View Picture")</f>
        <v>View Picture</v>
      </c>
    </row>
    <row r="5682">
      <c r="A5682" s="55"/>
      <c r="B5682" s="119" t="s">
        <v>37669</v>
      </c>
      <c r="C5682" s="120" t="s">
        <v>34499</v>
      </c>
      <c r="D5682" s="33" t="s">
        <v>37642</v>
      </c>
      <c r="E5682" s="51" t="s">
        <v>1223</v>
      </c>
      <c r="F5682" s="121" t="s">
        <v>3009</v>
      </c>
      <c r="G5682" s="98" t="str">
        <f>HYPERLINK("http://mirror.ff7data.com.ar/ff7/data/battle/battle.lgp/kbbm.png","View Picture")</f>
        <v>View Picture</v>
      </c>
    </row>
    <row r="5683">
      <c r="A5683" s="55"/>
      <c r="B5683" s="119" t="s">
        <v>37670</v>
      </c>
      <c r="C5683" s="120" t="s">
        <v>3637</v>
      </c>
      <c r="D5683" s="33" t="s">
        <v>37642</v>
      </c>
      <c r="E5683" s="51" t="s">
        <v>1223</v>
      </c>
      <c r="F5683" s="121" t="s">
        <v>3025</v>
      </c>
      <c r="H5683" s="46" t="s">
        <v>3002</v>
      </c>
    </row>
    <row r="5684">
      <c r="A5684" s="21"/>
      <c r="B5684" s="119" t="s">
        <v>37671</v>
      </c>
      <c r="C5684" s="120" t="s">
        <v>3557</v>
      </c>
      <c r="D5684" s="33" t="s">
        <v>37672</v>
      </c>
      <c r="E5684" s="51" t="s">
        <v>1228</v>
      </c>
      <c r="F5684" s="121" t="s">
        <v>2971</v>
      </c>
      <c r="G5684" s="98" t="str">
        <f>HYPERLINK("http://mirror.ff7data.com.ar/ff7/data/battle/battle.lgp/kcaa.png","View Picture")</f>
        <v>View Picture</v>
      </c>
      <c r="H5684" s="46" t="s">
        <v>37673</v>
      </c>
    </row>
    <row r="5685">
      <c r="A5685" s="55"/>
      <c r="B5685" s="119" t="s">
        <v>37674</v>
      </c>
      <c r="C5685" s="120" t="s">
        <v>5724</v>
      </c>
      <c r="D5685" s="33" t="s">
        <v>37675</v>
      </c>
      <c r="E5685" s="51" t="s">
        <v>1228</v>
      </c>
      <c r="F5685" s="121" t="s">
        <v>2993</v>
      </c>
      <c r="H5685" s="46" t="s">
        <v>3002</v>
      </c>
    </row>
    <row r="5686">
      <c r="A5686" s="55"/>
      <c r="B5686" s="119" t="s">
        <v>37676</v>
      </c>
      <c r="C5686" s="120" t="s">
        <v>4185</v>
      </c>
      <c r="D5686" s="33" t="s">
        <v>37675</v>
      </c>
      <c r="E5686" s="51" t="s">
        <v>1228</v>
      </c>
      <c r="F5686" s="121" t="s">
        <v>3009</v>
      </c>
      <c r="G5686" s="98" t="str">
        <f>HYPERLINK("http://mirror.ff7data.com.ar/ff7/data/battle/battle.lgp/kcam.png","View Picture")</f>
        <v>View Picture</v>
      </c>
    </row>
    <row r="5687">
      <c r="A5687" s="55"/>
      <c r="B5687" s="119" t="s">
        <v>37677</v>
      </c>
      <c r="C5687" s="120" t="s">
        <v>4396</v>
      </c>
      <c r="D5687" s="33" t="s">
        <v>37675</v>
      </c>
      <c r="E5687" s="51" t="s">
        <v>1228</v>
      </c>
      <c r="F5687" s="121" t="s">
        <v>3009</v>
      </c>
      <c r="G5687" s="98" t="str">
        <f>HYPERLINK("http://mirror.ff7data.com.ar/ff7/data/battle/battle.lgp/kcan.png","View Picture")</f>
        <v>View Picture</v>
      </c>
    </row>
    <row r="5688">
      <c r="A5688" s="55"/>
      <c r="B5688" s="119" t="s">
        <v>37678</v>
      </c>
      <c r="C5688" s="120" t="s">
        <v>4719</v>
      </c>
      <c r="D5688" s="33" t="s">
        <v>37675</v>
      </c>
      <c r="E5688" s="51" t="s">
        <v>1228</v>
      </c>
      <c r="F5688" s="121" t="s">
        <v>3009</v>
      </c>
      <c r="G5688" s="98" t="str">
        <f>HYPERLINK("http://mirror.ff7data.com.ar/ff7/data/battle/battle.lgp/kcao.png","View Picture")</f>
        <v>View Picture</v>
      </c>
    </row>
    <row r="5689">
      <c r="A5689" s="55"/>
      <c r="B5689" s="119" t="s">
        <v>37679</v>
      </c>
      <c r="C5689" s="120" t="s">
        <v>4228</v>
      </c>
      <c r="D5689" s="33" t="s">
        <v>37675</v>
      </c>
      <c r="E5689" s="51" t="s">
        <v>1228</v>
      </c>
      <c r="F5689" s="121" t="s">
        <v>3009</v>
      </c>
      <c r="G5689" s="98" t="str">
        <f>HYPERLINK("http://mirror.ff7data.com.ar/ff7/data/battle/battle.lgp/kcap.png","View Picture")</f>
        <v>View Picture</v>
      </c>
    </row>
    <row r="5690">
      <c r="A5690" s="55"/>
      <c r="B5690" s="119" t="s">
        <v>37680</v>
      </c>
      <c r="C5690" s="120" t="s">
        <v>7270</v>
      </c>
      <c r="D5690" s="33" t="s">
        <v>37675</v>
      </c>
      <c r="E5690" s="51" t="s">
        <v>1228</v>
      </c>
      <c r="F5690" s="121" t="s">
        <v>3009</v>
      </c>
      <c r="G5690" s="98" t="str">
        <f>HYPERLINK("http://mirror.ff7data.com.ar/ff7/data/battle/battle.lgp/kcar.png","View Picture")</f>
        <v>View Picture</v>
      </c>
    </row>
    <row r="5691">
      <c r="A5691" s="55"/>
      <c r="B5691" s="119" t="s">
        <v>37681</v>
      </c>
      <c r="C5691" s="120" t="s">
        <v>4719</v>
      </c>
      <c r="D5691" s="33" t="s">
        <v>37675</v>
      </c>
      <c r="E5691" s="51" t="s">
        <v>1228</v>
      </c>
      <c r="F5691" s="121" t="s">
        <v>3009</v>
      </c>
      <c r="G5691" s="98" t="str">
        <f>HYPERLINK("http://mirror.ff7data.com.ar/ff7/data/battle/battle.lgp/kcat.png","View Picture")</f>
        <v>View Picture</v>
      </c>
    </row>
    <row r="5692">
      <c r="A5692" s="55"/>
      <c r="B5692" s="119" t="s">
        <v>37682</v>
      </c>
      <c r="C5692" s="120" t="s">
        <v>4057</v>
      </c>
      <c r="D5692" s="33" t="s">
        <v>37675</v>
      </c>
      <c r="E5692" s="51" t="s">
        <v>1228</v>
      </c>
      <c r="F5692" s="121" t="s">
        <v>3009</v>
      </c>
      <c r="G5692" s="98" t="str">
        <f>HYPERLINK("http://mirror.ff7data.com.ar/ff7/data/battle/battle.lgp/kcau.png","View Picture")</f>
        <v>View Picture</v>
      </c>
    </row>
    <row r="5693">
      <c r="A5693" s="55"/>
      <c r="B5693" s="119" t="s">
        <v>37683</v>
      </c>
      <c r="C5693" s="120" t="s">
        <v>4057</v>
      </c>
      <c r="D5693" s="33" t="s">
        <v>37675</v>
      </c>
      <c r="E5693" s="51" t="s">
        <v>1228</v>
      </c>
      <c r="F5693" s="121" t="s">
        <v>3009</v>
      </c>
      <c r="G5693" s="98" t="str">
        <f>HYPERLINK("http://mirror.ff7data.com.ar/ff7/data/battle/battle.lgp/kcav.png","View Picture")</f>
        <v>View Picture</v>
      </c>
    </row>
    <row r="5694">
      <c r="A5694" s="55"/>
      <c r="B5694" s="119" t="s">
        <v>37684</v>
      </c>
      <c r="C5694" s="120" t="s">
        <v>4719</v>
      </c>
      <c r="D5694" s="33" t="s">
        <v>37675</v>
      </c>
      <c r="E5694" s="51" t="s">
        <v>1228</v>
      </c>
      <c r="F5694" s="121" t="s">
        <v>3009</v>
      </c>
      <c r="G5694" s="98" t="str">
        <f>HYPERLINK("http://mirror.ff7data.com.ar/ff7/data/battle/battle.lgp/kcax.png","View Picture")</f>
        <v>View Picture</v>
      </c>
    </row>
    <row r="5695">
      <c r="A5695" s="55"/>
      <c r="B5695" s="119" t="s">
        <v>37685</v>
      </c>
      <c r="C5695" s="120" t="s">
        <v>4057</v>
      </c>
      <c r="D5695" s="33" t="s">
        <v>37675</v>
      </c>
      <c r="E5695" s="51" t="s">
        <v>1228</v>
      </c>
      <c r="F5695" s="121" t="s">
        <v>3009</v>
      </c>
      <c r="G5695" s="98" t="str">
        <f>HYPERLINK("http://mirror.ff7data.com.ar/ff7/data/battle/battle.lgp/kcay.png","View Picture")</f>
        <v>View Picture</v>
      </c>
    </row>
    <row r="5696">
      <c r="A5696" s="55"/>
      <c r="B5696" s="119" t="s">
        <v>37686</v>
      </c>
      <c r="C5696" s="120" t="s">
        <v>4057</v>
      </c>
      <c r="D5696" s="33" t="s">
        <v>37675</v>
      </c>
      <c r="E5696" s="51" t="s">
        <v>1228</v>
      </c>
      <c r="F5696" s="121" t="s">
        <v>3009</v>
      </c>
      <c r="G5696" s="98" t="str">
        <f>HYPERLINK("http://mirror.ff7data.com.ar/ff7/data/battle/battle.lgp/kcaz.png","View Picture")</f>
        <v>View Picture</v>
      </c>
    </row>
    <row r="5697">
      <c r="A5697" s="55"/>
      <c r="B5697" s="119" t="s">
        <v>37687</v>
      </c>
      <c r="C5697" s="120" t="s">
        <v>4185</v>
      </c>
      <c r="D5697" s="33" t="s">
        <v>37675</v>
      </c>
      <c r="E5697" s="51" t="s">
        <v>1228</v>
      </c>
      <c r="F5697" s="121" t="s">
        <v>3009</v>
      </c>
      <c r="G5697" s="98" t="str">
        <f>HYPERLINK("http://mirror.ff7data.com.ar/ff7/data/battle/battle.lgp/kcbb.png","View Picture")</f>
        <v>View Picture</v>
      </c>
    </row>
    <row r="5698">
      <c r="A5698" s="55"/>
      <c r="B5698" s="119" t="s">
        <v>37688</v>
      </c>
      <c r="C5698" s="120" t="s">
        <v>4439</v>
      </c>
      <c r="D5698" s="33" t="s">
        <v>37675</v>
      </c>
      <c r="E5698" s="51" t="s">
        <v>1228</v>
      </c>
      <c r="F5698" s="121" t="s">
        <v>3009</v>
      </c>
      <c r="G5698" s="98" t="str">
        <f>HYPERLINK("http://mirror.ff7data.com.ar/ff7/data/battle/battle.lgp/kcbc.png","View Picture")</f>
        <v>View Picture</v>
      </c>
    </row>
    <row r="5699">
      <c r="A5699" s="55"/>
      <c r="B5699" s="119" t="s">
        <v>37689</v>
      </c>
      <c r="C5699" s="120" t="s">
        <v>4357</v>
      </c>
      <c r="D5699" s="33" t="s">
        <v>37675</v>
      </c>
      <c r="E5699" s="51" t="s">
        <v>1228</v>
      </c>
      <c r="F5699" s="121" t="s">
        <v>3009</v>
      </c>
      <c r="G5699" s="98" t="str">
        <f>HYPERLINK("http://mirror.ff7data.com.ar/ff7/data/battle/battle.lgp/kcbf.png","View Picture")</f>
        <v>View Picture</v>
      </c>
    </row>
    <row r="5700">
      <c r="A5700" s="55"/>
      <c r="B5700" s="119" t="s">
        <v>37690</v>
      </c>
      <c r="C5700" s="120" t="s">
        <v>4185</v>
      </c>
      <c r="D5700" s="33" t="s">
        <v>37675</v>
      </c>
      <c r="E5700" s="51" t="s">
        <v>1228</v>
      </c>
      <c r="F5700" s="121" t="s">
        <v>3009</v>
      </c>
      <c r="G5700" s="98" t="str">
        <f>HYPERLINK("http://mirror.ff7data.com.ar/ff7/data/battle/battle.lgp/kcbh.png","View Picture")</f>
        <v>View Picture</v>
      </c>
    </row>
    <row r="5701">
      <c r="A5701" s="55"/>
      <c r="B5701" s="119" t="s">
        <v>37691</v>
      </c>
      <c r="C5701" s="120" t="s">
        <v>4439</v>
      </c>
      <c r="D5701" s="33" t="s">
        <v>37675</v>
      </c>
      <c r="E5701" s="51" t="s">
        <v>1228</v>
      </c>
      <c r="F5701" s="121" t="s">
        <v>3009</v>
      </c>
      <c r="G5701" s="98" t="str">
        <f>HYPERLINK("http://mirror.ff7data.com.ar/ff7/data/battle/battle.lgp/kcbi.png","View Picture")</f>
        <v>View Picture</v>
      </c>
    </row>
    <row r="5702">
      <c r="A5702" s="55"/>
      <c r="B5702" s="119" t="s">
        <v>37692</v>
      </c>
      <c r="C5702" s="120" t="s">
        <v>7165</v>
      </c>
      <c r="D5702" s="33" t="s">
        <v>37675</v>
      </c>
      <c r="E5702" s="51" t="s">
        <v>1228</v>
      </c>
      <c r="F5702" s="121" t="s">
        <v>3009</v>
      </c>
      <c r="G5702" s="98" t="str">
        <f>HYPERLINK("http://mirror.ff7data.com.ar/ff7/data/battle/battle.lgp/kcbl.png","View Picture")</f>
        <v>View Picture</v>
      </c>
    </row>
    <row r="5703">
      <c r="A5703" s="55"/>
      <c r="B5703" s="119" t="s">
        <v>37693</v>
      </c>
      <c r="C5703" s="120" t="s">
        <v>4476</v>
      </c>
      <c r="D5703" s="33" t="s">
        <v>37675</v>
      </c>
      <c r="E5703" s="51" t="s">
        <v>1228</v>
      </c>
      <c r="F5703" s="121" t="s">
        <v>3009</v>
      </c>
      <c r="G5703" s="98" t="str">
        <f>HYPERLINK("http://mirror.ff7data.com.ar/ff7/data/battle/battle.lgp/kcbn.png","View Picture")</f>
        <v>View Picture</v>
      </c>
    </row>
    <row r="5704">
      <c r="A5704" s="55"/>
      <c r="B5704" s="119" t="s">
        <v>37694</v>
      </c>
      <c r="C5704" s="120" t="s">
        <v>4732</v>
      </c>
      <c r="D5704" s="33" t="s">
        <v>37675</v>
      </c>
      <c r="E5704" s="51" t="s">
        <v>1228</v>
      </c>
      <c r="F5704" s="121" t="s">
        <v>3009</v>
      </c>
      <c r="G5704" s="98" t="str">
        <f>HYPERLINK("http://mirror.ff7data.com.ar/ff7/data/battle/battle.lgp/kcbo.png","View Picture")</f>
        <v>View Picture</v>
      </c>
    </row>
    <row r="5705">
      <c r="A5705" s="55"/>
      <c r="B5705" s="119" t="s">
        <v>37695</v>
      </c>
      <c r="C5705" s="120" t="s">
        <v>5891</v>
      </c>
      <c r="D5705" s="33" t="s">
        <v>37675</v>
      </c>
      <c r="E5705" s="51" t="s">
        <v>1228</v>
      </c>
      <c r="F5705" s="121" t="s">
        <v>3009</v>
      </c>
      <c r="G5705" s="98" t="str">
        <f>HYPERLINK("http://mirror.ff7data.com.ar/ff7/data/battle/battle.lgp/kcbp.png","View Picture")</f>
        <v>View Picture</v>
      </c>
    </row>
    <row r="5706">
      <c r="A5706" s="55"/>
      <c r="B5706" s="119" t="s">
        <v>37696</v>
      </c>
      <c r="C5706" s="120" t="s">
        <v>4476</v>
      </c>
      <c r="D5706" s="33" t="s">
        <v>37675</v>
      </c>
      <c r="E5706" s="51" t="s">
        <v>1228</v>
      </c>
      <c r="F5706" s="121" t="s">
        <v>3009</v>
      </c>
      <c r="G5706" s="98" t="str">
        <f>HYPERLINK("http://mirror.ff7data.com.ar/ff7/data/battle/battle.lgp/kcbr.png","View Picture")</f>
        <v>View Picture</v>
      </c>
    </row>
    <row r="5707">
      <c r="A5707" s="55"/>
      <c r="B5707" s="119" t="s">
        <v>37697</v>
      </c>
      <c r="C5707" s="120" t="s">
        <v>4732</v>
      </c>
      <c r="D5707" s="33" t="s">
        <v>37675</v>
      </c>
      <c r="E5707" s="51" t="s">
        <v>1228</v>
      </c>
      <c r="F5707" s="121" t="s">
        <v>3009</v>
      </c>
      <c r="G5707" s="98" t="str">
        <f>HYPERLINK("http://mirror.ff7data.com.ar/ff7/data/battle/battle.lgp/kcbs.png","View Picture")</f>
        <v>View Picture</v>
      </c>
    </row>
    <row r="5708">
      <c r="A5708" s="55"/>
      <c r="B5708" s="119" t="s">
        <v>37698</v>
      </c>
      <c r="C5708" s="120" t="s">
        <v>5891</v>
      </c>
      <c r="D5708" s="33" t="s">
        <v>37675</v>
      </c>
      <c r="E5708" s="51" t="s">
        <v>1228</v>
      </c>
      <c r="F5708" s="121" t="s">
        <v>3009</v>
      </c>
      <c r="G5708" s="98" t="str">
        <f>HYPERLINK("http://mirror.ff7data.com.ar/ff7/data/battle/battle.lgp/kcbt.png","View Picture")</f>
        <v>View Picture</v>
      </c>
    </row>
    <row r="5709">
      <c r="A5709" s="55"/>
      <c r="B5709" s="119" t="s">
        <v>37699</v>
      </c>
      <c r="C5709" s="120" t="s">
        <v>7148</v>
      </c>
      <c r="D5709" s="33" t="s">
        <v>37675</v>
      </c>
      <c r="E5709" s="51" t="s">
        <v>1228</v>
      </c>
      <c r="F5709" s="121" t="s">
        <v>3009</v>
      </c>
      <c r="G5709" s="98" t="str">
        <f>HYPERLINK("http://mirror.ff7data.com.ar/ff7/data/battle/battle.lgp/kcbu.png","View Picture")</f>
        <v>View Picture</v>
      </c>
    </row>
    <row r="5710">
      <c r="A5710" s="55"/>
      <c r="B5710" s="119" t="s">
        <v>37700</v>
      </c>
      <c r="C5710" s="120" t="s">
        <v>4883</v>
      </c>
      <c r="D5710" s="33" t="s">
        <v>37675</v>
      </c>
      <c r="E5710" s="51" t="s">
        <v>1228</v>
      </c>
      <c r="F5710" s="121" t="s">
        <v>3009</v>
      </c>
      <c r="G5710" s="98" t="str">
        <f>HYPERLINK("http://mirror.ff7data.com.ar/ff7/data/battle/battle.lgp/kcbv.png","View Picture")</f>
        <v>View Picture</v>
      </c>
    </row>
    <row r="5711">
      <c r="A5711" s="55"/>
      <c r="B5711" s="119" t="s">
        <v>37701</v>
      </c>
      <c r="C5711" s="120" t="s">
        <v>4883</v>
      </c>
      <c r="D5711" s="33" t="s">
        <v>37675</v>
      </c>
      <c r="E5711" s="51" t="s">
        <v>1228</v>
      </c>
      <c r="F5711" s="121" t="s">
        <v>3009</v>
      </c>
      <c r="G5711" s="98" t="str">
        <f>HYPERLINK("http://mirror.ff7data.com.ar/ff7/data/battle/battle.lgp/kcbw.png","View Picture")</f>
        <v>View Picture</v>
      </c>
    </row>
    <row r="5712">
      <c r="A5712" s="55"/>
      <c r="B5712" s="119" t="s">
        <v>37702</v>
      </c>
      <c r="C5712" s="120" t="s">
        <v>7148</v>
      </c>
      <c r="D5712" s="33" t="s">
        <v>37675</v>
      </c>
      <c r="E5712" s="51" t="s">
        <v>1228</v>
      </c>
      <c r="F5712" s="121" t="s">
        <v>3009</v>
      </c>
      <c r="G5712" s="98" t="str">
        <f>HYPERLINK("http://mirror.ff7data.com.ar/ff7/data/battle/battle.lgp/kcbx.png","View Picture")</f>
        <v>View Picture</v>
      </c>
    </row>
    <row r="5713">
      <c r="A5713" s="55"/>
      <c r="B5713" s="119" t="s">
        <v>37703</v>
      </c>
      <c r="C5713" s="120" t="s">
        <v>24176</v>
      </c>
      <c r="D5713" s="33" t="s">
        <v>37675</v>
      </c>
      <c r="E5713" s="51" t="s">
        <v>1228</v>
      </c>
      <c r="F5713" s="121" t="s">
        <v>3025</v>
      </c>
      <c r="H5713" s="46" t="s">
        <v>3002</v>
      </c>
    </row>
    <row r="5714">
      <c r="A5714" s="21"/>
      <c r="B5714" s="119" t="s">
        <v>37704</v>
      </c>
      <c r="C5714" s="120" t="s">
        <v>6802</v>
      </c>
      <c r="D5714" s="33" t="s">
        <v>37705</v>
      </c>
      <c r="E5714" s="51" t="s">
        <v>1232</v>
      </c>
      <c r="F5714" s="121" t="s">
        <v>2971</v>
      </c>
      <c r="G5714" s="98" t="str">
        <f>HYPERLINK("http://mirror.ff7data.com.ar/ff7/data/battle/battle.lgp/kdaa.png","View Picture")</f>
        <v>View Picture</v>
      </c>
      <c r="H5714" s="46" t="s">
        <v>37706</v>
      </c>
    </row>
    <row r="5715">
      <c r="A5715" s="55"/>
      <c r="B5715" s="119" t="s">
        <v>37707</v>
      </c>
      <c r="C5715" s="120" t="s">
        <v>12616</v>
      </c>
      <c r="D5715" s="33" t="s">
        <v>37708</v>
      </c>
      <c r="E5715" s="51" t="s">
        <v>1232</v>
      </c>
      <c r="F5715" s="121" t="s">
        <v>2993</v>
      </c>
      <c r="H5715" s="46" t="s">
        <v>3002</v>
      </c>
    </row>
    <row r="5716">
      <c r="A5716" s="55"/>
      <c r="B5716" s="119" t="s">
        <v>37709</v>
      </c>
      <c r="C5716" s="120" t="s">
        <v>7270</v>
      </c>
      <c r="D5716" s="33" t="s">
        <v>37708</v>
      </c>
      <c r="E5716" s="51" t="s">
        <v>1232</v>
      </c>
      <c r="F5716" s="121" t="s">
        <v>3009</v>
      </c>
      <c r="G5716" s="98" t="str">
        <f>HYPERLINK("http://mirror.ff7data.com.ar/ff7/data/battle/battle.lgp/kdam.png","View Picture")</f>
        <v>View Picture</v>
      </c>
    </row>
    <row r="5717">
      <c r="A5717" s="55"/>
      <c r="B5717" s="119" t="s">
        <v>37710</v>
      </c>
      <c r="C5717" s="120" t="s">
        <v>4217</v>
      </c>
      <c r="D5717" s="33" t="s">
        <v>37708</v>
      </c>
      <c r="E5717" s="51" t="s">
        <v>1232</v>
      </c>
      <c r="F5717" s="121" t="s">
        <v>3009</v>
      </c>
      <c r="G5717" s="98" t="str">
        <f>HYPERLINK("http://mirror.ff7data.com.ar/ff7/data/battle/battle.lgp/kdap.png","View Picture")</f>
        <v>View Picture</v>
      </c>
    </row>
    <row r="5718">
      <c r="A5718" s="55"/>
      <c r="B5718" s="119" t="s">
        <v>37711</v>
      </c>
      <c r="C5718" s="120" t="s">
        <v>4439</v>
      </c>
      <c r="D5718" s="33" t="s">
        <v>37708</v>
      </c>
      <c r="E5718" s="51" t="s">
        <v>1232</v>
      </c>
      <c r="F5718" s="121" t="s">
        <v>3009</v>
      </c>
      <c r="G5718" s="98" t="str">
        <f>HYPERLINK("http://mirror.ff7data.com.ar/ff7/data/battle/battle.lgp/kdaq.png","View Picture")</f>
        <v>View Picture</v>
      </c>
    </row>
    <row r="5719">
      <c r="A5719" s="55"/>
      <c r="B5719" s="119" t="s">
        <v>37712</v>
      </c>
      <c r="C5719" s="120" t="s">
        <v>3355</v>
      </c>
      <c r="D5719" s="33" t="s">
        <v>37708</v>
      </c>
      <c r="E5719" s="51" t="s">
        <v>1232</v>
      </c>
      <c r="F5719" s="121" t="s">
        <v>3009</v>
      </c>
      <c r="G5719" s="98" t="str">
        <f>HYPERLINK("http://mirror.ff7data.com.ar/ff7/data/battle/battle.lgp/kdar.png","View Picture")</f>
        <v>View Picture</v>
      </c>
    </row>
    <row r="5720">
      <c r="A5720" s="55"/>
      <c r="B5720" s="119" t="s">
        <v>37713</v>
      </c>
      <c r="C5720" s="120" t="s">
        <v>4439</v>
      </c>
      <c r="D5720" s="33" t="s">
        <v>37708</v>
      </c>
      <c r="E5720" s="51" t="s">
        <v>1232</v>
      </c>
      <c r="F5720" s="121" t="s">
        <v>3009</v>
      </c>
      <c r="G5720" s="98" t="str">
        <f>HYPERLINK("http://mirror.ff7data.com.ar/ff7/data/battle/battle.lgp/kdas.png","View Picture")</f>
        <v>View Picture</v>
      </c>
    </row>
    <row r="5721">
      <c r="A5721" s="55"/>
      <c r="B5721" s="119" t="s">
        <v>37714</v>
      </c>
      <c r="C5721" s="120" t="s">
        <v>4264</v>
      </c>
      <c r="D5721" s="33" t="s">
        <v>37708</v>
      </c>
      <c r="E5721" s="51" t="s">
        <v>1232</v>
      </c>
      <c r="F5721" s="121" t="s">
        <v>3009</v>
      </c>
      <c r="G5721" s="98" t="str">
        <f>HYPERLINK("http://mirror.ff7data.com.ar/ff7/data/battle/battle.lgp/kdat.png","View Picture")</f>
        <v>View Picture</v>
      </c>
    </row>
    <row r="5722">
      <c r="A5722" s="55"/>
      <c r="B5722" s="119" t="s">
        <v>37715</v>
      </c>
      <c r="C5722" s="120" t="s">
        <v>4288</v>
      </c>
      <c r="D5722" s="33" t="s">
        <v>37708</v>
      </c>
      <c r="E5722" s="51" t="s">
        <v>1232</v>
      </c>
      <c r="F5722" s="121" t="s">
        <v>3009</v>
      </c>
      <c r="G5722" s="98" t="str">
        <f>HYPERLINK("http://mirror.ff7data.com.ar/ff7/data/battle/battle.lgp/kdau.png","View Picture")</f>
        <v>View Picture</v>
      </c>
    </row>
    <row r="5723">
      <c r="A5723" s="55"/>
      <c r="B5723" s="119" t="s">
        <v>37716</v>
      </c>
      <c r="C5723" s="120" t="s">
        <v>5762</v>
      </c>
      <c r="D5723" s="33" t="s">
        <v>37708</v>
      </c>
      <c r="E5723" s="51" t="s">
        <v>1232</v>
      </c>
      <c r="F5723" s="121" t="s">
        <v>3009</v>
      </c>
      <c r="G5723" s="98" t="str">
        <f>HYPERLINK("http://mirror.ff7data.com.ar/ff7/data/battle/battle.lgp/kdav.png","View Picture")</f>
        <v>View Picture</v>
      </c>
    </row>
    <row r="5724">
      <c r="A5724" s="55"/>
      <c r="B5724" s="119" t="s">
        <v>37717</v>
      </c>
      <c r="C5724" s="120" t="s">
        <v>16848</v>
      </c>
      <c r="D5724" s="33" t="s">
        <v>37708</v>
      </c>
      <c r="E5724" s="51" t="s">
        <v>1232</v>
      </c>
      <c r="F5724" s="121" t="s">
        <v>3009</v>
      </c>
      <c r="G5724" s="98" t="str">
        <f>HYPERLINK("http://mirror.ff7data.com.ar/ff7/data/battle/battle.lgp/kdaw.png","View Picture")</f>
        <v>View Picture</v>
      </c>
    </row>
    <row r="5725">
      <c r="A5725" s="55"/>
      <c r="B5725" s="119" t="s">
        <v>37718</v>
      </c>
      <c r="C5725" s="120" t="s">
        <v>16866</v>
      </c>
      <c r="D5725" s="33" t="s">
        <v>37708</v>
      </c>
      <c r="E5725" s="51" t="s">
        <v>1232</v>
      </c>
      <c r="F5725" s="121" t="s">
        <v>3009</v>
      </c>
      <c r="G5725" s="98" t="str">
        <f>HYPERLINK("http://mirror.ff7data.com.ar/ff7/data/battle/battle.lgp/kday.png","View Picture")</f>
        <v>View Picture</v>
      </c>
    </row>
    <row r="5726">
      <c r="A5726" s="55"/>
      <c r="B5726" s="119" t="s">
        <v>37719</v>
      </c>
      <c r="C5726" s="120" t="s">
        <v>16878</v>
      </c>
      <c r="D5726" s="33" t="s">
        <v>37708</v>
      </c>
      <c r="E5726" s="51" t="s">
        <v>1232</v>
      </c>
      <c r="F5726" s="121" t="s">
        <v>3009</v>
      </c>
      <c r="G5726" s="98" t="str">
        <f>HYPERLINK("http://mirror.ff7data.com.ar/ff7/data/battle/battle.lgp/kdba.png","View Picture")</f>
        <v>View Picture</v>
      </c>
    </row>
    <row r="5727">
      <c r="A5727" s="55"/>
      <c r="B5727" s="119" t="s">
        <v>37720</v>
      </c>
      <c r="C5727" s="120" t="s">
        <v>4252</v>
      </c>
      <c r="D5727" s="33" t="s">
        <v>37708</v>
      </c>
      <c r="E5727" s="51" t="s">
        <v>1232</v>
      </c>
      <c r="F5727" s="121" t="s">
        <v>3009</v>
      </c>
      <c r="G5727" s="98" t="str">
        <f>HYPERLINK("http://mirror.ff7data.com.ar/ff7/data/battle/battle.lgp/kdbd.png","View Picture")</f>
        <v>View Picture</v>
      </c>
    </row>
    <row r="5728">
      <c r="A5728" s="55"/>
      <c r="B5728" s="119" t="s">
        <v>37721</v>
      </c>
      <c r="C5728" s="120" t="s">
        <v>4439</v>
      </c>
      <c r="D5728" s="33" t="s">
        <v>37708</v>
      </c>
      <c r="E5728" s="51" t="s">
        <v>1232</v>
      </c>
      <c r="F5728" s="121" t="s">
        <v>3009</v>
      </c>
      <c r="G5728" s="98" t="str">
        <f>HYPERLINK("http://mirror.ff7data.com.ar/ff7/data/battle/battle.lgp/kdbe.png","View Picture")</f>
        <v>View Picture</v>
      </c>
    </row>
    <row r="5729">
      <c r="A5729" s="55"/>
      <c r="B5729" s="119" t="s">
        <v>37722</v>
      </c>
      <c r="C5729" s="120" t="s">
        <v>3343</v>
      </c>
      <c r="D5729" s="33" t="s">
        <v>37708</v>
      </c>
      <c r="E5729" s="51" t="s">
        <v>1232</v>
      </c>
      <c r="F5729" s="121" t="s">
        <v>3009</v>
      </c>
      <c r="G5729" s="98" t="str">
        <f>HYPERLINK("http://mirror.ff7data.com.ar/ff7/data/battle/battle.lgp/kdbf.png","View Picture")</f>
        <v>View Picture</v>
      </c>
    </row>
    <row r="5730">
      <c r="A5730" s="55"/>
      <c r="B5730" s="119" t="s">
        <v>37723</v>
      </c>
      <c r="C5730" s="120" t="s">
        <v>4439</v>
      </c>
      <c r="D5730" s="33" t="s">
        <v>37708</v>
      </c>
      <c r="E5730" s="51" t="s">
        <v>1232</v>
      </c>
      <c r="F5730" s="121" t="s">
        <v>3009</v>
      </c>
      <c r="G5730" s="98" t="str">
        <f>HYPERLINK("http://mirror.ff7data.com.ar/ff7/data/battle/battle.lgp/kdbh.png","View Picture")</f>
        <v>View Picture</v>
      </c>
    </row>
    <row r="5731">
      <c r="A5731" s="55"/>
      <c r="B5731" s="119" t="s">
        <v>37724</v>
      </c>
      <c r="C5731" s="120" t="s">
        <v>5419</v>
      </c>
      <c r="D5731" s="33" t="s">
        <v>37708</v>
      </c>
      <c r="E5731" s="51" t="s">
        <v>1232</v>
      </c>
      <c r="F5731" s="121" t="s">
        <v>3009</v>
      </c>
      <c r="G5731" s="98" t="str">
        <f>HYPERLINK("http://mirror.ff7data.com.ar/ff7/data/battle/battle.lgp/kdbi.png","View Picture")</f>
        <v>View Picture</v>
      </c>
    </row>
    <row r="5732">
      <c r="A5732" s="55"/>
      <c r="B5732" s="119" t="s">
        <v>37725</v>
      </c>
      <c r="C5732" s="120" t="s">
        <v>3768</v>
      </c>
      <c r="D5732" s="33" t="s">
        <v>37708</v>
      </c>
      <c r="E5732" s="51" t="s">
        <v>1232</v>
      </c>
      <c r="F5732" s="121" t="s">
        <v>3009</v>
      </c>
      <c r="G5732" s="98" t="str">
        <f>HYPERLINK("http://mirror.ff7data.com.ar/ff7/data/battle/battle.lgp/kdbj.png","View Picture")</f>
        <v>View Picture</v>
      </c>
    </row>
    <row r="5733">
      <c r="A5733" s="55"/>
      <c r="B5733" s="119" t="s">
        <v>37726</v>
      </c>
      <c r="C5733" s="120" t="s">
        <v>4439</v>
      </c>
      <c r="D5733" s="33" t="s">
        <v>37708</v>
      </c>
      <c r="E5733" s="51" t="s">
        <v>1232</v>
      </c>
      <c r="F5733" s="121" t="s">
        <v>3009</v>
      </c>
      <c r="G5733" s="98" t="str">
        <f>HYPERLINK("http://mirror.ff7data.com.ar/ff7/data/battle/battle.lgp/kdbl.png","View Picture")</f>
        <v>View Picture</v>
      </c>
    </row>
    <row r="5734">
      <c r="A5734" s="55"/>
      <c r="B5734" s="119" t="s">
        <v>37727</v>
      </c>
      <c r="C5734" s="120" t="s">
        <v>5419</v>
      </c>
      <c r="D5734" s="33" t="s">
        <v>37708</v>
      </c>
      <c r="E5734" s="51" t="s">
        <v>1232</v>
      </c>
      <c r="F5734" s="121" t="s">
        <v>3009</v>
      </c>
      <c r="G5734" s="98" t="str">
        <f>HYPERLINK("http://mirror.ff7data.com.ar/ff7/data/battle/battle.lgp/kdbm.png","View Picture")</f>
        <v>View Picture</v>
      </c>
    </row>
    <row r="5735">
      <c r="A5735" s="55"/>
      <c r="B5735" s="119" t="s">
        <v>37728</v>
      </c>
      <c r="C5735" s="120" t="s">
        <v>3723</v>
      </c>
      <c r="D5735" s="33" t="s">
        <v>37708</v>
      </c>
      <c r="E5735" s="51" t="s">
        <v>1232</v>
      </c>
      <c r="F5735" s="121" t="s">
        <v>3009</v>
      </c>
      <c r="G5735" s="98" t="str">
        <f>HYPERLINK("http://mirror.ff7data.com.ar/ff7/data/battle/battle.lgp/kdbn.png","View Picture")</f>
        <v>View Picture</v>
      </c>
    </row>
    <row r="5736">
      <c r="A5736" s="55"/>
      <c r="B5736" s="119" t="s">
        <v>37729</v>
      </c>
      <c r="C5736" s="120" t="s">
        <v>4288</v>
      </c>
      <c r="D5736" s="33" t="s">
        <v>37708</v>
      </c>
      <c r="E5736" s="51" t="s">
        <v>1232</v>
      </c>
      <c r="F5736" s="121" t="s">
        <v>3009</v>
      </c>
      <c r="G5736" s="98" t="str">
        <f>HYPERLINK("http://mirror.ff7data.com.ar/ff7/data/battle/battle.lgp/kdbo.png","View Picture")</f>
        <v>View Picture</v>
      </c>
    </row>
    <row r="5737">
      <c r="A5737" s="55"/>
      <c r="B5737" s="119" t="s">
        <v>37730</v>
      </c>
      <c r="C5737" s="120" t="s">
        <v>9600</v>
      </c>
      <c r="D5737" s="33" t="s">
        <v>37708</v>
      </c>
      <c r="E5737" s="51" t="s">
        <v>1232</v>
      </c>
      <c r="F5737" s="121" t="s">
        <v>3025</v>
      </c>
      <c r="H5737" s="46" t="s">
        <v>3002</v>
      </c>
    </row>
    <row r="5738">
      <c r="A5738" s="21"/>
      <c r="B5738" s="119" t="s">
        <v>37731</v>
      </c>
      <c r="C5738" s="120" t="s">
        <v>4468</v>
      </c>
      <c r="D5738" s="33" t="s">
        <v>37732</v>
      </c>
      <c r="E5738" s="51" t="s">
        <v>1237</v>
      </c>
      <c r="F5738" s="121" t="s">
        <v>2971</v>
      </c>
      <c r="G5738" s="98" t="str">
        <f>HYPERLINK("http://mirror.ff7data.com.ar/ff7/data/battle/battle.lgp/keaa.png","View Picture")</f>
        <v>View Picture</v>
      </c>
    </row>
    <row r="5739">
      <c r="A5739" s="55"/>
      <c r="B5739" s="119" t="s">
        <v>37733</v>
      </c>
      <c r="C5739" s="120" t="s">
        <v>4846</v>
      </c>
      <c r="D5739" s="33" t="s">
        <v>37734</v>
      </c>
      <c r="E5739" s="51" t="s">
        <v>1237</v>
      </c>
      <c r="F5739" s="121" t="s">
        <v>2993</v>
      </c>
      <c r="H5739" s="46" t="s">
        <v>3002</v>
      </c>
    </row>
    <row r="5740">
      <c r="A5740" s="55"/>
      <c r="B5740" s="119" t="s">
        <v>37735</v>
      </c>
      <c r="C5740" s="120" t="s">
        <v>5419</v>
      </c>
      <c r="D5740" s="33" t="s">
        <v>37734</v>
      </c>
      <c r="E5740" s="51" t="s">
        <v>1237</v>
      </c>
      <c r="F5740" s="121" t="s">
        <v>3009</v>
      </c>
      <c r="G5740" s="98" t="str">
        <f>HYPERLINK("http://mirror.ff7data.com.ar/ff7/data/battle/battle.lgp/kean.png","View Picture")</f>
        <v>View Picture</v>
      </c>
    </row>
    <row r="5741">
      <c r="A5741" s="55"/>
      <c r="B5741" s="119" t="s">
        <v>37736</v>
      </c>
      <c r="C5741" s="120" t="s">
        <v>3671</v>
      </c>
      <c r="D5741" s="33" t="s">
        <v>37734</v>
      </c>
      <c r="E5741" s="51" t="s">
        <v>1237</v>
      </c>
      <c r="F5741" s="121" t="s">
        <v>3009</v>
      </c>
      <c r="G5741" s="98" t="str">
        <f>HYPERLINK("http://mirror.ff7data.com.ar/ff7/data/battle/battle.lgp/keao.png","View Picture")</f>
        <v>View Picture</v>
      </c>
    </row>
    <row r="5742">
      <c r="A5742" s="55"/>
      <c r="B5742" s="119" t="s">
        <v>37737</v>
      </c>
      <c r="C5742" s="120" t="s">
        <v>4732</v>
      </c>
      <c r="D5742" s="33" t="s">
        <v>37734</v>
      </c>
      <c r="E5742" s="51" t="s">
        <v>1237</v>
      </c>
      <c r="F5742" s="121" t="s">
        <v>3009</v>
      </c>
      <c r="G5742" s="98" t="str">
        <f>HYPERLINK("http://mirror.ff7data.com.ar/ff7/data/battle/battle.lgp/keaq.png","View Picture")</f>
        <v>View Picture</v>
      </c>
    </row>
    <row r="5743">
      <c r="A5743" s="55"/>
      <c r="B5743" s="119" t="s">
        <v>37738</v>
      </c>
      <c r="C5743" s="120" t="s">
        <v>7471</v>
      </c>
      <c r="D5743" s="33" t="s">
        <v>37734</v>
      </c>
      <c r="E5743" s="51" t="s">
        <v>1237</v>
      </c>
      <c r="F5743" s="121" t="s">
        <v>3009</v>
      </c>
      <c r="G5743" s="98" t="str">
        <f>HYPERLINK("http://mirror.ff7data.com.ar/ff7/data/battle/battle.lgp/kear.png","View Picture")</f>
        <v>View Picture</v>
      </c>
    </row>
    <row r="5744">
      <c r="A5744" s="55"/>
      <c r="B5744" s="119" t="s">
        <v>37739</v>
      </c>
      <c r="C5744" s="120" t="s">
        <v>26120</v>
      </c>
      <c r="D5744" s="33" t="s">
        <v>37734</v>
      </c>
      <c r="E5744" s="51" t="s">
        <v>1237</v>
      </c>
      <c r="F5744" s="121" t="s">
        <v>3009</v>
      </c>
      <c r="G5744" s="98" t="str">
        <f>HYPERLINK("http://mirror.ff7data.com.ar/ff7/data/battle/battle.lgp/keas.png","View Picture")</f>
        <v>View Picture</v>
      </c>
    </row>
    <row r="5745">
      <c r="A5745" s="55"/>
      <c r="B5745" s="119" t="s">
        <v>37740</v>
      </c>
      <c r="C5745" s="120" t="s">
        <v>4439</v>
      </c>
      <c r="D5745" s="33" t="s">
        <v>37734</v>
      </c>
      <c r="E5745" s="51" t="s">
        <v>1237</v>
      </c>
      <c r="F5745" s="121" t="s">
        <v>3009</v>
      </c>
      <c r="G5745" s="98" t="str">
        <f>HYPERLINK("http://mirror.ff7data.com.ar/ff7/data/battle/battle.lgp/keau.png","View Picture")</f>
        <v>View Picture</v>
      </c>
    </row>
    <row r="5746">
      <c r="A5746" s="55"/>
      <c r="B5746" s="119" t="s">
        <v>37741</v>
      </c>
      <c r="C5746" s="120" t="s">
        <v>7148</v>
      </c>
      <c r="D5746" s="33" t="s">
        <v>37734</v>
      </c>
      <c r="E5746" s="51" t="s">
        <v>1237</v>
      </c>
      <c r="F5746" s="121" t="s">
        <v>3009</v>
      </c>
      <c r="G5746" s="98" t="str">
        <f>HYPERLINK("http://mirror.ff7data.com.ar/ff7/data/battle/battle.lgp/keav.png","View Picture")</f>
        <v>View Picture</v>
      </c>
    </row>
    <row r="5747">
      <c r="A5747" s="55"/>
      <c r="B5747" s="119" t="s">
        <v>37742</v>
      </c>
      <c r="C5747" s="120" t="s">
        <v>3658</v>
      </c>
      <c r="D5747" s="33" t="s">
        <v>37734</v>
      </c>
      <c r="E5747" s="51" t="s">
        <v>1237</v>
      </c>
      <c r="F5747" s="121" t="s">
        <v>3009</v>
      </c>
      <c r="G5747" s="98" t="str">
        <f>HYPERLINK("http://mirror.ff7data.com.ar/ff7/data/battle/battle.lgp/keaw.png","View Picture")</f>
        <v>View Picture</v>
      </c>
    </row>
    <row r="5748">
      <c r="A5748" s="55"/>
      <c r="B5748" s="119" t="s">
        <v>37743</v>
      </c>
      <c r="C5748" s="120" t="s">
        <v>5419</v>
      </c>
      <c r="D5748" s="33" t="s">
        <v>37734</v>
      </c>
      <c r="E5748" s="51" t="s">
        <v>1237</v>
      </c>
      <c r="F5748" s="121" t="s">
        <v>3009</v>
      </c>
      <c r="G5748" s="98" t="str">
        <f>HYPERLINK("http://mirror.ff7data.com.ar/ff7/data/battle/battle.lgp/keax.png","View Picture")</f>
        <v>View Picture</v>
      </c>
    </row>
    <row r="5749">
      <c r="A5749" s="55"/>
      <c r="B5749" s="119" t="s">
        <v>37744</v>
      </c>
      <c r="C5749" s="120" t="s">
        <v>5967</v>
      </c>
      <c r="D5749" s="33" t="s">
        <v>37734</v>
      </c>
      <c r="E5749" s="51" t="s">
        <v>1237</v>
      </c>
      <c r="F5749" s="121" t="s">
        <v>3009</v>
      </c>
      <c r="G5749" s="98" t="str">
        <f>HYPERLINK("http://mirror.ff7data.com.ar/ff7/data/battle/battle.lgp/keay.png","View Picture")</f>
        <v>View Picture</v>
      </c>
    </row>
    <row r="5750">
      <c r="A5750" s="55"/>
      <c r="B5750" s="119" t="s">
        <v>37745</v>
      </c>
      <c r="C5750" s="120" t="s">
        <v>4288</v>
      </c>
      <c r="D5750" s="33" t="s">
        <v>37734</v>
      </c>
      <c r="E5750" s="51" t="s">
        <v>1237</v>
      </c>
      <c r="F5750" s="121" t="s">
        <v>3009</v>
      </c>
      <c r="G5750" s="98" t="str">
        <f>HYPERLINK("http://mirror.ff7data.com.ar/ff7/data/battle/battle.lgp/keba.png","View Picture")</f>
        <v>View Picture</v>
      </c>
    </row>
    <row r="5751">
      <c r="A5751" s="55"/>
      <c r="B5751" s="119" t="s">
        <v>37746</v>
      </c>
      <c r="C5751" s="120" t="s">
        <v>4185</v>
      </c>
      <c r="D5751" s="33" t="s">
        <v>37734</v>
      </c>
      <c r="E5751" s="51" t="s">
        <v>1237</v>
      </c>
      <c r="F5751" s="121" t="s">
        <v>3009</v>
      </c>
      <c r="G5751" s="98" t="str">
        <f>HYPERLINK("http://mirror.ff7data.com.ar/ff7/data/battle/battle.lgp/kebc.png","View Picture")</f>
        <v>View Picture</v>
      </c>
    </row>
    <row r="5752">
      <c r="A5752" s="55"/>
      <c r="B5752" s="119" t="s">
        <v>37747</v>
      </c>
      <c r="C5752" s="120" t="s">
        <v>26045</v>
      </c>
      <c r="D5752" s="33" t="s">
        <v>37734</v>
      </c>
      <c r="E5752" s="51" t="s">
        <v>1237</v>
      </c>
      <c r="F5752" s="121" t="s">
        <v>3009</v>
      </c>
      <c r="G5752" s="98" t="str">
        <f>HYPERLINK("http://mirror.ff7data.com.ar/ff7/data/battle/battle.lgp/kebd.png","View Picture")</f>
        <v>View Picture</v>
      </c>
    </row>
    <row r="5753">
      <c r="A5753" s="55"/>
      <c r="B5753" s="119" t="s">
        <v>37748</v>
      </c>
      <c r="C5753" s="120" t="s">
        <v>3658</v>
      </c>
      <c r="D5753" s="33" t="s">
        <v>37734</v>
      </c>
      <c r="E5753" s="51" t="s">
        <v>1237</v>
      </c>
      <c r="F5753" s="121" t="s">
        <v>3009</v>
      </c>
      <c r="G5753" s="98" t="str">
        <f>HYPERLINK("http://mirror.ff7data.com.ar/ff7/data/battle/battle.lgp/kebe.png","View Picture")</f>
        <v>View Picture</v>
      </c>
    </row>
    <row r="5754">
      <c r="A5754" s="55"/>
      <c r="B5754" s="119" t="s">
        <v>37749</v>
      </c>
      <c r="C5754" s="120" t="s">
        <v>5419</v>
      </c>
      <c r="D5754" s="33" t="s">
        <v>37734</v>
      </c>
      <c r="E5754" s="51" t="s">
        <v>1237</v>
      </c>
      <c r="F5754" s="121" t="s">
        <v>3009</v>
      </c>
      <c r="G5754" s="98" t="str">
        <f>HYPERLINK("http://mirror.ff7data.com.ar/ff7/data/battle/battle.lgp/kebf.png","View Picture")</f>
        <v>View Picture</v>
      </c>
    </row>
    <row r="5755">
      <c r="A5755" s="55"/>
      <c r="B5755" s="119" t="s">
        <v>37750</v>
      </c>
      <c r="C5755" s="120" t="s">
        <v>5967</v>
      </c>
      <c r="D5755" s="33" t="s">
        <v>37734</v>
      </c>
      <c r="E5755" s="51" t="s">
        <v>1237</v>
      </c>
      <c r="F5755" s="121" t="s">
        <v>3009</v>
      </c>
      <c r="G5755" s="98" t="str">
        <f>HYPERLINK("http://mirror.ff7data.com.ar/ff7/data/battle/battle.lgp/kebg.png","View Picture")</f>
        <v>View Picture</v>
      </c>
    </row>
    <row r="5756">
      <c r="A5756" s="55"/>
      <c r="B5756" s="119" t="s">
        <v>37751</v>
      </c>
      <c r="C5756" s="120" t="s">
        <v>5419</v>
      </c>
      <c r="D5756" s="33" t="s">
        <v>37734</v>
      </c>
      <c r="E5756" s="51" t="s">
        <v>1237</v>
      </c>
      <c r="F5756" s="121" t="s">
        <v>3009</v>
      </c>
      <c r="G5756" s="98" t="str">
        <f>HYPERLINK("http://mirror.ff7data.com.ar/ff7/data/battle/battle.lgp/kebi.png","View Picture")</f>
        <v>View Picture</v>
      </c>
    </row>
    <row r="5757">
      <c r="A5757" s="55"/>
      <c r="B5757" s="119" t="s">
        <v>37752</v>
      </c>
      <c r="C5757" s="120" t="s">
        <v>8376</v>
      </c>
      <c r="D5757" s="33" t="s">
        <v>37734</v>
      </c>
      <c r="E5757" s="51" t="s">
        <v>1237</v>
      </c>
      <c r="F5757" s="121" t="s">
        <v>3009</v>
      </c>
      <c r="G5757" s="98" t="str">
        <f>HYPERLINK("http://mirror.ff7data.com.ar/ff7/data/battle/battle.lgp/kebj.png","View Picture")</f>
        <v>View Picture</v>
      </c>
    </row>
    <row r="5758">
      <c r="A5758" s="55"/>
      <c r="B5758" s="119" t="s">
        <v>37753</v>
      </c>
      <c r="C5758" s="120" t="s">
        <v>4732</v>
      </c>
      <c r="D5758" s="33" t="s">
        <v>37734</v>
      </c>
      <c r="E5758" s="51" t="s">
        <v>1237</v>
      </c>
      <c r="F5758" s="121" t="s">
        <v>3009</v>
      </c>
      <c r="G5758" s="98" t="str">
        <f>HYPERLINK("http://mirror.ff7data.com.ar/ff7/data/battle/battle.lgp/kebl.png","View Picture")</f>
        <v>View Picture</v>
      </c>
    </row>
    <row r="5759">
      <c r="A5759" s="55"/>
      <c r="B5759" s="119" t="s">
        <v>37754</v>
      </c>
      <c r="C5759" s="120" t="s">
        <v>4057</v>
      </c>
      <c r="D5759" s="33" t="s">
        <v>37734</v>
      </c>
      <c r="E5759" s="51" t="s">
        <v>1237</v>
      </c>
      <c r="F5759" s="121" t="s">
        <v>3009</v>
      </c>
      <c r="G5759" s="98" t="str">
        <f>HYPERLINK("http://mirror.ff7data.com.ar/ff7/data/battle/battle.lgp/kebn.png","View Picture")</f>
        <v>View Picture</v>
      </c>
    </row>
    <row r="5760">
      <c r="A5760" s="55"/>
      <c r="B5760" s="119" t="s">
        <v>37755</v>
      </c>
      <c r="C5760" s="120" t="s">
        <v>3671</v>
      </c>
      <c r="D5760" s="33" t="s">
        <v>37734</v>
      </c>
      <c r="E5760" s="51" t="s">
        <v>1237</v>
      </c>
      <c r="F5760" s="121" t="s">
        <v>3009</v>
      </c>
      <c r="G5760" s="98" t="str">
        <f>HYPERLINK("http://mirror.ff7data.com.ar/ff7/data/battle/battle.lgp/kebo.png","View Picture")</f>
        <v>View Picture</v>
      </c>
    </row>
    <row r="5761">
      <c r="A5761" s="55"/>
      <c r="B5761" s="119" t="s">
        <v>37756</v>
      </c>
      <c r="C5761" s="120" t="s">
        <v>4732</v>
      </c>
      <c r="D5761" s="33" t="s">
        <v>37734</v>
      </c>
      <c r="E5761" s="51" t="s">
        <v>1237</v>
      </c>
      <c r="F5761" s="121" t="s">
        <v>3009</v>
      </c>
      <c r="G5761" s="98" t="str">
        <f>HYPERLINK("http://mirror.ff7data.com.ar/ff7/data/battle/battle.lgp/kebq.png","View Picture")</f>
        <v>View Picture</v>
      </c>
    </row>
    <row r="5762">
      <c r="A5762" s="55"/>
      <c r="B5762" s="119" t="s">
        <v>37757</v>
      </c>
      <c r="C5762" s="120" t="s">
        <v>4057</v>
      </c>
      <c r="D5762" s="33" t="s">
        <v>37734</v>
      </c>
      <c r="E5762" s="51" t="s">
        <v>1237</v>
      </c>
      <c r="F5762" s="121" t="s">
        <v>3009</v>
      </c>
      <c r="G5762" s="98" t="str">
        <f>HYPERLINK("http://mirror.ff7data.com.ar/ff7/data/battle/battle.lgp/kebs.png","View Picture")</f>
        <v>View Picture</v>
      </c>
    </row>
    <row r="5763">
      <c r="A5763" s="55"/>
      <c r="B5763" s="119" t="s">
        <v>37758</v>
      </c>
      <c r="C5763" s="120" t="s">
        <v>3519</v>
      </c>
      <c r="D5763" s="33" t="s">
        <v>37734</v>
      </c>
      <c r="E5763" s="51" t="s">
        <v>1237</v>
      </c>
      <c r="F5763" s="121" t="s">
        <v>3009</v>
      </c>
      <c r="G5763" s="98" t="str">
        <f>HYPERLINK("http://mirror.ff7data.com.ar/ff7/data/battle/battle.lgp/kebt.png","View Picture")</f>
        <v>View Picture</v>
      </c>
    </row>
    <row r="5764">
      <c r="A5764" s="55"/>
      <c r="B5764" s="119" t="s">
        <v>37759</v>
      </c>
      <c r="C5764" s="120" t="s">
        <v>4732</v>
      </c>
      <c r="D5764" s="33" t="s">
        <v>37734</v>
      </c>
      <c r="E5764" s="51" t="s">
        <v>1237</v>
      </c>
      <c r="F5764" s="121" t="s">
        <v>3009</v>
      </c>
      <c r="G5764" s="98" t="str">
        <f>HYPERLINK("http://mirror.ff7data.com.ar/ff7/data/battle/battle.lgp/kebv.png","View Picture")</f>
        <v>View Picture</v>
      </c>
    </row>
    <row r="5765">
      <c r="A5765" s="55"/>
      <c r="B5765" s="119" t="s">
        <v>37760</v>
      </c>
      <c r="C5765" s="120" t="s">
        <v>7062</v>
      </c>
      <c r="D5765" s="33" t="s">
        <v>37734</v>
      </c>
      <c r="E5765" s="51" t="s">
        <v>1237</v>
      </c>
      <c r="F5765" s="121" t="s">
        <v>3025</v>
      </c>
      <c r="H5765" s="46" t="s">
        <v>3002</v>
      </c>
    </row>
    <row r="5766">
      <c r="A5766" s="21"/>
      <c r="B5766" s="119" t="s">
        <v>37761</v>
      </c>
      <c r="C5766" s="120" t="s">
        <v>6611</v>
      </c>
      <c r="D5766" s="33" t="s">
        <v>37762</v>
      </c>
      <c r="E5766" s="51" t="s">
        <v>1240</v>
      </c>
      <c r="F5766" s="121" t="s">
        <v>2971</v>
      </c>
      <c r="G5766" s="98" t="str">
        <f>HYPERLINK("http://mirror.ff7data.com.ar/ff7/data/battle/battle.lgp/kfaa.png","View Picture")</f>
        <v>View Picture</v>
      </c>
    </row>
    <row r="5767">
      <c r="A5767" s="55"/>
      <c r="B5767" s="119" t="s">
        <v>37763</v>
      </c>
      <c r="C5767" s="120" t="s">
        <v>5222</v>
      </c>
      <c r="D5767" s="33" t="s">
        <v>37764</v>
      </c>
      <c r="E5767" s="51" t="s">
        <v>1240</v>
      </c>
      <c r="F5767" s="121" t="s">
        <v>2993</v>
      </c>
      <c r="H5767" s="46" t="s">
        <v>3002</v>
      </c>
    </row>
    <row r="5768">
      <c r="A5768" s="55"/>
      <c r="B5768" s="119" t="s">
        <v>37765</v>
      </c>
      <c r="C5768" s="120" t="s">
        <v>7258</v>
      </c>
      <c r="D5768" s="33" t="s">
        <v>37764</v>
      </c>
      <c r="E5768" s="51" t="s">
        <v>1240</v>
      </c>
      <c r="F5768" s="121" t="s">
        <v>3009</v>
      </c>
      <c r="G5768" s="98" t="str">
        <f>HYPERLINK("http://mirror.ff7data.com.ar/ff7/data/battle/battle.lgp/kfam.png","View Picture")</f>
        <v>View Picture</v>
      </c>
    </row>
    <row r="5769">
      <c r="A5769" s="55"/>
      <c r="B5769" s="119" t="s">
        <v>37766</v>
      </c>
      <c r="C5769" s="120" t="s">
        <v>7270</v>
      </c>
      <c r="D5769" s="33" t="s">
        <v>37764</v>
      </c>
      <c r="E5769" s="51" t="s">
        <v>1240</v>
      </c>
      <c r="F5769" s="121" t="s">
        <v>3009</v>
      </c>
      <c r="G5769" s="98" t="str">
        <f>HYPERLINK("http://mirror.ff7data.com.ar/ff7/data/battle/battle.lgp/kfan.png","View Picture")</f>
        <v>View Picture</v>
      </c>
    </row>
    <row r="5770">
      <c r="A5770" s="55"/>
      <c r="B5770" s="119" t="s">
        <v>37767</v>
      </c>
      <c r="C5770" s="120" t="s">
        <v>3465</v>
      </c>
      <c r="D5770" s="33" t="s">
        <v>37764</v>
      </c>
      <c r="E5770" s="51" t="s">
        <v>1240</v>
      </c>
      <c r="F5770" s="121" t="s">
        <v>3009</v>
      </c>
      <c r="G5770" s="98" t="str">
        <f>HYPERLINK("http://mirror.ff7data.com.ar/ff7/data/battle/battle.lgp/kfao.png","View Picture")</f>
        <v>View Picture</v>
      </c>
    </row>
    <row r="5771">
      <c r="A5771" s="55"/>
      <c r="B5771" s="119" t="s">
        <v>37768</v>
      </c>
      <c r="C5771" s="120" t="s">
        <v>4439</v>
      </c>
      <c r="D5771" s="33" t="s">
        <v>37764</v>
      </c>
      <c r="E5771" s="51" t="s">
        <v>1240</v>
      </c>
      <c r="F5771" s="121" t="s">
        <v>3009</v>
      </c>
      <c r="G5771" s="98" t="str">
        <f>HYPERLINK("http://mirror.ff7data.com.ar/ff7/data/battle/battle.lgp/kfas.png","View Picture")</f>
        <v>View Picture</v>
      </c>
    </row>
    <row r="5772">
      <c r="A5772" s="55"/>
      <c r="B5772" s="119" t="s">
        <v>37769</v>
      </c>
      <c r="C5772" s="120" t="s">
        <v>7301</v>
      </c>
      <c r="D5772" s="33" t="s">
        <v>37764</v>
      </c>
      <c r="E5772" s="51" t="s">
        <v>1240</v>
      </c>
      <c r="F5772" s="121" t="s">
        <v>3009</v>
      </c>
      <c r="G5772" s="98" t="str">
        <f>HYPERLINK("http://mirror.ff7data.com.ar/ff7/data/battle/battle.lgp/kfat.png","View Picture")</f>
        <v>View Picture</v>
      </c>
    </row>
    <row r="5773">
      <c r="A5773" s="55"/>
      <c r="B5773" s="119" t="s">
        <v>37770</v>
      </c>
      <c r="C5773" s="120" t="s">
        <v>9041</v>
      </c>
      <c r="D5773" s="33" t="s">
        <v>37764</v>
      </c>
      <c r="E5773" s="51" t="s">
        <v>1240</v>
      </c>
      <c r="F5773" s="121" t="s">
        <v>3009</v>
      </c>
      <c r="G5773" s="98" t="str">
        <f>HYPERLINK("http://mirror.ff7data.com.ar/ff7/data/battle/battle.lgp/kfau.png","View Picture")</f>
        <v>View Picture</v>
      </c>
    </row>
    <row r="5774">
      <c r="A5774" s="55"/>
      <c r="B5774" s="119" t="s">
        <v>37771</v>
      </c>
      <c r="C5774" s="120" t="s">
        <v>7322</v>
      </c>
      <c r="D5774" s="33" t="s">
        <v>37764</v>
      </c>
      <c r="E5774" s="51" t="s">
        <v>1240</v>
      </c>
      <c r="F5774" s="121" t="s">
        <v>3009</v>
      </c>
      <c r="G5774" s="98" t="str">
        <f>HYPERLINK("http://mirror.ff7data.com.ar/ff7/data/battle/battle.lgp/kfaw.png","View Picture")</f>
        <v>View Picture</v>
      </c>
    </row>
    <row r="5775">
      <c r="A5775" s="55"/>
      <c r="B5775" s="119" t="s">
        <v>37772</v>
      </c>
      <c r="C5775" s="120" t="s">
        <v>7165</v>
      </c>
      <c r="D5775" s="33" t="s">
        <v>37764</v>
      </c>
      <c r="E5775" s="51" t="s">
        <v>1240</v>
      </c>
      <c r="F5775" s="121" t="s">
        <v>3009</v>
      </c>
      <c r="G5775" s="98" t="str">
        <f>HYPERLINK("http://mirror.ff7data.com.ar/ff7/data/battle/battle.lgp/kfay.png","View Picture")</f>
        <v>View Picture</v>
      </c>
    </row>
    <row r="5776">
      <c r="A5776" s="55"/>
      <c r="B5776" s="119" t="s">
        <v>37773</v>
      </c>
      <c r="C5776" s="120" t="s">
        <v>6029</v>
      </c>
      <c r="D5776" s="33" t="s">
        <v>37764</v>
      </c>
      <c r="E5776" s="51" t="s">
        <v>1240</v>
      </c>
      <c r="F5776" s="121" t="s">
        <v>3009</v>
      </c>
      <c r="G5776" s="98" t="str">
        <f>HYPERLINK("http://mirror.ff7data.com.ar/ff7/data/battle/battle.lgp/kfaz.png","View Picture")</f>
        <v>View Picture</v>
      </c>
    </row>
    <row r="5777">
      <c r="A5777" s="55"/>
      <c r="B5777" s="119" t="s">
        <v>37774</v>
      </c>
      <c r="C5777" s="120" t="s">
        <v>4185</v>
      </c>
      <c r="D5777" s="33" t="s">
        <v>37764</v>
      </c>
      <c r="E5777" s="51" t="s">
        <v>1240</v>
      </c>
      <c r="F5777" s="121" t="s">
        <v>3009</v>
      </c>
      <c r="G5777" s="98" t="str">
        <f>HYPERLINK("http://mirror.ff7data.com.ar/ff7/data/battle/battle.lgp/kfba.png","View Picture")</f>
        <v>View Picture</v>
      </c>
    </row>
    <row r="5778">
      <c r="A5778" s="55"/>
      <c r="B5778" s="119" t="s">
        <v>37775</v>
      </c>
      <c r="C5778" s="120" t="s">
        <v>5891</v>
      </c>
      <c r="D5778" s="33" t="s">
        <v>37764</v>
      </c>
      <c r="E5778" s="51" t="s">
        <v>1240</v>
      </c>
      <c r="F5778" s="121" t="s">
        <v>3009</v>
      </c>
      <c r="G5778" s="98" t="str">
        <f>HYPERLINK("http://mirror.ff7data.com.ar/ff7/data/battle/battle.lgp/kfbc.png","View Picture")</f>
        <v>View Picture</v>
      </c>
    </row>
    <row r="5779">
      <c r="A5779" s="55"/>
      <c r="B5779" s="119" t="s">
        <v>37776</v>
      </c>
      <c r="C5779" s="120" t="s">
        <v>4185</v>
      </c>
      <c r="D5779" s="33" t="s">
        <v>37764</v>
      </c>
      <c r="E5779" s="51" t="s">
        <v>1240</v>
      </c>
      <c r="F5779" s="121" t="s">
        <v>3009</v>
      </c>
      <c r="G5779" s="98" t="str">
        <f>HYPERLINK("http://mirror.ff7data.com.ar/ff7/data/battle/battle.lgp/kfbd.png","View Picture")</f>
        <v>View Picture</v>
      </c>
    </row>
    <row r="5780">
      <c r="A5780" s="55"/>
      <c r="B5780" s="119" t="s">
        <v>37777</v>
      </c>
      <c r="C5780" s="120" t="s">
        <v>4732</v>
      </c>
      <c r="D5780" s="33" t="s">
        <v>37764</v>
      </c>
      <c r="E5780" s="51" t="s">
        <v>1240</v>
      </c>
      <c r="F5780" s="121" t="s">
        <v>3009</v>
      </c>
      <c r="G5780" s="98" t="str">
        <f>HYPERLINK("http://mirror.ff7data.com.ar/ff7/data/battle/battle.lgp/kfbe.png","View Picture")</f>
        <v>View Picture</v>
      </c>
    </row>
    <row r="5781">
      <c r="A5781" s="55"/>
      <c r="B5781" s="119" t="s">
        <v>37778</v>
      </c>
      <c r="C5781" s="120" t="s">
        <v>3412</v>
      </c>
      <c r="D5781" s="33" t="s">
        <v>37764</v>
      </c>
      <c r="E5781" s="51" t="s">
        <v>1240</v>
      </c>
      <c r="F5781" s="121" t="s">
        <v>3025</v>
      </c>
      <c r="H5781" s="46" t="s">
        <v>3002</v>
      </c>
    </row>
    <row r="5782">
      <c r="A5782" s="21"/>
      <c r="B5782" s="119" t="s">
        <v>37779</v>
      </c>
      <c r="C5782" s="120" t="s">
        <v>8004</v>
      </c>
      <c r="D5782" s="33" t="s">
        <v>37780</v>
      </c>
      <c r="E5782" s="51" t="s">
        <v>1244</v>
      </c>
      <c r="F5782" s="121" t="s">
        <v>2971</v>
      </c>
      <c r="G5782" s="98" t="str">
        <f>HYPERLINK("http://mirror.ff7data.com.ar/ff7/data/battle/battle.lgp/kgaa.png","View Picture")</f>
        <v>View Picture</v>
      </c>
    </row>
    <row r="5783">
      <c r="A5783" s="55"/>
      <c r="B5783" s="119" t="s">
        <v>37781</v>
      </c>
      <c r="C5783" s="120" t="s">
        <v>4846</v>
      </c>
      <c r="D5783" s="33" t="s">
        <v>37782</v>
      </c>
      <c r="E5783" s="51" t="s">
        <v>1244</v>
      </c>
      <c r="F5783" s="121" t="s">
        <v>2993</v>
      </c>
      <c r="H5783" s="46" t="s">
        <v>3002</v>
      </c>
    </row>
    <row r="5784">
      <c r="A5784" s="55"/>
      <c r="B5784" s="119" t="s">
        <v>37783</v>
      </c>
      <c r="C5784" s="120" t="s">
        <v>3671</v>
      </c>
      <c r="D5784" s="33" t="s">
        <v>37782</v>
      </c>
      <c r="E5784" s="51" t="s">
        <v>1244</v>
      </c>
      <c r="F5784" s="121" t="s">
        <v>1348</v>
      </c>
      <c r="G5784" s="98" t="str">
        <f>HYPERLINK("http://mirror.ff7data.com.ar/ff7/data/battle/battle.lgp/kgac.png","View Picture")</f>
        <v>View Picture</v>
      </c>
    </row>
    <row r="5785">
      <c r="A5785" s="55"/>
      <c r="B5785" s="119" t="s">
        <v>37784</v>
      </c>
      <c r="C5785" s="120" t="s">
        <v>8550</v>
      </c>
      <c r="D5785" s="33" t="s">
        <v>37782</v>
      </c>
      <c r="E5785" s="51" t="s">
        <v>1244</v>
      </c>
      <c r="F5785" s="121" t="s">
        <v>3009</v>
      </c>
      <c r="G5785" s="98" t="str">
        <f>HYPERLINK("http://mirror.ff7data.com.ar/ff7/data/battle/battle.lgp/kgam.png","View Picture")</f>
        <v>View Picture</v>
      </c>
    </row>
    <row r="5786">
      <c r="A5786" s="55"/>
      <c r="B5786" s="119" t="s">
        <v>37785</v>
      </c>
      <c r="C5786" s="120" t="s">
        <v>4167</v>
      </c>
      <c r="D5786" s="33" t="s">
        <v>37782</v>
      </c>
      <c r="E5786" s="51" t="s">
        <v>1244</v>
      </c>
      <c r="F5786" s="121" t="s">
        <v>3009</v>
      </c>
      <c r="G5786" s="98" t="str">
        <f>HYPERLINK("http://mirror.ff7data.com.ar/ff7/data/battle/battle.lgp/kgan.png","View Picture")</f>
        <v>View Picture</v>
      </c>
    </row>
    <row r="5787">
      <c r="A5787" s="55"/>
      <c r="B5787" s="119" t="s">
        <v>37786</v>
      </c>
      <c r="C5787" s="120" t="s">
        <v>3445</v>
      </c>
      <c r="D5787" s="33" t="s">
        <v>37782</v>
      </c>
      <c r="E5787" s="51" t="s">
        <v>1244</v>
      </c>
      <c r="F5787" s="121" t="s">
        <v>3009</v>
      </c>
      <c r="G5787" s="98" t="str">
        <f>HYPERLINK("http://mirror.ff7data.com.ar/ff7/data/battle/battle.lgp/kgap.png","View Picture")</f>
        <v>View Picture</v>
      </c>
    </row>
    <row r="5788">
      <c r="A5788" s="55"/>
      <c r="B5788" s="119" t="s">
        <v>37787</v>
      </c>
      <c r="C5788" s="120" t="s">
        <v>7871</v>
      </c>
      <c r="D5788" s="33" t="s">
        <v>37782</v>
      </c>
      <c r="E5788" s="51" t="s">
        <v>1244</v>
      </c>
      <c r="F5788" s="121" t="s">
        <v>3009</v>
      </c>
      <c r="G5788" s="98" t="str">
        <f>HYPERLINK("http://mirror.ff7data.com.ar/ff7/data/battle/battle.lgp/kgar.png","View Picture")</f>
        <v>View Picture</v>
      </c>
    </row>
    <row r="5789">
      <c r="A5789" s="55"/>
      <c r="B5789" s="119" t="s">
        <v>37788</v>
      </c>
      <c r="C5789" s="120" t="s">
        <v>12399</v>
      </c>
      <c r="D5789" s="33" t="s">
        <v>37782</v>
      </c>
      <c r="E5789" s="51" t="s">
        <v>1244</v>
      </c>
      <c r="F5789" s="121" t="s">
        <v>3009</v>
      </c>
      <c r="G5789" s="98" t="str">
        <f>HYPERLINK("http://mirror.ff7data.com.ar/ff7/data/battle/battle.lgp/kgau.png","View Picture")</f>
        <v>View Picture</v>
      </c>
    </row>
    <row r="5790">
      <c r="A5790" s="55"/>
      <c r="B5790" s="119" t="s">
        <v>37789</v>
      </c>
      <c r="C5790" s="120" t="s">
        <v>3614</v>
      </c>
      <c r="D5790" s="33" t="s">
        <v>37782</v>
      </c>
      <c r="E5790" s="51" t="s">
        <v>1244</v>
      </c>
      <c r="F5790" s="121" t="s">
        <v>3009</v>
      </c>
      <c r="G5790" s="98" t="str">
        <f>HYPERLINK("http://mirror.ff7data.com.ar/ff7/data/battle/battle.lgp/kgav.png","View Picture")</f>
        <v>View Picture</v>
      </c>
    </row>
    <row r="5791">
      <c r="A5791" s="55"/>
      <c r="B5791" s="119" t="s">
        <v>37790</v>
      </c>
      <c r="C5791" s="120" t="s">
        <v>4217</v>
      </c>
      <c r="D5791" s="33" t="s">
        <v>37782</v>
      </c>
      <c r="E5791" s="51" t="s">
        <v>1244</v>
      </c>
      <c r="F5791" s="121" t="s">
        <v>3009</v>
      </c>
      <c r="G5791" s="98" t="str">
        <f>HYPERLINK("http://mirror.ff7data.com.ar/ff7/data/battle/battle.lgp/kgay.png","View Picture")</f>
        <v>View Picture</v>
      </c>
    </row>
    <row r="5792">
      <c r="A5792" s="55"/>
      <c r="B5792" s="119" t="s">
        <v>37791</v>
      </c>
      <c r="C5792" s="120" t="s">
        <v>3465</v>
      </c>
      <c r="D5792" s="33" t="s">
        <v>37782</v>
      </c>
      <c r="E5792" s="51" t="s">
        <v>1244</v>
      </c>
      <c r="F5792" s="121" t="s">
        <v>3009</v>
      </c>
      <c r="G5792" s="98" t="str">
        <f>HYPERLINK("http://mirror.ff7data.com.ar/ff7/data/battle/battle.lgp/kgaz.png","View Picture")</f>
        <v>View Picture</v>
      </c>
    </row>
    <row r="5793">
      <c r="A5793" s="55"/>
      <c r="B5793" s="119" t="s">
        <v>37792</v>
      </c>
      <c r="C5793" s="120" t="s">
        <v>5762</v>
      </c>
      <c r="D5793" s="33" t="s">
        <v>37782</v>
      </c>
      <c r="E5793" s="51" t="s">
        <v>1244</v>
      </c>
      <c r="F5793" s="121" t="s">
        <v>3009</v>
      </c>
      <c r="G5793" s="98" t="str">
        <f>HYPERLINK("http://mirror.ff7data.com.ar/ff7/data/battle/battle.lgp/kgba.png","View Picture")</f>
        <v>View Picture</v>
      </c>
    </row>
    <row r="5794">
      <c r="A5794" s="55"/>
      <c r="B5794" s="119" t="s">
        <v>37793</v>
      </c>
      <c r="C5794" s="120" t="s">
        <v>13957</v>
      </c>
      <c r="D5794" s="33" t="s">
        <v>37782</v>
      </c>
      <c r="E5794" s="51" t="s">
        <v>1244</v>
      </c>
      <c r="F5794" s="121" t="s">
        <v>3009</v>
      </c>
      <c r="G5794" s="98" t="str">
        <f>HYPERLINK("http://mirror.ff7data.com.ar/ff7/data/battle/battle.lgp/kgbb.png","View Picture")</f>
        <v>View Picture</v>
      </c>
    </row>
    <row r="5795">
      <c r="A5795" s="55"/>
      <c r="B5795" s="119" t="s">
        <v>37794</v>
      </c>
      <c r="C5795" s="120" t="s">
        <v>9600</v>
      </c>
      <c r="D5795" s="33" t="s">
        <v>37782</v>
      </c>
      <c r="E5795" s="51" t="s">
        <v>1244</v>
      </c>
      <c r="F5795" s="121" t="s">
        <v>3009</v>
      </c>
      <c r="G5795" s="98" t="str">
        <f>HYPERLINK("http://mirror.ff7data.com.ar/ff7/data/battle/battle.lgp/kgbe.png","View Picture")</f>
        <v>View Picture</v>
      </c>
    </row>
    <row r="5796">
      <c r="A5796" s="55"/>
      <c r="B5796" s="119" t="s">
        <v>37795</v>
      </c>
      <c r="C5796" s="120" t="s">
        <v>7871</v>
      </c>
      <c r="D5796" s="33" t="s">
        <v>37782</v>
      </c>
      <c r="E5796" s="51" t="s">
        <v>1244</v>
      </c>
      <c r="F5796" s="121" t="s">
        <v>3009</v>
      </c>
      <c r="G5796" s="98" t="str">
        <f>HYPERLINK("http://mirror.ff7data.com.ar/ff7/data/battle/battle.lgp/kgbf.png","View Picture")</f>
        <v>View Picture</v>
      </c>
    </row>
    <row r="5797">
      <c r="A5797" s="55"/>
      <c r="B5797" s="119" t="s">
        <v>37796</v>
      </c>
      <c r="C5797" s="120" t="s">
        <v>7270</v>
      </c>
      <c r="D5797" s="33" t="s">
        <v>37782</v>
      </c>
      <c r="E5797" s="51" t="s">
        <v>1244</v>
      </c>
      <c r="F5797" s="121" t="s">
        <v>3009</v>
      </c>
      <c r="G5797" s="98" t="str">
        <f>HYPERLINK("http://mirror.ff7data.com.ar/ff7/data/battle/battle.lgp/kgbi.png","View Picture")</f>
        <v>View Picture</v>
      </c>
    </row>
    <row r="5798">
      <c r="A5798" s="55"/>
      <c r="B5798" s="119" t="s">
        <v>37797</v>
      </c>
      <c r="C5798" s="120" t="s">
        <v>12399</v>
      </c>
      <c r="D5798" s="33" t="s">
        <v>37782</v>
      </c>
      <c r="E5798" s="51" t="s">
        <v>1244</v>
      </c>
      <c r="F5798" s="121" t="s">
        <v>3009</v>
      </c>
      <c r="G5798" s="98" t="str">
        <f>HYPERLINK("http://mirror.ff7data.com.ar/ff7/data/battle/battle.lgp/kgbj.png","View Picture")</f>
        <v>View Picture</v>
      </c>
    </row>
    <row r="5799">
      <c r="A5799" s="55"/>
      <c r="B5799" s="119" t="s">
        <v>37798</v>
      </c>
      <c r="C5799" s="120" t="s">
        <v>3658</v>
      </c>
      <c r="D5799" s="33" t="s">
        <v>37782</v>
      </c>
      <c r="E5799" s="51" t="s">
        <v>1244</v>
      </c>
      <c r="F5799" s="121" t="s">
        <v>3009</v>
      </c>
      <c r="G5799" s="98" t="str">
        <f>HYPERLINK("http://mirror.ff7data.com.ar/ff7/data/battle/battle.lgp/kgbk.png","View Picture")</f>
        <v>View Picture</v>
      </c>
    </row>
    <row r="5800">
      <c r="A5800" s="55"/>
      <c r="B5800" s="119" t="s">
        <v>37799</v>
      </c>
      <c r="C5800" s="120" t="s">
        <v>3519</v>
      </c>
      <c r="D5800" s="33" t="s">
        <v>37782</v>
      </c>
      <c r="E5800" s="51" t="s">
        <v>1244</v>
      </c>
      <c r="F5800" s="121" t="s">
        <v>3009</v>
      </c>
      <c r="G5800" s="98" t="str">
        <f>HYPERLINK("http://mirror.ff7data.com.ar/ff7/data/battle/battle.lgp/kgbl.png","View Picture")</f>
        <v>View Picture</v>
      </c>
    </row>
    <row r="5801">
      <c r="A5801" s="55"/>
      <c r="B5801" s="119" t="s">
        <v>37800</v>
      </c>
      <c r="C5801" s="120" t="s">
        <v>3445</v>
      </c>
      <c r="D5801" s="33" t="s">
        <v>37782</v>
      </c>
      <c r="E5801" s="51" t="s">
        <v>1244</v>
      </c>
      <c r="F5801" s="121" t="s">
        <v>3009</v>
      </c>
      <c r="G5801" s="98" t="str">
        <f>HYPERLINK("http://mirror.ff7data.com.ar/ff7/data/battle/battle.lgp/kgbn.png","View Picture")</f>
        <v>View Picture</v>
      </c>
    </row>
    <row r="5802">
      <c r="A5802" s="55"/>
      <c r="B5802" s="119" t="s">
        <v>37801</v>
      </c>
      <c r="C5802" s="120" t="s">
        <v>3355</v>
      </c>
      <c r="D5802" s="33" t="s">
        <v>37782</v>
      </c>
      <c r="E5802" s="51" t="s">
        <v>1244</v>
      </c>
      <c r="F5802" s="121" t="s">
        <v>3009</v>
      </c>
      <c r="G5802" s="98" t="str">
        <f>HYPERLINK("http://mirror.ff7data.com.ar/ff7/data/battle/battle.lgp/kgbo.png","View Picture")</f>
        <v>View Picture</v>
      </c>
    </row>
    <row r="5803">
      <c r="A5803" s="55"/>
      <c r="B5803" s="119" t="s">
        <v>37802</v>
      </c>
      <c r="C5803" s="120" t="s">
        <v>3494</v>
      </c>
      <c r="D5803" s="33" t="s">
        <v>37782</v>
      </c>
      <c r="E5803" s="51" t="s">
        <v>1244</v>
      </c>
      <c r="F5803" s="121" t="s">
        <v>3009</v>
      </c>
      <c r="G5803" s="98" t="str">
        <f>HYPERLINK("http://mirror.ff7data.com.ar/ff7/data/battle/battle.lgp/kgbp.png","View Picture")</f>
        <v>View Picture</v>
      </c>
    </row>
    <row r="5804">
      <c r="A5804" s="55"/>
      <c r="B5804" s="119" t="s">
        <v>37803</v>
      </c>
      <c r="C5804" s="120" t="s">
        <v>4288</v>
      </c>
      <c r="D5804" s="33" t="s">
        <v>37782</v>
      </c>
      <c r="E5804" s="51" t="s">
        <v>1244</v>
      </c>
      <c r="F5804" s="121" t="s">
        <v>3009</v>
      </c>
      <c r="G5804" s="98" t="str">
        <f>HYPERLINK("http://mirror.ff7data.com.ar/ff7/data/battle/battle.lgp/kgbr.png","View Picture")</f>
        <v>View Picture</v>
      </c>
    </row>
    <row r="5805">
      <c r="A5805" s="55"/>
      <c r="B5805" s="119" t="s">
        <v>37804</v>
      </c>
      <c r="C5805" s="120" t="s">
        <v>3614</v>
      </c>
      <c r="D5805" s="33" t="s">
        <v>37782</v>
      </c>
      <c r="E5805" s="51" t="s">
        <v>1244</v>
      </c>
      <c r="F5805" s="121" t="s">
        <v>3009</v>
      </c>
      <c r="G5805" s="98" t="str">
        <f>HYPERLINK("http://mirror.ff7data.com.ar/ff7/data/battle/battle.lgp/kgbt.png","View Picture")</f>
        <v>View Picture</v>
      </c>
    </row>
    <row r="5806">
      <c r="A5806" s="55"/>
      <c r="B5806" s="119" t="s">
        <v>37805</v>
      </c>
      <c r="C5806" s="120" t="s">
        <v>3355</v>
      </c>
      <c r="D5806" s="33" t="s">
        <v>37782</v>
      </c>
      <c r="E5806" s="51" t="s">
        <v>1244</v>
      </c>
      <c r="F5806" s="121" t="s">
        <v>3009</v>
      </c>
      <c r="G5806" s="98" t="str">
        <f>HYPERLINK("http://mirror.ff7data.com.ar/ff7/data/battle/battle.lgp/kgbu.png","View Picture")</f>
        <v>View Picture</v>
      </c>
    </row>
    <row r="5807">
      <c r="A5807" s="55"/>
      <c r="B5807" s="119" t="s">
        <v>37806</v>
      </c>
      <c r="C5807" s="120" t="s">
        <v>11261</v>
      </c>
      <c r="D5807" s="33" t="s">
        <v>37782</v>
      </c>
      <c r="E5807" s="51" t="s">
        <v>1244</v>
      </c>
      <c r="F5807" s="121" t="s">
        <v>3009</v>
      </c>
      <c r="G5807" s="98" t="str">
        <f>HYPERLINK("http://mirror.ff7data.com.ar/ff7/data/battle/battle.lgp/kgbv.png","View Picture")</f>
        <v>View Picture</v>
      </c>
    </row>
    <row r="5808">
      <c r="A5808" s="55"/>
      <c r="B5808" s="119" t="s">
        <v>37807</v>
      </c>
      <c r="C5808" s="120" t="s">
        <v>4288</v>
      </c>
      <c r="D5808" s="33" t="s">
        <v>37782</v>
      </c>
      <c r="E5808" s="51" t="s">
        <v>1244</v>
      </c>
      <c r="F5808" s="121" t="s">
        <v>3009</v>
      </c>
      <c r="G5808" s="98" t="str">
        <f>HYPERLINK("http://mirror.ff7data.com.ar/ff7/data/battle/battle.lgp/kgbx.png","View Picture")</f>
        <v>View Picture</v>
      </c>
    </row>
    <row r="5809">
      <c r="A5809" s="55"/>
      <c r="B5809" s="119" t="s">
        <v>37808</v>
      </c>
      <c r="C5809" s="120" t="s">
        <v>7871</v>
      </c>
      <c r="D5809" s="33" t="s">
        <v>37782</v>
      </c>
      <c r="E5809" s="51" t="s">
        <v>1244</v>
      </c>
      <c r="F5809" s="121" t="s">
        <v>3009</v>
      </c>
      <c r="G5809" s="98" t="str">
        <f>HYPERLINK("http://mirror.ff7data.com.ar/ff7/data/battle/battle.lgp/kgby.png","View Picture")</f>
        <v>View Picture</v>
      </c>
    </row>
    <row r="5810">
      <c r="A5810" s="55"/>
      <c r="B5810" s="119" t="s">
        <v>37809</v>
      </c>
      <c r="C5810" s="120" t="s">
        <v>4841</v>
      </c>
      <c r="D5810" s="33" t="s">
        <v>37782</v>
      </c>
      <c r="E5810" s="51" t="s">
        <v>1244</v>
      </c>
      <c r="F5810" s="121" t="s">
        <v>3025</v>
      </c>
      <c r="H5810" s="46" t="s">
        <v>3002</v>
      </c>
    </row>
    <row r="5811">
      <c r="A5811" s="21"/>
      <c r="B5811" s="119" t="s">
        <v>37810</v>
      </c>
      <c r="C5811" s="120" t="s">
        <v>35790</v>
      </c>
      <c r="D5811" s="33" t="s">
        <v>37811</v>
      </c>
      <c r="E5811" s="51" t="s">
        <v>1248</v>
      </c>
      <c r="F5811" s="121" t="s">
        <v>2971</v>
      </c>
      <c r="G5811" s="98" t="str">
        <f>HYPERLINK("http://mirror.ff7data.com.ar/ff7/data/battle/battle.lgp/khaa.png","View Picture")</f>
        <v>View Picture</v>
      </c>
    </row>
    <row r="5812">
      <c r="A5812" s="55"/>
      <c r="B5812" s="119" t="s">
        <v>37812</v>
      </c>
      <c r="C5812" s="120" t="s">
        <v>30662</v>
      </c>
      <c r="D5812" s="33" t="s">
        <v>37813</v>
      </c>
      <c r="E5812" s="51" t="s">
        <v>1248</v>
      </c>
      <c r="F5812" s="121" t="s">
        <v>2993</v>
      </c>
      <c r="H5812" s="46" t="s">
        <v>3002</v>
      </c>
    </row>
    <row r="5813">
      <c r="A5813" s="55"/>
      <c r="B5813" s="119" t="s">
        <v>37814</v>
      </c>
      <c r="C5813" s="120" t="s">
        <v>5859</v>
      </c>
      <c r="D5813" s="33" t="s">
        <v>37813</v>
      </c>
      <c r="E5813" s="51" t="s">
        <v>1248</v>
      </c>
      <c r="F5813" s="121" t="s">
        <v>3009</v>
      </c>
      <c r="G5813" s="98" t="str">
        <f>HYPERLINK("http://mirror.ff7data.com.ar/ff7/data/battle/battle.lgp/kham.png","View Picture")</f>
        <v>View Picture</v>
      </c>
    </row>
    <row r="5814">
      <c r="A5814" s="55"/>
      <c r="B5814" s="119" t="s">
        <v>37815</v>
      </c>
      <c r="C5814" s="120" t="s">
        <v>4046</v>
      </c>
      <c r="D5814" s="33" t="s">
        <v>37813</v>
      </c>
      <c r="E5814" s="51" t="s">
        <v>1248</v>
      </c>
      <c r="F5814" s="121" t="s">
        <v>3009</v>
      </c>
      <c r="G5814" s="98" t="str">
        <f>HYPERLINK("http://mirror.ff7data.com.ar/ff7/data/battle/battle.lgp/khao.png","View Picture")</f>
        <v>View Picture</v>
      </c>
    </row>
    <row r="5815">
      <c r="A5815" s="55"/>
      <c r="B5815" s="119" t="s">
        <v>37816</v>
      </c>
      <c r="C5815" s="120" t="s">
        <v>4732</v>
      </c>
      <c r="D5815" s="33" t="s">
        <v>37813</v>
      </c>
      <c r="E5815" s="51" t="s">
        <v>1248</v>
      </c>
      <c r="F5815" s="121" t="s">
        <v>3009</v>
      </c>
      <c r="G5815" s="98" t="str">
        <f>HYPERLINK("http://mirror.ff7data.com.ar/ff7/data/battle/battle.lgp/khap.png","View Picture")</f>
        <v>View Picture</v>
      </c>
    </row>
    <row r="5816">
      <c r="A5816" s="55"/>
      <c r="B5816" s="119" t="s">
        <v>37817</v>
      </c>
      <c r="C5816" s="120" t="s">
        <v>5859</v>
      </c>
      <c r="D5816" s="33" t="s">
        <v>37813</v>
      </c>
      <c r="E5816" s="51" t="s">
        <v>1248</v>
      </c>
      <c r="F5816" s="121" t="s">
        <v>3009</v>
      </c>
      <c r="G5816" s="98" t="str">
        <f>HYPERLINK("http://mirror.ff7data.com.ar/ff7/data/battle/battle.lgp/khas.png","View Picture")</f>
        <v>View Picture</v>
      </c>
    </row>
    <row r="5817">
      <c r="A5817" s="55"/>
      <c r="B5817" s="119" t="s">
        <v>37818</v>
      </c>
      <c r="C5817" s="120" t="s">
        <v>4357</v>
      </c>
      <c r="D5817" s="33" t="s">
        <v>37813</v>
      </c>
      <c r="E5817" s="51" t="s">
        <v>1248</v>
      </c>
      <c r="F5817" s="121" t="s">
        <v>3009</v>
      </c>
      <c r="G5817" s="98" t="str">
        <f>HYPERLINK("http://mirror.ff7data.com.ar/ff7/data/battle/battle.lgp/khau.png","View Picture")</f>
        <v>View Picture</v>
      </c>
    </row>
    <row r="5818">
      <c r="A5818" s="55"/>
      <c r="B5818" s="119" t="s">
        <v>37819</v>
      </c>
      <c r="C5818" s="120" t="s">
        <v>4357</v>
      </c>
      <c r="D5818" s="33" t="s">
        <v>37813</v>
      </c>
      <c r="E5818" s="51" t="s">
        <v>1248</v>
      </c>
      <c r="F5818" s="121" t="s">
        <v>3009</v>
      </c>
      <c r="G5818" s="98" t="str">
        <f>HYPERLINK("http://mirror.ff7data.com.ar/ff7/data/battle/battle.lgp/khaw.png","View Picture")</f>
        <v>View Picture</v>
      </c>
    </row>
    <row r="5819">
      <c r="A5819" s="55"/>
      <c r="B5819" s="119" t="s">
        <v>37820</v>
      </c>
      <c r="C5819" s="120" t="s">
        <v>4357</v>
      </c>
      <c r="D5819" s="33" t="s">
        <v>37813</v>
      </c>
      <c r="E5819" s="51" t="s">
        <v>1248</v>
      </c>
      <c r="F5819" s="121" t="s">
        <v>3009</v>
      </c>
      <c r="G5819" s="98" t="str">
        <f>HYPERLINK("http://mirror.ff7data.com.ar/ff7/data/battle/battle.lgp/khay.png","View Picture")</f>
        <v>View Picture</v>
      </c>
    </row>
    <row r="5820">
      <c r="A5820" s="55"/>
      <c r="B5820" s="119" t="s">
        <v>37821</v>
      </c>
      <c r="C5820" s="120" t="s">
        <v>3434</v>
      </c>
      <c r="D5820" s="33" t="s">
        <v>37813</v>
      </c>
      <c r="E5820" s="51" t="s">
        <v>1248</v>
      </c>
      <c r="F5820" s="121" t="s">
        <v>3009</v>
      </c>
      <c r="G5820" s="98" t="str">
        <f>HYPERLINK("http://mirror.ff7data.com.ar/ff7/data/battle/battle.lgp/khba.png","View Picture")</f>
        <v>View Picture</v>
      </c>
    </row>
    <row r="5821">
      <c r="A5821" s="55"/>
      <c r="B5821" s="119" t="s">
        <v>37822</v>
      </c>
      <c r="C5821" s="120" t="s">
        <v>6029</v>
      </c>
      <c r="D5821" s="33" t="s">
        <v>37813</v>
      </c>
      <c r="E5821" s="51" t="s">
        <v>1248</v>
      </c>
      <c r="F5821" s="121" t="s">
        <v>3009</v>
      </c>
      <c r="G5821" s="98" t="str">
        <f>HYPERLINK("http://mirror.ff7data.com.ar/ff7/data/battle/battle.lgp/khbc.png","View Picture")</f>
        <v>View Picture</v>
      </c>
    </row>
    <row r="5822">
      <c r="A5822" s="55"/>
      <c r="B5822" s="119" t="s">
        <v>37823</v>
      </c>
      <c r="C5822" s="120" t="s">
        <v>5925</v>
      </c>
      <c r="D5822" s="33" t="s">
        <v>37813</v>
      </c>
      <c r="E5822" s="51" t="s">
        <v>1248</v>
      </c>
      <c r="F5822" s="121" t="s">
        <v>3009</v>
      </c>
      <c r="G5822" s="98" t="str">
        <f>HYPERLINK("http://mirror.ff7data.com.ar/ff7/data/battle/battle.lgp/khbf.png","View Picture")</f>
        <v>View Picture</v>
      </c>
    </row>
    <row r="5823">
      <c r="A5823" s="55"/>
      <c r="B5823" s="119" t="s">
        <v>37824</v>
      </c>
      <c r="C5823" s="120" t="s">
        <v>4357</v>
      </c>
      <c r="D5823" s="33" t="s">
        <v>37813</v>
      </c>
      <c r="E5823" s="51" t="s">
        <v>1248</v>
      </c>
      <c r="F5823" s="121" t="s">
        <v>3009</v>
      </c>
      <c r="G5823" s="98" t="str">
        <f>HYPERLINK("http://mirror.ff7data.com.ar/ff7/data/battle/battle.lgp/khbh.png","View Picture")</f>
        <v>View Picture</v>
      </c>
    </row>
    <row r="5824">
      <c r="A5824" s="55"/>
      <c r="B5824" s="119" t="s">
        <v>37825</v>
      </c>
      <c r="C5824" s="120" t="s">
        <v>4357</v>
      </c>
      <c r="D5824" s="33" t="s">
        <v>37813</v>
      </c>
      <c r="E5824" s="51" t="s">
        <v>1248</v>
      </c>
      <c r="F5824" s="121" t="s">
        <v>3009</v>
      </c>
      <c r="G5824" s="98" t="str">
        <f>HYPERLINK("http://mirror.ff7data.com.ar/ff7/data/battle/battle.lgp/khbj.png","View Picture")</f>
        <v>View Picture</v>
      </c>
    </row>
    <row r="5825">
      <c r="A5825" s="55"/>
      <c r="B5825" s="119" t="s">
        <v>37826</v>
      </c>
      <c r="C5825" s="120" t="s">
        <v>4357</v>
      </c>
      <c r="D5825" s="33" t="s">
        <v>37813</v>
      </c>
      <c r="E5825" s="51" t="s">
        <v>1248</v>
      </c>
      <c r="F5825" s="121" t="s">
        <v>3009</v>
      </c>
      <c r="G5825" s="98" t="str">
        <f>HYPERLINK("http://mirror.ff7data.com.ar/ff7/data/battle/battle.lgp/khbl.png","View Picture")</f>
        <v>View Picture</v>
      </c>
    </row>
    <row r="5826">
      <c r="A5826" s="55"/>
      <c r="B5826" s="119" t="s">
        <v>37827</v>
      </c>
      <c r="C5826" s="120" t="s">
        <v>11261</v>
      </c>
      <c r="D5826" s="33" t="s">
        <v>37813</v>
      </c>
      <c r="E5826" s="51" t="s">
        <v>1248</v>
      </c>
      <c r="F5826" s="121" t="s">
        <v>3009</v>
      </c>
      <c r="G5826" s="98" t="str">
        <f>HYPERLINK("http://mirror.ff7data.com.ar/ff7/data/battle/battle.lgp/khbn.png","View Picture")</f>
        <v>View Picture</v>
      </c>
    </row>
    <row r="5827">
      <c r="A5827" s="55"/>
      <c r="B5827" s="119" t="s">
        <v>37828</v>
      </c>
      <c r="C5827" s="120" t="s">
        <v>4476</v>
      </c>
      <c r="D5827" s="33" t="s">
        <v>37813</v>
      </c>
      <c r="E5827" s="51" t="s">
        <v>1248</v>
      </c>
      <c r="F5827" s="121" t="s">
        <v>3009</v>
      </c>
      <c r="G5827" s="98" t="str">
        <f>HYPERLINK("http://mirror.ff7data.com.ar/ff7/data/battle/battle.lgp/khbp.png","View Picture")</f>
        <v>View Picture</v>
      </c>
    </row>
    <row r="5828">
      <c r="A5828" s="55"/>
      <c r="B5828" s="119" t="s">
        <v>37829</v>
      </c>
      <c r="C5828" s="120" t="s">
        <v>4057</v>
      </c>
      <c r="D5828" s="33" t="s">
        <v>37813</v>
      </c>
      <c r="E5828" s="51" t="s">
        <v>1248</v>
      </c>
      <c r="F5828" s="121" t="s">
        <v>3009</v>
      </c>
      <c r="G5828" s="98" t="str">
        <f>HYPERLINK("http://mirror.ff7data.com.ar/ff7/data/battle/battle.lgp/khbr.png","View Picture")</f>
        <v>View Picture</v>
      </c>
    </row>
    <row r="5829">
      <c r="A5829" s="55"/>
      <c r="B5829" s="119" t="s">
        <v>37830</v>
      </c>
      <c r="C5829" s="120" t="s">
        <v>4264</v>
      </c>
      <c r="D5829" s="33" t="s">
        <v>37813</v>
      </c>
      <c r="E5829" s="51" t="s">
        <v>1248</v>
      </c>
      <c r="F5829" s="121" t="s">
        <v>3009</v>
      </c>
      <c r="G5829" s="98" t="str">
        <f>HYPERLINK("http://mirror.ff7data.com.ar/ff7/data/battle/battle.lgp/khbs.png","View Picture")</f>
        <v>View Picture</v>
      </c>
    </row>
    <row r="5830">
      <c r="A5830" s="55"/>
      <c r="B5830" s="119" t="s">
        <v>37831</v>
      </c>
      <c r="C5830" s="120" t="s">
        <v>3481</v>
      </c>
      <c r="D5830" s="33" t="s">
        <v>37813</v>
      </c>
      <c r="E5830" s="51" t="s">
        <v>1248</v>
      </c>
      <c r="F5830" s="121" t="s">
        <v>3009</v>
      </c>
      <c r="G5830" s="98" t="str">
        <f>HYPERLINK("http://mirror.ff7data.com.ar/ff7/data/battle/battle.lgp/khbt.png","View Picture")</f>
        <v>View Picture</v>
      </c>
    </row>
    <row r="5831">
      <c r="A5831" s="55"/>
      <c r="B5831" s="119" t="s">
        <v>37832</v>
      </c>
      <c r="C5831" s="120" t="s">
        <v>5419</v>
      </c>
      <c r="D5831" s="33" t="s">
        <v>37813</v>
      </c>
      <c r="E5831" s="51" t="s">
        <v>1248</v>
      </c>
      <c r="F5831" s="121" t="s">
        <v>3009</v>
      </c>
      <c r="G5831" s="98" t="str">
        <f>HYPERLINK("http://mirror.ff7data.com.ar/ff7/data/battle/battle.lgp/khbv.png","View Picture")</f>
        <v>View Picture</v>
      </c>
    </row>
    <row r="5832">
      <c r="A5832" s="55"/>
      <c r="B5832" s="119" t="s">
        <v>37833</v>
      </c>
      <c r="C5832" s="120" t="s">
        <v>4264</v>
      </c>
      <c r="D5832" s="33" t="s">
        <v>37813</v>
      </c>
      <c r="E5832" s="51" t="s">
        <v>1248</v>
      </c>
      <c r="F5832" s="121" t="s">
        <v>3009</v>
      </c>
      <c r="G5832" s="98" t="str">
        <f>HYPERLINK("http://mirror.ff7data.com.ar/ff7/data/battle/battle.lgp/khbw.png","View Picture")</f>
        <v>View Picture</v>
      </c>
    </row>
    <row r="5833">
      <c r="A5833" s="55"/>
      <c r="B5833" s="119" t="s">
        <v>37834</v>
      </c>
      <c r="C5833" s="120" t="s">
        <v>3519</v>
      </c>
      <c r="D5833" s="33" t="s">
        <v>37813</v>
      </c>
      <c r="E5833" s="51" t="s">
        <v>1248</v>
      </c>
      <c r="F5833" s="121" t="s">
        <v>3009</v>
      </c>
      <c r="G5833" s="98" t="str">
        <f>HYPERLINK("http://mirror.ff7data.com.ar/ff7/data/battle/battle.lgp/khbx.png","View Picture")</f>
        <v>View Picture</v>
      </c>
    </row>
    <row r="5834">
      <c r="A5834" s="55"/>
      <c r="B5834" s="119" t="s">
        <v>37835</v>
      </c>
      <c r="C5834" s="120" t="s">
        <v>4439</v>
      </c>
      <c r="D5834" s="33" t="s">
        <v>37813</v>
      </c>
      <c r="E5834" s="51" t="s">
        <v>1248</v>
      </c>
      <c r="F5834" s="121" t="s">
        <v>3009</v>
      </c>
      <c r="G5834" s="98" t="str">
        <f>HYPERLINK("http://mirror.ff7data.com.ar/ff7/data/battle/battle.lgp/khbz.png","View Picture")</f>
        <v>View Picture</v>
      </c>
    </row>
    <row r="5835">
      <c r="A5835" s="55"/>
      <c r="B5835" s="119" t="s">
        <v>37836</v>
      </c>
      <c r="C5835" s="120" t="s">
        <v>4439</v>
      </c>
      <c r="D5835" s="33" t="s">
        <v>37813</v>
      </c>
      <c r="E5835" s="51" t="s">
        <v>1248</v>
      </c>
      <c r="F5835" s="121" t="s">
        <v>3009</v>
      </c>
      <c r="G5835" s="98" t="str">
        <f>HYPERLINK("http://mirror.ff7data.com.ar/ff7/data/battle/battle.lgp/khca.png","View Picture")</f>
        <v>View Picture</v>
      </c>
    </row>
    <row r="5836">
      <c r="A5836" s="55"/>
      <c r="B5836" s="119" t="s">
        <v>37837</v>
      </c>
      <c r="C5836" s="120" t="s">
        <v>18406</v>
      </c>
      <c r="D5836" s="33" t="s">
        <v>37813</v>
      </c>
      <c r="E5836" s="51" t="s">
        <v>1248</v>
      </c>
      <c r="F5836" s="121" t="s">
        <v>3025</v>
      </c>
      <c r="H5836" s="46" t="s">
        <v>3002</v>
      </c>
    </row>
    <row r="5837">
      <c r="A5837" s="21"/>
      <c r="B5837" s="119" t="s">
        <v>37838</v>
      </c>
      <c r="C5837" s="120" t="s">
        <v>4846</v>
      </c>
      <c r="D5837" s="33" t="s">
        <v>37839</v>
      </c>
      <c r="E5837" s="51" t="s">
        <v>1253</v>
      </c>
      <c r="F5837" s="121" t="s">
        <v>2971</v>
      </c>
      <c r="G5837" s="98" t="str">
        <f>HYPERLINK("http://mirror.ff7data.com.ar/ff7/data/battle/battle.lgp/kiaa.png","View Picture")</f>
        <v>View Picture</v>
      </c>
    </row>
    <row r="5838">
      <c r="A5838" s="55"/>
      <c r="B5838" s="119" t="s">
        <v>37840</v>
      </c>
      <c r="C5838" s="120" t="s">
        <v>9790</v>
      </c>
      <c r="D5838" s="33" t="s">
        <v>37841</v>
      </c>
      <c r="E5838" s="51" t="s">
        <v>1253</v>
      </c>
      <c r="F5838" s="121" t="s">
        <v>2993</v>
      </c>
      <c r="H5838" s="46" t="s">
        <v>3002</v>
      </c>
    </row>
    <row r="5839">
      <c r="A5839" s="55"/>
      <c r="B5839" s="119" t="s">
        <v>37842</v>
      </c>
      <c r="C5839" s="120" t="s">
        <v>3842</v>
      </c>
      <c r="D5839" s="33" t="s">
        <v>37841</v>
      </c>
      <c r="E5839" s="51" t="s">
        <v>1253</v>
      </c>
      <c r="F5839" s="121" t="s">
        <v>3009</v>
      </c>
      <c r="G5839" s="98" t="str">
        <f>HYPERLINK("http://mirror.ff7data.com.ar/ff7/data/battle/battle.lgp/kiam.png","View Picture")</f>
        <v>View Picture</v>
      </c>
    </row>
    <row r="5840">
      <c r="A5840" s="55"/>
      <c r="B5840" s="119" t="s">
        <v>37843</v>
      </c>
      <c r="C5840" s="120" t="s">
        <v>5419</v>
      </c>
      <c r="D5840" s="33" t="s">
        <v>37841</v>
      </c>
      <c r="E5840" s="51" t="s">
        <v>1253</v>
      </c>
      <c r="F5840" s="121" t="s">
        <v>3009</v>
      </c>
      <c r="G5840" s="98" t="str">
        <f>HYPERLINK("http://mirror.ff7data.com.ar/ff7/data/battle/battle.lgp/kian.png","View Picture")</f>
        <v>View Picture</v>
      </c>
    </row>
    <row r="5841">
      <c r="A5841" s="55"/>
      <c r="B5841" s="119" t="s">
        <v>37844</v>
      </c>
      <c r="C5841" s="120" t="s">
        <v>36266</v>
      </c>
      <c r="D5841" s="33" t="s">
        <v>37841</v>
      </c>
      <c r="E5841" s="51" t="s">
        <v>1253</v>
      </c>
      <c r="F5841" s="121" t="s">
        <v>3009</v>
      </c>
      <c r="G5841" s="98" t="str">
        <f>HYPERLINK("http://mirror.ff7data.com.ar/ff7/data/battle/battle.lgp/kiao.png","View Picture")</f>
        <v>View Picture</v>
      </c>
    </row>
    <row r="5842">
      <c r="A5842" s="55"/>
      <c r="B5842" s="119" t="s">
        <v>37845</v>
      </c>
      <c r="C5842" s="120" t="s">
        <v>7062</v>
      </c>
      <c r="D5842" s="33" t="s">
        <v>37841</v>
      </c>
      <c r="E5842" s="51" t="s">
        <v>1253</v>
      </c>
      <c r="F5842" s="121" t="s">
        <v>3009</v>
      </c>
      <c r="G5842" s="98" t="str">
        <f>HYPERLINK("http://mirror.ff7data.com.ar/ff7/data/battle/battle.lgp/kiap.png","View Picture")</f>
        <v>View Picture</v>
      </c>
    </row>
    <row r="5843">
      <c r="A5843" s="55"/>
      <c r="B5843" s="119" t="s">
        <v>37846</v>
      </c>
      <c r="C5843" s="120" t="s">
        <v>3481</v>
      </c>
      <c r="D5843" s="33" t="s">
        <v>37841</v>
      </c>
      <c r="E5843" s="51" t="s">
        <v>1253</v>
      </c>
      <c r="F5843" s="121" t="s">
        <v>3009</v>
      </c>
      <c r="G5843" s="98" t="str">
        <f>HYPERLINK("http://mirror.ff7data.com.ar/ff7/data/battle/battle.lgp/kiar.png","View Picture")</f>
        <v>View Picture</v>
      </c>
    </row>
    <row r="5844">
      <c r="A5844" s="55"/>
      <c r="B5844" s="119" t="s">
        <v>37847</v>
      </c>
      <c r="C5844" s="120" t="s">
        <v>4476</v>
      </c>
      <c r="D5844" s="33" t="s">
        <v>37841</v>
      </c>
      <c r="E5844" s="51" t="s">
        <v>1253</v>
      </c>
      <c r="F5844" s="121" t="s">
        <v>3009</v>
      </c>
      <c r="G5844" s="98" t="str">
        <f>HYPERLINK("http://mirror.ff7data.com.ar/ff7/data/battle/battle.lgp/kiat.png","View Picture")</f>
        <v>View Picture</v>
      </c>
    </row>
    <row r="5845">
      <c r="A5845" s="55"/>
      <c r="B5845" s="119" t="s">
        <v>37848</v>
      </c>
      <c r="C5845" s="120" t="s">
        <v>4264</v>
      </c>
      <c r="D5845" s="33" t="s">
        <v>37841</v>
      </c>
      <c r="E5845" s="51" t="s">
        <v>1253</v>
      </c>
      <c r="F5845" s="121" t="s">
        <v>3009</v>
      </c>
      <c r="G5845" s="98" t="str">
        <f>HYPERLINK("http://mirror.ff7data.com.ar/ff7/data/battle/battle.lgp/kiau.png","View Picture")</f>
        <v>View Picture</v>
      </c>
    </row>
    <row r="5846">
      <c r="A5846" s="55"/>
      <c r="B5846" s="119" t="s">
        <v>37849</v>
      </c>
      <c r="C5846" s="120" t="s">
        <v>4264</v>
      </c>
      <c r="D5846" s="33" t="s">
        <v>37841</v>
      </c>
      <c r="E5846" s="51" t="s">
        <v>1253</v>
      </c>
      <c r="F5846" s="121" t="s">
        <v>3009</v>
      </c>
      <c r="G5846" s="98" t="str">
        <f>HYPERLINK("http://mirror.ff7data.com.ar/ff7/data/battle/battle.lgp/kiav.png","View Picture")</f>
        <v>View Picture</v>
      </c>
    </row>
    <row r="5847">
      <c r="A5847" s="55"/>
      <c r="B5847" s="119" t="s">
        <v>37850</v>
      </c>
      <c r="C5847" s="120" t="s">
        <v>4476</v>
      </c>
      <c r="D5847" s="33" t="s">
        <v>37841</v>
      </c>
      <c r="E5847" s="51" t="s">
        <v>1253</v>
      </c>
      <c r="F5847" s="121" t="s">
        <v>3009</v>
      </c>
      <c r="G5847" s="98" t="str">
        <f>HYPERLINK("http://mirror.ff7data.com.ar/ff7/data/battle/battle.lgp/kiax.png","View Picture")</f>
        <v>View Picture</v>
      </c>
    </row>
    <row r="5848">
      <c r="A5848" s="55"/>
      <c r="B5848" s="119" t="s">
        <v>37851</v>
      </c>
      <c r="C5848" s="120" t="s">
        <v>4264</v>
      </c>
      <c r="D5848" s="33" t="s">
        <v>37841</v>
      </c>
      <c r="E5848" s="51" t="s">
        <v>1253</v>
      </c>
      <c r="F5848" s="121" t="s">
        <v>3009</v>
      </c>
      <c r="G5848" s="98" t="str">
        <f>HYPERLINK("http://mirror.ff7data.com.ar/ff7/data/battle/battle.lgp/kiay.png","View Picture")</f>
        <v>View Picture</v>
      </c>
    </row>
    <row r="5849">
      <c r="A5849" s="55"/>
      <c r="B5849" s="119" t="s">
        <v>37852</v>
      </c>
      <c r="C5849" s="120" t="s">
        <v>4264</v>
      </c>
      <c r="D5849" s="33" t="s">
        <v>37841</v>
      </c>
      <c r="E5849" s="51" t="s">
        <v>1253</v>
      </c>
      <c r="F5849" s="121" t="s">
        <v>3009</v>
      </c>
      <c r="G5849" s="98" t="str">
        <f>HYPERLINK("http://mirror.ff7data.com.ar/ff7/data/battle/battle.lgp/kiaz.png","View Picture")</f>
        <v>View Picture</v>
      </c>
    </row>
    <row r="5850">
      <c r="A5850" s="55"/>
      <c r="B5850" s="119" t="s">
        <v>37853</v>
      </c>
      <c r="C5850" s="120" t="s">
        <v>3658</v>
      </c>
      <c r="D5850" s="33" t="s">
        <v>37841</v>
      </c>
      <c r="E5850" s="51" t="s">
        <v>1253</v>
      </c>
      <c r="F5850" s="121" t="s">
        <v>3009</v>
      </c>
      <c r="G5850" s="98" t="str">
        <f>HYPERLINK("http://mirror.ff7data.com.ar/ff7/data/battle/battle.lgp/kiba.png","View Picture")</f>
        <v>View Picture</v>
      </c>
    </row>
    <row r="5851">
      <c r="A5851" s="55"/>
      <c r="B5851" s="119" t="s">
        <v>37854</v>
      </c>
      <c r="C5851" s="120" t="s">
        <v>4357</v>
      </c>
      <c r="D5851" s="33" t="s">
        <v>37841</v>
      </c>
      <c r="E5851" s="51" t="s">
        <v>1253</v>
      </c>
      <c r="F5851" s="121" t="s">
        <v>3009</v>
      </c>
      <c r="G5851" s="98" t="str">
        <f>HYPERLINK("http://mirror.ff7data.com.ar/ff7/data/battle/battle.lgp/kibb.png","View Picture")</f>
        <v>View Picture</v>
      </c>
    </row>
    <row r="5852">
      <c r="A5852" s="55"/>
      <c r="B5852" s="119" t="s">
        <v>37855</v>
      </c>
      <c r="C5852" s="120" t="s">
        <v>3842</v>
      </c>
      <c r="D5852" s="33" t="s">
        <v>37841</v>
      </c>
      <c r="E5852" s="51" t="s">
        <v>1253</v>
      </c>
      <c r="F5852" s="121" t="s">
        <v>3009</v>
      </c>
      <c r="G5852" s="98" t="str">
        <f>HYPERLINK("http://mirror.ff7data.com.ar/ff7/data/battle/battle.lgp/kibc.png","View Picture")</f>
        <v>View Picture</v>
      </c>
    </row>
    <row r="5853">
      <c r="A5853" s="55"/>
      <c r="B5853" s="119" t="s">
        <v>37856</v>
      </c>
      <c r="C5853" s="120" t="s">
        <v>4719</v>
      </c>
      <c r="D5853" s="33" t="s">
        <v>37841</v>
      </c>
      <c r="E5853" s="51" t="s">
        <v>1253</v>
      </c>
      <c r="F5853" s="121" t="s">
        <v>3009</v>
      </c>
      <c r="G5853" s="98" t="str">
        <f>HYPERLINK("http://mirror.ff7data.com.ar/ff7/data/battle/battle.lgp/kibd.png","View Picture")</f>
        <v>View Picture</v>
      </c>
    </row>
    <row r="5854">
      <c r="A5854" s="55"/>
      <c r="B5854" s="119" t="s">
        <v>37857</v>
      </c>
      <c r="C5854" s="120" t="s">
        <v>6029</v>
      </c>
      <c r="D5854" s="33" t="s">
        <v>37841</v>
      </c>
      <c r="E5854" s="51" t="s">
        <v>1253</v>
      </c>
      <c r="F5854" s="121" t="s">
        <v>3009</v>
      </c>
      <c r="G5854" s="98" t="str">
        <f>HYPERLINK("http://mirror.ff7data.com.ar/ff7/data/battle/battle.lgp/kibe.png","View Picture")</f>
        <v>View Picture</v>
      </c>
    </row>
    <row r="5855">
      <c r="A5855" s="55"/>
      <c r="B5855" s="119" t="s">
        <v>37858</v>
      </c>
      <c r="C5855" s="120" t="s">
        <v>4185</v>
      </c>
      <c r="D5855" s="33" t="s">
        <v>37841</v>
      </c>
      <c r="E5855" s="51" t="s">
        <v>1253</v>
      </c>
      <c r="F5855" s="121" t="s">
        <v>3009</v>
      </c>
      <c r="G5855" s="98" t="str">
        <f>HYPERLINK("http://mirror.ff7data.com.ar/ff7/data/battle/battle.lgp/kibf.png","View Picture")</f>
        <v>View Picture</v>
      </c>
    </row>
    <row r="5856">
      <c r="A5856" s="55"/>
      <c r="B5856" s="119" t="s">
        <v>37859</v>
      </c>
      <c r="C5856" s="120" t="s">
        <v>4357</v>
      </c>
      <c r="D5856" s="33" t="s">
        <v>37841</v>
      </c>
      <c r="E5856" s="51" t="s">
        <v>1253</v>
      </c>
      <c r="F5856" s="121" t="s">
        <v>3009</v>
      </c>
      <c r="G5856" s="98" t="str">
        <f>HYPERLINK("http://mirror.ff7data.com.ar/ff7/data/battle/battle.lgp/kibg.png","View Picture")</f>
        <v>View Picture</v>
      </c>
    </row>
    <row r="5857">
      <c r="A5857" s="55"/>
      <c r="B5857" s="119" t="s">
        <v>37860</v>
      </c>
      <c r="C5857" s="120" t="s">
        <v>4439</v>
      </c>
      <c r="D5857" s="33" t="s">
        <v>37841</v>
      </c>
      <c r="E5857" s="51" t="s">
        <v>1253</v>
      </c>
      <c r="F5857" s="121" t="s">
        <v>3009</v>
      </c>
      <c r="G5857" s="98" t="str">
        <f>HYPERLINK("http://mirror.ff7data.com.ar/ff7/data/battle/battle.lgp/kibh.png","View Picture")</f>
        <v>View Picture</v>
      </c>
    </row>
    <row r="5858">
      <c r="A5858" s="55"/>
      <c r="B5858" s="119" t="s">
        <v>37861</v>
      </c>
      <c r="C5858" s="120" t="s">
        <v>4476</v>
      </c>
      <c r="D5858" s="33" t="s">
        <v>37841</v>
      </c>
      <c r="E5858" s="51" t="s">
        <v>1253</v>
      </c>
      <c r="F5858" s="121" t="s">
        <v>3009</v>
      </c>
      <c r="G5858" s="98" t="str">
        <f>HYPERLINK("http://mirror.ff7data.com.ar/ff7/data/battle/battle.lgp/kibi.png","View Picture")</f>
        <v>View Picture</v>
      </c>
    </row>
    <row r="5859">
      <c r="A5859" s="55"/>
      <c r="B5859" s="119" t="s">
        <v>37862</v>
      </c>
      <c r="C5859" s="120" t="s">
        <v>7148</v>
      </c>
      <c r="D5859" s="33" t="s">
        <v>37841</v>
      </c>
      <c r="E5859" s="51" t="s">
        <v>1253</v>
      </c>
      <c r="F5859" s="121" t="s">
        <v>3009</v>
      </c>
      <c r="G5859" s="98" t="str">
        <f>HYPERLINK("http://mirror.ff7data.com.ar/ff7/data/battle/battle.lgp/kibj.png","View Picture")</f>
        <v>View Picture</v>
      </c>
    </row>
    <row r="5860">
      <c r="A5860" s="55"/>
      <c r="B5860" s="119" t="s">
        <v>37863</v>
      </c>
      <c r="C5860" s="120" t="s">
        <v>3842</v>
      </c>
      <c r="D5860" s="33" t="s">
        <v>37841</v>
      </c>
      <c r="E5860" s="51" t="s">
        <v>1253</v>
      </c>
      <c r="F5860" s="121" t="s">
        <v>3009</v>
      </c>
      <c r="G5860" s="98" t="str">
        <f>HYPERLINK("http://mirror.ff7data.com.ar/ff7/data/battle/battle.lgp/kibl.png","View Picture")</f>
        <v>View Picture</v>
      </c>
    </row>
    <row r="5861">
      <c r="A5861" s="55"/>
      <c r="B5861" s="119" t="s">
        <v>37864</v>
      </c>
      <c r="C5861" s="120" t="s">
        <v>7165</v>
      </c>
      <c r="D5861" s="33" t="s">
        <v>37841</v>
      </c>
      <c r="E5861" s="51" t="s">
        <v>1253</v>
      </c>
      <c r="F5861" s="121" t="s">
        <v>3009</v>
      </c>
      <c r="G5861" s="98" t="str">
        <f>HYPERLINK("http://mirror.ff7data.com.ar/ff7/data/battle/battle.lgp/kibm.png","View Picture")</f>
        <v>View Picture</v>
      </c>
    </row>
    <row r="5862">
      <c r="A5862" s="55"/>
      <c r="B5862" s="119" t="s">
        <v>37865</v>
      </c>
      <c r="C5862" s="120" t="s">
        <v>7062</v>
      </c>
      <c r="D5862" s="33" t="s">
        <v>37841</v>
      </c>
      <c r="E5862" s="51" t="s">
        <v>1253</v>
      </c>
      <c r="F5862" s="121" t="s">
        <v>3009</v>
      </c>
      <c r="G5862" s="98" t="str">
        <f>HYPERLINK("http://mirror.ff7data.com.ar/ff7/data/battle/battle.lgp/kibn.png","View Picture")</f>
        <v>View Picture</v>
      </c>
    </row>
    <row r="5863">
      <c r="A5863" s="55"/>
      <c r="B5863" s="119" t="s">
        <v>37866</v>
      </c>
      <c r="C5863" s="120" t="s">
        <v>3842</v>
      </c>
      <c r="D5863" s="33" t="s">
        <v>37841</v>
      </c>
      <c r="E5863" s="51" t="s">
        <v>1253</v>
      </c>
      <c r="F5863" s="121" t="s">
        <v>3009</v>
      </c>
      <c r="G5863" s="98" t="str">
        <f>HYPERLINK("http://mirror.ff7data.com.ar/ff7/data/battle/battle.lgp/kibp.png","View Picture")</f>
        <v>View Picture</v>
      </c>
    </row>
    <row r="5864">
      <c r="A5864" s="55"/>
      <c r="B5864" s="119" t="s">
        <v>37867</v>
      </c>
      <c r="C5864" s="120" t="s">
        <v>7165</v>
      </c>
      <c r="D5864" s="33" t="s">
        <v>37841</v>
      </c>
      <c r="E5864" s="51" t="s">
        <v>1253</v>
      </c>
      <c r="F5864" s="121" t="s">
        <v>3009</v>
      </c>
      <c r="G5864" s="98" t="str">
        <f>HYPERLINK("http://mirror.ff7data.com.ar/ff7/data/battle/battle.lgp/kibq.png","View Picture")</f>
        <v>View Picture</v>
      </c>
    </row>
    <row r="5865">
      <c r="A5865" s="55"/>
      <c r="B5865" s="119" t="s">
        <v>37868</v>
      </c>
      <c r="C5865" s="120" t="s">
        <v>7062</v>
      </c>
      <c r="D5865" s="33" t="s">
        <v>37841</v>
      </c>
      <c r="E5865" s="51" t="s">
        <v>1253</v>
      </c>
      <c r="F5865" s="121" t="s">
        <v>3009</v>
      </c>
      <c r="G5865" s="98" t="str">
        <f>HYPERLINK("http://mirror.ff7data.com.ar/ff7/data/battle/battle.lgp/kibr.png","View Picture")</f>
        <v>View Picture</v>
      </c>
    </row>
    <row r="5866">
      <c r="A5866" s="55"/>
      <c r="B5866" s="119" t="s">
        <v>37869</v>
      </c>
      <c r="C5866" s="120" t="s">
        <v>3318</v>
      </c>
      <c r="D5866" s="33" t="s">
        <v>37841</v>
      </c>
      <c r="E5866" s="51" t="s">
        <v>1253</v>
      </c>
      <c r="F5866" s="121" t="s">
        <v>3025</v>
      </c>
      <c r="H5866" s="46" t="s">
        <v>3002</v>
      </c>
    </row>
    <row r="5867">
      <c r="A5867" s="21"/>
      <c r="B5867" s="119" t="s">
        <v>37870</v>
      </c>
      <c r="C5867" s="120" t="s">
        <v>2989</v>
      </c>
      <c r="D5867" s="33" t="s">
        <v>37871</v>
      </c>
      <c r="E5867" s="51" t="s">
        <v>1257</v>
      </c>
      <c r="F5867" s="121" t="s">
        <v>2971</v>
      </c>
      <c r="G5867" s="98" t="str">
        <f>HYPERLINK("http://mirror.ff7data.com.ar/ff7/data/battle/battle.lgp/kjaa.png","View Picture")</f>
        <v>View Picture</v>
      </c>
      <c r="H5867" s="46" t="s">
        <v>37872</v>
      </c>
    </row>
    <row r="5868">
      <c r="A5868" s="55"/>
      <c r="B5868" s="119" t="s">
        <v>37873</v>
      </c>
      <c r="C5868" s="120" t="s">
        <v>9790</v>
      </c>
      <c r="D5868" s="33" t="s">
        <v>37874</v>
      </c>
      <c r="E5868" s="51" t="s">
        <v>1257</v>
      </c>
      <c r="F5868" s="121" t="s">
        <v>2993</v>
      </c>
      <c r="H5868" s="46" t="s">
        <v>3002</v>
      </c>
    </row>
    <row r="5869">
      <c r="A5869" s="55"/>
      <c r="B5869" s="119" t="s">
        <v>37875</v>
      </c>
      <c r="C5869" s="120" t="s">
        <v>4732</v>
      </c>
      <c r="D5869" s="33" t="s">
        <v>37874</v>
      </c>
      <c r="E5869" s="51" t="s">
        <v>1257</v>
      </c>
      <c r="F5869" s="121" t="s">
        <v>3009</v>
      </c>
      <c r="G5869" s="98" t="str">
        <f>HYPERLINK("http://mirror.ff7data.com.ar/ff7/data/battle/battle.lgp/kjam.png","View Picture")</f>
        <v>View Picture</v>
      </c>
    </row>
    <row r="5870">
      <c r="A5870" s="55"/>
      <c r="B5870" s="119" t="s">
        <v>37876</v>
      </c>
      <c r="C5870" s="120" t="s">
        <v>3343</v>
      </c>
      <c r="D5870" s="33" t="s">
        <v>37874</v>
      </c>
      <c r="E5870" s="51" t="s">
        <v>1257</v>
      </c>
      <c r="F5870" s="121" t="s">
        <v>3009</v>
      </c>
      <c r="G5870" s="98" t="str">
        <f>HYPERLINK("http://mirror.ff7data.com.ar/ff7/data/battle/battle.lgp/kjan.png","View Picture")</f>
        <v>View Picture</v>
      </c>
    </row>
    <row r="5871">
      <c r="A5871" s="55"/>
      <c r="B5871" s="119" t="s">
        <v>37877</v>
      </c>
      <c r="C5871" s="120" t="s">
        <v>4288</v>
      </c>
      <c r="D5871" s="33" t="s">
        <v>37874</v>
      </c>
      <c r="E5871" s="51" t="s">
        <v>1257</v>
      </c>
      <c r="F5871" s="121" t="s">
        <v>3009</v>
      </c>
      <c r="G5871" s="98" t="str">
        <f>HYPERLINK("http://mirror.ff7data.com.ar/ff7/data/battle/battle.lgp/kjao.png","View Picture")</f>
        <v>View Picture</v>
      </c>
    </row>
    <row r="5872">
      <c r="A5872" s="55"/>
      <c r="B5872" s="119" t="s">
        <v>37878</v>
      </c>
      <c r="C5872" s="120" t="s">
        <v>4288</v>
      </c>
      <c r="D5872" s="33" t="s">
        <v>37874</v>
      </c>
      <c r="E5872" s="51" t="s">
        <v>1257</v>
      </c>
      <c r="F5872" s="121" t="s">
        <v>3009</v>
      </c>
      <c r="G5872" s="98" t="str">
        <f>HYPERLINK("http://mirror.ff7data.com.ar/ff7/data/battle/battle.lgp/kjap.png","View Picture")</f>
        <v>View Picture</v>
      </c>
    </row>
    <row r="5873">
      <c r="A5873" s="55"/>
      <c r="B5873" s="119" t="s">
        <v>37879</v>
      </c>
      <c r="C5873" s="120" t="s">
        <v>4288</v>
      </c>
      <c r="D5873" s="33" t="s">
        <v>37874</v>
      </c>
      <c r="E5873" s="51" t="s">
        <v>1257</v>
      </c>
      <c r="F5873" s="121" t="s">
        <v>3009</v>
      </c>
      <c r="G5873" s="98" t="str">
        <f>HYPERLINK("http://mirror.ff7data.com.ar/ff7/data/battle/battle.lgp/kjaq.png","View Picture")</f>
        <v>View Picture</v>
      </c>
    </row>
    <row r="5874">
      <c r="A5874" s="55"/>
      <c r="B5874" s="119" t="s">
        <v>37880</v>
      </c>
      <c r="C5874" s="120" t="s">
        <v>4288</v>
      </c>
      <c r="D5874" s="33" t="s">
        <v>37874</v>
      </c>
      <c r="E5874" s="51" t="s">
        <v>1257</v>
      </c>
      <c r="F5874" s="121" t="s">
        <v>3009</v>
      </c>
      <c r="G5874" s="98" t="str">
        <f>HYPERLINK("http://mirror.ff7data.com.ar/ff7/data/battle/battle.lgp/kjar.png","View Picture")</f>
        <v>View Picture</v>
      </c>
    </row>
    <row r="5875">
      <c r="A5875" s="55"/>
      <c r="B5875" s="119" t="s">
        <v>37881</v>
      </c>
      <c r="C5875" s="120" t="s">
        <v>4288</v>
      </c>
      <c r="D5875" s="33" t="s">
        <v>37874</v>
      </c>
      <c r="E5875" s="51" t="s">
        <v>1257</v>
      </c>
      <c r="F5875" s="121" t="s">
        <v>3009</v>
      </c>
      <c r="G5875" s="98" t="str">
        <f>HYPERLINK("http://mirror.ff7data.com.ar/ff7/data/battle/battle.lgp/kjat.png","View Picture")</f>
        <v>View Picture</v>
      </c>
    </row>
    <row r="5876">
      <c r="A5876" s="55"/>
      <c r="B5876" s="119" t="s">
        <v>37882</v>
      </c>
      <c r="C5876" s="120" t="s">
        <v>4288</v>
      </c>
      <c r="D5876" s="33" t="s">
        <v>37874</v>
      </c>
      <c r="E5876" s="51" t="s">
        <v>1257</v>
      </c>
      <c r="F5876" s="121" t="s">
        <v>3009</v>
      </c>
      <c r="G5876" s="98" t="str">
        <f>HYPERLINK("http://mirror.ff7data.com.ar/ff7/data/battle/battle.lgp/kjau.png","View Picture")</f>
        <v>View Picture</v>
      </c>
    </row>
    <row r="5877">
      <c r="A5877" s="55"/>
      <c r="B5877" s="119" t="s">
        <v>37883</v>
      </c>
      <c r="C5877" s="120" t="s">
        <v>21725</v>
      </c>
      <c r="D5877" s="33" t="s">
        <v>37874</v>
      </c>
      <c r="E5877" s="51" t="s">
        <v>1257</v>
      </c>
      <c r="F5877" s="121" t="s">
        <v>3009</v>
      </c>
      <c r="G5877" s="98" t="str">
        <f>HYPERLINK("http://mirror.ff7data.com.ar/ff7/data/battle/battle.lgp/kjav.png","View Picture")</f>
        <v>View Picture</v>
      </c>
    </row>
    <row r="5878">
      <c r="A5878" s="55"/>
      <c r="B5878" s="119" t="s">
        <v>37884</v>
      </c>
      <c r="C5878" s="120" t="s">
        <v>4288</v>
      </c>
      <c r="D5878" s="33" t="s">
        <v>37874</v>
      </c>
      <c r="E5878" s="51" t="s">
        <v>1257</v>
      </c>
      <c r="F5878" s="121" t="s">
        <v>3009</v>
      </c>
      <c r="G5878" s="98" t="str">
        <f>HYPERLINK("http://mirror.ff7data.com.ar/ff7/data/battle/battle.lgp/kjaw.png","View Picture")</f>
        <v>View Picture</v>
      </c>
    </row>
    <row r="5879">
      <c r="A5879" s="55"/>
      <c r="B5879" s="119" t="s">
        <v>37885</v>
      </c>
      <c r="C5879" s="120" t="s">
        <v>21725</v>
      </c>
      <c r="D5879" s="33" t="s">
        <v>37874</v>
      </c>
      <c r="E5879" s="51" t="s">
        <v>1257</v>
      </c>
      <c r="F5879" s="121" t="s">
        <v>3009</v>
      </c>
      <c r="G5879" s="98" t="str">
        <f>HYPERLINK("http://mirror.ff7data.com.ar/ff7/data/battle/battle.lgp/kjay.png","View Picture")</f>
        <v>View Picture</v>
      </c>
    </row>
    <row r="5880">
      <c r="A5880" s="55"/>
      <c r="B5880" s="119" t="s">
        <v>37886</v>
      </c>
      <c r="C5880" s="120" t="s">
        <v>4288</v>
      </c>
      <c r="D5880" s="33" t="s">
        <v>37874</v>
      </c>
      <c r="E5880" s="51" t="s">
        <v>1257</v>
      </c>
      <c r="F5880" s="121" t="s">
        <v>3009</v>
      </c>
      <c r="G5880" s="98" t="str">
        <f>HYPERLINK("http://mirror.ff7data.com.ar/ff7/data/battle/battle.lgp/kjaz.png","View Picture")</f>
        <v>View Picture</v>
      </c>
    </row>
    <row r="5881">
      <c r="A5881" s="55"/>
      <c r="B5881" s="119" t="s">
        <v>37887</v>
      </c>
      <c r="C5881" s="120" t="s">
        <v>4288</v>
      </c>
      <c r="D5881" s="33" t="s">
        <v>37874</v>
      </c>
      <c r="E5881" s="51" t="s">
        <v>1257</v>
      </c>
      <c r="F5881" s="121" t="s">
        <v>3009</v>
      </c>
      <c r="G5881" s="98" t="str">
        <f>HYPERLINK("http://mirror.ff7data.com.ar/ff7/data/battle/battle.lgp/kjba.png","View Picture")</f>
        <v>View Picture</v>
      </c>
    </row>
    <row r="5882">
      <c r="A5882" s="55"/>
      <c r="B5882" s="119" t="s">
        <v>37888</v>
      </c>
      <c r="C5882" s="120" t="s">
        <v>4288</v>
      </c>
      <c r="D5882" s="33" t="s">
        <v>37874</v>
      </c>
      <c r="E5882" s="51" t="s">
        <v>1257</v>
      </c>
      <c r="F5882" s="121" t="s">
        <v>3009</v>
      </c>
      <c r="G5882" s="98" t="str">
        <f>HYPERLINK("http://mirror.ff7data.com.ar/ff7/data/battle/battle.lgp/kjbb.png","View Picture")</f>
        <v>View Picture</v>
      </c>
    </row>
    <row r="5883">
      <c r="A5883" s="55"/>
      <c r="B5883" s="119" t="s">
        <v>37889</v>
      </c>
      <c r="C5883" s="120" t="s">
        <v>7501</v>
      </c>
      <c r="D5883" s="33" t="s">
        <v>37874</v>
      </c>
      <c r="E5883" s="51" t="s">
        <v>1257</v>
      </c>
      <c r="F5883" s="121" t="s">
        <v>3009</v>
      </c>
      <c r="G5883" s="98" t="str">
        <f>HYPERLINK("http://mirror.ff7data.com.ar/ff7/data/battle/battle.lgp/kjbc.png","View Picture")</f>
        <v>View Picture</v>
      </c>
    </row>
    <row r="5884">
      <c r="A5884" s="55"/>
      <c r="B5884" s="119" t="s">
        <v>37890</v>
      </c>
      <c r="C5884" s="120" t="s">
        <v>7270</v>
      </c>
      <c r="D5884" s="33" t="s">
        <v>37874</v>
      </c>
      <c r="E5884" s="51" t="s">
        <v>1257</v>
      </c>
      <c r="F5884" s="121" t="s">
        <v>3009</v>
      </c>
      <c r="G5884" s="98" t="str">
        <f>HYPERLINK("http://mirror.ff7data.com.ar/ff7/data/battle/battle.lgp/kjbd.png","View Picture")</f>
        <v>View Picture</v>
      </c>
    </row>
    <row r="5885">
      <c r="A5885" s="55"/>
      <c r="B5885" s="119" t="s">
        <v>37891</v>
      </c>
      <c r="C5885" s="120" t="s">
        <v>4240</v>
      </c>
      <c r="D5885" s="33" t="s">
        <v>37874</v>
      </c>
      <c r="E5885" s="51" t="s">
        <v>1257</v>
      </c>
      <c r="F5885" s="121" t="s">
        <v>3009</v>
      </c>
      <c r="G5885" s="98" t="str">
        <f>HYPERLINK("http://mirror.ff7data.com.ar/ff7/data/battle/battle.lgp/kjbe.png","View Picture")</f>
        <v>View Picture</v>
      </c>
    </row>
    <row r="5886">
      <c r="A5886" s="55"/>
      <c r="B5886" s="119" t="s">
        <v>37892</v>
      </c>
      <c r="C5886" s="120" t="s">
        <v>19043</v>
      </c>
      <c r="D5886" s="33" t="s">
        <v>37874</v>
      </c>
      <c r="E5886" s="51" t="s">
        <v>1257</v>
      </c>
      <c r="F5886" s="121" t="s">
        <v>3009</v>
      </c>
      <c r="G5886" s="98" t="str">
        <f>HYPERLINK("http://mirror.ff7data.com.ar/ff7/data/battle/battle.lgp/kjbf.png","View Picture")</f>
        <v>View Picture</v>
      </c>
    </row>
    <row r="5887">
      <c r="A5887" s="55"/>
      <c r="B5887" s="119" t="s">
        <v>37893</v>
      </c>
      <c r="C5887" s="120" t="s">
        <v>3007</v>
      </c>
      <c r="D5887" s="33" t="s">
        <v>37874</v>
      </c>
      <c r="E5887" s="51" t="s">
        <v>1257</v>
      </c>
      <c r="F5887" s="121" t="s">
        <v>3009</v>
      </c>
      <c r="G5887" s="98" t="str">
        <f>HYPERLINK("http://mirror.ff7data.com.ar/ff7/data/battle/battle.lgp/kjbh.png","View Picture")</f>
        <v>View Picture</v>
      </c>
    </row>
    <row r="5888">
      <c r="A5888" s="55"/>
      <c r="B5888" s="119" t="s">
        <v>37894</v>
      </c>
      <c r="C5888" s="120" t="s">
        <v>3007</v>
      </c>
      <c r="D5888" s="33" t="s">
        <v>37874</v>
      </c>
      <c r="E5888" s="51" t="s">
        <v>1257</v>
      </c>
      <c r="F5888" s="121" t="s">
        <v>3009</v>
      </c>
      <c r="G5888" s="98" t="str">
        <f>HYPERLINK("http://mirror.ff7data.com.ar/ff7/data/battle/battle.lgp/kjbj.png","View Picture")</f>
        <v>View Picture</v>
      </c>
    </row>
    <row r="5889">
      <c r="A5889" s="55"/>
      <c r="B5889" s="119" t="s">
        <v>37895</v>
      </c>
      <c r="C5889" s="120" t="s">
        <v>3007</v>
      </c>
      <c r="D5889" s="33" t="s">
        <v>37874</v>
      </c>
      <c r="E5889" s="51" t="s">
        <v>1257</v>
      </c>
      <c r="F5889" s="121" t="s">
        <v>3009</v>
      </c>
      <c r="G5889" s="98" t="str">
        <f>HYPERLINK("http://mirror.ff7data.com.ar/ff7/data/battle/battle.lgp/kjbl.png","View Picture")</f>
        <v>View Picture</v>
      </c>
    </row>
    <row r="5890">
      <c r="A5890" s="55"/>
      <c r="B5890" s="119" t="s">
        <v>37896</v>
      </c>
      <c r="C5890" s="120" t="s">
        <v>3991</v>
      </c>
      <c r="D5890" s="33" t="s">
        <v>37874</v>
      </c>
      <c r="E5890" s="51" t="s">
        <v>1257</v>
      </c>
      <c r="F5890" s="121" t="s">
        <v>3009</v>
      </c>
      <c r="G5890" s="98" t="str">
        <f>HYPERLINK("http://mirror.ff7data.com.ar/ff7/data/battle/battle.lgp/kjbn.png","View Picture")</f>
        <v>View Picture</v>
      </c>
    </row>
    <row r="5891">
      <c r="A5891" s="55"/>
      <c r="B5891" s="119" t="s">
        <v>37897</v>
      </c>
      <c r="C5891" s="120" t="s">
        <v>3991</v>
      </c>
      <c r="D5891" s="33" t="s">
        <v>37874</v>
      </c>
      <c r="E5891" s="51" t="s">
        <v>1257</v>
      </c>
      <c r="F5891" s="121" t="s">
        <v>3009</v>
      </c>
      <c r="G5891" s="98" t="str">
        <f>HYPERLINK("http://mirror.ff7data.com.ar/ff7/data/battle/battle.lgp/kjbp.png","View Picture")</f>
        <v>View Picture</v>
      </c>
    </row>
    <row r="5892">
      <c r="A5892" s="55"/>
      <c r="B5892" s="119" t="s">
        <v>37898</v>
      </c>
      <c r="C5892" s="120" t="s">
        <v>5762</v>
      </c>
      <c r="D5892" s="33" t="s">
        <v>37874</v>
      </c>
      <c r="E5892" s="51" t="s">
        <v>1257</v>
      </c>
      <c r="F5892" s="121" t="s">
        <v>3025</v>
      </c>
      <c r="H5892" s="46" t="s">
        <v>3002</v>
      </c>
    </row>
    <row r="5893">
      <c r="A5893" s="21"/>
      <c r="B5893" s="119" t="s">
        <v>37899</v>
      </c>
      <c r="C5893" s="120" t="s">
        <v>4468</v>
      </c>
      <c r="D5893" s="33" t="s">
        <v>37900</v>
      </c>
      <c r="E5893" s="51" t="s">
        <v>1261</v>
      </c>
      <c r="F5893" s="121" t="s">
        <v>2971</v>
      </c>
      <c r="G5893" s="98" t="str">
        <f>HYPERLINK("http://mirror.ff7data.com.ar/ff7/data/battle/battle.lgp/kkaa.png","View Picture")</f>
        <v>View Picture</v>
      </c>
    </row>
    <row r="5894">
      <c r="A5894" s="55"/>
      <c r="B5894" s="119" t="s">
        <v>37901</v>
      </c>
      <c r="C5894" s="120" t="s">
        <v>5724</v>
      </c>
      <c r="D5894" s="33" t="s">
        <v>37902</v>
      </c>
      <c r="E5894" s="51" t="s">
        <v>1261</v>
      </c>
      <c r="F5894" s="121" t="s">
        <v>2993</v>
      </c>
      <c r="H5894" s="46" t="s">
        <v>3002</v>
      </c>
    </row>
    <row r="5895">
      <c r="A5895" s="55"/>
      <c r="B5895" s="119" t="s">
        <v>37903</v>
      </c>
      <c r="C5895" s="120" t="s">
        <v>4046</v>
      </c>
      <c r="D5895" s="33" t="s">
        <v>37902</v>
      </c>
      <c r="E5895" s="51" t="s">
        <v>1261</v>
      </c>
      <c r="F5895" s="121" t="s">
        <v>3009</v>
      </c>
      <c r="G5895" s="98" t="str">
        <f>HYPERLINK("http://mirror.ff7data.com.ar/ff7/data/battle/battle.lgp/kkam.png","View Picture")</f>
        <v>View Picture</v>
      </c>
    </row>
    <row r="5896">
      <c r="A5896" s="55"/>
      <c r="B5896" s="119" t="s">
        <v>37904</v>
      </c>
      <c r="C5896" s="120" t="s">
        <v>3853</v>
      </c>
      <c r="D5896" s="33" t="s">
        <v>37902</v>
      </c>
      <c r="E5896" s="51" t="s">
        <v>1261</v>
      </c>
      <c r="F5896" s="121" t="s">
        <v>3009</v>
      </c>
      <c r="G5896" s="98" t="str">
        <f>HYPERLINK("http://mirror.ff7data.com.ar/ff7/data/battle/battle.lgp/kkan.png","View Picture")</f>
        <v>View Picture</v>
      </c>
    </row>
    <row r="5897">
      <c r="A5897" s="55"/>
      <c r="B5897" s="119" t="s">
        <v>37905</v>
      </c>
      <c r="C5897" s="120" t="s">
        <v>4707</v>
      </c>
      <c r="D5897" s="33" t="s">
        <v>37902</v>
      </c>
      <c r="E5897" s="51" t="s">
        <v>1261</v>
      </c>
      <c r="F5897" s="121" t="s">
        <v>3009</v>
      </c>
      <c r="G5897" s="98" t="str">
        <f>HYPERLINK("http://mirror.ff7data.com.ar/ff7/data/battle/battle.lgp/kkar.png","View Picture")</f>
        <v>View Picture</v>
      </c>
    </row>
    <row r="5898">
      <c r="A5898" s="55"/>
      <c r="B5898" s="119" t="s">
        <v>37906</v>
      </c>
      <c r="C5898" s="120" t="s">
        <v>4288</v>
      </c>
      <c r="D5898" s="33" t="s">
        <v>37902</v>
      </c>
      <c r="E5898" s="51" t="s">
        <v>1261</v>
      </c>
      <c r="F5898" s="121" t="s">
        <v>3009</v>
      </c>
      <c r="G5898" s="98" t="str">
        <f>HYPERLINK("http://mirror.ff7data.com.ar/ff7/data/battle/battle.lgp/kkat.png","View Picture")</f>
        <v>View Picture</v>
      </c>
    </row>
    <row r="5899">
      <c r="A5899" s="55"/>
      <c r="B5899" s="119" t="s">
        <v>37907</v>
      </c>
      <c r="C5899" s="120" t="s">
        <v>17230</v>
      </c>
      <c r="D5899" s="33" t="s">
        <v>37902</v>
      </c>
      <c r="E5899" s="51" t="s">
        <v>1261</v>
      </c>
      <c r="F5899" s="121" t="s">
        <v>3009</v>
      </c>
      <c r="G5899" s="98" t="str">
        <f>HYPERLINK("http://mirror.ff7data.com.ar/ff7/data/battle/battle.lgp/kkau.png","View Picture")</f>
        <v>View Picture</v>
      </c>
    </row>
    <row r="5900">
      <c r="A5900" s="55"/>
      <c r="B5900" s="119" t="s">
        <v>37908</v>
      </c>
      <c r="C5900" s="120" t="s">
        <v>5356</v>
      </c>
      <c r="D5900" s="33" t="s">
        <v>37902</v>
      </c>
      <c r="E5900" s="51" t="s">
        <v>1261</v>
      </c>
      <c r="F5900" s="121" t="s">
        <v>3009</v>
      </c>
      <c r="G5900" s="98" t="str">
        <f>HYPERLINK("http://mirror.ff7data.com.ar/ff7/data/battle/battle.lgp/kkav.png","View Picture")</f>
        <v>View Picture</v>
      </c>
    </row>
    <row r="5901">
      <c r="A5901" s="55"/>
      <c r="B5901" s="119" t="s">
        <v>37909</v>
      </c>
      <c r="C5901" s="120" t="s">
        <v>4288</v>
      </c>
      <c r="D5901" s="33" t="s">
        <v>37902</v>
      </c>
      <c r="E5901" s="51" t="s">
        <v>1261</v>
      </c>
      <c r="F5901" s="121" t="s">
        <v>3009</v>
      </c>
      <c r="G5901" s="98" t="str">
        <f>HYPERLINK("http://mirror.ff7data.com.ar/ff7/data/battle/battle.lgp/kkaw.png","View Picture")</f>
        <v>View Picture</v>
      </c>
    </row>
    <row r="5902">
      <c r="A5902" s="55"/>
      <c r="B5902" s="119" t="s">
        <v>37910</v>
      </c>
      <c r="C5902" s="120" t="s">
        <v>26336</v>
      </c>
      <c r="D5902" s="33" t="s">
        <v>37902</v>
      </c>
      <c r="E5902" s="51" t="s">
        <v>1261</v>
      </c>
      <c r="F5902" s="121" t="s">
        <v>3009</v>
      </c>
      <c r="G5902" s="98" t="str">
        <f>HYPERLINK("http://mirror.ff7data.com.ar/ff7/data/battle/battle.lgp/kkax.png","View Picture")</f>
        <v>View Picture</v>
      </c>
    </row>
    <row r="5903">
      <c r="A5903" s="55"/>
      <c r="B5903" s="119" t="s">
        <v>37911</v>
      </c>
      <c r="C5903" s="120" t="s">
        <v>5356</v>
      </c>
      <c r="D5903" s="33" t="s">
        <v>37902</v>
      </c>
      <c r="E5903" s="51" t="s">
        <v>1261</v>
      </c>
      <c r="F5903" s="121" t="s">
        <v>3009</v>
      </c>
      <c r="G5903" s="98" t="str">
        <f>HYPERLINK("http://mirror.ff7data.com.ar/ff7/data/battle/battle.lgp/kkay.png","View Picture")</f>
        <v>View Picture</v>
      </c>
    </row>
    <row r="5904">
      <c r="A5904" s="55"/>
      <c r="B5904" s="119" t="s">
        <v>37912</v>
      </c>
      <c r="C5904" s="120" t="s">
        <v>4646</v>
      </c>
      <c r="D5904" s="33" t="s">
        <v>37902</v>
      </c>
      <c r="E5904" s="51" t="s">
        <v>1261</v>
      </c>
      <c r="F5904" s="121" t="s">
        <v>3009</v>
      </c>
      <c r="G5904" s="98" t="str">
        <f>HYPERLINK("http://mirror.ff7data.com.ar/ff7/data/battle/battle.lgp/kkaz.png","View Picture")</f>
        <v>View Picture</v>
      </c>
    </row>
    <row r="5905">
      <c r="A5905" s="55"/>
      <c r="B5905" s="119" t="s">
        <v>37913</v>
      </c>
      <c r="C5905" s="120" t="s">
        <v>3991</v>
      </c>
      <c r="D5905" s="33" t="s">
        <v>37902</v>
      </c>
      <c r="E5905" s="51" t="s">
        <v>1261</v>
      </c>
      <c r="F5905" s="121" t="s">
        <v>3009</v>
      </c>
      <c r="G5905" s="98" t="str">
        <f>HYPERLINK("http://mirror.ff7data.com.ar/ff7/data/battle/battle.lgp/kkba.png","View Picture")</f>
        <v>View Picture</v>
      </c>
    </row>
    <row r="5906">
      <c r="A5906" s="55"/>
      <c r="B5906" s="119" t="s">
        <v>37914</v>
      </c>
      <c r="C5906" s="120" t="s">
        <v>3007</v>
      </c>
      <c r="D5906" s="33" t="s">
        <v>37902</v>
      </c>
      <c r="E5906" s="51" t="s">
        <v>1261</v>
      </c>
      <c r="F5906" s="121" t="s">
        <v>3009</v>
      </c>
      <c r="G5906" s="98" t="str">
        <f>HYPERLINK("http://mirror.ff7data.com.ar/ff7/data/battle/battle.lgp/kkbb.png","View Picture")</f>
        <v>View Picture</v>
      </c>
    </row>
    <row r="5907">
      <c r="A5907" s="55"/>
      <c r="B5907" s="119" t="s">
        <v>37915</v>
      </c>
      <c r="C5907" s="120" t="s">
        <v>4646</v>
      </c>
      <c r="D5907" s="33" t="s">
        <v>37902</v>
      </c>
      <c r="E5907" s="51" t="s">
        <v>1261</v>
      </c>
      <c r="F5907" s="121" t="s">
        <v>3009</v>
      </c>
      <c r="G5907" s="98" t="str">
        <f>HYPERLINK("http://mirror.ff7data.com.ar/ff7/data/battle/battle.lgp/kkbc.png","View Picture")</f>
        <v>View Picture</v>
      </c>
    </row>
    <row r="5908">
      <c r="A5908" s="55"/>
      <c r="B5908" s="119" t="s">
        <v>37916</v>
      </c>
      <c r="C5908" s="120" t="s">
        <v>4288</v>
      </c>
      <c r="D5908" s="33" t="s">
        <v>37902</v>
      </c>
      <c r="E5908" s="51" t="s">
        <v>1261</v>
      </c>
      <c r="F5908" s="121" t="s">
        <v>3009</v>
      </c>
      <c r="G5908" s="98" t="str">
        <f>HYPERLINK("http://mirror.ff7data.com.ar/ff7/data/battle/battle.lgp/kkbe.png","View Picture")</f>
        <v>View Picture</v>
      </c>
    </row>
    <row r="5909">
      <c r="A5909" s="55"/>
      <c r="B5909" s="119" t="s">
        <v>37917</v>
      </c>
      <c r="C5909" s="120" t="s">
        <v>20391</v>
      </c>
      <c r="D5909" s="33" t="s">
        <v>37902</v>
      </c>
      <c r="E5909" s="51" t="s">
        <v>1261</v>
      </c>
      <c r="F5909" s="121" t="s">
        <v>3009</v>
      </c>
      <c r="G5909" s="98" t="str">
        <f>HYPERLINK("http://mirror.ff7data.com.ar/ff7/data/battle/battle.lgp/kkbf.png","View Picture")</f>
        <v>View Picture</v>
      </c>
    </row>
    <row r="5910">
      <c r="A5910" s="55"/>
      <c r="B5910" s="119" t="s">
        <v>37918</v>
      </c>
      <c r="C5910" s="120" t="s">
        <v>5356</v>
      </c>
      <c r="D5910" s="33" t="s">
        <v>37902</v>
      </c>
      <c r="E5910" s="51" t="s">
        <v>1261</v>
      </c>
      <c r="F5910" s="121" t="s">
        <v>3009</v>
      </c>
      <c r="G5910" s="98" t="str">
        <f>HYPERLINK("http://mirror.ff7data.com.ar/ff7/data/battle/battle.lgp/kkbg.png","View Picture")</f>
        <v>View Picture</v>
      </c>
    </row>
    <row r="5911">
      <c r="A5911" s="55"/>
      <c r="B5911" s="119" t="s">
        <v>37919</v>
      </c>
      <c r="C5911" s="120" t="s">
        <v>4288</v>
      </c>
      <c r="D5911" s="33" t="s">
        <v>37902</v>
      </c>
      <c r="E5911" s="51" t="s">
        <v>1261</v>
      </c>
      <c r="F5911" s="121" t="s">
        <v>3009</v>
      </c>
      <c r="G5911" s="98" t="str">
        <f>HYPERLINK("http://mirror.ff7data.com.ar/ff7/data/battle/battle.lgp/kkbh.png","View Picture")</f>
        <v>View Picture</v>
      </c>
    </row>
    <row r="5912">
      <c r="A5912" s="55"/>
      <c r="B5912" s="119" t="s">
        <v>37920</v>
      </c>
      <c r="C5912" s="120" t="s">
        <v>6769</v>
      </c>
      <c r="D5912" s="33" t="s">
        <v>37902</v>
      </c>
      <c r="E5912" s="51" t="s">
        <v>1261</v>
      </c>
      <c r="F5912" s="121" t="s">
        <v>3009</v>
      </c>
      <c r="G5912" s="98" t="str">
        <f>HYPERLINK("http://mirror.ff7data.com.ar/ff7/data/battle/battle.lgp/kkbi.png","View Picture")</f>
        <v>View Picture</v>
      </c>
    </row>
    <row r="5913">
      <c r="A5913" s="55"/>
      <c r="B5913" s="119" t="s">
        <v>37921</v>
      </c>
      <c r="C5913" s="120" t="s">
        <v>37922</v>
      </c>
      <c r="D5913" s="33" t="s">
        <v>37902</v>
      </c>
      <c r="E5913" s="51" t="s">
        <v>1261</v>
      </c>
      <c r="F5913" s="121" t="s">
        <v>3009</v>
      </c>
      <c r="G5913" s="98" t="str">
        <f>HYPERLINK("http://mirror.ff7data.com.ar/ff7/data/battle/battle.lgp/kkbj.png","View Picture")</f>
        <v>View Picture</v>
      </c>
    </row>
    <row r="5914">
      <c r="A5914" s="55"/>
      <c r="B5914" s="119" t="s">
        <v>37923</v>
      </c>
      <c r="C5914" s="120" t="s">
        <v>4696</v>
      </c>
      <c r="D5914" s="33" t="s">
        <v>37902</v>
      </c>
      <c r="E5914" s="51" t="s">
        <v>1261</v>
      </c>
      <c r="F5914" s="121" t="s">
        <v>3009</v>
      </c>
      <c r="G5914" s="98" t="str">
        <f>HYPERLINK("http://mirror.ff7data.com.ar/ff7/data/battle/battle.lgp/kkbk.png","View Picture")</f>
        <v>View Picture</v>
      </c>
    </row>
    <row r="5915">
      <c r="A5915" s="55"/>
      <c r="B5915" s="119" t="s">
        <v>37924</v>
      </c>
      <c r="C5915" s="120" t="s">
        <v>3007</v>
      </c>
      <c r="D5915" s="33" t="s">
        <v>37902</v>
      </c>
      <c r="E5915" s="51" t="s">
        <v>1261</v>
      </c>
      <c r="F5915" s="121" t="s">
        <v>3009</v>
      </c>
      <c r="G5915" s="98" t="str">
        <f>HYPERLINK("http://mirror.ff7data.com.ar/ff7/data/battle/battle.lgp/kkbl.png","View Picture")</f>
        <v>View Picture</v>
      </c>
    </row>
    <row r="5916">
      <c r="A5916" s="55"/>
      <c r="B5916" s="119" t="s">
        <v>37925</v>
      </c>
      <c r="C5916" s="120" t="s">
        <v>3007</v>
      </c>
      <c r="D5916" s="33" t="s">
        <v>37902</v>
      </c>
      <c r="E5916" s="51" t="s">
        <v>1261</v>
      </c>
      <c r="F5916" s="121" t="s">
        <v>3009</v>
      </c>
      <c r="G5916" s="98" t="str">
        <f>HYPERLINK("http://mirror.ff7data.com.ar/ff7/data/battle/battle.lgp/kkbm.png","View Picture")</f>
        <v>View Picture</v>
      </c>
    </row>
    <row r="5917">
      <c r="A5917" s="55"/>
      <c r="B5917" s="119" t="s">
        <v>37926</v>
      </c>
      <c r="C5917" s="120" t="s">
        <v>4646</v>
      </c>
      <c r="D5917" s="33" t="s">
        <v>37902</v>
      </c>
      <c r="E5917" s="51" t="s">
        <v>1261</v>
      </c>
      <c r="F5917" s="121" t="s">
        <v>3009</v>
      </c>
      <c r="G5917" s="98" t="str">
        <f>HYPERLINK("http://mirror.ff7data.com.ar/ff7/data/battle/battle.lgp/kkbn.png","View Picture")</f>
        <v>View Picture</v>
      </c>
    </row>
    <row r="5918">
      <c r="A5918" s="55"/>
      <c r="B5918" s="119" t="s">
        <v>37927</v>
      </c>
      <c r="C5918" s="120" t="s">
        <v>4707</v>
      </c>
      <c r="D5918" s="33" t="s">
        <v>37902</v>
      </c>
      <c r="E5918" s="51" t="s">
        <v>1261</v>
      </c>
      <c r="F5918" s="121" t="s">
        <v>3009</v>
      </c>
      <c r="G5918" s="98" t="str">
        <f>HYPERLINK("http://mirror.ff7data.com.ar/ff7/data/battle/battle.lgp/kkbp.png","View Picture")</f>
        <v>View Picture</v>
      </c>
    </row>
    <row r="5919">
      <c r="A5919" s="55"/>
      <c r="B5919" s="119" t="s">
        <v>37928</v>
      </c>
      <c r="C5919" s="120" t="s">
        <v>4658</v>
      </c>
      <c r="D5919" s="33" t="s">
        <v>37902</v>
      </c>
      <c r="E5919" s="51" t="s">
        <v>1261</v>
      </c>
      <c r="F5919" s="121" t="s">
        <v>3009</v>
      </c>
      <c r="G5919" s="98" t="str">
        <f>HYPERLINK("http://mirror.ff7data.com.ar/ff7/data/battle/battle.lgp/kkbr.png","View Picture")</f>
        <v>View Picture</v>
      </c>
    </row>
    <row r="5920">
      <c r="A5920" s="55"/>
      <c r="B5920" s="119" t="s">
        <v>37929</v>
      </c>
      <c r="C5920" s="120" t="s">
        <v>4707</v>
      </c>
      <c r="D5920" s="33" t="s">
        <v>37902</v>
      </c>
      <c r="E5920" s="51" t="s">
        <v>1261</v>
      </c>
      <c r="F5920" s="121" t="s">
        <v>3009</v>
      </c>
      <c r="G5920" s="98" t="str">
        <f>HYPERLINK("http://mirror.ff7data.com.ar/ff7/data/battle/battle.lgp/kkbt.png","View Picture")</f>
        <v>View Picture</v>
      </c>
    </row>
    <row r="5921">
      <c r="A5921" s="55"/>
      <c r="B5921" s="119" t="s">
        <v>37930</v>
      </c>
      <c r="C5921" s="120" t="s">
        <v>4707</v>
      </c>
      <c r="D5921" s="33" t="s">
        <v>37902</v>
      </c>
      <c r="E5921" s="51" t="s">
        <v>1261</v>
      </c>
      <c r="F5921" s="121" t="s">
        <v>3009</v>
      </c>
      <c r="G5921" s="98" t="str">
        <f>HYPERLINK("http://mirror.ff7data.com.ar/ff7/data/battle/battle.lgp/kkbv.png","View Picture")</f>
        <v>View Picture</v>
      </c>
    </row>
    <row r="5922">
      <c r="A5922" s="55"/>
      <c r="B5922" s="119" t="s">
        <v>37931</v>
      </c>
      <c r="C5922" s="120" t="s">
        <v>4030</v>
      </c>
      <c r="D5922" s="33" t="s">
        <v>37902</v>
      </c>
      <c r="E5922" s="51" t="s">
        <v>1261</v>
      </c>
      <c r="F5922" s="121" t="s">
        <v>3025</v>
      </c>
      <c r="H5922" s="46" t="s">
        <v>3002</v>
      </c>
    </row>
    <row r="5923">
      <c r="A5923" s="21"/>
      <c r="B5923" s="119" t="s">
        <v>37932</v>
      </c>
      <c r="C5923" s="120" t="s">
        <v>6789</v>
      </c>
      <c r="D5923" s="33" t="s">
        <v>37933</v>
      </c>
      <c r="E5923" s="51" t="s">
        <v>1264</v>
      </c>
      <c r="F5923" s="121" t="s">
        <v>2971</v>
      </c>
      <c r="G5923" s="98" t="str">
        <f>HYPERLINK("http://mirror.ff7data.com.ar/ff7/data/battle/battle.lgp/klaa.png","View Picture")</f>
        <v>View Picture</v>
      </c>
    </row>
    <row r="5924">
      <c r="A5924" s="55"/>
      <c r="B5924" s="119" t="s">
        <v>37934</v>
      </c>
      <c r="C5924" s="120" t="s">
        <v>22833</v>
      </c>
      <c r="D5924" s="33" t="s">
        <v>37935</v>
      </c>
      <c r="E5924" s="51" t="s">
        <v>1264</v>
      </c>
      <c r="F5924" s="121" t="s">
        <v>2993</v>
      </c>
      <c r="H5924" s="46" t="s">
        <v>3002</v>
      </c>
    </row>
    <row r="5925">
      <c r="A5925" s="55"/>
      <c r="B5925" s="119" t="s">
        <v>37936</v>
      </c>
      <c r="C5925" s="120" t="s">
        <v>7762</v>
      </c>
      <c r="D5925" s="33" t="s">
        <v>37935</v>
      </c>
      <c r="E5925" s="51" t="s">
        <v>1264</v>
      </c>
      <c r="F5925" s="121" t="s">
        <v>3009</v>
      </c>
      <c r="G5925" s="98" t="str">
        <f>HYPERLINK("http://mirror.ff7data.com.ar/ff7/data/battle/battle.lgp/klam.png","View Picture")</f>
        <v>View Picture</v>
      </c>
    </row>
    <row r="5926">
      <c r="A5926" s="55"/>
      <c r="B5926" s="119" t="s">
        <v>37937</v>
      </c>
      <c r="C5926" s="120" t="s">
        <v>6018</v>
      </c>
      <c r="D5926" s="33" t="s">
        <v>37935</v>
      </c>
      <c r="E5926" s="51" t="s">
        <v>1264</v>
      </c>
      <c r="F5926" s="121" t="s">
        <v>3009</v>
      </c>
      <c r="G5926" s="98" t="str">
        <f>HYPERLINK("http://mirror.ff7data.com.ar/ff7/data/battle/battle.lgp/klan.png","View Picture")</f>
        <v>View Picture</v>
      </c>
    </row>
    <row r="5927">
      <c r="A5927" s="55"/>
      <c r="B5927" s="119" t="s">
        <v>37938</v>
      </c>
      <c r="C5927" s="120" t="s">
        <v>5419</v>
      </c>
      <c r="D5927" s="33" t="s">
        <v>37935</v>
      </c>
      <c r="E5927" s="51" t="s">
        <v>1264</v>
      </c>
      <c r="F5927" s="121" t="s">
        <v>3009</v>
      </c>
      <c r="G5927" s="98" t="str">
        <f>HYPERLINK("http://mirror.ff7data.com.ar/ff7/data/battle/battle.lgp/klap.png","View Picture")</f>
        <v>View Picture</v>
      </c>
    </row>
    <row r="5928">
      <c r="A5928" s="55"/>
      <c r="B5928" s="119" t="s">
        <v>37939</v>
      </c>
      <c r="C5928" s="120" t="s">
        <v>4288</v>
      </c>
      <c r="D5928" s="33" t="s">
        <v>37935</v>
      </c>
      <c r="E5928" s="51" t="s">
        <v>1264</v>
      </c>
      <c r="F5928" s="121" t="s">
        <v>3009</v>
      </c>
      <c r="G5928" s="98" t="str">
        <f>HYPERLINK("http://mirror.ff7data.com.ar/ff7/data/battle/battle.lgp/klaq.png","View Picture")</f>
        <v>View Picture</v>
      </c>
    </row>
    <row r="5929">
      <c r="A5929" s="55"/>
      <c r="B5929" s="119" t="s">
        <v>37940</v>
      </c>
      <c r="C5929" s="120" t="s">
        <v>4057</v>
      </c>
      <c r="D5929" s="33" t="s">
        <v>37935</v>
      </c>
      <c r="E5929" s="51" t="s">
        <v>1264</v>
      </c>
      <c r="F5929" s="121" t="s">
        <v>3009</v>
      </c>
      <c r="G5929" s="98" t="str">
        <f>HYPERLINK("http://mirror.ff7data.com.ar/ff7/data/battle/battle.lgp/klas.png","View Picture")</f>
        <v>View Picture</v>
      </c>
    </row>
    <row r="5930">
      <c r="A5930" s="55"/>
      <c r="B5930" s="119" t="s">
        <v>37941</v>
      </c>
      <c r="C5930" s="120" t="s">
        <v>4288</v>
      </c>
      <c r="D5930" s="33" t="s">
        <v>37935</v>
      </c>
      <c r="E5930" s="51" t="s">
        <v>1264</v>
      </c>
      <c r="F5930" s="121" t="s">
        <v>3009</v>
      </c>
      <c r="G5930" s="98" t="str">
        <f>HYPERLINK("http://mirror.ff7data.com.ar/ff7/data/battle/battle.lgp/klat.png","View Picture")</f>
        <v>View Picture</v>
      </c>
    </row>
    <row r="5931">
      <c r="A5931" s="55"/>
      <c r="B5931" s="119" t="s">
        <v>37942</v>
      </c>
      <c r="C5931" s="120" t="s">
        <v>18144</v>
      </c>
      <c r="D5931" s="33" t="s">
        <v>37935</v>
      </c>
      <c r="E5931" s="51" t="s">
        <v>1264</v>
      </c>
      <c r="F5931" s="121" t="s">
        <v>3009</v>
      </c>
      <c r="G5931" s="98" t="str">
        <f>HYPERLINK("http://mirror.ff7data.com.ar/ff7/data/battle/battle.lgp/klav.png","View Picture")</f>
        <v>View Picture</v>
      </c>
    </row>
    <row r="5932">
      <c r="A5932" s="55"/>
      <c r="B5932" s="119" t="s">
        <v>37943</v>
      </c>
      <c r="C5932" s="120" t="s">
        <v>4288</v>
      </c>
      <c r="D5932" s="33" t="s">
        <v>37935</v>
      </c>
      <c r="E5932" s="51" t="s">
        <v>1264</v>
      </c>
      <c r="F5932" s="121" t="s">
        <v>3009</v>
      </c>
      <c r="G5932" s="98" t="str">
        <f>HYPERLINK("http://mirror.ff7data.com.ar/ff7/data/battle/battle.lgp/klax.png","View Picture")</f>
        <v>View Picture</v>
      </c>
    </row>
    <row r="5933">
      <c r="A5933" s="55"/>
      <c r="B5933" s="119" t="s">
        <v>37944</v>
      </c>
      <c r="C5933" s="120" t="s">
        <v>4288</v>
      </c>
      <c r="D5933" s="33" t="s">
        <v>37935</v>
      </c>
      <c r="E5933" s="51" t="s">
        <v>1264</v>
      </c>
      <c r="F5933" s="121" t="s">
        <v>3009</v>
      </c>
      <c r="G5933" s="98" t="str">
        <f>HYPERLINK("http://mirror.ff7data.com.ar/ff7/data/battle/battle.lgp/klay.png","View Picture")</f>
        <v>View Picture</v>
      </c>
    </row>
    <row r="5934">
      <c r="A5934" s="55"/>
      <c r="B5934" s="119" t="s">
        <v>37945</v>
      </c>
      <c r="C5934" s="120" t="s">
        <v>4439</v>
      </c>
      <c r="D5934" s="33" t="s">
        <v>37935</v>
      </c>
      <c r="E5934" s="51" t="s">
        <v>1264</v>
      </c>
      <c r="F5934" s="121" t="s">
        <v>3009</v>
      </c>
      <c r="G5934" s="98" t="str">
        <f>HYPERLINK("http://mirror.ff7data.com.ar/ff7/data/battle/battle.lgp/klaz.png","View Picture")</f>
        <v>View Picture</v>
      </c>
    </row>
    <row r="5935">
      <c r="A5935" s="55"/>
      <c r="B5935" s="119" t="s">
        <v>37946</v>
      </c>
      <c r="C5935" s="120" t="s">
        <v>7270</v>
      </c>
      <c r="D5935" s="33" t="s">
        <v>37935</v>
      </c>
      <c r="E5935" s="51" t="s">
        <v>1264</v>
      </c>
      <c r="F5935" s="121" t="s">
        <v>3009</v>
      </c>
      <c r="G5935" s="98" t="str">
        <f>HYPERLINK("http://mirror.ff7data.com.ar/ff7/data/battle/battle.lgp/klba.png","View Picture")</f>
        <v>View Picture</v>
      </c>
    </row>
    <row r="5936">
      <c r="A5936" s="55"/>
      <c r="B5936" s="119" t="s">
        <v>37947</v>
      </c>
      <c r="C5936" s="120" t="s">
        <v>4476</v>
      </c>
      <c r="D5936" s="33" t="s">
        <v>37935</v>
      </c>
      <c r="E5936" s="51" t="s">
        <v>1264</v>
      </c>
      <c r="F5936" s="121" t="s">
        <v>3009</v>
      </c>
      <c r="G5936" s="98" t="str">
        <f>HYPERLINK("http://mirror.ff7data.com.ar/ff7/data/battle/battle.lgp/klbb.png","View Picture")</f>
        <v>View Picture</v>
      </c>
    </row>
    <row r="5937">
      <c r="A5937" s="55"/>
      <c r="B5937" s="119" t="s">
        <v>37948</v>
      </c>
      <c r="C5937" s="120" t="s">
        <v>4476</v>
      </c>
      <c r="D5937" s="33" t="s">
        <v>37935</v>
      </c>
      <c r="E5937" s="51" t="s">
        <v>1264</v>
      </c>
      <c r="F5937" s="121" t="s">
        <v>3009</v>
      </c>
      <c r="G5937" s="98" t="str">
        <f>HYPERLINK("http://mirror.ff7data.com.ar/ff7/data/battle/battle.lgp/klbd.png","View Picture")</f>
        <v>View Picture</v>
      </c>
    </row>
    <row r="5938">
      <c r="A5938" s="55"/>
      <c r="B5938" s="119" t="s">
        <v>37949</v>
      </c>
      <c r="C5938" s="120" t="s">
        <v>4476</v>
      </c>
      <c r="D5938" s="33" t="s">
        <v>37935</v>
      </c>
      <c r="E5938" s="51" t="s">
        <v>1264</v>
      </c>
      <c r="F5938" s="121" t="s">
        <v>3009</v>
      </c>
      <c r="G5938" s="98" t="str">
        <f>HYPERLINK("http://mirror.ff7data.com.ar/ff7/data/battle/battle.lgp/klbf.png","View Picture")</f>
        <v>View Picture</v>
      </c>
    </row>
    <row r="5939">
      <c r="A5939" s="55"/>
      <c r="B5939" s="119" t="s">
        <v>37950</v>
      </c>
      <c r="C5939" s="120" t="s">
        <v>5891</v>
      </c>
      <c r="D5939" s="33" t="s">
        <v>37935</v>
      </c>
      <c r="E5939" s="51" t="s">
        <v>1264</v>
      </c>
      <c r="F5939" s="121" t="s">
        <v>3009</v>
      </c>
      <c r="G5939" s="98" t="str">
        <f>HYPERLINK("http://mirror.ff7data.com.ar/ff7/data/battle/battle.lgp/klbh.png","View Picture")</f>
        <v>View Picture</v>
      </c>
    </row>
    <row r="5940">
      <c r="A5940" s="55"/>
      <c r="B5940" s="119" t="s">
        <v>37951</v>
      </c>
      <c r="C5940" s="120" t="s">
        <v>10078</v>
      </c>
      <c r="D5940" s="33" t="s">
        <v>37935</v>
      </c>
      <c r="E5940" s="51" t="s">
        <v>1264</v>
      </c>
      <c r="F5940" s="121" t="s">
        <v>3009</v>
      </c>
      <c r="G5940" s="98" t="str">
        <f>HYPERLINK("http://mirror.ff7data.com.ar/ff7/data/battle/battle.lgp/klbj.png","View Picture")</f>
        <v>View Picture</v>
      </c>
    </row>
    <row r="5941">
      <c r="A5941" s="55"/>
      <c r="B5941" s="119" t="s">
        <v>37952</v>
      </c>
      <c r="C5941" s="120" t="s">
        <v>5891</v>
      </c>
      <c r="D5941" s="33" t="s">
        <v>37935</v>
      </c>
      <c r="E5941" s="51" t="s">
        <v>1264</v>
      </c>
      <c r="F5941" s="121" t="s">
        <v>3009</v>
      </c>
      <c r="G5941" s="98" t="str">
        <f>HYPERLINK("http://mirror.ff7data.com.ar/ff7/data/battle/battle.lgp/klbl.png","View Picture")</f>
        <v>View Picture</v>
      </c>
    </row>
    <row r="5942">
      <c r="A5942" s="55"/>
      <c r="B5942" s="119" t="s">
        <v>37953</v>
      </c>
      <c r="C5942" s="120" t="s">
        <v>4288</v>
      </c>
      <c r="D5942" s="33" t="s">
        <v>37935</v>
      </c>
      <c r="E5942" s="51" t="s">
        <v>1264</v>
      </c>
      <c r="F5942" s="121" t="s">
        <v>3009</v>
      </c>
      <c r="G5942" s="98" t="str">
        <f>HYPERLINK("http://mirror.ff7data.com.ar/ff7/data/battle/battle.lgp/klbn.png","View Picture")</f>
        <v>View Picture</v>
      </c>
    </row>
    <row r="5943">
      <c r="A5943" s="55"/>
      <c r="B5943" s="119" t="s">
        <v>37954</v>
      </c>
      <c r="C5943" s="120" t="s">
        <v>4288</v>
      </c>
      <c r="D5943" s="33" t="s">
        <v>37935</v>
      </c>
      <c r="E5943" s="51" t="s">
        <v>1264</v>
      </c>
      <c r="F5943" s="121" t="s">
        <v>3009</v>
      </c>
      <c r="G5943" s="98" t="str">
        <f>HYPERLINK("http://mirror.ff7data.com.ar/ff7/data/battle/battle.lgp/klbo.png","View Picture")</f>
        <v>View Picture</v>
      </c>
    </row>
    <row r="5944">
      <c r="A5944" s="55"/>
      <c r="B5944" s="119" t="s">
        <v>37955</v>
      </c>
      <c r="C5944" s="120" t="s">
        <v>4439</v>
      </c>
      <c r="D5944" s="33" t="s">
        <v>37935</v>
      </c>
      <c r="E5944" s="51" t="s">
        <v>1264</v>
      </c>
      <c r="F5944" s="121" t="s">
        <v>3009</v>
      </c>
      <c r="G5944" s="98" t="str">
        <f>HYPERLINK("http://mirror.ff7data.com.ar/ff7/data/battle/battle.lgp/klbp.png","View Picture")</f>
        <v>View Picture</v>
      </c>
    </row>
    <row r="5945">
      <c r="A5945" s="55"/>
      <c r="B5945" s="119" t="s">
        <v>37956</v>
      </c>
      <c r="C5945" s="120" t="s">
        <v>4252</v>
      </c>
      <c r="D5945" s="33" t="s">
        <v>37935</v>
      </c>
      <c r="E5945" s="51" t="s">
        <v>1264</v>
      </c>
      <c r="F5945" s="121" t="s">
        <v>3009</v>
      </c>
      <c r="G5945" s="98" t="str">
        <f>HYPERLINK("http://mirror.ff7data.com.ar/ff7/data/battle/battle.lgp/klbq.png","View Picture")</f>
        <v>View Picture</v>
      </c>
    </row>
    <row r="5946">
      <c r="A5946" s="55"/>
      <c r="B5946" s="119" t="s">
        <v>37957</v>
      </c>
      <c r="C5946" s="120" t="s">
        <v>4476</v>
      </c>
      <c r="D5946" s="33" t="s">
        <v>37935</v>
      </c>
      <c r="E5946" s="51" t="s">
        <v>1264</v>
      </c>
      <c r="F5946" s="121" t="s">
        <v>3009</v>
      </c>
      <c r="G5946" s="98" t="str">
        <f>HYPERLINK("http://mirror.ff7data.com.ar/ff7/data/battle/battle.lgp/klbr.png","View Picture")</f>
        <v>View Picture</v>
      </c>
    </row>
    <row r="5947">
      <c r="A5947" s="55"/>
      <c r="B5947" s="119" t="s">
        <v>37958</v>
      </c>
      <c r="C5947" s="120" t="s">
        <v>4476</v>
      </c>
      <c r="D5947" s="33" t="s">
        <v>37935</v>
      </c>
      <c r="E5947" s="51" t="s">
        <v>1264</v>
      </c>
      <c r="F5947" s="121" t="s">
        <v>3009</v>
      </c>
      <c r="G5947" s="98" t="str">
        <f>HYPERLINK("http://mirror.ff7data.com.ar/ff7/data/battle/battle.lgp/klbt.png","View Picture")</f>
        <v>View Picture</v>
      </c>
    </row>
    <row r="5948">
      <c r="A5948" s="55"/>
      <c r="B5948" s="119" t="s">
        <v>37959</v>
      </c>
      <c r="C5948" s="120" t="s">
        <v>4476</v>
      </c>
      <c r="D5948" s="33" t="s">
        <v>37935</v>
      </c>
      <c r="E5948" s="51" t="s">
        <v>1264</v>
      </c>
      <c r="F5948" s="121" t="s">
        <v>3009</v>
      </c>
      <c r="G5948" s="98" t="str">
        <f>HYPERLINK("http://mirror.ff7data.com.ar/ff7/data/battle/battle.lgp/klbv.png","View Picture")</f>
        <v>View Picture</v>
      </c>
    </row>
    <row r="5949">
      <c r="A5949" s="55"/>
      <c r="B5949" s="119" t="s">
        <v>37960</v>
      </c>
      <c r="C5949" s="120" t="s">
        <v>5891</v>
      </c>
      <c r="D5949" s="33" t="s">
        <v>37935</v>
      </c>
      <c r="E5949" s="51" t="s">
        <v>1264</v>
      </c>
      <c r="F5949" s="121" t="s">
        <v>3009</v>
      </c>
      <c r="G5949" s="98" t="str">
        <f>HYPERLINK("http://mirror.ff7data.com.ar/ff7/data/battle/battle.lgp/klbx.png","View Picture")</f>
        <v>View Picture</v>
      </c>
    </row>
    <row r="5950">
      <c r="A5950" s="55"/>
      <c r="B5950" s="119" t="s">
        <v>37961</v>
      </c>
      <c r="C5950" s="120" t="s">
        <v>10078</v>
      </c>
      <c r="D5950" s="33" t="s">
        <v>37935</v>
      </c>
      <c r="E5950" s="51" t="s">
        <v>1264</v>
      </c>
      <c r="F5950" s="121" t="s">
        <v>3009</v>
      </c>
      <c r="G5950" s="98" t="str">
        <f>HYPERLINK("http://mirror.ff7data.com.ar/ff7/data/battle/battle.lgp/klbz.png","View Picture")</f>
        <v>View Picture</v>
      </c>
    </row>
    <row r="5951">
      <c r="A5951" s="55"/>
      <c r="B5951" s="119" t="s">
        <v>37962</v>
      </c>
      <c r="C5951" s="120" t="s">
        <v>5891</v>
      </c>
      <c r="D5951" s="33" t="s">
        <v>37935</v>
      </c>
      <c r="E5951" s="51" t="s">
        <v>1264</v>
      </c>
      <c r="F5951" s="121" t="s">
        <v>3009</v>
      </c>
      <c r="G5951" s="98" t="str">
        <f>HYPERLINK("http://mirror.ff7data.com.ar/ff7/data/battle/battle.lgp/klcb.png","View Picture")</f>
        <v>View Picture</v>
      </c>
    </row>
    <row r="5952">
      <c r="A5952" s="55"/>
      <c r="B5952" s="119" t="s">
        <v>37963</v>
      </c>
      <c r="C5952" s="120" t="s">
        <v>19628</v>
      </c>
      <c r="D5952" s="33" t="s">
        <v>37935</v>
      </c>
      <c r="E5952" s="51" t="s">
        <v>1264</v>
      </c>
      <c r="F5952" s="121" t="s">
        <v>3009</v>
      </c>
      <c r="G5952" s="98" t="str">
        <f>HYPERLINK("http://mirror.ff7data.com.ar/ff7/data/battle/battle.lgp/klcc.png","View Picture")</f>
        <v>View Picture</v>
      </c>
    </row>
    <row r="5953">
      <c r="A5953" s="55"/>
      <c r="B5953" s="119" t="s">
        <v>37964</v>
      </c>
      <c r="C5953" s="120" t="s">
        <v>4185</v>
      </c>
      <c r="D5953" s="33" t="s">
        <v>37935</v>
      </c>
      <c r="E5953" s="51" t="s">
        <v>1264</v>
      </c>
      <c r="F5953" s="121" t="s">
        <v>3009</v>
      </c>
      <c r="G5953" s="98" t="str">
        <f>HYPERLINK("http://mirror.ff7data.com.ar/ff7/data/battle/battle.lgp/klcd.png","View Picture")</f>
        <v>View Picture</v>
      </c>
    </row>
    <row r="5954">
      <c r="A5954" s="55"/>
      <c r="B5954" s="119" t="s">
        <v>37965</v>
      </c>
      <c r="C5954" s="120" t="s">
        <v>4288</v>
      </c>
      <c r="D5954" s="33" t="s">
        <v>37935</v>
      </c>
      <c r="E5954" s="51" t="s">
        <v>1264</v>
      </c>
      <c r="F5954" s="121" t="s">
        <v>3009</v>
      </c>
      <c r="G5954" s="98" t="str">
        <f>HYPERLINK("http://mirror.ff7data.com.ar/ff7/data/battle/battle.lgp/klce.png","View Picture")</f>
        <v>View Picture</v>
      </c>
    </row>
    <row r="5955">
      <c r="A5955" s="55"/>
      <c r="B5955" s="119" t="s">
        <v>37966</v>
      </c>
      <c r="C5955" s="120" t="s">
        <v>4264</v>
      </c>
      <c r="D5955" s="33" t="s">
        <v>37935</v>
      </c>
      <c r="E5955" s="51" t="s">
        <v>1264</v>
      </c>
      <c r="F5955" s="121" t="s">
        <v>3009</v>
      </c>
      <c r="G5955" s="98" t="str">
        <f>HYPERLINK("http://mirror.ff7data.com.ar/ff7/data/battle/battle.lgp/klcf.png","View Picture")</f>
        <v>View Picture</v>
      </c>
    </row>
    <row r="5956">
      <c r="A5956" s="55"/>
      <c r="B5956" s="119" t="s">
        <v>37967</v>
      </c>
      <c r="C5956" s="120" t="s">
        <v>4264</v>
      </c>
      <c r="D5956" s="33" t="s">
        <v>37935</v>
      </c>
      <c r="E5956" s="51" t="s">
        <v>1264</v>
      </c>
      <c r="F5956" s="121" t="s">
        <v>3009</v>
      </c>
      <c r="G5956" s="98" t="str">
        <f>HYPERLINK("http://mirror.ff7data.com.ar/ff7/data/battle/battle.lgp/klcg.png","View Picture")</f>
        <v>View Picture</v>
      </c>
    </row>
    <row r="5957">
      <c r="A5957" s="55"/>
      <c r="B5957" s="119" t="s">
        <v>37968</v>
      </c>
      <c r="C5957" s="120" t="s">
        <v>6029</v>
      </c>
      <c r="D5957" s="33" t="s">
        <v>37935</v>
      </c>
      <c r="E5957" s="51" t="s">
        <v>1264</v>
      </c>
      <c r="F5957" s="121" t="s">
        <v>3009</v>
      </c>
      <c r="G5957" s="98" t="str">
        <f>HYPERLINK("http://mirror.ff7data.com.ar/ff7/data/battle/battle.lgp/klch.png","View Picture")</f>
        <v>View Picture</v>
      </c>
    </row>
    <row r="5958">
      <c r="A5958" s="55"/>
      <c r="B5958" s="119" t="s">
        <v>37969</v>
      </c>
      <c r="C5958" s="120" t="s">
        <v>4191</v>
      </c>
      <c r="D5958" s="33" t="s">
        <v>37935</v>
      </c>
      <c r="E5958" s="51" t="s">
        <v>1264</v>
      </c>
      <c r="F5958" s="121" t="s">
        <v>3025</v>
      </c>
      <c r="H5958" s="46" t="s">
        <v>3002</v>
      </c>
    </row>
    <row r="5959">
      <c r="A5959" s="21"/>
      <c r="B5959" s="119" t="s">
        <v>37970</v>
      </c>
      <c r="C5959" s="120" t="s">
        <v>3566</v>
      </c>
      <c r="D5959" s="33" t="s">
        <v>37971</v>
      </c>
      <c r="E5959" s="51" t="s">
        <v>1268</v>
      </c>
      <c r="F5959" s="121" t="s">
        <v>2971</v>
      </c>
      <c r="G5959" s="98" t="str">
        <f>HYPERLINK("http://mirror.ff7data.com.ar/ff7/data/battle/battle.lgp/kmaa.png","View Picture")</f>
        <v>View Picture</v>
      </c>
    </row>
    <row r="5960">
      <c r="A5960" s="55"/>
      <c r="B5960" s="119" t="s">
        <v>37972</v>
      </c>
      <c r="C5960" s="120" t="s">
        <v>3299</v>
      </c>
      <c r="D5960" s="33" t="s">
        <v>37973</v>
      </c>
      <c r="E5960" s="51" t="s">
        <v>1268</v>
      </c>
      <c r="F5960" s="121" t="s">
        <v>2993</v>
      </c>
      <c r="H5960" s="46" t="s">
        <v>3002</v>
      </c>
    </row>
    <row r="5961">
      <c r="A5961" s="55"/>
      <c r="B5961" s="119" t="s">
        <v>37974</v>
      </c>
      <c r="C5961" s="120" t="s">
        <v>7081</v>
      </c>
      <c r="D5961" s="33" t="s">
        <v>37973</v>
      </c>
      <c r="E5961" s="51" t="s">
        <v>1268</v>
      </c>
      <c r="F5961" s="121" t="s">
        <v>3009</v>
      </c>
      <c r="G5961" s="98" t="str">
        <f>HYPERLINK("http://mirror.ff7data.com.ar/ff7/data/battle/battle.lgp/kmam.png","View Picture")</f>
        <v>View Picture</v>
      </c>
    </row>
    <row r="5962">
      <c r="A5962" s="55"/>
      <c r="B5962" s="119" t="s">
        <v>37975</v>
      </c>
      <c r="C5962" s="120" t="s">
        <v>10078</v>
      </c>
      <c r="D5962" s="33" t="s">
        <v>37973</v>
      </c>
      <c r="E5962" s="51" t="s">
        <v>1268</v>
      </c>
      <c r="F5962" s="121" t="s">
        <v>3009</v>
      </c>
      <c r="G5962" s="98" t="str">
        <f>HYPERLINK("http://mirror.ff7data.com.ar/ff7/data/battle/battle.lgp/kman.png","View Picture")</f>
        <v>View Picture</v>
      </c>
    </row>
    <row r="5963">
      <c r="A5963" s="55"/>
      <c r="B5963" s="119" t="s">
        <v>37976</v>
      </c>
      <c r="C5963" s="120" t="s">
        <v>3749</v>
      </c>
      <c r="D5963" s="33" t="s">
        <v>37973</v>
      </c>
      <c r="E5963" s="51" t="s">
        <v>1268</v>
      </c>
      <c r="F5963" s="121" t="s">
        <v>3009</v>
      </c>
      <c r="G5963" s="98" t="str">
        <f>HYPERLINK("http://mirror.ff7data.com.ar/ff7/data/battle/battle.lgp/kmao.png","View Picture")</f>
        <v>View Picture</v>
      </c>
    </row>
    <row r="5964">
      <c r="A5964" s="55"/>
      <c r="B5964" s="119" t="s">
        <v>37977</v>
      </c>
      <c r="C5964" s="120" t="s">
        <v>4719</v>
      </c>
      <c r="D5964" s="33" t="s">
        <v>37973</v>
      </c>
      <c r="E5964" s="51" t="s">
        <v>1268</v>
      </c>
      <c r="F5964" s="121" t="s">
        <v>3009</v>
      </c>
      <c r="G5964" s="98" t="str">
        <f>HYPERLINK("http://mirror.ff7data.com.ar/ff7/data/battle/battle.lgp/kmap.png","View Picture")</f>
        <v>View Picture</v>
      </c>
    </row>
    <row r="5965">
      <c r="A5965" s="55"/>
      <c r="B5965" s="119" t="s">
        <v>37978</v>
      </c>
      <c r="C5965" s="120" t="s">
        <v>7148</v>
      </c>
      <c r="D5965" s="33" t="s">
        <v>37973</v>
      </c>
      <c r="E5965" s="51" t="s">
        <v>1268</v>
      </c>
      <c r="F5965" s="121" t="s">
        <v>3009</v>
      </c>
      <c r="G5965" s="98" t="str">
        <f>HYPERLINK("http://mirror.ff7data.com.ar/ff7/data/battle/battle.lgp/kmaq.png","View Picture")</f>
        <v>View Picture</v>
      </c>
    </row>
    <row r="5966">
      <c r="A5966" s="55"/>
      <c r="B5966" s="119" t="s">
        <v>37979</v>
      </c>
      <c r="C5966" s="120" t="s">
        <v>4217</v>
      </c>
      <c r="D5966" s="33" t="s">
        <v>37973</v>
      </c>
      <c r="E5966" s="51" t="s">
        <v>1268</v>
      </c>
      <c r="F5966" s="121" t="s">
        <v>3009</v>
      </c>
      <c r="G5966" s="98" t="str">
        <f>HYPERLINK("http://mirror.ff7data.com.ar/ff7/data/battle/battle.lgp/kmar.png","View Picture")</f>
        <v>View Picture</v>
      </c>
    </row>
    <row r="5967">
      <c r="A5967" s="55"/>
      <c r="B5967" s="119" t="s">
        <v>37980</v>
      </c>
      <c r="C5967" s="120" t="s">
        <v>3412</v>
      </c>
      <c r="D5967" s="33" t="s">
        <v>37973</v>
      </c>
      <c r="E5967" s="51" t="s">
        <v>1268</v>
      </c>
      <c r="F5967" s="121" t="s">
        <v>3009</v>
      </c>
      <c r="G5967" s="98" t="str">
        <f>HYPERLINK("http://mirror.ff7data.com.ar/ff7/data/battle/battle.lgp/kmav.png","View Picture")</f>
        <v>View Picture</v>
      </c>
    </row>
    <row r="5968">
      <c r="A5968" s="55"/>
      <c r="B5968" s="119" t="s">
        <v>37981</v>
      </c>
      <c r="C5968" s="120" t="s">
        <v>9041</v>
      </c>
      <c r="D5968" s="33" t="s">
        <v>37973</v>
      </c>
      <c r="E5968" s="51" t="s">
        <v>1268</v>
      </c>
      <c r="F5968" s="121" t="s">
        <v>3009</v>
      </c>
      <c r="G5968" s="98" t="str">
        <f>HYPERLINK("http://mirror.ff7data.com.ar/ff7/data/battle/battle.lgp/kmax.png","View Picture")</f>
        <v>View Picture</v>
      </c>
    </row>
    <row r="5969">
      <c r="A5969" s="55"/>
      <c r="B5969" s="119" t="s">
        <v>37982</v>
      </c>
      <c r="C5969" s="120" t="s">
        <v>3875</v>
      </c>
      <c r="D5969" s="33" t="s">
        <v>37973</v>
      </c>
      <c r="E5969" s="51" t="s">
        <v>1268</v>
      </c>
      <c r="F5969" s="121" t="s">
        <v>3009</v>
      </c>
      <c r="G5969" s="98" t="str">
        <f>HYPERLINK("http://mirror.ff7data.com.ar/ff7/data/battle/battle.lgp/kmay.png","View Picture")</f>
        <v>View Picture</v>
      </c>
    </row>
    <row r="5970">
      <c r="A5970" s="55"/>
      <c r="B5970" s="119" t="s">
        <v>37983</v>
      </c>
      <c r="C5970" s="120" t="s">
        <v>4167</v>
      </c>
      <c r="D5970" s="33" t="s">
        <v>37973</v>
      </c>
      <c r="E5970" s="51" t="s">
        <v>1268</v>
      </c>
      <c r="F5970" s="121" t="s">
        <v>3009</v>
      </c>
      <c r="G5970" s="98" t="str">
        <f>HYPERLINK("http://mirror.ff7data.com.ar/ff7/data/battle/battle.lgp/kmba.png","View Picture")</f>
        <v>View Picture</v>
      </c>
    </row>
    <row r="5971">
      <c r="A5971" s="55"/>
      <c r="B5971" s="119" t="s">
        <v>37984</v>
      </c>
      <c r="C5971" s="120" t="s">
        <v>4357</v>
      </c>
      <c r="D5971" s="33" t="s">
        <v>37973</v>
      </c>
      <c r="E5971" s="51" t="s">
        <v>1268</v>
      </c>
      <c r="F5971" s="121" t="s">
        <v>3009</v>
      </c>
      <c r="G5971" s="98" t="str">
        <f>HYPERLINK("http://mirror.ff7data.com.ar/ff7/data/battle/battle.lgp/kmbc.png","View Picture")</f>
        <v>View Picture</v>
      </c>
    </row>
    <row r="5972">
      <c r="A5972" s="55"/>
      <c r="B5972" s="119" t="s">
        <v>37985</v>
      </c>
      <c r="C5972" s="120" t="s">
        <v>5419</v>
      </c>
      <c r="D5972" s="33" t="s">
        <v>37973</v>
      </c>
      <c r="E5972" s="51" t="s">
        <v>1268</v>
      </c>
      <c r="F5972" s="121" t="s">
        <v>3009</v>
      </c>
      <c r="G5972" s="98" t="str">
        <f>HYPERLINK("http://mirror.ff7data.com.ar/ff7/data/battle/battle.lgp/kmbd.png","View Picture")</f>
        <v>View Picture</v>
      </c>
    </row>
    <row r="5973">
      <c r="A5973" s="55"/>
      <c r="B5973" s="119" t="s">
        <v>37986</v>
      </c>
      <c r="C5973" s="120" t="s">
        <v>4372</v>
      </c>
      <c r="D5973" s="33" t="s">
        <v>37973</v>
      </c>
      <c r="E5973" s="51" t="s">
        <v>1268</v>
      </c>
      <c r="F5973" s="121" t="s">
        <v>3009</v>
      </c>
      <c r="G5973" s="98" t="str">
        <f>HYPERLINK("http://mirror.ff7data.com.ar/ff7/data/battle/battle.lgp/kmbe.png","View Picture")</f>
        <v>View Picture</v>
      </c>
    </row>
    <row r="5974">
      <c r="A5974" s="55"/>
      <c r="B5974" s="119" t="s">
        <v>37987</v>
      </c>
      <c r="C5974" s="120" t="s">
        <v>36266</v>
      </c>
      <c r="D5974" s="33" t="s">
        <v>37973</v>
      </c>
      <c r="E5974" s="51" t="s">
        <v>1268</v>
      </c>
      <c r="F5974" s="121" t="s">
        <v>3009</v>
      </c>
      <c r="G5974" s="98" t="str">
        <f>HYPERLINK("http://mirror.ff7data.com.ar/ff7/data/battle/battle.lgp/kmbf.png","View Picture")</f>
        <v>View Picture</v>
      </c>
    </row>
    <row r="5975">
      <c r="A5975" s="55"/>
      <c r="B5975" s="119" t="s">
        <v>37988</v>
      </c>
      <c r="C5975" s="120" t="s">
        <v>12399</v>
      </c>
      <c r="D5975" s="33" t="s">
        <v>37973</v>
      </c>
      <c r="E5975" s="51" t="s">
        <v>1268</v>
      </c>
      <c r="F5975" s="121" t="s">
        <v>3009</v>
      </c>
      <c r="G5975" s="98" t="str">
        <f>HYPERLINK("http://mirror.ff7data.com.ar/ff7/data/battle/battle.lgp/kmbg.png","View Picture")</f>
        <v>View Picture</v>
      </c>
    </row>
    <row r="5976">
      <c r="A5976" s="55"/>
      <c r="B5976" s="119" t="s">
        <v>37989</v>
      </c>
      <c r="C5976" s="120" t="s">
        <v>7270</v>
      </c>
      <c r="D5976" s="33" t="s">
        <v>37973</v>
      </c>
      <c r="E5976" s="51" t="s">
        <v>1268</v>
      </c>
      <c r="F5976" s="121" t="s">
        <v>3009</v>
      </c>
      <c r="G5976" s="98" t="str">
        <f>HYPERLINK("http://mirror.ff7data.com.ar/ff7/data/battle/battle.lgp/kmbh.png","View Picture")</f>
        <v>View Picture</v>
      </c>
    </row>
    <row r="5977">
      <c r="A5977" s="55"/>
      <c r="B5977" s="119" t="s">
        <v>37990</v>
      </c>
      <c r="C5977" s="120" t="s">
        <v>21725</v>
      </c>
      <c r="D5977" s="33" t="s">
        <v>37973</v>
      </c>
      <c r="E5977" s="51" t="s">
        <v>1268</v>
      </c>
      <c r="F5977" s="121" t="s">
        <v>3009</v>
      </c>
      <c r="G5977" s="98" t="str">
        <f>HYPERLINK("http://mirror.ff7data.com.ar/ff7/data/battle/battle.lgp/kmbj.png","View Picture")</f>
        <v>View Picture</v>
      </c>
    </row>
    <row r="5978">
      <c r="A5978" s="55"/>
      <c r="B5978" s="119" t="s">
        <v>37991</v>
      </c>
      <c r="C5978" s="120" t="s">
        <v>3648</v>
      </c>
      <c r="D5978" s="33" t="s">
        <v>37973</v>
      </c>
      <c r="E5978" s="51" t="s">
        <v>1268</v>
      </c>
      <c r="F5978" s="121" t="s">
        <v>3009</v>
      </c>
      <c r="G5978" s="98" t="str">
        <f>HYPERLINK("http://mirror.ff7data.com.ar/ff7/data/battle/battle.lgp/kmbk.png","View Picture")</f>
        <v>View Picture</v>
      </c>
    </row>
    <row r="5979">
      <c r="A5979" s="55"/>
      <c r="B5979" s="119" t="s">
        <v>37992</v>
      </c>
      <c r="C5979" s="120" t="s">
        <v>4372</v>
      </c>
      <c r="D5979" s="33" t="s">
        <v>37973</v>
      </c>
      <c r="E5979" s="51" t="s">
        <v>1268</v>
      </c>
      <c r="F5979" s="121" t="s">
        <v>3009</v>
      </c>
      <c r="G5979" s="98" t="str">
        <f>HYPERLINK("http://mirror.ff7data.com.ar/ff7/data/battle/battle.lgp/kmbm.png","View Picture")</f>
        <v>View Picture</v>
      </c>
    </row>
    <row r="5980">
      <c r="A5980" s="55"/>
      <c r="B5980" s="119" t="s">
        <v>37993</v>
      </c>
      <c r="C5980" s="120" t="s">
        <v>3842</v>
      </c>
      <c r="D5980" s="33" t="s">
        <v>37973</v>
      </c>
      <c r="E5980" s="51" t="s">
        <v>1268</v>
      </c>
      <c r="F5980" s="121" t="s">
        <v>3009</v>
      </c>
      <c r="G5980" s="98" t="str">
        <f>HYPERLINK("http://mirror.ff7data.com.ar/ff7/data/battle/battle.lgp/kmbn.png","View Picture")</f>
        <v>View Picture</v>
      </c>
    </row>
    <row r="5981">
      <c r="A5981" s="55"/>
      <c r="B5981" s="119" t="s">
        <v>37994</v>
      </c>
      <c r="C5981" s="120" t="s">
        <v>4167</v>
      </c>
      <c r="D5981" s="33" t="s">
        <v>37973</v>
      </c>
      <c r="E5981" s="51" t="s">
        <v>1268</v>
      </c>
      <c r="F5981" s="121" t="s">
        <v>3009</v>
      </c>
      <c r="G5981" s="98" t="str">
        <f>HYPERLINK("http://mirror.ff7data.com.ar/ff7/data/battle/battle.lgp/kmbp.png","View Picture")</f>
        <v>View Picture</v>
      </c>
    </row>
    <row r="5982">
      <c r="A5982" s="55"/>
      <c r="B5982" s="119" t="s">
        <v>37995</v>
      </c>
      <c r="C5982" s="120" t="s">
        <v>8261</v>
      </c>
      <c r="D5982" s="33" t="s">
        <v>37973</v>
      </c>
      <c r="E5982" s="51" t="s">
        <v>1268</v>
      </c>
      <c r="F5982" s="121" t="s">
        <v>3009</v>
      </c>
      <c r="G5982" s="98" t="str">
        <f>HYPERLINK("http://mirror.ff7data.com.ar/ff7/data/battle/battle.lgp/kmbq.png","View Picture")</f>
        <v>View Picture</v>
      </c>
    </row>
    <row r="5983">
      <c r="A5983" s="55"/>
      <c r="B5983" s="119" t="s">
        <v>37996</v>
      </c>
      <c r="C5983" s="120" t="s">
        <v>5925</v>
      </c>
      <c r="D5983" s="33" t="s">
        <v>37973</v>
      </c>
      <c r="E5983" s="51" t="s">
        <v>1268</v>
      </c>
      <c r="F5983" s="121" t="s">
        <v>3009</v>
      </c>
      <c r="G5983" s="98" t="str">
        <f>HYPERLINK("http://mirror.ff7data.com.ar/ff7/data/battle/battle.lgp/kmbr.png","View Picture")</f>
        <v>View Picture</v>
      </c>
    </row>
    <row r="5984">
      <c r="A5984" s="55"/>
      <c r="B5984" s="119" t="s">
        <v>37997</v>
      </c>
      <c r="C5984" s="120" t="s">
        <v>7871</v>
      </c>
      <c r="D5984" s="33" t="s">
        <v>37973</v>
      </c>
      <c r="E5984" s="51" t="s">
        <v>1268</v>
      </c>
      <c r="F5984" s="121" t="s">
        <v>3009</v>
      </c>
      <c r="G5984" s="98" t="str">
        <f>HYPERLINK("http://mirror.ff7data.com.ar/ff7/data/battle/battle.lgp/kmbs.png","View Picture")</f>
        <v>View Picture</v>
      </c>
    </row>
    <row r="5985">
      <c r="A5985" s="55"/>
      <c r="B5985" s="119" t="s">
        <v>37998</v>
      </c>
      <c r="C5985" s="120" t="s">
        <v>4707</v>
      </c>
      <c r="D5985" s="33" t="s">
        <v>37973</v>
      </c>
      <c r="E5985" s="51" t="s">
        <v>1268</v>
      </c>
      <c r="F5985" s="121" t="s">
        <v>3009</v>
      </c>
      <c r="G5985" s="98" t="str">
        <f>HYPERLINK("http://mirror.ff7data.com.ar/ff7/data/battle/battle.lgp/kmbu.png","View Picture")</f>
        <v>View Picture</v>
      </c>
    </row>
    <row r="5986">
      <c r="A5986" s="55"/>
      <c r="B5986" s="119" t="s">
        <v>37999</v>
      </c>
      <c r="C5986" s="120" t="s">
        <v>4396</v>
      </c>
      <c r="D5986" s="33" t="s">
        <v>37973</v>
      </c>
      <c r="E5986" s="51" t="s">
        <v>1268</v>
      </c>
      <c r="F5986" s="121" t="s">
        <v>3009</v>
      </c>
      <c r="G5986" s="98" t="str">
        <f>HYPERLINK("http://mirror.ff7data.com.ar/ff7/data/battle/battle.lgp/kmbv.png","View Picture")</f>
        <v>View Picture</v>
      </c>
    </row>
    <row r="5987">
      <c r="A5987" s="55"/>
      <c r="B5987" s="119" t="s">
        <v>38000</v>
      </c>
      <c r="C5987" s="120" t="s">
        <v>4357</v>
      </c>
      <c r="D5987" s="33" t="s">
        <v>37973</v>
      </c>
      <c r="E5987" s="51" t="s">
        <v>1268</v>
      </c>
      <c r="F5987" s="121" t="s">
        <v>3009</v>
      </c>
      <c r="G5987" s="98" t="str">
        <f>HYPERLINK("http://mirror.ff7data.com.ar/ff7/data/battle/battle.lgp/kmbx.png","View Picture")</f>
        <v>View Picture</v>
      </c>
    </row>
    <row r="5988">
      <c r="A5988" s="55"/>
      <c r="B5988" s="119" t="s">
        <v>38001</v>
      </c>
      <c r="C5988" s="120" t="s">
        <v>5419</v>
      </c>
      <c r="D5988" s="33" t="s">
        <v>37973</v>
      </c>
      <c r="E5988" s="51" t="s">
        <v>1268</v>
      </c>
      <c r="F5988" s="121" t="s">
        <v>3009</v>
      </c>
      <c r="G5988" s="98" t="str">
        <f>HYPERLINK("http://mirror.ff7data.com.ar/ff7/data/battle/battle.lgp/kmby.png","View Picture")</f>
        <v>View Picture</v>
      </c>
    </row>
    <row r="5989">
      <c r="A5989" s="55"/>
      <c r="B5989" s="119" t="s">
        <v>38002</v>
      </c>
      <c r="C5989" s="120" t="s">
        <v>4719</v>
      </c>
      <c r="D5989" s="33" t="s">
        <v>37973</v>
      </c>
      <c r="E5989" s="51" t="s">
        <v>1268</v>
      </c>
      <c r="F5989" s="121" t="s">
        <v>3009</v>
      </c>
      <c r="G5989" s="98" t="str">
        <f>HYPERLINK("http://mirror.ff7data.com.ar/ff7/data/battle/battle.lgp/kmbz.png","View Picture")</f>
        <v>View Picture</v>
      </c>
    </row>
    <row r="5990">
      <c r="A5990" s="55"/>
      <c r="B5990" s="119" t="s">
        <v>38003</v>
      </c>
      <c r="C5990" s="120" t="s">
        <v>4372</v>
      </c>
      <c r="D5990" s="33" t="s">
        <v>37973</v>
      </c>
      <c r="E5990" s="51" t="s">
        <v>1268</v>
      </c>
      <c r="F5990" s="121" t="s">
        <v>3009</v>
      </c>
      <c r="G5990" s="98" t="str">
        <f>HYPERLINK("http://mirror.ff7data.com.ar/ff7/data/battle/battle.lgp/kmcb.png","View Picture")</f>
        <v>View Picture</v>
      </c>
    </row>
    <row r="5991">
      <c r="A5991" s="55"/>
      <c r="B5991" s="119" t="s">
        <v>38004</v>
      </c>
      <c r="C5991" s="120" t="s">
        <v>5891</v>
      </c>
      <c r="D5991" s="33" t="s">
        <v>37973</v>
      </c>
      <c r="E5991" s="51" t="s">
        <v>1268</v>
      </c>
      <c r="F5991" s="121" t="s">
        <v>3009</v>
      </c>
      <c r="G5991" s="98" t="str">
        <f>HYPERLINK("http://mirror.ff7data.com.ar/ff7/data/battle/battle.lgp/kmcc.png","View Picture")</f>
        <v>View Picture</v>
      </c>
    </row>
    <row r="5992">
      <c r="A5992" s="55"/>
      <c r="B5992" s="119" t="s">
        <v>38005</v>
      </c>
      <c r="C5992" s="120" t="s">
        <v>6010</v>
      </c>
      <c r="D5992" s="33" t="s">
        <v>37973</v>
      </c>
      <c r="E5992" s="51" t="s">
        <v>1268</v>
      </c>
      <c r="F5992" s="121" t="s">
        <v>3025</v>
      </c>
      <c r="H5992" s="46" t="s">
        <v>3002</v>
      </c>
    </row>
    <row r="5993">
      <c r="A5993" s="21"/>
      <c r="B5993" s="119" t="s">
        <v>38006</v>
      </c>
      <c r="C5993" s="120" t="s">
        <v>6789</v>
      </c>
      <c r="D5993" s="33" t="s">
        <v>38007</v>
      </c>
      <c r="E5993" s="51" t="s">
        <v>1273</v>
      </c>
      <c r="F5993" s="121" t="s">
        <v>2971</v>
      </c>
      <c r="G5993" s="98" t="str">
        <f>HYPERLINK("http://mirror.ff7data.com.ar/ff7/data/battle/battle.lgp/knaa.png","View Picture")</f>
        <v>View Picture</v>
      </c>
    </row>
    <row r="5994">
      <c r="A5994" s="55"/>
      <c r="B5994" s="119" t="s">
        <v>38008</v>
      </c>
      <c r="C5994" s="120" t="s">
        <v>7606</v>
      </c>
      <c r="D5994" s="33" t="s">
        <v>38009</v>
      </c>
      <c r="E5994" s="51" t="s">
        <v>1273</v>
      </c>
      <c r="F5994" s="121" t="s">
        <v>2993</v>
      </c>
      <c r="H5994" s="46" t="s">
        <v>3002</v>
      </c>
    </row>
    <row r="5995">
      <c r="A5995" s="55"/>
      <c r="B5995" s="119" t="s">
        <v>38010</v>
      </c>
      <c r="C5995" s="120" t="s">
        <v>9441</v>
      </c>
      <c r="D5995" s="33" t="s">
        <v>38009</v>
      </c>
      <c r="E5995" s="51" t="s">
        <v>1273</v>
      </c>
      <c r="F5995" s="121" t="s">
        <v>3009</v>
      </c>
      <c r="G5995" s="98" t="str">
        <f>HYPERLINK("http://mirror.ff7data.com.ar/ff7/data/battle/battle.lgp/knam.png","View Picture")</f>
        <v>View Picture</v>
      </c>
    </row>
    <row r="5996">
      <c r="A5996" s="55"/>
      <c r="B5996" s="119" t="s">
        <v>38011</v>
      </c>
      <c r="C5996" s="120" t="s">
        <v>3445</v>
      </c>
      <c r="D5996" s="33" t="s">
        <v>38009</v>
      </c>
      <c r="E5996" s="51" t="s">
        <v>1273</v>
      </c>
      <c r="F5996" s="121" t="s">
        <v>3009</v>
      </c>
      <c r="G5996" s="98" t="str">
        <f>HYPERLINK("http://mirror.ff7data.com.ar/ff7/data/battle/battle.lgp/knan.png","View Picture")</f>
        <v>View Picture</v>
      </c>
    </row>
    <row r="5997">
      <c r="A5997" s="55"/>
      <c r="B5997" s="119" t="s">
        <v>38012</v>
      </c>
      <c r="C5997" s="120" t="s">
        <v>3749</v>
      </c>
      <c r="D5997" s="33" t="s">
        <v>38009</v>
      </c>
      <c r="E5997" s="51" t="s">
        <v>1273</v>
      </c>
      <c r="F5997" s="121" t="s">
        <v>3009</v>
      </c>
      <c r="G5997" s="98" t="str">
        <f>HYPERLINK("http://mirror.ff7data.com.ar/ff7/data/battle/battle.lgp/knao.png","View Picture")</f>
        <v>View Picture</v>
      </c>
    </row>
    <row r="5998">
      <c r="A5998" s="55"/>
      <c r="B5998" s="119" t="s">
        <v>38013</v>
      </c>
      <c r="C5998" s="120" t="s">
        <v>4086</v>
      </c>
      <c r="D5998" s="33" t="s">
        <v>38009</v>
      </c>
      <c r="E5998" s="51" t="s">
        <v>1273</v>
      </c>
      <c r="F5998" s="121" t="s">
        <v>3009</v>
      </c>
      <c r="G5998" s="98" t="str">
        <f>HYPERLINK("http://mirror.ff7data.com.ar/ff7/data/battle/battle.lgp/knap.png","View Picture")</f>
        <v>View Picture</v>
      </c>
    </row>
    <row r="5999">
      <c r="A5999" s="55"/>
      <c r="B5999" s="119" t="s">
        <v>38014</v>
      </c>
      <c r="C5999" s="120" t="s">
        <v>4185</v>
      </c>
      <c r="D5999" s="33" t="s">
        <v>38009</v>
      </c>
      <c r="E5999" s="51" t="s">
        <v>1273</v>
      </c>
      <c r="F5999" s="121" t="s">
        <v>3009</v>
      </c>
      <c r="G5999" s="98" t="str">
        <f>HYPERLINK("http://mirror.ff7data.com.ar/ff7/data/battle/battle.lgp/knar.png","View Picture")</f>
        <v>View Picture</v>
      </c>
    </row>
    <row r="6000">
      <c r="A6000" s="55"/>
      <c r="B6000" s="119" t="s">
        <v>38015</v>
      </c>
      <c r="C6000" s="120" t="s">
        <v>9600</v>
      </c>
      <c r="D6000" s="33" t="s">
        <v>38009</v>
      </c>
      <c r="E6000" s="51" t="s">
        <v>1273</v>
      </c>
      <c r="F6000" s="121" t="s">
        <v>3009</v>
      </c>
      <c r="G6000" s="98" t="str">
        <f>HYPERLINK("http://mirror.ff7data.com.ar/ff7/data/battle/battle.lgp/knas.png","View Picture")</f>
        <v>View Picture</v>
      </c>
    </row>
    <row r="6001">
      <c r="A6001" s="55"/>
      <c r="B6001" s="119" t="s">
        <v>38016</v>
      </c>
      <c r="C6001" s="120" t="s">
        <v>4185</v>
      </c>
      <c r="D6001" s="33" t="s">
        <v>38009</v>
      </c>
      <c r="E6001" s="51" t="s">
        <v>1273</v>
      </c>
      <c r="F6001" s="121" t="s">
        <v>3009</v>
      </c>
      <c r="G6001" s="98" t="str">
        <f>HYPERLINK("http://mirror.ff7data.com.ar/ff7/data/battle/battle.lgp/knau.png","View Picture")</f>
        <v>View Picture</v>
      </c>
    </row>
    <row r="6002">
      <c r="A6002" s="55"/>
      <c r="B6002" s="119" t="s">
        <v>38017</v>
      </c>
      <c r="C6002" s="120" t="s">
        <v>18144</v>
      </c>
      <c r="D6002" s="33" t="s">
        <v>38009</v>
      </c>
      <c r="E6002" s="51" t="s">
        <v>1273</v>
      </c>
      <c r="F6002" s="121" t="s">
        <v>3009</v>
      </c>
      <c r="G6002" s="98" t="str">
        <f>HYPERLINK("http://mirror.ff7data.com.ar/ff7/data/battle/battle.lgp/knav.png","View Picture")</f>
        <v>View Picture</v>
      </c>
    </row>
    <row r="6003">
      <c r="A6003" s="55"/>
      <c r="B6003" s="119" t="s">
        <v>38018</v>
      </c>
      <c r="C6003" s="120" t="s">
        <v>4185</v>
      </c>
      <c r="D6003" s="33" t="s">
        <v>38009</v>
      </c>
      <c r="E6003" s="51" t="s">
        <v>1273</v>
      </c>
      <c r="F6003" s="121" t="s">
        <v>3009</v>
      </c>
      <c r="G6003" s="98" t="str">
        <f>HYPERLINK("http://mirror.ff7data.com.ar/ff7/data/battle/battle.lgp/knax.png","View Picture")</f>
        <v>View Picture</v>
      </c>
    </row>
    <row r="6004">
      <c r="A6004" s="55"/>
      <c r="B6004" s="119" t="s">
        <v>38019</v>
      </c>
      <c r="C6004" s="120" t="s">
        <v>6830</v>
      </c>
      <c r="D6004" s="33" t="s">
        <v>38009</v>
      </c>
      <c r="E6004" s="51" t="s">
        <v>1273</v>
      </c>
      <c r="F6004" s="121" t="s">
        <v>3009</v>
      </c>
      <c r="G6004" s="98" t="str">
        <f>HYPERLINK("http://mirror.ff7data.com.ar/ff7/data/battle/battle.lgp/knay.png","View Picture")</f>
        <v>View Picture</v>
      </c>
    </row>
    <row r="6005">
      <c r="A6005" s="55"/>
      <c r="B6005" s="119" t="s">
        <v>38020</v>
      </c>
      <c r="C6005" s="120" t="s">
        <v>4185</v>
      </c>
      <c r="D6005" s="33" t="s">
        <v>38009</v>
      </c>
      <c r="E6005" s="51" t="s">
        <v>1273</v>
      </c>
      <c r="F6005" s="121" t="s">
        <v>3009</v>
      </c>
      <c r="G6005" s="98" t="str">
        <f>HYPERLINK("http://mirror.ff7data.com.ar/ff7/data/battle/battle.lgp/knbb.png","View Picture")</f>
        <v>View Picture</v>
      </c>
    </row>
    <row r="6006">
      <c r="A6006" s="55"/>
      <c r="B6006" s="119" t="s">
        <v>38021</v>
      </c>
      <c r="C6006" s="120" t="s">
        <v>7894</v>
      </c>
      <c r="D6006" s="33" t="s">
        <v>38009</v>
      </c>
      <c r="E6006" s="51" t="s">
        <v>1273</v>
      </c>
      <c r="F6006" s="121" t="s">
        <v>3009</v>
      </c>
      <c r="G6006" s="98" t="str">
        <f>HYPERLINK("http://mirror.ff7data.com.ar/ff7/data/battle/battle.lgp/knbc.png","View Picture")</f>
        <v>View Picture</v>
      </c>
    </row>
    <row r="6007">
      <c r="A6007" s="55"/>
      <c r="B6007" s="119" t="s">
        <v>38022</v>
      </c>
      <c r="C6007" s="120" t="s">
        <v>4185</v>
      </c>
      <c r="D6007" s="33" t="s">
        <v>38009</v>
      </c>
      <c r="E6007" s="51" t="s">
        <v>1273</v>
      </c>
      <c r="F6007" s="121" t="s">
        <v>3009</v>
      </c>
      <c r="G6007" s="98" t="str">
        <f>HYPERLINK("http://mirror.ff7data.com.ar/ff7/data/battle/battle.lgp/knbe.png","View Picture")</f>
        <v>View Picture</v>
      </c>
    </row>
    <row r="6008">
      <c r="A6008" s="55"/>
      <c r="B6008" s="119" t="s">
        <v>38023</v>
      </c>
      <c r="C6008" s="120" t="s">
        <v>9600</v>
      </c>
      <c r="D6008" s="33" t="s">
        <v>38009</v>
      </c>
      <c r="E6008" s="51" t="s">
        <v>1273</v>
      </c>
      <c r="F6008" s="121" t="s">
        <v>3009</v>
      </c>
      <c r="G6008" s="98" t="str">
        <f>HYPERLINK("http://mirror.ff7data.com.ar/ff7/data/battle/battle.lgp/knbf.png","View Picture")</f>
        <v>View Picture</v>
      </c>
    </row>
    <row r="6009">
      <c r="A6009" s="55"/>
      <c r="B6009" s="119" t="s">
        <v>38024</v>
      </c>
      <c r="C6009" s="120" t="s">
        <v>4185</v>
      </c>
      <c r="D6009" s="33" t="s">
        <v>38009</v>
      </c>
      <c r="E6009" s="51" t="s">
        <v>1273</v>
      </c>
      <c r="F6009" s="121" t="s">
        <v>3009</v>
      </c>
      <c r="G6009" s="98" t="str">
        <f>HYPERLINK("http://mirror.ff7data.com.ar/ff7/data/battle/battle.lgp/knbh.png","View Picture")</f>
        <v>View Picture</v>
      </c>
    </row>
    <row r="6010">
      <c r="A6010" s="55"/>
      <c r="B6010" s="119" t="s">
        <v>38025</v>
      </c>
      <c r="C6010" s="120" t="s">
        <v>7894</v>
      </c>
      <c r="D6010" s="33" t="s">
        <v>38009</v>
      </c>
      <c r="E6010" s="51" t="s">
        <v>1273</v>
      </c>
      <c r="F6010" s="121" t="s">
        <v>3009</v>
      </c>
      <c r="G6010" s="98" t="str">
        <f>HYPERLINK("http://mirror.ff7data.com.ar/ff7/data/battle/battle.lgp/knbi.png","View Picture")</f>
        <v>View Picture</v>
      </c>
    </row>
    <row r="6011">
      <c r="A6011" s="55"/>
      <c r="B6011" s="119" t="s">
        <v>38026</v>
      </c>
      <c r="C6011" s="120" t="s">
        <v>4185</v>
      </c>
      <c r="D6011" s="33" t="s">
        <v>38009</v>
      </c>
      <c r="E6011" s="51" t="s">
        <v>1273</v>
      </c>
      <c r="F6011" s="121" t="s">
        <v>3009</v>
      </c>
      <c r="G6011" s="98" t="str">
        <f>HYPERLINK("http://mirror.ff7data.com.ar/ff7/data/battle/battle.lgp/knbk.png","View Picture")</f>
        <v>View Picture</v>
      </c>
    </row>
    <row r="6012">
      <c r="A6012" s="55"/>
      <c r="B6012" s="119" t="s">
        <v>38027</v>
      </c>
      <c r="C6012" s="120" t="s">
        <v>9600</v>
      </c>
      <c r="D6012" s="33" t="s">
        <v>38009</v>
      </c>
      <c r="E6012" s="51" t="s">
        <v>1273</v>
      </c>
      <c r="F6012" s="121" t="s">
        <v>3009</v>
      </c>
      <c r="G6012" s="98" t="str">
        <f>HYPERLINK("http://mirror.ff7data.com.ar/ff7/data/battle/battle.lgp/knbl.png","View Picture")</f>
        <v>View Picture</v>
      </c>
    </row>
    <row r="6013">
      <c r="A6013" s="55"/>
      <c r="B6013" s="119" t="s">
        <v>38028</v>
      </c>
      <c r="C6013" s="120" t="s">
        <v>3749</v>
      </c>
      <c r="D6013" s="33" t="s">
        <v>38009</v>
      </c>
      <c r="E6013" s="51" t="s">
        <v>1273</v>
      </c>
      <c r="F6013" s="121" t="s">
        <v>3009</v>
      </c>
      <c r="G6013" s="98" t="str">
        <f>HYPERLINK("http://mirror.ff7data.com.ar/ff7/data/battle/battle.lgp/knbm.png","View Picture")</f>
        <v>View Picture</v>
      </c>
    </row>
    <row r="6014">
      <c r="A6014" s="55"/>
      <c r="B6014" s="119" t="s">
        <v>38029</v>
      </c>
      <c r="C6014" s="120" t="s">
        <v>4396</v>
      </c>
      <c r="D6014" s="33" t="s">
        <v>38009</v>
      </c>
      <c r="E6014" s="51" t="s">
        <v>1273</v>
      </c>
      <c r="F6014" s="121" t="s">
        <v>3009</v>
      </c>
      <c r="G6014" s="98" t="str">
        <f>HYPERLINK("http://mirror.ff7data.com.ar/ff7/data/battle/battle.lgp/knbn.png","View Picture")</f>
        <v>View Picture</v>
      </c>
    </row>
    <row r="6015">
      <c r="A6015" s="55"/>
      <c r="B6015" s="119" t="s">
        <v>38030</v>
      </c>
      <c r="C6015" s="120" t="s">
        <v>4288</v>
      </c>
      <c r="D6015" s="33" t="s">
        <v>38009</v>
      </c>
      <c r="E6015" s="51" t="s">
        <v>1273</v>
      </c>
      <c r="F6015" s="121" t="s">
        <v>3009</v>
      </c>
      <c r="G6015" s="98" t="str">
        <f>HYPERLINK("http://mirror.ff7data.com.ar/ff7/data/battle/battle.lgp/knbo.png","View Picture")</f>
        <v>View Picture</v>
      </c>
    </row>
    <row r="6016">
      <c r="A6016" s="55"/>
      <c r="B6016" s="119" t="s">
        <v>38031</v>
      </c>
      <c r="C6016" s="120" t="s">
        <v>4288</v>
      </c>
      <c r="D6016" s="33" t="s">
        <v>38009</v>
      </c>
      <c r="E6016" s="51" t="s">
        <v>1273</v>
      </c>
      <c r="F6016" s="121" t="s">
        <v>3009</v>
      </c>
      <c r="G6016" s="98" t="str">
        <f>HYPERLINK("http://mirror.ff7data.com.ar/ff7/data/battle/battle.lgp/knbp.png","View Picture")</f>
        <v>View Picture</v>
      </c>
    </row>
    <row r="6017">
      <c r="A6017" s="55"/>
      <c r="B6017" s="119" t="s">
        <v>38032</v>
      </c>
      <c r="C6017" s="120" t="s">
        <v>4288</v>
      </c>
      <c r="D6017" s="33" t="s">
        <v>38009</v>
      </c>
      <c r="E6017" s="51" t="s">
        <v>1273</v>
      </c>
      <c r="F6017" s="121" t="s">
        <v>3009</v>
      </c>
      <c r="G6017" s="98" t="str">
        <f>HYPERLINK("http://mirror.ff7data.com.ar/ff7/data/battle/battle.lgp/knbq.png","View Picture")</f>
        <v>View Picture</v>
      </c>
    </row>
    <row r="6018">
      <c r="A6018" s="55"/>
      <c r="B6018" s="119" t="s">
        <v>38033</v>
      </c>
      <c r="C6018" s="120" t="s">
        <v>4439</v>
      </c>
      <c r="D6018" s="33" t="s">
        <v>38009</v>
      </c>
      <c r="E6018" s="51" t="s">
        <v>1273</v>
      </c>
      <c r="F6018" s="121" t="s">
        <v>3009</v>
      </c>
      <c r="G6018" s="98" t="str">
        <f>HYPERLINK("http://mirror.ff7data.com.ar/ff7/data/battle/battle.lgp/knbt.png","View Picture")</f>
        <v>View Picture</v>
      </c>
    </row>
    <row r="6019">
      <c r="A6019" s="55"/>
      <c r="B6019" s="119" t="s">
        <v>38034</v>
      </c>
      <c r="C6019" s="120" t="s">
        <v>9600</v>
      </c>
      <c r="D6019" s="33" t="s">
        <v>38009</v>
      </c>
      <c r="E6019" s="51" t="s">
        <v>1273</v>
      </c>
      <c r="F6019" s="121" t="s">
        <v>3009</v>
      </c>
      <c r="G6019" s="98" t="str">
        <f>HYPERLINK("http://mirror.ff7data.com.ar/ff7/data/battle/battle.lgp/knbu.png","View Picture")</f>
        <v>View Picture</v>
      </c>
    </row>
    <row r="6020">
      <c r="A6020" s="55"/>
      <c r="B6020" s="119" t="s">
        <v>38035</v>
      </c>
      <c r="C6020" s="120" t="s">
        <v>4185</v>
      </c>
      <c r="D6020" s="33" t="s">
        <v>38009</v>
      </c>
      <c r="E6020" s="51" t="s">
        <v>1273</v>
      </c>
      <c r="F6020" s="121" t="s">
        <v>3009</v>
      </c>
      <c r="G6020" s="98" t="str">
        <f>HYPERLINK("http://mirror.ff7data.com.ar/ff7/data/battle/battle.lgp/knbw.png","View Picture")</f>
        <v>View Picture</v>
      </c>
    </row>
    <row r="6021">
      <c r="A6021" s="55"/>
      <c r="B6021" s="119" t="s">
        <v>38036</v>
      </c>
      <c r="C6021" s="120" t="s">
        <v>9600</v>
      </c>
      <c r="D6021" s="33" t="s">
        <v>38009</v>
      </c>
      <c r="E6021" s="51" t="s">
        <v>1273</v>
      </c>
      <c r="F6021" s="121" t="s">
        <v>3009</v>
      </c>
      <c r="G6021" s="98" t="str">
        <f>HYPERLINK("http://mirror.ff7data.com.ar/ff7/data/battle/battle.lgp/knbx.png","View Picture")</f>
        <v>View Picture</v>
      </c>
    </row>
    <row r="6022">
      <c r="A6022" s="55"/>
      <c r="B6022" s="119" t="s">
        <v>38037</v>
      </c>
      <c r="C6022" s="120" t="s">
        <v>4185</v>
      </c>
      <c r="D6022" s="33" t="s">
        <v>38009</v>
      </c>
      <c r="E6022" s="51" t="s">
        <v>1273</v>
      </c>
      <c r="F6022" s="121" t="s">
        <v>3009</v>
      </c>
      <c r="G6022" s="98" t="str">
        <f>HYPERLINK("http://mirror.ff7data.com.ar/ff7/data/battle/battle.lgp/knbz.png","View Picture")</f>
        <v>View Picture</v>
      </c>
    </row>
    <row r="6023">
      <c r="A6023" s="55"/>
      <c r="B6023" s="119" t="s">
        <v>38038</v>
      </c>
      <c r="C6023" s="120" t="s">
        <v>18144</v>
      </c>
      <c r="D6023" s="33" t="s">
        <v>38009</v>
      </c>
      <c r="E6023" s="51" t="s">
        <v>1273</v>
      </c>
      <c r="F6023" s="121" t="s">
        <v>3009</v>
      </c>
      <c r="G6023" s="98" t="str">
        <f>HYPERLINK("http://mirror.ff7data.com.ar/ff7/data/battle/battle.lgp/knca.png","View Picture")</f>
        <v>View Picture</v>
      </c>
    </row>
    <row r="6024">
      <c r="A6024" s="55"/>
      <c r="B6024" s="119" t="s">
        <v>38039</v>
      </c>
      <c r="C6024" s="120" t="s">
        <v>4439</v>
      </c>
      <c r="D6024" s="33" t="s">
        <v>38009</v>
      </c>
      <c r="E6024" s="51" t="s">
        <v>1273</v>
      </c>
      <c r="F6024" s="121" t="s">
        <v>3009</v>
      </c>
      <c r="G6024" s="98" t="str">
        <f>HYPERLINK("http://mirror.ff7data.com.ar/ff7/data/battle/battle.lgp/kncc.png","View Picture")</f>
        <v>View Picture</v>
      </c>
    </row>
    <row r="6025">
      <c r="A6025" s="55"/>
      <c r="B6025" s="119" t="s">
        <v>38040</v>
      </c>
      <c r="C6025" s="120" t="s">
        <v>9600</v>
      </c>
      <c r="D6025" s="33" t="s">
        <v>38009</v>
      </c>
      <c r="E6025" s="51" t="s">
        <v>1273</v>
      </c>
      <c r="F6025" s="121" t="s">
        <v>3009</v>
      </c>
      <c r="G6025" s="98" t="str">
        <f>HYPERLINK("http://mirror.ff7data.com.ar/ff7/data/battle/battle.lgp/kncd.png","View Picture")</f>
        <v>View Picture</v>
      </c>
    </row>
    <row r="6026">
      <c r="A6026" s="55"/>
      <c r="B6026" s="119" t="s">
        <v>38041</v>
      </c>
      <c r="C6026" s="120" t="s">
        <v>3749</v>
      </c>
      <c r="D6026" s="33" t="s">
        <v>38009</v>
      </c>
      <c r="E6026" s="51" t="s">
        <v>1273</v>
      </c>
      <c r="F6026" s="121" t="s">
        <v>3009</v>
      </c>
      <c r="G6026" s="98" t="str">
        <f>HYPERLINK("http://mirror.ff7data.com.ar/ff7/data/battle/battle.lgp/kncf.png","View Picture")</f>
        <v>View Picture</v>
      </c>
    </row>
    <row r="6027">
      <c r="A6027" s="55"/>
      <c r="B6027" s="119" t="s">
        <v>38042</v>
      </c>
      <c r="C6027" s="120" t="s">
        <v>3749</v>
      </c>
      <c r="D6027" s="33" t="s">
        <v>38009</v>
      </c>
      <c r="E6027" s="51" t="s">
        <v>1273</v>
      </c>
      <c r="F6027" s="121" t="s">
        <v>3009</v>
      </c>
      <c r="G6027" s="98" t="str">
        <f>HYPERLINK("http://mirror.ff7data.com.ar/ff7/data/battle/battle.lgp/knch.png","View Picture")</f>
        <v>View Picture</v>
      </c>
    </row>
    <row r="6028">
      <c r="A6028" s="55"/>
      <c r="B6028" s="119" t="s">
        <v>38043</v>
      </c>
      <c r="C6028" s="120" t="s">
        <v>3318</v>
      </c>
      <c r="D6028" s="33" t="s">
        <v>38009</v>
      </c>
      <c r="E6028" s="51" t="s">
        <v>1273</v>
      </c>
      <c r="F6028" s="121" t="s">
        <v>3025</v>
      </c>
      <c r="H6028" s="46" t="s">
        <v>3002</v>
      </c>
    </row>
    <row r="6029">
      <c r="A6029" s="82"/>
      <c r="B6029" s="119" t="s">
        <v>38044</v>
      </c>
      <c r="C6029" s="120" t="s">
        <v>4846</v>
      </c>
      <c r="D6029" s="33" t="s">
        <v>10926</v>
      </c>
      <c r="E6029" s="51" t="s">
        <v>1278</v>
      </c>
      <c r="F6029" s="121" t="s">
        <v>2971</v>
      </c>
      <c r="G6029" s="98" t="str">
        <f>HYPERLINK("http://mirror.ff7data.com.ar/ff7/data/battle/battle.lgp/koaa.png","View Picture")</f>
        <v>View Picture</v>
      </c>
      <c r="H6029" s="46" t="s">
        <v>38045</v>
      </c>
    </row>
    <row r="6030">
      <c r="A6030" s="55"/>
      <c r="B6030" s="119" t="s">
        <v>38046</v>
      </c>
      <c r="C6030" s="120" t="s">
        <v>3991</v>
      </c>
      <c r="D6030" s="33" t="s">
        <v>10938</v>
      </c>
      <c r="E6030" s="51" t="s">
        <v>1278</v>
      </c>
      <c r="F6030" s="121" t="s">
        <v>2993</v>
      </c>
      <c r="H6030" s="46" t="s">
        <v>3002</v>
      </c>
    </row>
    <row r="6031">
      <c r="A6031" s="40"/>
      <c r="B6031" s="119" t="s">
        <v>38047</v>
      </c>
      <c r="C6031" s="120" t="s">
        <v>4191</v>
      </c>
      <c r="D6031" s="33" t="s">
        <v>10945</v>
      </c>
      <c r="E6031" s="51" t="s">
        <v>1278</v>
      </c>
      <c r="F6031" s="121" t="s">
        <v>1348</v>
      </c>
      <c r="G6031" s="98" t="str">
        <f>HYPERLINK("http://mirror.ff7data.com.ar/ff7/data/battle/battle.lgp/koac.png","View Picture")</f>
        <v>View Picture</v>
      </c>
    </row>
    <row r="6032">
      <c r="A6032" s="82"/>
      <c r="B6032" s="119" t="s">
        <v>38048</v>
      </c>
      <c r="C6032" s="120" t="s">
        <v>10955</v>
      </c>
      <c r="D6032" s="33" t="s">
        <v>10957</v>
      </c>
      <c r="E6032" s="51" t="s">
        <v>1278</v>
      </c>
      <c r="F6032" s="121" t="s">
        <v>3009</v>
      </c>
      <c r="G6032" s="98" t="str">
        <f>HYPERLINK("http://mirror.ff7data.com.ar/ff7/data/battle/battle.lgp/koam.png","View Picture")</f>
        <v>View Picture</v>
      </c>
    </row>
    <row r="6033">
      <c r="A6033" s="82"/>
      <c r="B6033" s="119" t="s">
        <v>38049</v>
      </c>
      <c r="C6033" s="120" t="s">
        <v>6018</v>
      </c>
      <c r="D6033" s="33" t="s">
        <v>10970</v>
      </c>
      <c r="E6033" s="51" t="s">
        <v>1278</v>
      </c>
      <c r="F6033" s="121" t="s">
        <v>3009</v>
      </c>
      <c r="G6033" s="98" t="str">
        <f>HYPERLINK("http://mirror.ff7data.com.ar/ff7/data/battle/battle.lgp/koan.png","View Picture")</f>
        <v>View Picture</v>
      </c>
    </row>
    <row r="6034">
      <c r="A6034" s="21"/>
      <c r="B6034" s="119" t="s">
        <v>38050</v>
      </c>
      <c r="C6034" s="120" t="s">
        <v>7148</v>
      </c>
      <c r="D6034" s="33" t="s">
        <v>10983</v>
      </c>
      <c r="E6034" s="51" t="s">
        <v>1278</v>
      </c>
      <c r="F6034" s="121" t="s">
        <v>3009</v>
      </c>
      <c r="G6034" s="98" t="str">
        <f>HYPERLINK("http://mirror.ff7data.com.ar/ff7/data/battle/battle.lgp/koap.png","View Picture")</f>
        <v>View Picture</v>
      </c>
    </row>
    <row r="6035">
      <c r="A6035" s="21"/>
      <c r="B6035" s="119" t="s">
        <v>38051</v>
      </c>
      <c r="C6035" s="120" t="s">
        <v>7148</v>
      </c>
      <c r="D6035" s="33" t="s">
        <v>10983</v>
      </c>
      <c r="E6035" s="51" t="s">
        <v>1278</v>
      </c>
      <c r="F6035" s="121" t="s">
        <v>3009</v>
      </c>
      <c r="G6035" s="98" t="str">
        <f>HYPERLINK("http://mirror.ff7data.com.ar/ff7/data/battle/battle.lgp/koaq.png","View Picture")</f>
        <v>View Picture</v>
      </c>
    </row>
    <row r="6036">
      <c r="A6036" s="21"/>
      <c r="B6036" s="119" t="s">
        <v>38052</v>
      </c>
      <c r="C6036" s="120" t="s">
        <v>3007</v>
      </c>
      <c r="D6036" s="33" t="s">
        <v>10983</v>
      </c>
      <c r="E6036" s="51" t="s">
        <v>1278</v>
      </c>
      <c r="F6036" s="121" t="s">
        <v>3009</v>
      </c>
      <c r="G6036" s="98" t="str">
        <f>HYPERLINK("http://mirror.ff7data.com.ar/ff7/data/battle/battle.lgp/koar.png","View Picture")</f>
        <v>View Picture</v>
      </c>
    </row>
    <row r="6037">
      <c r="A6037" s="82"/>
      <c r="B6037" s="119" t="s">
        <v>38053</v>
      </c>
      <c r="C6037" s="120" t="s">
        <v>7301</v>
      </c>
      <c r="D6037" s="33" t="s">
        <v>11011</v>
      </c>
      <c r="E6037" s="51" t="s">
        <v>1278</v>
      </c>
      <c r="F6037" s="121" t="s">
        <v>3009</v>
      </c>
      <c r="G6037" s="98" t="str">
        <f>HYPERLINK("http://mirror.ff7data.com.ar/ff7/data/battle/battle.lgp/koas.png","View Picture")</f>
        <v>View Picture</v>
      </c>
    </row>
    <row r="6038">
      <c r="A6038" s="21"/>
      <c r="B6038" s="119" t="s">
        <v>38054</v>
      </c>
      <c r="C6038" s="120" t="s">
        <v>4185</v>
      </c>
      <c r="D6038" s="33" t="s">
        <v>11022</v>
      </c>
      <c r="E6038" s="51" t="s">
        <v>1278</v>
      </c>
      <c r="F6038" s="121" t="s">
        <v>3009</v>
      </c>
      <c r="G6038" s="98" t="str">
        <f>HYPERLINK("http://mirror.ff7data.com.ar/ff7/data/battle/battle.lgp/koau.png","View Picture")</f>
        <v>View Picture</v>
      </c>
    </row>
    <row r="6039">
      <c r="A6039" s="21"/>
      <c r="B6039" s="119" t="s">
        <v>38055</v>
      </c>
      <c r="C6039" s="120" t="s">
        <v>4057</v>
      </c>
      <c r="D6039" s="33" t="s">
        <v>11034</v>
      </c>
      <c r="E6039" s="51" t="s">
        <v>1278</v>
      </c>
      <c r="F6039" s="121" t="s">
        <v>3009</v>
      </c>
      <c r="G6039" s="98" t="str">
        <f>HYPERLINK("http://mirror.ff7data.com.ar/ff7/data/battle/battle.lgp/koav.png","View Picture")</f>
        <v>View Picture</v>
      </c>
    </row>
    <row r="6040">
      <c r="A6040" s="21"/>
      <c r="B6040" s="119" t="s">
        <v>38056</v>
      </c>
      <c r="C6040" s="120" t="s">
        <v>4185</v>
      </c>
      <c r="D6040" s="33" t="s">
        <v>11042</v>
      </c>
      <c r="E6040" s="51" t="s">
        <v>1278</v>
      </c>
      <c r="F6040" s="121" t="s">
        <v>3009</v>
      </c>
      <c r="G6040" s="98" t="str">
        <f>HYPERLINK("http://mirror.ff7data.com.ar/ff7/data/battle/battle.lgp/koaw.png","View Picture")</f>
        <v>View Picture</v>
      </c>
    </row>
    <row r="6041">
      <c r="A6041" s="21"/>
      <c r="B6041" s="119" t="s">
        <v>38057</v>
      </c>
      <c r="C6041" s="120" t="s">
        <v>4732</v>
      </c>
      <c r="D6041" s="33" t="s">
        <v>11054</v>
      </c>
      <c r="E6041" s="51" t="s">
        <v>1278</v>
      </c>
      <c r="F6041" s="121" t="s">
        <v>3009</v>
      </c>
      <c r="G6041" s="98" t="str">
        <f>HYPERLINK("http://mirror.ff7data.com.ar/ff7/data/battle/battle.lgp/koay.png","View Picture")</f>
        <v>View Picture</v>
      </c>
    </row>
    <row r="6042">
      <c r="A6042" s="21"/>
      <c r="B6042" s="119" t="s">
        <v>38058</v>
      </c>
      <c r="C6042" s="120" t="s">
        <v>4185</v>
      </c>
      <c r="D6042" s="33" t="s">
        <v>11022</v>
      </c>
      <c r="E6042" s="51" t="s">
        <v>1278</v>
      </c>
      <c r="F6042" s="121" t="s">
        <v>3009</v>
      </c>
      <c r="G6042" s="98" t="str">
        <f>HYPERLINK("http://mirror.ff7data.com.ar/ff7/data/battle/battle.lgp/koba.png","View Picture")</f>
        <v>View Picture</v>
      </c>
    </row>
    <row r="6043">
      <c r="A6043" s="21"/>
      <c r="B6043" s="119" t="s">
        <v>38059</v>
      </c>
      <c r="C6043" s="120" t="s">
        <v>4719</v>
      </c>
      <c r="D6043" s="33" t="s">
        <v>11034</v>
      </c>
      <c r="E6043" s="51" t="s">
        <v>1278</v>
      </c>
      <c r="F6043" s="121" t="s">
        <v>3009</v>
      </c>
      <c r="G6043" s="98" t="str">
        <f>HYPERLINK("http://mirror.ff7data.com.ar/ff7/data/battle/battle.lgp/kobb.png","View Picture")</f>
        <v>View Picture</v>
      </c>
    </row>
    <row r="6044">
      <c r="A6044" s="21"/>
      <c r="B6044" s="119" t="s">
        <v>38060</v>
      </c>
      <c r="C6044" s="120" t="s">
        <v>4185</v>
      </c>
      <c r="D6044" s="33" t="s">
        <v>11042</v>
      </c>
      <c r="E6044" s="51" t="s">
        <v>1278</v>
      </c>
      <c r="F6044" s="121" t="s">
        <v>3009</v>
      </c>
      <c r="G6044" s="98" t="str">
        <f>HYPERLINK("http://mirror.ff7data.com.ar/ff7/data/battle/battle.lgp/kobc.png","View Picture")</f>
        <v>View Picture</v>
      </c>
    </row>
    <row r="6045">
      <c r="A6045" s="21"/>
      <c r="B6045" s="119" t="s">
        <v>38061</v>
      </c>
      <c r="C6045" s="120" t="s">
        <v>4732</v>
      </c>
      <c r="D6045" s="33" t="s">
        <v>11054</v>
      </c>
      <c r="E6045" s="51" t="s">
        <v>1278</v>
      </c>
      <c r="F6045" s="121" t="s">
        <v>3009</v>
      </c>
      <c r="G6045" s="98" t="str">
        <f>HYPERLINK("http://mirror.ff7data.com.ar/ff7/data/battle/battle.lgp/kobe.png","View Picture")</f>
        <v>View Picture</v>
      </c>
    </row>
    <row r="6046">
      <c r="A6046" s="21"/>
      <c r="B6046" s="119" t="s">
        <v>38062</v>
      </c>
      <c r="C6046" s="120" t="s">
        <v>4476</v>
      </c>
      <c r="D6046" s="33" t="s">
        <v>11101</v>
      </c>
      <c r="E6046" s="51" t="s">
        <v>1278</v>
      </c>
      <c r="F6046" s="121" t="s">
        <v>3009</v>
      </c>
      <c r="G6046" s="98" t="str">
        <f>HYPERLINK("http://mirror.ff7data.com.ar/ff7/data/battle/battle.lgp/kobh.png","View Picture")</f>
        <v>View Picture</v>
      </c>
    </row>
    <row r="6047">
      <c r="A6047" s="21"/>
      <c r="B6047" s="119" t="s">
        <v>38063</v>
      </c>
      <c r="C6047" s="120" t="s">
        <v>11112</v>
      </c>
      <c r="D6047" s="33" t="s">
        <v>11114</v>
      </c>
      <c r="E6047" s="51" t="s">
        <v>1278</v>
      </c>
      <c r="F6047" s="121" t="s">
        <v>3009</v>
      </c>
      <c r="G6047" s="98" t="str">
        <f>HYPERLINK("http://mirror.ff7data.com.ar/ff7/data/battle/battle.lgp/kobi.png","View Picture")</f>
        <v>View Picture</v>
      </c>
    </row>
    <row r="6048">
      <c r="A6048" s="82"/>
      <c r="B6048" s="119" t="s">
        <v>38064</v>
      </c>
      <c r="C6048" s="120" t="s">
        <v>4252</v>
      </c>
      <c r="D6048" s="33" t="s">
        <v>11122</v>
      </c>
      <c r="E6048" s="51" t="s">
        <v>1278</v>
      </c>
      <c r="F6048" s="121" t="s">
        <v>3009</v>
      </c>
      <c r="G6048" s="98" t="str">
        <f>HYPERLINK("http://mirror.ff7data.com.ar/ff7/data/battle/battle.lgp/kobj.png","View Picture")</f>
        <v>View Picture</v>
      </c>
    </row>
    <row r="6049">
      <c r="A6049" s="21"/>
      <c r="B6049" s="119" t="s">
        <v>38065</v>
      </c>
      <c r="C6049" s="120" t="s">
        <v>4185</v>
      </c>
      <c r="D6049" s="33" t="s">
        <v>11101</v>
      </c>
      <c r="E6049" s="51" t="s">
        <v>1278</v>
      </c>
      <c r="F6049" s="121" t="s">
        <v>3009</v>
      </c>
      <c r="G6049" s="98" t="str">
        <f>HYPERLINK("http://mirror.ff7data.com.ar/ff7/data/battle/battle.lgp/kobm.png","View Picture")</f>
        <v>View Picture</v>
      </c>
    </row>
    <row r="6050">
      <c r="A6050" s="21"/>
      <c r="B6050" s="119" t="s">
        <v>38066</v>
      </c>
      <c r="C6050" s="120" t="s">
        <v>4288</v>
      </c>
      <c r="D6050" s="33" t="s">
        <v>11114</v>
      </c>
      <c r="E6050" s="51" t="s">
        <v>1278</v>
      </c>
      <c r="F6050" s="121" t="s">
        <v>3009</v>
      </c>
      <c r="G6050" s="98" t="str">
        <f>HYPERLINK("http://mirror.ff7data.com.ar/ff7/data/battle/battle.lgp/kobn.png","View Picture")</f>
        <v>View Picture</v>
      </c>
    </row>
    <row r="6051">
      <c r="A6051" s="82"/>
      <c r="B6051" s="119" t="s">
        <v>38067</v>
      </c>
      <c r="C6051" s="120" t="s">
        <v>4252</v>
      </c>
      <c r="D6051" s="33" t="s">
        <v>11151</v>
      </c>
      <c r="E6051" s="51" t="s">
        <v>1278</v>
      </c>
      <c r="F6051" s="121" t="s">
        <v>3009</v>
      </c>
      <c r="G6051" s="98" t="str">
        <f>HYPERLINK("http://mirror.ff7data.com.ar/ff7/data/battle/battle.lgp/kobo.png","View Picture")</f>
        <v>View Picture</v>
      </c>
    </row>
    <row r="6052">
      <c r="A6052" s="82"/>
      <c r="B6052" s="119" t="s">
        <v>38068</v>
      </c>
      <c r="C6052" s="120" t="s">
        <v>4252</v>
      </c>
      <c r="D6052" s="33" t="s">
        <v>11161</v>
      </c>
      <c r="E6052" s="51" t="s">
        <v>1278</v>
      </c>
      <c r="F6052" s="121" t="s">
        <v>3009</v>
      </c>
      <c r="G6052" s="98" t="str">
        <f>HYPERLINK("http://mirror.ff7data.com.ar/ff7/data/battle/battle.lgp/kobq.png","View Picture")</f>
        <v>View Picture</v>
      </c>
    </row>
    <row r="6053">
      <c r="A6053" s="55"/>
      <c r="B6053" s="119" t="s">
        <v>38069</v>
      </c>
      <c r="C6053" s="120" t="s">
        <v>4228</v>
      </c>
      <c r="D6053" s="33" t="s">
        <v>10938</v>
      </c>
      <c r="E6053" s="51" t="s">
        <v>1278</v>
      </c>
      <c r="F6053" s="121" t="s">
        <v>3025</v>
      </c>
      <c r="H6053" s="46" t="s">
        <v>3002</v>
      </c>
    </row>
    <row r="6054">
      <c r="A6054" s="82"/>
      <c r="B6054" s="119" t="s">
        <v>38070</v>
      </c>
      <c r="C6054" s="120" t="s">
        <v>8845</v>
      </c>
      <c r="D6054" s="33" t="s">
        <v>27810</v>
      </c>
      <c r="E6054" s="51" t="s">
        <v>1284</v>
      </c>
      <c r="F6054" s="121" t="s">
        <v>2971</v>
      </c>
      <c r="G6054" s="98" t="str">
        <f>HYPERLINK("http://mirror.ff7data.com.ar/ff7/data/battle/battle.lgp/kpaa.png","View Picture")</f>
        <v>View Picture</v>
      </c>
      <c r="H6054" s="46" t="s">
        <v>38071</v>
      </c>
    </row>
    <row r="6055">
      <c r="A6055" s="55"/>
      <c r="B6055" s="119" t="s">
        <v>38072</v>
      </c>
      <c r="C6055" s="120" t="s">
        <v>3299</v>
      </c>
      <c r="D6055" s="33" t="s">
        <v>27823</v>
      </c>
      <c r="E6055" s="51" t="s">
        <v>1284</v>
      </c>
      <c r="F6055" s="121" t="s">
        <v>2993</v>
      </c>
      <c r="H6055" s="46" t="s">
        <v>3002</v>
      </c>
    </row>
    <row r="6056">
      <c r="A6056" s="82"/>
      <c r="B6056" s="119" t="s">
        <v>38073</v>
      </c>
      <c r="C6056" s="120" t="s">
        <v>3671</v>
      </c>
      <c r="D6056" s="33" t="s">
        <v>27831</v>
      </c>
      <c r="E6056" s="51" t="s">
        <v>1284</v>
      </c>
      <c r="F6056" s="121" t="s">
        <v>1348</v>
      </c>
      <c r="G6056" s="98" t="str">
        <f>HYPERLINK("http://mirror.ff7data.com.ar/ff7/data/battle/battle.lgp/kpac.png","View Picture")</f>
        <v>View Picture</v>
      </c>
    </row>
    <row r="6057">
      <c r="A6057" s="82"/>
      <c r="B6057" s="119" t="s">
        <v>38074</v>
      </c>
      <c r="C6057" s="120" t="s">
        <v>14502</v>
      </c>
      <c r="D6057" s="33" t="s">
        <v>27844</v>
      </c>
      <c r="E6057" s="51" t="s">
        <v>1284</v>
      </c>
      <c r="F6057" s="121" t="s">
        <v>3009</v>
      </c>
      <c r="G6057" s="98" t="str">
        <f>HYPERLINK("http://mirror.ff7data.com.ar/ff7/data/battle/battle.lgp/kpam.png","View Picture")</f>
        <v>View Picture</v>
      </c>
    </row>
    <row r="6058">
      <c r="A6058" s="82"/>
      <c r="B6058" s="119" t="s">
        <v>38075</v>
      </c>
      <c r="C6058" s="120" t="s">
        <v>3318</v>
      </c>
      <c r="D6058" s="33" t="s">
        <v>27868</v>
      </c>
      <c r="E6058" s="51" t="s">
        <v>1284</v>
      </c>
      <c r="F6058" s="121" t="s">
        <v>3009</v>
      </c>
      <c r="G6058" s="98" t="str">
        <f>HYPERLINK("http://mirror.ff7data.com.ar/ff7/data/battle/battle.lgp/kpan.png","View Picture")</f>
        <v>View Picture</v>
      </c>
    </row>
    <row r="6059">
      <c r="A6059" s="82"/>
      <c r="B6059" s="119" t="s">
        <v>38076</v>
      </c>
      <c r="C6059" s="120" t="s">
        <v>7871</v>
      </c>
      <c r="D6059" s="33" t="s">
        <v>27889</v>
      </c>
      <c r="E6059" s="51" t="s">
        <v>1284</v>
      </c>
      <c r="F6059" s="121" t="s">
        <v>3009</v>
      </c>
      <c r="G6059" s="98" t="str">
        <f>HYPERLINK("http://mirror.ff7data.com.ar/ff7/data/battle/battle.lgp/kpao.png","View Picture")</f>
        <v>View Picture</v>
      </c>
    </row>
    <row r="6060">
      <c r="A6060" s="21"/>
      <c r="B6060" s="119" t="s">
        <v>38077</v>
      </c>
      <c r="C6060" s="120" t="s">
        <v>6029</v>
      </c>
      <c r="D6060" s="33" t="s">
        <v>27905</v>
      </c>
      <c r="E6060" s="51" t="s">
        <v>1284</v>
      </c>
      <c r="F6060" s="121" t="s">
        <v>3009</v>
      </c>
      <c r="G6060" s="98" t="str">
        <f>HYPERLINK("http://mirror.ff7data.com.ar/ff7/data/battle/battle.lgp/kpaq.png","View Picture")</f>
        <v>View Picture</v>
      </c>
    </row>
    <row r="6061">
      <c r="A6061" s="21"/>
      <c r="B6061" s="119" t="s">
        <v>38078</v>
      </c>
      <c r="C6061" s="120" t="s">
        <v>5419</v>
      </c>
      <c r="D6061" s="33" t="s">
        <v>27923</v>
      </c>
      <c r="E6061" s="51" t="s">
        <v>1284</v>
      </c>
      <c r="F6061" s="121" t="s">
        <v>3009</v>
      </c>
      <c r="G6061" s="98" t="str">
        <f>HYPERLINK("http://mirror.ff7data.com.ar/ff7/data/battle/battle.lgp/kpar.png","View Picture")</f>
        <v>View Picture</v>
      </c>
    </row>
    <row r="6062">
      <c r="A6062" s="21"/>
      <c r="B6062" s="119" t="s">
        <v>38079</v>
      </c>
      <c r="C6062" s="120" t="s">
        <v>4439</v>
      </c>
      <c r="D6062" s="33" t="s">
        <v>27941</v>
      </c>
      <c r="E6062" s="51" t="s">
        <v>1284</v>
      </c>
      <c r="F6062" s="121" t="s">
        <v>3009</v>
      </c>
      <c r="G6062" s="98" t="str">
        <f>HYPERLINK("http://mirror.ff7data.com.ar/ff7/data/battle/battle.lgp/kpas.png","View Picture")</f>
        <v>View Picture</v>
      </c>
    </row>
    <row r="6063">
      <c r="A6063" s="21"/>
      <c r="B6063" s="119" t="s">
        <v>38080</v>
      </c>
      <c r="C6063" s="120" t="s">
        <v>4439</v>
      </c>
      <c r="D6063" s="33" t="s">
        <v>27956</v>
      </c>
      <c r="E6063" s="51" t="s">
        <v>1284</v>
      </c>
      <c r="F6063" s="121" t="s">
        <v>3009</v>
      </c>
      <c r="G6063" s="98" t="str">
        <f>HYPERLINK("http://mirror.ff7data.com.ar/ff7/data/battle/battle.lgp/kpau.png","View Picture")</f>
        <v>View Picture</v>
      </c>
    </row>
    <row r="6064">
      <c r="A6064" s="21"/>
      <c r="B6064" s="119" t="s">
        <v>38081</v>
      </c>
      <c r="C6064" s="120" t="s">
        <v>6029</v>
      </c>
      <c r="D6064" s="33" t="s">
        <v>27905</v>
      </c>
      <c r="E6064" s="51" t="s">
        <v>1284</v>
      </c>
      <c r="F6064" s="121" t="s">
        <v>3009</v>
      </c>
      <c r="G6064" s="98" t="str">
        <f>HYPERLINK("http://mirror.ff7data.com.ar/ff7/data/battle/battle.lgp/kpaw.png","View Picture")</f>
        <v>View Picture</v>
      </c>
    </row>
    <row r="6065">
      <c r="A6065" s="21"/>
      <c r="B6065" s="119" t="s">
        <v>38082</v>
      </c>
      <c r="C6065" s="120" t="s">
        <v>4372</v>
      </c>
      <c r="D6065" s="33" t="s">
        <v>27923</v>
      </c>
      <c r="E6065" s="51" t="s">
        <v>1284</v>
      </c>
      <c r="F6065" s="121" t="s">
        <v>3009</v>
      </c>
      <c r="G6065" s="98" t="str">
        <f>HYPERLINK("http://mirror.ff7data.com.ar/ff7/data/battle/battle.lgp/kpax.png","View Picture")</f>
        <v>View Picture</v>
      </c>
    </row>
    <row r="6066">
      <c r="A6066" s="21"/>
      <c r="B6066" s="119" t="s">
        <v>38083</v>
      </c>
      <c r="C6066" s="120" t="s">
        <v>4439</v>
      </c>
      <c r="D6066" s="33" t="s">
        <v>27941</v>
      </c>
      <c r="E6066" s="51" t="s">
        <v>1284</v>
      </c>
      <c r="F6066" s="121" t="s">
        <v>3009</v>
      </c>
      <c r="G6066" s="98" t="str">
        <f>HYPERLINK("http://mirror.ff7data.com.ar/ff7/data/battle/battle.lgp/kpay.png","View Picture")</f>
        <v>View Picture</v>
      </c>
    </row>
    <row r="6067">
      <c r="A6067" s="21"/>
      <c r="B6067" s="119" t="s">
        <v>38084</v>
      </c>
      <c r="C6067" s="120" t="s">
        <v>4439</v>
      </c>
      <c r="D6067" s="33" t="s">
        <v>27956</v>
      </c>
      <c r="E6067" s="51" t="s">
        <v>1284</v>
      </c>
      <c r="F6067" s="121" t="s">
        <v>3009</v>
      </c>
      <c r="G6067" s="98" t="str">
        <f>HYPERLINK("http://mirror.ff7data.com.ar/ff7/data/battle/battle.lgp/kpba.png","View Picture")</f>
        <v>View Picture</v>
      </c>
    </row>
    <row r="6068">
      <c r="A6068" s="21"/>
      <c r="B6068" s="119" t="s">
        <v>38085</v>
      </c>
      <c r="C6068" s="120" t="s">
        <v>4185</v>
      </c>
      <c r="D6068" s="33" t="s">
        <v>28015</v>
      </c>
      <c r="E6068" s="51" t="s">
        <v>1284</v>
      </c>
      <c r="F6068" s="121" t="s">
        <v>3009</v>
      </c>
      <c r="G6068" s="98" t="str">
        <f>HYPERLINK("http://mirror.ff7data.com.ar/ff7/data/battle/battle.lgp/kpbd.png","View Picture")</f>
        <v>View Picture</v>
      </c>
    </row>
    <row r="6069">
      <c r="A6069" s="21"/>
      <c r="B6069" s="119" t="s">
        <v>38086</v>
      </c>
      <c r="C6069" s="120" t="s">
        <v>7148</v>
      </c>
      <c r="D6069" s="33" t="s">
        <v>28024</v>
      </c>
      <c r="E6069" s="51" t="s">
        <v>1284</v>
      </c>
      <c r="F6069" s="121" t="s">
        <v>3009</v>
      </c>
      <c r="G6069" s="98" t="str">
        <f>HYPERLINK("http://mirror.ff7data.com.ar/ff7/data/battle/battle.lgp/kpbe.png","View Picture")</f>
        <v>View Picture</v>
      </c>
    </row>
    <row r="6070">
      <c r="A6070" s="82"/>
      <c r="B6070" s="119" t="s">
        <v>38087</v>
      </c>
      <c r="C6070" s="120" t="s">
        <v>4252</v>
      </c>
      <c r="D6070" s="33" t="s">
        <v>28035</v>
      </c>
      <c r="E6070" s="51" t="s">
        <v>1284</v>
      </c>
      <c r="F6070" s="121" t="s">
        <v>3009</v>
      </c>
      <c r="G6070" s="98" t="str">
        <f>HYPERLINK("http://mirror.ff7data.com.ar/ff7/data/battle/battle.lgp/kpbf.png","View Picture")</f>
        <v>View Picture</v>
      </c>
    </row>
    <row r="6071">
      <c r="A6071" s="21"/>
      <c r="B6071" s="119" t="s">
        <v>38088</v>
      </c>
      <c r="C6071" s="120" t="s">
        <v>4185</v>
      </c>
      <c r="D6071" s="33" t="s">
        <v>28015</v>
      </c>
      <c r="E6071" s="51" t="s">
        <v>1284</v>
      </c>
      <c r="F6071" s="121" t="s">
        <v>3009</v>
      </c>
      <c r="G6071" s="98" t="str">
        <f>HYPERLINK("http://mirror.ff7data.com.ar/ff7/data/battle/battle.lgp/kpbi.png","View Picture")</f>
        <v>View Picture</v>
      </c>
    </row>
    <row r="6072">
      <c r="A6072" s="21"/>
      <c r="B6072" s="119" t="s">
        <v>38089</v>
      </c>
      <c r="C6072" s="120" t="s">
        <v>7148</v>
      </c>
      <c r="D6072" s="33" t="s">
        <v>28024</v>
      </c>
      <c r="E6072" s="51" t="s">
        <v>1284</v>
      </c>
      <c r="F6072" s="121" t="s">
        <v>3009</v>
      </c>
      <c r="G6072" s="98" t="str">
        <f>HYPERLINK("http://mirror.ff7data.com.ar/ff7/data/battle/battle.lgp/kpbj.png","View Picture")</f>
        <v>View Picture</v>
      </c>
    </row>
    <row r="6073">
      <c r="A6073" s="82"/>
      <c r="B6073" s="119" t="s">
        <v>38090</v>
      </c>
      <c r="C6073" s="120" t="s">
        <v>4252</v>
      </c>
      <c r="D6073" s="33" t="s">
        <v>28066</v>
      </c>
      <c r="E6073" s="51" t="s">
        <v>1284</v>
      </c>
      <c r="F6073" s="121" t="s">
        <v>3009</v>
      </c>
      <c r="G6073" s="98" t="str">
        <f>HYPERLINK("http://mirror.ff7data.com.ar/ff7/data/battle/battle.lgp/kpbk.png","View Picture")</f>
        <v>View Picture</v>
      </c>
    </row>
    <row r="6074">
      <c r="A6074" s="55"/>
      <c r="B6074" s="119" t="s">
        <v>38091</v>
      </c>
      <c r="C6074" s="120" t="s">
        <v>4841</v>
      </c>
      <c r="D6074" s="33" t="s">
        <v>27823</v>
      </c>
      <c r="E6074" s="51" t="s">
        <v>1284</v>
      </c>
      <c r="F6074" s="121" t="s">
        <v>3025</v>
      </c>
      <c r="H6074" s="46" t="s">
        <v>3002</v>
      </c>
    </row>
    <row r="6075">
      <c r="A6075" s="21"/>
      <c r="B6075" s="119" t="s">
        <v>38092</v>
      </c>
      <c r="C6075" s="120" t="s">
        <v>6789</v>
      </c>
      <c r="D6075" s="33" t="s">
        <v>38093</v>
      </c>
      <c r="E6075" s="51" t="s">
        <v>1288</v>
      </c>
      <c r="F6075" s="121" t="s">
        <v>2971</v>
      </c>
      <c r="G6075" s="98" t="str">
        <f>HYPERLINK("http://mirror.ff7data.com.ar/ff7/data/battle/battle.lgp/kqaa.png","View Picture")</f>
        <v>View Picture</v>
      </c>
      <c r="H6075" s="46" t="s">
        <v>38094</v>
      </c>
    </row>
    <row r="6076">
      <c r="A6076" s="55"/>
      <c r="B6076" s="119" t="s">
        <v>38095</v>
      </c>
      <c r="C6076" s="120" t="s">
        <v>30662</v>
      </c>
      <c r="D6076" s="33" t="s">
        <v>38096</v>
      </c>
      <c r="E6076" s="51" t="s">
        <v>1288</v>
      </c>
      <c r="F6076" s="121" t="s">
        <v>2993</v>
      </c>
      <c r="H6076" s="46" t="s">
        <v>3002</v>
      </c>
    </row>
    <row r="6077">
      <c r="A6077" s="55"/>
      <c r="B6077" s="119" t="s">
        <v>38097</v>
      </c>
      <c r="C6077" s="120" t="s">
        <v>3997</v>
      </c>
      <c r="D6077" s="33" t="s">
        <v>38096</v>
      </c>
      <c r="E6077" s="51" t="s">
        <v>1288</v>
      </c>
      <c r="F6077" s="121" t="s">
        <v>1348</v>
      </c>
      <c r="G6077" s="98" t="str">
        <f>HYPERLINK("http://mirror.ff7data.com.ar/ff7/data/battle/battle.lgp/kqac.png","View Picture")</f>
        <v>View Picture</v>
      </c>
    </row>
    <row r="6078">
      <c r="A6078" s="55"/>
      <c r="B6078" s="119" t="s">
        <v>38098</v>
      </c>
      <c r="C6078" s="120" t="s">
        <v>4191</v>
      </c>
      <c r="D6078" s="33" t="s">
        <v>38096</v>
      </c>
      <c r="E6078" s="51" t="s">
        <v>1288</v>
      </c>
      <c r="F6078" s="121" t="s">
        <v>1348</v>
      </c>
      <c r="G6078" s="98" t="str">
        <f>HYPERLINK("http://mirror.ff7data.com.ar/ff7/data/battle/battle.lgp/kqad.png","View Picture")</f>
        <v>View Picture</v>
      </c>
    </row>
    <row r="6079">
      <c r="A6079" s="55"/>
      <c r="B6079" s="119" t="s">
        <v>38099</v>
      </c>
      <c r="C6079" s="120" t="s">
        <v>4191</v>
      </c>
      <c r="D6079" s="33" t="s">
        <v>38096</v>
      </c>
      <c r="E6079" s="51" t="s">
        <v>1288</v>
      </c>
      <c r="F6079" s="121" t="s">
        <v>1348</v>
      </c>
      <c r="G6079" s="98" t="str">
        <f>HYPERLINK("http://mirror.ff7data.com.ar/ff7/data/battle/battle.lgp/kqae.png","View Picture")</f>
        <v>View Picture</v>
      </c>
    </row>
    <row r="6080">
      <c r="A6080" s="55"/>
      <c r="B6080" s="119" t="s">
        <v>38100</v>
      </c>
      <c r="C6080" s="120" t="s">
        <v>4191</v>
      </c>
      <c r="D6080" s="33" t="s">
        <v>38096</v>
      </c>
      <c r="E6080" s="51" t="s">
        <v>1288</v>
      </c>
      <c r="F6080" s="121" t="s">
        <v>1348</v>
      </c>
      <c r="G6080" s="98" t="str">
        <f>HYPERLINK("http://mirror.ff7data.com.ar/ff7/data/battle/battle.lgp/kqaf.png","View Picture")</f>
        <v>View Picture</v>
      </c>
    </row>
    <row r="6081">
      <c r="A6081" s="55"/>
      <c r="B6081" s="119" t="s">
        <v>38101</v>
      </c>
      <c r="C6081" s="120" t="s">
        <v>7165</v>
      </c>
      <c r="D6081" s="33" t="s">
        <v>38096</v>
      </c>
      <c r="E6081" s="51" t="s">
        <v>1288</v>
      </c>
      <c r="F6081" s="121" t="s">
        <v>3009</v>
      </c>
      <c r="G6081" s="98" t="str">
        <f>HYPERLINK("http://mirror.ff7data.com.ar/ff7/data/battle/battle.lgp/kqao.png","View Picture")</f>
        <v>View Picture</v>
      </c>
    </row>
    <row r="6082">
      <c r="A6082" s="55"/>
      <c r="B6082" s="119" t="s">
        <v>38102</v>
      </c>
      <c r="C6082" s="120" t="s">
        <v>6029</v>
      </c>
      <c r="D6082" s="33" t="s">
        <v>38096</v>
      </c>
      <c r="E6082" s="51" t="s">
        <v>1288</v>
      </c>
      <c r="F6082" s="121" t="s">
        <v>3009</v>
      </c>
      <c r="G6082" s="98" t="str">
        <f>HYPERLINK("http://mirror.ff7data.com.ar/ff7/data/battle/battle.lgp/kqap.png","View Picture")</f>
        <v>View Picture</v>
      </c>
    </row>
    <row r="6083">
      <c r="A6083" s="55"/>
      <c r="B6083" s="119" t="s">
        <v>38103</v>
      </c>
      <c r="C6083" s="120" t="s">
        <v>4057</v>
      </c>
      <c r="D6083" s="33" t="s">
        <v>38096</v>
      </c>
      <c r="E6083" s="51" t="s">
        <v>1288</v>
      </c>
      <c r="F6083" s="121" t="s">
        <v>3009</v>
      </c>
      <c r="G6083" s="98" t="str">
        <f>HYPERLINK("http://mirror.ff7data.com.ar/ff7/data/battle/battle.lgp/kqaq.png","View Picture")</f>
        <v>View Picture</v>
      </c>
    </row>
    <row r="6084">
      <c r="A6084" s="55"/>
      <c r="B6084" s="119" t="s">
        <v>38104</v>
      </c>
      <c r="C6084" s="120" t="s">
        <v>4057</v>
      </c>
      <c r="D6084" s="33" t="s">
        <v>38096</v>
      </c>
      <c r="E6084" s="51" t="s">
        <v>1288</v>
      </c>
      <c r="F6084" s="121" t="s">
        <v>3009</v>
      </c>
      <c r="G6084" s="98" t="str">
        <f>HYPERLINK("http://mirror.ff7data.com.ar/ff7/data/battle/battle.lgp/kqar.png","View Picture")</f>
        <v>View Picture</v>
      </c>
    </row>
    <row r="6085">
      <c r="A6085" s="55"/>
      <c r="B6085" s="119" t="s">
        <v>38105</v>
      </c>
      <c r="C6085" s="120" t="s">
        <v>4372</v>
      </c>
      <c r="D6085" s="33" t="s">
        <v>38096</v>
      </c>
      <c r="E6085" s="51" t="s">
        <v>1288</v>
      </c>
      <c r="F6085" s="121" t="s">
        <v>3009</v>
      </c>
      <c r="G6085" s="98" t="str">
        <f>HYPERLINK("http://mirror.ff7data.com.ar/ff7/data/battle/battle.lgp/kqas.png","View Picture")</f>
        <v>View Picture</v>
      </c>
    </row>
    <row r="6086">
      <c r="A6086" s="55"/>
      <c r="B6086" s="119" t="s">
        <v>38106</v>
      </c>
      <c r="C6086" s="120" t="s">
        <v>3658</v>
      </c>
      <c r="D6086" s="33" t="s">
        <v>38096</v>
      </c>
      <c r="E6086" s="51" t="s">
        <v>1288</v>
      </c>
      <c r="F6086" s="121" t="s">
        <v>3009</v>
      </c>
      <c r="G6086" s="98" t="str">
        <f>HYPERLINK("http://mirror.ff7data.com.ar/ff7/data/battle/battle.lgp/kqat.png","View Picture")</f>
        <v>View Picture</v>
      </c>
    </row>
    <row r="6087">
      <c r="A6087" s="55"/>
      <c r="B6087" s="119" t="s">
        <v>38107</v>
      </c>
      <c r="C6087" s="120" t="s">
        <v>7165</v>
      </c>
      <c r="D6087" s="33" t="s">
        <v>38096</v>
      </c>
      <c r="E6087" s="51" t="s">
        <v>1288</v>
      </c>
      <c r="F6087" s="121" t="s">
        <v>3009</v>
      </c>
      <c r="G6087" s="98" t="str">
        <f>HYPERLINK("http://mirror.ff7data.com.ar/ff7/data/battle/battle.lgp/kqau.png","View Picture")</f>
        <v>View Picture</v>
      </c>
    </row>
    <row r="6088">
      <c r="A6088" s="55"/>
      <c r="B6088" s="119" t="s">
        <v>38108</v>
      </c>
      <c r="C6088" s="120" t="s">
        <v>28460</v>
      </c>
      <c r="D6088" s="33" t="s">
        <v>38096</v>
      </c>
      <c r="E6088" s="51" t="s">
        <v>1288</v>
      </c>
      <c r="F6088" s="121" t="s">
        <v>3009</v>
      </c>
      <c r="G6088" s="98" t="str">
        <f>HYPERLINK("http://mirror.ff7data.com.ar/ff7/data/battle/battle.lgp/kqav.png","View Picture")</f>
        <v>View Picture</v>
      </c>
    </row>
    <row r="6089">
      <c r="A6089" s="55"/>
      <c r="B6089" s="119" t="s">
        <v>38109</v>
      </c>
      <c r="C6089" s="120" t="s">
        <v>7165</v>
      </c>
      <c r="D6089" s="33" t="s">
        <v>38096</v>
      </c>
      <c r="E6089" s="51" t="s">
        <v>1288</v>
      </c>
      <c r="F6089" s="121" t="s">
        <v>3009</v>
      </c>
      <c r="G6089" s="98" t="str">
        <f>HYPERLINK("http://mirror.ff7data.com.ar/ff7/data/battle/battle.lgp/kqaw.png","View Picture")</f>
        <v>View Picture</v>
      </c>
    </row>
    <row r="6090">
      <c r="A6090" s="55"/>
      <c r="B6090" s="119" t="s">
        <v>38110</v>
      </c>
      <c r="C6090" s="120" t="s">
        <v>3842</v>
      </c>
      <c r="D6090" s="33" t="s">
        <v>38096</v>
      </c>
      <c r="E6090" s="51" t="s">
        <v>1288</v>
      </c>
      <c r="F6090" s="121" t="s">
        <v>3009</v>
      </c>
      <c r="G6090" s="98" t="str">
        <f>HYPERLINK("http://mirror.ff7data.com.ar/ff7/data/battle/battle.lgp/kqax.png","View Picture")</f>
        <v>View Picture</v>
      </c>
    </row>
    <row r="6091">
      <c r="A6091" s="55"/>
      <c r="B6091" s="119" t="s">
        <v>38111</v>
      </c>
      <c r="C6091" s="120" t="s">
        <v>7301</v>
      </c>
      <c r="D6091" s="33" t="s">
        <v>38096</v>
      </c>
      <c r="E6091" s="51" t="s">
        <v>1288</v>
      </c>
      <c r="F6091" s="121" t="s">
        <v>3009</v>
      </c>
      <c r="G6091" s="98" t="str">
        <f>HYPERLINK("http://mirror.ff7data.com.ar/ff7/data/battle/battle.lgp/kqay.png","View Picture")</f>
        <v>View Picture</v>
      </c>
    </row>
    <row r="6092">
      <c r="A6092" s="55"/>
      <c r="B6092" s="119" t="s">
        <v>38112</v>
      </c>
      <c r="C6092" s="120" t="s">
        <v>4372</v>
      </c>
      <c r="D6092" s="33" t="s">
        <v>38096</v>
      </c>
      <c r="E6092" s="51" t="s">
        <v>1288</v>
      </c>
      <c r="F6092" s="121" t="s">
        <v>3009</v>
      </c>
      <c r="G6092" s="98" t="str">
        <f>HYPERLINK("http://mirror.ff7data.com.ar/ff7/data/battle/battle.lgp/kqba.png","View Picture")</f>
        <v>View Picture</v>
      </c>
    </row>
    <row r="6093">
      <c r="A6093" s="55"/>
      <c r="B6093" s="119" t="s">
        <v>38113</v>
      </c>
      <c r="C6093" s="120" t="s">
        <v>4732</v>
      </c>
      <c r="D6093" s="33" t="s">
        <v>38096</v>
      </c>
      <c r="E6093" s="51" t="s">
        <v>1288</v>
      </c>
      <c r="F6093" s="121" t="s">
        <v>3009</v>
      </c>
      <c r="G6093" s="98" t="str">
        <f>HYPERLINK("http://mirror.ff7data.com.ar/ff7/data/battle/battle.lgp/kqbb.png","View Picture")</f>
        <v>View Picture</v>
      </c>
    </row>
    <row r="6094">
      <c r="A6094" s="55"/>
      <c r="B6094" s="119" t="s">
        <v>38114</v>
      </c>
      <c r="C6094" s="120" t="s">
        <v>4357</v>
      </c>
      <c r="D6094" s="33" t="s">
        <v>38096</v>
      </c>
      <c r="E6094" s="51" t="s">
        <v>1288</v>
      </c>
      <c r="F6094" s="121" t="s">
        <v>3009</v>
      </c>
      <c r="G6094" s="98" t="str">
        <f>HYPERLINK("http://mirror.ff7data.com.ar/ff7/data/battle/battle.lgp/kqbc.png","View Picture")</f>
        <v>View Picture</v>
      </c>
    </row>
    <row r="6095">
      <c r="A6095" s="55"/>
      <c r="B6095" s="119" t="s">
        <v>38115</v>
      </c>
      <c r="C6095" s="120" t="s">
        <v>5891</v>
      </c>
      <c r="D6095" s="33" t="s">
        <v>38096</v>
      </c>
      <c r="E6095" s="51" t="s">
        <v>1288</v>
      </c>
      <c r="F6095" s="121" t="s">
        <v>3009</v>
      </c>
      <c r="G6095" s="98" t="str">
        <f>HYPERLINK("http://mirror.ff7data.com.ar/ff7/data/battle/battle.lgp/kqbe.png","View Picture")</f>
        <v>View Picture</v>
      </c>
    </row>
    <row r="6096">
      <c r="A6096" s="55"/>
      <c r="B6096" s="119" t="s">
        <v>38116</v>
      </c>
      <c r="C6096" s="120" t="s">
        <v>6029</v>
      </c>
      <c r="D6096" s="33" t="s">
        <v>38096</v>
      </c>
      <c r="E6096" s="51" t="s">
        <v>1288</v>
      </c>
      <c r="F6096" s="121" t="s">
        <v>3009</v>
      </c>
      <c r="G6096" s="98" t="str">
        <f>HYPERLINK("http://mirror.ff7data.com.ar/ff7/data/battle/battle.lgp/kqbg.png","View Picture")</f>
        <v>View Picture</v>
      </c>
    </row>
    <row r="6097">
      <c r="A6097" s="55"/>
      <c r="B6097" s="119" t="s">
        <v>38117</v>
      </c>
      <c r="C6097" s="120" t="s">
        <v>7165</v>
      </c>
      <c r="D6097" s="33" t="s">
        <v>38096</v>
      </c>
      <c r="E6097" s="51" t="s">
        <v>1288</v>
      </c>
      <c r="F6097" s="121" t="s">
        <v>3009</v>
      </c>
      <c r="G6097" s="98" t="str">
        <f>HYPERLINK("http://mirror.ff7data.com.ar/ff7/data/battle/battle.lgp/kqbh.png","View Picture")</f>
        <v>View Picture</v>
      </c>
    </row>
    <row r="6098">
      <c r="A6098" s="55"/>
      <c r="B6098" s="119" t="s">
        <v>38118</v>
      </c>
      <c r="C6098" s="120" t="s">
        <v>5891</v>
      </c>
      <c r="D6098" s="33" t="s">
        <v>38096</v>
      </c>
      <c r="E6098" s="51" t="s">
        <v>1288</v>
      </c>
      <c r="F6098" s="121" t="s">
        <v>3009</v>
      </c>
      <c r="G6098" s="98" t="str">
        <f>HYPERLINK("http://mirror.ff7data.com.ar/ff7/data/battle/battle.lgp/kqbi.png","View Picture")</f>
        <v>View Picture</v>
      </c>
    </row>
    <row r="6099">
      <c r="A6099" s="55"/>
      <c r="B6099" s="119" t="s">
        <v>38119</v>
      </c>
      <c r="C6099" s="120" t="s">
        <v>6029</v>
      </c>
      <c r="D6099" s="33" t="s">
        <v>38096</v>
      </c>
      <c r="E6099" s="51" t="s">
        <v>1288</v>
      </c>
      <c r="F6099" s="121" t="s">
        <v>3009</v>
      </c>
      <c r="G6099" s="98" t="str">
        <f>HYPERLINK("http://mirror.ff7data.com.ar/ff7/data/battle/battle.lgp/kqbk.png","View Picture")</f>
        <v>View Picture</v>
      </c>
    </row>
    <row r="6100">
      <c r="A6100" s="55"/>
      <c r="B6100" s="119" t="s">
        <v>38120</v>
      </c>
      <c r="C6100" s="120" t="s">
        <v>4357</v>
      </c>
      <c r="D6100" s="33" t="s">
        <v>38096</v>
      </c>
      <c r="E6100" s="51" t="s">
        <v>1288</v>
      </c>
      <c r="F6100" s="121" t="s">
        <v>3009</v>
      </c>
      <c r="G6100" s="98" t="str">
        <f>HYPERLINK("http://mirror.ff7data.com.ar/ff7/data/battle/battle.lgp/kqbl.png","View Picture")</f>
        <v>View Picture</v>
      </c>
    </row>
    <row r="6101">
      <c r="A6101" s="55"/>
      <c r="B6101" s="119" t="s">
        <v>38121</v>
      </c>
      <c r="C6101" s="120" t="s">
        <v>3648</v>
      </c>
      <c r="D6101" s="33" t="s">
        <v>38096</v>
      </c>
      <c r="E6101" s="51" t="s">
        <v>1288</v>
      </c>
      <c r="F6101" s="121" t="s">
        <v>3009</v>
      </c>
      <c r="G6101" s="98" t="str">
        <f>HYPERLINK("http://mirror.ff7data.com.ar/ff7/data/battle/battle.lgp/kqbm.png","View Picture")</f>
        <v>View Picture</v>
      </c>
    </row>
    <row r="6102">
      <c r="A6102" s="55"/>
      <c r="B6102" s="119" t="s">
        <v>38122</v>
      </c>
      <c r="C6102" s="120" t="s">
        <v>4732</v>
      </c>
      <c r="D6102" s="33" t="s">
        <v>38096</v>
      </c>
      <c r="E6102" s="51" t="s">
        <v>1288</v>
      </c>
      <c r="F6102" s="121" t="s">
        <v>3009</v>
      </c>
      <c r="G6102" s="98" t="str">
        <f>HYPERLINK("http://mirror.ff7data.com.ar/ff7/data/battle/battle.lgp/kqbo.png","View Picture")</f>
        <v>View Picture</v>
      </c>
    </row>
    <row r="6103">
      <c r="A6103" s="55"/>
      <c r="B6103" s="119" t="s">
        <v>38123</v>
      </c>
      <c r="C6103" s="120" t="s">
        <v>4264</v>
      </c>
      <c r="D6103" s="33" t="s">
        <v>38096</v>
      </c>
      <c r="E6103" s="51" t="s">
        <v>1288</v>
      </c>
      <c r="F6103" s="121" t="s">
        <v>3009</v>
      </c>
      <c r="G6103" s="98" t="str">
        <f>HYPERLINK("http://mirror.ff7data.com.ar/ff7/data/battle/battle.lgp/kqbp.png","View Picture")</f>
        <v>View Picture</v>
      </c>
    </row>
    <row r="6104">
      <c r="A6104" s="55"/>
      <c r="B6104" s="119" t="s">
        <v>38124</v>
      </c>
      <c r="C6104" s="120" t="s">
        <v>4191</v>
      </c>
      <c r="D6104" s="33" t="s">
        <v>38096</v>
      </c>
      <c r="E6104" s="51" t="s">
        <v>1288</v>
      </c>
      <c r="F6104" s="121" t="s">
        <v>3009</v>
      </c>
      <c r="G6104" s="98" t="str">
        <f>HYPERLINK("http://mirror.ff7data.com.ar/ff7/data/battle/battle.lgp/kqbq.png","View Picture")</f>
        <v>View Picture</v>
      </c>
    </row>
    <row r="6105">
      <c r="A6105" s="55"/>
      <c r="B6105" s="119" t="s">
        <v>38125</v>
      </c>
      <c r="C6105" s="120" t="s">
        <v>4264</v>
      </c>
      <c r="D6105" s="33" t="s">
        <v>38096</v>
      </c>
      <c r="E6105" s="51" t="s">
        <v>1288</v>
      </c>
      <c r="F6105" s="121" t="s">
        <v>3009</v>
      </c>
      <c r="G6105" s="98" t="str">
        <f>HYPERLINK("http://mirror.ff7data.com.ar/ff7/data/battle/battle.lgp/kqbr.png","View Picture")</f>
        <v>View Picture</v>
      </c>
    </row>
    <row r="6106">
      <c r="A6106" s="55"/>
      <c r="B6106" s="119" t="s">
        <v>38126</v>
      </c>
      <c r="C6106" s="120" t="s">
        <v>4372</v>
      </c>
      <c r="D6106" s="33" t="s">
        <v>38096</v>
      </c>
      <c r="E6106" s="51" t="s">
        <v>1288</v>
      </c>
      <c r="F6106" s="121" t="s">
        <v>3009</v>
      </c>
      <c r="G6106" s="98" t="str">
        <f>HYPERLINK("http://mirror.ff7data.com.ar/ff7/data/battle/battle.lgp/kqbt.png","View Picture")</f>
        <v>View Picture</v>
      </c>
    </row>
    <row r="6107">
      <c r="A6107" s="55"/>
      <c r="B6107" s="119" t="s">
        <v>38127</v>
      </c>
      <c r="C6107" s="120" t="s">
        <v>4732</v>
      </c>
      <c r="D6107" s="33" t="s">
        <v>38096</v>
      </c>
      <c r="E6107" s="51" t="s">
        <v>1288</v>
      </c>
      <c r="F6107" s="121" t="s">
        <v>3009</v>
      </c>
      <c r="G6107" s="98" t="str">
        <f>HYPERLINK("http://mirror.ff7data.com.ar/ff7/data/battle/battle.lgp/kqbu.png","View Picture")</f>
        <v>View Picture</v>
      </c>
    </row>
    <row r="6108">
      <c r="A6108" s="55"/>
      <c r="B6108" s="119" t="s">
        <v>38128</v>
      </c>
      <c r="C6108" s="120" t="s">
        <v>4357</v>
      </c>
      <c r="D6108" s="33" t="s">
        <v>38096</v>
      </c>
      <c r="E6108" s="51" t="s">
        <v>1288</v>
      </c>
      <c r="F6108" s="121" t="s">
        <v>3009</v>
      </c>
      <c r="G6108" s="98" t="str">
        <f>HYPERLINK("http://mirror.ff7data.com.ar/ff7/data/battle/battle.lgp/kqbv.png","View Picture")</f>
        <v>View Picture</v>
      </c>
    </row>
    <row r="6109">
      <c r="A6109" s="55"/>
      <c r="B6109" s="119" t="s">
        <v>38129</v>
      </c>
      <c r="C6109" s="120" t="s">
        <v>3842</v>
      </c>
      <c r="D6109" s="33" t="s">
        <v>38096</v>
      </c>
      <c r="E6109" s="51" t="s">
        <v>1288</v>
      </c>
      <c r="F6109" s="121" t="s">
        <v>3009</v>
      </c>
      <c r="G6109" s="98" t="str">
        <f>HYPERLINK("http://mirror.ff7data.com.ar/ff7/data/battle/battle.lgp/kqbx.png","View Picture")</f>
        <v>View Picture</v>
      </c>
    </row>
    <row r="6110">
      <c r="A6110" s="55"/>
      <c r="B6110" s="119" t="s">
        <v>38130</v>
      </c>
      <c r="C6110" s="120" t="s">
        <v>4476</v>
      </c>
      <c r="D6110" s="33" t="s">
        <v>38096</v>
      </c>
      <c r="E6110" s="51" t="s">
        <v>1288</v>
      </c>
      <c r="F6110" s="121" t="s">
        <v>3009</v>
      </c>
      <c r="G6110" s="98" t="str">
        <f>HYPERLINK("http://mirror.ff7data.com.ar/ff7/data/battle/battle.lgp/kqbz.png","View Picture")</f>
        <v>View Picture</v>
      </c>
    </row>
    <row r="6111">
      <c r="A6111" s="55"/>
      <c r="B6111" s="119" t="s">
        <v>38131</v>
      </c>
      <c r="C6111" s="120" t="s">
        <v>4288</v>
      </c>
      <c r="D6111" s="33" t="s">
        <v>38096</v>
      </c>
      <c r="E6111" s="51" t="s">
        <v>1288</v>
      </c>
      <c r="F6111" s="121" t="s">
        <v>3009</v>
      </c>
      <c r="G6111" s="98" t="str">
        <f>HYPERLINK("http://mirror.ff7data.com.ar/ff7/data/battle/battle.lgp/kqca.png","View Picture")</f>
        <v>View Picture</v>
      </c>
    </row>
    <row r="6112">
      <c r="A6112" s="55"/>
      <c r="B6112" s="119" t="s">
        <v>38132</v>
      </c>
      <c r="C6112" s="120" t="s">
        <v>4439</v>
      </c>
      <c r="D6112" s="33" t="s">
        <v>38096</v>
      </c>
      <c r="E6112" s="51" t="s">
        <v>1288</v>
      </c>
      <c r="F6112" s="121" t="s">
        <v>3009</v>
      </c>
      <c r="G6112" s="98" t="str">
        <f>HYPERLINK("http://mirror.ff7data.com.ar/ff7/data/battle/battle.lgp/kqcb.png","View Picture")</f>
        <v>View Picture</v>
      </c>
    </row>
    <row r="6113">
      <c r="A6113" s="55"/>
      <c r="B6113" s="119" t="s">
        <v>38133</v>
      </c>
      <c r="C6113" s="120" t="s">
        <v>3842</v>
      </c>
      <c r="D6113" s="33" t="s">
        <v>38096</v>
      </c>
      <c r="E6113" s="51" t="s">
        <v>1288</v>
      </c>
      <c r="F6113" s="121" t="s">
        <v>3009</v>
      </c>
      <c r="G6113" s="98" t="str">
        <f>HYPERLINK("http://mirror.ff7data.com.ar/ff7/data/battle/battle.lgp/kqcc.png","View Picture")</f>
        <v>View Picture</v>
      </c>
    </row>
    <row r="6114">
      <c r="A6114" s="55"/>
      <c r="B6114" s="119" t="s">
        <v>38134</v>
      </c>
      <c r="C6114" s="120" t="s">
        <v>6029</v>
      </c>
      <c r="D6114" s="33" t="s">
        <v>38096</v>
      </c>
      <c r="E6114" s="51" t="s">
        <v>1288</v>
      </c>
      <c r="F6114" s="121" t="s">
        <v>3009</v>
      </c>
      <c r="G6114" s="98" t="str">
        <f>HYPERLINK("http://mirror.ff7data.com.ar/ff7/data/battle/battle.lgp/kqcd.png","View Picture")</f>
        <v>View Picture</v>
      </c>
    </row>
    <row r="6115">
      <c r="A6115" s="55"/>
      <c r="B6115" s="119" t="s">
        <v>38135</v>
      </c>
      <c r="C6115" s="120" t="s">
        <v>4476</v>
      </c>
      <c r="D6115" s="33" t="s">
        <v>38096</v>
      </c>
      <c r="E6115" s="51" t="s">
        <v>1288</v>
      </c>
      <c r="F6115" s="121" t="s">
        <v>3009</v>
      </c>
      <c r="G6115" s="98" t="str">
        <f>HYPERLINK("http://mirror.ff7data.com.ar/ff7/data/battle/battle.lgp/kqce.png","View Picture")</f>
        <v>View Picture</v>
      </c>
    </row>
    <row r="6116">
      <c r="A6116" s="55"/>
      <c r="B6116" s="119" t="s">
        <v>38136</v>
      </c>
      <c r="C6116" s="120" t="s">
        <v>4288</v>
      </c>
      <c r="D6116" s="33" t="s">
        <v>38096</v>
      </c>
      <c r="E6116" s="51" t="s">
        <v>1288</v>
      </c>
      <c r="F6116" s="121" t="s">
        <v>3009</v>
      </c>
      <c r="G6116" s="98" t="str">
        <f>HYPERLINK("http://mirror.ff7data.com.ar/ff7/data/battle/battle.lgp/kqcf.png","View Picture")</f>
        <v>View Picture</v>
      </c>
    </row>
    <row r="6117">
      <c r="A6117" s="55"/>
      <c r="B6117" s="119" t="s">
        <v>38137</v>
      </c>
      <c r="C6117" s="120" t="s">
        <v>4439</v>
      </c>
      <c r="D6117" s="33" t="s">
        <v>38096</v>
      </c>
      <c r="E6117" s="51" t="s">
        <v>1288</v>
      </c>
      <c r="F6117" s="121" t="s">
        <v>3009</v>
      </c>
      <c r="G6117" s="98" t="str">
        <f>HYPERLINK("http://mirror.ff7data.com.ar/ff7/data/battle/battle.lgp/kqcg.png","View Picture")</f>
        <v>View Picture</v>
      </c>
    </row>
    <row r="6118">
      <c r="A6118" s="55"/>
      <c r="B6118" s="119" t="s">
        <v>38138</v>
      </c>
      <c r="C6118" s="120" t="s">
        <v>3842</v>
      </c>
      <c r="D6118" s="33" t="s">
        <v>38096</v>
      </c>
      <c r="E6118" s="51" t="s">
        <v>1288</v>
      </c>
      <c r="F6118" s="121" t="s">
        <v>3009</v>
      </c>
      <c r="G6118" s="98" t="str">
        <f>HYPERLINK("http://mirror.ff7data.com.ar/ff7/data/battle/battle.lgp/kqch.png","View Picture")</f>
        <v>View Picture</v>
      </c>
    </row>
    <row r="6119">
      <c r="A6119" s="55"/>
      <c r="B6119" s="119" t="s">
        <v>38139</v>
      </c>
      <c r="C6119" s="120" t="s">
        <v>4086</v>
      </c>
      <c r="D6119" s="33" t="s">
        <v>38096</v>
      </c>
      <c r="E6119" s="51" t="s">
        <v>1288</v>
      </c>
      <c r="F6119" s="121" t="s">
        <v>3025</v>
      </c>
      <c r="H6119" s="46" t="s">
        <v>3002</v>
      </c>
    </row>
    <row r="6120">
      <c r="A6120" s="21"/>
      <c r="B6120" s="119" t="s">
        <v>38140</v>
      </c>
      <c r="C6120" s="120" t="s">
        <v>2989</v>
      </c>
      <c r="D6120" s="33" t="s">
        <v>38141</v>
      </c>
      <c r="E6120" s="51" t="s">
        <v>1292</v>
      </c>
      <c r="F6120" s="121" t="s">
        <v>2971</v>
      </c>
      <c r="G6120" s="98" t="str">
        <f>HYPERLINK("http://mirror.ff7data.com.ar/ff7/data/battle/battle.lgp/kraa.png","View Picture")</f>
        <v>View Picture</v>
      </c>
      <c r="H6120" s="46" t="s">
        <v>38142</v>
      </c>
    </row>
    <row r="6121">
      <c r="A6121" s="55"/>
      <c r="B6121" s="119" t="s">
        <v>38143</v>
      </c>
      <c r="C6121" s="120" t="s">
        <v>4209</v>
      </c>
      <c r="D6121" s="33" t="s">
        <v>38144</v>
      </c>
      <c r="E6121" s="51" t="s">
        <v>1292</v>
      </c>
      <c r="F6121" s="121" t="s">
        <v>2993</v>
      </c>
      <c r="H6121" s="46" t="s">
        <v>3002</v>
      </c>
    </row>
    <row r="6122">
      <c r="A6122" s="55"/>
      <c r="B6122" s="119" t="s">
        <v>38145</v>
      </c>
      <c r="C6122" s="120" t="s">
        <v>3343</v>
      </c>
      <c r="D6122" s="33" t="s">
        <v>38144</v>
      </c>
      <c r="E6122" s="51" t="s">
        <v>1292</v>
      </c>
      <c r="F6122" s="121" t="s">
        <v>3009</v>
      </c>
      <c r="G6122" s="98" t="str">
        <f>HYPERLINK("http://mirror.ff7data.com.ar/ff7/data/battle/battle.lgp/kram.png","View Picture")</f>
        <v>View Picture</v>
      </c>
    </row>
    <row r="6123">
      <c r="A6123" s="55"/>
      <c r="B6123" s="119" t="s">
        <v>38146</v>
      </c>
      <c r="C6123" s="120" t="s">
        <v>3370</v>
      </c>
      <c r="D6123" s="33" t="s">
        <v>38144</v>
      </c>
      <c r="E6123" s="51" t="s">
        <v>1292</v>
      </c>
      <c r="F6123" s="121" t="s">
        <v>3009</v>
      </c>
      <c r="G6123" s="98" t="str">
        <f>HYPERLINK("http://mirror.ff7data.com.ar/ff7/data/battle/battle.lgp/krao.png","View Picture")</f>
        <v>View Picture</v>
      </c>
    </row>
    <row r="6124">
      <c r="A6124" s="55"/>
      <c r="B6124" s="119" t="s">
        <v>38147</v>
      </c>
      <c r="C6124" s="120" t="s">
        <v>4288</v>
      </c>
      <c r="D6124" s="33" t="s">
        <v>38144</v>
      </c>
      <c r="E6124" s="51" t="s">
        <v>1292</v>
      </c>
      <c r="F6124" s="121" t="s">
        <v>3009</v>
      </c>
      <c r="G6124" s="98" t="str">
        <f>HYPERLINK("http://mirror.ff7data.com.ar/ff7/data/battle/battle.lgp/kraq.png","View Picture")</f>
        <v>View Picture</v>
      </c>
    </row>
    <row r="6125">
      <c r="A6125" s="55"/>
      <c r="B6125" s="119" t="s">
        <v>38148</v>
      </c>
      <c r="C6125" s="120" t="s">
        <v>4264</v>
      </c>
      <c r="D6125" s="33" t="s">
        <v>38144</v>
      </c>
      <c r="E6125" s="51" t="s">
        <v>1292</v>
      </c>
      <c r="F6125" s="121" t="s">
        <v>3009</v>
      </c>
      <c r="G6125" s="98" t="str">
        <f>HYPERLINK("http://mirror.ff7data.com.ar/ff7/data/battle/battle.lgp/kras.png","View Picture")</f>
        <v>View Picture</v>
      </c>
    </row>
    <row r="6126">
      <c r="A6126" s="55"/>
      <c r="B6126" s="119" t="s">
        <v>38149</v>
      </c>
      <c r="C6126" s="120" t="s">
        <v>6391</v>
      </c>
      <c r="D6126" s="33" t="s">
        <v>38144</v>
      </c>
      <c r="E6126" s="51" t="s">
        <v>1292</v>
      </c>
      <c r="F6126" s="121" t="s">
        <v>3009</v>
      </c>
      <c r="G6126" s="98" t="str">
        <f>HYPERLINK("http://mirror.ff7data.com.ar/ff7/data/battle/battle.lgp/krat.png","View Picture")</f>
        <v>View Picture</v>
      </c>
    </row>
    <row r="6127">
      <c r="A6127" s="55"/>
      <c r="B6127" s="119" t="s">
        <v>38150</v>
      </c>
      <c r="C6127" s="120" t="s">
        <v>4264</v>
      </c>
      <c r="D6127" s="33" t="s">
        <v>38144</v>
      </c>
      <c r="E6127" s="51" t="s">
        <v>1292</v>
      </c>
      <c r="F6127" s="121" t="s">
        <v>3009</v>
      </c>
      <c r="G6127" s="98" t="str">
        <f>HYPERLINK("http://mirror.ff7data.com.ar/ff7/data/battle/battle.lgp/krav.png","View Picture")</f>
        <v>View Picture</v>
      </c>
    </row>
    <row r="6128">
      <c r="A6128" s="55"/>
      <c r="B6128" s="119" t="s">
        <v>38151</v>
      </c>
      <c r="C6128" s="120" t="s">
        <v>6391</v>
      </c>
      <c r="D6128" s="33" t="s">
        <v>38144</v>
      </c>
      <c r="E6128" s="51" t="s">
        <v>1292</v>
      </c>
      <c r="F6128" s="121" t="s">
        <v>3009</v>
      </c>
      <c r="G6128" s="98" t="str">
        <f>HYPERLINK("http://mirror.ff7data.com.ar/ff7/data/battle/battle.lgp/kraw.png","View Picture")</f>
        <v>View Picture</v>
      </c>
    </row>
    <row r="6129">
      <c r="A6129" s="55"/>
      <c r="B6129" s="119" t="s">
        <v>38152</v>
      </c>
      <c r="C6129" s="120" t="s">
        <v>4288</v>
      </c>
      <c r="D6129" s="33" t="s">
        <v>38144</v>
      </c>
      <c r="E6129" s="51" t="s">
        <v>1292</v>
      </c>
      <c r="F6129" s="121" t="s">
        <v>3009</v>
      </c>
      <c r="G6129" s="98" t="str">
        <f>HYPERLINK("http://mirror.ff7data.com.ar/ff7/data/battle/battle.lgp/kray.png","View Picture")</f>
        <v>View Picture</v>
      </c>
    </row>
    <row r="6130">
      <c r="A6130" s="55"/>
      <c r="B6130" s="119" t="s">
        <v>38153</v>
      </c>
      <c r="C6130" s="120" t="s">
        <v>4732</v>
      </c>
      <c r="D6130" s="33" t="s">
        <v>38144</v>
      </c>
      <c r="E6130" s="51" t="s">
        <v>1292</v>
      </c>
      <c r="F6130" s="121" t="s">
        <v>3009</v>
      </c>
      <c r="G6130" s="98" t="str">
        <f>HYPERLINK("http://mirror.ff7data.com.ar/ff7/data/battle/battle.lgp/kraz.png","View Picture")</f>
        <v>View Picture</v>
      </c>
    </row>
    <row r="6131">
      <c r="A6131" s="55"/>
      <c r="B6131" s="119" t="s">
        <v>38154</v>
      </c>
      <c r="C6131" s="120" t="s">
        <v>3768</v>
      </c>
      <c r="D6131" s="33" t="s">
        <v>38144</v>
      </c>
      <c r="E6131" s="51" t="s">
        <v>1292</v>
      </c>
      <c r="F6131" s="121" t="s">
        <v>3009</v>
      </c>
      <c r="G6131" s="98" t="str">
        <f>HYPERLINK("http://mirror.ff7data.com.ar/ff7/data/battle/battle.lgp/krba.png","View Picture")</f>
        <v>View Picture</v>
      </c>
    </row>
    <row r="6132">
      <c r="A6132" s="55"/>
      <c r="B6132" s="119" t="s">
        <v>38155</v>
      </c>
      <c r="C6132" s="120" t="s">
        <v>4288</v>
      </c>
      <c r="D6132" s="33" t="s">
        <v>38144</v>
      </c>
      <c r="E6132" s="51" t="s">
        <v>1292</v>
      </c>
      <c r="F6132" s="121" t="s">
        <v>3009</v>
      </c>
      <c r="G6132" s="98" t="str">
        <f>HYPERLINK("http://mirror.ff7data.com.ar/ff7/data/battle/battle.lgp/krbc.png","View Picture")</f>
        <v>View Picture</v>
      </c>
    </row>
    <row r="6133">
      <c r="A6133" s="55"/>
      <c r="B6133" s="119" t="s">
        <v>38156</v>
      </c>
      <c r="C6133" s="120" t="s">
        <v>4732</v>
      </c>
      <c r="D6133" s="33" t="s">
        <v>38144</v>
      </c>
      <c r="E6133" s="51" t="s">
        <v>1292</v>
      </c>
      <c r="F6133" s="121" t="s">
        <v>3009</v>
      </c>
      <c r="G6133" s="98" t="str">
        <f>HYPERLINK("http://mirror.ff7data.com.ar/ff7/data/battle/battle.lgp/krbd.png","View Picture")</f>
        <v>View Picture</v>
      </c>
    </row>
    <row r="6134">
      <c r="A6134" s="55"/>
      <c r="B6134" s="119" t="s">
        <v>38157</v>
      </c>
      <c r="C6134" s="120" t="s">
        <v>3370</v>
      </c>
      <c r="D6134" s="33" t="s">
        <v>38144</v>
      </c>
      <c r="E6134" s="51" t="s">
        <v>1292</v>
      </c>
      <c r="F6134" s="121" t="s">
        <v>3009</v>
      </c>
      <c r="G6134" s="98" t="str">
        <f>HYPERLINK("http://mirror.ff7data.com.ar/ff7/data/battle/battle.lgp/krbe.png","View Picture")</f>
        <v>View Picture</v>
      </c>
    </row>
    <row r="6135">
      <c r="A6135" s="55"/>
      <c r="B6135" s="119" t="s">
        <v>38158</v>
      </c>
      <c r="C6135" s="120" t="s">
        <v>5203</v>
      </c>
      <c r="D6135" s="33" t="s">
        <v>38144</v>
      </c>
      <c r="E6135" s="51" t="s">
        <v>1292</v>
      </c>
      <c r="F6135" s="121" t="s">
        <v>3009</v>
      </c>
      <c r="G6135" s="98" t="str">
        <f>HYPERLINK("http://mirror.ff7data.com.ar/ff7/data/battle/battle.lgp/krbf.png","View Picture")</f>
        <v>View Picture</v>
      </c>
    </row>
    <row r="6136">
      <c r="A6136" s="55"/>
      <c r="B6136" s="119" t="s">
        <v>38159</v>
      </c>
      <c r="C6136" s="120" t="s">
        <v>6515</v>
      </c>
      <c r="D6136" s="33" t="s">
        <v>38144</v>
      </c>
      <c r="E6136" s="51" t="s">
        <v>1292</v>
      </c>
      <c r="F6136" s="121" t="s">
        <v>3009</v>
      </c>
      <c r="G6136" s="98" t="str">
        <f>HYPERLINK("http://mirror.ff7data.com.ar/ff7/data/battle/battle.lgp/krbh.png","View Picture")</f>
        <v>View Picture</v>
      </c>
    </row>
    <row r="6137">
      <c r="A6137" s="55"/>
      <c r="B6137" s="119" t="s">
        <v>38160</v>
      </c>
      <c r="C6137" s="120" t="s">
        <v>6515</v>
      </c>
      <c r="D6137" s="33" t="s">
        <v>38144</v>
      </c>
      <c r="E6137" s="51" t="s">
        <v>1292</v>
      </c>
      <c r="F6137" s="121" t="s">
        <v>3009</v>
      </c>
      <c r="G6137" s="98" t="str">
        <f>HYPERLINK("http://mirror.ff7data.com.ar/ff7/data/battle/battle.lgp/krbi.png","View Picture")</f>
        <v>View Picture</v>
      </c>
    </row>
    <row r="6138">
      <c r="A6138" s="55"/>
      <c r="B6138" s="119" t="s">
        <v>38161</v>
      </c>
      <c r="C6138" s="120" t="s">
        <v>6515</v>
      </c>
      <c r="D6138" s="33" t="s">
        <v>38144</v>
      </c>
      <c r="E6138" s="51" t="s">
        <v>1292</v>
      </c>
      <c r="F6138" s="121" t="s">
        <v>3009</v>
      </c>
      <c r="G6138" s="98" t="str">
        <f>HYPERLINK("http://mirror.ff7data.com.ar/ff7/data/battle/battle.lgp/krbj.png","View Picture")</f>
        <v>View Picture</v>
      </c>
    </row>
    <row r="6139">
      <c r="A6139" s="55"/>
      <c r="B6139" s="119" t="s">
        <v>38162</v>
      </c>
      <c r="C6139" s="120" t="s">
        <v>6515</v>
      </c>
      <c r="D6139" s="33" t="s">
        <v>38144</v>
      </c>
      <c r="E6139" s="51" t="s">
        <v>1292</v>
      </c>
      <c r="F6139" s="121" t="s">
        <v>3009</v>
      </c>
      <c r="G6139" s="98" t="str">
        <f>HYPERLINK("http://mirror.ff7data.com.ar/ff7/data/battle/battle.lgp/krbk.png","View Picture")</f>
        <v>View Picture</v>
      </c>
    </row>
    <row r="6140">
      <c r="A6140" s="55"/>
      <c r="B6140" s="119" t="s">
        <v>38163</v>
      </c>
      <c r="C6140" s="120" t="s">
        <v>6515</v>
      </c>
      <c r="D6140" s="33" t="s">
        <v>38144</v>
      </c>
      <c r="E6140" s="51" t="s">
        <v>1292</v>
      </c>
      <c r="F6140" s="121" t="s">
        <v>3009</v>
      </c>
      <c r="G6140" s="98" t="str">
        <f>HYPERLINK("http://mirror.ff7data.com.ar/ff7/data/battle/battle.lgp/krbl.png","View Picture")</f>
        <v>View Picture</v>
      </c>
    </row>
    <row r="6141">
      <c r="A6141" s="55"/>
      <c r="B6141" s="119" t="s">
        <v>38164</v>
      </c>
      <c r="C6141" s="120" t="s">
        <v>6515</v>
      </c>
      <c r="D6141" s="33" t="s">
        <v>38144</v>
      </c>
      <c r="E6141" s="51" t="s">
        <v>1292</v>
      </c>
      <c r="F6141" s="121" t="s">
        <v>3009</v>
      </c>
      <c r="G6141" s="98" t="str">
        <f>HYPERLINK("http://mirror.ff7data.com.ar/ff7/data/battle/battle.lgp/krbm.png","View Picture")</f>
        <v>View Picture</v>
      </c>
    </row>
    <row r="6142">
      <c r="A6142" s="55"/>
      <c r="B6142" s="119" t="s">
        <v>38165</v>
      </c>
      <c r="C6142" s="120" t="s">
        <v>6515</v>
      </c>
      <c r="D6142" s="33" t="s">
        <v>38144</v>
      </c>
      <c r="E6142" s="51" t="s">
        <v>1292</v>
      </c>
      <c r="F6142" s="121" t="s">
        <v>3009</v>
      </c>
      <c r="G6142" s="98" t="str">
        <f>HYPERLINK("http://mirror.ff7data.com.ar/ff7/data/battle/battle.lgp/krbn.png","View Picture")</f>
        <v>View Picture</v>
      </c>
    </row>
    <row r="6143">
      <c r="A6143" s="55"/>
      <c r="B6143" s="119" t="s">
        <v>38166</v>
      </c>
      <c r="C6143" s="120" t="s">
        <v>6515</v>
      </c>
      <c r="D6143" s="33" t="s">
        <v>38144</v>
      </c>
      <c r="E6143" s="51" t="s">
        <v>1292</v>
      </c>
      <c r="F6143" s="121" t="s">
        <v>3009</v>
      </c>
      <c r="G6143" s="98" t="str">
        <f>HYPERLINK("http://mirror.ff7data.com.ar/ff7/data/battle/battle.lgp/krbo.png","View Picture")</f>
        <v>View Picture</v>
      </c>
    </row>
    <row r="6144">
      <c r="A6144" s="55"/>
      <c r="B6144" s="119" t="s">
        <v>38167</v>
      </c>
      <c r="C6144" s="120" t="s">
        <v>4372</v>
      </c>
      <c r="D6144" s="33" t="s">
        <v>38144</v>
      </c>
      <c r="E6144" s="51" t="s">
        <v>1292</v>
      </c>
      <c r="F6144" s="121" t="s">
        <v>3009</v>
      </c>
      <c r="G6144" s="98" t="str">
        <f>HYPERLINK("http://mirror.ff7data.com.ar/ff7/data/battle/battle.lgp/krbp.png","View Picture")</f>
        <v>View Picture</v>
      </c>
    </row>
    <row r="6145">
      <c r="A6145" s="55"/>
      <c r="B6145" s="119" t="s">
        <v>38168</v>
      </c>
      <c r="C6145" s="120" t="s">
        <v>3671</v>
      </c>
      <c r="D6145" s="33" t="s">
        <v>38144</v>
      </c>
      <c r="E6145" s="51" t="s">
        <v>1292</v>
      </c>
      <c r="F6145" s="121" t="s">
        <v>3025</v>
      </c>
      <c r="H6145" s="46" t="s">
        <v>3002</v>
      </c>
    </row>
    <row r="6146">
      <c r="A6146" s="21"/>
      <c r="B6146" s="119" t="s">
        <v>38169</v>
      </c>
      <c r="C6146" s="120" t="s">
        <v>4456</v>
      </c>
      <c r="D6146" s="33" t="s">
        <v>38170</v>
      </c>
      <c r="E6146" s="51" t="s">
        <v>1296</v>
      </c>
      <c r="F6146" s="121" t="s">
        <v>2971</v>
      </c>
      <c r="G6146" s="98" t="str">
        <f>HYPERLINK("http://mirror.ff7data.com.ar/ff7/data/battle/battle.lgp/ksaa.png","View Picture")</f>
        <v>View Picture</v>
      </c>
    </row>
    <row r="6147">
      <c r="A6147" s="55"/>
      <c r="B6147" s="119" t="s">
        <v>38171</v>
      </c>
      <c r="C6147" s="120" t="s">
        <v>8016</v>
      </c>
      <c r="D6147" s="33" t="s">
        <v>38172</v>
      </c>
      <c r="E6147" s="51" t="s">
        <v>1296</v>
      </c>
      <c r="F6147" s="121" t="s">
        <v>2993</v>
      </c>
      <c r="H6147" s="46" t="s">
        <v>3002</v>
      </c>
    </row>
    <row r="6148">
      <c r="A6148" s="55"/>
      <c r="B6148" s="119" t="s">
        <v>38173</v>
      </c>
      <c r="C6148" s="120" t="s">
        <v>4372</v>
      </c>
      <c r="D6148" s="33" t="s">
        <v>38172</v>
      </c>
      <c r="E6148" s="51" t="s">
        <v>1296</v>
      </c>
      <c r="F6148" s="121" t="s">
        <v>3009</v>
      </c>
      <c r="G6148" s="98" t="str">
        <f>HYPERLINK("http://mirror.ff7data.com.ar/ff7/data/battle/battle.lgp/ksam.png","View Picture")</f>
        <v>View Picture</v>
      </c>
    </row>
    <row r="6149">
      <c r="A6149" s="55"/>
      <c r="B6149" s="119" t="s">
        <v>38174</v>
      </c>
      <c r="C6149" s="120" t="s">
        <v>7165</v>
      </c>
      <c r="D6149" s="33" t="s">
        <v>38172</v>
      </c>
      <c r="E6149" s="51" t="s">
        <v>1296</v>
      </c>
      <c r="F6149" s="121" t="s">
        <v>3009</v>
      </c>
      <c r="G6149" s="98" t="str">
        <f>HYPERLINK("http://mirror.ff7data.com.ar/ff7/data/battle/battle.lgp/ksan.png","View Picture")</f>
        <v>View Picture</v>
      </c>
    </row>
    <row r="6150">
      <c r="A6150" s="55"/>
      <c r="B6150" s="119" t="s">
        <v>38175</v>
      </c>
      <c r="C6150" s="120" t="s">
        <v>4156</v>
      </c>
      <c r="D6150" s="33" t="s">
        <v>38172</v>
      </c>
      <c r="E6150" s="51" t="s">
        <v>1296</v>
      </c>
      <c r="F6150" s="121" t="s">
        <v>3009</v>
      </c>
      <c r="G6150" s="98" t="str">
        <f>HYPERLINK("http://mirror.ff7data.com.ar/ff7/data/battle/battle.lgp/ksao.png","View Picture")</f>
        <v>View Picture</v>
      </c>
    </row>
    <row r="6151">
      <c r="A6151" s="55"/>
      <c r="B6151" s="119" t="s">
        <v>38176</v>
      </c>
      <c r="C6151" s="120" t="s">
        <v>4439</v>
      </c>
      <c r="D6151" s="33" t="s">
        <v>38172</v>
      </c>
      <c r="E6151" s="51" t="s">
        <v>1296</v>
      </c>
      <c r="F6151" s="121" t="s">
        <v>3009</v>
      </c>
      <c r="G6151" s="98" t="str">
        <f>HYPERLINK("http://mirror.ff7data.com.ar/ff7/data/battle/battle.lgp/ksaq.png","View Picture")</f>
        <v>View Picture</v>
      </c>
    </row>
    <row r="6152">
      <c r="A6152" s="55"/>
      <c r="B6152" s="119" t="s">
        <v>38177</v>
      </c>
      <c r="C6152" s="120" t="s">
        <v>3842</v>
      </c>
      <c r="D6152" s="33" t="s">
        <v>38172</v>
      </c>
      <c r="E6152" s="51" t="s">
        <v>1296</v>
      </c>
      <c r="F6152" s="121" t="s">
        <v>3009</v>
      </c>
      <c r="G6152" s="98" t="str">
        <f>HYPERLINK("http://mirror.ff7data.com.ar/ff7/data/battle/battle.lgp/ksas.png","View Picture")</f>
        <v>View Picture</v>
      </c>
    </row>
    <row r="6153">
      <c r="A6153" s="55"/>
      <c r="B6153" s="119" t="s">
        <v>38178</v>
      </c>
      <c r="C6153" s="120" t="s">
        <v>4264</v>
      </c>
      <c r="D6153" s="33" t="s">
        <v>38172</v>
      </c>
      <c r="E6153" s="51" t="s">
        <v>1296</v>
      </c>
      <c r="F6153" s="121" t="s">
        <v>3009</v>
      </c>
      <c r="G6153" s="98" t="str">
        <f>HYPERLINK("http://mirror.ff7data.com.ar/ff7/data/battle/battle.lgp/ksat.png","View Picture")</f>
        <v>View Picture</v>
      </c>
    </row>
    <row r="6154">
      <c r="A6154" s="55"/>
      <c r="B6154" s="119" t="s">
        <v>38179</v>
      </c>
      <c r="C6154" s="120" t="s">
        <v>4288</v>
      </c>
      <c r="D6154" s="33" t="s">
        <v>38172</v>
      </c>
      <c r="E6154" s="51" t="s">
        <v>1296</v>
      </c>
      <c r="F6154" s="121" t="s">
        <v>3009</v>
      </c>
      <c r="G6154" s="98" t="str">
        <f>HYPERLINK("http://mirror.ff7data.com.ar/ff7/data/battle/battle.lgp/ksau.png","View Picture")</f>
        <v>View Picture</v>
      </c>
    </row>
    <row r="6155">
      <c r="A6155" s="55"/>
      <c r="B6155" s="119" t="s">
        <v>38180</v>
      </c>
      <c r="C6155" s="120" t="s">
        <v>4476</v>
      </c>
      <c r="D6155" s="33" t="s">
        <v>38172</v>
      </c>
      <c r="E6155" s="51" t="s">
        <v>1296</v>
      </c>
      <c r="F6155" s="121" t="s">
        <v>3009</v>
      </c>
      <c r="G6155" s="98" t="str">
        <f>HYPERLINK("http://mirror.ff7data.com.ar/ff7/data/battle/battle.lgp/ksav.png","View Picture")</f>
        <v>View Picture</v>
      </c>
    </row>
    <row r="6156">
      <c r="A6156" s="55"/>
      <c r="B6156" s="119" t="s">
        <v>38181</v>
      </c>
      <c r="C6156" s="120" t="s">
        <v>3658</v>
      </c>
      <c r="D6156" s="33" t="s">
        <v>38172</v>
      </c>
      <c r="E6156" s="51" t="s">
        <v>1296</v>
      </c>
      <c r="F6156" s="121" t="s">
        <v>3009</v>
      </c>
      <c r="G6156" s="98" t="str">
        <f>HYPERLINK("http://mirror.ff7data.com.ar/ff7/data/battle/battle.lgp/ksax.png","View Picture")</f>
        <v>View Picture</v>
      </c>
    </row>
    <row r="6157">
      <c r="A6157" s="55"/>
      <c r="B6157" s="119" t="s">
        <v>38182</v>
      </c>
      <c r="C6157" s="120" t="s">
        <v>4264</v>
      </c>
      <c r="D6157" s="33" t="s">
        <v>38172</v>
      </c>
      <c r="E6157" s="51" t="s">
        <v>1296</v>
      </c>
      <c r="F6157" s="121" t="s">
        <v>3009</v>
      </c>
      <c r="G6157" s="98" t="str">
        <f>HYPERLINK("http://mirror.ff7data.com.ar/ff7/data/battle/battle.lgp/ksay.png","View Picture")</f>
        <v>View Picture</v>
      </c>
    </row>
    <row r="6158">
      <c r="A6158" s="55"/>
      <c r="B6158" s="119" t="s">
        <v>38183</v>
      </c>
      <c r="C6158" s="120" t="s">
        <v>4264</v>
      </c>
      <c r="D6158" s="33" t="s">
        <v>38172</v>
      </c>
      <c r="E6158" s="51" t="s">
        <v>1296</v>
      </c>
      <c r="F6158" s="121" t="s">
        <v>3009</v>
      </c>
      <c r="G6158" s="98" t="str">
        <f>HYPERLINK("http://mirror.ff7data.com.ar/ff7/data/battle/battle.lgp/ksaz.png","View Picture")</f>
        <v>View Picture</v>
      </c>
    </row>
    <row r="6159">
      <c r="A6159" s="55"/>
      <c r="B6159" s="119" t="s">
        <v>38184</v>
      </c>
      <c r="C6159" s="120" t="s">
        <v>4476</v>
      </c>
      <c r="D6159" s="33" t="s">
        <v>38172</v>
      </c>
      <c r="E6159" s="51" t="s">
        <v>1296</v>
      </c>
      <c r="F6159" s="121" t="s">
        <v>3009</v>
      </c>
      <c r="G6159" s="98" t="str">
        <f>HYPERLINK("http://mirror.ff7data.com.ar/ff7/data/battle/battle.lgp/ksba.png","View Picture")</f>
        <v>View Picture</v>
      </c>
    </row>
    <row r="6160">
      <c r="A6160" s="55"/>
      <c r="B6160" s="119" t="s">
        <v>38185</v>
      </c>
      <c r="C6160" s="120" t="s">
        <v>3842</v>
      </c>
      <c r="D6160" s="33" t="s">
        <v>38172</v>
      </c>
      <c r="E6160" s="51" t="s">
        <v>1296</v>
      </c>
      <c r="F6160" s="121" t="s">
        <v>3009</v>
      </c>
      <c r="G6160" s="98" t="str">
        <f>HYPERLINK("http://mirror.ff7data.com.ar/ff7/data/battle/battle.lgp/ksbc.png","View Picture")</f>
        <v>View Picture</v>
      </c>
    </row>
    <row r="6161">
      <c r="A6161" s="55"/>
      <c r="B6161" s="119" t="s">
        <v>38186</v>
      </c>
      <c r="C6161" s="120" t="s">
        <v>4719</v>
      </c>
      <c r="D6161" s="33" t="s">
        <v>38172</v>
      </c>
      <c r="E6161" s="51" t="s">
        <v>1296</v>
      </c>
      <c r="F6161" s="121" t="s">
        <v>3009</v>
      </c>
      <c r="G6161" s="98" t="str">
        <f>HYPERLINK("http://mirror.ff7data.com.ar/ff7/data/battle/battle.lgp/ksbe.png","View Picture")</f>
        <v>View Picture</v>
      </c>
    </row>
    <row r="6162">
      <c r="A6162" s="55"/>
      <c r="B6162" s="119" t="s">
        <v>38187</v>
      </c>
      <c r="C6162" s="120" t="s">
        <v>4439</v>
      </c>
      <c r="D6162" s="33" t="s">
        <v>38172</v>
      </c>
      <c r="E6162" s="51" t="s">
        <v>1296</v>
      </c>
      <c r="F6162" s="121" t="s">
        <v>3009</v>
      </c>
      <c r="G6162" s="98" t="str">
        <f>HYPERLINK("http://mirror.ff7data.com.ar/ff7/data/battle/battle.lgp/ksbf.png","View Picture")</f>
        <v>View Picture</v>
      </c>
    </row>
    <row r="6163">
      <c r="A6163" s="55"/>
      <c r="B6163" s="119" t="s">
        <v>38188</v>
      </c>
      <c r="C6163" s="120" t="s">
        <v>4439</v>
      </c>
      <c r="D6163" s="33" t="s">
        <v>38172</v>
      </c>
      <c r="E6163" s="51" t="s">
        <v>1296</v>
      </c>
      <c r="F6163" s="121" t="s">
        <v>3009</v>
      </c>
      <c r="G6163" s="98" t="str">
        <f>HYPERLINK("http://mirror.ff7data.com.ar/ff7/data/battle/battle.lgp/ksbg.png","View Picture")</f>
        <v>View Picture</v>
      </c>
    </row>
    <row r="6164">
      <c r="A6164" s="55"/>
      <c r="B6164" s="119" t="s">
        <v>38189</v>
      </c>
      <c r="C6164" s="120" t="s">
        <v>4707</v>
      </c>
      <c r="D6164" s="33" t="s">
        <v>38172</v>
      </c>
      <c r="E6164" s="51" t="s">
        <v>1296</v>
      </c>
      <c r="F6164" s="121" t="s">
        <v>3009</v>
      </c>
      <c r="G6164" s="98" t="str">
        <f>HYPERLINK("http://mirror.ff7data.com.ar/ff7/data/battle/battle.lgp/ksbh.png","View Picture")</f>
        <v>View Picture</v>
      </c>
    </row>
    <row r="6165">
      <c r="A6165" s="55"/>
      <c r="B6165" s="119" t="s">
        <v>38190</v>
      </c>
      <c r="C6165" s="120" t="s">
        <v>4476</v>
      </c>
      <c r="D6165" s="33" t="s">
        <v>38172</v>
      </c>
      <c r="E6165" s="51" t="s">
        <v>1296</v>
      </c>
      <c r="F6165" s="121" t="s">
        <v>3009</v>
      </c>
      <c r="G6165" s="98" t="str">
        <f>HYPERLINK("http://mirror.ff7data.com.ar/ff7/data/battle/battle.lgp/ksbi.png","View Picture")</f>
        <v>View Picture</v>
      </c>
    </row>
    <row r="6166">
      <c r="A6166" s="55"/>
      <c r="B6166" s="119" t="s">
        <v>38191</v>
      </c>
      <c r="C6166" s="120" t="s">
        <v>4719</v>
      </c>
      <c r="D6166" s="33" t="s">
        <v>38172</v>
      </c>
      <c r="E6166" s="51" t="s">
        <v>1296</v>
      </c>
      <c r="F6166" s="121" t="s">
        <v>3009</v>
      </c>
      <c r="G6166" s="98" t="str">
        <f>HYPERLINK("http://mirror.ff7data.com.ar/ff7/data/battle/battle.lgp/ksbk.png","View Picture")</f>
        <v>View Picture</v>
      </c>
    </row>
    <row r="6167">
      <c r="A6167" s="55"/>
      <c r="B6167" s="119" t="s">
        <v>38192</v>
      </c>
      <c r="C6167" s="120" t="s">
        <v>4185</v>
      </c>
      <c r="D6167" s="33" t="s">
        <v>38172</v>
      </c>
      <c r="E6167" s="51" t="s">
        <v>1296</v>
      </c>
      <c r="F6167" s="121" t="s">
        <v>3009</v>
      </c>
      <c r="G6167" s="98" t="str">
        <f>HYPERLINK("http://mirror.ff7data.com.ar/ff7/data/battle/battle.lgp/ksbl.png","View Picture")</f>
        <v>View Picture</v>
      </c>
    </row>
    <row r="6168">
      <c r="A6168" s="55"/>
      <c r="B6168" s="119" t="s">
        <v>38193</v>
      </c>
      <c r="C6168" s="120" t="s">
        <v>4439</v>
      </c>
      <c r="D6168" s="33" t="s">
        <v>38172</v>
      </c>
      <c r="E6168" s="51" t="s">
        <v>1296</v>
      </c>
      <c r="F6168" s="121" t="s">
        <v>3009</v>
      </c>
      <c r="G6168" s="98" t="str">
        <f>HYPERLINK("http://mirror.ff7data.com.ar/ff7/data/battle/battle.lgp/ksbm.png","View Picture")</f>
        <v>View Picture</v>
      </c>
    </row>
    <row r="6169">
      <c r="A6169" s="55"/>
      <c r="B6169" s="119" t="s">
        <v>38194</v>
      </c>
      <c r="C6169" s="120" t="s">
        <v>4707</v>
      </c>
      <c r="D6169" s="33" t="s">
        <v>38172</v>
      </c>
      <c r="E6169" s="51" t="s">
        <v>1296</v>
      </c>
      <c r="F6169" s="121" t="s">
        <v>3009</v>
      </c>
      <c r="G6169" s="98" t="str">
        <f>HYPERLINK("http://mirror.ff7data.com.ar/ff7/data/battle/battle.lgp/ksbn.png","View Picture")</f>
        <v>View Picture</v>
      </c>
    </row>
    <row r="6170">
      <c r="A6170" s="55"/>
      <c r="B6170" s="119" t="s">
        <v>38195</v>
      </c>
      <c r="C6170" s="120" t="s">
        <v>4476</v>
      </c>
      <c r="D6170" s="33" t="s">
        <v>38172</v>
      </c>
      <c r="E6170" s="51" t="s">
        <v>1296</v>
      </c>
      <c r="F6170" s="121" t="s">
        <v>3009</v>
      </c>
      <c r="G6170" s="98" t="str">
        <f>HYPERLINK("http://mirror.ff7data.com.ar/ff7/data/battle/battle.lgp/ksbo.png","View Picture")</f>
        <v>View Picture</v>
      </c>
    </row>
    <row r="6171">
      <c r="A6171" s="55"/>
      <c r="B6171" s="119" t="s">
        <v>38196</v>
      </c>
      <c r="C6171" s="120" t="s">
        <v>4719</v>
      </c>
      <c r="D6171" s="33" t="s">
        <v>38172</v>
      </c>
      <c r="E6171" s="51" t="s">
        <v>1296</v>
      </c>
      <c r="F6171" s="121" t="s">
        <v>3009</v>
      </c>
      <c r="G6171" s="98" t="str">
        <f>HYPERLINK("http://mirror.ff7data.com.ar/ff7/data/battle/battle.lgp/ksbp.png","View Picture")</f>
        <v>View Picture</v>
      </c>
    </row>
    <row r="6172">
      <c r="A6172" s="55"/>
      <c r="B6172" s="119" t="s">
        <v>38197</v>
      </c>
      <c r="C6172" s="120" t="s">
        <v>4476</v>
      </c>
      <c r="D6172" s="33" t="s">
        <v>38172</v>
      </c>
      <c r="E6172" s="51" t="s">
        <v>1296</v>
      </c>
      <c r="F6172" s="121" t="s">
        <v>3009</v>
      </c>
      <c r="G6172" s="98" t="str">
        <f>HYPERLINK("http://mirror.ff7data.com.ar/ff7/data/battle/battle.lgp/ksbq.png","View Picture")</f>
        <v>View Picture</v>
      </c>
    </row>
    <row r="6173">
      <c r="A6173" s="55"/>
      <c r="B6173" s="119" t="s">
        <v>38198</v>
      </c>
      <c r="C6173" s="120" t="s">
        <v>4476</v>
      </c>
      <c r="D6173" s="33" t="s">
        <v>38172</v>
      </c>
      <c r="E6173" s="51" t="s">
        <v>1296</v>
      </c>
      <c r="F6173" s="121" t="s">
        <v>3009</v>
      </c>
      <c r="G6173" s="98" t="str">
        <f>HYPERLINK("http://mirror.ff7data.com.ar/ff7/data/battle/battle.lgp/ksbr.png","View Picture")</f>
        <v>View Picture</v>
      </c>
    </row>
    <row r="6174">
      <c r="A6174" s="55"/>
      <c r="B6174" s="119" t="s">
        <v>38199</v>
      </c>
      <c r="C6174" s="120" t="s">
        <v>4476</v>
      </c>
      <c r="D6174" s="33" t="s">
        <v>38172</v>
      </c>
      <c r="E6174" s="51" t="s">
        <v>1296</v>
      </c>
      <c r="F6174" s="121" t="s">
        <v>3009</v>
      </c>
      <c r="G6174" s="98" t="str">
        <f>HYPERLINK("http://mirror.ff7data.com.ar/ff7/data/battle/battle.lgp/ksbs.png","View Picture")</f>
        <v>View Picture</v>
      </c>
    </row>
    <row r="6175">
      <c r="A6175" s="55"/>
      <c r="B6175" s="119" t="s">
        <v>38200</v>
      </c>
      <c r="C6175" s="120" t="s">
        <v>4476</v>
      </c>
      <c r="D6175" s="33" t="s">
        <v>38172</v>
      </c>
      <c r="E6175" s="51" t="s">
        <v>1296</v>
      </c>
      <c r="F6175" s="121" t="s">
        <v>3009</v>
      </c>
      <c r="G6175" s="98" t="str">
        <f>HYPERLINK("http://mirror.ff7data.com.ar/ff7/data/battle/battle.lgp/ksbt.png","View Picture")</f>
        <v>View Picture</v>
      </c>
    </row>
    <row r="6176">
      <c r="A6176" s="55"/>
      <c r="B6176" s="119" t="s">
        <v>38201</v>
      </c>
      <c r="C6176" s="120" t="s">
        <v>4476</v>
      </c>
      <c r="D6176" s="33" t="s">
        <v>38172</v>
      </c>
      <c r="E6176" s="51" t="s">
        <v>1296</v>
      </c>
      <c r="F6176" s="121" t="s">
        <v>3009</v>
      </c>
      <c r="G6176" s="98" t="str">
        <f>HYPERLINK("http://mirror.ff7data.com.ar/ff7/data/battle/battle.lgp/ksbu.png","View Picture")</f>
        <v>View Picture</v>
      </c>
    </row>
    <row r="6177">
      <c r="A6177" s="55"/>
      <c r="B6177" s="119" t="s">
        <v>38202</v>
      </c>
      <c r="C6177" s="120" t="s">
        <v>4476</v>
      </c>
      <c r="D6177" s="33" t="s">
        <v>38172</v>
      </c>
      <c r="E6177" s="51" t="s">
        <v>1296</v>
      </c>
      <c r="F6177" s="121" t="s">
        <v>3009</v>
      </c>
      <c r="G6177" s="98" t="str">
        <f>HYPERLINK("http://mirror.ff7data.com.ar/ff7/data/battle/battle.lgp/ksbv.png","View Picture")</f>
        <v>View Picture</v>
      </c>
    </row>
    <row r="6178">
      <c r="A6178" s="55"/>
      <c r="B6178" s="119" t="s">
        <v>38203</v>
      </c>
      <c r="C6178" s="120" t="s">
        <v>4476</v>
      </c>
      <c r="D6178" s="33" t="s">
        <v>38172</v>
      </c>
      <c r="E6178" s="51" t="s">
        <v>1296</v>
      </c>
      <c r="F6178" s="121" t="s">
        <v>3009</v>
      </c>
      <c r="G6178" s="98" t="str">
        <f>HYPERLINK("http://mirror.ff7data.com.ar/ff7/data/battle/battle.lgp/ksbw.png","View Picture")</f>
        <v>View Picture</v>
      </c>
    </row>
    <row r="6179">
      <c r="A6179" s="55"/>
      <c r="B6179" s="119" t="s">
        <v>38204</v>
      </c>
      <c r="C6179" s="120" t="s">
        <v>34499</v>
      </c>
      <c r="D6179" s="33" t="s">
        <v>38172</v>
      </c>
      <c r="E6179" s="51" t="s">
        <v>1296</v>
      </c>
      <c r="F6179" s="121" t="s">
        <v>3025</v>
      </c>
      <c r="H6179" s="46" t="s">
        <v>3002</v>
      </c>
    </row>
    <row r="6180">
      <c r="A6180" s="21"/>
      <c r="B6180" s="119" t="s">
        <v>38205</v>
      </c>
      <c r="C6180" s="120" t="s">
        <v>9973</v>
      </c>
      <c r="D6180" s="33" t="s">
        <v>38206</v>
      </c>
      <c r="E6180" s="51" t="s">
        <v>1301</v>
      </c>
      <c r="F6180" s="121" t="s">
        <v>2971</v>
      </c>
      <c r="G6180" s="98" t="str">
        <f>HYPERLINK("http://mirror.ff7data.com.ar/ff7/data/battle/battle.lgp/ktaa.png","View Picture")</f>
        <v>View Picture</v>
      </c>
      <c r="H6180" s="46" t="s">
        <v>38207</v>
      </c>
    </row>
    <row r="6181">
      <c r="A6181" s="55"/>
      <c r="B6181" s="119" t="s">
        <v>38208</v>
      </c>
      <c r="C6181" s="120" t="s">
        <v>5222</v>
      </c>
      <c r="D6181" s="33" t="s">
        <v>38209</v>
      </c>
      <c r="E6181" s="51" t="s">
        <v>1301</v>
      </c>
      <c r="F6181" s="121" t="s">
        <v>2993</v>
      </c>
      <c r="H6181" s="46" t="s">
        <v>3002</v>
      </c>
    </row>
    <row r="6182">
      <c r="A6182" s="55"/>
      <c r="B6182" s="119" t="s">
        <v>38210</v>
      </c>
      <c r="C6182" s="120" t="s">
        <v>7081</v>
      </c>
      <c r="D6182" s="33" t="s">
        <v>38209</v>
      </c>
      <c r="E6182" s="51" t="s">
        <v>1301</v>
      </c>
      <c r="F6182" s="121" t="s">
        <v>1348</v>
      </c>
      <c r="G6182" s="98" t="str">
        <f>HYPERLINK("http://mirror.ff7data.com.ar/ff7/data/battle/battle.lgp/ktac.png","View Picture")</f>
        <v>View Picture</v>
      </c>
    </row>
    <row r="6183">
      <c r="A6183" s="55"/>
      <c r="B6183" s="119" t="s">
        <v>38211</v>
      </c>
      <c r="C6183" s="120" t="s">
        <v>4719</v>
      </c>
      <c r="D6183" s="33" t="s">
        <v>38209</v>
      </c>
      <c r="E6183" s="51" t="s">
        <v>1301</v>
      </c>
      <c r="F6183" s="121" t="s">
        <v>3009</v>
      </c>
      <c r="G6183" s="98" t="str">
        <f>HYPERLINK("http://mirror.ff7data.com.ar/ff7/data/battle/battle.lgp/ktao.png","View Picture")</f>
        <v>View Picture</v>
      </c>
    </row>
    <row r="6184">
      <c r="A6184" s="55"/>
      <c r="B6184" s="119" t="s">
        <v>38212</v>
      </c>
      <c r="C6184" s="120" t="s">
        <v>4719</v>
      </c>
      <c r="D6184" s="33" t="s">
        <v>38209</v>
      </c>
      <c r="E6184" s="51" t="s">
        <v>1301</v>
      </c>
      <c r="F6184" s="121" t="s">
        <v>3009</v>
      </c>
      <c r="G6184" s="98" t="str">
        <f>HYPERLINK("http://mirror.ff7data.com.ar/ff7/data/battle/battle.lgp/ktar.png","View Picture")</f>
        <v>View Picture</v>
      </c>
    </row>
    <row r="6185">
      <c r="A6185" s="55"/>
      <c r="B6185" s="119" t="s">
        <v>38213</v>
      </c>
      <c r="C6185" s="120" t="s">
        <v>4288</v>
      </c>
      <c r="D6185" s="33" t="s">
        <v>38209</v>
      </c>
      <c r="E6185" s="51" t="s">
        <v>1301</v>
      </c>
      <c r="F6185" s="121" t="s">
        <v>3009</v>
      </c>
      <c r="G6185" s="98" t="str">
        <f>HYPERLINK("http://mirror.ff7data.com.ar/ff7/data/battle/battle.lgp/ktau.png","View Picture")</f>
        <v>View Picture</v>
      </c>
    </row>
    <row r="6186">
      <c r="A6186" s="55"/>
      <c r="B6186" s="119" t="s">
        <v>38214</v>
      </c>
      <c r="C6186" s="120" t="s">
        <v>26045</v>
      </c>
      <c r="D6186" s="33" t="s">
        <v>38209</v>
      </c>
      <c r="E6186" s="51" t="s">
        <v>1301</v>
      </c>
      <c r="F6186" s="121" t="s">
        <v>3009</v>
      </c>
      <c r="G6186" s="98" t="str">
        <f>HYPERLINK("http://mirror.ff7data.com.ar/ff7/data/battle/battle.lgp/ktaw.png","View Picture")</f>
        <v>View Picture</v>
      </c>
    </row>
    <row r="6187">
      <c r="A6187" s="55"/>
      <c r="B6187" s="119" t="s">
        <v>38215</v>
      </c>
      <c r="C6187" s="120" t="s">
        <v>3961</v>
      </c>
      <c r="D6187" s="33" t="s">
        <v>38209</v>
      </c>
      <c r="E6187" s="51" t="s">
        <v>1301</v>
      </c>
      <c r="F6187" s="121" t="s">
        <v>3009</v>
      </c>
      <c r="G6187" s="98" t="str">
        <f>HYPERLINK("http://mirror.ff7data.com.ar/ff7/data/battle/battle.lgp/ktay.png","View Picture")</f>
        <v>View Picture</v>
      </c>
    </row>
    <row r="6188">
      <c r="A6188" s="55"/>
      <c r="B6188" s="119" t="s">
        <v>38216</v>
      </c>
      <c r="C6188" s="120" t="s">
        <v>4288</v>
      </c>
      <c r="D6188" s="33" t="s">
        <v>38209</v>
      </c>
      <c r="E6188" s="51" t="s">
        <v>1301</v>
      </c>
      <c r="F6188" s="121" t="s">
        <v>3009</v>
      </c>
      <c r="G6188" s="98" t="str">
        <f>HYPERLINK("http://mirror.ff7data.com.ar/ff7/data/battle/battle.lgp/ktba.png","View Picture")</f>
        <v>View Picture</v>
      </c>
    </row>
    <row r="6189">
      <c r="A6189" s="55"/>
      <c r="B6189" s="119" t="s">
        <v>38217</v>
      </c>
      <c r="C6189" s="120" t="s">
        <v>7129</v>
      </c>
      <c r="D6189" s="33" t="s">
        <v>38209</v>
      </c>
      <c r="E6189" s="51" t="s">
        <v>1301</v>
      </c>
      <c r="F6189" s="121" t="s">
        <v>3009</v>
      </c>
      <c r="G6189" s="98" t="str">
        <f>HYPERLINK("http://mirror.ff7data.com.ar/ff7/data/battle/battle.lgp/ktbb.png","View Picture")</f>
        <v>View Picture</v>
      </c>
    </row>
    <row r="6190">
      <c r="A6190" s="55"/>
      <c r="B6190" s="119" t="s">
        <v>38218</v>
      </c>
      <c r="C6190" s="120" t="s">
        <v>4719</v>
      </c>
      <c r="D6190" s="33" t="s">
        <v>38209</v>
      </c>
      <c r="E6190" s="51" t="s">
        <v>1301</v>
      </c>
      <c r="F6190" s="121" t="s">
        <v>3009</v>
      </c>
      <c r="G6190" s="98" t="str">
        <f>HYPERLINK("http://mirror.ff7data.com.ar/ff7/data/battle/battle.lgp/ktbe.png","View Picture")</f>
        <v>View Picture</v>
      </c>
    </row>
    <row r="6191">
      <c r="A6191" s="55"/>
      <c r="B6191" s="119" t="s">
        <v>38219</v>
      </c>
      <c r="C6191" s="120" t="s">
        <v>4396</v>
      </c>
      <c r="D6191" s="33" t="s">
        <v>38209</v>
      </c>
      <c r="E6191" s="51" t="s">
        <v>1301</v>
      </c>
      <c r="F6191" s="121" t="s">
        <v>3009</v>
      </c>
      <c r="G6191" s="98" t="str">
        <f>HYPERLINK("http://mirror.ff7data.com.ar/ff7/data/battle/battle.lgp/ktbh.png","View Picture")</f>
        <v>View Picture</v>
      </c>
    </row>
    <row r="6192">
      <c r="A6192" s="55"/>
      <c r="B6192" s="119" t="s">
        <v>38220</v>
      </c>
      <c r="C6192" s="120" t="s">
        <v>10078</v>
      </c>
      <c r="D6192" s="33" t="s">
        <v>38209</v>
      </c>
      <c r="E6192" s="51" t="s">
        <v>1301</v>
      </c>
      <c r="F6192" s="121" t="s">
        <v>3009</v>
      </c>
      <c r="G6192" s="98" t="str">
        <f>HYPERLINK("http://mirror.ff7data.com.ar/ff7/data/battle/battle.lgp/ktbk.png","View Picture")</f>
        <v>View Picture</v>
      </c>
    </row>
    <row r="6193">
      <c r="A6193" s="55"/>
      <c r="B6193" s="119" t="s">
        <v>38221</v>
      </c>
      <c r="C6193" s="120" t="s">
        <v>4396</v>
      </c>
      <c r="D6193" s="33" t="s">
        <v>38209</v>
      </c>
      <c r="E6193" s="51" t="s">
        <v>1301</v>
      </c>
      <c r="F6193" s="121" t="s">
        <v>3009</v>
      </c>
      <c r="G6193" s="98" t="str">
        <f>HYPERLINK("http://mirror.ff7data.com.ar/ff7/data/battle/battle.lgp/ktbn.png","View Picture")</f>
        <v>View Picture</v>
      </c>
    </row>
    <row r="6194">
      <c r="A6194" s="55"/>
      <c r="B6194" s="119" t="s">
        <v>38222</v>
      </c>
      <c r="C6194" s="120" t="s">
        <v>4396</v>
      </c>
      <c r="D6194" s="33" t="s">
        <v>38209</v>
      </c>
      <c r="E6194" s="51" t="s">
        <v>1301</v>
      </c>
      <c r="F6194" s="121" t="s">
        <v>3009</v>
      </c>
      <c r="G6194" s="98" t="str">
        <f>HYPERLINK("http://mirror.ff7data.com.ar/ff7/data/battle/battle.lgp/ktbq.png","View Picture")</f>
        <v>View Picture</v>
      </c>
    </row>
    <row r="6195">
      <c r="A6195" s="55"/>
      <c r="B6195" s="119" t="s">
        <v>38223</v>
      </c>
      <c r="C6195" s="120" t="s">
        <v>4396</v>
      </c>
      <c r="D6195" s="33" t="s">
        <v>38209</v>
      </c>
      <c r="E6195" s="51" t="s">
        <v>1301</v>
      </c>
      <c r="F6195" s="121" t="s">
        <v>3009</v>
      </c>
      <c r="G6195" s="98" t="str">
        <f>HYPERLINK("http://mirror.ff7data.com.ar/ff7/data/battle/battle.lgp/ktbt.png","View Picture")</f>
        <v>View Picture</v>
      </c>
    </row>
    <row r="6196">
      <c r="A6196" s="55"/>
      <c r="B6196" s="119" t="s">
        <v>38224</v>
      </c>
      <c r="C6196" s="120" t="s">
        <v>10078</v>
      </c>
      <c r="D6196" s="33" t="s">
        <v>38209</v>
      </c>
      <c r="E6196" s="51" t="s">
        <v>1301</v>
      </c>
      <c r="F6196" s="121" t="s">
        <v>3009</v>
      </c>
      <c r="G6196" s="98" t="str">
        <f>HYPERLINK("http://mirror.ff7data.com.ar/ff7/data/battle/battle.lgp/ktbw.png","View Picture")</f>
        <v>View Picture</v>
      </c>
    </row>
    <row r="6197">
      <c r="A6197" s="55"/>
      <c r="B6197" s="119" t="s">
        <v>38225</v>
      </c>
      <c r="C6197" s="120" t="s">
        <v>8376</v>
      </c>
      <c r="D6197" s="33" t="s">
        <v>38209</v>
      </c>
      <c r="E6197" s="51" t="s">
        <v>1301</v>
      </c>
      <c r="F6197" s="121" t="s">
        <v>3009</v>
      </c>
      <c r="G6197" s="98" t="str">
        <f>HYPERLINK("http://mirror.ff7data.com.ar/ff7/data/battle/battle.lgp/ktbz.png","View Picture")</f>
        <v>View Picture</v>
      </c>
    </row>
    <row r="6198">
      <c r="A6198" s="55"/>
      <c r="B6198" s="119" t="s">
        <v>38226</v>
      </c>
      <c r="C6198" s="120" t="s">
        <v>13619</v>
      </c>
      <c r="D6198" s="33" t="s">
        <v>38209</v>
      </c>
      <c r="E6198" s="51" t="s">
        <v>1301</v>
      </c>
      <c r="F6198" s="121" t="s">
        <v>3025</v>
      </c>
      <c r="H6198" s="46" t="s">
        <v>3002</v>
      </c>
    </row>
    <row r="6199">
      <c r="A6199" s="21"/>
      <c r="B6199" s="119" t="s">
        <v>38227</v>
      </c>
      <c r="C6199" s="120" t="s">
        <v>9973</v>
      </c>
      <c r="D6199" s="33" t="s">
        <v>38228</v>
      </c>
      <c r="E6199" s="147" t="s">
        <v>1306</v>
      </c>
      <c r="F6199" s="121" t="s">
        <v>2971</v>
      </c>
      <c r="G6199" s="98" t="str">
        <f>HYPERLINK("http://mirror.ff7data.com.ar/ff7/data/battle/battle.lgp/kuaa.png","View Picture")</f>
        <v>View Picture</v>
      </c>
      <c r="H6199" s="46" t="s">
        <v>38229</v>
      </c>
    </row>
    <row r="6200">
      <c r="A6200" s="55"/>
      <c r="B6200" s="119" t="s">
        <v>38230</v>
      </c>
      <c r="C6200" s="120" t="s">
        <v>8538</v>
      </c>
      <c r="D6200" s="33" t="s">
        <v>38231</v>
      </c>
      <c r="E6200" s="147" t="s">
        <v>1306</v>
      </c>
      <c r="F6200" s="121" t="s">
        <v>2993</v>
      </c>
      <c r="H6200" s="46" t="s">
        <v>3002</v>
      </c>
    </row>
    <row r="6201">
      <c r="A6201" s="55"/>
      <c r="B6201" s="119" t="s">
        <v>38232</v>
      </c>
      <c r="C6201" s="120" t="s">
        <v>3370</v>
      </c>
      <c r="D6201" s="33" t="s">
        <v>38231</v>
      </c>
      <c r="E6201" s="147" t="s">
        <v>1306</v>
      </c>
      <c r="F6201" s="121" t="s">
        <v>3009</v>
      </c>
      <c r="G6201" s="98" t="str">
        <f>HYPERLINK("http://mirror.ff7data.com.ar/ff7/data/battle/battle.lgp/kuam.png","View Picture")</f>
        <v>View Picture</v>
      </c>
    </row>
    <row r="6202">
      <c r="A6202" s="55"/>
      <c r="B6202" s="119" t="s">
        <v>38233</v>
      </c>
      <c r="C6202" s="120" t="s">
        <v>3505</v>
      </c>
      <c r="D6202" s="33" t="s">
        <v>38231</v>
      </c>
      <c r="E6202" s="147" t="s">
        <v>1306</v>
      </c>
      <c r="F6202" s="121" t="s">
        <v>3009</v>
      </c>
      <c r="G6202" s="98" t="str">
        <f>HYPERLINK("http://mirror.ff7data.com.ar/ff7/data/battle/battle.lgp/kuan.png","View Picture")</f>
        <v>View Picture</v>
      </c>
    </row>
    <row r="6203">
      <c r="A6203" s="55"/>
      <c r="B6203" s="119" t="s">
        <v>38234</v>
      </c>
      <c r="C6203" s="120" t="s">
        <v>3505</v>
      </c>
      <c r="D6203" s="33" t="s">
        <v>38231</v>
      </c>
      <c r="E6203" s="147" t="s">
        <v>1306</v>
      </c>
      <c r="F6203" s="121" t="s">
        <v>3009</v>
      </c>
      <c r="G6203" s="98" t="str">
        <f>HYPERLINK("http://mirror.ff7data.com.ar/ff7/data/battle/battle.lgp/kuao.png","View Picture")</f>
        <v>View Picture</v>
      </c>
    </row>
    <row r="6204">
      <c r="A6204" s="55"/>
      <c r="B6204" s="119" t="s">
        <v>38235</v>
      </c>
      <c r="C6204" s="120" t="s">
        <v>7129</v>
      </c>
      <c r="D6204" s="33" t="s">
        <v>38231</v>
      </c>
      <c r="E6204" s="147" t="s">
        <v>1306</v>
      </c>
      <c r="F6204" s="121" t="s">
        <v>3009</v>
      </c>
      <c r="G6204" s="98" t="str">
        <f>HYPERLINK("http://mirror.ff7data.com.ar/ff7/data/battle/battle.lgp/kuap.png","View Picture")</f>
        <v>View Picture</v>
      </c>
    </row>
    <row r="6205">
      <c r="A6205" s="55"/>
      <c r="B6205" s="119" t="s">
        <v>38236</v>
      </c>
      <c r="C6205" s="120" t="s">
        <v>3318</v>
      </c>
      <c r="D6205" s="33" t="s">
        <v>38231</v>
      </c>
      <c r="E6205" s="147" t="s">
        <v>1306</v>
      </c>
      <c r="F6205" s="121" t="s">
        <v>3009</v>
      </c>
      <c r="G6205" s="98" t="str">
        <f>HYPERLINK("http://mirror.ff7data.com.ar/ff7/data/battle/battle.lgp/kuaq.png","View Picture")</f>
        <v>View Picture</v>
      </c>
    </row>
    <row r="6206">
      <c r="A6206" s="55"/>
      <c r="B6206" s="119" t="s">
        <v>38237</v>
      </c>
      <c r="C6206" s="120" t="s">
        <v>3494</v>
      </c>
      <c r="D6206" s="33" t="s">
        <v>38231</v>
      </c>
      <c r="E6206" s="147" t="s">
        <v>1306</v>
      </c>
      <c r="F6206" s="121" t="s">
        <v>3009</v>
      </c>
      <c r="G6206" s="98" t="str">
        <f>HYPERLINK("http://mirror.ff7data.com.ar/ff7/data/battle/battle.lgp/kuas.png","View Picture")</f>
        <v>View Picture</v>
      </c>
    </row>
    <row r="6207">
      <c r="A6207" s="55"/>
      <c r="B6207" s="119" t="s">
        <v>38238</v>
      </c>
      <c r="C6207" s="120" t="s">
        <v>3007</v>
      </c>
      <c r="D6207" s="33" t="s">
        <v>38231</v>
      </c>
      <c r="E6207" s="147" t="s">
        <v>1306</v>
      </c>
      <c r="F6207" s="121" t="s">
        <v>3009</v>
      </c>
      <c r="G6207" s="98" t="str">
        <f>HYPERLINK("http://mirror.ff7data.com.ar/ff7/data/battle/battle.lgp/kuau.png","View Picture")</f>
        <v>View Picture</v>
      </c>
    </row>
    <row r="6208">
      <c r="A6208" s="55"/>
      <c r="B6208" s="119" t="s">
        <v>38239</v>
      </c>
      <c r="C6208" s="120" t="s">
        <v>3007</v>
      </c>
      <c r="D6208" s="33" t="s">
        <v>38231</v>
      </c>
      <c r="E6208" s="147" t="s">
        <v>1306</v>
      </c>
      <c r="F6208" s="121" t="s">
        <v>3009</v>
      </c>
      <c r="G6208" s="98" t="str">
        <f>HYPERLINK("http://mirror.ff7data.com.ar/ff7/data/battle/battle.lgp/kuav.png","View Picture")</f>
        <v>View Picture</v>
      </c>
    </row>
    <row r="6209">
      <c r="A6209" s="55"/>
      <c r="B6209" s="119" t="s">
        <v>38240</v>
      </c>
      <c r="C6209" s="120" t="s">
        <v>3007</v>
      </c>
      <c r="D6209" s="33" t="s">
        <v>38231</v>
      </c>
      <c r="E6209" s="147" t="s">
        <v>1306</v>
      </c>
      <c r="F6209" s="121" t="s">
        <v>3009</v>
      </c>
      <c r="G6209" s="98" t="str">
        <f>HYPERLINK("http://mirror.ff7data.com.ar/ff7/data/battle/battle.lgp/kuax.png","View Picture")</f>
        <v>View Picture</v>
      </c>
    </row>
    <row r="6210">
      <c r="A6210" s="55"/>
      <c r="B6210" s="119" t="s">
        <v>38241</v>
      </c>
      <c r="C6210" s="120" t="s">
        <v>3007</v>
      </c>
      <c r="D6210" s="33" t="s">
        <v>38231</v>
      </c>
      <c r="E6210" s="147" t="s">
        <v>1306</v>
      </c>
      <c r="F6210" s="121" t="s">
        <v>3009</v>
      </c>
      <c r="G6210" s="98" t="str">
        <f>HYPERLINK("http://mirror.ff7data.com.ar/ff7/data/battle/battle.lgp/kuay.png","View Picture")</f>
        <v>View Picture</v>
      </c>
    </row>
    <row r="6211">
      <c r="A6211" s="55"/>
      <c r="B6211" s="119" t="s">
        <v>38242</v>
      </c>
      <c r="C6211" s="120" t="s">
        <v>3007</v>
      </c>
      <c r="D6211" s="33" t="s">
        <v>38231</v>
      </c>
      <c r="E6211" s="147" t="s">
        <v>1306</v>
      </c>
      <c r="F6211" s="121" t="s">
        <v>3009</v>
      </c>
      <c r="G6211" s="98" t="str">
        <f>HYPERLINK("http://mirror.ff7data.com.ar/ff7/data/battle/battle.lgp/kuba.png","View Picture")</f>
        <v>View Picture</v>
      </c>
    </row>
    <row r="6212">
      <c r="A6212" s="55"/>
      <c r="B6212" s="119" t="s">
        <v>38243</v>
      </c>
      <c r="C6212" s="120" t="s">
        <v>3007</v>
      </c>
      <c r="D6212" s="33" t="s">
        <v>38231</v>
      </c>
      <c r="E6212" s="147" t="s">
        <v>1306</v>
      </c>
      <c r="F6212" s="121" t="s">
        <v>3009</v>
      </c>
      <c r="G6212" s="98" t="str">
        <f>HYPERLINK("http://mirror.ff7data.com.ar/ff7/data/battle/battle.lgp/kubb.png","View Picture")</f>
        <v>View Picture</v>
      </c>
    </row>
    <row r="6213">
      <c r="A6213" s="55"/>
      <c r="B6213" s="119" t="s">
        <v>38244</v>
      </c>
      <c r="C6213" s="120" t="s">
        <v>3007</v>
      </c>
      <c r="D6213" s="33" t="s">
        <v>38231</v>
      </c>
      <c r="E6213" s="147" t="s">
        <v>1306</v>
      </c>
      <c r="F6213" s="121" t="s">
        <v>3009</v>
      </c>
      <c r="G6213" s="98" t="str">
        <f>HYPERLINK("http://mirror.ff7data.com.ar/ff7/data/battle/battle.lgp/kubd.png","View Picture")</f>
        <v>View Picture</v>
      </c>
    </row>
    <row r="6214">
      <c r="A6214" s="55"/>
      <c r="B6214" s="119" t="s">
        <v>38245</v>
      </c>
      <c r="C6214" s="120" t="s">
        <v>3007</v>
      </c>
      <c r="D6214" s="33" t="s">
        <v>38231</v>
      </c>
      <c r="E6214" s="147" t="s">
        <v>1306</v>
      </c>
      <c r="F6214" s="121" t="s">
        <v>3009</v>
      </c>
      <c r="G6214" s="98" t="str">
        <f>HYPERLINK("http://mirror.ff7data.com.ar/ff7/data/battle/battle.lgp/kube.png","View Picture")</f>
        <v>View Picture</v>
      </c>
    </row>
    <row r="6215">
      <c r="A6215" s="55"/>
      <c r="B6215" s="119" t="s">
        <v>38246</v>
      </c>
      <c r="C6215" s="120" t="s">
        <v>3007</v>
      </c>
      <c r="D6215" s="33" t="s">
        <v>38231</v>
      </c>
      <c r="E6215" s="147" t="s">
        <v>1306</v>
      </c>
      <c r="F6215" s="121" t="s">
        <v>3009</v>
      </c>
      <c r="G6215" s="98" t="str">
        <f>HYPERLINK("http://mirror.ff7data.com.ar/ff7/data/battle/battle.lgp/kubg.png","View Picture")</f>
        <v>View Picture</v>
      </c>
    </row>
    <row r="6216">
      <c r="A6216" s="55"/>
      <c r="B6216" s="119" t="s">
        <v>38247</v>
      </c>
      <c r="C6216" s="120" t="s">
        <v>3007</v>
      </c>
      <c r="D6216" s="33" t="s">
        <v>38231</v>
      </c>
      <c r="E6216" s="147" t="s">
        <v>1306</v>
      </c>
      <c r="F6216" s="121" t="s">
        <v>3009</v>
      </c>
      <c r="G6216" s="98" t="str">
        <f>HYPERLINK("http://mirror.ff7data.com.ar/ff7/data/battle/battle.lgp/kubh.png","View Picture")</f>
        <v>View Picture</v>
      </c>
    </row>
    <row r="6217">
      <c r="A6217" s="55"/>
      <c r="B6217" s="119" t="s">
        <v>38248</v>
      </c>
      <c r="C6217" s="120" t="s">
        <v>3007</v>
      </c>
      <c r="D6217" s="33" t="s">
        <v>38231</v>
      </c>
      <c r="E6217" s="147" t="s">
        <v>1306</v>
      </c>
      <c r="F6217" s="121" t="s">
        <v>3009</v>
      </c>
      <c r="G6217" s="98" t="str">
        <f>HYPERLINK("http://mirror.ff7data.com.ar/ff7/data/battle/battle.lgp/kubj.png","View Picture")</f>
        <v>View Picture</v>
      </c>
    </row>
    <row r="6218">
      <c r="A6218" s="55"/>
      <c r="B6218" s="119" t="s">
        <v>38249</v>
      </c>
      <c r="C6218" s="120" t="s">
        <v>3007</v>
      </c>
      <c r="D6218" s="33" t="s">
        <v>38231</v>
      </c>
      <c r="E6218" s="147" t="s">
        <v>1306</v>
      </c>
      <c r="F6218" s="121" t="s">
        <v>3009</v>
      </c>
      <c r="G6218" s="98" t="str">
        <f>HYPERLINK("http://mirror.ff7data.com.ar/ff7/data/battle/battle.lgp/kubk.png","View Picture")</f>
        <v>View Picture</v>
      </c>
    </row>
    <row r="6219">
      <c r="A6219" s="55"/>
      <c r="B6219" s="119" t="s">
        <v>38250</v>
      </c>
      <c r="C6219" s="120" t="s">
        <v>3007</v>
      </c>
      <c r="D6219" s="33" t="s">
        <v>38231</v>
      </c>
      <c r="E6219" s="147" t="s">
        <v>1306</v>
      </c>
      <c r="F6219" s="121" t="s">
        <v>3009</v>
      </c>
      <c r="G6219" s="98" t="str">
        <f>HYPERLINK("http://mirror.ff7data.com.ar/ff7/data/battle/battle.lgp/kubm.png","View Picture")</f>
        <v>View Picture</v>
      </c>
    </row>
    <row r="6220">
      <c r="A6220" s="55"/>
      <c r="B6220" s="119" t="s">
        <v>38251</v>
      </c>
      <c r="C6220" s="120" t="s">
        <v>3007</v>
      </c>
      <c r="D6220" s="33" t="s">
        <v>38231</v>
      </c>
      <c r="E6220" s="147" t="s">
        <v>1306</v>
      </c>
      <c r="F6220" s="121" t="s">
        <v>3009</v>
      </c>
      <c r="G6220" s="98" t="str">
        <f>HYPERLINK("http://mirror.ff7data.com.ar/ff7/data/battle/battle.lgp/kubn.png","View Picture")</f>
        <v>View Picture</v>
      </c>
    </row>
    <row r="6221">
      <c r="A6221" s="55"/>
      <c r="B6221" s="119" t="s">
        <v>38252</v>
      </c>
      <c r="C6221" s="120" t="s">
        <v>3007</v>
      </c>
      <c r="D6221" s="33" t="s">
        <v>38231</v>
      </c>
      <c r="E6221" s="147" t="s">
        <v>1306</v>
      </c>
      <c r="F6221" s="121" t="s">
        <v>3009</v>
      </c>
      <c r="G6221" s="98" t="str">
        <f>HYPERLINK("http://mirror.ff7data.com.ar/ff7/data/battle/battle.lgp/kubp.png","View Picture")</f>
        <v>View Picture</v>
      </c>
    </row>
    <row r="6222">
      <c r="A6222" s="55"/>
      <c r="B6222" s="119" t="s">
        <v>38253</v>
      </c>
      <c r="C6222" s="120" t="s">
        <v>3007</v>
      </c>
      <c r="D6222" s="33" t="s">
        <v>38231</v>
      </c>
      <c r="E6222" s="147" t="s">
        <v>1306</v>
      </c>
      <c r="F6222" s="121" t="s">
        <v>3009</v>
      </c>
      <c r="G6222" s="98" t="str">
        <f>HYPERLINK("http://mirror.ff7data.com.ar/ff7/data/battle/battle.lgp/kubq.png","View Picture")</f>
        <v>View Picture</v>
      </c>
    </row>
    <row r="6223">
      <c r="A6223" s="55"/>
      <c r="B6223" s="119" t="s">
        <v>38254</v>
      </c>
      <c r="C6223" s="120" t="s">
        <v>7871</v>
      </c>
      <c r="D6223" s="33" t="s">
        <v>38231</v>
      </c>
      <c r="E6223" s="147" t="s">
        <v>1306</v>
      </c>
      <c r="F6223" s="121" t="s">
        <v>3009</v>
      </c>
      <c r="G6223" s="98" t="str">
        <f>HYPERLINK("http://mirror.ff7data.com.ar/ff7/data/battle/battle.lgp/kubs.png","View Picture")</f>
        <v>View Picture</v>
      </c>
    </row>
    <row r="6224">
      <c r="A6224" s="55"/>
      <c r="B6224" s="119" t="s">
        <v>38255</v>
      </c>
      <c r="C6224" s="120" t="s">
        <v>7270</v>
      </c>
      <c r="D6224" s="33" t="s">
        <v>38231</v>
      </c>
      <c r="E6224" s="147" t="s">
        <v>1306</v>
      </c>
      <c r="F6224" s="121" t="s">
        <v>3009</v>
      </c>
      <c r="G6224" s="98" t="str">
        <f>HYPERLINK("http://mirror.ff7data.com.ar/ff7/data/battle/battle.lgp/kubt.png","View Picture")</f>
        <v>View Picture</v>
      </c>
    </row>
    <row r="6225">
      <c r="A6225" s="55"/>
      <c r="B6225" s="119" t="s">
        <v>38256</v>
      </c>
      <c r="C6225" s="120" t="s">
        <v>4252</v>
      </c>
      <c r="D6225" s="33" t="s">
        <v>38231</v>
      </c>
      <c r="E6225" s="147" t="s">
        <v>1306</v>
      </c>
      <c r="F6225" s="121" t="s">
        <v>3009</v>
      </c>
      <c r="G6225" s="98" t="str">
        <f>HYPERLINK("http://mirror.ff7data.com.ar/ff7/data/battle/battle.lgp/kubu.png","View Picture")</f>
        <v>View Picture</v>
      </c>
    </row>
    <row r="6226">
      <c r="A6226" s="55"/>
      <c r="B6226" s="119" t="s">
        <v>38257</v>
      </c>
      <c r="C6226" s="120" t="s">
        <v>7270</v>
      </c>
      <c r="D6226" s="33" t="s">
        <v>38231</v>
      </c>
      <c r="E6226" s="147" t="s">
        <v>1306</v>
      </c>
      <c r="F6226" s="121" t="s">
        <v>3009</v>
      </c>
      <c r="G6226" s="98" t="str">
        <f>HYPERLINK("http://mirror.ff7data.com.ar/ff7/data/battle/battle.lgp/kubv.png","View Picture")</f>
        <v>View Picture</v>
      </c>
    </row>
    <row r="6227">
      <c r="A6227" s="55"/>
      <c r="B6227" s="119" t="s">
        <v>38258</v>
      </c>
      <c r="C6227" s="120" t="s">
        <v>7270</v>
      </c>
      <c r="D6227" s="33" t="s">
        <v>38231</v>
      </c>
      <c r="E6227" s="147" t="s">
        <v>1306</v>
      </c>
      <c r="F6227" s="121" t="s">
        <v>3009</v>
      </c>
      <c r="G6227" s="98" t="str">
        <f>HYPERLINK("http://mirror.ff7data.com.ar/ff7/data/battle/battle.lgp/kubw.png","View Picture")</f>
        <v>View Picture</v>
      </c>
    </row>
    <row r="6228">
      <c r="A6228" s="55"/>
      <c r="B6228" s="119" t="s">
        <v>38259</v>
      </c>
      <c r="C6228" s="120" t="s">
        <v>3614</v>
      </c>
      <c r="D6228" s="33" t="s">
        <v>38231</v>
      </c>
      <c r="E6228" s="147" t="s">
        <v>1306</v>
      </c>
      <c r="F6228" s="121" t="s">
        <v>3009</v>
      </c>
      <c r="G6228" s="98" t="str">
        <f>HYPERLINK("http://mirror.ff7data.com.ar/ff7/data/battle/battle.lgp/kubx.png","View Picture")</f>
        <v>View Picture</v>
      </c>
    </row>
    <row r="6229">
      <c r="A6229" s="55"/>
      <c r="B6229" s="119" t="s">
        <v>38260</v>
      </c>
      <c r="C6229" s="120" t="s">
        <v>7871</v>
      </c>
      <c r="D6229" s="33" t="s">
        <v>38231</v>
      </c>
      <c r="E6229" s="147" t="s">
        <v>1306</v>
      </c>
      <c r="F6229" s="121" t="s">
        <v>3009</v>
      </c>
      <c r="G6229" s="98" t="str">
        <f>HYPERLINK("http://mirror.ff7data.com.ar/ff7/data/battle/battle.lgp/kuby.png","View Picture")</f>
        <v>View Picture</v>
      </c>
    </row>
    <row r="6230">
      <c r="A6230" s="55"/>
      <c r="B6230" s="119" t="s">
        <v>38261</v>
      </c>
      <c r="C6230" s="120" t="s">
        <v>9441</v>
      </c>
      <c r="D6230" s="33" t="s">
        <v>38231</v>
      </c>
      <c r="E6230" s="147" t="s">
        <v>1306</v>
      </c>
      <c r="F6230" s="121" t="s">
        <v>3009</v>
      </c>
      <c r="G6230" s="98" t="str">
        <f>HYPERLINK("http://mirror.ff7data.com.ar/ff7/data/battle/battle.lgp/kubz.png","View Picture")</f>
        <v>View Picture</v>
      </c>
    </row>
    <row r="6231">
      <c r="A6231" s="55"/>
      <c r="B6231" s="119" t="s">
        <v>38262</v>
      </c>
      <c r="C6231" s="120" t="s">
        <v>4228</v>
      </c>
      <c r="D6231" s="33" t="s">
        <v>38231</v>
      </c>
      <c r="E6231" s="147" t="s">
        <v>1306</v>
      </c>
      <c r="F6231" s="121" t="s">
        <v>3025</v>
      </c>
      <c r="H6231" s="46" t="s">
        <v>3002</v>
      </c>
    </row>
    <row r="6232">
      <c r="A6232" s="82"/>
      <c r="B6232" s="119" t="s">
        <v>38263</v>
      </c>
      <c r="C6232" s="120" t="s">
        <v>8845</v>
      </c>
      <c r="D6232" s="33" t="s">
        <v>27810</v>
      </c>
      <c r="E6232" s="51" t="s">
        <v>1310</v>
      </c>
      <c r="F6232" s="121" t="s">
        <v>2971</v>
      </c>
      <c r="G6232" s="98" t="str">
        <f>HYPERLINK("http://mirror.ff7data.com.ar/ff7/data/battle/battle.lgp/kvaa.png","View Picture")</f>
        <v>View Picture</v>
      </c>
      <c r="H6232" s="46" t="s">
        <v>38264</v>
      </c>
    </row>
    <row r="6233">
      <c r="A6233" s="55"/>
      <c r="B6233" s="119" t="s">
        <v>38265</v>
      </c>
      <c r="C6233" s="120" t="s">
        <v>3299</v>
      </c>
      <c r="D6233" s="33" t="s">
        <v>27823</v>
      </c>
      <c r="E6233" s="51" t="s">
        <v>1310</v>
      </c>
      <c r="F6233" s="121" t="s">
        <v>2993</v>
      </c>
      <c r="H6233" s="46" t="s">
        <v>3002</v>
      </c>
    </row>
    <row r="6234">
      <c r="A6234" s="82"/>
      <c r="B6234" s="119" t="s">
        <v>38266</v>
      </c>
      <c r="C6234" s="120" t="s">
        <v>3671</v>
      </c>
      <c r="D6234" s="33" t="s">
        <v>27831</v>
      </c>
      <c r="E6234" s="51" t="s">
        <v>1310</v>
      </c>
      <c r="F6234" s="121" t="s">
        <v>1348</v>
      </c>
      <c r="G6234" s="98" t="str">
        <f>HYPERLINK("http://mirror.ff7data.com.ar/ff7/data/battle/battle.lgp/kvac.png","View Picture")</f>
        <v>View Picture</v>
      </c>
    </row>
    <row r="6235">
      <c r="A6235" s="82"/>
      <c r="B6235" s="119" t="s">
        <v>38267</v>
      </c>
      <c r="C6235" s="120" t="s">
        <v>14502</v>
      </c>
      <c r="D6235" s="33" t="s">
        <v>27844</v>
      </c>
      <c r="E6235" s="51" t="s">
        <v>1310</v>
      </c>
      <c r="F6235" s="121" t="s">
        <v>3009</v>
      </c>
      <c r="G6235" s="98" t="str">
        <f>HYPERLINK("http://mirror.ff7data.com.ar/ff7/data/battle/battle.lgp/kvam.png","View Picture")</f>
        <v>View Picture</v>
      </c>
    </row>
    <row r="6236">
      <c r="A6236" s="82"/>
      <c r="B6236" s="119" t="s">
        <v>38268</v>
      </c>
      <c r="C6236" s="120" t="s">
        <v>3318</v>
      </c>
      <c r="D6236" s="33" t="s">
        <v>27868</v>
      </c>
      <c r="E6236" s="51" t="s">
        <v>1310</v>
      </c>
      <c r="F6236" s="121" t="s">
        <v>3009</v>
      </c>
      <c r="G6236" s="98" t="str">
        <f>HYPERLINK("http://mirror.ff7data.com.ar/ff7/data/battle/battle.lgp/kvan.png","View Picture")</f>
        <v>View Picture</v>
      </c>
    </row>
    <row r="6237">
      <c r="A6237" s="82"/>
      <c r="B6237" s="119" t="s">
        <v>38269</v>
      </c>
      <c r="C6237" s="120" t="s">
        <v>7871</v>
      </c>
      <c r="D6237" s="33" t="s">
        <v>27889</v>
      </c>
      <c r="E6237" s="51" t="s">
        <v>1310</v>
      </c>
      <c r="F6237" s="121" t="s">
        <v>3009</v>
      </c>
      <c r="G6237" s="98" t="str">
        <f>HYPERLINK("http://mirror.ff7data.com.ar/ff7/data/battle/battle.lgp/kvao.png","View Picture")</f>
        <v>View Picture</v>
      </c>
    </row>
    <row r="6238">
      <c r="A6238" s="21"/>
      <c r="B6238" s="119" t="s">
        <v>38270</v>
      </c>
      <c r="C6238" s="120" t="s">
        <v>6029</v>
      </c>
      <c r="D6238" s="33" t="s">
        <v>27905</v>
      </c>
      <c r="E6238" s="51" t="s">
        <v>1310</v>
      </c>
      <c r="F6238" s="121" t="s">
        <v>3009</v>
      </c>
      <c r="G6238" s="98" t="str">
        <f>HYPERLINK("http://mirror.ff7data.com.ar/ff7/data/battle/battle.lgp/kvaq.png","View Picture")</f>
        <v>View Picture</v>
      </c>
    </row>
    <row r="6239">
      <c r="A6239" s="21"/>
      <c r="B6239" s="119" t="s">
        <v>38271</v>
      </c>
      <c r="C6239" s="120" t="s">
        <v>5419</v>
      </c>
      <c r="D6239" s="33" t="s">
        <v>27923</v>
      </c>
      <c r="E6239" s="51" t="s">
        <v>1310</v>
      </c>
      <c r="F6239" s="121" t="s">
        <v>3009</v>
      </c>
      <c r="G6239" s="98" t="str">
        <f>HYPERLINK("http://mirror.ff7data.com.ar/ff7/data/battle/battle.lgp/kvar.png","View Picture")</f>
        <v>View Picture</v>
      </c>
    </row>
    <row r="6240">
      <c r="A6240" s="21"/>
      <c r="B6240" s="119" t="s">
        <v>38272</v>
      </c>
      <c r="C6240" s="120" t="s">
        <v>4439</v>
      </c>
      <c r="D6240" s="33" t="s">
        <v>27941</v>
      </c>
      <c r="E6240" s="51" t="s">
        <v>1310</v>
      </c>
      <c r="F6240" s="121" t="s">
        <v>3009</v>
      </c>
      <c r="G6240" s="98" t="str">
        <f>HYPERLINK("http://mirror.ff7data.com.ar/ff7/data/battle/battle.lgp/kvas.png","View Picture")</f>
        <v>View Picture</v>
      </c>
    </row>
    <row r="6241">
      <c r="A6241" s="21"/>
      <c r="B6241" s="119" t="s">
        <v>38273</v>
      </c>
      <c r="C6241" s="120" t="s">
        <v>4439</v>
      </c>
      <c r="D6241" s="33" t="s">
        <v>27956</v>
      </c>
      <c r="E6241" s="51" t="s">
        <v>1310</v>
      </c>
      <c r="F6241" s="121" t="s">
        <v>3009</v>
      </c>
      <c r="G6241" s="98" t="str">
        <f>HYPERLINK("http://mirror.ff7data.com.ar/ff7/data/battle/battle.lgp/kvau.png","View Picture")</f>
        <v>View Picture</v>
      </c>
    </row>
    <row r="6242">
      <c r="A6242" s="21"/>
      <c r="B6242" s="119" t="s">
        <v>38274</v>
      </c>
      <c r="C6242" s="120" t="s">
        <v>6029</v>
      </c>
      <c r="D6242" s="33" t="s">
        <v>27905</v>
      </c>
      <c r="E6242" s="51" t="s">
        <v>1310</v>
      </c>
      <c r="F6242" s="121" t="s">
        <v>3009</v>
      </c>
      <c r="G6242" s="98" t="str">
        <f>HYPERLINK("http://mirror.ff7data.com.ar/ff7/data/battle/battle.lgp/kvaw.png","View Picture")</f>
        <v>View Picture</v>
      </c>
    </row>
    <row r="6243">
      <c r="A6243" s="21"/>
      <c r="B6243" s="119" t="s">
        <v>38275</v>
      </c>
      <c r="C6243" s="120" t="s">
        <v>4372</v>
      </c>
      <c r="D6243" s="33" t="s">
        <v>27923</v>
      </c>
      <c r="E6243" s="51" t="s">
        <v>1310</v>
      </c>
      <c r="F6243" s="121" t="s">
        <v>3009</v>
      </c>
      <c r="G6243" s="98" t="str">
        <f>HYPERLINK("http://mirror.ff7data.com.ar/ff7/data/battle/battle.lgp/kvax.png","View Picture")</f>
        <v>View Picture</v>
      </c>
    </row>
    <row r="6244">
      <c r="A6244" s="21"/>
      <c r="B6244" s="119" t="s">
        <v>38276</v>
      </c>
      <c r="C6244" s="120" t="s">
        <v>4439</v>
      </c>
      <c r="D6244" s="33" t="s">
        <v>27941</v>
      </c>
      <c r="E6244" s="51" t="s">
        <v>1310</v>
      </c>
      <c r="F6244" s="121" t="s">
        <v>3009</v>
      </c>
      <c r="G6244" s="98" t="str">
        <f>HYPERLINK("http://mirror.ff7data.com.ar/ff7/data/battle/battle.lgp/kvay.png","View Picture")</f>
        <v>View Picture</v>
      </c>
    </row>
    <row r="6245">
      <c r="A6245" s="21"/>
      <c r="B6245" s="119" t="s">
        <v>38277</v>
      </c>
      <c r="C6245" s="120" t="s">
        <v>4439</v>
      </c>
      <c r="D6245" s="33" t="s">
        <v>27956</v>
      </c>
      <c r="E6245" s="51" t="s">
        <v>1310</v>
      </c>
      <c r="F6245" s="121" t="s">
        <v>3009</v>
      </c>
      <c r="G6245" s="98" t="str">
        <f>HYPERLINK("http://mirror.ff7data.com.ar/ff7/data/battle/battle.lgp/kvba.png","View Picture")</f>
        <v>View Picture</v>
      </c>
    </row>
    <row r="6246">
      <c r="A6246" s="21"/>
      <c r="B6246" s="119" t="s">
        <v>38278</v>
      </c>
      <c r="C6246" s="120" t="s">
        <v>4185</v>
      </c>
      <c r="D6246" s="33" t="s">
        <v>28015</v>
      </c>
      <c r="E6246" s="51" t="s">
        <v>1310</v>
      </c>
      <c r="F6246" s="121" t="s">
        <v>3009</v>
      </c>
      <c r="G6246" s="98" t="str">
        <f>HYPERLINK("http://mirror.ff7data.com.ar/ff7/data/battle/battle.lgp/kvbd.png","View Picture")</f>
        <v>View Picture</v>
      </c>
    </row>
    <row r="6247">
      <c r="A6247" s="21"/>
      <c r="B6247" s="119" t="s">
        <v>38279</v>
      </c>
      <c r="C6247" s="120" t="s">
        <v>7148</v>
      </c>
      <c r="D6247" s="33" t="s">
        <v>28024</v>
      </c>
      <c r="E6247" s="51" t="s">
        <v>1310</v>
      </c>
      <c r="F6247" s="121" t="s">
        <v>3009</v>
      </c>
      <c r="G6247" s="98" t="str">
        <f>HYPERLINK("http://mirror.ff7data.com.ar/ff7/data/battle/battle.lgp/kvbe.png","View Picture")</f>
        <v>View Picture</v>
      </c>
    </row>
    <row r="6248">
      <c r="A6248" s="82"/>
      <c r="B6248" s="119" t="s">
        <v>38280</v>
      </c>
      <c r="C6248" s="120" t="s">
        <v>4252</v>
      </c>
      <c r="D6248" s="33" t="s">
        <v>28035</v>
      </c>
      <c r="E6248" s="51" t="s">
        <v>1310</v>
      </c>
      <c r="F6248" s="121" t="s">
        <v>3009</v>
      </c>
      <c r="G6248" s="98" t="str">
        <f>HYPERLINK("http://mirror.ff7data.com.ar/ff7/data/battle/battle.lgp/kvbf.png","View Picture")</f>
        <v>View Picture</v>
      </c>
    </row>
    <row r="6249">
      <c r="A6249" s="21"/>
      <c r="B6249" s="119" t="s">
        <v>38281</v>
      </c>
      <c r="C6249" s="120" t="s">
        <v>4185</v>
      </c>
      <c r="D6249" s="33" t="s">
        <v>28015</v>
      </c>
      <c r="E6249" s="51" t="s">
        <v>1310</v>
      </c>
      <c r="F6249" s="121" t="s">
        <v>3009</v>
      </c>
      <c r="G6249" s="98" t="str">
        <f>HYPERLINK("http://mirror.ff7data.com.ar/ff7/data/battle/battle.lgp/kvbi.png","View Picture")</f>
        <v>View Picture</v>
      </c>
    </row>
    <row r="6250">
      <c r="A6250" s="21"/>
      <c r="B6250" s="119" t="s">
        <v>38282</v>
      </c>
      <c r="C6250" s="120" t="s">
        <v>7148</v>
      </c>
      <c r="D6250" s="33" t="s">
        <v>28024</v>
      </c>
      <c r="E6250" s="51" t="s">
        <v>1310</v>
      </c>
      <c r="F6250" s="121" t="s">
        <v>3009</v>
      </c>
      <c r="G6250" s="98" t="str">
        <f>HYPERLINK("http://mirror.ff7data.com.ar/ff7/data/battle/battle.lgp/kvbj.png","View Picture")</f>
        <v>View Picture</v>
      </c>
    </row>
    <row r="6251">
      <c r="A6251" s="82"/>
      <c r="B6251" s="119" t="s">
        <v>38283</v>
      </c>
      <c r="C6251" s="120" t="s">
        <v>4252</v>
      </c>
      <c r="D6251" s="33" t="s">
        <v>28066</v>
      </c>
      <c r="E6251" s="51" t="s">
        <v>1310</v>
      </c>
      <c r="F6251" s="121" t="s">
        <v>3009</v>
      </c>
      <c r="G6251" s="98" t="str">
        <f>HYPERLINK("http://mirror.ff7data.com.ar/ff7/data/battle/battle.lgp/kvbk.png","View Picture")</f>
        <v>View Picture</v>
      </c>
    </row>
    <row r="6252">
      <c r="A6252" s="55"/>
      <c r="B6252" s="119" t="s">
        <v>38284</v>
      </c>
      <c r="C6252" s="120" t="s">
        <v>4841</v>
      </c>
      <c r="D6252" s="33" t="s">
        <v>27823</v>
      </c>
      <c r="E6252" s="51" t="s">
        <v>1310</v>
      </c>
      <c r="F6252" s="121" t="s">
        <v>3025</v>
      </c>
      <c r="H6252" s="46" t="s">
        <v>3002</v>
      </c>
    </row>
    <row r="6253">
      <c r="A6253" s="21"/>
      <c r="B6253" s="119" t="s">
        <v>38285</v>
      </c>
      <c r="C6253" s="120" t="s">
        <v>2989</v>
      </c>
      <c r="D6253" s="33" t="s">
        <v>38286</v>
      </c>
      <c r="E6253" s="51" t="s">
        <v>1315</v>
      </c>
      <c r="F6253" s="121" t="s">
        <v>2971</v>
      </c>
      <c r="G6253" s="98" t="str">
        <f>HYPERLINK("http://mirror.ff7data.com.ar/ff7/data/battle/battle.lgp/kwaa.png","View Picture")</f>
        <v>View Picture</v>
      </c>
      <c r="H6253" s="46" t="s">
        <v>38287</v>
      </c>
    </row>
    <row r="6254">
      <c r="A6254" s="55"/>
      <c r="B6254" s="119" t="s">
        <v>38288</v>
      </c>
      <c r="C6254" s="120" t="s">
        <v>7375</v>
      </c>
      <c r="D6254" s="33" t="s">
        <v>38289</v>
      </c>
      <c r="E6254" s="51" t="s">
        <v>1315</v>
      </c>
      <c r="F6254" s="121" t="s">
        <v>2993</v>
      </c>
      <c r="H6254" s="46" t="s">
        <v>3002</v>
      </c>
    </row>
    <row r="6255">
      <c r="A6255" s="55"/>
      <c r="B6255" s="119" t="s">
        <v>38290</v>
      </c>
      <c r="C6255" s="120" t="s">
        <v>4046</v>
      </c>
      <c r="D6255" s="33" t="s">
        <v>38289</v>
      </c>
      <c r="E6255" s="51" t="s">
        <v>1315</v>
      </c>
      <c r="F6255" s="121" t="s">
        <v>3009</v>
      </c>
      <c r="G6255" s="98" t="str">
        <f>HYPERLINK("http://mirror.ff7data.com.ar/ff7/data/battle/battle.lgp/kwam.png","View Picture")</f>
        <v>View Picture</v>
      </c>
    </row>
    <row r="6256">
      <c r="A6256" s="55"/>
      <c r="B6256" s="119" t="s">
        <v>38291</v>
      </c>
      <c r="C6256" s="120" t="s">
        <v>5762</v>
      </c>
      <c r="D6256" s="33" t="s">
        <v>38289</v>
      </c>
      <c r="E6256" s="51" t="s">
        <v>1315</v>
      </c>
      <c r="F6256" s="121" t="s">
        <v>3009</v>
      </c>
      <c r="G6256" s="98" t="str">
        <f>HYPERLINK("http://mirror.ff7data.com.ar/ff7/data/battle/battle.lgp/kwan.png","View Picture")</f>
        <v>View Picture</v>
      </c>
    </row>
    <row r="6257">
      <c r="A6257" s="55"/>
      <c r="B6257" s="119" t="s">
        <v>38292</v>
      </c>
      <c r="C6257" s="120" t="s">
        <v>3671</v>
      </c>
      <c r="D6257" s="33" t="s">
        <v>38289</v>
      </c>
      <c r="E6257" s="51" t="s">
        <v>1315</v>
      </c>
      <c r="F6257" s="121" t="s">
        <v>3009</v>
      </c>
      <c r="G6257" s="98" t="str">
        <f>HYPERLINK("http://mirror.ff7data.com.ar/ff7/data/battle/battle.lgp/kwaq.png","View Picture")</f>
        <v>View Picture</v>
      </c>
    </row>
    <row r="6258">
      <c r="A6258" s="55"/>
      <c r="B6258" s="119" t="s">
        <v>38293</v>
      </c>
      <c r="C6258" s="120" t="s">
        <v>3465</v>
      </c>
      <c r="D6258" s="33" t="s">
        <v>38289</v>
      </c>
      <c r="E6258" s="51" t="s">
        <v>1315</v>
      </c>
      <c r="F6258" s="121" t="s">
        <v>3009</v>
      </c>
      <c r="G6258" s="98" t="str">
        <f>HYPERLINK("http://mirror.ff7data.com.ar/ff7/data/battle/battle.lgp/kwar.png","View Picture")</f>
        <v>View Picture</v>
      </c>
    </row>
    <row r="6259">
      <c r="A6259" s="55"/>
      <c r="B6259" s="119" t="s">
        <v>38294</v>
      </c>
      <c r="C6259" s="120" t="s">
        <v>4288</v>
      </c>
      <c r="D6259" s="33" t="s">
        <v>38289</v>
      </c>
      <c r="E6259" s="51" t="s">
        <v>1315</v>
      </c>
      <c r="F6259" s="121" t="s">
        <v>3009</v>
      </c>
      <c r="G6259" s="98" t="str">
        <f>HYPERLINK("http://mirror.ff7data.com.ar/ff7/data/battle/battle.lgp/kwat.png","View Picture")</f>
        <v>View Picture</v>
      </c>
    </row>
    <row r="6260">
      <c r="A6260" s="55"/>
      <c r="B6260" s="119" t="s">
        <v>38295</v>
      </c>
      <c r="C6260" s="120" t="s">
        <v>4288</v>
      </c>
      <c r="D6260" s="33" t="s">
        <v>38289</v>
      </c>
      <c r="E6260" s="51" t="s">
        <v>1315</v>
      </c>
      <c r="F6260" s="121" t="s">
        <v>3009</v>
      </c>
      <c r="G6260" s="98" t="str">
        <f>HYPERLINK("http://mirror.ff7data.com.ar/ff7/data/battle/battle.lgp/kwav.png","View Picture")</f>
        <v>View Picture</v>
      </c>
    </row>
    <row r="6261">
      <c r="A6261" s="55"/>
      <c r="B6261" s="119" t="s">
        <v>38296</v>
      </c>
      <c r="C6261" s="120" t="s">
        <v>4288</v>
      </c>
      <c r="D6261" s="33" t="s">
        <v>38289</v>
      </c>
      <c r="E6261" s="51" t="s">
        <v>1315</v>
      </c>
      <c r="F6261" s="121" t="s">
        <v>3009</v>
      </c>
      <c r="G6261" s="98" t="str">
        <f>HYPERLINK("http://mirror.ff7data.com.ar/ff7/data/battle/battle.lgp/kwax.png","View Picture")</f>
        <v>View Picture</v>
      </c>
    </row>
    <row r="6262">
      <c r="A6262" s="55"/>
      <c r="B6262" s="119" t="s">
        <v>38297</v>
      </c>
      <c r="C6262" s="120" t="s">
        <v>7894</v>
      </c>
      <c r="D6262" s="33" t="s">
        <v>38289</v>
      </c>
      <c r="E6262" s="51" t="s">
        <v>1315</v>
      </c>
      <c r="F6262" s="121" t="s">
        <v>3009</v>
      </c>
      <c r="G6262" s="98" t="str">
        <f>HYPERLINK("http://mirror.ff7data.com.ar/ff7/data/battle/battle.lgp/kwaz.png","View Picture")</f>
        <v>View Picture</v>
      </c>
    </row>
    <row r="6263">
      <c r="A6263" s="55"/>
      <c r="B6263" s="119" t="s">
        <v>38298</v>
      </c>
      <c r="C6263" s="120" t="s">
        <v>3412</v>
      </c>
      <c r="D6263" s="33" t="s">
        <v>38289</v>
      </c>
      <c r="E6263" s="51" t="s">
        <v>1315</v>
      </c>
      <c r="F6263" s="121" t="s">
        <v>3009</v>
      </c>
      <c r="G6263" s="98" t="str">
        <f>HYPERLINK("http://mirror.ff7data.com.ar/ff7/data/battle/battle.lgp/kwba.png","View Picture")</f>
        <v>View Picture</v>
      </c>
    </row>
    <row r="6264">
      <c r="A6264" s="55"/>
      <c r="B6264" s="119" t="s">
        <v>38299</v>
      </c>
      <c r="C6264" s="120" t="s">
        <v>3519</v>
      </c>
      <c r="D6264" s="33" t="s">
        <v>38289</v>
      </c>
      <c r="E6264" s="51" t="s">
        <v>1315</v>
      </c>
      <c r="F6264" s="121" t="s">
        <v>3009</v>
      </c>
      <c r="G6264" s="98" t="str">
        <f>HYPERLINK("http://mirror.ff7data.com.ar/ff7/data/battle/battle.lgp/kwbb.png","View Picture")</f>
        <v>View Picture</v>
      </c>
    </row>
    <row r="6265">
      <c r="A6265" s="55"/>
      <c r="B6265" s="119" t="s">
        <v>38300</v>
      </c>
      <c r="C6265" s="120" t="s">
        <v>3671</v>
      </c>
      <c r="D6265" s="33" t="s">
        <v>38289</v>
      </c>
      <c r="E6265" s="51" t="s">
        <v>1315</v>
      </c>
      <c r="F6265" s="121" t="s">
        <v>3009</v>
      </c>
      <c r="G6265" s="98" t="str">
        <f>HYPERLINK("http://mirror.ff7data.com.ar/ff7/data/battle/battle.lgp/kwbe.png","View Picture")</f>
        <v>View Picture</v>
      </c>
    </row>
    <row r="6266">
      <c r="A6266" s="55"/>
      <c r="B6266" s="119" t="s">
        <v>38301</v>
      </c>
      <c r="C6266" s="120" t="s">
        <v>3434</v>
      </c>
      <c r="D6266" s="33" t="s">
        <v>38289</v>
      </c>
      <c r="E6266" s="51" t="s">
        <v>1315</v>
      </c>
      <c r="F6266" s="121" t="s">
        <v>3009</v>
      </c>
      <c r="G6266" s="98" t="str">
        <f>HYPERLINK("http://mirror.ff7data.com.ar/ff7/data/battle/battle.lgp/kwbf.png","View Picture")</f>
        <v>View Picture</v>
      </c>
    </row>
    <row r="6267">
      <c r="A6267" s="55"/>
      <c r="B6267" s="119" t="s">
        <v>38302</v>
      </c>
      <c r="C6267" s="120" t="s">
        <v>4288</v>
      </c>
      <c r="D6267" s="33" t="s">
        <v>38289</v>
      </c>
      <c r="E6267" s="51" t="s">
        <v>1315</v>
      </c>
      <c r="F6267" s="121" t="s">
        <v>3009</v>
      </c>
      <c r="G6267" s="98" t="str">
        <f>HYPERLINK("http://mirror.ff7data.com.ar/ff7/data/battle/battle.lgp/kwbh.png","View Picture")</f>
        <v>View Picture</v>
      </c>
    </row>
    <row r="6268">
      <c r="A6268" s="55"/>
      <c r="B6268" s="119" t="s">
        <v>38303</v>
      </c>
      <c r="C6268" s="120" t="s">
        <v>4288</v>
      </c>
      <c r="D6268" s="33" t="s">
        <v>38289</v>
      </c>
      <c r="E6268" s="51" t="s">
        <v>1315</v>
      </c>
      <c r="F6268" s="121" t="s">
        <v>3009</v>
      </c>
      <c r="G6268" s="98" t="str">
        <f>HYPERLINK("http://mirror.ff7data.com.ar/ff7/data/battle/battle.lgp/kwbj.png","View Picture")</f>
        <v>View Picture</v>
      </c>
    </row>
    <row r="6269">
      <c r="A6269" s="55"/>
      <c r="B6269" s="119" t="s">
        <v>38304</v>
      </c>
      <c r="C6269" s="120" t="s">
        <v>4288</v>
      </c>
      <c r="D6269" s="33" t="s">
        <v>38289</v>
      </c>
      <c r="E6269" s="51" t="s">
        <v>1315</v>
      </c>
      <c r="F6269" s="121" t="s">
        <v>3009</v>
      </c>
      <c r="G6269" s="98" t="str">
        <f>HYPERLINK("http://mirror.ff7data.com.ar/ff7/data/battle/battle.lgp/kwbl.png","View Picture")</f>
        <v>View Picture</v>
      </c>
    </row>
    <row r="6270">
      <c r="A6270" s="55"/>
      <c r="B6270" s="119" t="s">
        <v>38305</v>
      </c>
      <c r="C6270" s="120" t="s">
        <v>12399</v>
      </c>
      <c r="D6270" s="33" t="s">
        <v>38289</v>
      </c>
      <c r="E6270" s="51" t="s">
        <v>1315</v>
      </c>
      <c r="F6270" s="121" t="s">
        <v>3009</v>
      </c>
      <c r="G6270" s="98" t="str">
        <f>HYPERLINK("http://mirror.ff7data.com.ar/ff7/data/battle/battle.lgp/kwbn.png","View Picture")</f>
        <v>View Picture</v>
      </c>
    </row>
    <row r="6271">
      <c r="A6271" s="55"/>
      <c r="B6271" s="119" t="s">
        <v>38306</v>
      </c>
      <c r="C6271" s="120" t="s">
        <v>7301</v>
      </c>
      <c r="D6271" s="33" t="s">
        <v>38289</v>
      </c>
      <c r="E6271" s="51" t="s">
        <v>1315</v>
      </c>
      <c r="F6271" s="121" t="s">
        <v>3009</v>
      </c>
      <c r="G6271" s="98" t="str">
        <f>HYPERLINK("http://mirror.ff7data.com.ar/ff7/data/battle/battle.lgp/kwbo.png","View Picture")</f>
        <v>View Picture</v>
      </c>
    </row>
    <row r="6272">
      <c r="A6272" s="55"/>
      <c r="B6272" s="119" t="s">
        <v>38307</v>
      </c>
      <c r="C6272" s="120" t="s">
        <v>3519</v>
      </c>
      <c r="D6272" s="33" t="s">
        <v>38289</v>
      </c>
      <c r="E6272" s="51" t="s">
        <v>1315</v>
      </c>
      <c r="F6272" s="121" t="s">
        <v>3009</v>
      </c>
      <c r="G6272" s="98" t="str">
        <f>HYPERLINK("http://mirror.ff7data.com.ar/ff7/data/battle/battle.lgp/kwbp.png","View Picture")</f>
        <v>View Picture</v>
      </c>
    </row>
    <row r="6273">
      <c r="A6273" s="55"/>
      <c r="B6273" s="119" t="s">
        <v>38308</v>
      </c>
      <c r="C6273" s="120" t="s">
        <v>4841</v>
      </c>
      <c r="D6273" s="33" t="s">
        <v>38289</v>
      </c>
      <c r="E6273" s="51" t="s">
        <v>1315</v>
      </c>
      <c r="F6273" s="121" t="s">
        <v>3025</v>
      </c>
      <c r="H6273" s="46" t="s">
        <v>3002</v>
      </c>
    </row>
    <row r="6274">
      <c r="A6274" s="21"/>
      <c r="B6274" s="119" t="s">
        <v>38309</v>
      </c>
      <c r="C6274" s="120" t="s">
        <v>2989</v>
      </c>
      <c r="D6274" s="33" t="s">
        <v>38286</v>
      </c>
      <c r="E6274" s="51" t="s">
        <v>1321</v>
      </c>
      <c r="F6274" s="121" t="s">
        <v>2971</v>
      </c>
      <c r="G6274" s="98" t="str">
        <f>HYPERLINK("http://mirror.ff7data.com.ar/ff7/data/battle/battle.lgp/kxaa.png","View Picture")</f>
        <v>View Picture</v>
      </c>
      <c r="H6274" s="46" t="s">
        <v>38310</v>
      </c>
    </row>
    <row r="6275">
      <c r="A6275" s="55"/>
      <c r="B6275" s="119" t="s">
        <v>38311</v>
      </c>
      <c r="C6275" s="120" t="s">
        <v>7375</v>
      </c>
      <c r="D6275" s="33" t="s">
        <v>38289</v>
      </c>
      <c r="E6275" s="51" t="s">
        <v>1321</v>
      </c>
      <c r="F6275" s="121" t="s">
        <v>2993</v>
      </c>
      <c r="H6275" s="46" t="s">
        <v>3002</v>
      </c>
    </row>
    <row r="6276">
      <c r="A6276" s="55"/>
      <c r="B6276" s="119" t="s">
        <v>38312</v>
      </c>
      <c r="C6276" s="120" t="s">
        <v>4046</v>
      </c>
      <c r="D6276" s="33" t="s">
        <v>38289</v>
      </c>
      <c r="E6276" s="51" t="s">
        <v>1321</v>
      </c>
      <c r="F6276" s="121" t="s">
        <v>3009</v>
      </c>
      <c r="G6276" s="98" t="str">
        <f>HYPERLINK("http://mirror.ff7data.com.ar/ff7/data/battle/battle.lgp/kxam.png","View Picture")</f>
        <v>View Picture</v>
      </c>
    </row>
    <row r="6277">
      <c r="A6277" s="55"/>
      <c r="B6277" s="119" t="s">
        <v>38313</v>
      </c>
      <c r="C6277" s="120" t="s">
        <v>5762</v>
      </c>
      <c r="D6277" s="33" t="s">
        <v>38289</v>
      </c>
      <c r="E6277" s="51" t="s">
        <v>1321</v>
      </c>
      <c r="F6277" s="121" t="s">
        <v>3009</v>
      </c>
      <c r="G6277" s="98" t="str">
        <f>HYPERLINK("http://mirror.ff7data.com.ar/ff7/data/battle/battle.lgp/kxan.png","View Picture")</f>
        <v>View Picture</v>
      </c>
    </row>
    <row r="6278">
      <c r="A6278" s="55"/>
      <c r="B6278" s="119" t="s">
        <v>38314</v>
      </c>
      <c r="C6278" s="120" t="s">
        <v>3671</v>
      </c>
      <c r="D6278" s="33" t="s">
        <v>38289</v>
      </c>
      <c r="E6278" s="51" t="s">
        <v>1321</v>
      </c>
      <c r="F6278" s="121" t="s">
        <v>3009</v>
      </c>
      <c r="G6278" s="98" t="str">
        <f>HYPERLINK("http://mirror.ff7data.com.ar/ff7/data/battle/battle.lgp/kxaq.png","View Picture")</f>
        <v>View Picture</v>
      </c>
    </row>
    <row r="6279">
      <c r="A6279" s="55"/>
      <c r="B6279" s="119" t="s">
        <v>38315</v>
      </c>
      <c r="C6279" s="120" t="s">
        <v>3465</v>
      </c>
      <c r="D6279" s="33" t="s">
        <v>38289</v>
      </c>
      <c r="E6279" s="51" t="s">
        <v>1321</v>
      </c>
      <c r="F6279" s="121" t="s">
        <v>3009</v>
      </c>
      <c r="G6279" s="98" t="str">
        <f>HYPERLINK("http://mirror.ff7data.com.ar/ff7/data/battle/battle.lgp/kxar.png","View Picture")</f>
        <v>View Picture</v>
      </c>
    </row>
    <row r="6280">
      <c r="A6280" s="55"/>
      <c r="B6280" s="119" t="s">
        <v>38316</v>
      </c>
      <c r="C6280" s="120" t="s">
        <v>4288</v>
      </c>
      <c r="D6280" s="33" t="s">
        <v>38289</v>
      </c>
      <c r="E6280" s="51" t="s">
        <v>1321</v>
      </c>
      <c r="F6280" s="121" t="s">
        <v>3009</v>
      </c>
      <c r="G6280" s="98" t="str">
        <f>HYPERLINK("http://mirror.ff7data.com.ar/ff7/data/battle/battle.lgp/kxat.png","View Picture")</f>
        <v>View Picture</v>
      </c>
    </row>
    <row r="6281">
      <c r="A6281" s="55"/>
      <c r="B6281" s="119" t="s">
        <v>38317</v>
      </c>
      <c r="C6281" s="120" t="s">
        <v>4288</v>
      </c>
      <c r="D6281" s="33" t="s">
        <v>38289</v>
      </c>
      <c r="E6281" s="51" t="s">
        <v>1321</v>
      </c>
      <c r="F6281" s="121" t="s">
        <v>3009</v>
      </c>
      <c r="G6281" s="98" t="str">
        <f>HYPERLINK("http://mirror.ff7data.com.ar/ff7/data/battle/battle.lgp/kxav.png","View Picture")</f>
        <v>View Picture</v>
      </c>
    </row>
    <row r="6282">
      <c r="A6282" s="55"/>
      <c r="B6282" s="119" t="s">
        <v>38318</v>
      </c>
      <c r="C6282" s="120" t="s">
        <v>4288</v>
      </c>
      <c r="D6282" s="33" t="s">
        <v>38289</v>
      </c>
      <c r="E6282" s="51" t="s">
        <v>1321</v>
      </c>
      <c r="F6282" s="121" t="s">
        <v>3009</v>
      </c>
      <c r="G6282" s="98" t="str">
        <f>HYPERLINK("http://mirror.ff7data.com.ar/ff7/data/battle/battle.lgp/kxax.png","View Picture")</f>
        <v>View Picture</v>
      </c>
    </row>
    <row r="6283">
      <c r="A6283" s="55"/>
      <c r="B6283" s="119" t="s">
        <v>38319</v>
      </c>
      <c r="C6283" s="120" t="s">
        <v>7894</v>
      </c>
      <c r="D6283" s="33" t="s">
        <v>38289</v>
      </c>
      <c r="E6283" s="51" t="s">
        <v>1321</v>
      </c>
      <c r="F6283" s="121" t="s">
        <v>3009</v>
      </c>
      <c r="G6283" s="98" t="str">
        <f>HYPERLINK("http://mirror.ff7data.com.ar/ff7/data/battle/battle.lgp/kxaz.png","View Picture")</f>
        <v>View Picture</v>
      </c>
    </row>
    <row r="6284">
      <c r="A6284" s="55"/>
      <c r="B6284" s="119" t="s">
        <v>38320</v>
      </c>
      <c r="C6284" s="120" t="s">
        <v>3412</v>
      </c>
      <c r="D6284" s="33" t="s">
        <v>38289</v>
      </c>
      <c r="E6284" s="51" t="s">
        <v>1321</v>
      </c>
      <c r="F6284" s="121" t="s">
        <v>3009</v>
      </c>
      <c r="G6284" s="98" t="str">
        <f>HYPERLINK("http://mirror.ff7data.com.ar/ff7/data/battle/battle.lgp/kxba.png","View Picture")</f>
        <v>View Picture</v>
      </c>
    </row>
    <row r="6285">
      <c r="A6285" s="55"/>
      <c r="B6285" s="119" t="s">
        <v>38321</v>
      </c>
      <c r="C6285" s="120" t="s">
        <v>3519</v>
      </c>
      <c r="D6285" s="33" t="s">
        <v>38289</v>
      </c>
      <c r="E6285" s="51" t="s">
        <v>1321</v>
      </c>
      <c r="F6285" s="121" t="s">
        <v>3009</v>
      </c>
      <c r="G6285" s="98" t="str">
        <f>HYPERLINK("http://mirror.ff7data.com.ar/ff7/data/battle/battle.lgp/kxbb.png","View Picture")</f>
        <v>View Picture</v>
      </c>
    </row>
    <row r="6286">
      <c r="A6286" s="55"/>
      <c r="B6286" s="119" t="s">
        <v>38322</v>
      </c>
      <c r="C6286" s="120" t="s">
        <v>3671</v>
      </c>
      <c r="D6286" s="33" t="s">
        <v>38289</v>
      </c>
      <c r="E6286" s="51" t="s">
        <v>1321</v>
      </c>
      <c r="F6286" s="121" t="s">
        <v>3009</v>
      </c>
      <c r="G6286" s="98" t="str">
        <f>HYPERLINK("http://mirror.ff7data.com.ar/ff7/data/battle/battle.lgp/kxbe.png","View Picture")</f>
        <v>View Picture</v>
      </c>
    </row>
    <row r="6287">
      <c r="A6287" s="55"/>
      <c r="B6287" s="119" t="s">
        <v>38323</v>
      </c>
      <c r="C6287" s="120" t="s">
        <v>3434</v>
      </c>
      <c r="D6287" s="33" t="s">
        <v>38289</v>
      </c>
      <c r="E6287" s="51" t="s">
        <v>1321</v>
      </c>
      <c r="F6287" s="121" t="s">
        <v>3009</v>
      </c>
      <c r="G6287" s="98" t="str">
        <f>HYPERLINK("http://mirror.ff7data.com.ar/ff7/data/battle/battle.lgp/kxbf.png","View Picture")</f>
        <v>View Picture</v>
      </c>
    </row>
    <row r="6288">
      <c r="A6288" s="55"/>
      <c r="B6288" s="119" t="s">
        <v>38324</v>
      </c>
      <c r="C6288" s="120" t="s">
        <v>4288</v>
      </c>
      <c r="D6288" s="33" t="s">
        <v>38289</v>
      </c>
      <c r="E6288" s="51" t="s">
        <v>1321</v>
      </c>
      <c r="F6288" s="121" t="s">
        <v>3009</v>
      </c>
      <c r="G6288" s="98" t="str">
        <f>HYPERLINK("http://mirror.ff7data.com.ar/ff7/data/battle/battle.lgp/kxbh.png","View Picture")</f>
        <v>View Picture</v>
      </c>
    </row>
    <row r="6289">
      <c r="A6289" s="55"/>
      <c r="B6289" s="119" t="s">
        <v>38325</v>
      </c>
      <c r="C6289" s="120" t="s">
        <v>4288</v>
      </c>
      <c r="D6289" s="33" t="s">
        <v>38289</v>
      </c>
      <c r="E6289" s="51" t="s">
        <v>1321</v>
      </c>
      <c r="F6289" s="121" t="s">
        <v>3009</v>
      </c>
      <c r="G6289" s="98" t="str">
        <f>HYPERLINK("http://mirror.ff7data.com.ar/ff7/data/battle/battle.lgp/kxbj.png","View Picture")</f>
        <v>View Picture</v>
      </c>
    </row>
    <row r="6290">
      <c r="A6290" s="55"/>
      <c r="B6290" s="119" t="s">
        <v>38326</v>
      </c>
      <c r="C6290" s="120" t="s">
        <v>4288</v>
      </c>
      <c r="D6290" s="33" t="s">
        <v>38289</v>
      </c>
      <c r="E6290" s="51" t="s">
        <v>1321</v>
      </c>
      <c r="F6290" s="121" t="s">
        <v>3009</v>
      </c>
      <c r="G6290" s="98" t="str">
        <f>HYPERLINK("http://mirror.ff7data.com.ar/ff7/data/battle/battle.lgp/kxbl.png","View Picture")</f>
        <v>View Picture</v>
      </c>
    </row>
    <row r="6291">
      <c r="A6291" s="55"/>
      <c r="B6291" s="119" t="s">
        <v>38327</v>
      </c>
      <c r="C6291" s="120" t="s">
        <v>12399</v>
      </c>
      <c r="D6291" s="33" t="s">
        <v>38289</v>
      </c>
      <c r="E6291" s="51" t="s">
        <v>1321</v>
      </c>
      <c r="F6291" s="121" t="s">
        <v>3009</v>
      </c>
      <c r="G6291" s="98" t="str">
        <f>HYPERLINK("http://mirror.ff7data.com.ar/ff7/data/battle/battle.lgp/kxbn.png","View Picture")</f>
        <v>View Picture</v>
      </c>
    </row>
    <row r="6292">
      <c r="A6292" s="55"/>
      <c r="B6292" s="119" t="s">
        <v>38328</v>
      </c>
      <c r="C6292" s="120" t="s">
        <v>7301</v>
      </c>
      <c r="D6292" s="33" t="s">
        <v>38289</v>
      </c>
      <c r="E6292" s="51" t="s">
        <v>1321</v>
      </c>
      <c r="F6292" s="121" t="s">
        <v>3009</v>
      </c>
      <c r="G6292" s="98" t="str">
        <f>HYPERLINK("http://mirror.ff7data.com.ar/ff7/data/battle/battle.lgp/kxbo.png","View Picture")</f>
        <v>View Picture</v>
      </c>
    </row>
    <row r="6293">
      <c r="A6293" s="55"/>
      <c r="B6293" s="119" t="s">
        <v>38329</v>
      </c>
      <c r="C6293" s="120" t="s">
        <v>3519</v>
      </c>
      <c r="D6293" s="33" t="s">
        <v>38289</v>
      </c>
      <c r="E6293" s="51" t="s">
        <v>1321</v>
      </c>
      <c r="F6293" s="121" t="s">
        <v>3009</v>
      </c>
      <c r="G6293" s="98" t="str">
        <f>HYPERLINK("http://mirror.ff7data.com.ar/ff7/data/battle/battle.lgp/kxbp.png","View Picture")</f>
        <v>View Picture</v>
      </c>
    </row>
    <row r="6294">
      <c r="A6294" s="55"/>
      <c r="B6294" s="119" t="s">
        <v>38330</v>
      </c>
      <c r="C6294" s="120" t="s">
        <v>4841</v>
      </c>
      <c r="D6294" s="33" t="s">
        <v>38289</v>
      </c>
      <c r="E6294" s="51" t="s">
        <v>1321</v>
      </c>
      <c r="F6294" s="121" t="s">
        <v>3025</v>
      </c>
      <c r="H6294" s="46" t="s">
        <v>3002</v>
      </c>
    </row>
    <row r="6295">
      <c r="A6295" s="21"/>
      <c r="B6295" s="119" t="s">
        <v>38331</v>
      </c>
      <c r="C6295" s="120" t="s">
        <v>2989</v>
      </c>
      <c r="D6295" s="33" t="s">
        <v>38286</v>
      </c>
      <c r="E6295" s="51" t="s">
        <v>1324</v>
      </c>
      <c r="F6295" s="121" t="s">
        <v>2971</v>
      </c>
      <c r="G6295" s="98" t="str">
        <f>HYPERLINK("http://mirror.ff7data.com.ar/ff7/data/battle/battle.lgp/kyaa.png","View Picture")</f>
        <v>View Picture</v>
      </c>
      <c r="H6295" s="46" t="s">
        <v>38332</v>
      </c>
    </row>
    <row r="6296">
      <c r="A6296" s="55"/>
      <c r="B6296" s="119" t="s">
        <v>38333</v>
      </c>
      <c r="C6296" s="120" t="s">
        <v>7375</v>
      </c>
      <c r="D6296" s="33" t="s">
        <v>38289</v>
      </c>
      <c r="E6296" s="51" t="s">
        <v>1324</v>
      </c>
      <c r="F6296" s="121" t="s">
        <v>2993</v>
      </c>
      <c r="H6296" s="46" t="s">
        <v>3002</v>
      </c>
    </row>
    <row r="6297">
      <c r="A6297" s="55"/>
      <c r="B6297" s="119" t="s">
        <v>38334</v>
      </c>
      <c r="C6297" s="120" t="s">
        <v>4046</v>
      </c>
      <c r="D6297" s="33" t="s">
        <v>38289</v>
      </c>
      <c r="E6297" s="51" t="s">
        <v>1324</v>
      </c>
      <c r="F6297" s="121" t="s">
        <v>3009</v>
      </c>
      <c r="G6297" s="98" t="str">
        <f>HYPERLINK("http://mirror.ff7data.com.ar/ff7/data/battle/battle.lgp/kyam.png","View Picture")</f>
        <v>View Picture</v>
      </c>
    </row>
    <row r="6298">
      <c r="A6298" s="55"/>
      <c r="B6298" s="119" t="s">
        <v>38335</v>
      </c>
      <c r="C6298" s="120" t="s">
        <v>5762</v>
      </c>
      <c r="D6298" s="33" t="s">
        <v>38289</v>
      </c>
      <c r="E6298" s="51" t="s">
        <v>1324</v>
      </c>
      <c r="F6298" s="121" t="s">
        <v>3009</v>
      </c>
      <c r="G6298" s="98" t="str">
        <f>HYPERLINK("http://mirror.ff7data.com.ar/ff7/data/battle/battle.lgp/kyan.png","View Picture")</f>
        <v>View Picture</v>
      </c>
    </row>
    <row r="6299">
      <c r="A6299" s="55"/>
      <c r="B6299" s="119" t="s">
        <v>38336</v>
      </c>
      <c r="C6299" s="120" t="s">
        <v>3671</v>
      </c>
      <c r="D6299" s="33" t="s">
        <v>38289</v>
      </c>
      <c r="E6299" s="51" t="s">
        <v>1324</v>
      </c>
      <c r="F6299" s="121" t="s">
        <v>3009</v>
      </c>
      <c r="G6299" s="98" t="str">
        <f>HYPERLINK("http://mirror.ff7data.com.ar/ff7/data/battle/battle.lgp/kyaq.png","View Picture")</f>
        <v>View Picture</v>
      </c>
    </row>
    <row r="6300">
      <c r="A6300" s="55"/>
      <c r="B6300" s="119" t="s">
        <v>38337</v>
      </c>
      <c r="C6300" s="120" t="s">
        <v>3465</v>
      </c>
      <c r="D6300" s="33" t="s">
        <v>38289</v>
      </c>
      <c r="E6300" s="51" t="s">
        <v>1324</v>
      </c>
      <c r="F6300" s="121" t="s">
        <v>3009</v>
      </c>
      <c r="G6300" s="98" t="str">
        <f>HYPERLINK("http://mirror.ff7data.com.ar/ff7/data/battle/battle.lgp/kyar.png","View Picture")</f>
        <v>View Picture</v>
      </c>
    </row>
    <row r="6301">
      <c r="A6301" s="55"/>
      <c r="B6301" s="119" t="s">
        <v>38338</v>
      </c>
      <c r="C6301" s="120" t="s">
        <v>4288</v>
      </c>
      <c r="D6301" s="33" t="s">
        <v>38289</v>
      </c>
      <c r="E6301" s="51" t="s">
        <v>1324</v>
      </c>
      <c r="F6301" s="121" t="s">
        <v>3009</v>
      </c>
      <c r="G6301" s="98" t="str">
        <f>HYPERLINK("http://mirror.ff7data.com.ar/ff7/data/battle/battle.lgp/kyat.png","View Picture")</f>
        <v>View Picture</v>
      </c>
    </row>
    <row r="6302">
      <c r="A6302" s="55"/>
      <c r="B6302" s="119" t="s">
        <v>38339</v>
      </c>
      <c r="C6302" s="120" t="s">
        <v>4288</v>
      </c>
      <c r="D6302" s="33" t="s">
        <v>38289</v>
      </c>
      <c r="E6302" s="51" t="s">
        <v>1324</v>
      </c>
      <c r="F6302" s="121" t="s">
        <v>3009</v>
      </c>
      <c r="G6302" s="98" t="str">
        <f>HYPERLINK("http://mirror.ff7data.com.ar/ff7/data/battle/battle.lgp/kyav.png","View Picture")</f>
        <v>View Picture</v>
      </c>
    </row>
    <row r="6303">
      <c r="A6303" s="55"/>
      <c r="B6303" s="119" t="s">
        <v>38340</v>
      </c>
      <c r="C6303" s="120" t="s">
        <v>4288</v>
      </c>
      <c r="D6303" s="33" t="s">
        <v>38289</v>
      </c>
      <c r="E6303" s="51" t="s">
        <v>1324</v>
      </c>
      <c r="F6303" s="121" t="s">
        <v>3009</v>
      </c>
      <c r="G6303" s="98" t="str">
        <f>HYPERLINK("http://mirror.ff7data.com.ar/ff7/data/battle/battle.lgp/kyax.png","View Picture")</f>
        <v>View Picture</v>
      </c>
    </row>
    <row r="6304">
      <c r="A6304" s="55"/>
      <c r="B6304" s="119" t="s">
        <v>38341</v>
      </c>
      <c r="C6304" s="120" t="s">
        <v>7894</v>
      </c>
      <c r="D6304" s="33" t="s">
        <v>38289</v>
      </c>
      <c r="E6304" s="51" t="s">
        <v>1324</v>
      </c>
      <c r="F6304" s="121" t="s">
        <v>3009</v>
      </c>
      <c r="G6304" s="98" t="str">
        <f>HYPERLINK("http://mirror.ff7data.com.ar/ff7/data/battle/battle.lgp/kyaz.png","View Picture")</f>
        <v>View Picture</v>
      </c>
    </row>
    <row r="6305">
      <c r="A6305" s="55"/>
      <c r="B6305" s="119" t="s">
        <v>38342</v>
      </c>
      <c r="C6305" s="120" t="s">
        <v>3412</v>
      </c>
      <c r="D6305" s="33" t="s">
        <v>38289</v>
      </c>
      <c r="E6305" s="51" t="s">
        <v>1324</v>
      </c>
      <c r="F6305" s="121" t="s">
        <v>3009</v>
      </c>
      <c r="G6305" s="98" t="str">
        <f>HYPERLINK("http://mirror.ff7data.com.ar/ff7/data/battle/battle.lgp/kyba.png","View Picture")</f>
        <v>View Picture</v>
      </c>
    </row>
    <row r="6306">
      <c r="A6306" s="55"/>
      <c r="B6306" s="119" t="s">
        <v>38343</v>
      </c>
      <c r="C6306" s="120" t="s">
        <v>3519</v>
      </c>
      <c r="D6306" s="33" t="s">
        <v>38289</v>
      </c>
      <c r="E6306" s="51" t="s">
        <v>1324</v>
      </c>
      <c r="F6306" s="121" t="s">
        <v>3009</v>
      </c>
      <c r="G6306" s="98" t="str">
        <f>HYPERLINK("http://mirror.ff7data.com.ar/ff7/data/battle/battle.lgp/kybb.png","View Picture")</f>
        <v>View Picture</v>
      </c>
    </row>
    <row r="6307">
      <c r="A6307" s="55"/>
      <c r="B6307" s="119" t="s">
        <v>38344</v>
      </c>
      <c r="C6307" s="120" t="s">
        <v>3671</v>
      </c>
      <c r="D6307" s="33" t="s">
        <v>38289</v>
      </c>
      <c r="E6307" s="51" t="s">
        <v>1324</v>
      </c>
      <c r="F6307" s="121" t="s">
        <v>3009</v>
      </c>
      <c r="G6307" s="98" t="str">
        <f>HYPERLINK("http://mirror.ff7data.com.ar/ff7/data/battle/battle.lgp/kybe.png","View Picture")</f>
        <v>View Picture</v>
      </c>
    </row>
    <row r="6308">
      <c r="A6308" s="55"/>
      <c r="B6308" s="119" t="s">
        <v>38345</v>
      </c>
      <c r="C6308" s="120" t="s">
        <v>3434</v>
      </c>
      <c r="D6308" s="33" t="s">
        <v>38289</v>
      </c>
      <c r="E6308" s="51" t="s">
        <v>1324</v>
      </c>
      <c r="F6308" s="121" t="s">
        <v>3009</v>
      </c>
      <c r="G6308" s="98" t="str">
        <f>HYPERLINK("http://mirror.ff7data.com.ar/ff7/data/battle/battle.lgp/kybf.png","View Picture")</f>
        <v>View Picture</v>
      </c>
    </row>
    <row r="6309">
      <c r="A6309" s="55"/>
      <c r="B6309" s="119" t="s">
        <v>38346</v>
      </c>
      <c r="C6309" s="120" t="s">
        <v>4288</v>
      </c>
      <c r="D6309" s="33" t="s">
        <v>38289</v>
      </c>
      <c r="E6309" s="51" t="s">
        <v>1324</v>
      </c>
      <c r="F6309" s="121" t="s">
        <v>3009</v>
      </c>
      <c r="G6309" s="98" t="str">
        <f>HYPERLINK("http://mirror.ff7data.com.ar/ff7/data/battle/battle.lgp/kybh.png","View Picture")</f>
        <v>View Picture</v>
      </c>
    </row>
    <row r="6310">
      <c r="A6310" s="55"/>
      <c r="B6310" s="119" t="s">
        <v>38347</v>
      </c>
      <c r="C6310" s="120" t="s">
        <v>4288</v>
      </c>
      <c r="D6310" s="33" t="s">
        <v>38289</v>
      </c>
      <c r="E6310" s="51" t="s">
        <v>1324</v>
      </c>
      <c r="F6310" s="121" t="s">
        <v>3009</v>
      </c>
      <c r="G6310" s="98" t="str">
        <f>HYPERLINK("http://mirror.ff7data.com.ar/ff7/data/battle/battle.lgp/kybj.png","View Picture")</f>
        <v>View Picture</v>
      </c>
    </row>
    <row r="6311">
      <c r="A6311" s="55"/>
      <c r="B6311" s="119" t="s">
        <v>38348</v>
      </c>
      <c r="C6311" s="120" t="s">
        <v>4288</v>
      </c>
      <c r="D6311" s="33" t="s">
        <v>38289</v>
      </c>
      <c r="E6311" s="51" t="s">
        <v>1324</v>
      </c>
      <c r="F6311" s="121" t="s">
        <v>3009</v>
      </c>
      <c r="G6311" s="98" t="str">
        <f>HYPERLINK("http://mirror.ff7data.com.ar/ff7/data/battle/battle.lgp/kybl.png","View Picture")</f>
        <v>View Picture</v>
      </c>
    </row>
    <row r="6312">
      <c r="A6312" s="55"/>
      <c r="B6312" s="119" t="s">
        <v>38349</v>
      </c>
      <c r="C6312" s="120" t="s">
        <v>12399</v>
      </c>
      <c r="D6312" s="33" t="s">
        <v>38289</v>
      </c>
      <c r="E6312" s="51" t="s">
        <v>1324</v>
      </c>
      <c r="F6312" s="121" t="s">
        <v>3009</v>
      </c>
      <c r="G6312" s="98" t="str">
        <f>HYPERLINK("http://mirror.ff7data.com.ar/ff7/data/battle/battle.lgp/kybn.png","View Picture")</f>
        <v>View Picture</v>
      </c>
    </row>
    <row r="6313">
      <c r="A6313" s="55"/>
      <c r="B6313" s="119" t="s">
        <v>38350</v>
      </c>
      <c r="C6313" s="120" t="s">
        <v>7301</v>
      </c>
      <c r="D6313" s="33" t="s">
        <v>38289</v>
      </c>
      <c r="E6313" s="51" t="s">
        <v>1324</v>
      </c>
      <c r="F6313" s="121" t="s">
        <v>3009</v>
      </c>
      <c r="G6313" s="98" t="str">
        <f>HYPERLINK("http://mirror.ff7data.com.ar/ff7/data/battle/battle.lgp/kybo.png","View Picture")</f>
        <v>View Picture</v>
      </c>
    </row>
    <row r="6314">
      <c r="A6314" s="55"/>
      <c r="B6314" s="119" t="s">
        <v>38351</v>
      </c>
      <c r="C6314" s="120" t="s">
        <v>3519</v>
      </c>
      <c r="D6314" s="33" t="s">
        <v>38289</v>
      </c>
      <c r="E6314" s="51" t="s">
        <v>1324</v>
      </c>
      <c r="F6314" s="121" t="s">
        <v>3009</v>
      </c>
      <c r="G6314" s="98" t="str">
        <f>HYPERLINK("http://mirror.ff7data.com.ar/ff7/data/battle/battle.lgp/kybp.png","View Picture")</f>
        <v>View Picture</v>
      </c>
    </row>
    <row r="6315">
      <c r="A6315" s="55"/>
      <c r="B6315" s="119" t="s">
        <v>38352</v>
      </c>
      <c r="C6315" s="120" t="s">
        <v>4841</v>
      </c>
      <c r="D6315" s="33" t="s">
        <v>38289</v>
      </c>
      <c r="E6315" s="51" t="s">
        <v>1324</v>
      </c>
      <c r="F6315" s="121" t="s">
        <v>3025</v>
      </c>
      <c r="H6315" s="46" t="s">
        <v>3002</v>
      </c>
    </row>
    <row r="6316">
      <c r="A6316" s="21"/>
      <c r="B6316" s="119" t="s">
        <v>38353</v>
      </c>
      <c r="C6316" s="120" t="s">
        <v>8004</v>
      </c>
      <c r="D6316" s="33" t="s">
        <v>38354</v>
      </c>
      <c r="E6316" s="51" t="s">
        <v>1328</v>
      </c>
      <c r="F6316" s="121" t="s">
        <v>2971</v>
      </c>
      <c r="G6316" s="98" t="str">
        <f>HYPERLINK("http://mirror.ff7data.com.ar/ff7/data/battle/battle.lgp/kzaa.png","View Picture")</f>
        <v>View Picture</v>
      </c>
    </row>
    <row r="6317">
      <c r="A6317" s="55"/>
      <c r="B6317" s="119" t="s">
        <v>38355</v>
      </c>
      <c r="C6317" s="120" t="s">
        <v>4468</v>
      </c>
      <c r="D6317" s="33" t="s">
        <v>38356</v>
      </c>
      <c r="E6317" s="51" t="s">
        <v>1328</v>
      </c>
      <c r="F6317" s="121" t="s">
        <v>2993</v>
      </c>
      <c r="H6317" s="46" t="s">
        <v>3002</v>
      </c>
    </row>
    <row r="6318">
      <c r="A6318" s="55"/>
      <c r="B6318" s="119" t="s">
        <v>38357</v>
      </c>
      <c r="C6318" s="120" t="s">
        <v>5419</v>
      </c>
      <c r="D6318" s="33" t="s">
        <v>38356</v>
      </c>
      <c r="E6318" s="51" t="s">
        <v>1328</v>
      </c>
      <c r="F6318" s="121" t="s">
        <v>3009</v>
      </c>
      <c r="G6318" s="98" t="str">
        <f>HYPERLINK("http://mirror.ff7data.com.ar/ff7/data/battle/battle.lgp/kzam.png","View Picture")</f>
        <v>View Picture</v>
      </c>
    </row>
    <row r="6319">
      <c r="A6319" s="55"/>
      <c r="B6319" s="119" t="s">
        <v>38358</v>
      </c>
      <c r="C6319" s="120" t="s">
        <v>4372</v>
      </c>
      <c r="D6319" s="33" t="s">
        <v>38356</v>
      </c>
      <c r="E6319" s="51" t="s">
        <v>1328</v>
      </c>
      <c r="F6319" s="121" t="s">
        <v>3009</v>
      </c>
      <c r="G6319" s="98" t="str">
        <f>HYPERLINK("http://mirror.ff7data.com.ar/ff7/data/battle/battle.lgp/kzan.png","View Picture")</f>
        <v>View Picture</v>
      </c>
    </row>
    <row r="6320">
      <c r="A6320" s="55"/>
      <c r="B6320" s="119" t="s">
        <v>38359</v>
      </c>
      <c r="C6320" s="120" t="s">
        <v>4372</v>
      </c>
      <c r="D6320" s="33" t="s">
        <v>38356</v>
      </c>
      <c r="E6320" s="51" t="s">
        <v>1328</v>
      </c>
      <c r="F6320" s="121" t="s">
        <v>3009</v>
      </c>
      <c r="G6320" s="98" t="str">
        <f>HYPERLINK("http://mirror.ff7data.com.ar/ff7/data/battle/battle.lgp/kzao.png","View Picture")</f>
        <v>View Picture</v>
      </c>
    </row>
    <row r="6321">
      <c r="A6321" s="55"/>
      <c r="B6321" s="119" t="s">
        <v>38360</v>
      </c>
      <c r="C6321" s="120" t="s">
        <v>4372</v>
      </c>
      <c r="D6321" s="33" t="s">
        <v>38356</v>
      </c>
      <c r="E6321" s="51" t="s">
        <v>1328</v>
      </c>
      <c r="F6321" s="121" t="s">
        <v>3009</v>
      </c>
      <c r="G6321" s="98" t="str">
        <f>HYPERLINK("http://mirror.ff7data.com.ar/ff7/data/battle/battle.lgp/kzap.png","View Picture")</f>
        <v>View Picture</v>
      </c>
    </row>
    <row r="6322">
      <c r="A6322" s="55"/>
      <c r="B6322" s="119" t="s">
        <v>38361</v>
      </c>
      <c r="C6322" s="120" t="s">
        <v>4476</v>
      </c>
      <c r="D6322" s="33" t="s">
        <v>38356</v>
      </c>
      <c r="E6322" s="51" t="s">
        <v>1328</v>
      </c>
      <c r="F6322" s="121" t="s">
        <v>3009</v>
      </c>
      <c r="G6322" s="98" t="str">
        <f>HYPERLINK("http://mirror.ff7data.com.ar/ff7/data/battle/battle.lgp/kzaq.png","View Picture")</f>
        <v>View Picture</v>
      </c>
    </row>
    <row r="6323">
      <c r="A6323" s="55"/>
      <c r="B6323" s="119" t="s">
        <v>38362</v>
      </c>
      <c r="C6323" s="120" t="s">
        <v>3355</v>
      </c>
      <c r="D6323" s="33" t="s">
        <v>38356</v>
      </c>
      <c r="E6323" s="51" t="s">
        <v>1328</v>
      </c>
      <c r="F6323" s="121" t="s">
        <v>3009</v>
      </c>
      <c r="G6323" s="98" t="str">
        <f>HYPERLINK("http://mirror.ff7data.com.ar/ff7/data/battle/battle.lgp/kzar.png","View Picture")</f>
        <v>View Picture</v>
      </c>
    </row>
    <row r="6324">
      <c r="A6324" s="55"/>
      <c r="B6324" s="119" t="s">
        <v>38363</v>
      </c>
      <c r="C6324" s="120" t="s">
        <v>3355</v>
      </c>
      <c r="D6324" s="33" t="s">
        <v>38356</v>
      </c>
      <c r="E6324" s="51" t="s">
        <v>1328</v>
      </c>
      <c r="F6324" s="121" t="s">
        <v>3009</v>
      </c>
      <c r="G6324" s="98" t="str">
        <f>HYPERLINK("http://mirror.ff7data.com.ar/ff7/data/battle/battle.lgp/kzat.png","View Picture")</f>
        <v>View Picture</v>
      </c>
    </row>
    <row r="6325">
      <c r="A6325" s="55"/>
      <c r="B6325" s="119" t="s">
        <v>38364</v>
      </c>
      <c r="C6325" s="120" t="s">
        <v>4372</v>
      </c>
      <c r="D6325" s="33" t="s">
        <v>38356</v>
      </c>
      <c r="E6325" s="51" t="s">
        <v>1328</v>
      </c>
      <c r="F6325" s="121" t="s">
        <v>3009</v>
      </c>
      <c r="G6325" s="98" t="str">
        <f>HYPERLINK("http://mirror.ff7data.com.ar/ff7/data/battle/battle.lgp/kzau.png","View Picture")</f>
        <v>View Picture</v>
      </c>
    </row>
    <row r="6326">
      <c r="A6326" s="55"/>
      <c r="B6326" s="119" t="s">
        <v>38365</v>
      </c>
      <c r="C6326" s="120" t="s">
        <v>3749</v>
      </c>
      <c r="D6326" s="33" t="s">
        <v>38356</v>
      </c>
      <c r="E6326" s="51" t="s">
        <v>1328</v>
      </c>
      <c r="F6326" s="121" t="s">
        <v>3009</v>
      </c>
      <c r="G6326" s="98" t="str">
        <f>HYPERLINK("http://mirror.ff7data.com.ar/ff7/data/battle/battle.lgp/kzav.png","View Picture")</f>
        <v>View Picture</v>
      </c>
    </row>
    <row r="6327">
      <c r="A6327" s="55"/>
      <c r="B6327" s="119" t="s">
        <v>38366</v>
      </c>
      <c r="C6327" s="120" t="s">
        <v>3723</v>
      </c>
      <c r="D6327" s="33" t="s">
        <v>38356</v>
      </c>
      <c r="E6327" s="51" t="s">
        <v>1328</v>
      </c>
      <c r="F6327" s="121" t="s">
        <v>3009</v>
      </c>
      <c r="G6327" s="98" t="str">
        <f>HYPERLINK("http://mirror.ff7data.com.ar/ff7/data/battle/battle.lgp/kzaw.png","View Picture")</f>
        <v>View Picture</v>
      </c>
    </row>
    <row r="6328">
      <c r="A6328" s="55"/>
      <c r="B6328" s="119" t="s">
        <v>38367</v>
      </c>
      <c r="C6328" s="120" t="s">
        <v>7301</v>
      </c>
      <c r="D6328" s="33" t="s">
        <v>38356</v>
      </c>
      <c r="E6328" s="51" t="s">
        <v>1328</v>
      </c>
      <c r="F6328" s="121" t="s">
        <v>3009</v>
      </c>
      <c r="G6328" s="98" t="str">
        <f>HYPERLINK("http://mirror.ff7data.com.ar/ff7/data/battle/battle.lgp/kzay.png","View Picture")</f>
        <v>View Picture</v>
      </c>
    </row>
    <row r="6329">
      <c r="A6329" s="55"/>
      <c r="B6329" s="119" t="s">
        <v>38368</v>
      </c>
      <c r="C6329" s="120" t="s">
        <v>4372</v>
      </c>
      <c r="D6329" s="33" t="s">
        <v>38356</v>
      </c>
      <c r="E6329" s="51" t="s">
        <v>1328</v>
      </c>
      <c r="F6329" s="121" t="s">
        <v>3009</v>
      </c>
      <c r="G6329" s="98" t="str">
        <f>HYPERLINK("http://mirror.ff7data.com.ar/ff7/data/battle/battle.lgp/kzaz.png","View Picture")</f>
        <v>View Picture</v>
      </c>
    </row>
    <row r="6330">
      <c r="A6330" s="55"/>
      <c r="B6330" s="119" t="s">
        <v>38369</v>
      </c>
      <c r="C6330" s="120" t="s">
        <v>4396</v>
      </c>
      <c r="D6330" s="33" t="s">
        <v>38356</v>
      </c>
      <c r="E6330" s="51" t="s">
        <v>1328</v>
      </c>
      <c r="F6330" s="121" t="s">
        <v>3009</v>
      </c>
      <c r="G6330" s="98" t="str">
        <f>HYPERLINK("http://mirror.ff7data.com.ar/ff7/data/battle/battle.lgp/kzba.png","View Picture")</f>
        <v>View Picture</v>
      </c>
    </row>
    <row r="6331">
      <c r="A6331" s="55"/>
      <c r="B6331" s="119" t="s">
        <v>38370</v>
      </c>
      <c r="C6331" s="120" t="s">
        <v>3723</v>
      </c>
      <c r="D6331" s="33" t="s">
        <v>38356</v>
      </c>
      <c r="E6331" s="51" t="s">
        <v>1328</v>
      </c>
      <c r="F6331" s="121" t="s">
        <v>3009</v>
      </c>
      <c r="G6331" s="98" t="str">
        <f>HYPERLINK("http://mirror.ff7data.com.ar/ff7/data/battle/battle.lgp/kzbb.png","View Picture")</f>
        <v>View Picture</v>
      </c>
    </row>
    <row r="6332">
      <c r="A6332" s="55"/>
      <c r="B6332" s="119" t="s">
        <v>38371</v>
      </c>
      <c r="C6332" s="120" t="s">
        <v>4252</v>
      </c>
      <c r="D6332" s="33" t="s">
        <v>38356</v>
      </c>
      <c r="E6332" s="51" t="s">
        <v>1328</v>
      </c>
      <c r="F6332" s="121" t="s">
        <v>3009</v>
      </c>
      <c r="G6332" s="98" t="str">
        <f>HYPERLINK("http://mirror.ff7data.com.ar/ff7/data/battle/battle.lgp/kzbc.png","View Picture")</f>
        <v>View Picture</v>
      </c>
    </row>
    <row r="6333">
      <c r="A6333" s="55"/>
      <c r="B6333" s="119" t="s">
        <v>38372</v>
      </c>
      <c r="C6333" s="120" t="s">
        <v>14980</v>
      </c>
      <c r="D6333" s="33" t="s">
        <v>38356</v>
      </c>
      <c r="E6333" s="51" t="s">
        <v>1328</v>
      </c>
      <c r="F6333" s="121" t="s">
        <v>3009</v>
      </c>
      <c r="G6333" s="98" t="str">
        <f>HYPERLINK("http://mirror.ff7data.com.ar/ff7/data/battle/battle.lgp/kzbd.png","View Picture")</f>
        <v>View Picture</v>
      </c>
    </row>
    <row r="6334">
      <c r="A6334" s="55"/>
      <c r="B6334" s="119" t="s">
        <v>38373</v>
      </c>
      <c r="C6334" s="120" t="s">
        <v>3355</v>
      </c>
      <c r="D6334" s="33" t="s">
        <v>38356</v>
      </c>
      <c r="E6334" s="51" t="s">
        <v>1328</v>
      </c>
      <c r="F6334" s="121" t="s">
        <v>3009</v>
      </c>
      <c r="G6334" s="98" t="str">
        <f>HYPERLINK("http://mirror.ff7data.com.ar/ff7/data/battle/battle.lgp/kzbe.png","View Picture")</f>
        <v>View Picture</v>
      </c>
    </row>
    <row r="6335">
      <c r="A6335" s="55"/>
      <c r="B6335" s="119" t="s">
        <v>38374</v>
      </c>
      <c r="C6335" s="120" t="s">
        <v>3573</v>
      </c>
      <c r="D6335" s="33" t="s">
        <v>38356</v>
      </c>
      <c r="E6335" s="51" t="s">
        <v>1328</v>
      </c>
      <c r="F6335" s="121" t="s">
        <v>3009</v>
      </c>
      <c r="G6335" s="98" t="str">
        <f>HYPERLINK("http://mirror.ff7data.com.ar/ff7/data/battle/battle.lgp/kzbf.png","View Picture")</f>
        <v>View Picture</v>
      </c>
    </row>
    <row r="6336">
      <c r="A6336" s="55"/>
      <c r="B6336" s="119" t="s">
        <v>38375</v>
      </c>
      <c r="C6336" s="120" t="s">
        <v>3749</v>
      </c>
      <c r="D6336" s="33" t="s">
        <v>38356</v>
      </c>
      <c r="E6336" s="51" t="s">
        <v>1328</v>
      </c>
      <c r="F6336" s="121" t="s">
        <v>3009</v>
      </c>
      <c r="G6336" s="98" t="str">
        <f>HYPERLINK("http://mirror.ff7data.com.ar/ff7/data/battle/battle.lgp/kzbg.png","View Picture")</f>
        <v>View Picture</v>
      </c>
    </row>
    <row r="6337">
      <c r="A6337" s="55"/>
      <c r="B6337" s="119" t="s">
        <v>38376</v>
      </c>
      <c r="C6337" s="120" t="s">
        <v>4476</v>
      </c>
      <c r="D6337" s="33" t="s">
        <v>38356</v>
      </c>
      <c r="E6337" s="51" t="s">
        <v>1328</v>
      </c>
      <c r="F6337" s="121" t="s">
        <v>3009</v>
      </c>
      <c r="G6337" s="98" t="str">
        <f>HYPERLINK("http://mirror.ff7data.com.ar/ff7/data/battle/battle.lgp/kzbi.png","View Picture")</f>
        <v>View Picture</v>
      </c>
    </row>
    <row r="6338">
      <c r="A6338" s="55"/>
      <c r="B6338" s="119" t="s">
        <v>38377</v>
      </c>
      <c r="C6338" s="120" t="s">
        <v>4288</v>
      </c>
      <c r="D6338" s="33" t="s">
        <v>38356</v>
      </c>
      <c r="E6338" s="51" t="s">
        <v>1328</v>
      </c>
      <c r="F6338" s="121" t="s">
        <v>3009</v>
      </c>
      <c r="G6338" s="98" t="str">
        <f>HYPERLINK("http://mirror.ff7data.com.ar/ff7/data/battle/battle.lgp/kzbj.png","View Picture")</f>
        <v>View Picture</v>
      </c>
    </row>
    <row r="6339">
      <c r="A6339" s="55"/>
      <c r="B6339" s="119" t="s">
        <v>38378</v>
      </c>
      <c r="C6339" s="120" t="s">
        <v>4476</v>
      </c>
      <c r="D6339" s="33" t="s">
        <v>38356</v>
      </c>
      <c r="E6339" s="51" t="s">
        <v>1328</v>
      </c>
      <c r="F6339" s="121" t="s">
        <v>3009</v>
      </c>
      <c r="G6339" s="98" t="str">
        <f>HYPERLINK("http://mirror.ff7data.com.ar/ff7/data/battle/battle.lgp/kzbl.png","View Picture")</f>
        <v>View Picture</v>
      </c>
    </row>
    <row r="6340">
      <c r="A6340" s="55"/>
      <c r="B6340" s="119" t="s">
        <v>38379</v>
      </c>
      <c r="C6340" s="120" t="s">
        <v>4288</v>
      </c>
      <c r="D6340" s="33" t="s">
        <v>38356</v>
      </c>
      <c r="E6340" s="51" t="s">
        <v>1328</v>
      </c>
      <c r="F6340" s="121" t="s">
        <v>3009</v>
      </c>
      <c r="G6340" s="98" t="str">
        <f>HYPERLINK("http://mirror.ff7data.com.ar/ff7/data/battle/battle.lgp/kzbm.png","View Picture")</f>
        <v>View Picture</v>
      </c>
    </row>
    <row r="6341">
      <c r="A6341" s="55"/>
      <c r="B6341" s="119" t="s">
        <v>38380</v>
      </c>
      <c r="C6341" s="120" t="s">
        <v>4439</v>
      </c>
      <c r="D6341" s="33" t="s">
        <v>38356</v>
      </c>
      <c r="E6341" s="51" t="s">
        <v>1328</v>
      </c>
      <c r="F6341" s="121" t="s">
        <v>3009</v>
      </c>
      <c r="G6341" s="98" t="str">
        <f>HYPERLINK("http://mirror.ff7data.com.ar/ff7/data/battle/battle.lgp/kzbo.png","View Picture")</f>
        <v>View Picture</v>
      </c>
    </row>
    <row r="6342">
      <c r="A6342" s="55"/>
      <c r="B6342" s="119" t="s">
        <v>38381</v>
      </c>
      <c r="C6342" s="120" t="s">
        <v>3412</v>
      </c>
      <c r="D6342" s="33" t="s">
        <v>38356</v>
      </c>
      <c r="E6342" s="51" t="s">
        <v>1328</v>
      </c>
      <c r="F6342" s="121" t="s">
        <v>3009</v>
      </c>
      <c r="G6342" s="98" t="str">
        <f>HYPERLINK("http://mirror.ff7data.com.ar/ff7/data/battle/battle.lgp/kzbq.png","View Picture")</f>
        <v>View Picture</v>
      </c>
    </row>
    <row r="6343">
      <c r="A6343" s="55"/>
      <c r="B6343" s="119" t="s">
        <v>38382</v>
      </c>
      <c r="C6343" s="120" t="s">
        <v>3648</v>
      </c>
      <c r="D6343" s="33" t="s">
        <v>38356</v>
      </c>
      <c r="E6343" s="51" t="s">
        <v>1328</v>
      </c>
      <c r="F6343" s="121" t="s">
        <v>3009</v>
      </c>
      <c r="G6343" s="98" t="str">
        <f>HYPERLINK("http://mirror.ff7data.com.ar/ff7/data/battle/battle.lgp/kzbr.png","View Picture")</f>
        <v>View Picture</v>
      </c>
    </row>
    <row r="6344">
      <c r="A6344" s="55"/>
      <c r="B6344" s="119" t="s">
        <v>38383</v>
      </c>
      <c r="C6344" s="120" t="s">
        <v>5891</v>
      </c>
      <c r="D6344" s="33" t="s">
        <v>38356</v>
      </c>
      <c r="E6344" s="51" t="s">
        <v>1328</v>
      </c>
      <c r="F6344" s="121" t="s">
        <v>3009</v>
      </c>
      <c r="G6344" s="98" t="str">
        <f>HYPERLINK("http://mirror.ff7data.com.ar/ff7/data/battle/battle.lgp/kzbs.png","View Picture")</f>
        <v>View Picture</v>
      </c>
    </row>
    <row r="6345">
      <c r="A6345" s="55"/>
      <c r="B6345" s="119" t="s">
        <v>38384</v>
      </c>
      <c r="C6345" s="120" t="s">
        <v>4252</v>
      </c>
      <c r="D6345" s="33" t="s">
        <v>38356</v>
      </c>
      <c r="E6345" s="51" t="s">
        <v>1328</v>
      </c>
      <c r="F6345" s="121" t="s">
        <v>3009</v>
      </c>
      <c r="G6345" s="98" t="str">
        <f>HYPERLINK("http://mirror.ff7data.com.ar/ff7/data/battle/battle.lgp/kzbt.png","View Picture")</f>
        <v>View Picture</v>
      </c>
    </row>
    <row r="6346">
      <c r="A6346" s="55"/>
      <c r="B6346" s="119" t="s">
        <v>38385</v>
      </c>
      <c r="C6346" s="120" t="s">
        <v>7871</v>
      </c>
      <c r="D6346" s="33" t="s">
        <v>38356</v>
      </c>
      <c r="E6346" s="51" t="s">
        <v>1328</v>
      </c>
      <c r="F6346" s="121" t="s">
        <v>3009</v>
      </c>
      <c r="G6346" s="98" t="str">
        <f>HYPERLINK("http://mirror.ff7data.com.ar/ff7/data/battle/battle.lgp/kzbv.png","View Picture")</f>
        <v>View Picture</v>
      </c>
    </row>
    <row r="6347">
      <c r="A6347" s="55"/>
      <c r="B6347" s="119" t="s">
        <v>38386</v>
      </c>
      <c r="C6347" s="120" t="s">
        <v>3648</v>
      </c>
      <c r="D6347" s="33" t="s">
        <v>38356</v>
      </c>
      <c r="E6347" s="51" t="s">
        <v>1328</v>
      </c>
      <c r="F6347" s="121" t="s">
        <v>3009</v>
      </c>
      <c r="G6347" s="98" t="str">
        <f>HYPERLINK("http://mirror.ff7data.com.ar/ff7/data/battle/battle.lgp/kzbw.png","View Picture")</f>
        <v>View Picture</v>
      </c>
    </row>
    <row r="6348">
      <c r="A6348" s="55"/>
      <c r="B6348" s="119" t="s">
        <v>38387</v>
      </c>
      <c r="C6348" s="120" t="s">
        <v>3842</v>
      </c>
      <c r="D6348" s="33" t="s">
        <v>38356</v>
      </c>
      <c r="E6348" s="51" t="s">
        <v>1328</v>
      </c>
      <c r="F6348" s="121" t="s">
        <v>3009</v>
      </c>
      <c r="G6348" s="98" t="str">
        <f>HYPERLINK("http://mirror.ff7data.com.ar/ff7/data/battle/battle.lgp/kzbx.png","View Picture")</f>
        <v>View Picture</v>
      </c>
    </row>
    <row r="6349">
      <c r="A6349" s="55"/>
      <c r="B6349" s="119" t="s">
        <v>38388</v>
      </c>
      <c r="C6349" s="120" t="s">
        <v>4252</v>
      </c>
      <c r="D6349" s="33" t="s">
        <v>38356</v>
      </c>
      <c r="E6349" s="51" t="s">
        <v>1328</v>
      </c>
      <c r="F6349" s="121" t="s">
        <v>3009</v>
      </c>
      <c r="G6349" s="98" t="str">
        <f>HYPERLINK("http://mirror.ff7data.com.ar/ff7/data/battle/battle.lgp/kzby.png","View Picture")</f>
        <v>View Picture</v>
      </c>
    </row>
    <row r="6350">
      <c r="A6350" s="55"/>
      <c r="B6350" s="119" t="s">
        <v>38389</v>
      </c>
      <c r="C6350" s="120" t="s">
        <v>15135</v>
      </c>
      <c r="D6350" s="33" t="s">
        <v>38356</v>
      </c>
      <c r="E6350" s="51" t="s">
        <v>1328</v>
      </c>
      <c r="F6350" s="121" t="s">
        <v>3025</v>
      </c>
      <c r="H6350" s="46" t="s">
        <v>3002</v>
      </c>
    </row>
    <row r="6351">
      <c r="A6351" s="21"/>
      <c r="B6351" s="119" t="s">
        <v>38390</v>
      </c>
      <c r="C6351" s="120" t="s">
        <v>8241</v>
      </c>
      <c r="D6351" s="33" t="s">
        <v>38391</v>
      </c>
      <c r="E6351" s="51" t="s">
        <v>1332</v>
      </c>
      <c r="F6351" s="121" t="s">
        <v>2971</v>
      </c>
      <c r="G6351" s="98" t="str">
        <f>HYPERLINK("http://mirror.ff7data.com.ar/ff7/data/battle/battle.lgp/laaa.png","View Picture")</f>
        <v>View Picture</v>
      </c>
      <c r="H6351" s="46" t="s">
        <v>38392</v>
      </c>
    </row>
    <row r="6352">
      <c r="A6352" s="55"/>
      <c r="B6352" s="119" t="s">
        <v>38393</v>
      </c>
      <c r="C6352" s="120" t="s">
        <v>12616</v>
      </c>
      <c r="D6352" s="33" t="s">
        <v>38394</v>
      </c>
      <c r="E6352" s="51" t="s">
        <v>1332</v>
      </c>
      <c r="F6352" s="121" t="s">
        <v>2993</v>
      </c>
      <c r="H6352" s="46" t="s">
        <v>3002</v>
      </c>
    </row>
    <row r="6353">
      <c r="A6353" s="55"/>
      <c r="B6353" s="119" t="s">
        <v>38395</v>
      </c>
      <c r="C6353" s="120" t="s">
        <v>4841</v>
      </c>
      <c r="D6353" s="33" t="s">
        <v>38394</v>
      </c>
      <c r="E6353" s="51" t="s">
        <v>1332</v>
      </c>
      <c r="F6353" s="121" t="s">
        <v>3009</v>
      </c>
      <c r="G6353" s="98" t="str">
        <f>HYPERLINK("http://mirror.ff7data.com.ar/ff7/data/battle/battle.lgp/laam.png","View Picture")</f>
        <v>View Picture</v>
      </c>
    </row>
    <row r="6354">
      <c r="A6354" s="55"/>
      <c r="B6354" s="119" t="s">
        <v>38396</v>
      </c>
      <c r="C6354" s="120" t="s">
        <v>3658</v>
      </c>
      <c r="D6354" s="33" t="s">
        <v>38394</v>
      </c>
      <c r="E6354" s="51" t="s">
        <v>1332</v>
      </c>
      <c r="F6354" s="121" t="s">
        <v>3009</v>
      </c>
      <c r="G6354" s="98" t="str">
        <f>HYPERLINK("http://mirror.ff7data.com.ar/ff7/data/battle/battle.lgp/laar.png","View Picture")</f>
        <v>View Picture</v>
      </c>
    </row>
    <row r="6355">
      <c r="A6355" s="55"/>
      <c r="B6355" s="119" t="s">
        <v>38397</v>
      </c>
      <c r="C6355" s="120" t="s">
        <v>3318</v>
      </c>
      <c r="D6355" s="33" t="s">
        <v>38394</v>
      </c>
      <c r="E6355" s="51" t="s">
        <v>1332</v>
      </c>
      <c r="F6355" s="121" t="s">
        <v>3009</v>
      </c>
      <c r="G6355" s="98" t="str">
        <f>HYPERLINK("http://mirror.ff7data.com.ar/ff7/data/battle/battle.lgp/laas.png","View Picture")</f>
        <v>View Picture</v>
      </c>
    </row>
    <row r="6356">
      <c r="A6356" s="55"/>
      <c r="B6356" s="119" t="s">
        <v>38398</v>
      </c>
      <c r="C6356" s="120" t="s">
        <v>7301</v>
      </c>
      <c r="D6356" s="33" t="s">
        <v>38394</v>
      </c>
      <c r="E6356" s="51" t="s">
        <v>1332</v>
      </c>
      <c r="F6356" s="121" t="s">
        <v>3009</v>
      </c>
      <c r="G6356" s="98" t="str">
        <f>HYPERLINK("http://mirror.ff7data.com.ar/ff7/data/battle/battle.lgp/laaw.png","View Picture")</f>
        <v>View Picture</v>
      </c>
    </row>
    <row r="6357">
      <c r="A6357" s="55"/>
      <c r="B6357" s="119" t="s">
        <v>38399</v>
      </c>
      <c r="C6357" s="120" t="s">
        <v>3658</v>
      </c>
      <c r="D6357" s="33" t="s">
        <v>38394</v>
      </c>
      <c r="E6357" s="51" t="s">
        <v>1332</v>
      </c>
      <c r="F6357" s="121" t="s">
        <v>3009</v>
      </c>
      <c r="G6357" s="98" t="str">
        <f>HYPERLINK("http://mirror.ff7data.com.ar/ff7/data/battle/battle.lgp/labb.png","View Picture")</f>
        <v>View Picture</v>
      </c>
    </row>
    <row r="6358">
      <c r="A6358" s="55"/>
      <c r="B6358" s="119" t="s">
        <v>38400</v>
      </c>
      <c r="C6358" s="120" t="s">
        <v>3318</v>
      </c>
      <c r="D6358" s="33" t="s">
        <v>38394</v>
      </c>
      <c r="E6358" s="51" t="s">
        <v>1332</v>
      </c>
      <c r="F6358" s="121" t="s">
        <v>3009</v>
      </c>
      <c r="G6358" s="98" t="str">
        <f>HYPERLINK("http://mirror.ff7data.com.ar/ff7/data/battle/battle.lgp/labg.png","View Picture")</f>
        <v>View Picture</v>
      </c>
    </row>
    <row r="6359">
      <c r="A6359" s="55"/>
      <c r="B6359" s="119" t="s">
        <v>38401</v>
      </c>
      <c r="C6359" s="120" t="s">
        <v>3318</v>
      </c>
      <c r="D6359" s="33" t="s">
        <v>38394</v>
      </c>
      <c r="E6359" s="51" t="s">
        <v>1332</v>
      </c>
      <c r="F6359" s="121" t="s">
        <v>3009</v>
      </c>
      <c r="G6359" s="98" t="str">
        <f>HYPERLINK("http://mirror.ff7data.com.ar/ff7/data/battle/battle.lgp/labl.png","View Picture")</f>
        <v>View Picture</v>
      </c>
    </row>
    <row r="6360">
      <c r="A6360" s="55"/>
      <c r="B6360" s="119" t="s">
        <v>38402</v>
      </c>
      <c r="C6360" s="120" t="s">
        <v>8376</v>
      </c>
      <c r="D6360" s="33" t="s">
        <v>38394</v>
      </c>
      <c r="E6360" s="51" t="s">
        <v>1332</v>
      </c>
      <c r="F6360" s="121" t="s">
        <v>3025</v>
      </c>
      <c r="H6360" s="46" t="s">
        <v>3002</v>
      </c>
    </row>
    <row r="6361">
      <c r="A6361" s="21"/>
      <c r="B6361" s="119" t="s">
        <v>38403</v>
      </c>
      <c r="C6361" s="120" t="s">
        <v>37619</v>
      </c>
      <c r="D6361" s="33" t="s">
        <v>38404</v>
      </c>
      <c r="E6361" s="51" t="s">
        <v>1337</v>
      </c>
      <c r="F6361" s="121" t="s">
        <v>2971</v>
      </c>
      <c r="G6361" s="98" t="str">
        <f>HYPERLINK("http://mirror.ff7data.com.ar/ff7/data/battle/battle.lgp/lbaa.png","View Picture")</f>
        <v>View Picture</v>
      </c>
    </row>
    <row r="6362">
      <c r="A6362" s="55"/>
      <c r="B6362" s="119" t="s">
        <v>38405</v>
      </c>
      <c r="C6362" s="120" t="s">
        <v>20088</v>
      </c>
      <c r="D6362" s="33" t="s">
        <v>38406</v>
      </c>
      <c r="E6362" s="51" t="s">
        <v>1337</v>
      </c>
      <c r="F6362" s="121" t="s">
        <v>2993</v>
      </c>
      <c r="H6362" s="46" t="s">
        <v>3002</v>
      </c>
    </row>
    <row r="6363">
      <c r="A6363" s="55"/>
      <c r="B6363" s="119" t="s">
        <v>38407</v>
      </c>
      <c r="C6363" s="120" t="s">
        <v>4191</v>
      </c>
      <c r="D6363" s="33" t="s">
        <v>38408</v>
      </c>
      <c r="E6363" s="51" t="s">
        <v>1337</v>
      </c>
      <c r="F6363" s="121" t="s">
        <v>1348</v>
      </c>
      <c r="G6363" s="98" t="str">
        <f>HYPERLINK("http://mirror.ff7data.com.ar/ff7/data/battle/battle.lgp/lbac.png","View Picture")</f>
        <v>View Picture</v>
      </c>
    </row>
    <row r="6364">
      <c r="A6364" s="55"/>
      <c r="B6364" s="119" t="s">
        <v>38409</v>
      </c>
      <c r="C6364" s="120" t="s">
        <v>13957</v>
      </c>
      <c r="D6364" s="33" t="s">
        <v>38406</v>
      </c>
      <c r="E6364" s="51" t="s">
        <v>1337</v>
      </c>
      <c r="F6364" s="121" t="s">
        <v>3009</v>
      </c>
      <c r="G6364" s="98" t="str">
        <f>HYPERLINK("http://mirror.ff7data.com.ar/ff7/data/battle/battle.lgp/lbap.png","View Picture")</f>
        <v>View Picture</v>
      </c>
    </row>
    <row r="6365">
      <c r="A6365" s="55"/>
      <c r="B6365" s="119" t="s">
        <v>38410</v>
      </c>
      <c r="C6365" s="120" t="s">
        <v>4167</v>
      </c>
      <c r="D6365" s="33" t="s">
        <v>38406</v>
      </c>
      <c r="E6365" s="51" t="s">
        <v>1337</v>
      </c>
      <c r="F6365" s="121" t="s">
        <v>3009</v>
      </c>
      <c r="G6365" s="98" t="str">
        <f>HYPERLINK("http://mirror.ff7data.com.ar/ff7/data/battle/battle.lgp/lbaq.png","View Picture")</f>
        <v>View Picture</v>
      </c>
    </row>
    <row r="6366">
      <c r="A6366" s="55"/>
      <c r="B6366" s="119" t="s">
        <v>38411</v>
      </c>
      <c r="C6366" s="120" t="s">
        <v>3648</v>
      </c>
      <c r="D6366" s="33" t="s">
        <v>38406</v>
      </c>
      <c r="E6366" s="51" t="s">
        <v>1337</v>
      </c>
      <c r="F6366" s="121" t="s">
        <v>3009</v>
      </c>
      <c r="G6366" s="98" t="str">
        <f>HYPERLINK("http://mirror.ff7data.com.ar/ff7/data/battle/battle.lgp/lbat.png","View Picture")</f>
        <v>View Picture</v>
      </c>
    </row>
    <row r="6367">
      <c r="A6367" s="55"/>
      <c r="B6367" s="119" t="s">
        <v>38412</v>
      </c>
      <c r="C6367" s="120" t="s">
        <v>4719</v>
      </c>
      <c r="D6367" s="33" t="s">
        <v>38406</v>
      </c>
      <c r="E6367" s="51" t="s">
        <v>1337</v>
      </c>
      <c r="F6367" s="121" t="s">
        <v>3009</v>
      </c>
      <c r="G6367" s="98" t="str">
        <f>HYPERLINK("http://mirror.ff7data.com.ar/ff7/data/battle/battle.lgp/lbau.png","View Picture")</f>
        <v>View Picture</v>
      </c>
    </row>
    <row r="6368">
      <c r="A6368" s="55"/>
      <c r="B6368" s="119" t="s">
        <v>38413</v>
      </c>
      <c r="C6368" s="120" t="s">
        <v>4841</v>
      </c>
      <c r="D6368" s="33" t="s">
        <v>38406</v>
      </c>
      <c r="E6368" s="51" t="s">
        <v>1337</v>
      </c>
      <c r="F6368" s="121" t="s">
        <v>3009</v>
      </c>
      <c r="G6368" s="98" t="str">
        <f>HYPERLINK("http://mirror.ff7data.com.ar/ff7/data/battle/battle.lgp/lbav.png","View Picture")</f>
        <v>View Picture</v>
      </c>
    </row>
    <row r="6369">
      <c r="A6369" s="55"/>
      <c r="B6369" s="119" t="s">
        <v>38414</v>
      </c>
      <c r="C6369" s="120" t="s">
        <v>3658</v>
      </c>
      <c r="D6369" s="33" t="s">
        <v>38406</v>
      </c>
      <c r="E6369" s="51" t="s">
        <v>1337</v>
      </c>
      <c r="F6369" s="121" t="s">
        <v>3009</v>
      </c>
      <c r="G6369" s="98" t="str">
        <f>HYPERLINK("http://mirror.ff7data.com.ar/ff7/data/battle/battle.lgp/lbay.png","View Picture")</f>
        <v>View Picture</v>
      </c>
    </row>
    <row r="6370">
      <c r="A6370" s="55"/>
      <c r="B6370" s="119" t="s">
        <v>38415</v>
      </c>
      <c r="C6370" s="120" t="s">
        <v>6029</v>
      </c>
      <c r="D6370" s="33" t="s">
        <v>38406</v>
      </c>
      <c r="E6370" s="51" t="s">
        <v>1337</v>
      </c>
      <c r="F6370" s="121" t="s">
        <v>3009</v>
      </c>
      <c r="G6370" s="98" t="str">
        <f>HYPERLINK("http://mirror.ff7data.com.ar/ff7/data/battle/battle.lgp/lbaz.png","View Picture")</f>
        <v>View Picture</v>
      </c>
    </row>
    <row r="6371">
      <c r="A6371" s="55"/>
      <c r="B6371" s="119" t="s">
        <v>38416</v>
      </c>
      <c r="C6371" s="120" t="s">
        <v>10078</v>
      </c>
      <c r="D6371" s="33" t="s">
        <v>38406</v>
      </c>
      <c r="E6371" s="51" t="s">
        <v>1337</v>
      </c>
      <c r="F6371" s="121" t="s">
        <v>3009</v>
      </c>
      <c r="G6371" s="98" t="str">
        <f>HYPERLINK("http://mirror.ff7data.com.ar/ff7/data/battle/battle.lgp/lbba.png","View Picture")</f>
        <v>View Picture</v>
      </c>
    </row>
    <row r="6372">
      <c r="A6372" s="55"/>
      <c r="B6372" s="119" t="s">
        <v>38417</v>
      </c>
      <c r="C6372" s="120" t="s">
        <v>4476</v>
      </c>
      <c r="D6372" s="33" t="s">
        <v>38406</v>
      </c>
      <c r="E6372" s="51" t="s">
        <v>1337</v>
      </c>
      <c r="F6372" s="121" t="s">
        <v>3009</v>
      </c>
      <c r="G6372" s="98" t="str">
        <f>HYPERLINK("http://mirror.ff7data.com.ar/ff7/data/battle/battle.lgp/lbbb.png","View Picture")</f>
        <v>View Picture</v>
      </c>
    </row>
    <row r="6373">
      <c r="A6373" s="55"/>
      <c r="B6373" s="119" t="s">
        <v>38418</v>
      </c>
      <c r="C6373" s="120" t="s">
        <v>3355</v>
      </c>
      <c r="D6373" s="33" t="s">
        <v>38406</v>
      </c>
      <c r="E6373" s="51" t="s">
        <v>1337</v>
      </c>
      <c r="F6373" s="121" t="s">
        <v>3025</v>
      </c>
      <c r="H6373" s="46" t="s">
        <v>3002</v>
      </c>
    </row>
    <row r="6374">
      <c r="A6374" s="21"/>
      <c r="B6374" s="119" t="s">
        <v>38419</v>
      </c>
      <c r="C6374" s="120" t="s">
        <v>38420</v>
      </c>
      <c r="D6374" s="33" t="s">
        <v>38421</v>
      </c>
      <c r="E6374" s="51" t="s">
        <v>1342</v>
      </c>
      <c r="F6374" s="121" t="s">
        <v>2971</v>
      </c>
      <c r="G6374" s="98" t="str">
        <f>HYPERLINK("http://mirror.ff7data.com.ar/ff7/data/battle/battle.lgp/lcaa.png","View Picture")</f>
        <v>View Picture</v>
      </c>
    </row>
    <row r="6375">
      <c r="A6375" s="55"/>
      <c r="B6375" s="119" t="s">
        <v>38422</v>
      </c>
      <c r="C6375" s="120" t="s">
        <v>11747</v>
      </c>
      <c r="D6375" s="33" t="s">
        <v>38423</v>
      </c>
      <c r="E6375" s="51" t="s">
        <v>1342</v>
      </c>
      <c r="F6375" s="121" t="s">
        <v>2993</v>
      </c>
      <c r="H6375" s="46" t="s">
        <v>3002</v>
      </c>
    </row>
    <row r="6376">
      <c r="A6376" s="55"/>
      <c r="B6376" s="119" t="s">
        <v>38424</v>
      </c>
      <c r="C6376" s="120" t="s">
        <v>4191</v>
      </c>
      <c r="D6376" s="33" t="s">
        <v>38425</v>
      </c>
      <c r="E6376" s="51" t="s">
        <v>1342</v>
      </c>
      <c r="F6376" s="121" t="s">
        <v>1348</v>
      </c>
      <c r="G6376" s="98" t="str">
        <f>HYPERLINK("http://mirror.ff7data.com.ar/ff7/data/battle/battle.lgp/lcac.png","View Picture")</f>
        <v>View Picture</v>
      </c>
    </row>
    <row r="6377">
      <c r="A6377" s="55"/>
      <c r="B6377" s="119" t="s">
        <v>38426</v>
      </c>
      <c r="C6377" s="120" t="s">
        <v>3434</v>
      </c>
      <c r="D6377" s="33" t="s">
        <v>38423</v>
      </c>
      <c r="E6377" s="51" t="s">
        <v>1342</v>
      </c>
      <c r="F6377" s="121" t="s">
        <v>3009</v>
      </c>
      <c r="G6377" s="98" t="str">
        <f>HYPERLINK("http://mirror.ff7data.com.ar/ff7/data/battle/battle.lgp/lcap.png","View Picture")</f>
        <v>View Picture</v>
      </c>
    </row>
    <row r="6378">
      <c r="A6378" s="55"/>
      <c r="B6378" s="119" t="s">
        <v>38427</v>
      </c>
      <c r="C6378" s="120" t="s">
        <v>11747</v>
      </c>
      <c r="D6378" s="33" t="s">
        <v>38423</v>
      </c>
      <c r="E6378" s="51" t="s">
        <v>1342</v>
      </c>
      <c r="F6378" s="121" t="s">
        <v>3025</v>
      </c>
      <c r="H6378" s="46" t="s">
        <v>3002</v>
      </c>
    </row>
    <row r="6379">
      <c r="A6379" s="21"/>
      <c r="B6379" s="119" t="s">
        <v>38428</v>
      </c>
      <c r="C6379" s="120" t="s">
        <v>8241</v>
      </c>
      <c r="D6379" s="33" t="s">
        <v>38429</v>
      </c>
      <c r="E6379" s="51" t="s">
        <v>1349</v>
      </c>
      <c r="F6379" s="121" t="s">
        <v>2971</v>
      </c>
      <c r="G6379" s="98" t="str">
        <f>HYPERLINK("http://mirror.ff7data.com.ar/ff7/data/battle/battle.lgp/ldaa.png","View Picture")</f>
        <v>View Picture</v>
      </c>
      <c r="H6379" s="46" t="s">
        <v>38430</v>
      </c>
    </row>
    <row r="6380">
      <c r="A6380" s="55"/>
      <c r="B6380" s="119" t="s">
        <v>38431</v>
      </c>
      <c r="C6380" s="120" t="s">
        <v>4209</v>
      </c>
      <c r="D6380" s="33" t="s">
        <v>38432</v>
      </c>
      <c r="E6380" s="51" t="s">
        <v>1349</v>
      </c>
      <c r="F6380" s="121" t="s">
        <v>2993</v>
      </c>
      <c r="H6380" s="46" t="s">
        <v>3002</v>
      </c>
    </row>
    <row r="6381">
      <c r="A6381" s="55"/>
      <c r="B6381" s="119" t="s">
        <v>38433</v>
      </c>
      <c r="C6381" s="120" t="s">
        <v>12399</v>
      </c>
      <c r="D6381" s="33" t="s">
        <v>38432</v>
      </c>
      <c r="E6381" s="51" t="s">
        <v>1349</v>
      </c>
      <c r="F6381" s="121" t="s">
        <v>3009</v>
      </c>
      <c r="G6381" s="98" t="str">
        <f>HYPERLINK("http://mirror.ff7data.com.ar/ff7/data/battle/battle.lgp/ldam.png","View Picture")</f>
        <v>View Picture</v>
      </c>
    </row>
    <row r="6382">
      <c r="A6382" s="55"/>
      <c r="B6382" s="119" t="s">
        <v>38434</v>
      </c>
      <c r="C6382" s="120" t="s">
        <v>3768</v>
      </c>
      <c r="D6382" s="33" t="s">
        <v>38432</v>
      </c>
      <c r="E6382" s="51" t="s">
        <v>1349</v>
      </c>
      <c r="F6382" s="121" t="s">
        <v>3009</v>
      </c>
      <c r="G6382" s="98" t="str">
        <f>HYPERLINK("http://mirror.ff7data.com.ar/ff7/data/battle/battle.lgp/ldao.png","View Picture")</f>
        <v>View Picture</v>
      </c>
    </row>
    <row r="6383">
      <c r="A6383" s="55"/>
      <c r="B6383" s="119" t="s">
        <v>38435</v>
      </c>
      <c r="C6383" s="120" t="s">
        <v>3768</v>
      </c>
      <c r="D6383" s="33" t="s">
        <v>38432</v>
      </c>
      <c r="E6383" s="51" t="s">
        <v>1349</v>
      </c>
      <c r="F6383" s="121" t="s">
        <v>3009</v>
      </c>
      <c r="G6383" s="98" t="str">
        <f>HYPERLINK("http://mirror.ff7data.com.ar/ff7/data/battle/battle.lgp/ldaq.png","View Picture")</f>
        <v>View Picture</v>
      </c>
    </row>
    <row r="6384">
      <c r="A6384" s="55"/>
      <c r="B6384" s="119" t="s">
        <v>38436</v>
      </c>
      <c r="C6384" s="120" t="s">
        <v>5573</v>
      </c>
      <c r="D6384" s="33" t="s">
        <v>38432</v>
      </c>
      <c r="E6384" s="51" t="s">
        <v>1349</v>
      </c>
      <c r="F6384" s="121" t="s">
        <v>3009</v>
      </c>
      <c r="G6384" s="98" t="str">
        <f>HYPERLINK("http://mirror.ff7data.com.ar/ff7/data/battle/battle.lgp/ldas.png","View Picture")</f>
        <v>View Picture</v>
      </c>
    </row>
    <row r="6385">
      <c r="A6385" s="55"/>
      <c r="B6385" s="119" t="s">
        <v>38437</v>
      </c>
      <c r="C6385" s="120" t="s">
        <v>3658</v>
      </c>
      <c r="D6385" s="33" t="s">
        <v>38432</v>
      </c>
      <c r="E6385" s="51" t="s">
        <v>1349</v>
      </c>
      <c r="F6385" s="121" t="s">
        <v>3009</v>
      </c>
      <c r="G6385" s="98" t="str">
        <f>HYPERLINK("http://mirror.ff7data.com.ar/ff7/data/battle/battle.lgp/ldav.png","View Picture")</f>
        <v>View Picture</v>
      </c>
    </row>
    <row r="6386">
      <c r="A6386" s="55"/>
      <c r="B6386" s="119" t="s">
        <v>38438</v>
      </c>
      <c r="C6386" s="120" t="s">
        <v>4396</v>
      </c>
      <c r="D6386" s="33" t="s">
        <v>38432</v>
      </c>
      <c r="E6386" s="51" t="s">
        <v>1349</v>
      </c>
      <c r="F6386" s="121" t="s">
        <v>3009</v>
      </c>
      <c r="G6386" s="98" t="str">
        <f>HYPERLINK("http://mirror.ff7data.com.ar/ff7/data/battle/battle.lgp/ldaw.png","View Picture")</f>
        <v>View Picture</v>
      </c>
    </row>
    <row r="6387">
      <c r="A6387" s="55"/>
      <c r="B6387" s="119" t="s">
        <v>38439</v>
      </c>
      <c r="C6387" s="120" t="s">
        <v>4185</v>
      </c>
      <c r="D6387" s="33" t="s">
        <v>38432</v>
      </c>
      <c r="E6387" s="51" t="s">
        <v>1349</v>
      </c>
      <c r="F6387" s="121" t="s">
        <v>3009</v>
      </c>
      <c r="G6387" s="98" t="str">
        <f>HYPERLINK("http://mirror.ff7data.com.ar/ff7/data/battle/battle.lgp/lday.png","View Picture")</f>
        <v>View Picture</v>
      </c>
    </row>
    <row r="6388">
      <c r="A6388" s="55"/>
      <c r="B6388" s="119" t="s">
        <v>38440</v>
      </c>
      <c r="C6388" s="120" t="s">
        <v>4439</v>
      </c>
      <c r="D6388" s="33" t="s">
        <v>38432</v>
      </c>
      <c r="E6388" s="51" t="s">
        <v>1349</v>
      </c>
      <c r="F6388" s="121" t="s">
        <v>3009</v>
      </c>
      <c r="G6388" s="98" t="str">
        <f>HYPERLINK("http://mirror.ff7data.com.ar/ff7/data/battle/battle.lgp/ldaz.png","View Picture")</f>
        <v>View Picture</v>
      </c>
    </row>
    <row r="6389">
      <c r="A6389" s="55"/>
      <c r="B6389" s="119" t="s">
        <v>38441</v>
      </c>
      <c r="C6389" s="120" t="s">
        <v>4439</v>
      </c>
      <c r="D6389" s="33" t="s">
        <v>38432</v>
      </c>
      <c r="E6389" s="51" t="s">
        <v>1349</v>
      </c>
      <c r="F6389" s="121" t="s">
        <v>3009</v>
      </c>
      <c r="G6389" s="98" t="str">
        <f>HYPERLINK("http://mirror.ff7data.com.ar/ff7/data/battle/battle.lgp/ldba.png","View Picture")</f>
        <v>View Picture</v>
      </c>
    </row>
    <row r="6390">
      <c r="A6390" s="55"/>
      <c r="B6390" s="119" t="s">
        <v>38442</v>
      </c>
      <c r="C6390" s="120" t="s">
        <v>9642</v>
      </c>
      <c r="D6390" s="33" t="s">
        <v>38432</v>
      </c>
      <c r="E6390" s="51" t="s">
        <v>1349</v>
      </c>
      <c r="F6390" s="121" t="s">
        <v>3009</v>
      </c>
      <c r="G6390" s="98" t="str">
        <f>HYPERLINK("http://mirror.ff7data.com.ar/ff7/data/battle/battle.lgp/ldbb.png","View Picture")</f>
        <v>View Picture</v>
      </c>
    </row>
    <row r="6391">
      <c r="A6391" s="55"/>
      <c r="B6391" s="119" t="s">
        <v>38443</v>
      </c>
      <c r="C6391" s="120" t="s">
        <v>3658</v>
      </c>
      <c r="D6391" s="33" t="s">
        <v>38432</v>
      </c>
      <c r="E6391" s="51" t="s">
        <v>1349</v>
      </c>
      <c r="F6391" s="121" t="s">
        <v>3009</v>
      </c>
      <c r="G6391" s="98" t="str">
        <f>HYPERLINK("http://mirror.ff7data.com.ar/ff7/data/battle/battle.lgp/ldbd.png","View Picture")</f>
        <v>View Picture</v>
      </c>
    </row>
    <row r="6392">
      <c r="A6392" s="55"/>
      <c r="B6392" s="119" t="s">
        <v>38444</v>
      </c>
      <c r="C6392" s="120" t="s">
        <v>4396</v>
      </c>
      <c r="D6392" s="33" t="s">
        <v>38432</v>
      </c>
      <c r="E6392" s="51" t="s">
        <v>1349</v>
      </c>
      <c r="F6392" s="121" t="s">
        <v>3009</v>
      </c>
      <c r="G6392" s="98" t="str">
        <f>HYPERLINK("http://mirror.ff7data.com.ar/ff7/data/battle/battle.lgp/ldbe.png","View Picture")</f>
        <v>View Picture</v>
      </c>
    </row>
    <row r="6393">
      <c r="A6393" s="55"/>
      <c r="B6393" s="119" t="s">
        <v>38445</v>
      </c>
      <c r="C6393" s="120" t="s">
        <v>4185</v>
      </c>
      <c r="D6393" s="33" t="s">
        <v>38432</v>
      </c>
      <c r="E6393" s="51" t="s">
        <v>1349</v>
      </c>
      <c r="F6393" s="121" t="s">
        <v>3009</v>
      </c>
      <c r="G6393" s="98" t="str">
        <f>HYPERLINK("http://mirror.ff7data.com.ar/ff7/data/battle/battle.lgp/ldbg.png","View Picture")</f>
        <v>View Picture</v>
      </c>
    </row>
    <row r="6394">
      <c r="A6394" s="55"/>
      <c r="B6394" s="119" t="s">
        <v>38446</v>
      </c>
      <c r="C6394" s="120" t="s">
        <v>4439</v>
      </c>
      <c r="D6394" s="33" t="s">
        <v>38432</v>
      </c>
      <c r="E6394" s="51" t="s">
        <v>1349</v>
      </c>
      <c r="F6394" s="121" t="s">
        <v>3009</v>
      </c>
      <c r="G6394" s="98" t="str">
        <f>HYPERLINK("http://mirror.ff7data.com.ar/ff7/data/battle/battle.lgp/ldbh.png","View Picture")</f>
        <v>View Picture</v>
      </c>
    </row>
    <row r="6395">
      <c r="A6395" s="55"/>
      <c r="B6395" s="119" t="s">
        <v>38447</v>
      </c>
      <c r="C6395" s="120" t="s">
        <v>4439</v>
      </c>
      <c r="D6395" s="33" t="s">
        <v>38432</v>
      </c>
      <c r="E6395" s="51" t="s">
        <v>1349</v>
      </c>
      <c r="F6395" s="121" t="s">
        <v>3009</v>
      </c>
      <c r="G6395" s="98" t="str">
        <f>HYPERLINK("http://mirror.ff7data.com.ar/ff7/data/battle/battle.lgp/ldbi.png","View Picture")</f>
        <v>View Picture</v>
      </c>
    </row>
    <row r="6396">
      <c r="A6396" s="55"/>
      <c r="B6396" s="119" t="s">
        <v>38448</v>
      </c>
      <c r="C6396" s="120" t="s">
        <v>9642</v>
      </c>
      <c r="D6396" s="33" t="s">
        <v>38432</v>
      </c>
      <c r="E6396" s="51" t="s">
        <v>1349</v>
      </c>
      <c r="F6396" s="121" t="s">
        <v>3009</v>
      </c>
      <c r="G6396" s="98" t="str">
        <f>HYPERLINK("http://mirror.ff7data.com.ar/ff7/data/battle/battle.lgp/ldbj.png","View Picture")</f>
        <v>View Picture</v>
      </c>
    </row>
    <row r="6397">
      <c r="A6397" s="55"/>
      <c r="B6397" s="119" t="s">
        <v>38449</v>
      </c>
      <c r="C6397" s="120" t="s">
        <v>4030</v>
      </c>
      <c r="D6397" s="33" t="s">
        <v>38432</v>
      </c>
      <c r="E6397" s="51" t="s">
        <v>1349</v>
      </c>
      <c r="F6397" s="121" t="s">
        <v>3009</v>
      </c>
      <c r="G6397" s="98" t="str">
        <f>HYPERLINK("http://mirror.ff7data.com.ar/ff7/data/battle/battle.lgp/ldbk.png","View Picture")</f>
        <v>View Picture</v>
      </c>
    </row>
    <row r="6398">
      <c r="A6398" s="55"/>
      <c r="B6398" s="119" t="s">
        <v>38450</v>
      </c>
      <c r="C6398" s="120" t="s">
        <v>4439</v>
      </c>
      <c r="D6398" s="33" t="s">
        <v>38432</v>
      </c>
      <c r="E6398" s="51" t="s">
        <v>1349</v>
      </c>
      <c r="F6398" s="121" t="s">
        <v>3009</v>
      </c>
      <c r="G6398" s="98" t="str">
        <f>HYPERLINK("http://mirror.ff7data.com.ar/ff7/data/battle/battle.lgp/ldbl.png","View Picture")</f>
        <v>View Picture</v>
      </c>
    </row>
    <row r="6399">
      <c r="A6399" s="55"/>
      <c r="B6399" s="119" t="s">
        <v>38451</v>
      </c>
      <c r="C6399" s="120" t="s">
        <v>3445</v>
      </c>
      <c r="D6399" s="33" t="s">
        <v>38432</v>
      </c>
      <c r="E6399" s="51" t="s">
        <v>1349</v>
      </c>
      <c r="F6399" s="121" t="s">
        <v>3025</v>
      </c>
      <c r="H6399" s="46" t="s">
        <v>3002</v>
      </c>
    </row>
    <row r="6400">
      <c r="A6400" s="21"/>
      <c r="B6400" s="119" t="s">
        <v>38452</v>
      </c>
      <c r="C6400" s="120" t="s">
        <v>38453</v>
      </c>
      <c r="D6400" s="33" t="s">
        <v>38454</v>
      </c>
      <c r="E6400" s="51" t="s">
        <v>1353</v>
      </c>
      <c r="F6400" s="121" t="s">
        <v>2971</v>
      </c>
      <c r="G6400" s="98" t="str">
        <f>HYPERLINK("http://mirror.ff7data.com.ar/ff7/data/battle/battle.lgp/leaa.png","View Picture")</f>
        <v>View Picture</v>
      </c>
    </row>
    <row r="6401">
      <c r="A6401" s="55"/>
      <c r="B6401" s="119" t="s">
        <v>38455</v>
      </c>
      <c r="C6401" s="120" t="s">
        <v>32821</v>
      </c>
      <c r="D6401" s="33" t="s">
        <v>38456</v>
      </c>
      <c r="E6401" s="51" t="s">
        <v>1353</v>
      </c>
      <c r="F6401" s="121" t="s">
        <v>2993</v>
      </c>
      <c r="H6401" s="46" t="s">
        <v>3002</v>
      </c>
    </row>
    <row r="6402">
      <c r="A6402" s="55"/>
      <c r="B6402" s="119" t="s">
        <v>38457</v>
      </c>
      <c r="C6402" s="120" t="s">
        <v>36266</v>
      </c>
      <c r="D6402" s="33" t="s">
        <v>38456</v>
      </c>
      <c r="E6402" s="51" t="s">
        <v>1353</v>
      </c>
      <c r="F6402" s="121" t="s">
        <v>3009</v>
      </c>
      <c r="G6402" s="98" t="str">
        <f>HYPERLINK("http://mirror.ff7data.com.ar/ff7/data/battle/battle.lgp/leam.png","View Picture")</f>
        <v>View Picture</v>
      </c>
    </row>
    <row r="6403">
      <c r="A6403" s="55"/>
      <c r="B6403" s="119" t="s">
        <v>38458</v>
      </c>
      <c r="C6403" s="120" t="s">
        <v>7871</v>
      </c>
      <c r="D6403" s="33" t="s">
        <v>38456</v>
      </c>
      <c r="E6403" s="51" t="s">
        <v>1353</v>
      </c>
      <c r="F6403" s="121" t="s">
        <v>3009</v>
      </c>
      <c r="G6403" s="98" t="str">
        <f>HYPERLINK("http://mirror.ff7data.com.ar/ff7/data/battle/battle.lgp/leao.png","View Picture")</f>
        <v>View Picture</v>
      </c>
    </row>
    <row r="6404">
      <c r="A6404" s="55"/>
      <c r="B6404" s="119" t="s">
        <v>38459</v>
      </c>
      <c r="C6404" s="120" t="s">
        <v>4146</v>
      </c>
      <c r="D6404" s="33" t="s">
        <v>38456</v>
      </c>
      <c r="E6404" s="51" t="s">
        <v>1353</v>
      </c>
      <c r="F6404" s="121" t="s">
        <v>3009</v>
      </c>
      <c r="G6404" s="98" t="str">
        <f>HYPERLINK("http://mirror.ff7data.com.ar/ff7/data/battle/battle.lgp/leap.png","View Picture")</f>
        <v>View Picture</v>
      </c>
    </row>
    <row r="6405">
      <c r="A6405" s="55"/>
      <c r="B6405" s="119" t="s">
        <v>38460</v>
      </c>
      <c r="C6405" s="120" t="s">
        <v>4217</v>
      </c>
      <c r="D6405" s="33" t="s">
        <v>38456</v>
      </c>
      <c r="E6405" s="51" t="s">
        <v>1353</v>
      </c>
      <c r="F6405" s="121" t="s">
        <v>3009</v>
      </c>
      <c r="G6405" s="98" t="str">
        <f>HYPERLINK("http://mirror.ff7data.com.ar/ff7/data/battle/battle.lgp/leas.png","View Picture")</f>
        <v>View Picture</v>
      </c>
    </row>
    <row r="6406">
      <c r="A6406" s="55"/>
      <c r="B6406" s="119" t="s">
        <v>38461</v>
      </c>
      <c r="C6406" s="120" t="s">
        <v>6029</v>
      </c>
      <c r="D6406" s="33" t="s">
        <v>38456</v>
      </c>
      <c r="E6406" s="51" t="s">
        <v>1353</v>
      </c>
      <c r="F6406" s="121" t="s">
        <v>3009</v>
      </c>
      <c r="G6406" s="98" t="str">
        <f>HYPERLINK("http://mirror.ff7data.com.ar/ff7/data/battle/battle.lgp/leat.png","View Picture")</f>
        <v>View Picture</v>
      </c>
    </row>
    <row r="6407">
      <c r="A6407" s="55"/>
      <c r="B6407" s="119" t="s">
        <v>38462</v>
      </c>
      <c r="C6407" s="120" t="s">
        <v>4217</v>
      </c>
      <c r="D6407" s="33" t="s">
        <v>38456</v>
      </c>
      <c r="E6407" s="51" t="s">
        <v>1353</v>
      </c>
      <c r="F6407" s="121" t="s">
        <v>3009</v>
      </c>
      <c r="G6407" s="98" t="str">
        <f>HYPERLINK("http://mirror.ff7data.com.ar/ff7/data/battle/battle.lgp/leav.png","View Picture")</f>
        <v>View Picture</v>
      </c>
    </row>
    <row r="6408">
      <c r="A6408" s="55"/>
      <c r="B6408" s="119" t="s">
        <v>38463</v>
      </c>
      <c r="C6408" s="120" t="s">
        <v>6029</v>
      </c>
      <c r="D6408" s="33" t="s">
        <v>38456</v>
      </c>
      <c r="E6408" s="51" t="s">
        <v>1353</v>
      </c>
      <c r="F6408" s="121" t="s">
        <v>3009</v>
      </c>
      <c r="G6408" s="98" t="str">
        <f>HYPERLINK("http://mirror.ff7data.com.ar/ff7/data/battle/battle.lgp/leaw.png","View Picture")</f>
        <v>View Picture</v>
      </c>
    </row>
    <row r="6409">
      <c r="A6409" s="55"/>
      <c r="B6409" s="119" t="s">
        <v>38464</v>
      </c>
      <c r="C6409" s="120" t="s">
        <v>4217</v>
      </c>
      <c r="D6409" s="33" t="s">
        <v>38456</v>
      </c>
      <c r="E6409" s="51" t="s">
        <v>1353</v>
      </c>
      <c r="F6409" s="121" t="s">
        <v>3009</v>
      </c>
      <c r="G6409" s="98" t="str">
        <f>HYPERLINK("http://mirror.ff7data.com.ar/ff7/data/battle/battle.lgp/leay.png","View Picture")</f>
        <v>View Picture</v>
      </c>
    </row>
    <row r="6410">
      <c r="A6410" s="55"/>
      <c r="B6410" s="119" t="s">
        <v>38465</v>
      </c>
      <c r="C6410" s="120" t="s">
        <v>4185</v>
      </c>
      <c r="D6410" s="33" t="s">
        <v>38456</v>
      </c>
      <c r="E6410" s="51" t="s">
        <v>1353</v>
      </c>
      <c r="F6410" s="121" t="s">
        <v>3009</v>
      </c>
      <c r="G6410" s="98" t="str">
        <f>HYPERLINK("http://mirror.ff7data.com.ar/ff7/data/battle/battle.lgp/leaz.png","View Picture")</f>
        <v>View Picture</v>
      </c>
    </row>
    <row r="6411">
      <c r="A6411" s="55"/>
      <c r="B6411" s="119" t="s">
        <v>38466</v>
      </c>
      <c r="C6411" s="120" t="s">
        <v>4217</v>
      </c>
      <c r="D6411" s="33" t="s">
        <v>38456</v>
      </c>
      <c r="E6411" s="51" t="s">
        <v>1353</v>
      </c>
      <c r="F6411" s="121" t="s">
        <v>3009</v>
      </c>
      <c r="G6411" s="98" t="str">
        <f>HYPERLINK("http://mirror.ff7data.com.ar/ff7/data/battle/battle.lgp/lebb.png","View Picture")</f>
        <v>View Picture</v>
      </c>
    </row>
    <row r="6412">
      <c r="A6412" s="55"/>
      <c r="B6412" s="119" t="s">
        <v>38467</v>
      </c>
      <c r="C6412" s="120" t="s">
        <v>4372</v>
      </c>
      <c r="D6412" s="33" t="s">
        <v>38456</v>
      </c>
      <c r="E6412" s="51" t="s">
        <v>1353</v>
      </c>
      <c r="F6412" s="121" t="s">
        <v>3009</v>
      </c>
      <c r="G6412" s="98" t="str">
        <f>HYPERLINK("http://mirror.ff7data.com.ar/ff7/data/battle/battle.lgp/lebc.png","View Picture")</f>
        <v>View Picture</v>
      </c>
    </row>
    <row r="6413">
      <c r="A6413" s="55"/>
      <c r="B6413" s="119" t="s">
        <v>38468</v>
      </c>
      <c r="C6413" s="120" t="s">
        <v>4057</v>
      </c>
      <c r="D6413" s="33" t="s">
        <v>38456</v>
      </c>
      <c r="E6413" s="51" t="s">
        <v>1353</v>
      </c>
      <c r="F6413" s="121" t="s">
        <v>3025</v>
      </c>
      <c r="H6413" s="46" t="s">
        <v>3002</v>
      </c>
    </row>
    <row r="6414">
      <c r="A6414" s="21"/>
      <c r="B6414" s="119" t="s">
        <v>38469</v>
      </c>
      <c r="C6414" s="120" t="s">
        <v>38470</v>
      </c>
      <c r="D6414" s="33" t="s">
        <v>38471</v>
      </c>
      <c r="E6414" s="51" t="s">
        <v>1357</v>
      </c>
      <c r="F6414" s="121" t="s">
        <v>2971</v>
      </c>
      <c r="G6414" s="98" t="str">
        <f>HYPERLINK("http://mirror.ff7data.com.ar/ff7/data/battle/battle.lgp/lfaa.png","View Picture")</f>
        <v>View Picture</v>
      </c>
    </row>
    <row r="6415">
      <c r="A6415" s="55"/>
      <c r="B6415" s="119" t="s">
        <v>38472</v>
      </c>
      <c r="C6415" s="120" t="s">
        <v>5724</v>
      </c>
      <c r="D6415" s="33" t="s">
        <v>38473</v>
      </c>
      <c r="E6415" s="51" t="s">
        <v>1357</v>
      </c>
      <c r="F6415" s="121" t="s">
        <v>2993</v>
      </c>
      <c r="H6415" s="46" t="s">
        <v>3002</v>
      </c>
    </row>
    <row r="6416">
      <c r="A6416" s="55"/>
      <c r="B6416" s="119" t="s">
        <v>38474</v>
      </c>
      <c r="C6416" s="120" t="s">
        <v>4122</v>
      </c>
      <c r="D6416" s="33" t="s">
        <v>38473</v>
      </c>
      <c r="E6416" s="51" t="s">
        <v>1357</v>
      </c>
      <c r="F6416" s="121" t="s">
        <v>3009</v>
      </c>
      <c r="G6416" s="98" t="str">
        <f>HYPERLINK("http://mirror.ff7data.com.ar/ff7/data/battle/battle.lgp/lfan.png","View Picture")</f>
        <v>View Picture</v>
      </c>
    </row>
    <row r="6417">
      <c r="A6417" s="55"/>
      <c r="B6417" s="119" t="s">
        <v>38475</v>
      </c>
      <c r="C6417" s="120" t="s">
        <v>3519</v>
      </c>
      <c r="D6417" s="33" t="s">
        <v>38473</v>
      </c>
      <c r="E6417" s="51" t="s">
        <v>1357</v>
      </c>
      <c r="F6417" s="121" t="s">
        <v>3009</v>
      </c>
      <c r="G6417" s="98" t="str">
        <f>HYPERLINK("http://mirror.ff7data.com.ar/ff7/data/battle/battle.lgp/lfao.png","View Picture")</f>
        <v>View Picture</v>
      </c>
    </row>
    <row r="6418">
      <c r="A6418" s="55"/>
      <c r="B6418" s="119" t="s">
        <v>38476</v>
      </c>
      <c r="C6418" s="120" t="s">
        <v>3412</v>
      </c>
      <c r="D6418" s="33" t="s">
        <v>38473</v>
      </c>
      <c r="E6418" s="51" t="s">
        <v>1357</v>
      </c>
      <c r="F6418" s="121" t="s">
        <v>3009</v>
      </c>
      <c r="G6418" s="98" t="str">
        <f>HYPERLINK("http://mirror.ff7data.com.ar/ff7/data/battle/battle.lgp/lfar.png","View Picture")</f>
        <v>View Picture</v>
      </c>
    </row>
    <row r="6419">
      <c r="A6419" s="55"/>
      <c r="B6419" s="119" t="s">
        <v>38477</v>
      </c>
      <c r="C6419" s="120" t="s">
        <v>3355</v>
      </c>
      <c r="D6419" s="33" t="s">
        <v>38473</v>
      </c>
      <c r="E6419" s="51" t="s">
        <v>1357</v>
      </c>
      <c r="F6419" s="121" t="s">
        <v>3009</v>
      </c>
      <c r="G6419" s="98" t="str">
        <f>HYPERLINK("http://mirror.ff7data.com.ar/ff7/data/battle/battle.lgp/lfau.png","View Picture")</f>
        <v>View Picture</v>
      </c>
    </row>
    <row r="6420">
      <c r="A6420" s="55"/>
      <c r="B6420" s="119" t="s">
        <v>38478</v>
      </c>
      <c r="C6420" s="120" t="s">
        <v>10195</v>
      </c>
      <c r="D6420" s="33" t="s">
        <v>38473</v>
      </c>
      <c r="E6420" s="51" t="s">
        <v>1357</v>
      </c>
      <c r="F6420" s="121" t="s">
        <v>3009</v>
      </c>
      <c r="G6420" s="98" t="str">
        <f>HYPERLINK("http://mirror.ff7data.com.ar/ff7/data/battle/battle.lgp/lfay.png","View Picture")</f>
        <v>View Picture</v>
      </c>
    </row>
    <row r="6421">
      <c r="A6421" s="55"/>
      <c r="B6421" s="119" t="s">
        <v>38479</v>
      </c>
      <c r="C6421" s="120" t="s">
        <v>4396</v>
      </c>
      <c r="D6421" s="33" t="s">
        <v>38473</v>
      </c>
      <c r="E6421" s="51" t="s">
        <v>1357</v>
      </c>
      <c r="F6421" s="121" t="s">
        <v>3025</v>
      </c>
      <c r="H6421" s="46" t="s">
        <v>3002</v>
      </c>
    </row>
    <row r="6422">
      <c r="A6422" s="55"/>
      <c r="B6422" s="119" t="s">
        <v>38480</v>
      </c>
      <c r="C6422" s="120" t="s">
        <v>2959</v>
      </c>
      <c r="D6422" s="33" t="s">
        <v>38481</v>
      </c>
      <c r="E6422" s="51" t="s">
        <v>1361</v>
      </c>
      <c r="F6422" s="121" t="s">
        <v>2971</v>
      </c>
      <c r="G6422" s="98" t="str">
        <f>HYPERLINK("http://mirror.ff7data.com.ar/ff7/data/battle/battle.lgp/lgaa.png","View Picture")</f>
        <v>View Picture</v>
      </c>
    </row>
    <row r="6423">
      <c r="A6423" s="55"/>
      <c r="B6423" s="119" t="s">
        <v>38482</v>
      </c>
      <c r="C6423" s="120" t="s">
        <v>7486</v>
      </c>
      <c r="D6423" s="33" t="s">
        <v>38483</v>
      </c>
      <c r="E6423" s="51" t="s">
        <v>1361</v>
      </c>
      <c r="F6423" s="121" t="s">
        <v>2993</v>
      </c>
      <c r="H6423" s="46" t="s">
        <v>3002</v>
      </c>
    </row>
    <row r="6424">
      <c r="A6424" s="55"/>
      <c r="B6424" s="119" t="s">
        <v>38484</v>
      </c>
      <c r="C6424" s="120" t="s">
        <v>3494</v>
      </c>
      <c r="D6424" s="33" t="s">
        <v>38483</v>
      </c>
      <c r="E6424" s="51" t="s">
        <v>1361</v>
      </c>
      <c r="F6424" s="121" t="s">
        <v>3009</v>
      </c>
      <c r="G6424" s="98" t="str">
        <f>HYPERLINK("http://mirror.ff7data.com.ar/ff7/data/battle/battle.lgp/lgan.png","View Picture")</f>
        <v>View Picture</v>
      </c>
    </row>
    <row r="6425">
      <c r="A6425" s="55"/>
      <c r="B6425" s="119" t="s">
        <v>38485</v>
      </c>
      <c r="C6425" s="120" t="s">
        <v>3434</v>
      </c>
      <c r="D6425" s="33" t="s">
        <v>38483</v>
      </c>
      <c r="E6425" s="51" t="s">
        <v>1361</v>
      </c>
      <c r="F6425" s="121" t="s">
        <v>3009</v>
      </c>
      <c r="G6425" s="98" t="str">
        <f>HYPERLINK("http://mirror.ff7data.com.ar/ff7/data/battle/battle.lgp/lgao.png","View Picture")</f>
        <v>View Picture</v>
      </c>
    </row>
    <row r="6426">
      <c r="A6426" s="55"/>
      <c r="B6426" s="119" t="s">
        <v>38486</v>
      </c>
      <c r="C6426" s="120" t="s">
        <v>7270</v>
      </c>
      <c r="D6426" s="33" t="s">
        <v>38483</v>
      </c>
      <c r="E6426" s="51" t="s">
        <v>1361</v>
      </c>
      <c r="F6426" s="121" t="s">
        <v>3025</v>
      </c>
      <c r="H6426" s="46" t="s">
        <v>3002</v>
      </c>
    </row>
    <row r="6427">
      <c r="A6427" s="21"/>
      <c r="B6427" s="119" t="s">
        <v>38487</v>
      </c>
      <c r="C6427" s="120" t="s">
        <v>38470</v>
      </c>
      <c r="D6427" s="33" t="s">
        <v>38488</v>
      </c>
      <c r="E6427" s="51" t="s">
        <v>1364</v>
      </c>
      <c r="F6427" s="121" t="s">
        <v>2971</v>
      </c>
      <c r="G6427" s="98" t="str">
        <f>HYPERLINK("http://mirror.ff7data.com.ar/ff7/data/battle/battle.lgp/lhaa.png","View Picture")</f>
        <v>View Picture</v>
      </c>
    </row>
    <row r="6428">
      <c r="A6428" s="55"/>
      <c r="B6428" s="119" t="s">
        <v>38489</v>
      </c>
      <c r="C6428" s="120" t="s">
        <v>11732</v>
      </c>
      <c r="D6428" s="33" t="s">
        <v>38490</v>
      </c>
      <c r="E6428" s="51" t="s">
        <v>1364</v>
      </c>
      <c r="F6428" s="121" t="s">
        <v>2993</v>
      </c>
      <c r="H6428" s="46" t="s">
        <v>3002</v>
      </c>
    </row>
    <row r="6429">
      <c r="A6429" s="55"/>
      <c r="B6429" s="119" t="s">
        <v>38491</v>
      </c>
      <c r="C6429" s="120" t="s">
        <v>4122</v>
      </c>
      <c r="D6429" s="33" t="s">
        <v>38490</v>
      </c>
      <c r="E6429" s="51" t="s">
        <v>1364</v>
      </c>
      <c r="F6429" s="121" t="s">
        <v>3009</v>
      </c>
      <c r="G6429" s="98" t="str">
        <f>HYPERLINK("http://mirror.ff7data.com.ar/ff7/data/battle/battle.lgp/lham.png","View Picture")</f>
        <v>View Picture</v>
      </c>
    </row>
    <row r="6430">
      <c r="A6430" s="55"/>
      <c r="B6430" s="119" t="s">
        <v>38492</v>
      </c>
      <c r="C6430" s="120" t="s">
        <v>7258</v>
      </c>
      <c r="D6430" s="33" t="s">
        <v>38490</v>
      </c>
      <c r="E6430" s="51" t="s">
        <v>1364</v>
      </c>
      <c r="F6430" s="121" t="s">
        <v>3009</v>
      </c>
      <c r="G6430" s="98" t="str">
        <f>HYPERLINK("http://mirror.ff7data.com.ar/ff7/data/battle/battle.lgp/lhaq.png","View Picture")</f>
        <v>View Picture</v>
      </c>
    </row>
    <row r="6431">
      <c r="A6431" s="55"/>
      <c r="B6431" s="119" t="s">
        <v>38493</v>
      </c>
      <c r="C6431" s="120" t="s">
        <v>14980</v>
      </c>
      <c r="D6431" s="33" t="s">
        <v>38490</v>
      </c>
      <c r="E6431" s="51" t="s">
        <v>1364</v>
      </c>
      <c r="F6431" s="121" t="s">
        <v>3009</v>
      </c>
      <c r="G6431" s="98" t="str">
        <f>HYPERLINK("http://mirror.ff7data.com.ar/ff7/data/battle/battle.lgp/lhas.png","View Picture")</f>
        <v>View Picture</v>
      </c>
    </row>
    <row r="6432">
      <c r="A6432" s="55"/>
      <c r="B6432" s="119" t="s">
        <v>38494</v>
      </c>
      <c r="C6432" s="120" t="s">
        <v>10195</v>
      </c>
      <c r="D6432" s="33" t="s">
        <v>38490</v>
      </c>
      <c r="E6432" s="51" t="s">
        <v>1364</v>
      </c>
      <c r="F6432" s="121" t="s">
        <v>3009</v>
      </c>
      <c r="G6432" s="98" t="str">
        <f>HYPERLINK("http://mirror.ff7data.com.ar/ff7/data/battle/battle.lgp/lhau.png","View Picture")</f>
        <v>View Picture</v>
      </c>
    </row>
    <row r="6433">
      <c r="A6433" s="55"/>
      <c r="B6433" s="119" t="s">
        <v>38495</v>
      </c>
      <c r="C6433" s="120" t="s">
        <v>7129</v>
      </c>
      <c r="D6433" s="33" t="s">
        <v>38490</v>
      </c>
      <c r="E6433" s="51" t="s">
        <v>1364</v>
      </c>
      <c r="F6433" s="121" t="s">
        <v>3009</v>
      </c>
      <c r="G6433" s="98" t="str">
        <f>HYPERLINK("http://mirror.ff7data.com.ar/ff7/data/battle/battle.lgp/lhaw.png","View Picture")</f>
        <v>View Picture</v>
      </c>
    </row>
    <row r="6434">
      <c r="A6434" s="55"/>
      <c r="B6434" s="119" t="s">
        <v>38496</v>
      </c>
      <c r="C6434" s="120" t="s">
        <v>3842</v>
      </c>
      <c r="D6434" s="33" t="s">
        <v>38490</v>
      </c>
      <c r="E6434" s="51" t="s">
        <v>1364</v>
      </c>
      <c r="F6434" s="121" t="s">
        <v>3009</v>
      </c>
      <c r="G6434" s="98" t="str">
        <f>HYPERLINK("http://mirror.ff7data.com.ar/ff7/data/battle/battle.lgp/lhay.png","View Picture")</f>
        <v>View Picture</v>
      </c>
    </row>
    <row r="6435">
      <c r="A6435" s="55"/>
      <c r="B6435" s="119" t="s">
        <v>38497</v>
      </c>
      <c r="C6435" s="120" t="s">
        <v>4252</v>
      </c>
      <c r="D6435" s="33" t="s">
        <v>38490</v>
      </c>
      <c r="E6435" s="51" t="s">
        <v>1364</v>
      </c>
      <c r="F6435" s="121" t="s">
        <v>3025</v>
      </c>
      <c r="H6435" s="46" t="s">
        <v>3002</v>
      </c>
    </row>
    <row r="6436">
      <c r="A6436" s="21"/>
      <c r="B6436" s="119" t="s">
        <v>38498</v>
      </c>
      <c r="C6436" s="120" t="s">
        <v>6789</v>
      </c>
      <c r="D6436" s="33" t="s">
        <v>38499</v>
      </c>
      <c r="E6436" s="51" t="s">
        <v>1368</v>
      </c>
      <c r="F6436" s="121" t="s">
        <v>2971</v>
      </c>
      <c r="G6436" s="98" t="str">
        <f>HYPERLINK("http://mirror.ff7data.com.ar/ff7/data/battle/battle.lgp/liaa.png","View Picture")</f>
        <v>View Picture</v>
      </c>
    </row>
    <row r="6437">
      <c r="A6437" s="55"/>
      <c r="B6437" s="119" t="s">
        <v>38500</v>
      </c>
      <c r="C6437" s="120" t="s">
        <v>32542</v>
      </c>
      <c r="D6437" s="33" t="s">
        <v>38501</v>
      </c>
      <c r="E6437" s="51" t="s">
        <v>1368</v>
      </c>
      <c r="F6437" s="121" t="s">
        <v>2993</v>
      </c>
      <c r="H6437" s="46" t="s">
        <v>3002</v>
      </c>
    </row>
    <row r="6438">
      <c r="A6438" s="55"/>
      <c r="B6438" s="119" t="s">
        <v>38502</v>
      </c>
      <c r="C6438" s="120" t="s">
        <v>5762</v>
      </c>
      <c r="D6438" s="33" t="s">
        <v>38501</v>
      </c>
      <c r="E6438" s="51" t="s">
        <v>1368</v>
      </c>
      <c r="F6438" s="121" t="s">
        <v>3009</v>
      </c>
      <c r="G6438" s="98" t="str">
        <f>HYPERLINK("http://mirror.ff7data.com.ar/ff7/data/battle/battle.lgp/liam.png","View Picture")</f>
        <v>View Picture</v>
      </c>
    </row>
    <row r="6439">
      <c r="A6439" s="55"/>
      <c r="B6439" s="119" t="s">
        <v>38503</v>
      </c>
      <c r="C6439" s="120" t="s">
        <v>3318</v>
      </c>
      <c r="D6439" s="33" t="s">
        <v>38501</v>
      </c>
      <c r="E6439" s="51" t="s">
        <v>1368</v>
      </c>
      <c r="F6439" s="121" t="s">
        <v>3009</v>
      </c>
      <c r="G6439" s="98" t="str">
        <f>HYPERLINK("http://mirror.ff7data.com.ar/ff7/data/battle/battle.lgp/lian.png","View Picture")</f>
        <v>View Picture</v>
      </c>
    </row>
    <row r="6440">
      <c r="A6440" s="55"/>
      <c r="B6440" s="119" t="s">
        <v>38504</v>
      </c>
      <c r="C6440" s="120" t="s">
        <v>26400</v>
      </c>
      <c r="D6440" s="33" t="s">
        <v>38501</v>
      </c>
      <c r="E6440" s="51" t="s">
        <v>1368</v>
      </c>
      <c r="F6440" s="121" t="s">
        <v>3009</v>
      </c>
      <c r="G6440" s="98" t="str">
        <f>HYPERLINK("http://mirror.ff7data.com.ar/ff7/data/battle/battle.lgp/liao.png","View Picture")</f>
        <v>View Picture</v>
      </c>
    </row>
    <row r="6441">
      <c r="A6441" s="55"/>
      <c r="B6441" s="119" t="s">
        <v>38505</v>
      </c>
      <c r="C6441" s="120" t="s">
        <v>7148</v>
      </c>
      <c r="D6441" s="33" t="s">
        <v>38501</v>
      </c>
      <c r="E6441" s="51" t="s">
        <v>1368</v>
      </c>
      <c r="F6441" s="121" t="s">
        <v>3009</v>
      </c>
      <c r="G6441" s="98" t="str">
        <f>HYPERLINK("http://mirror.ff7data.com.ar/ff7/data/battle/battle.lgp/liap.png","View Picture")</f>
        <v>View Picture</v>
      </c>
    </row>
    <row r="6442">
      <c r="A6442" s="55"/>
      <c r="B6442" s="119" t="s">
        <v>38506</v>
      </c>
      <c r="C6442" s="120" t="s">
        <v>3007</v>
      </c>
      <c r="D6442" s="33" t="s">
        <v>38501</v>
      </c>
      <c r="E6442" s="51" t="s">
        <v>1368</v>
      </c>
      <c r="F6442" s="121" t="s">
        <v>3009</v>
      </c>
      <c r="G6442" s="98" t="str">
        <f>HYPERLINK("http://mirror.ff7data.com.ar/ff7/data/battle/battle.lgp/liaq.png","View Picture")</f>
        <v>View Picture</v>
      </c>
    </row>
    <row r="6443">
      <c r="A6443" s="55"/>
      <c r="B6443" s="119" t="s">
        <v>38507</v>
      </c>
      <c r="C6443" s="120" t="s">
        <v>5419</v>
      </c>
      <c r="D6443" s="33" t="s">
        <v>38501</v>
      </c>
      <c r="E6443" s="51" t="s">
        <v>1368</v>
      </c>
      <c r="F6443" s="121" t="s">
        <v>3009</v>
      </c>
      <c r="G6443" s="98" t="str">
        <f>HYPERLINK("http://mirror.ff7data.com.ar/ff7/data/battle/battle.lgp/liar.png","View Picture")</f>
        <v>View Picture</v>
      </c>
    </row>
    <row r="6444">
      <c r="A6444" s="55"/>
      <c r="B6444" s="119" t="s">
        <v>38508</v>
      </c>
      <c r="C6444" s="120" t="s">
        <v>4476</v>
      </c>
      <c r="D6444" s="33" t="s">
        <v>38501</v>
      </c>
      <c r="E6444" s="51" t="s">
        <v>1368</v>
      </c>
      <c r="F6444" s="121" t="s">
        <v>3009</v>
      </c>
      <c r="G6444" s="98" t="str">
        <f>HYPERLINK("http://mirror.ff7data.com.ar/ff7/data/battle/battle.lgp/lias.png","View Picture")</f>
        <v>View Picture</v>
      </c>
    </row>
    <row r="6445">
      <c r="A6445" s="55"/>
      <c r="B6445" s="119" t="s">
        <v>38509</v>
      </c>
      <c r="C6445" s="120" t="s">
        <v>4185</v>
      </c>
      <c r="D6445" s="33" t="s">
        <v>38501</v>
      </c>
      <c r="E6445" s="51" t="s">
        <v>1368</v>
      </c>
      <c r="F6445" s="121" t="s">
        <v>3009</v>
      </c>
      <c r="G6445" s="98" t="str">
        <f>HYPERLINK("http://mirror.ff7data.com.ar/ff7/data/battle/battle.lgp/liau.png","View Picture")</f>
        <v>View Picture</v>
      </c>
    </row>
    <row r="6446">
      <c r="A6446" s="55"/>
      <c r="B6446" s="119" t="s">
        <v>38510</v>
      </c>
      <c r="C6446" s="120" t="s">
        <v>4372</v>
      </c>
      <c r="D6446" s="33" t="s">
        <v>38501</v>
      </c>
      <c r="E6446" s="51" t="s">
        <v>1368</v>
      </c>
      <c r="F6446" s="121" t="s">
        <v>3009</v>
      </c>
      <c r="G6446" s="98" t="str">
        <f>HYPERLINK("http://mirror.ff7data.com.ar/ff7/data/battle/battle.lgp/liav.png","View Picture")</f>
        <v>View Picture</v>
      </c>
    </row>
    <row r="6447">
      <c r="A6447" s="55"/>
      <c r="B6447" s="119" t="s">
        <v>38511</v>
      </c>
      <c r="C6447" s="120" t="s">
        <v>4719</v>
      </c>
      <c r="D6447" s="33" t="s">
        <v>38501</v>
      </c>
      <c r="E6447" s="51" t="s">
        <v>1368</v>
      </c>
      <c r="F6447" s="121" t="s">
        <v>3009</v>
      </c>
      <c r="G6447" s="98" t="str">
        <f>HYPERLINK("http://mirror.ff7data.com.ar/ff7/data/battle/battle.lgp/liaw.png","View Picture")</f>
        <v>View Picture</v>
      </c>
    </row>
    <row r="6448">
      <c r="A6448" s="55"/>
      <c r="B6448" s="119" t="s">
        <v>38512</v>
      </c>
      <c r="C6448" s="120" t="s">
        <v>7165</v>
      </c>
      <c r="D6448" s="33" t="s">
        <v>38501</v>
      </c>
      <c r="E6448" s="51" t="s">
        <v>1368</v>
      </c>
      <c r="F6448" s="121" t="s">
        <v>3009</v>
      </c>
      <c r="G6448" s="98" t="str">
        <f>HYPERLINK("http://mirror.ff7data.com.ar/ff7/data/battle/battle.lgp/liax.png","View Picture")</f>
        <v>View Picture</v>
      </c>
    </row>
    <row r="6449">
      <c r="A6449" s="55"/>
      <c r="B6449" s="119" t="s">
        <v>38513</v>
      </c>
      <c r="C6449" s="120" t="s">
        <v>4476</v>
      </c>
      <c r="D6449" s="33" t="s">
        <v>38501</v>
      </c>
      <c r="E6449" s="51" t="s">
        <v>1368</v>
      </c>
      <c r="F6449" s="121" t="s">
        <v>3009</v>
      </c>
      <c r="G6449" s="98" t="str">
        <f>HYPERLINK("http://mirror.ff7data.com.ar/ff7/data/battle/battle.lgp/liaz.png","View Picture")</f>
        <v>View Picture</v>
      </c>
    </row>
    <row r="6450">
      <c r="A6450" s="55"/>
      <c r="B6450" s="119" t="s">
        <v>38514</v>
      </c>
      <c r="C6450" s="120" t="s">
        <v>4372</v>
      </c>
      <c r="D6450" s="33" t="s">
        <v>38501</v>
      </c>
      <c r="E6450" s="51" t="s">
        <v>1368</v>
      </c>
      <c r="F6450" s="121" t="s">
        <v>3009</v>
      </c>
      <c r="G6450" s="98" t="str">
        <f>HYPERLINK("http://mirror.ff7data.com.ar/ff7/data/battle/battle.lgp/liba.png","View Picture")</f>
        <v>View Picture</v>
      </c>
    </row>
    <row r="6451">
      <c r="A6451" s="55"/>
      <c r="B6451" s="119" t="s">
        <v>38515</v>
      </c>
      <c r="C6451" s="120" t="s">
        <v>4057</v>
      </c>
      <c r="D6451" s="33" t="s">
        <v>38501</v>
      </c>
      <c r="E6451" s="51" t="s">
        <v>1368</v>
      </c>
      <c r="F6451" s="121" t="s">
        <v>3009</v>
      </c>
      <c r="G6451" s="98" t="str">
        <f>HYPERLINK("http://mirror.ff7data.com.ar/ff7/data/battle/battle.lgp/libb.png","View Picture")</f>
        <v>View Picture</v>
      </c>
    </row>
    <row r="6452">
      <c r="A6452" s="55"/>
      <c r="B6452" s="119" t="s">
        <v>38516</v>
      </c>
      <c r="C6452" s="120" t="s">
        <v>7165</v>
      </c>
      <c r="D6452" s="33" t="s">
        <v>38501</v>
      </c>
      <c r="E6452" s="51" t="s">
        <v>1368</v>
      </c>
      <c r="F6452" s="121" t="s">
        <v>3009</v>
      </c>
      <c r="G6452" s="98" t="str">
        <f>HYPERLINK("http://mirror.ff7data.com.ar/ff7/data/battle/battle.lgp/libc.png","View Picture")</f>
        <v>View Picture</v>
      </c>
    </row>
    <row r="6453">
      <c r="A6453" s="55"/>
      <c r="B6453" s="119" t="s">
        <v>38517</v>
      </c>
      <c r="C6453" s="120" t="s">
        <v>7148</v>
      </c>
      <c r="D6453" s="33" t="s">
        <v>38501</v>
      </c>
      <c r="E6453" s="51" t="s">
        <v>1368</v>
      </c>
      <c r="F6453" s="121" t="s">
        <v>3009</v>
      </c>
      <c r="G6453" s="98" t="str">
        <f>HYPERLINK("http://mirror.ff7data.com.ar/ff7/data/battle/battle.lgp/libd.png","View Picture")</f>
        <v>View Picture</v>
      </c>
    </row>
    <row r="6454">
      <c r="A6454" s="55"/>
      <c r="B6454" s="119" t="s">
        <v>38518</v>
      </c>
      <c r="C6454" s="120" t="s">
        <v>4541</v>
      </c>
      <c r="D6454" s="33" t="s">
        <v>38501</v>
      </c>
      <c r="E6454" s="51" t="s">
        <v>1368</v>
      </c>
      <c r="F6454" s="121" t="s">
        <v>3009</v>
      </c>
      <c r="G6454" s="98" t="str">
        <f>HYPERLINK("http://mirror.ff7data.com.ar/ff7/data/battle/battle.lgp/libe.png","View Picture")</f>
        <v>View Picture</v>
      </c>
    </row>
    <row r="6455">
      <c r="A6455" s="55"/>
      <c r="B6455" s="119" t="s">
        <v>38519</v>
      </c>
      <c r="C6455" s="120" t="s">
        <v>4541</v>
      </c>
      <c r="D6455" s="33" t="s">
        <v>38501</v>
      </c>
      <c r="E6455" s="51" t="s">
        <v>1368</v>
      </c>
      <c r="F6455" s="121" t="s">
        <v>3009</v>
      </c>
      <c r="G6455" s="98" t="str">
        <f>HYPERLINK("http://mirror.ff7data.com.ar/ff7/data/battle/battle.lgp/libf.png","View Picture")</f>
        <v>View Picture</v>
      </c>
    </row>
    <row r="6456">
      <c r="A6456" s="55"/>
      <c r="B6456" s="119" t="s">
        <v>38520</v>
      </c>
      <c r="C6456" s="120" t="s">
        <v>3007</v>
      </c>
      <c r="D6456" s="33" t="s">
        <v>38501</v>
      </c>
      <c r="E6456" s="51" t="s">
        <v>1368</v>
      </c>
      <c r="F6456" s="121" t="s">
        <v>3009</v>
      </c>
      <c r="G6456" s="98" t="str">
        <f>HYPERLINK("http://mirror.ff7data.com.ar/ff7/data/battle/battle.lgp/libg.png","View Picture")</f>
        <v>View Picture</v>
      </c>
    </row>
    <row r="6457">
      <c r="A6457" s="55"/>
      <c r="B6457" s="119" t="s">
        <v>38521</v>
      </c>
      <c r="C6457" s="120" t="s">
        <v>5419</v>
      </c>
      <c r="D6457" s="33" t="s">
        <v>38501</v>
      </c>
      <c r="E6457" s="51" t="s">
        <v>1368</v>
      </c>
      <c r="F6457" s="121" t="s">
        <v>3009</v>
      </c>
      <c r="G6457" s="98" t="str">
        <f>HYPERLINK("http://mirror.ff7data.com.ar/ff7/data/battle/battle.lgp/libj.png","View Picture")</f>
        <v>View Picture</v>
      </c>
    </row>
    <row r="6458">
      <c r="A6458" s="55"/>
      <c r="B6458" s="119" t="s">
        <v>38522</v>
      </c>
      <c r="C6458" s="120" t="s">
        <v>4732</v>
      </c>
      <c r="D6458" s="33" t="s">
        <v>38501</v>
      </c>
      <c r="E6458" s="51" t="s">
        <v>1368</v>
      </c>
      <c r="F6458" s="121" t="s">
        <v>3009</v>
      </c>
      <c r="G6458" s="98" t="str">
        <f>HYPERLINK("http://mirror.ff7data.com.ar/ff7/data/battle/battle.lgp/libk.png","View Picture")</f>
        <v>View Picture</v>
      </c>
    </row>
    <row r="6459">
      <c r="A6459" s="55"/>
      <c r="B6459" s="119" t="s">
        <v>38523</v>
      </c>
      <c r="C6459" s="120" t="s">
        <v>4252</v>
      </c>
      <c r="D6459" s="33" t="s">
        <v>38501</v>
      </c>
      <c r="E6459" s="51" t="s">
        <v>1368</v>
      </c>
      <c r="F6459" s="121" t="s">
        <v>3009</v>
      </c>
      <c r="G6459" s="98" t="str">
        <f>HYPERLINK("http://mirror.ff7data.com.ar/ff7/data/battle/battle.lgp/libl.png","View Picture")</f>
        <v>View Picture</v>
      </c>
    </row>
    <row r="6460">
      <c r="A6460" s="55"/>
      <c r="B6460" s="119" t="s">
        <v>38524</v>
      </c>
      <c r="C6460" s="120" t="s">
        <v>4057</v>
      </c>
      <c r="D6460" s="33" t="s">
        <v>38501</v>
      </c>
      <c r="E6460" s="51" t="s">
        <v>1368</v>
      </c>
      <c r="F6460" s="121" t="s">
        <v>3009</v>
      </c>
      <c r="G6460" s="98" t="str">
        <f>HYPERLINK("http://mirror.ff7data.com.ar/ff7/data/battle/battle.lgp/libm.png","View Picture")</f>
        <v>View Picture</v>
      </c>
    </row>
    <row r="6461">
      <c r="A6461" s="55"/>
      <c r="B6461" s="119" t="s">
        <v>38525</v>
      </c>
      <c r="C6461" s="120" t="s">
        <v>3007</v>
      </c>
      <c r="D6461" s="33" t="s">
        <v>38501</v>
      </c>
      <c r="E6461" s="51" t="s">
        <v>1368</v>
      </c>
      <c r="F6461" s="121" t="s">
        <v>3009</v>
      </c>
      <c r="G6461" s="98" t="str">
        <f>HYPERLINK("http://mirror.ff7data.com.ar/ff7/data/battle/battle.lgp/libo.png","View Picture")</f>
        <v>View Picture</v>
      </c>
    </row>
    <row r="6462">
      <c r="A6462" s="55"/>
      <c r="B6462" s="119" t="s">
        <v>38526</v>
      </c>
      <c r="C6462" s="120" t="s">
        <v>4476</v>
      </c>
      <c r="D6462" s="33" t="s">
        <v>38501</v>
      </c>
      <c r="E6462" s="51" t="s">
        <v>1368</v>
      </c>
      <c r="F6462" s="121" t="s">
        <v>3009</v>
      </c>
      <c r="G6462" s="98" t="str">
        <f>HYPERLINK("http://mirror.ff7data.com.ar/ff7/data/battle/battle.lgp/libq.png","View Picture")</f>
        <v>View Picture</v>
      </c>
    </row>
    <row r="6463">
      <c r="A6463" s="55"/>
      <c r="B6463" s="119" t="s">
        <v>38527</v>
      </c>
      <c r="C6463" s="120" t="s">
        <v>6679</v>
      </c>
      <c r="D6463" s="33" t="s">
        <v>38501</v>
      </c>
      <c r="E6463" s="51" t="s">
        <v>1368</v>
      </c>
      <c r="F6463" s="121" t="s">
        <v>3009</v>
      </c>
      <c r="G6463" s="98" t="str">
        <f>HYPERLINK("http://mirror.ff7data.com.ar/ff7/data/battle/battle.lgp/libr.png","View Picture")</f>
        <v>View Picture</v>
      </c>
    </row>
    <row r="6464">
      <c r="A6464" s="55"/>
      <c r="B6464" s="119" t="s">
        <v>38528</v>
      </c>
      <c r="C6464" s="120" t="s">
        <v>4732</v>
      </c>
      <c r="D6464" s="33" t="s">
        <v>38501</v>
      </c>
      <c r="E6464" s="51" t="s">
        <v>1368</v>
      </c>
      <c r="F6464" s="121" t="s">
        <v>3009</v>
      </c>
      <c r="G6464" s="98" t="str">
        <f>HYPERLINK("http://mirror.ff7data.com.ar/ff7/data/battle/battle.lgp/libs.png","View Picture")</f>
        <v>View Picture</v>
      </c>
    </row>
    <row r="6465">
      <c r="A6465" s="55"/>
      <c r="B6465" s="119" t="s">
        <v>38529</v>
      </c>
      <c r="C6465" s="120" t="s">
        <v>4057</v>
      </c>
      <c r="D6465" s="33" t="s">
        <v>38501</v>
      </c>
      <c r="E6465" s="51" t="s">
        <v>1368</v>
      </c>
      <c r="F6465" s="121" t="s">
        <v>3009</v>
      </c>
      <c r="G6465" s="98" t="str">
        <f>HYPERLINK("http://mirror.ff7data.com.ar/ff7/data/battle/battle.lgp/libv.png","View Picture")</f>
        <v>View Picture</v>
      </c>
    </row>
    <row r="6466">
      <c r="A6466" s="55"/>
      <c r="B6466" s="119" t="s">
        <v>38530</v>
      </c>
      <c r="C6466" s="120" t="s">
        <v>4264</v>
      </c>
      <c r="D6466" s="33" t="s">
        <v>38501</v>
      </c>
      <c r="E6466" s="51" t="s">
        <v>1368</v>
      </c>
      <c r="F6466" s="121" t="s">
        <v>3009</v>
      </c>
      <c r="G6466" s="98" t="str">
        <f>HYPERLINK("http://mirror.ff7data.com.ar/ff7/data/battle/battle.lgp/libw.png","View Picture")</f>
        <v>View Picture</v>
      </c>
    </row>
    <row r="6467">
      <c r="A6467" s="55"/>
      <c r="B6467" s="119" t="s">
        <v>38531</v>
      </c>
      <c r="C6467" s="120" t="s">
        <v>4252</v>
      </c>
      <c r="D6467" s="33" t="s">
        <v>38501</v>
      </c>
      <c r="E6467" s="51" t="s">
        <v>1368</v>
      </c>
      <c r="F6467" s="121" t="s">
        <v>3009</v>
      </c>
      <c r="G6467" s="98" t="str">
        <f>HYPERLINK("http://mirror.ff7data.com.ar/ff7/data/battle/battle.lgp/libx.png","View Picture")</f>
        <v>View Picture</v>
      </c>
    </row>
    <row r="6468">
      <c r="A6468" s="55"/>
      <c r="B6468" s="119" t="s">
        <v>38532</v>
      </c>
      <c r="C6468" s="120" t="s">
        <v>4185</v>
      </c>
      <c r="D6468" s="33" t="s">
        <v>38501</v>
      </c>
      <c r="E6468" s="51" t="s">
        <v>1368</v>
      </c>
      <c r="F6468" s="121" t="s">
        <v>3009</v>
      </c>
      <c r="G6468" s="98" t="str">
        <f>HYPERLINK("http://mirror.ff7data.com.ar/ff7/data/battle/battle.lgp/liby.png","View Picture")</f>
        <v>View Picture</v>
      </c>
    </row>
    <row r="6469">
      <c r="A6469" s="55"/>
      <c r="B6469" s="119" t="s">
        <v>38533</v>
      </c>
      <c r="C6469" s="120" t="s">
        <v>7148</v>
      </c>
      <c r="D6469" s="33" t="s">
        <v>38501</v>
      </c>
      <c r="E6469" s="51" t="s">
        <v>1368</v>
      </c>
      <c r="F6469" s="121" t="s">
        <v>3009</v>
      </c>
      <c r="G6469" s="98" t="str">
        <f>HYPERLINK("http://mirror.ff7data.com.ar/ff7/data/battle/battle.lgp/lica.png","View Picture")</f>
        <v>View Picture</v>
      </c>
    </row>
    <row r="6470">
      <c r="A6470" s="55"/>
      <c r="B6470" s="119" t="s">
        <v>38534</v>
      </c>
      <c r="C6470" s="120" t="s">
        <v>3007</v>
      </c>
      <c r="D6470" s="33" t="s">
        <v>38501</v>
      </c>
      <c r="E6470" s="51" t="s">
        <v>1368</v>
      </c>
      <c r="F6470" s="121" t="s">
        <v>3009</v>
      </c>
      <c r="G6470" s="98" t="str">
        <f>HYPERLINK("http://mirror.ff7data.com.ar/ff7/data/battle/battle.lgp/licb.png","View Picture")</f>
        <v>View Picture</v>
      </c>
    </row>
    <row r="6471">
      <c r="A6471" s="55"/>
      <c r="B6471" s="119" t="s">
        <v>38535</v>
      </c>
      <c r="C6471" s="120" t="s">
        <v>3007</v>
      </c>
      <c r="D6471" s="33" t="s">
        <v>38501</v>
      </c>
      <c r="E6471" s="51" t="s">
        <v>1368</v>
      </c>
      <c r="F6471" s="121" t="s">
        <v>3009</v>
      </c>
      <c r="G6471" s="98" t="str">
        <f>HYPERLINK("http://mirror.ff7data.com.ar/ff7/data/battle/battle.lgp/licd.png","View Picture")</f>
        <v>View Picture</v>
      </c>
    </row>
    <row r="6472">
      <c r="A6472" s="55"/>
      <c r="B6472" s="119" t="s">
        <v>38536</v>
      </c>
      <c r="C6472" s="120" t="s">
        <v>4185</v>
      </c>
      <c r="D6472" s="33" t="s">
        <v>38501</v>
      </c>
      <c r="E6472" s="51" t="s">
        <v>1368</v>
      </c>
      <c r="F6472" s="121" t="s">
        <v>3009</v>
      </c>
      <c r="G6472" s="98" t="str">
        <f>HYPERLINK("http://mirror.ff7data.com.ar/ff7/data/battle/battle.lgp/licf.png","View Picture")</f>
        <v>View Picture</v>
      </c>
    </row>
    <row r="6473">
      <c r="A6473" s="55"/>
      <c r="B6473" s="119" t="s">
        <v>38537</v>
      </c>
      <c r="C6473" s="120" t="s">
        <v>13697</v>
      </c>
      <c r="D6473" s="33" t="s">
        <v>38501</v>
      </c>
      <c r="E6473" s="51" t="s">
        <v>1368</v>
      </c>
      <c r="F6473" s="121" t="s">
        <v>3009</v>
      </c>
      <c r="G6473" s="98" t="str">
        <f>HYPERLINK("http://mirror.ff7data.com.ar/ff7/data/battle/battle.lgp/licg.png","View Picture")</f>
        <v>View Picture</v>
      </c>
    </row>
    <row r="6474">
      <c r="A6474" s="55"/>
      <c r="B6474" s="119" t="s">
        <v>38538</v>
      </c>
      <c r="C6474" s="120" t="s">
        <v>4732</v>
      </c>
      <c r="D6474" s="33" t="s">
        <v>38501</v>
      </c>
      <c r="E6474" s="51" t="s">
        <v>1368</v>
      </c>
      <c r="F6474" s="121" t="s">
        <v>3009</v>
      </c>
      <c r="G6474" s="98" t="str">
        <f>HYPERLINK("http://mirror.ff7data.com.ar/ff7/data/battle/battle.lgp/lich.png","View Picture")</f>
        <v>View Picture</v>
      </c>
    </row>
    <row r="6475">
      <c r="A6475" s="55"/>
      <c r="B6475" s="119" t="s">
        <v>38539</v>
      </c>
      <c r="C6475" s="120" t="s">
        <v>3412</v>
      </c>
      <c r="D6475" s="33" t="s">
        <v>38501</v>
      </c>
      <c r="E6475" s="51" t="s">
        <v>1368</v>
      </c>
      <c r="F6475" s="121" t="s">
        <v>3025</v>
      </c>
      <c r="H6475" s="46" t="s">
        <v>3002</v>
      </c>
    </row>
    <row r="6476">
      <c r="A6476" s="21"/>
      <c r="B6476" s="119" t="s">
        <v>38540</v>
      </c>
      <c r="C6476" s="120" t="s">
        <v>6789</v>
      </c>
      <c r="D6476" s="33" t="s">
        <v>38541</v>
      </c>
      <c r="E6476" s="51" t="s">
        <v>1371</v>
      </c>
      <c r="F6476" s="121" t="s">
        <v>2971</v>
      </c>
      <c r="G6476" s="98" t="str">
        <f>HYPERLINK("http://mirror.ff7data.com.ar/ff7/data/battle/battle.lgp/ljaa.png","View Picture")</f>
        <v>View Picture</v>
      </c>
    </row>
    <row r="6477">
      <c r="A6477" s="55"/>
      <c r="B6477" s="119" t="s">
        <v>38542</v>
      </c>
      <c r="C6477" s="120" t="s">
        <v>30662</v>
      </c>
      <c r="D6477" s="33" t="s">
        <v>38543</v>
      </c>
      <c r="E6477" s="51" t="s">
        <v>1371</v>
      </c>
      <c r="F6477" s="121" t="s">
        <v>2993</v>
      </c>
      <c r="H6477" s="46" t="s">
        <v>3002</v>
      </c>
    </row>
    <row r="6478">
      <c r="A6478" s="55"/>
      <c r="B6478" s="119" t="s">
        <v>38544</v>
      </c>
      <c r="C6478" s="120" t="s">
        <v>5904</v>
      </c>
      <c r="D6478" s="33" t="s">
        <v>38543</v>
      </c>
      <c r="E6478" s="51" t="s">
        <v>1371</v>
      </c>
      <c r="F6478" s="121" t="s">
        <v>3009</v>
      </c>
      <c r="G6478" s="98" t="str">
        <f>HYPERLINK("http://mirror.ff7data.com.ar/ff7/data/battle/battle.lgp/ljam.png","View Picture")</f>
        <v>View Picture</v>
      </c>
    </row>
    <row r="6479">
      <c r="A6479" s="55"/>
      <c r="B6479" s="119" t="s">
        <v>38545</v>
      </c>
      <c r="C6479" s="120" t="s">
        <v>3573</v>
      </c>
      <c r="D6479" s="33" t="s">
        <v>38543</v>
      </c>
      <c r="E6479" s="51" t="s">
        <v>1371</v>
      </c>
      <c r="F6479" s="121" t="s">
        <v>3009</v>
      </c>
      <c r="G6479" s="98" t="str">
        <f>HYPERLINK("http://mirror.ff7data.com.ar/ff7/data/battle/battle.lgp/ljan.png","View Picture")</f>
        <v>View Picture</v>
      </c>
    </row>
    <row r="6480">
      <c r="A6480" s="55"/>
      <c r="B6480" s="119" t="s">
        <v>38546</v>
      </c>
      <c r="C6480" s="120" t="s">
        <v>26400</v>
      </c>
      <c r="D6480" s="33" t="s">
        <v>38543</v>
      </c>
      <c r="E6480" s="51" t="s">
        <v>1371</v>
      </c>
      <c r="F6480" s="121" t="s">
        <v>3009</v>
      </c>
      <c r="G6480" s="98" t="str">
        <f>HYPERLINK("http://mirror.ff7data.com.ar/ff7/data/battle/battle.lgp/ljao.png","View Picture")</f>
        <v>View Picture</v>
      </c>
    </row>
    <row r="6481">
      <c r="A6481" s="55"/>
      <c r="B6481" s="119" t="s">
        <v>38547</v>
      </c>
      <c r="C6481" s="120" t="s">
        <v>7148</v>
      </c>
      <c r="D6481" s="33" t="s">
        <v>38543</v>
      </c>
      <c r="E6481" s="51" t="s">
        <v>1371</v>
      </c>
      <c r="F6481" s="121" t="s">
        <v>3009</v>
      </c>
      <c r="G6481" s="98" t="str">
        <f>HYPERLINK("http://mirror.ff7data.com.ar/ff7/data/battle/battle.lgp/ljap.png","View Picture")</f>
        <v>View Picture</v>
      </c>
    </row>
    <row r="6482">
      <c r="A6482" s="55"/>
      <c r="B6482" s="119" t="s">
        <v>38548</v>
      </c>
      <c r="C6482" s="120" t="s">
        <v>3991</v>
      </c>
      <c r="D6482" s="33" t="s">
        <v>38543</v>
      </c>
      <c r="E6482" s="51" t="s">
        <v>1371</v>
      </c>
      <c r="F6482" s="121" t="s">
        <v>3009</v>
      </c>
      <c r="G6482" s="98" t="str">
        <f>HYPERLINK("http://mirror.ff7data.com.ar/ff7/data/battle/battle.lgp/ljaq.png","View Picture")</f>
        <v>View Picture</v>
      </c>
    </row>
    <row r="6483">
      <c r="A6483" s="55"/>
      <c r="B6483" s="119" t="s">
        <v>38549</v>
      </c>
      <c r="C6483" s="120" t="s">
        <v>4357</v>
      </c>
      <c r="D6483" s="33" t="s">
        <v>38543</v>
      </c>
      <c r="E6483" s="51" t="s">
        <v>1371</v>
      </c>
      <c r="F6483" s="121" t="s">
        <v>3009</v>
      </c>
      <c r="G6483" s="98" t="str">
        <f>HYPERLINK("http://mirror.ff7data.com.ar/ff7/data/battle/battle.lgp/ljar.png","View Picture")</f>
        <v>View Picture</v>
      </c>
    </row>
    <row r="6484">
      <c r="A6484" s="55"/>
      <c r="B6484" s="119" t="s">
        <v>38550</v>
      </c>
      <c r="C6484" s="120" t="s">
        <v>4185</v>
      </c>
      <c r="D6484" s="33" t="s">
        <v>38543</v>
      </c>
      <c r="E6484" s="51" t="s">
        <v>1371</v>
      </c>
      <c r="F6484" s="121" t="s">
        <v>3009</v>
      </c>
      <c r="G6484" s="98" t="str">
        <f>HYPERLINK("http://mirror.ff7data.com.ar/ff7/data/battle/battle.lgp/ljas.png","View Picture")</f>
        <v>View Picture</v>
      </c>
    </row>
    <row r="6485">
      <c r="A6485" s="55"/>
      <c r="B6485" s="119" t="s">
        <v>38551</v>
      </c>
      <c r="C6485" s="120" t="s">
        <v>4439</v>
      </c>
      <c r="D6485" s="33" t="s">
        <v>38543</v>
      </c>
      <c r="E6485" s="51" t="s">
        <v>1371</v>
      </c>
      <c r="F6485" s="121" t="s">
        <v>3009</v>
      </c>
      <c r="G6485" s="98" t="str">
        <f>HYPERLINK("http://mirror.ff7data.com.ar/ff7/data/battle/battle.lgp/ljau.png","View Picture")</f>
        <v>View Picture</v>
      </c>
    </row>
    <row r="6486">
      <c r="A6486" s="55"/>
      <c r="B6486" s="119" t="s">
        <v>38552</v>
      </c>
      <c r="C6486" s="120" t="s">
        <v>4476</v>
      </c>
      <c r="D6486" s="33" t="s">
        <v>38543</v>
      </c>
      <c r="E6486" s="51" t="s">
        <v>1371</v>
      </c>
      <c r="F6486" s="121" t="s">
        <v>3009</v>
      </c>
      <c r="G6486" s="98" t="str">
        <f>HYPERLINK("http://mirror.ff7data.com.ar/ff7/data/battle/battle.lgp/ljav.png","View Picture")</f>
        <v>View Picture</v>
      </c>
    </row>
    <row r="6487">
      <c r="A6487" s="55"/>
      <c r="B6487" s="119" t="s">
        <v>38553</v>
      </c>
      <c r="C6487" s="120" t="s">
        <v>4357</v>
      </c>
      <c r="D6487" s="33" t="s">
        <v>38543</v>
      </c>
      <c r="E6487" s="51" t="s">
        <v>1371</v>
      </c>
      <c r="F6487" s="121" t="s">
        <v>3009</v>
      </c>
      <c r="G6487" s="98" t="str">
        <f>HYPERLINK("http://mirror.ff7data.com.ar/ff7/data/battle/battle.lgp/ljaw.png","View Picture")</f>
        <v>View Picture</v>
      </c>
    </row>
    <row r="6488">
      <c r="A6488" s="55"/>
      <c r="B6488" s="119" t="s">
        <v>38554</v>
      </c>
      <c r="C6488" s="120" t="s">
        <v>3749</v>
      </c>
      <c r="D6488" s="33" t="s">
        <v>38543</v>
      </c>
      <c r="E6488" s="51" t="s">
        <v>1371</v>
      </c>
      <c r="F6488" s="121" t="s">
        <v>3009</v>
      </c>
      <c r="G6488" s="98" t="str">
        <f>HYPERLINK("http://mirror.ff7data.com.ar/ff7/data/battle/battle.lgp/ljax.png","View Picture")</f>
        <v>View Picture</v>
      </c>
    </row>
    <row r="6489">
      <c r="A6489" s="55"/>
      <c r="B6489" s="119" t="s">
        <v>38555</v>
      </c>
      <c r="C6489" s="120" t="s">
        <v>4185</v>
      </c>
      <c r="D6489" s="33" t="s">
        <v>38543</v>
      </c>
      <c r="E6489" s="51" t="s">
        <v>1371</v>
      </c>
      <c r="F6489" s="121" t="s">
        <v>3009</v>
      </c>
      <c r="G6489" s="98" t="str">
        <f>HYPERLINK("http://mirror.ff7data.com.ar/ff7/data/battle/battle.lgp/ljaz.png","View Picture")</f>
        <v>View Picture</v>
      </c>
    </row>
    <row r="6490">
      <c r="A6490" s="55"/>
      <c r="B6490" s="119" t="s">
        <v>38556</v>
      </c>
      <c r="C6490" s="120" t="s">
        <v>4476</v>
      </c>
      <c r="D6490" s="33" t="s">
        <v>38543</v>
      </c>
      <c r="E6490" s="51" t="s">
        <v>1371</v>
      </c>
      <c r="F6490" s="121" t="s">
        <v>3009</v>
      </c>
      <c r="G6490" s="98" t="str">
        <f>HYPERLINK("http://mirror.ff7data.com.ar/ff7/data/battle/battle.lgp/ljba.png","View Picture")</f>
        <v>View Picture</v>
      </c>
    </row>
    <row r="6491">
      <c r="A6491" s="55"/>
      <c r="B6491" s="119" t="s">
        <v>38557</v>
      </c>
      <c r="C6491" s="120" t="s">
        <v>4357</v>
      </c>
      <c r="D6491" s="33" t="s">
        <v>38543</v>
      </c>
      <c r="E6491" s="51" t="s">
        <v>1371</v>
      </c>
      <c r="F6491" s="121" t="s">
        <v>3009</v>
      </c>
      <c r="G6491" s="98" t="str">
        <f>HYPERLINK("http://mirror.ff7data.com.ar/ff7/data/battle/battle.lgp/ljbb.png","View Picture")</f>
        <v>View Picture</v>
      </c>
    </row>
    <row r="6492">
      <c r="A6492" s="55"/>
      <c r="B6492" s="119" t="s">
        <v>38558</v>
      </c>
      <c r="C6492" s="120" t="s">
        <v>3749</v>
      </c>
      <c r="D6492" s="33" t="s">
        <v>38543</v>
      </c>
      <c r="E6492" s="51" t="s">
        <v>1371</v>
      </c>
      <c r="F6492" s="121" t="s">
        <v>3009</v>
      </c>
      <c r="G6492" s="98" t="str">
        <f>HYPERLINK("http://mirror.ff7data.com.ar/ff7/data/battle/battle.lgp/ljbc.png","View Picture")</f>
        <v>View Picture</v>
      </c>
    </row>
    <row r="6493">
      <c r="A6493" s="55"/>
      <c r="B6493" s="119" t="s">
        <v>38559</v>
      </c>
      <c r="C6493" s="120" t="s">
        <v>7148</v>
      </c>
      <c r="D6493" s="33" t="s">
        <v>38543</v>
      </c>
      <c r="E6493" s="51" t="s">
        <v>1371</v>
      </c>
      <c r="F6493" s="121" t="s">
        <v>3009</v>
      </c>
      <c r="G6493" s="98" t="str">
        <f>HYPERLINK("http://mirror.ff7data.com.ar/ff7/data/battle/battle.lgp/ljbd.png","View Picture")</f>
        <v>View Picture</v>
      </c>
    </row>
    <row r="6494">
      <c r="A6494" s="55"/>
      <c r="B6494" s="119" t="s">
        <v>38560</v>
      </c>
      <c r="C6494" s="120" t="s">
        <v>7148</v>
      </c>
      <c r="D6494" s="33" t="s">
        <v>38543</v>
      </c>
      <c r="E6494" s="51" t="s">
        <v>1371</v>
      </c>
      <c r="F6494" s="121" t="s">
        <v>3009</v>
      </c>
      <c r="G6494" s="98" t="str">
        <f>HYPERLINK("http://mirror.ff7data.com.ar/ff7/data/battle/battle.lgp/ljbe.png","View Picture")</f>
        <v>View Picture</v>
      </c>
    </row>
    <row r="6495">
      <c r="A6495" s="55"/>
      <c r="B6495" s="119" t="s">
        <v>38561</v>
      </c>
      <c r="C6495" s="120" t="s">
        <v>7148</v>
      </c>
      <c r="D6495" s="33" t="s">
        <v>38543</v>
      </c>
      <c r="E6495" s="51" t="s">
        <v>1371</v>
      </c>
      <c r="F6495" s="121" t="s">
        <v>3009</v>
      </c>
      <c r="G6495" s="98" t="str">
        <f>HYPERLINK("http://mirror.ff7data.com.ar/ff7/data/battle/battle.lgp/ljbf.png","View Picture")</f>
        <v>View Picture</v>
      </c>
    </row>
    <row r="6496">
      <c r="A6496" s="55"/>
      <c r="B6496" s="119" t="s">
        <v>38562</v>
      </c>
      <c r="C6496" s="120" t="s">
        <v>3007</v>
      </c>
      <c r="D6496" s="33" t="s">
        <v>38543</v>
      </c>
      <c r="E6496" s="51" t="s">
        <v>1371</v>
      </c>
      <c r="F6496" s="121" t="s">
        <v>3009</v>
      </c>
      <c r="G6496" s="98" t="str">
        <f>HYPERLINK("http://mirror.ff7data.com.ar/ff7/data/battle/battle.lgp/ljbg.png","View Picture")</f>
        <v>View Picture</v>
      </c>
    </row>
    <row r="6497">
      <c r="A6497" s="55"/>
      <c r="B6497" s="119" t="s">
        <v>38563</v>
      </c>
      <c r="C6497" s="120" t="s">
        <v>5419</v>
      </c>
      <c r="D6497" s="33" t="s">
        <v>38543</v>
      </c>
      <c r="E6497" s="51" t="s">
        <v>1371</v>
      </c>
      <c r="F6497" s="121" t="s">
        <v>3009</v>
      </c>
      <c r="G6497" s="98" t="str">
        <f>HYPERLINK("http://mirror.ff7data.com.ar/ff7/data/battle/battle.lgp/ljbj.png","View Picture")</f>
        <v>View Picture</v>
      </c>
    </row>
    <row r="6498">
      <c r="A6498" s="55"/>
      <c r="B6498" s="119" t="s">
        <v>38564</v>
      </c>
      <c r="C6498" s="120" t="s">
        <v>4264</v>
      </c>
      <c r="D6498" s="33" t="s">
        <v>38543</v>
      </c>
      <c r="E6498" s="51" t="s">
        <v>1371</v>
      </c>
      <c r="F6498" s="121" t="s">
        <v>3009</v>
      </c>
      <c r="G6498" s="98" t="str">
        <f>HYPERLINK("http://mirror.ff7data.com.ar/ff7/data/battle/battle.lgp/ljbk.png","View Picture")</f>
        <v>View Picture</v>
      </c>
    </row>
    <row r="6499">
      <c r="A6499" s="55"/>
      <c r="B6499" s="119" t="s">
        <v>38565</v>
      </c>
      <c r="C6499" s="120" t="s">
        <v>3445</v>
      </c>
      <c r="D6499" s="33" t="s">
        <v>38543</v>
      </c>
      <c r="E6499" s="51" t="s">
        <v>1371</v>
      </c>
      <c r="F6499" s="121" t="s">
        <v>3009</v>
      </c>
      <c r="G6499" s="98" t="str">
        <f>HYPERLINK("http://mirror.ff7data.com.ar/ff7/data/battle/battle.lgp/ljbl.png","View Picture")</f>
        <v>View Picture</v>
      </c>
    </row>
    <row r="6500">
      <c r="A6500" s="55"/>
      <c r="B6500" s="119" t="s">
        <v>38566</v>
      </c>
      <c r="C6500" s="120" t="s">
        <v>5891</v>
      </c>
      <c r="D6500" s="33" t="s">
        <v>38543</v>
      </c>
      <c r="E6500" s="51" t="s">
        <v>1371</v>
      </c>
      <c r="F6500" s="121" t="s">
        <v>3009</v>
      </c>
      <c r="G6500" s="98" t="str">
        <f>HYPERLINK("http://mirror.ff7data.com.ar/ff7/data/battle/battle.lgp/ljbm.png","View Picture")</f>
        <v>View Picture</v>
      </c>
    </row>
    <row r="6501">
      <c r="A6501" s="55"/>
      <c r="B6501" s="119" t="s">
        <v>38567</v>
      </c>
      <c r="C6501" s="120" t="s">
        <v>13844</v>
      </c>
      <c r="D6501" s="33" t="s">
        <v>38543</v>
      </c>
      <c r="E6501" s="51" t="s">
        <v>1371</v>
      </c>
      <c r="F6501" s="121" t="s">
        <v>3009</v>
      </c>
      <c r="G6501" s="98" t="str">
        <f>HYPERLINK("http://mirror.ff7data.com.ar/ff7/data/battle/battle.lgp/ljbo.png","View Picture")</f>
        <v>View Picture</v>
      </c>
    </row>
    <row r="6502">
      <c r="A6502" s="55"/>
      <c r="B6502" s="119" t="s">
        <v>38568</v>
      </c>
      <c r="C6502" s="120" t="s">
        <v>4372</v>
      </c>
      <c r="D6502" s="33" t="s">
        <v>38543</v>
      </c>
      <c r="E6502" s="51" t="s">
        <v>1371</v>
      </c>
      <c r="F6502" s="121" t="s">
        <v>3009</v>
      </c>
      <c r="G6502" s="98" t="str">
        <f>HYPERLINK("http://mirror.ff7data.com.ar/ff7/data/battle/battle.lgp/ljbq.png","View Picture")</f>
        <v>View Picture</v>
      </c>
    </row>
    <row r="6503">
      <c r="A6503" s="55"/>
      <c r="B6503" s="119" t="s">
        <v>38569</v>
      </c>
      <c r="C6503" s="120" t="s">
        <v>37922</v>
      </c>
      <c r="D6503" s="33" t="s">
        <v>38543</v>
      </c>
      <c r="E6503" s="51" t="s">
        <v>1371</v>
      </c>
      <c r="F6503" s="121" t="s">
        <v>3009</v>
      </c>
      <c r="G6503" s="98" t="str">
        <f>HYPERLINK("http://mirror.ff7data.com.ar/ff7/data/battle/battle.lgp/ljbr.png","View Picture")</f>
        <v>View Picture</v>
      </c>
    </row>
    <row r="6504">
      <c r="A6504" s="55"/>
      <c r="B6504" s="119" t="s">
        <v>38570</v>
      </c>
      <c r="C6504" s="120" t="s">
        <v>4476</v>
      </c>
      <c r="D6504" s="33" t="s">
        <v>38543</v>
      </c>
      <c r="E6504" s="51" t="s">
        <v>1371</v>
      </c>
      <c r="F6504" s="121" t="s">
        <v>3009</v>
      </c>
      <c r="G6504" s="98" t="str">
        <f>HYPERLINK("http://mirror.ff7data.com.ar/ff7/data/battle/battle.lgp/ljbs.png","View Picture")</f>
        <v>View Picture</v>
      </c>
    </row>
    <row r="6505">
      <c r="A6505" s="55"/>
      <c r="B6505" s="119" t="s">
        <v>38571</v>
      </c>
      <c r="C6505" s="120" t="s">
        <v>4057</v>
      </c>
      <c r="D6505" s="33" t="s">
        <v>38543</v>
      </c>
      <c r="E6505" s="51" t="s">
        <v>1371</v>
      </c>
      <c r="F6505" s="121" t="s">
        <v>3009</v>
      </c>
      <c r="G6505" s="98" t="str">
        <f>HYPERLINK("http://mirror.ff7data.com.ar/ff7/data/battle/battle.lgp/ljbv.png","View Picture")</f>
        <v>View Picture</v>
      </c>
    </row>
    <row r="6506">
      <c r="A6506" s="55"/>
      <c r="B6506" s="119" t="s">
        <v>38572</v>
      </c>
      <c r="C6506" s="120" t="s">
        <v>4264</v>
      </c>
      <c r="D6506" s="33" t="s">
        <v>38543</v>
      </c>
      <c r="E6506" s="51" t="s">
        <v>1371</v>
      </c>
      <c r="F6506" s="121" t="s">
        <v>3009</v>
      </c>
      <c r="G6506" s="98" t="str">
        <f>HYPERLINK("http://mirror.ff7data.com.ar/ff7/data/battle/battle.lgp/ljbw.png","View Picture")</f>
        <v>View Picture</v>
      </c>
    </row>
    <row r="6507">
      <c r="A6507" s="55"/>
      <c r="B6507" s="119" t="s">
        <v>38573</v>
      </c>
      <c r="C6507" s="120" t="s">
        <v>3445</v>
      </c>
      <c r="D6507" s="33" t="s">
        <v>38543</v>
      </c>
      <c r="E6507" s="51" t="s">
        <v>1371</v>
      </c>
      <c r="F6507" s="121" t="s">
        <v>3009</v>
      </c>
      <c r="G6507" s="98" t="str">
        <f>HYPERLINK("http://mirror.ff7data.com.ar/ff7/data/battle/battle.lgp/ljbx.png","View Picture")</f>
        <v>View Picture</v>
      </c>
    </row>
    <row r="6508">
      <c r="A6508" s="55"/>
      <c r="B6508" s="119" t="s">
        <v>38574</v>
      </c>
      <c r="C6508" s="120" t="s">
        <v>4719</v>
      </c>
      <c r="D6508" s="33" t="s">
        <v>38543</v>
      </c>
      <c r="E6508" s="51" t="s">
        <v>1371</v>
      </c>
      <c r="F6508" s="121" t="s">
        <v>3009</v>
      </c>
      <c r="G6508" s="98" t="str">
        <f>HYPERLINK("http://mirror.ff7data.com.ar/ff7/data/battle/battle.lgp/ljby.png","View Picture")</f>
        <v>View Picture</v>
      </c>
    </row>
    <row r="6509">
      <c r="A6509" s="55"/>
      <c r="B6509" s="119" t="s">
        <v>38575</v>
      </c>
      <c r="C6509" s="120" t="s">
        <v>4288</v>
      </c>
      <c r="D6509" s="33" t="s">
        <v>38543</v>
      </c>
      <c r="E6509" s="51" t="s">
        <v>1371</v>
      </c>
      <c r="F6509" s="121" t="s">
        <v>3009</v>
      </c>
      <c r="G6509" s="98" t="str">
        <f>HYPERLINK("http://mirror.ff7data.com.ar/ff7/data/battle/battle.lgp/ljca.png","View Picture")</f>
        <v>View Picture</v>
      </c>
    </row>
    <row r="6510">
      <c r="A6510" s="55"/>
      <c r="B6510" s="119" t="s">
        <v>38576</v>
      </c>
      <c r="C6510" s="120" t="s">
        <v>3007</v>
      </c>
      <c r="D6510" s="33" t="s">
        <v>38543</v>
      </c>
      <c r="E6510" s="51" t="s">
        <v>1371</v>
      </c>
      <c r="F6510" s="121" t="s">
        <v>3009</v>
      </c>
      <c r="G6510" s="98" t="str">
        <f>HYPERLINK("http://mirror.ff7data.com.ar/ff7/data/battle/battle.lgp/ljcb.png","View Picture")</f>
        <v>View Picture</v>
      </c>
    </row>
    <row r="6511">
      <c r="A6511" s="55"/>
      <c r="B6511" s="119" t="s">
        <v>38577</v>
      </c>
      <c r="C6511" s="120" t="s">
        <v>13844</v>
      </c>
      <c r="D6511" s="33" t="s">
        <v>38543</v>
      </c>
      <c r="E6511" s="51" t="s">
        <v>1371</v>
      </c>
      <c r="F6511" s="121" t="s">
        <v>3009</v>
      </c>
      <c r="G6511" s="98" t="str">
        <f>HYPERLINK("http://mirror.ff7data.com.ar/ff7/data/battle/battle.lgp/ljcd.png","View Picture")</f>
        <v>View Picture</v>
      </c>
    </row>
    <row r="6512">
      <c r="A6512" s="55"/>
      <c r="B6512" s="119" t="s">
        <v>38578</v>
      </c>
      <c r="C6512" s="120" t="s">
        <v>4372</v>
      </c>
      <c r="D6512" s="33" t="s">
        <v>38543</v>
      </c>
      <c r="E6512" s="51" t="s">
        <v>1371</v>
      </c>
      <c r="F6512" s="121" t="s">
        <v>3009</v>
      </c>
      <c r="G6512" s="98" t="str">
        <f>HYPERLINK("http://mirror.ff7data.com.ar/ff7/data/battle/battle.lgp/ljcf.png","View Picture")</f>
        <v>View Picture</v>
      </c>
    </row>
    <row r="6513">
      <c r="A6513" s="55"/>
      <c r="B6513" s="119" t="s">
        <v>38579</v>
      </c>
      <c r="C6513" s="120" t="s">
        <v>37922</v>
      </c>
      <c r="D6513" s="33" t="s">
        <v>38543</v>
      </c>
      <c r="E6513" s="51" t="s">
        <v>1371</v>
      </c>
      <c r="F6513" s="121" t="s">
        <v>3009</v>
      </c>
      <c r="G6513" s="98" t="str">
        <f>HYPERLINK("http://mirror.ff7data.com.ar/ff7/data/battle/battle.lgp/ljcg.png","View Picture")</f>
        <v>View Picture</v>
      </c>
    </row>
    <row r="6514">
      <c r="A6514" s="55"/>
      <c r="B6514" s="119" t="s">
        <v>38580</v>
      </c>
      <c r="C6514" s="120" t="s">
        <v>4476</v>
      </c>
      <c r="D6514" s="33" t="s">
        <v>38543</v>
      </c>
      <c r="E6514" s="51" t="s">
        <v>1371</v>
      </c>
      <c r="F6514" s="121" t="s">
        <v>3009</v>
      </c>
      <c r="G6514" s="98" t="str">
        <f>HYPERLINK("http://mirror.ff7data.com.ar/ff7/data/battle/battle.lgp/ljch.png","View Picture")</f>
        <v>View Picture</v>
      </c>
    </row>
    <row r="6515">
      <c r="A6515" s="55"/>
      <c r="B6515" s="119" t="s">
        <v>38581</v>
      </c>
      <c r="C6515" s="120" t="s">
        <v>3573</v>
      </c>
      <c r="D6515" s="33" t="s">
        <v>38543</v>
      </c>
      <c r="E6515" s="51" t="s">
        <v>1371</v>
      </c>
      <c r="F6515" s="121" t="s">
        <v>3025</v>
      </c>
      <c r="H6515" s="46" t="s">
        <v>3002</v>
      </c>
    </row>
    <row r="6516">
      <c r="A6516" s="82"/>
      <c r="B6516" s="119" t="s">
        <v>38582</v>
      </c>
      <c r="C6516" s="120" t="s">
        <v>8845</v>
      </c>
      <c r="D6516" s="33" t="s">
        <v>38583</v>
      </c>
      <c r="E6516" s="51" t="s">
        <v>1375</v>
      </c>
      <c r="F6516" s="121" t="s">
        <v>2971</v>
      </c>
      <c r="G6516" s="98" t="str">
        <f>HYPERLINK("http://mirror.ff7data.com.ar/ff7/data/battle/battle.lgp/lkaa.png","View Picture")</f>
        <v>View Picture</v>
      </c>
    </row>
    <row r="6517">
      <c r="A6517" s="55"/>
      <c r="B6517" s="119" t="s">
        <v>38584</v>
      </c>
      <c r="C6517" s="120" t="s">
        <v>20088</v>
      </c>
      <c r="D6517" s="33" t="s">
        <v>38585</v>
      </c>
      <c r="E6517" s="51" t="s">
        <v>1375</v>
      </c>
      <c r="F6517" s="121" t="s">
        <v>2993</v>
      </c>
      <c r="H6517" s="46" t="s">
        <v>3002</v>
      </c>
    </row>
    <row r="6518">
      <c r="A6518" s="82"/>
      <c r="B6518" s="119" t="s">
        <v>38586</v>
      </c>
      <c r="C6518" s="120" t="s">
        <v>3671</v>
      </c>
      <c r="D6518" s="33" t="s">
        <v>38587</v>
      </c>
      <c r="E6518" s="51" t="s">
        <v>1375</v>
      </c>
      <c r="F6518" s="121" t="s">
        <v>1348</v>
      </c>
      <c r="G6518" s="98" t="str">
        <f>HYPERLINK("http://mirror.ff7data.com.ar/ff7/data/battle/battle.lgp/lkac.png","View Picture")</f>
        <v>View Picture</v>
      </c>
    </row>
    <row r="6519">
      <c r="A6519" s="82"/>
      <c r="B6519" s="119" t="s">
        <v>38588</v>
      </c>
      <c r="C6519" s="120" t="s">
        <v>7081</v>
      </c>
      <c r="D6519" s="33" t="s">
        <v>38589</v>
      </c>
      <c r="E6519" s="51" t="s">
        <v>1375</v>
      </c>
      <c r="F6519" s="121" t="s">
        <v>1348</v>
      </c>
      <c r="G6519" s="98" t="str">
        <f>HYPERLINK("http://mirror.ff7data.com.ar/ff7/data/battle/battle.lgp/lkad.png","View Picture")</f>
        <v>View Picture</v>
      </c>
    </row>
    <row r="6520">
      <c r="A6520" s="82"/>
      <c r="B6520" s="119" t="s">
        <v>38590</v>
      </c>
      <c r="C6520" s="120" t="s">
        <v>7081</v>
      </c>
      <c r="D6520" s="33" t="s">
        <v>38591</v>
      </c>
      <c r="E6520" s="51" t="s">
        <v>1375</v>
      </c>
      <c r="F6520" s="121" t="s">
        <v>3009</v>
      </c>
      <c r="G6520" s="98" t="str">
        <f>HYPERLINK("http://mirror.ff7data.com.ar/ff7/data/battle/battle.lgp/lkam.png","View Picture")</f>
        <v>View Picture</v>
      </c>
    </row>
    <row r="6521">
      <c r="A6521" s="82"/>
      <c r="B6521" s="119" t="s">
        <v>38592</v>
      </c>
      <c r="C6521" s="120" t="s">
        <v>4841</v>
      </c>
      <c r="D6521" s="33" t="s">
        <v>38593</v>
      </c>
      <c r="E6521" s="51" t="s">
        <v>1375</v>
      </c>
      <c r="F6521" s="121" t="s">
        <v>3009</v>
      </c>
      <c r="G6521" s="98" t="str">
        <f>HYPERLINK("http://mirror.ff7data.com.ar/ff7/data/battle/battle.lgp/lkan.png","View Picture")</f>
        <v>View Picture</v>
      </c>
    </row>
    <row r="6522">
      <c r="A6522" s="82"/>
      <c r="B6522" s="119" t="s">
        <v>38594</v>
      </c>
      <c r="C6522" s="120" t="s">
        <v>8649</v>
      </c>
      <c r="D6522" s="33" t="s">
        <v>38595</v>
      </c>
      <c r="E6522" s="51" t="s">
        <v>1375</v>
      </c>
      <c r="F6522" s="121" t="s">
        <v>3009</v>
      </c>
      <c r="G6522" s="98" t="str">
        <f>HYPERLINK("http://mirror.ff7data.com.ar/ff7/data/battle/battle.lgp/lkao.png","View Picture")</f>
        <v>View Picture</v>
      </c>
    </row>
    <row r="6523">
      <c r="A6523" s="21"/>
      <c r="B6523" s="119" t="s">
        <v>38596</v>
      </c>
      <c r="C6523" s="120" t="s">
        <v>4185</v>
      </c>
      <c r="D6523" s="33" t="s">
        <v>38597</v>
      </c>
      <c r="E6523" s="51" t="s">
        <v>1375</v>
      </c>
      <c r="F6523" s="121" t="s">
        <v>3009</v>
      </c>
      <c r="G6523" s="98" t="str">
        <f>HYPERLINK("http://mirror.ff7data.com.ar/ff7/data/battle/battle.lgp/lkaq.png","View Picture")</f>
        <v>View Picture</v>
      </c>
    </row>
    <row r="6524">
      <c r="A6524" s="21"/>
      <c r="B6524" s="119" t="s">
        <v>38598</v>
      </c>
      <c r="C6524" s="120" t="s">
        <v>4476</v>
      </c>
      <c r="D6524" s="33" t="s">
        <v>38599</v>
      </c>
      <c r="E6524" s="51" t="s">
        <v>1375</v>
      </c>
      <c r="F6524" s="121" t="s">
        <v>3009</v>
      </c>
      <c r="G6524" s="98" t="str">
        <f>HYPERLINK("http://mirror.ff7data.com.ar/ff7/data/battle/battle.lgp/lkar.png","View Picture")</f>
        <v>View Picture</v>
      </c>
    </row>
    <row r="6525">
      <c r="A6525" s="21"/>
      <c r="B6525" s="119" t="s">
        <v>38600</v>
      </c>
      <c r="C6525" s="120" t="s">
        <v>4057</v>
      </c>
      <c r="D6525" s="33" t="s">
        <v>38601</v>
      </c>
      <c r="E6525" s="51" t="s">
        <v>1375</v>
      </c>
      <c r="F6525" s="121" t="s">
        <v>3009</v>
      </c>
      <c r="G6525" s="98" t="str">
        <f>HYPERLINK("http://mirror.ff7data.com.ar/ff7/data/battle/battle.lgp/lkas.png","View Picture")</f>
        <v>View Picture</v>
      </c>
    </row>
    <row r="6526">
      <c r="A6526" s="21"/>
      <c r="B6526" s="119" t="s">
        <v>38602</v>
      </c>
      <c r="C6526" s="120" t="s">
        <v>6029</v>
      </c>
      <c r="D6526" s="33" t="s">
        <v>38603</v>
      </c>
      <c r="E6526" s="51" t="s">
        <v>1375</v>
      </c>
      <c r="F6526" s="121" t="s">
        <v>3009</v>
      </c>
      <c r="G6526" s="98" t="str">
        <f>HYPERLINK("http://mirror.ff7data.com.ar/ff7/data/battle/battle.lgp/lkau.png","View Picture")</f>
        <v>View Picture</v>
      </c>
    </row>
    <row r="6527">
      <c r="A6527" s="21"/>
      <c r="B6527" s="119" t="s">
        <v>38604</v>
      </c>
      <c r="C6527" s="120" t="s">
        <v>4185</v>
      </c>
      <c r="D6527" s="33" t="s">
        <v>38597</v>
      </c>
      <c r="E6527" s="51" t="s">
        <v>1375</v>
      </c>
      <c r="F6527" s="121" t="s">
        <v>3009</v>
      </c>
      <c r="G6527" s="98" t="str">
        <f>HYPERLINK("http://mirror.ff7data.com.ar/ff7/data/battle/battle.lgp/lkaw.png","View Picture")</f>
        <v>View Picture</v>
      </c>
    </row>
    <row r="6528">
      <c r="A6528" s="21"/>
      <c r="B6528" s="119" t="s">
        <v>38605</v>
      </c>
      <c r="C6528" s="120" t="s">
        <v>4185</v>
      </c>
      <c r="D6528" s="33" t="s">
        <v>38599</v>
      </c>
      <c r="E6528" s="51" t="s">
        <v>1375</v>
      </c>
      <c r="F6528" s="121" t="s">
        <v>3009</v>
      </c>
      <c r="G6528" s="98" t="str">
        <f>HYPERLINK("http://mirror.ff7data.com.ar/ff7/data/battle/battle.lgp/lkax.png","View Picture")</f>
        <v>View Picture</v>
      </c>
    </row>
    <row r="6529">
      <c r="A6529" s="21"/>
      <c r="B6529" s="119" t="s">
        <v>38606</v>
      </c>
      <c r="C6529" s="120" t="s">
        <v>4057</v>
      </c>
      <c r="D6529" s="33" t="s">
        <v>38601</v>
      </c>
      <c r="E6529" s="51" t="s">
        <v>1375</v>
      </c>
      <c r="F6529" s="121" t="s">
        <v>3009</v>
      </c>
      <c r="G6529" s="98" t="str">
        <f>HYPERLINK("http://mirror.ff7data.com.ar/ff7/data/battle/battle.lgp/lkay.png","View Picture")</f>
        <v>View Picture</v>
      </c>
    </row>
    <row r="6530">
      <c r="A6530" s="21"/>
      <c r="B6530" s="119" t="s">
        <v>38607</v>
      </c>
      <c r="C6530" s="120" t="s">
        <v>6029</v>
      </c>
      <c r="D6530" s="33" t="s">
        <v>38603</v>
      </c>
      <c r="E6530" s="51" t="s">
        <v>1375</v>
      </c>
      <c r="F6530" s="121" t="s">
        <v>3009</v>
      </c>
      <c r="G6530" s="98" t="str">
        <f>HYPERLINK("http://mirror.ff7data.com.ar/ff7/data/battle/battle.lgp/lkba.png","View Picture")</f>
        <v>View Picture</v>
      </c>
    </row>
    <row r="6531">
      <c r="A6531" s="21"/>
      <c r="B6531" s="119" t="s">
        <v>38608</v>
      </c>
      <c r="C6531" s="120" t="s">
        <v>4185</v>
      </c>
      <c r="D6531" s="33" t="s">
        <v>38609</v>
      </c>
      <c r="E6531" s="51" t="s">
        <v>1375</v>
      </c>
      <c r="F6531" s="121" t="s">
        <v>3009</v>
      </c>
      <c r="G6531" s="98" t="str">
        <f>HYPERLINK("http://mirror.ff7data.com.ar/ff7/data/battle/battle.lgp/lkbd.png","View Picture")</f>
        <v>View Picture</v>
      </c>
    </row>
    <row r="6532">
      <c r="A6532" s="21"/>
      <c r="B6532" s="119" t="s">
        <v>38610</v>
      </c>
      <c r="C6532" s="120" t="s">
        <v>26045</v>
      </c>
      <c r="D6532" s="33" t="s">
        <v>38611</v>
      </c>
      <c r="E6532" s="51" t="s">
        <v>1375</v>
      </c>
      <c r="F6532" s="121" t="s">
        <v>3009</v>
      </c>
      <c r="G6532" s="98" t="str">
        <f>HYPERLINK("http://mirror.ff7data.com.ar/ff7/data/battle/battle.lgp/lkbe.png","View Picture")</f>
        <v>View Picture</v>
      </c>
    </row>
    <row r="6533">
      <c r="A6533" s="82"/>
      <c r="B6533" s="119" t="s">
        <v>38612</v>
      </c>
      <c r="C6533" s="120" t="s">
        <v>4252</v>
      </c>
      <c r="D6533" s="33" t="s">
        <v>38613</v>
      </c>
      <c r="E6533" s="51" t="s">
        <v>1375</v>
      </c>
      <c r="F6533" s="121" t="s">
        <v>3009</v>
      </c>
      <c r="G6533" s="98" t="str">
        <f>HYPERLINK("http://mirror.ff7data.com.ar/ff7/data/battle/battle.lgp/lkbf.png","View Picture")</f>
        <v>View Picture</v>
      </c>
    </row>
    <row r="6534">
      <c r="A6534" s="21"/>
      <c r="B6534" s="119" t="s">
        <v>38614</v>
      </c>
      <c r="C6534" s="120" t="s">
        <v>4185</v>
      </c>
      <c r="D6534" s="33" t="s">
        <v>38609</v>
      </c>
      <c r="E6534" s="51" t="s">
        <v>1375</v>
      </c>
      <c r="F6534" s="121" t="s">
        <v>3009</v>
      </c>
      <c r="G6534" s="98" t="str">
        <f>HYPERLINK("http://mirror.ff7data.com.ar/ff7/data/battle/battle.lgp/lkbi.png","View Picture")</f>
        <v>View Picture</v>
      </c>
    </row>
    <row r="6535">
      <c r="A6535" s="21"/>
      <c r="B6535" s="119" t="s">
        <v>38615</v>
      </c>
      <c r="C6535" s="120" t="s">
        <v>4601</v>
      </c>
      <c r="D6535" s="33" t="s">
        <v>38611</v>
      </c>
      <c r="E6535" s="51" t="s">
        <v>1375</v>
      </c>
      <c r="F6535" s="121" t="s">
        <v>3009</v>
      </c>
      <c r="G6535" s="98" t="str">
        <f>HYPERLINK("http://mirror.ff7data.com.ar/ff7/data/battle/battle.lgp/lkbj.png","View Picture")</f>
        <v>View Picture</v>
      </c>
    </row>
    <row r="6536">
      <c r="A6536" s="82"/>
      <c r="B6536" s="119" t="s">
        <v>38616</v>
      </c>
      <c r="C6536" s="120" t="s">
        <v>4252</v>
      </c>
      <c r="D6536" s="33" t="s">
        <v>38617</v>
      </c>
      <c r="E6536" s="51" t="s">
        <v>1375</v>
      </c>
      <c r="F6536" s="121" t="s">
        <v>3009</v>
      </c>
      <c r="G6536" s="98" t="str">
        <f>HYPERLINK("http://mirror.ff7data.com.ar/ff7/data/battle/battle.lgp/lkbk.png","View Picture")</f>
        <v>View Picture</v>
      </c>
    </row>
    <row r="6537">
      <c r="A6537" s="55"/>
      <c r="B6537" s="119" t="s">
        <v>38618</v>
      </c>
      <c r="C6537" s="120" t="s">
        <v>4167</v>
      </c>
      <c r="D6537" s="33" t="s">
        <v>38585</v>
      </c>
      <c r="E6537" s="51" t="s">
        <v>1375</v>
      </c>
      <c r="F6537" s="121" t="s">
        <v>3025</v>
      </c>
      <c r="H6537" s="46" t="s">
        <v>3002</v>
      </c>
    </row>
    <row r="6538">
      <c r="A6538" s="82"/>
      <c r="B6538" s="119" t="s">
        <v>38619</v>
      </c>
      <c r="C6538" s="120" t="s">
        <v>4846</v>
      </c>
      <c r="D6538" s="33" t="s">
        <v>10926</v>
      </c>
      <c r="E6538" s="51" t="s">
        <v>1379</v>
      </c>
      <c r="F6538" s="121" t="s">
        <v>2971</v>
      </c>
      <c r="G6538" s="98" t="str">
        <f>HYPERLINK("http://mirror.ff7data.com.ar/ff7/data/battle/battle.lgp/llaa.png","View Picture")</f>
        <v>View Picture</v>
      </c>
      <c r="H6538" s="46" t="s">
        <v>38620</v>
      </c>
    </row>
    <row r="6539">
      <c r="A6539" s="55"/>
      <c r="B6539" s="119" t="s">
        <v>38621</v>
      </c>
      <c r="C6539" s="120" t="s">
        <v>3991</v>
      </c>
      <c r="D6539" s="33" t="s">
        <v>10938</v>
      </c>
      <c r="E6539" s="51" t="s">
        <v>1379</v>
      </c>
      <c r="F6539" s="121" t="s">
        <v>2993</v>
      </c>
      <c r="H6539" s="46" t="s">
        <v>3002</v>
      </c>
    </row>
    <row r="6540">
      <c r="A6540" s="82"/>
      <c r="B6540" s="119" t="s">
        <v>38622</v>
      </c>
      <c r="C6540" s="120" t="s">
        <v>4191</v>
      </c>
      <c r="D6540" s="33" t="s">
        <v>10945</v>
      </c>
      <c r="E6540" s="51" t="s">
        <v>1379</v>
      </c>
      <c r="F6540" s="121" t="s">
        <v>1348</v>
      </c>
      <c r="G6540" s="98" t="str">
        <f>HYPERLINK("http://mirror.ff7data.com.ar/ff7/data/battle/battle.lgp/llac.png","View Picture")</f>
        <v>View Picture</v>
      </c>
    </row>
    <row r="6541">
      <c r="A6541" s="82"/>
      <c r="B6541" s="119" t="s">
        <v>38623</v>
      </c>
      <c r="C6541" s="120" t="s">
        <v>10955</v>
      </c>
      <c r="D6541" s="33" t="s">
        <v>10957</v>
      </c>
      <c r="E6541" s="51" t="s">
        <v>1379</v>
      </c>
      <c r="F6541" s="121" t="s">
        <v>3009</v>
      </c>
      <c r="G6541" s="98" t="str">
        <f>HYPERLINK("http://mirror.ff7data.com.ar/ff7/data/battle/battle.lgp/llam.png","View Picture")</f>
        <v>View Picture</v>
      </c>
    </row>
    <row r="6542">
      <c r="A6542" s="82"/>
      <c r="B6542" s="119" t="s">
        <v>38624</v>
      </c>
      <c r="C6542" s="120" t="s">
        <v>6018</v>
      </c>
      <c r="D6542" s="33" t="s">
        <v>10970</v>
      </c>
      <c r="E6542" s="51" t="s">
        <v>1379</v>
      </c>
      <c r="F6542" s="121" t="s">
        <v>3009</v>
      </c>
      <c r="G6542" s="98" t="str">
        <f>HYPERLINK("http://mirror.ff7data.com.ar/ff7/data/battle/battle.lgp/llan.png","View Picture")</f>
        <v>View Picture</v>
      </c>
    </row>
    <row r="6543">
      <c r="A6543" s="21"/>
      <c r="B6543" s="119" t="s">
        <v>38625</v>
      </c>
      <c r="C6543" s="120" t="s">
        <v>7148</v>
      </c>
      <c r="D6543" s="33" t="s">
        <v>10983</v>
      </c>
      <c r="E6543" s="51" t="s">
        <v>1379</v>
      </c>
      <c r="F6543" s="121" t="s">
        <v>3009</v>
      </c>
      <c r="G6543" s="98" t="str">
        <f>HYPERLINK("http://mirror.ff7data.com.ar/ff7/data/battle/battle.lgp/llap.png","View Picture")</f>
        <v>View Picture</v>
      </c>
    </row>
    <row r="6544">
      <c r="A6544" s="21"/>
      <c r="B6544" s="119" t="s">
        <v>38626</v>
      </c>
      <c r="C6544" s="120" t="s">
        <v>7148</v>
      </c>
      <c r="D6544" s="33" t="s">
        <v>10983</v>
      </c>
      <c r="E6544" s="51" t="s">
        <v>1379</v>
      </c>
      <c r="F6544" s="121" t="s">
        <v>3009</v>
      </c>
      <c r="G6544" s="98" t="str">
        <f>HYPERLINK("http://mirror.ff7data.com.ar/ff7/data/battle/battle.lgp/llaq.png","View Picture")</f>
        <v>View Picture</v>
      </c>
    </row>
    <row r="6545">
      <c r="A6545" s="21"/>
      <c r="B6545" s="119" t="s">
        <v>38627</v>
      </c>
      <c r="C6545" s="120" t="s">
        <v>3007</v>
      </c>
      <c r="D6545" s="33" t="s">
        <v>10983</v>
      </c>
      <c r="E6545" s="51" t="s">
        <v>1379</v>
      </c>
      <c r="F6545" s="121" t="s">
        <v>3009</v>
      </c>
      <c r="G6545" s="98" t="str">
        <f>HYPERLINK("http://mirror.ff7data.com.ar/ff7/data/battle/battle.lgp/llar.png","View Picture")</f>
        <v>View Picture</v>
      </c>
    </row>
    <row r="6546">
      <c r="A6546" s="82"/>
      <c r="B6546" s="119" t="s">
        <v>38628</v>
      </c>
      <c r="C6546" s="120" t="s">
        <v>7301</v>
      </c>
      <c r="D6546" s="33" t="s">
        <v>11011</v>
      </c>
      <c r="E6546" s="51" t="s">
        <v>1379</v>
      </c>
      <c r="F6546" s="121" t="s">
        <v>3009</v>
      </c>
      <c r="G6546" s="98" t="str">
        <f>HYPERLINK("http://mirror.ff7data.com.ar/ff7/data/battle/battle.lgp/llas.png","View Picture")</f>
        <v>View Picture</v>
      </c>
    </row>
    <row r="6547">
      <c r="A6547" s="21"/>
      <c r="B6547" s="119" t="s">
        <v>38629</v>
      </c>
      <c r="C6547" s="120" t="s">
        <v>4185</v>
      </c>
      <c r="D6547" s="33" t="s">
        <v>11022</v>
      </c>
      <c r="E6547" s="51" t="s">
        <v>1379</v>
      </c>
      <c r="F6547" s="121" t="s">
        <v>3009</v>
      </c>
      <c r="G6547" s="98" t="str">
        <f>HYPERLINK("http://mirror.ff7data.com.ar/ff7/data/battle/battle.lgp/llau.png","View Picture")</f>
        <v>View Picture</v>
      </c>
    </row>
    <row r="6548">
      <c r="A6548" s="21"/>
      <c r="B6548" s="119" t="s">
        <v>38630</v>
      </c>
      <c r="C6548" s="120" t="s">
        <v>4057</v>
      </c>
      <c r="D6548" s="33" t="s">
        <v>11034</v>
      </c>
      <c r="E6548" s="51" t="s">
        <v>1379</v>
      </c>
      <c r="F6548" s="121" t="s">
        <v>3009</v>
      </c>
      <c r="G6548" s="98" t="str">
        <f>HYPERLINK("http://mirror.ff7data.com.ar/ff7/data/battle/battle.lgp/llav.png","View Picture")</f>
        <v>View Picture</v>
      </c>
    </row>
    <row r="6549">
      <c r="A6549" s="21"/>
      <c r="B6549" s="119" t="s">
        <v>38631</v>
      </c>
      <c r="C6549" s="120" t="s">
        <v>4185</v>
      </c>
      <c r="D6549" s="33" t="s">
        <v>11042</v>
      </c>
      <c r="E6549" s="51" t="s">
        <v>1379</v>
      </c>
      <c r="F6549" s="121" t="s">
        <v>3009</v>
      </c>
      <c r="G6549" s="98" t="str">
        <f>HYPERLINK("http://mirror.ff7data.com.ar/ff7/data/battle/battle.lgp/llaw.png","View Picture")</f>
        <v>View Picture</v>
      </c>
    </row>
    <row r="6550">
      <c r="A6550" s="21"/>
      <c r="B6550" s="119" t="s">
        <v>38632</v>
      </c>
      <c r="C6550" s="120" t="s">
        <v>4732</v>
      </c>
      <c r="D6550" s="33" t="s">
        <v>11054</v>
      </c>
      <c r="E6550" s="51" t="s">
        <v>1379</v>
      </c>
      <c r="F6550" s="121" t="s">
        <v>3009</v>
      </c>
      <c r="G6550" s="98" t="str">
        <f>HYPERLINK("http://mirror.ff7data.com.ar/ff7/data/battle/battle.lgp/llay.png","View Picture")</f>
        <v>View Picture</v>
      </c>
    </row>
    <row r="6551">
      <c r="A6551" s="21"/>
      <c r="B6551" s="119" t="s">
        <v>38633</v>
      </c>
      <c r="C6551" s="120" t="s">
        <v>4185</v>
      </c>
      <c r="D6551" s="33" t="s">
        <v>11022</v>
      </c>
      <c r="E6551" s="51" t="s">
        <v>1379</v>
      </c>
      <c r="F6551" s="121" t="s">
        <v>3009</v>
      </c>
      <c r="G6551" s="98" t="str">
        <f>HYPERLINK("http://mirror.ff7data.com.ar/ff7/data/battle/battle.lgp/llba.png","View Picture")</f>
        <v>View Picture</v>
      </c>
    </row>
    <row r="6552">
      <c r="A6552" s="21"/>
      <c r="B6552" s="119" t="s">
        <v>38634</v>
      </c>
      <c r="C6552" s="120" t="s">
        <v>4719</v>
      </c>
      <c r="D6552" s="33" t="s">
        <v>11034</v>
      </c>
      <c r="E6552" s="51" t="s">
        <v>1379</v>
      </c>
      <c r="F6552" s="121" t="s">
        <v>3009</v>
      </c>
      <c r="G6552" s="98" t="str">
        <f>HYPERLINK("http://mirror.ff7data.com.ar/ff7/data/battle/battle.lgp/llbb.png","View Picture")</f>
        <v>View Picture</v>
      </c>
    </row>
    <row r="6553">
      <c r="A6553" s="21"/>
      <c r="B6553" s="119" t="s">
        <v>38635</v>
      </c>
      <c r="C6553" s="120" t="s">
        <v>4185</v>
      </c>
      <c r="D6553" s="33" t="s">
        <v>11042</v>
      </c>
      <c r="E6553" s="51" t="s">
        <v>1379</v>
      </c>
      <c r="F6553" s="121" t="s">
        <v>3009</v>
      </c>
      <c r="G6553" s="98" t="str">
        <f>HYPERLINK("http://mirror.ff7data.com.ar/ff7/data/battle/battle.lgp/llbc.png","View Picture")</f>
        <v>View Picture</v>
      </c>
    </row>
    <row r="6554">
      <c r="A6554" s="21"/>
      <c r="B6554" s="119" t="s">
        <v>38636</v>
      </c>
      <c r="C6554" s="120" t="s">
        <v>4732</v>
      </c>
      <c r="D6554" s="33" t="s">
        <v>11054</v>
      </c>
      <c r="E6554" s="51" t="s">
        <v>1379</v>
      </c>
      <c r="F6554" s="121" t="s">
        <v>3009</v>
      </c>
      <c r="G6554" s="98" t="str">
        <f>HYPERLINK("http://mirror.ff7data.com.ar/ff7/data/battle/battle.lgp/llbe.png","View Picture")</f>
        <v>View Picture</v>
      </c>
    </row>
    <row r="6555">
      <c r="A6555" s="21"/>
      <c r="B6555" s="119" t="s">
        <v>38637</v>
      </c>
      <c r="C6555" s="120" t="s">
        <v>4476</v>
      </c>
      <c r="D6555" s="33" t="s">
        <v>11101</v>
      </c>
      <c r="E6555" s="51" t="s">
        <v>1379</v>
      </c>
      <c r="F6555" s="121" t="s">
        <v>3009</v>
      </c>
      <c r="G6555" s="98" t="str">
        <f>HYPERLINK("http://mirror.ff7data.com.ar/ff7/data/battle/battle.lgp/llbh.png","View Picture")</f>
        <v>View Picture</v>
      </c>
    </row>
    <row r="6556">
      <c r="A6556" s="21"/>
      <c r="B6556" s="119" t="s">
        <v>38638</v>
      </c>
      <c r="C6556" s="120" t="s">
        <v>11112</v>
      </c>
      <c r="D6556" s="33" t="s">
        <v>11114</v>
      </c>
      <c r="E6556" s="51" t="s">
        <v>1379</v>
      </c>
      <c r="F6556" s="121" t="s">
        <v>3009</v>
      </c>
      <c r="G6556" s="98" t="str">
        <f>HYPERLINK("http://mirror.ff7data.com.ar/ff7/data/battle/battle.lgp/llbi.png","View Picture")</f>
        <v>View Picture</v>
      </c>
    </row>
    <row r="6557">
      <c r="A6557" s="82"/>
      <c r="B6557" s="119" t="s">
        <v>38639</v>
      </c>
      <c r="C6557" s="120" t="s">
        <v>4252</v>
      </c>
      <c r="D6557" s="33" t="s">
        <v>11122</v>
      </c>
      <c r="E6557" s="51" t="s">
        <v>1379</v>
      </c>
      <c r="F6557" s="121" t="s">
        <v>3009</v>
      </c>
      <c r="G6557" s="98" t="str">
        <f>HYPERLINK("http://mirror.ff7data.com.ar/ff7/data/battle/battle.lgp/llbj.png","View Picture")</f>
        <v>View Picture</v>
      </c>
    </row>
    <row r="6558">
      <c r="A6558" s="21"/>
      <c r="B6558" s="119" t="s">
        <v>38640</v>
      </c>
      <c r="C6558" s="120" t="s">
        <v>4185</v>
      </c>
      <c r="D6558" s="33" t="s">
        <v>11101</v>
      </c>
      <c r="E6558" s="51" t="s">
        <v>1379</v>
      </c>
      <c r="F6558" s="121" t="s">
        <v>3009</v>
      </c>
      <c r="G6558" s="98" t="str">
        <f>HYPERLINK("http://mirror.ff7data.com.ar/ff7/data/battle/battle.lgp/llbm.png","View Picture")</f>
        <v>View Picture</v>
      </c>
    </row>
    <row r="6559">
      <c r="A6559" s="21"/>
      <c r="B6559" s="119" t="s">
        <v>38641</v>
      </c>
      <c r="C6559" s="120" t="s">
        <v>4288</v>
      </c>
      <c r="D6559" s="33" t="s">
        <v>11114</v>
      </c>
      <c r="E6559" s="51" t="s">
        <v>1379</v>
      </c>
      <c r="F6559" s="121" t="s">
        <v>3009</v>
      </c>
      <c r="G6559" s="98" t="str">
        <f>HYPERLINK("http://mirror.ff7data.com.ar/ff7/data/battle/battle.lgp/llbn.png","View Picture")</f>
        <v>View Picture</v>
      </c>
    </row>
    <row r="6560">
      <c r="A6560" s="82"/>
      <c r="B6560" s="119" t="s">
        <v>38642</v>
      </c>
      <c r="C6560" s="120" t="s">
        <v>4252</v>
      </c>
      <c r="D6560" s="33" t="s">
        <v>11151</v>
      </c>
      <c r="E6560" s="51" t="s">
        <v>1379</v>
      </c>
      <c r="F6560" s="121" t="s">
        <v>3009</v>
      </c>
      <c r="G6560" s="98" t="str">
        <f>HYPERLINK("http://mirror.ff7data.com.ar/ff7/data/battle/battle.lgp/llbo.png","View Picture")</f>
        <v>View Picture</v>
      </c>
    </row>
    <row r="6561">
      <c r="A6561" s="82"/>
      <c r="B6561" s="119" t="s">
        <v>38643</v>
      </c>
      <c r="C6561" s="120" t="s">
        <v>4252</v>
      </c>
      <c r="D6561" s="33" t="s">
        <v>11161</v>
      </c>
      <c r="E6561" s="51" t="s">
        <v>1379</v>
      </c>
      <c r="F6561" s="121" t="s">
        <v>3009</v>
      </c>
      <c r="G6561" s="98" t="str">
        <f>HYPERLINK("http://mirror.ff7data.com.ar/ff7/data/battle/battle.lgp/llbq.png","View Picture")</f>
        <v>View Picture</v>
      </c>
    </row>
    <row r="6562">
      <c r="A6562" s="55"/>
      <c r="B6562" s="119" t="s">
        <v>38644</v>
      </c>
      <c r="C6562" s="120" t="s">
        <v>4228</v>
      </c>
      <c r="D6562" s="33" t="s">
        <v>10938</v>
      </c>
      <c r="E6562" s="51" t="s">
        <v>1379</v>
      </c>
      <c r="F6562" s="121" t="s">
        <v>3025</v>
      </c>
      <c r="H6562" s="46" t="s">
        <v>3002</v>
      </c>
    </row>
    <row r="6563">
      <c r="A6563" s="82"/>
      <c r="B6563" s="119" t="s">
        <v>38645</v>
      </c>
      <c r="C6563" s="120" t="s">
        <v>8845</v>
      </c>
      <c r="D6563" s="33" t="s">
        <v>27810</v>
      </c>
      <c r="E6563" s="51" t="s">
        <v>1382</v>
      </c>
      <c r="F6563" s="121" t="s">
        <v>2971</v>
      </c>
      <c r="G6563" s="98" t="str">
        <f>HYPERLINK("http://mirror.ff7data.com.ar/ff7/data/battle/battle.lgp/lmaa.png","View Picture")</f>
        <v>View Picture</v>
      </c>
      <c r="H6563" s="46" t="s">
        <v>38646</v>
      </c>
    </row>
    <row r="6564">
      <c r="A6564" s="55"/>
      <c r="B6564" s="119" t="s">
        <v>38647</v>
      </c>
      <c r="C6564" s="120" t="s">
        <v>3299</v>
      </c>
      <c r="D6564" s="33" t="s">
        <v>27823</v>
      </c>
      <c r="E6564" s="51" t="s">
        <v>1382</v>
      </c>
      <c r="F6564" s="121" t="s">
        <v>2993</v>
      </c>
      <c r="H6564" s="46" t="s">
        <v>3002</v>
      </c>
    </row>
    <row r="6565">
      <c r="A6565" s="82"/>
      <c r="B6565" s="119" t="s">
        <v>38648</v>
      </c>
      <c r="C6565" s="120" t="s">
        <v>3671</v>
      </c>
      <c r="D6565" s="33" t="s">
        <v>27831</v>
      </c>
      <c r="E6565" s="51" t="s">
        <v>1382</v>
      </c>
      <c r="F6565" s="121" t="s">
        <v>1348</v>
      </c>
      <c r="G6565" s="98" t="str">
        <f>HYPERLINK("http://mirror.ff7data.com.ar/ff7/data/battle/battle.lgp/lmac.png","View Picture")</f>
        <v>View Picture</v>
      </c>
    </row>
    <row r="6566">
      <c r="A6566" s="82"/>
      <c r="B6566" s="119" t="s">
        <v>38649</v>
      </c>
      <c r="C6566" s="120" t="s">
        <v>14502</v>
      </c>
      <c r="D6566" s="33" t="s">
        <v>27844</v>
      </c>
      <c r="E6566" s="51" t="s">
        <v>1382</v>
      </c>
      <c r="F6566" s="121" t="s">
        <v>3009</v>
      </c>
      <c r="G6566" s="98" t="str">
        <f>HYPERLINK("http://mirror.ff7data.com.ar/ff7/data/battle/battle.lgp/lmam.png","View Picture")</f>
        <v>View Picture</v>
      </c>
    </row>
    <row r="6567">
      <c r="A6567" s="82"/>
      <c r="B6567" s="119" t="s">
        <v>38650</v>
      </c>
      <c r="C6567" s="120" t="s">
        <v>3318</v>
      </c>
      <c r="D6567" s="33" t="s">
        <v>27868</v>
      </c>
      <c r="E6567" s="51" t="s">
        <v>1382</v>
      </c>
      <c r="F6567" s="121" t="s">
        <v>3009</v>
      </c>
      <c r="G6567" s="98" t="str">
        <f>HYPERLINK("http://mirror.ff7data.com.ar/ff7/data/battle/battle.lgp/lman.png","View Picture")</f>
        <v>View Picture</v>
      </c>
    </row>
    <row r="6568">
      <c r="A6568" s="82"/>
      <c r="B6568" s="119" t="s">
        <v>38651</v>
      </c>
      <c r="C6568" s="120" t="s">
        <v>7871</v>
      </c>
      <c r="D6568" s="33" t="s">
        <v>27889</v>
      </c>
      <c r="E6568" s="51" t="s">
        <v>1382</v>
      </c>
      <c r="F6568" s="121" t="s">
        <v>3009</v>
      </c>
      <c r="G6568" s="98" t="str">
        <f>HYPERLINK("http://mirror.ff7data.com.ar/ff7/data/battle/battle.lgp/lmao.png","View Picture")</f>
        <v>View Picture</v>
      </c>
    </row>
    <row r="6569">
      <c r="A6569" s="21"/>
      <c r="B6569" s="119" t="s">
        <v>38652</v>
      </c>
      <c r="C6569" s="120" t="s">
        <v>6029</v>
      </c>
      <c r="D6569" s="33" t="s">
        <v>27905</v>
      </c>
      <c r="E6569" s="51" t="s">
        <v>1382</v>
      </c>
      <c r="F6569" s="121" t="s">
        <v>3009</v>
      </c>
      <c r="G6569" s="98" t="str">
        <f>HYPERLINK("http://mirror.ff7data.com.ar/ff7/data/battle/battle.lgp/lmaq.png","View Picture")</f>
        <v>View Picture</v>
      </c>
    </row>
    <row r="6570">
      <c r="A6570" s="21"/>
      <c r="B6570" s="119" t="s">
        <v>38653</v>
      </c>
      <c r="C6570" s="120" t="s">
        <v>5419</v>
      </c>
      <c r="D6570" s="33" t="s">
        <v>27923</v>
      </c>
      <c r="E6570" s="51" t="s">
        <v>1382</v>
      </c>
      <c r="F6570" s="121" t="s">
        <v>3009</v>
      </c>
      <c r="G6570" s="98" t="str">
        <f>HYPERLINK("http://mirror.ff7data.com.ar/ff7/data/battle/battle.lgp/lmar.png","View Picture")</f>
        <v>View Picture</v>
      </c>
    </row>
    <row r="6571">
      <c r="A6571" s="21"/>
      <c r="B6571" s="119" t="s">
        <v>38654</v>
      </c>
      <c r="C6571" s="120" t="s">
        <v>4439</v>
      </c>
      <c r="D6571" s="33" t="s">
        <v>27941</v>
      </c>
      <c r="E6571" s="51" t="s">
        <v>1382</v>
      </c>
      <c r="F6571" s="121" t="s">
        <v>3009</v>
      </c>
      <c r="G6571" s="98" t="str">
        <f>HYPERLINK("http://mirror.ff7data.com.ar/ff7/data/battle/battle.lgp/lmas.png","View Picture")</f>
        <v>View Picture</v>
      </c>
    </row>
    <row r="6572">
      <c r="A6572" s="21"/>
      <c r="B6572" s="119" t="s">
        <v>38655</v>
      </c>
      <c r="C6572" s="120" t="s">
        <v>4439</v>
      </c>
      <c r="D6572" s="33" t="s">
        <v>27956</v>
      </c>
      <c r="E6572" s="51" t="s">
        <v>1382</v>
      </c>
      <c r="F6572" s="121" t="s">
        <v>3009</v>
      </c>
      <c r="G6572" s="98" t="str">
        <f>HYPERLINK("http://mirror.ff7data.com.ar/ff7/data/battle/battle.lgp/lmau.png","View Picture")</f>
        <v>View Picture</v>
      </c>
    </row>
    <row r="6573">
      <c r="A6573" s="21"/>
      <c r="B6573" s="119" t="s">
        <v>38656</v>
      </c>
      <c r="C6573" s="120" t="s">
        <v>6029</v>
      </c>
      <c r="D6573" s="33" t="s">
        <v>27905</v>
      </c>
      <c r="E6573" s="51" t="s">
        <v>1382</v>
      </c>
      <c r="F6573" s="121" t="s">
        <v>3009</v>
      </c>
      <c r="G6573" s="98" t="str">
        <f>HYPERLINK("http://mirror.ff7data.com.ar/ff7/data/battle/battle.lgp/lmaw.png","View Picture")</f>
        <v>View Picture</v>
      </c>
    </row>
    <row r="6574">
      <c r="A6574" s="21"/>
      <c r="B6574" s="119" t="s">
        <v>38657</v>
      </c>
      <c r="C6574" s="120" t="s">
        <v>4372</v>
      </c>
      <c r="D6574" s="33" t="s">
        <v>27923</v>
      </c>
      <c r="E6574" s="51" t="s">
        <v>1382</v>
      </c>
      <c r="F6574" s="121" t="s">
        <v>3009</v>
      </c>
      <c r="G6574" s="98" t="str">
        <f>HYPERLINK("http://mirror.ff7data.com.ar/ff7/data/battle/battle.lgp/lmax.png","View Picture")</f>
        <v>View Picture</v>
      </c>
    </row>
    <row r="6575">
      <c r="A6575" s="21"/>
      <c r="B6575" s="119" t="s">
        <v>38658</v>
      </c>
      <c r="C6575" s="120" t="s">
        <v>4439</v>
      </c>
      <c r="D6575" s="33" t="s">
        <v>27941</v>
      </c>
      <c r="E6575" s="51" t="s">
        <v>1382</v>
      </c>
      <c r="F6575" s="121" t="s">
        <v>3009</v>
      </c>
      <c r="G6575" s="98" t="str">
        <f>HYPERLINK("http://mirror.ff7data.com.ar/ff7/data/battle/battle.lgp/lmay.png","View Picture")</f>
        <v>View Picture</v>
      </c>
    </row>
    <row r="6576">
      <c r="A6576" s="21"/>
      <c r="B6576" s="119" t="s">
        <v>38659</v>
      </c>
      <c r="C6576" s="120" t="s">
        <v>4439</v>
      </c>
      <c r="D6576" s="33" t="s">
        <v>27956</v>
      </c>
      <c r="E6576" s="51" t="s">
        <v>1382</v>
      </c>
      <c r="F6576" s="121" t="s">
        <v>3009</v>
      </c>
      <c r="G6576" s="98" t="str">
        <f>HYPERLINK("http://mirror.ff7data.com.ar/ff7/data/battle/battle.lgp/lmba.png","View Picture")</f>
        <v>View Picture</v>
      </c>
    </row>
    <row r="6577">
      <c r="A6577" s="21"/>
      <c r="B6577" s="119" t="s">
        <v>38660</v>
      </c>
      <c r="C6577" s="120" t="s">
        <v>4185</v>
      </c>
      <c r="D6577" s="33" t="s">
        <v>28015</v>
      </c>
      <c r="E6577" s="51" t="s">
        <v>1382</v>
      </c>
      <c r="F6577" s="121" t="s">
        <v>3009</v>
      </c>
      <c r="G6577" s="98" t="str">
        <f>HYPERLINK("http://mirror.ff7data.com.ar/ff7/data/battle/battle.lgp/lmbd.png","View Picture")</f>
        <v>View Picture</v>
      </c>
    </row>
    <row r="6578">
      <c r="A6578" s="21"/>
      <c r="B6578" s="119" t="s">
        <v>38661</v>
      </c>
      <c r="C6578" s="120" t="s">
        <v>7148</v>
      </c>
      <c r="D6578" s="33" t="s">
        <v>28024</v>
      </c>
      <c r="E6578" s="51" t="s">
        <v>1382</v>
      </c>
      <c r="F6578" s="121" t="s">
        <v>3009</v>
      </c>
      <c r="G6578" s="98" t="str">
        <f>HYPERLINK("http://mirror.ff7data.com.ar/ff7/data/battle/battle.lgp/lmbe.png","View Picture")</f>
        <v>View Picture</v>
      </c>
    </row>
    <row r="6579">
      <c r="A6579" s="82"/>
      <c r="B6579" s="119" t="s">
        <v>38662</v>
      </c>
      <c r="C6579" s="120" t="s">
        <v>4252</v>
      </c>
      <c r="D6579" s="33" t="s">
        <v>28035</v>
      </c>
      <c r="E6579" s="51" t="s">
        <v>1382</v>
      </c>
      <c r="F6579" s="121" t="s">
        <v>3009</v>
      </c>
      <c r="G6579" s="98" t="str">
        <f>HYPERLINK("http://mirror.ff7data.com.ar/ff7/data/battle/battle.lgp/lmbf.png","View Picture")</f>
        <v>View Picture</v>
      </c>
    </row>
    <row r="6580">
      <c r="A6580" s="21"/>
      <c r="B6580" s="119" t="s">
        <v>38663</v>
      </c>
      <c r="C6580" s="120" t="s">
        <v>4185</v>
      </c>
      <c r="D6580" s="33" t="s">
        <v>28015</v>
      </c>
      <c r="E6580" s="51" t="s">
        <v>1382</v>
      </c>
      <c r="F6580" s="121" t="s">
        <v>3009</v>
      </c>
      <c r="G6580" s="98" t="str">
        <f>HYPERLINK("http://mirror.ff7data.com.ar/ff7/data/battle/battle.lgp/lmbi.png","View Picture")</f>
        <v>View Picture</v>
      </c>
    </row>
    <row r="6581">
      <c r="A6581" s="21"/>
      <c r="B6581" s="119" t="s">
        <v>38664</v>
      </c>
      <c r="C6581" s="120" t="s">
        <v>7148</v>
      </c>
      <c r="D6581" s="33" t="s">
        <v>28024</v>
      </c>
      <c r="E6581" s="51" t="s">
        <v>1382</v>
      </c>
      <c r="F6581" s="121" t="s">
        <v>3009</v>
      </c>
      <c r="G6581" s="98" t="str">
        <f>HYPERLINK("http://mirror.ff7data.com.ar/ff7/data/battle/battle.lgp/lmbj.png","View Picture")</f>
        <v>View Picture</v>
      </c>
    </row>
    <row r="6582">
      <c r="A6582" s="82"/>
      <c r="B6582" s="119" t="s">
        <v>38665</v>
      </c>
      <c r="C6582" s="120" t="s">
        <v>4252</v>
      </c>
      <c r="D6582" s="33" t="s">
        <v>28066</v>
      </c>
      <c r="E6582" s="51" t="s">
        <v>1382</v>
      </c>
      <c r="F6582" s="121" t="s">
        <v>3009</v>
      </c>
      <c r="G6582" s="98" t="str">
        <f>HYPERLINK("http://mirror.ff7data.com.ar/ff7/data/battle/battle.lgp/lmbk.png","View Picture")</f>
        <v>View Picture</v>
      </c>
    </row>
    <row r="6583">
      <c r="A6583" s="55"/>
      <c r="B6583" s="119" t="s">
        <v>38666</v>
      </c>
      <c r="C6583" s="120" t="s">
        <v>4841</v>
      </c>
      <c r="D6583" s="33" t="s">
        <v>27823</v>
      </c>
      <c r="E6583" s="51" t="s">
        <v>1382</v>
      </c>
      <c r="F6583" s="121" t="s">
        <v>3025</v>
      </c>
      <c r="H6583" s="46" t="s">
        <v>3002</v>
      </c>
    </row>
    <row r="6584">
      <c r="A6584" s="21"/>
      <c r="B6584" s="119" t="s">
        <v>38667</v>
      </c>
      <c r="C6584" s="120" t="s">
        <v>3007</v>
      </c>
      <c r="D6584" s="33" t="s">
        <v>38668</v>
      </c>
      <c r="E6584" s="51" t="s">
        <v>1385</v>
      </c>
      <c r="F6584" s="121" t="s">
        <v>2971</v>
      </c>
      <c r="G6584" s="98" t="str">
        <f>HYPERLINK("http://mirror.ff7data.com.ar/ff7/data/battle/battle.lgp/lnaa.png","View Picture")</f>
        <v>View Picture</v>
      </c>
    </row>
    <row r="6585">
      <c r="A6585" s="55"/>
      <c r="B6585" s="119" t="s">
        <v>38669</v>
      </c>
      <c r="C6585" s="120" t="s">
        <v>11732</v>
      </c>
      <c r="D6585" s="33" t="s">
        <v>38670</v>
      </c>
      <c r="E6585" s="51" t="s">
        <v>1385</v>
      </c>
      <c r="F6585" s="121" t="s">
        <v>2993</v>
      </c>
      <c r="H6585" s="46" t="s">
        <v>3002</v>
      </c>
    </row>
    <row r="6586">
      <c r="A6586" s="55"/>
      <c r="B6586" s="119" t="s">
        <v>38671</v>
      </c>
      <c r="C6586" s="120" t="s">
        <v>3997</v>
      </c>
      <c r="D6586" s="33" t="s">
        <v>38670</v>
      </c>
      <c r="E6586" s="51" t="s">
        <v>1385</v>
      </c>
      <c r="F6586" s="121" t="s">
        <v>1348</v>
      </c>
      <c r="G6586" s="98" t="str">
        <f>HYPERLINK("http://mirror.ff7data.com.ar/ff7/data/battle/battle.lgp/lnac.png","View Picture")</f>
        <v>View Picture</v>
      </c>
    </row>
    <row r="6587">
      <c r="A6587" s="55"/>
      <c r="B6587" s="119" t="s">
        <v>38672</v>
      </c>
      <c r="C6587" s="120" t="s">
        <v>5967</v>
      </c>
      <c r="D6587" s="33" t="s">
        <v>38670</v>
      </c>
      <c r="E6587" s="51" t="s">
        <v>1385</v>
      </c>
      <c r="F6587" s="121" t="s">
        <v>3009</v>
      </c>
      <c r="G6587" s="98" t="str">
        <f>HYPERLINK("http://mirror.ff7data.com.ar/ff7/data/battle/battle.lgp/lnam.png","View Picture")</f>
        <v>View Picture</v>
      </c>
    </row>
    <row r="6588">
      <c r="A6588" s="55"/>
      <c r="B6588" s="119" t="s">
        <v>38673</v>
      </c>
      <c r="C6588" s="120" t="s">
        <v>26433</v>
      </c>
      <c r="D6588" s="33" t="s">
        <v>38670</v>
      </c>
      <c r="E6588" s="51" t="s">
        <v>1385</v>
      </c>
      <c r="F6588" s="121" t="s">
        <v>3009</v>
      </c>
      <c r="G6588" s="98" t="str">
        <f>HYPERLINK("http://mirror.ff7data.com.ar/ff7/data/battle/battle.lgp/lnan.png","View Picture")</f>
        <v>View Picture</v>
      </c>
    </row>
    <row r="6589">
      <c r="A6589" s="55"/>
      <c r="B6589" s="119" t="s">
        <v>38674</v>
      </c>
      <c r="C6589" s="120" t="s">
        <v>6018</v>
      </c>
      <c r="D6589" s="33" t="s">
        <v>38670</v>
      </c>
      <c r="E6589" s="51" t="s">
        <v>1385</v>
      </c>
      <c r="F6589" s="121" t="s">
        <v>3009</v>
      </c>
      <c r="G6589" s="98" t="str">
        <f>HYPERLINK("http://mirror.ff7data.com.ar/ff7/data/battle/battle.lgp/lnao.png","View Picture")</f>
        <v>View Picture</v>
      </c>
    </row>
    <row r="6590">
      <c r="A6590" s="55"/>
      <c r="B6590" s="119" t="s">
        <v>38675</v>
      </c>
      <c r="C6590" s="120" t="s">
        <v>34499</v>
      </c>
      <c r="D6590" s="33" t="s">
        <v>38670</v>
      </c>
      <c r="E6590" s="51" t="s">
        <v>1385</v>
      </c>
      <c r="F6590" s="121" t="s">
        <v>3009</v>
      </c>
      <c r="G6590" s="98" t="str">
        <f>HYPERLINK("http://mirror.ff7data.com.ar/ff7/data/battle/battle.lgp/lnas.png","View Picture")</f>
        <v>View Picture</v>
      </c>
    </row>
    <row r="6591">
      <c r="A6591" s="55"/>
      <c r="B6591" s="119" t="s">
        <v>38676</v>
      </c>
      <c r="C6591" s="120" t="s">
        <v>3723</v>
      </c>
      <c r="D6591" s="33" t="s">
        <v>38670</v>
      </c>
      <c r="E6591" s="51" t="s">
        <v>1385</v>
      </c>
      <c r="F6591" s="121" t="s">
        <v>3009</v>
      </c>
      <c r="G6591" s="98" t="str">
        <f>HYPERLINK("http://mirror.ff7data.com.ar/ff7/data/battle/battle.lgp/lnat.png","View Picture")</f>
        <v>View Picture</v>
      </c>
    </row>
    <row r="6592">
      <c r="A6592" s="55"/>
      <c r="B6592" s="119" t="s">
        <v>38677</v>
      </c>
      <c r="C6592" s="120" t="s">
        <v>5967</v>
      </c>
      <c r="D6592" s="33" t="s">
        <v>38670</v>
      </c>
      <c r="E6592" s="51" t="s">
        <v>1385</v>
      </c>
      <c r="F6592" s="121" t="s">
        <v>3009</v>
      </c>
      <c r="G6592" s="98" t="str">
        <f>HYPERLINK("http://mirror.ff7data.com.ar/ff7/data/battle/battle.lgp/lnau.png","View Picture")</f>
        <v>View Picture</v>
      </c>
    </row>
    <row r="6593">
      <c r="A6593" s="55"/>
      <c r="B6593" s="119" t="s">
        <v>38678</v>
      </c>
      <c r="C6593" s="120" t="s">
        <v>5419</v>
      </c>
      <c r="D6593" s="33" t="s">
        <v>38670</v>
      </c>
      <c r="E6593" s="51" t="s">
        <v>1385</v>
      </c>
      <c r="F6593" s="121" t="s">
        <v>3009</v>
      </c>
      <c r="G6593" s="98" t="str">
        <f>HYPERLINK("http://mirror.ff7data.com.ar/ff7/data/battle/battle.lgp/lnav.png","View Picture")</f>
        <v>View Picture</v>
      </c>
    </row>
    <row r="6594">
      <c r="A6594" s="55"/>
      <c r="B6594" s="119" t="s">
        <v>38679</v>
      </c>
      <c r="C6594" s="120" t="s">
        <v>9112</v>
      </c>
      <c r="D6594" s="33" t="s">
        <v>38670</v>
      </c>
      <c r="E6594" s="51" t="s">
        <v>1385</v>
      </c>
      <c r="F6594" s="121" t="s">
        <v>3009</v>
      </c>
      <c r="G6594" s="98" t="str">
        <f>HYPERLINK("http://mirror.ff7data.com.ar/ff7/data/battle/battle.lgp/lnaw.png","View Picture")</f>
        <v>View Picture</v>
      </c>
    </row>
    <row r="6595">
      <c r="A6595" s="55"/>
      <c r="B6595" s="119" t="s">
        <v>38680</v>
      </c>
      <c r="C6595" s="120" t="s">
        <v>4185</v>
      </c>
      <c r="D6595" s="33" t="s">
        <v>38670</v>
      </c>
      <c r="E6595" s="51" t="s">
        <v>1385</v>
      </c>
      <c r="F6595" s="121" t="s">
        <v>3009</v>
      </c>
      <c r="G6595" s="98" t="str">
        <f>HYPERLINK("http://mirror.ff7data.com.ar/ff7/data/battle/battle.lgp/lnaz.png","View Picture")</f>
        <v>View Picture</v>
      </c>
    </row>
    <row r="6596">
      <c r="A6596" s="55"/>
      <c r="B6596" s="119" t="s">
        <v>38681</v>
      </c>
      <c r="C6596" s="120" t="s">
        <v>3494</v>
      </c>
      <c r="D6596" s="33" t="s">
        <v>38670</v>
      </c>
      <c r="E6596" s="51" t="s">
        <v>1385</v>
      </c>
      <c r="F6596" s="121" t="s">
        <v>3009</v>
      </c>
      <c r="G6596" s="98" t="str">
        <f>HYPERLINK("http://mirror.ff7data.com.ar/ff7/data/battle/battle.lgp/lnba.png","View Picture")</f>
        <v>View Picture</v>
      </c>
    </row>
    <row r="6597">
      <c r="A6597" s="55"/>
      <c r="B6597" s="119" t="s">
        <v>38682</v>
      </c>
      <c r="C6597" s="120" t="s">
        <v>4719</v>
      </c>
      <c r="D6597" s="33" t="s">
        <v>38670</v>
      </c>
      <c r="E6597" s="51" t="s">
        <v>1385</v>
      </c>
      <c r="F6597" s="121" t="s">
        <v>3009</v>
      </c>
      <c r="G6597" s="98" t="str">
        <f>HYPERLINK("http://mirror.ff7data.com.ar/ff7/data/battle/battle.lgp/lnbc.png","View Picture")</f>
        <v>View Picture</v>
      </c>
    </row>
    <row r="6598">
      <c r="A6598" s="55"/>
      <c r="B6598" s="119" t="s">
        <v>38683</v>
      </c>
      <c r="C6598" s="120" t="s">
        <v>10078</v>
      </c>
      <c r="D6598" s="33" t="s">
        <v>38670</v>
      </c>
      <c r="E6598" s="51" t="s">
        <v>1385</v>
      </c>
      <c r="F6598" s="121" t="s">
        <v>3009</v>
      </c>
      <c r="G6598" s="98" t="str">
        <f>HYPERLINK("http://mirror.ff7data.com.ar/ff7/data/battle/battle.lgp/lnbd.png","View Picture")</f>
        <v>View Picture</v>
      </c>
    </row>
    <row r="6599">
      <c r="A6599" s="55"/>
      <c r="B6599" s="119" t="s">
        <v>38684</v>
      </c>
      <c r="C6599" s="120" t="s">
        <v>4156</v>
      </c>
      <c r="D6599" s="33" t="s">
        <v>38670</v>
      </c>
      <c r="E6599" s="51" t="s">
        <v>1385</v>
      </c>
      <c r="F6599" s="121" t="s">
        <v>3009</v>
      </c>
      <c r="G6599" s="98" t="str">
        <f>HYPERLINK("http://mirror.ff7data.com.ar/ff7/data/battle/battle.lgp/lnbg.png","View Picture")</f>
        <v>View Picture</v>
      </c>
    </row>
    <row r="6600">
      <c r="A6600" s="55"/>
      <c r="B6600" s="119" t="s">
        <v>38685</v>
      </c>
      <c r="C6600" s="120" t="s">
        <v>3723</v>
      </c>
      <c r="D6600" s="33" t="s">
        <v>38670</v>
      </c>
      <c r="E6600" s="51" t="s">
        <v>1385</v>
      </c>
      <c r="F6600" s="121" t="s">
        <v>3009</v>
      </c>
      <c r="G6600" s="98" t="str">
        <f>HYPERLINK("http://mirror.ff7data.com.ar/ff7/data/battle/battle.lgp/lnbh.png","View Picture")</f>
        <v>View Picture</v>
      </c>
    </row>
    <row r="6601">
      <c r="A6601" s="55"/>
      <c r="B6601" s="119" t="s">
        <v>38686</v>
      </c>
      <c r="C6601" s="120" t="s">
        <v>3671</v>
      </c>
      <c r="D6601" s="33" t="s">
        <v>38670</v>
      </c>
      <c r="E6601" s="51" t="s">
        <v>1385</v>
      </c>
      <c r="F6601" s="121" t="s">
        <v>3009</v>
      </c>
      <c r="G6601" s="98" t="str">
        <f>HYPERLINK("http://mirror.ff7data.com.ar/ff7/data/battle/battle.lgp/lnbi.png","View Picture")</f>
        <v>View Picture</v>
      </c>
    </row>
    <row r="6602">
      <c r="A6602" s="55"/>
      <c r="B6602" s="119" t="s">
        <v>38687</v>
      </c>
      <c r="C6602" s="120" t="s">
        <v>4057</v>
      </c>
      <c r="D6602" s="33" t="s">
        <v>38670</v>
      </c>
      <c r="E6602" s="51" t="s">
        <v>1385</v>
      </c>
      <c r="F6602" s="121" t="s">
        <v>3009</v>
      </c>
      <c r="G6602" s="98" t="str">
        <f>HYPERLINK("http://mirror.ff7data.com.ar/ff7/data/battle/battle.lgp/lnbj.png","View Picture")</f>
        <v>View Picture</v>
      </c>
    </row>
    <row r="6603">
      <c r="A6603" s="55"/>
      <c r="B6603" s="119" t="s">
        <v>38688</v>
      </c>
      <c r="C6603" s="120" t="s">
        <v>9112</v>
      </c>
      <c r="D6603" s="33" t="s">
        <v>38670</v>
      </c>
      <c r="E6603" s="51" t="s">
        <v>1385</v>
      </c>
      <c r="F6603" s="121" t="s">
        <v>3009</v>
      </c>
      <c r="G6603" s="98" t="str">
        <f>HYPERLINK("http://mirror.ff7data.com.ar/ff7/data/battle/battle.lgp/lnbk.png","View Picture")</f>
        <v>View Picture</v>
      </c>
    </row>
    <row r="6604">
      <c r="A6604" s="55"/>
      <c r="B6604" s="119" t="s">
        <v>38689</v>
      </c>
      <c r="C6604" s="120" t="s">
        <v>4185</v>
      </c>
      <c r="D6604" s="33" t="s">
        <v>38670</v>
      </c>
      <c r="E6604" s="51" t="s">
        <v>1385</v>
      </c>
      <c r="F6604" s="121" t="s">
        <v>3009</v>
      </c>
      <c r="G6604" s="98" t="str">
        <f>HYPERLINK("http://mirror.ff7data.com.ar/ff7/data/battle/battle.lgp/lnbm.png","View Picture")</f>
        <v>View Picture</v>
      </c>
    </row>
    <row r="6605">
      <c r="A6605" s="55"/>
      <c r="B6605" s="119" t="s">
        <v>38690</v>
      </c>
      <c r="C6605" s="120" t="s">
        <v>3434</v>
      </c>
      <c r="D6605" s="33" t="s">
        <v>38670</v>
      </c>
      <c r="E6605" s="51" t="s">
        <v>1385</v>
      </c>
      <c r="F6605" s="121" t="s">
        <v>3009</v>
      </c>
      <c r="G6605" s="98" t="str">
        <f>HYPERLINK("http://mirror.ff7data.com.ar/ff7/data/battle/battle.lgp/lnbn.png","View Picture")</f>
        <v>View Picture</v>
      </c>
    </row>
    <row r="6606">
      <c r="A6606" s="55"/>
      <c r="B6606" s="119" t="s">
        <v>38691</v>
      </c>
      <c r="C6606" s="120" t="s">
        <v>4719</v>
      </c>
      <c r="D6606" s="33" t="s">
        <v>38670</v>
      </c>
      <c r="E6606" s="51" t="s">
        <v>1385</v>
      </c>
      <c r="F6606" s="121" t="s">
        <v>3009</v>
      </c>
      <c r="G6606" s="98" t="str">
        <f>HYPERLINK("http://mirror.ff7data.com.ar/ff7/data/battle/battle.lgp/lnbp.png","View Picture")</f>
        <v>View Picture</v>
      </c>
    </row>
    <row r="6607">
      <c r="A6607" s="55"/>
      <c r="B6607" s="119" t="s">
        <v>38692</v>
      </c>
      <c r="C6607" s="120" t="s">
        <v>10078</v>
      </c>
      <c r="D6607" s="33" t="s">
        <v>38670</v>
      </c>
      <c r="E6607" s="51" t="s">
        <v>1385</v>
      </c>
      <c r="F6607" s="121" t="s">
        <v>3009</v>
      </c>
      <c r="G6607" s="98" t="str">
        <f>HYPERLINK("http://mirror.ff7data.com.ar/ff7/data/battle/battle.lgp/lnbq.png","View Picture")</f>
        <v>View Picture</v>
      </c>
    </row>
    <row r="6608">
      <c r="A6608" s="55"/>
      <c r="B6608" s="119" t="s">
        <v>38693</v>
      </c>
      <c r="C6608" s="120" t="s">
        <v>4841</v>
      </c>
      <c r="D6608" s="33" t="s">
        <v>38670</v>
      </c>
      <c r="E6608" s="51" t="s">
        <v>1385</v>
      </c>
      <c r="F6608" s="121" t="s">
        <v>3009</v>
      </c>
      <c r="G6608" s="98" t="str">
        <f>HYPERLINK("http://mirror.ff7data.com.ar/ff7/data/battle/battle.lgp/lnbu.png","View Picture")</f>
        <v>View Picture</v>
      </c>
    </row>
    <row r="6609">
      <c r="A6609" s="55"/>
      <c r="B6609" s="119" t="s">
        <v>38694</v>
      </c>
      <c r="C6609" s="120" t="s">
        <v>6830</v>
      </c>
      <c r="D6609" s="33" t="s">
        <v>38670</v>
      </c>
      <c r="E6609" s="51" t="s">
        <v>1385</v>
      </c>
      <c r="F6609" s="121" t="s">
        <v>3009</v>
      </c>
      <c r="G6609" s="98" t="str">
        <f>HYPERLINK("http://mirror.ff7data.com.ar/ff7/data/battle/battle.lgp/lnby.png","View Picture")</f>
        <v>View Picture</v>
      </c>
    </row>
    <row r="6610">
      <c r="A6610" s="55"/>
      <c r="B6610" s="119" t="s">
        <v>38695</v>
      </c>
      <c r="C6610" s="120" t="s">
        <v>3723</v>
      </c>
      <c r="D6610" s="33" t="s">
        <v>38670</v>
      </c>
      <c r="E6610" s="51" t="s">
        <v>1385</v>
      </c>
      <c r="F6610" s="121" t="s">
        <v>3009</v>
      </c>
      <c r="G6610" s="98" t="str">
        <f>HYPERLINK("http://mirror.ff7data.com.ar/ff7/data/battle/battle.lgp/lnca.png","View Picture")</f>
        <v>View Picture</v>
      </c>
    </row>
    <row r="6611">
      <c r="A6611" s="55"/>
      <c r="B6611" s="119" t="s">
        <v>38696</v>
      </c>
      <c r="C6611" s="120" t="s">
        <v>14030</v>
      </c>
      <c r="D6611" s="33" t="s">
        <v>38670</v>
      </c>
      <c r="E6611" s="51" t="s">
        <v>1385</v>
      </c>
      <c r="F6611" s="121" t="s">
        <v>3009</v>
      </c>
      <c r="G6611" s="98" t="str">
        <f>HYPERLINK("http://mirror.ff7data.com.ar/ff7/data/battle/battle.lgp/lncb.png","View Picture")</f>
        <v>View Picture</v>
      </c>
    </row>
    <row r="6612">
      <c r="A6612" s="55"/>
      <c r="B6612" s="119" t="s">
        <v>38697</v>
      </c>
      <c r="C6612" s="120" t="s">
        <v>19628</v>
      </c>
      <c r="D6612" s="33" t="s">
        <v>38670</v>
      </c>
      <c r="E6612" s="51" t="s">
        <v>1385</v>
      </c>
      <c r="F6612" s="121" t="s">
        <v>3009</v>
      </c>
      <c r="G6612" s="98" t="str">
        <f>HYPERLINK("http://mirror.ff7data.com.ar/ff7/data/battle/battle.lgp/lnce.png","View Picture")</f>
        <v>View Picture</v>
      </c>
    </row>
    <row r="6613">
      <c r="A6613" s="55"/>
      <c r="B6613" s="119" t="s">
        <v>38698</v>
      </c>
      <c r="C6613" s="120" t="s">
        <v>3723</v>
      </c>
      <c r="D6613" s="33" t="s">
        <v>38670</v>
      </c>
      <c r="E6613" s="51" t="s">
        <v>1385</v>
      </c>
      <c r="F6613" s="121" t="s">
        <v>3009</v>
      </c>
      <c r="G6613" s="98" t="str">
        <f>HYPERLINK("http://mirror.ff7data.com.ar/ff7/data/battle/battle.lgp/lncf.png","View Picture")</f>
        <v>View Picture</v>
      </c>
    </row>
    <row r="6614">
      <c r="A6614" s="55"/>
      <c r="B6614" s="119" t="s">
        <v>38699</v>
      </c>
      <c r="C6614" s="120" t="s">
        <v>13957</v>
      </c>
      <c r="D6614" s="33" t="s">
        <v>38670</v>
      </c>
      <c r="E6614" s="51" t="s">
        <v>1385</v>
      </c>
      <c r="F6614" s="121" t="s">
        <v>3009</v>
      </c>
      <c r="G6614" s="98" t="str">
        <f>HYPERLINK("http://mirror.ff7data.com.ar/ff7/data/battle/battle.lgp/lncg.png","View Picture")</f>
        <v>View Picture</v>
      </c>
    </row>
    <row r="6615">
      <c r="A6615" s="55"/>
      <c r="B6615" s="119" t="s">
        <v>38700</v>
      </c>
      <c r="C6615" s="120" t="s">
        <v>36619</v>
      </c>
      <c r="D6615" s="33" t="s">
        <v>38670</v>
      </c>
      <c r="E6615" s="51" t="s">
        <v>1385</v>
      </c>
      <c r="F6615" s="121" t="s">
        <v>3025</v>
      </c>
      <c r="H6615" s="46" t="s">
        <v>3002</v>
      </c>
    </row>
    <row r="6616">
      <c r="A6616" s="82"/>
      <c r="B6616" s="119" t="s">
        <v>38701</v>
      </c>
      <c r="C6616" s="120" t="s">
        <v>11721</v>
      </c>
      <c r="D6616" s="33" t="s">
        <v>38702</v>
      </c>
      <c r="E6616" s="51" t="s">
        <v>1428</v>
      </c>
      <c r="F6616" s="121" t="s">
        <v>2971</v>
      </c>
      <c r="G6616" s="98" t="str">
        <f>HYPERLINK("http://mirror.ff7data.com.ar/ff7/data/battle/battle.lgp/loaa.png","View Picture")</f>
        <v>View Picture</v>
      </c>
    </row>
    <row r="6617">
      <c r="A6617" s="55"/>
      <c r="B6617" s="119" t="s">
        <v>38703</v>
      </c>
      <c r="C6617" s="120" t="s">
        <v>4846</v>
      </c>
      <c r="D6617" s="33" t="s">
        <v>38704</v>
      </c>
      <c r="E6617" s="51" t="s">
        <v>1428</v>
      </c>
      <c r="F6617" s="121" t="s">
        <v>2993</v>
      </c>
      <c r="H6617" s="46" t="s">
        <v>3002</v>
      </c>
    </row>
    <row r="6618">
      <c r="A6618" s="82"/>
      <c r="B6618" s="119" t="s">
        <v>38705</v>
      </c>
      <c r="C6618" s="120" t="s">
        <v>4841</v>
      </c>
      <c r="D6618" s="33" t="s">
        <v>38706</v>
      </c>
      <c r="E6618" s="51" t="s">
        <v>1428</v>
      </c>
      <c r="F6618" s="121" t="s">
        <v>3009</v>
      </c>
      <c r="G6618" s="98" t="str">
        <f>HYPERLINK("http://mirror.ff7data.com.ar/ff7/data/battle/battle.lgp/loam.png","View Picture")</f>
        <v>View Picture</v>
      </c>
    </row>
    <row r="6619">
      <c r="A6619" s="55"/>
      <c r="B6619" s="119" t="s">
        <v>38707</v>
      </c>
      <c r="C6619" s="120" t="s">
        <v>3370</v>
      </c>
      <c r="D6619" s="33" t="s">
        <v>38704</v>
      </c>
      <c r="E6619" s="51" t="s">
        <v>1428</v>
      </c>
      <c r="F6619" s="121" t="s">
        <v>3025</v>
      </c>
      <c r="H6619" s="46" t="s">
        <v>3002</v>
      </c>
    </row>
    <row r="6620">
      <c r="A6620" s="21"/>
      <c r="B6620" s="119" t="s">
        <v>38708</v>
      </c>
      <c r="C6620" s="120" t="s">
        <v>4196</v>
      </c>
      <c r="D6620" s="33" t="s">
        <v>38709</v>
      </c>
      <c r="E6620" s="51" t="s">
        <v>1431</v>
      </c>
      <c r="F6620" s="121" t="s">
        <v>2971</v>
      </c>
      <c r="G6620" s="98" t="str">
        <f>HYPERLINK("http://mirror.ff7data.com.ar/ff7/data/battle/battle.lgp/lpaa.png","View Picture")</f>
        <v>View Picture</v>
      </c>
      <c r="H6620" s="46" t="s">
        <v>38710</v>
      </c>
    </row>
    <row r="6621">
      <c r="A6621" s="55"/>
      <c r="B6621" s="119" t="s">
        <v>38711</v>
      </c>
      <c r="C6621" s="120" t="s">
        <v>11942</v>
      </c>
      <c r="D6621" s="33" t="s">
        <v>38712</v>
      </c>
      <c r="E6621" s="51" t="s">
        <v>1431</v>
      </c>
      <c r="F6621" s="121" t="s">
        <v>2993</v>
      </c>
      <c r="H6621" s="46" t="s">
        <v>3002</v>
      </c>
    </row>
    <row r="6622">
      <c r="A6622" s="55"/>
      <c r="B6622" s="119" t="s">
        <v>38713</v>
      </c>
      <c r="C6622" s="120" t="s">
        <v>3842</v>
      </c>
      <c r="D6622" s="33" t="s">
        <v>38712</v>
      </c>
      <c r="E6622" s="51" t="s">
        <v>1431</v>
      </c>
      <c r="F6622" s="121" t="s">
        <v>3009</v>
      </c>
      <c r="G6622" s="98" t="str">
        <f>HYPERLINK("http://mirror.ff7data.com.ar/ff7/data/battle/battle.lgp/lpam.png","View Picture")</f>
        <v>View Picture</v>
      </c>
    </row>
    <row r="6623">
      <c r="A6623" s="55"/>
      <c r="B6623" s="119" t="s">
        <v>38714</v>
      </c>
      <c r="C6623" s="120" t="s">
        <v>5925</v>
      </c>
      <c r="D6623" s="33" t="s">
        <v>38712</v>
      </c>
      <c r="E6623" s="51" t="s">
        <v>1431</v>
      </c>
      <c r="F6623" s="121" t="s">
        <v>3009</v>
      </c>
      <c r="G6623" s="98" t="str">
        <f>HYPERLINK("http://mirror.ff7data.com.ar/ff7/data/battle/battle.lgp/lpan.png","View Picture")</f>
        <v>View Picture</v>
      </c>
    </row>
    <row r="6624">
      <c r="A6624" s="55"/>
      <c r="B6624" s="119" t="s">
        <v>38715</v>
      </c>
      <c r="C6624" s="120" t="s">
        <v>11962</v>
      </c>
      <c r="D6624" s="33" t="s">
        <v>38712</v>
      </c>
      <c r="E6624" s="51" t="s">
        <v>1431</v>
      </c>
      <c r="F6624" s="121" t="s">
        <v>3009</v>
      </c>
      <c r="G6624" s="98" t="str">
        <f>HYPERLINK("http://mirror.ff7data.com.ar/ff7/data/battle/battle.lgp/lpao.png","View Picture")</f>
        <v>View Picture</v>
      </c>
    </row>
    <row r="6625">
      <c r="A6625" s="55"/>
      <c r="B6625" s="119" t="s">
        <v>38716</v>
      </c>
      <c r="C6625" s="120" t="s">
        <v>10078</v>
      </c>
      <c r="D6625" s="33" t="s">
        <v>38712</v>
      </c>
      <c r="E6625" s="51" t="s">
        <v>1431</v>
      </c>
      <c r="F6625" s="121" t="s">
        <v>3009</v>
      </c>
      <c r="G6625" s="98" t="str">
        <f>HYPERLINK("http://mirror.ff7data.com.ar/ff7/data/battle/battle.lgp/lpar.png","View Picture")</f>
        <v>View Picture</v>
      </c>
    </row>
    <row r="6626">
      <c r="A6626" s="55"/>
      <c r="B6626" s="119" t="s">
        <v>38717</v>
      </c>
      <c r="C6626" s="120" t="s">
        <v>4439</v>
      </c>
      <c r="D6626" s="33" t="s">
        <v>38712</v>
      </c>
      <c r="E6626" s="51" t="s">
        <v>1431</v>
      </c>
      <c r="F6626" s="121" t="s">
        <v>3009</v>
      </c>
      <c r="G6626" s="98" t="str">
        <f>HYPERLINK("http://mirror.ff7data.com.ar/ff7/data/battle/battle.lgp/lpas.png","View Picture")</f>
        <v>View Picture</v>
      </c>
    </row>
    <row r="6627">
      <c r="A6627" s="55"/>
      <c r="B6627" s="119" t="s">
        <v>38718</v>
      </c>
      <c r="C6627" s="120" t="s">
        <v>4217</v>
      </c>
      <c r="D6627" s="33" t="s">
        <v>38712</v>
      </c>
      <c r="E6627" s="51" t="s">
        <v>1431</v>
      </c>
      <c r="F6627" s="121" t="s">
        <v>3009</v>
      </c>
      <c r="G6627" s="98" t="str">
        <f>HYPERLINK("http://mirror.ff7data.com.ar/ff7/data/battle/battle.lgp/lpat.png","View Picture")</f>
        <v>View Picture</v>
      </c>
    </row>
    <row r="6628">
      <c r="A6628" s="55"/>
      <c r="B6628" s="119" t="s">
        <v>38719</v>
      </c>
      <c r="C6628" s="120" t="s">
        <v>10078</v>
      </c>
      <c r="D6628" s="33" t="s">
        <v>38712</v>
      </c>
      <c r="E6628" s="51" t="s">
        <v>1431</v>
      </c>
      <c r="F6628" s="121" t="s">
        <v>3009</v>
      </c>
      <c r="G6628" s="98" t="str">
        <f>HYPERLINK("http://mirror.ff7data.com.ar/ff7/data/battle/battle.lgp/lpaw.png","View Picture")</f>
        <v>View Picture</v>
      </c>
    </row>
    <row r="6629">
      <c r="A6629" s="55"/>
      <c r="B6629" s="119" t="s">
        <v>38720</v>
      </c>
      <c r="C6629" s="120" t="s">
        <v>4732</v>
      </c>
      <c r="D6629" s="33" t="s">
        <v>38712</v>
      </c>
      <c r="E6629" s="51" t="s">
        <v>1431</v>
      </c>
      <c r="F6629" s="121" t="s">
        <v>3009</v>
      </c>
      <c r="G6629" s="98" t="str">
        <f>HYPERLINK("http://mirror.ff7data.com.ar/ff7/data/battle/battle.lgp/lpax.png","View Picture")</f>
        <v>View Picture</v>
      </c>
    </row>
    <row r="6630">
      <c r="A6630" s="55"/>
      <c r="B6630" s="119" t="s">
        <v>38721</v>
      </c>
      <c r="C6630" s="120" t="s">
        <v>4217</v>
      </c>
      <c r="D6630" s="33" t="s">
        <v>38712</v>
      </c>
      <c r="E6630" s="51" t="s">
        <v>1431</v>
      </c>
      <c r="F6630" s="121" t="s">
        <v>3009</v>
      </c>
      <c r="G6630" s="98" t="str">
        <f>HYPERLINK("http://mirror.ff7data.com.ar/ff7/data/battle/battle.lgp/lpay.png","View Picture")</f>
        <v>View Picture</v>
      </c>
    </row>
    <row r="6631">
      <c r="A6631" s="55"/>
      <c r="B6631" s="119" t="s">
        <v>38722</v>
      </c>
      <c r="C6631" s="120" t="s">
        <v>4476</v>
      </c>
      <c r="D6631" s="33" t="s">
        <v>38712</v>
      </c>
      <c r="E6631" s="51" t="s">
        <v>1431</v>
      </c>
      <c r="F6631" s="121" t="s">
        <v>3009</v>
      </c>
      <c r="G6631" s="98" t="str">
        <f>HYPERLINK("http://mirror.ff7data.com.ar/ff7/data/battle/battle.lgp/lpba.png","View Picture")</f>
        <v>View Picture</v>
      </c>
    </row>
    <row r="6632">
      <c r="A6632" s="55"/>
      <c r="B6632" s="119" t="s">
        <v>38723</v>
      </c>
      <c r="C6632" s="120" t="s">
        <v>4439</v>
      </c>
      <c r="D6632" s="33" t="s">
        <v>38712</v>
      </c>
      <c r="E6632" s="51" t="s">
        <v>1431</v>
      </c>
      <c r="F6632" s="121" t="s">
        <v>3009</v>
      </c>
      <c r="G6632" s="98" t="str">
        <f>HYPERLINK("http://mirror.ff7data.com.ar/ff7/data/battle/battle.lgp/lpbc.png","View Picture")</f>
        <v>View Picture</v>
      </c>
    </row>
    <row r="6633">
      <c r="A6633" s="55"/>
      <c r="B6633" s="119" t="s">
        <v>38724</v>
      </c>
      <c r="C6633" s="120" t="s">
        <v>4217</v>
      </c>
      <c r="D6633" s="33" t="s">
        <v>38712</v>
      </c>
      <c r="E6633" s="51" t="s">
        <v>1431</v>
      </c>
      <c r="F6633" s="121" t="s">
        <v>3009</v>
      </c>
      <c r="G6633" s="98" t="str">
        <f>HYPERLINK("http://mirror.ff7data.com.ar/ff7/data/battle/battle.lgp/lpbd.png","View Picture")</f>
        <v>View Picture</v>
      </c>
    </row>
    <row r="6634">
      <c r="A6634" s="55"/>
      <c r="B6634" s="119" t="s">
        <v>38725</v>
      </c>
      <c r="C6634" s="120" t="s">
        <v>6029</v>
      </c>
      <c r="D6634" s="33" t="s">
        <v>38712</v>
      </c>
      <c r="E6634" s="51" t="s">
        <v>1431</v>
      </c>
      <c r="F6634" s="121" t="s">
        <v>3009</v>
      </c>
      <c r="G6634" s="98" t="str">
        <f>HYPERLINK("http://mirror.ff7data.com.ar/ff7/data/battle/battle.lgp/lpbe.png","View Picture")</f>
        <v>View Picture</v>
      </c>
    </row>
    <row r="6635">
      <c r="A6635" s="55"/>
      <c r="B6635" s="119" t="s">
        <v>38726</v>
      </c>
      <c r="C6635" s="120" t="s">
        <v>4264</v>
      </c>
      <c r="D6635" s="33" t="s">
        <v>38712</v>
      </c>
      <c r="E6635" s="51" t="s">
        <v>1431</v>
      </c>
      <c r="F6635" s="121" t="s">
        <v>3009</v>
      </c>
      <c r="G6635" s="98" t="str">
        <f>HYPERLINK("http://mirror.ff7data.com.ar/ff7/data/battle/battle.lgp/lpbg.png","View Picture")</f>
        <v>View Picture</v>
      </c>
    </row>
    <row r="6636">
      <c r="A6636" s="55"/>
      <c r="B6636" s="119" t="s">
        <v>38727</v>
      </c>
      <c r="C6636" s="120" t="s">
        <v>4185</v>
      </c>
      <c r="D6636" s="33" t="s">
        <v>38712</v>
      </c>
      <c r="E6636" s="51" t="s">
        <v>1431</v>
      </c>
      <c r="F6636" s="121" t="s">
        <v>3009</v>
      </c>
      <c r="G6636" s="98" t="str">
        <f>HYPERLINK("http://mirror.ff7data.com.ar/ff7/data/battle/battle.lgp/lpbi.png","View Picture")</f>
        <v>View Picture</v>
      </c>
    </row>
    <row r="6637">
      <c r="A6637" s="55"/>
      <c r="B6637" s="119" t="s">
        <v>38728</v>
      </c>
      <c r="C6637" s="120" t="s">
        <v>4217</v>
      </c>
      <c r="D6637" s="33" t="s">
        <v>38712</v>
      </c>
      <c r="E6637" s="51" t="s">
        <v>1431</v>
      </c>
      <c r="F6637" s="121" t="s">
        <v>3009</v>
      </c>
      <c r="G6637" s="98" t="str">
        <f>HYPERLINK("http://mirror.ff7data.com.ar/ff7/data/battle/battle.lgp/lpbj.png","View Picture")</f>
        <v>View Picture</v>
      </c>
    </row>
    <row r="6638">
      <c r="A6638" s="55"/>
      <c r="B6638" s="119" t="s">
        <v>38729</v>
      </c>
      <c r="C6638" s="120" t="s">
        <v>6029</v>
      </c>
      <c r="D6638" s="33" t="s">
        <v>38712</v>
      </c>
      <c r="E6638" s="51" t="s">
        <v>1431</v>
      </c>
      <c r="F6638" s="121" t="s">
        <v>3009</v>
      </c>
      <c r="G6638" s="98" t="str">
        <f>HYPERLINK("http://mirror.ff7data.com.ar/ff7/data/battle/battle.lgp/lpbk.png","View Picture")</f>
        <v>View Picture</v>
      </c>
    </row>
    <row r="6639">
      <c r="A6639" s="55"/>
      <c r="B6639" s="119" t="s">
        <v>38730</v>
      </c>
      <c r="C6639" s="120" t="s">
        <v>4264</v>
      </c>
      <c r="D6639" s="33" t="s">
        <v>38712</v>
      </c>
      <c r="E6639" s="51" t="s">
        <v>1431</v>
      </c>
      <c r="F6639" s="121" t="s">
        <v>3009</v>
      </c>
      <c r="G6639" s="98" t="str">
        <f>HYPERLINK("http://mirror.ff7data.com.ar/ff7/data/battle/battle.lgp/lpbm.png","View Picture")</f>
        <v>View Picture</v>
      </c>
    </row>
    <row r="6640">
      <c r="A6640" s="55"/>
      <c r="B6640" s="119" t="s">
        <v>38731</v>
      </c>
      <c r="C6640" s="120" t="s">
        <v>3875</v>
      </c>
      <c r="D6640" s="33" t="s">
        <v>38712</v>
      </c>
      <c r="E6640" s="51" t="s">
        <v>1431</v>
      </c>
      <c r="F6640" s="121" t="s">
        <v>3025</v>
      </c>
      <c r="H6640" s="46" t="s">
        <v>3002</v>
      </c>
    </row>
    <row r="6641">
      <c r="A6641" s="21"/>
      <c r="B6641" s="119" t="s">
        <v>38732</v>
      </c>
      <c r="C6641" s="120" t="s">
        <v>8241</v>
      </c>
      <c r="D6641" s="33" t="s">
        <v>38733</v>
      </c>
      <c r="E6641" s="51" t="s">
        <v>1434</v>
      </c>
      <c r="F6641" s="121" t="s">
        <v>2971</v>
      </c>
      <c r="G6641" s="98" t="str">
        <f>HYPERLINK("http://mirror.ff7data.com.ar/ff7/data/battle/battle.lgp/lqaa.png","View Picture")</f>
        <v>View Picture</v>
      </c>
    </row>
    <row r="6642">
      <c r="A6642" s="55"/>
      <c r="B6642" s="119" t="s">
        <v>38734</v>
      </c>
      <c r="C6642" s="120" t="s">
        <v>12616</v>
      </c>
      <c r="D6642" s="33" t="s">
        <v>38735</v>
      </c>
      <c r="E6642" s="51" t="s">
        <v>1434</v>
      </c>
      <c r="F6642" s="121" t="s">
        <v>2993</v>
      </c>
      <c r="H6642" s="46" t="s">
        <v>3002</v>
      </c>
    </row>
    <row r="6643">
      <c r="A6643" s="55"/>
      <c r="B6643" s="119" t="s">
        <v>38736</v>
      </c>
      <c r="C6643" s="120" t="s">
        <v>4191</v>
      </c>
      <c r="D6643" s="33" t="s">
        <v>38735</v>
      </c>
      <c r="E6643" s="51" t="s">
        <v>1434</v>
      </c>
      <c r="F6643" s="121" t="s">
        <v>1348</v>
      </c>
      <c r="G6643" s="98" t="str">
        <f>HYPERLINK("http://mirror.ff7data.com.ar/ff7/data/battle/battle.lgp/lqac.png","View Picture")</f>
        <v>View Picture</v>
      </c>
    </row>
    <row r="6644">
      <c r="A6644" s="55"/>
      <c r="B6644" s="119" t="s">
        <v>38737</v>
      </c>
      <c r="C6644" s="120" t="s">
        <v>7081</v>
      </c>
      <c r="D6644" s="33" t="s">
        <v>38735</v>
      </c>
      <c r="E6644" s="51" t="s">
        <v>1434</v>
      </c>
      <c r="F6644" s="121" t="s">
        <v>1348</v>
      </c>
      <c r="G6644" s="98" t="str">
        <f>HYPERLINK("http://mirror.ff7data.com.ar/ff7/data/battle/battle.lgp/lqad.png","View Picture")</f>
        <v>View Picture</v>
      </c>
    </row>
    <row r="6645">
      <c r="A6645" s="55"/>
      <c r="B6645" s="119" t="s">
        <v>38738</v>
      </c>
      <c r="C6645" s="120" t="s">
        <v>38739</v>
      </c>
      <c r="D6645" s="33" t="s">
        <v>38735</v>
      </c>
      <c r="E6645" s="51" t="s">
        <v>1434</v>
      </c>
      <c r="F6645" s="121" t="s">
        <v>3009</v>
      </c>
      <c r="G6645" s="98" t="str">
        <f>HYPERLINK("http://mirror.ff7data.com.ar/ff7/data/battle/battle.lgp/lqam.png","View Picture")</f>
        <v>View Picture</v>
      </c>
    </row>
    <row r="6646">
      <c r="A6646" s="55"/>
      <c r="B6646" s="119" t="s">
        <v>38740</v>
      </c>
      <c r="C6646" s="120" t="s">
        <v>26120</v>
      </c>
      <c r="D6646" s="33" t="s">
        <v>38735</v>
      </c>
      <c r="E6646" s="51" t="s">
        <v>1434</v>
      </c>
      <c r="F6646" s="121" t="s">
        <v>3009</v>
      </c>
      <c r="G6646" s="98" t="str">
        <f>HYPERLINK("http://mirror.ff7data.com.ar/ff7/data/battle/battle.lgp/lqan.png","View Picture")</f>
        <v>View Picture</v>
      </c>
    </row>
    <row r="6647">
      <c r="A6647" s="55"/>
      <c r="B6647" s="119" t="s">
        <v>38741</v>
      </c>
      <c r="C6647" s="120" t="s">
        <v>4288</v>
      </c>
      <c r="D6647" s="33" t="s">
        <v>38735</v>
      </c>
      <c r="E6647" s="51" t="s">
        <v>1434</v>
      </c>
      <c r="F6647" s="121" t="s">
        <v>3009</v>
      </c>
      <c r="G6647" s="98" t="str">
        <f>HYPERLINK("http://mirror.ff7data.com.ar/ff7/data/battle/battle.lgp/lqap.png","View Picture")</f>
        <v>View Picture</v>
      </c>
    </row>
    <row r="6648">
      <c r="A6648" s="55"/>
      <c r="B6648" s="119" t="s">
        <v>38742</v>
      </c>
      <c r="C6648" s="120" t="s">
        <v>4707</v>
      </c>
      <c r="D6648" s="33" t="s">
        <v>38735</v>
      </c>
      <c r="E6648" s="51" t="s">
        <v>1434</v>
      </c>
      <c r="F6648" s="121" t="s">
        <v>3009</v>
      </c>
      <c r="G6648" s="98" t="str">
        <f>HYPERLINK("http://mirror.ff7data.com.ar/ff7/data/battle/battle.lgp/lqaq.png","View Picture")</f>
        <v>View Picture</v>
      </c>
    </row>
    <row r="6649">
      <c r="A6649" s="55"/>
      <c r="B6649" s="119" t="s">
        <v>38743</v>
      </c>
      <c r="C6649" s="120" t="s">
        <v>4288</v>
      </c>
      <c r="D6649" s="33" t="s">
        <v>38735</v>
      </c>
      <c r="E6649" s="51" t="s">
        <v>1434</v>
      </c>
      <c r="F6649" s="121" t="s">
        <v>3009</v>
      </c>
      <c r="G6649" s="98" t="str">
        <f>HYPERLINK("http://mirror.ff7data.com.ar/ff7/data/battle/battle.lgp/lqas.png","View Picture")</f>
        <v>View Picture</v>
      </c>
    </row>
    <row r="6650">
      <c r="A6650" s="55"/>
      <c r="B6650" s="119" t="s">
        <v>38744</v>
      </c>
      <c r="C6650" s="120" t="s">
        <v>4707</v>
      </c>
      <c r="D6650" s="33" t="s">
        <v>38735</v>
      </c>
      <c r="E6650" s="51" t="s">
        <v>1434</v>
      </c>
      <c r="F6650" s="121" t="s">
        <v>3009</v>
      </c>
      <c r="G6650" s="98" t="str">
        <f>HYPERLINK("http://mirror.ff7data.com.ar/ff7/data/battle/battle.lgp/lqat.png","View Picture")</f>
        <v>View Picture</v>
      </c>
    </row>
    <row r="6651">
      <c r="A6651" s="55"/>
      <c r="B6651" s="119" t="s">
        <v>38745</v>
      </c>
      <c r="C6651" s="120" t="s">
        <v>4288</v>
      </c>
      <c r="D6651" s="33" t="s">
        <v>38735</v>
      </c>
      <c r="E6651" s="51" t="s">
        <v>1434</v>
      </c>
      <c r="F6651" s="121" t="s">
        <v>3009</v>
      </c>
      <c r="G6651" s="98" t="str">
        <f>HYPERLINK("http://mirror.ff7data.com.ar/ff7/data/battle/battle.lgp/lqav.png","View Picture")</f>
        <v>View Picture</v>
      </c>
    </row>
    <row r="6652">
      <c r="A6652" s="55"/>
      <c r="B6652" s="119" t="s">
        <v>38746</v>
      </c>
      <c r="C6652" s="120" t="s">
        <v>4707</v>
      </c>
      <c r="D6652" s="33" t="s">
        <v>38735</v>
      </c>
      <c r="E6652" s="51" t="s">
        <v>1434</v>
      </c>
      <c r="F6652" s="121" t="s">
        <v>3009</v>
      </c>
      <c r="G6652" s="98" t="str">
        <f>HYPERLINK("http://mirror.ff7data.com.ar/ff7/data/battle/battle.lgp/lqaw.png","View Picture")</f>
        <v>View Picture</v>
      </c>
    </row>
    <row r="6653">
      <c r="A6653" s="55"/>
      <c r="B6653" s="119" t="s">
        <v>38747</v>
      </c>
      <c r="C6653" s="120" t="s">
        <v>3648</v>
      </c>
      <c r="D6653" s="33" t="s">
        <v>38735</v>
      </c>
      <c r="E6653" s="51" t="s">
        <v>1434</v>
      </c>
      <c r="F6653" s="121" t="s">
        <v>3009</v>
      </c>
      <c r="G6653" s="98" t="str">
        <f>HYPERLINK("http://mirror.ff7data.com.ar/ff7/data/battle/battle.lgp/lqba.png","View Picture")</f>
        <v>View Picture</v>
      </c>
    </row>
    <row r="6654">
      <c r="A6654" s="55"/>
      <c r="B6654" s="119" t="s">
        <v>38748</v>
      </c>
      <c r="C6654" s="120" t="s">
        <v>3494</v>
      </c>
      <c r="D6654" s="33" t="s">
        <v>38735</v>
      </c>
      <c r="E6654" s="51" t="s">
        <v>1434</v>
      </c>
      <c r="F6654" s="121" t="s">
        <v>3009</v>
      </c>
      <c r="G6654" s="98" t="str">
        <f>HYPERLINK("http://mirror.ff7data.com.ar/ff7/data/battle/battle.lgp/lqbb.png","View Picture")</f>
        <v>View Picture</v>
      </c>
    </row>
    <row r="6655">
      <c r="A6655" s="55"/>
      <c r="B6655" s="119" t="s">
        <v>38749</v>
      </c>
      <c r="C6655" s="120" t="s">
        <v>3648</v>
      </c>
      <c r="D6655" s="33" t="s">
        <v>38735</v>
      </c>
      <c r="E6655" s="51" t="s">
        <v>1434</v>
      </c>
      <c r="F6655" s="121" t="s">
        <v>3009</v>
      </c>
      <c r="G6655" s="98" t="str">
        <f>HYPERLINK("http://mirror.ff7data.com.ar/ff7/data/battle/battle.lgp/lqbd.png","View Picture")</f>
        <v>View Picture</v>
      </c>
    </row>
    <row r="6656">
      <c r="A6656" s="55"/>
      <c r="B6656" s="119" t="s">
        <v>38750</v>
      </c>
      <c r="C6656" s="120" t="s">
        <v>3494</v>
      </c>
      <c r="D6656" s="33" t="s">
        <v>38735</v>
      </c>
      <c r="E6656" s="51" t="s">
        <v>1434</v>
      </c>
      <c r="F6656" s="121" t="s">
        <v>3009</v>
      </c>
      <c r="G6656" s="98" t="str">
        <f>HYPERLINK("http://mirror.ff7data.com.ar/ff7/data/battle/battle.lgp/lqbe.png","View Picture")</f>
        <v>View Picture</v>
      </c>
    </row>
    <row r="6657">
      <c r="A6657" s="55"/>
      <c r="B6657" s="119" t="s">
        <v>38751</v>
      </c>
      <c r="C6657" s="120" t="s">
        <v>4057</v>
      </c>
      <c r="D6657" s="33" t="s">
        <v>38735</v>
      </c>
      <c r="E6657" s="51" t="s">
        <v>1434</v>
      </c>
      <c r="F6657" s="121" t="s">
        <v>3009</v>
      </c>
      <c r="G6657" s="98" t="str">
        <f>HYPERLINK("http://mirror.ff7data.com.ar/ff7/data/battle/battle.lgp/lqbg.png","View Picture")</f>
        <v>View Picture</v>
      </c>
    </row>
    <row r="6658">
      <c r="A6658" s="55"/>
      <c r="B6658" s="119" t="s">
        <v>38752</v>
      </c>
      <c r="C6658" s="120" t="s">
        <v>4841</v>
      </c>
      <c r="D6658" s="33" t="s">
        <v>38735</v>
      </c>
      <c r="E6658" s="51" t="s">
        <v>1434</v>
      </c>
      <c r="F6658" s="121" t="s">
        <v>3009</v>
      </c>
      <c r="G6658" s="98" t="str">
        <f>HYPERLINK("http://mirror.ff7data.com.ar/ff7/data/battle/battle.lgp/lqbh.png","View Picture")</f>
        <v>View Picture</v>
      </c>
    </row>
    <row r="6659">
      <c r="A6659" s="55"/>
      <c r="B6659" s="119" t="s">
        <v>38753</v>
      </c>
      <c r="C6659" s="120" t="s">
        <v>7301</v>
      </c>
      <c r="D6659" s="33" t="s">
        <v>38735</v>
      </c>
      <c r="E6659" s="51" t="s">
        <v>1434</v>
      </c>
      <c r="F6659" s="121" t="s">
        <v>3009</v>
      </c>
      <c r="G6659" s="98" t="str">
        <f>HYPERLINK("http://mirror.ff7data.com.ar/ff7/data/battle/battle.lgp/lqbj.png","View Picture")</f>
        <v>View Picture</v>
      </c>
    </row>
    <row r="6660">
      <c r="A6660" s="55"/>
      <c r="B6660" s="119" t="s">
        <v>38754</v>
      </c>
      <c r="C6660" s="120" t="s">
        <v>7301</v>
      </c>
      <c r="D6660" s="33" t="s">
        <v>38735</v>
      </c>
      <c r="E6660" s="51" t="s">
        <v>1434</v>
      </c>
      <c r="F6660" s="121" t="s">
        <v>3009</v>
      </c>
      <c r="G6660" s="98" t="str">
        <f>HYPERLINK("http://mirror.ff7data.com.ar/ff7/data/battle/battle.lgp/lqbl.png","View Picture")</f>
        <v>View Picture</v>
      </c>
    </row>
    <row r="6661">
      <c r="A6661" s="55"/>
      <c r="B6661" s="119" t="s">
        <v>38755</v>
      </c>
      <c r="C6661" s="120" t="s">
        <v>7062</v>
      </c>
      <c r="D6661" s="33" t="s">
        <v>38735</v>
      </c>
      <c r="E6661" s="51" t="s">
        <v>1434</v>
      </c>
      <c r="F6661" s="121" t="s">
        <v>3025</v>
      </c>
      <c r="H6661" s="46" t="s">
        <v>3002</v>
      </c>
    </row>
    <row r="6662">
      <c r="A6662" s="55"/>
      <c r="B6662" s="119" t="s">
        <v>38756</v>
      </c>
      <c r="C6662" s="120" t="s">
        <v>11721</v>
      </c>
      <c r="D6662" s="33" t="s">
        <v>38757</v>
      </c>
      <c r="E6662" s="51" t="s">
        <v>1437</v>
      </c>
      <c r="F6662" s="121" t="s">
        <v>2971</v>
      </c>
      <c r="G6662" s="98" t="str">
        <f>HYPERLINK("http://mirror.ff7data.com.ar/ff7/data/battle/battle.lgp/lraa.png","View Picture")</f>
        <v>View Picture</v>
      </c>
    </row>
    <row r="6663">
      <c r="A6663" s="55"/>
      <c r="B6663" s="119" t="s">
        <v>38758</v>
      </c>
      <c r="C6663" s="120" t="s">
        <v>11747</v>
      </c>
      <c r="D6663" s="33" t="s">
        <v>38759</v>
      </c>
      <c r="E6663" s="51" t="s">
        <v>1437</v>
      </c>
      <c r="F6663" s="121" t="s">
        <v>2993</v>
      </c>
      <c r="H6663" s="46" t="s">
        <v>3002</v>
      </c>
    </row>
    <row r="6664">
      <c r="A6664" s="55"/>
      <c r="B6664" s="119" t="s">
        <v>38760</v>
      </c>
      <c r="C6664" s="120" t="s">
        <v>18144</v>
      </c>
      <c r="D6664" s="33" t="s">
        <v>38759</v>
      </c>
      <c r="E6664" s="51" t="s">
        <v>1437</v>
      </c>
      <c r="F6664" s="121" t="s">
        <v>3009</v>
      </c>
      <c r="G6664" s="98" t="str">
        <f>HYPERLINK("http://mirror.ff7data.com.ar/ff7/data/battle/battle.lgp/lram.png","View Picture")</f>
        <v>View Picture</v>
      </c>
    </row>
    <row r="6665">
      <c r="A6665" s="55"/>
      <c r="B6665" s="119" t="s">
        <v>38761</v>
      </c>
      <c r="C6665" s="120" t="s">
        <v>7600</v>
      </c>
      <c r="D6665" s="33" t="s">
        <v>38759</v>
      </c>
      <c r="E6665" s="51" t="s">
        <v>1437</v>
      </c>
      <c r="F6665" s="121" t="s">
        <v>3025</v>
      </c>
      <c r="H6665" s="46" t="s">
        <v>3002</v>
      </c>
    </row>
    <row r="6666">
      <c r="A6666" s="21"/>
      <c r="B6666" s="119" t="s">
        <v>38762</v>
      </c>
      <c r="C6666" s="120" t="s">
        <v>6789</v>
      </c>
      <c r="D6666" s="33" t="s">
        <v>38763</v>
      </c>
      <c r="E6666" s="51" t="s">
        <v>1440</v>
      </c>
      <c r="F6666" s="121" t="s">
        <v>2971</v>
      </c>
      <c r="G6666" s="98" t="str">
        <f>HYPERLINK("http://mirror.ff7data.com.ar/ff7/data/battle/battle.lgp/lsaa.png","View Picture")</f>
        <v>View Picture</v>
      </c>
      <c r="H6666" s="46" t="s">
        <v>38764</v>
      </c>
    </row>
    <row r="6667">
      <c r="A6667" s="55"/>
      <c r="B6667" s="119" t="s">
        <v>38765</v>
      </c>
      <c r="C6667" s="120" t="s">
        <v>4109</v>
      </c>
      <c r="D6667" s="33" t="s">
        <v>38766</v>
      </c>
      <c r="E6667" s="51" t="s">
        <v>1440</v>
      </c>
      <c r="F6667" s="121" t="s">
        <v>2993</v>
      </c>
      <c r="H6667" s="46" t="s">
        <v>3002</v>
      </c>
    </row>
    <row r="6668">
      <c r="A6668" s="55"/>
      <c r="B6668" s="119" t="s">
        <v>38767</v>
      </c>
      <c r="C6668" s="120" t="s">
        <v>8550</v>
      </c>
      <c r="D6668" s="33" t="s">
        <v>38766</v>
      </c>
      <c r="E6668" s="51" t="s">
        <v>1440</v>
      </c>
      <c r="F6668" s="121" t="s">
        <v>3009</v>
      </c>
      <c r="G6668" s="98" t="str">
        <f>HYPERLINK("http://mirror.ff7data.com.ar/ff7/data/battle/battle.lgp/lsam.png","View Picture")</f>
        <v>View Picture</v>
      </c>
    </row>
    <row r="6669">
      <c r="A6669" s="55"/>
      <c r="B6669" s="119" t="s">
        <v>38768</v>
      </c>
      <c r="C6669" s="120" t="s">
        <v>3658</v>
      </c>
      <c r="D6669" s="33" t="s">
        <v>38766</v>
      </c>
      <c r="E6669" s="51" t="s">
        <v>1440</v>
      </c>
      <c r="F6669" s="121" t="s">
        <v>3009</v>
      </c>
      <c r="G6669" s="98" t="str">
        <f>HYPERLINK("http://mirror.ff7data.com.ar/ff7/data/battle/battle.lgp/lsao.png","View Picture")</f>
        <v>View Picture</v>
      </c>
    </row>
    <row r="6670">
      <c r="A6670" s="55"/>
      <c r="B6670" s="119" t="s">
        <v>38769</v>
      </c>
      <c r="C6670" s="120" t="s">
        <v>4228</v>
      </c>
      <c r="D6670" s="33" t="s">
        <v>38766</v>
      </c>
      <c r="E6670" s="51" t="s">
        <v>1440</v>
      </c>
      <c r="F6670" s="121" t="s">
        <v>3009</v>
      </c>
      <c r="G6670" s="98" t="str">
        <f>HYPERLINK("http://mirror.ff7data.com.ar/ff7/data/battle/battle.lgp/lsap.png","View Picture")</f>
        <v>View Picture</v>
      </c>
    </row>
    <row r="6671">
      <c r="A6671" s="55"/>
      <c r="B6671" s="119" t="s">
        <v>38770</v>
      </c>
      <c r="C6671" s="120" t="s">
        <v>3445</v>
      </c>
      <c r="D6671" s="33" t="s">
        <v>38766</v>
      </c>
      <c r="E6671" s="51" t="s">
        <v>1440</v>
      </c>
      <c r="F6671" s="121" t="s">
        <v>3009</v>
      </c>
      <c r="G6671" s="98" t="str">
        <f>HYPERLINK("http://mirror.ff7data.com.ar/ff7/data/battle/battle.lgp/lsaq.png","View Picture")</f>
        <v>View Picture</v>
      </c>
    </row>
    <row r="6672">
      <c r="A6672" s="55"/>
      <c r="B6672" s="119" t="s">
        <v>38771</v>
      </c>
      <c r="C6672" s="120" t="s">
        <v>3749</v>
      </c>
      <c r="D6672" s="33" t="s">
        <v>38766</v>
      </c>
      <c r="E6672" s="51" t="s">
        <v>1440</v>
      </c>
      <c r="F6672" s="121" t="s">
        <v>3009</v>
      </c>
      <c r="G6672" s="98" t="str">
        <f>HYPERLINK("http://mirror.ff7data.com.ar/ff7/data/battle/battle.lgp/lsas.png","View Picture")</f>
        <v>View Picture</v>
      </c>
    </row>
    <row r="6673">
      <c r="A6673" s="55"/>
      <c r="B6673" s="119" t="s">
        <v>38772</v>
      </c>
      <c r="C6673" s="120" t="s">
        <v>3370</v>
      </c>
      <c r="D6673" s="33" t="s">
        <v>38766</v>
      </c>
      <c r="E6673" s="51" t="s">
        <v>1440</v>
      </c>
      <c r="F6673" s="121" t="s">
        <v>3009</v>
      </c>
      <c r="G6673" s="98" t="str">
        <f>HYPERLINK("http://mirror.ff7data.com.ar/ff7/data/battle/battle.lgp/lsat.png","View Picture")</f>
        <v>View Picture</v>
      </c>
    </row>
    <row r="6674">
      <c r="A6674" s="55"/>
      <c r="B6674" s="119" t="s">
        <v>38773</v>
      </c>
      <c r="C6674" s="120" t="s">
        <v>4046</v>
      </c>
      <c r="D6674" s="33" t="s">
        <v>38766</v>
      </c>
      <c r="E6674" s="51" t="s">
        <v>1440</v>
      </c>
      <c r="F6674" s="121" t="s">
        <v>3009</v>
      </c>
      <c r="G6674" s="98" t="str">
        <f>HYPERLINK("http://mirror.ff7data.com.ar/ff7/data/battle/battle.lgp/lsau.png","View Picture")</f>
        <v>View Picture</v>
      </c>
    </row>
    <row r="6675">
      <c r="A6675" s="55"/>
      <c r="B6675" s="119" t="s">
        <v>38774</v>
      </c>
      <c r="C6675" s="120" t="s">
        <v>3749</v>
      </c>
      <c r="D6675" s="33" t="s">
        <v>38766</v>
      </c>
      <c r="E6675" s="51" t="s">
        <v>1440</v>
      </c>
      <c r="F6675" s="121" t="s">
        <v>3009</v>
      </c>
      <c r="G6675" s="98" t="str">
        <f>HYPERLINK("http://mirror.ff7data.com.ar/ff7/data/battle/battle.lgp/lsav.png","View Picture")</f>
        <v>View Picture</v>
      </c>
    </row>
    <row r="6676">
      <c r="A6676" s="55"/>
      <c r="B6676" s="119" t="s">
        <v>38775</v>
      </c>
      <c r="C6676" s="120" t="s">
        <v>4476</v>
      </c>
      <c r="D6676" s="33" t="s">
        <v>38766</v>
      </c>
      <c r="E6676" s="51" t="s">
        <v>1440</v>
      </c>
      <c r="F6676" s="121" t="s">
        <v>3009</v>
      </c>
      <c r="G6676" s="98" t="str">
        <f>HYPERLINK("http://mirror.ff7data.com.ar/ff7/data/battle/battle.lgp/lsax.png","View Picture")</f>
        <v>View Picture</v>
      </c>
    </row>
    <row r="6677">
      <c r="A6677" s="55"/>
      <c r="B6677" s="119" t="s">
        <v>38776</v>
      </c>
      <c r="C6677" s="120" t="s">
        <v>3573</v>
      </c>
      <c r="D6677" s="33" t="s">
        <v>38766</v>
      </c>
      <c r="E6677" s="51" t="s">
        <v>1440</v>
      </c>
      <c r="F6677" s="121" t="s">
        <v>3009</v>
      </c>
      <c r="G6677" s="98" t="str">
        <f>HYPERLINK("http://mirror.ff7data.com.ar/ff7/data/battle/battle.lgp/lsay.png","View Picture")</f>
        <v>View Picture</v>
      </c>
    </row>
    <row r="6678">
      <c r="A6678" s="55"/>
      <c r="B6678" s="119" t="s">
        <v>38777</v>
      </c>
      <c r="C6678" s="120" t="s">
        <v>25262</v>
      </c>
      <c r="D6678" s="33" t="s">
        <v>38766</v>
      </c>
      <c r="E6678" s="51" t="s">
        <v>1440</v>
      </c>
      <c r="F6678" s="121" t="s">
        <v>3009</v>
      </c>
      <c r="G6678" s="98" t="str">
        <f>HYPERLINK("http://mirror.ff7data.com.ar/ff7/data/battle/battle.lgp/lsaz.png","View Picture")</f>
        <v>View Picture</v>
      </c>
    </row>
    <row r="6679">
      <c r="A6679" s="55"/>
      <c r="B6679" s="119" t="s">
        <v>38778</v>
      </c>
      <c r="C6679" s="120" t="s">
        <v>4396</v>
      </c>
      <c r="D6679" s="33" t="s">
        <v>38766</v>
      </c>
      <c r="E6679" s="51" t="s">
        <v>1440</v>
      </c>
      <c r="F6679" s="121" t="s">
        <v>3009</v>
      </c>
      <c r="G6679" s="98" t="str">
        <f>HYPERLINK("http://mirror.ff7data.com.ar/ff7/data/battle/battle.lgp/lsbb.png","View Picture")</f>
        <v>View Picture</v>
      </c>
    </row>
    <row r="6680">
      <c r="A6680" s="55"/>
      <c r="B6680" s="119" t="s">
        <v>38779</v>
      </c>
      <c r="C6680" s="120" t="s">
        <v>3505</v>
      </c>
      <c r="D6680" s="33" t="s">
        <v>38766</v>
      </c>
      <c r="E6680" s="51" t="s">
        <v>1440</v>
      </c>
      <c r="F6680" s="121" t="s">
        <v>3009</v>
      </c>
      <c r="G6680" s="98" t="str">
        <f>HYPERLINK("http://mirror.ff7data.com.ar/ff7/data/battle/battle.lgp/lsbc.png","View Picture")</f>
        <v>View Picture</v>
      </c>
    </row>
    <row r="6681">
      <c r="A6681" s="55"/>
      <c r="B6681" s="119" t="s">
        <v>38780</v>
      </c>
      <c r="C6681" s="120" t="s">
        <v>10078</v>
      </c>
      <c r="D6681" s="33" t="s">
        <v>38766</v>
      </c>
      <c r="E6681" s="51" t="s">
        <v>1440</v>
      </c>
      <c r="F6681" s="121" t="s">
        <v>3009</v>
      </c>
      <c r="G6681" s="98" t="str">
        <f>HYPERLINK("http://mirror.ff7data.com.ar/ff7/data/battle/battle.lgp/lsbe.png","View Picture")</f>
        <v>View Picture</v>
      </c>
    </row>
    <row r="6682">
      <c r="A6682" s="55"/>
      <c r="B6682" s="119" t="s">
        <v>38781</v>
      </c>
      <c r="C6682" s="120" t="s">
        <v>4372</v>
      </c>
      <c r="D6682" s="33" t="s">
        <v>38766</v>
      </c>
      <c r="E6682" s="51" t="s">
        <v>1440</v>
      </c>
      <c r="F6682" s="121" t="s">
        <v>3009</v>
      </c>
      <c r="G6682" s="98" t="str">
        <f>HYPERLINK("http://mirror.ff7data.com.ar/ff7/data/battle/battle.lgp/lsbf.png","View Picture")</f>
        <v>View Picture</v>
      </c>
    </row>
    <row r="6683">
      <c r="A6683" s="55"/>
      <c r="B6683" s="119" t="s">
        <v>38782</v>
      </c>
      <c r="C6683" s="120" t="s">
        <v>4476</v>
      </c>
      <c r="D6683" s="33" t="s">
        <v>38766</v>
      </c>
      <c r="E6683" s="51" t="s">
        <v>1440</v>
      </c>
      <c r="F6683" s="121" t="s">
        <v>3009</v>
      </c>
      <c r="G6683" s="98" t="str">
        <f>HYPERLINK("http://mirror.ff7data.com.ar/ff7/data/battle/battle.lgp/lsbg.png","View Picture")</f>
        <v>View Picture</v>
      </c>
    </row>
    <row r="6684">
      <c r="A6684" s="55"/>
      <c r="B6684" s="119" t="s">
        <v>38783</v>
      </c>
      <c r="C6684" s="120" t="s">
        <v>4217</v>
      </c>
      <c r="D6684" s="33" t="s">
        <v>38766</v>
      </c>
      <c r="E6684" s="51" t="s">
        <v>1440</v>
      </c>
      <c r="F6684" s="121" t="s">
        <v>3009</v>
      </c>
      <c r="G6684" s="98" t="str">
        <f>HYPERLINK("http://mirror.ff7data.com.ar/ff7/data/battle/battle.lgp/lsbi.png","View Picture")</f>
        <v>View Picture</v>
      </c>
    </row>
    <row r="6685">
      <c r="A6685" s="55"/>
      <c r="B6685" s="119" t="s">
        <v>38784</v>
      </c>
      <c r="C6685" s="120" t="s">
        <v>6029</v>
      </c>
      <c r="D6685" s="33" t="s">
        <v>38766</v>
      </c>
      <c r="E6685" s="51" t="s">
        <v>1440</v>
      </c>
      <c r="F6685" s="121" t="s">
        <v>3009</v>
      </c>
      <c r="G6685" s="98" t="str">
        <f>HYPERLINK("http://mirror.ff7data.com.ar/ff7/data/battle/battle.lgp/lsbj.png","View Picture")</f>
        <v>View Picture</v>
      </c>
    </row>
    <row r="6686">
      <c r="A6686" s="55"/>
      <c r="B6686" s="119" t="s">
        <v>38785</v>
      </c>
      <c r="C6686" s="120" t="s">
        <v>6029</v>
      </c>
      <c r="D6686" s="33" t="s">
        <v>38766</v>
      </c>
      <c r="E6686" s="51" t="s">
        <v>1440</v>
      </c>
      <c r="F6686" s="121" t="s">
        <v>3009</v>
      </c>
      <c r="G6686" s="98" t="str">
        <f>HYPERLINK("http://mirror.ff7data.com.ar/ff7/data/battle/battle.lgp/lsbk.png","View Picture")</f>
        <v>View Picture</v>
      </c>
    </row>
    <row r="6687">
      <c r="A6687" s="55"/>
      <c r="B6687" s="119" t="s">
        <v>38786</v>
      </c>
      <c r="C6687" s="120" t="s">
        <v>3343</v>
      </c>
      <c r="D6687" s="33" t="s">
        <v>38766</v>
      </c>
      <c r="E6687" s="51" t="s">
        <v>1440</v>
      </c>
      <c r="F6687" s="121" t="s">
        <v>3009</v>
      </c>
      <c r="G6687" s="98" t="str">
        <f>HYPERLINK("http://mirror.ff7data.com.ar/ff7/data/battle/battle.lgp/lsbl.png","View Picture")</f>
        <v>View Picture</v>
      </c>
    </row>
    <row r="6688">
      <c r="A6688" s="55"/>
      <c r="B6688" s="119" t="s">
        <v>38787</v>
      </c>
      <c r="C6688" s="120" t="s">
        <v>3842</v>
      </c>
      <c r="D6688" s="33" t="s">
        <v>38766</v>
      </c>
      <c r="E6688" s="51" t="s">
        <v>1440</v>
      </c>
      <c r="F6688" s="121" t="s">
        <v>3009</v>
      </c>
      <c r="G6688" s="98" t="str">
        <f>HYPERLINK("http://mirror.ff7data.com.ar/ff7/data/battle/battle.lgp/lsbn.png","View Picture")</f>
        <v>View Picture</v>
      </c>
    </row>
    <row r="6689">
      <c r="A6689" s="55"/>
      <c r="B6689" s="119" t="s">
        <v>38788</v>
      </c>
      <c r="C6689" s="120" t="s">
        <v>4439</v>
      </c>
      <c r="D6689" s="33" t="s">
        <v>38766</v>
      </c>
      <c r="E6689" s="51" t="s">
        <v>1440</v>
      </c>
      <c r="F6689" s="121" t="s">
        <v>3009</v>
      </c>
      <c r="G6689" s="98" t="str">
        <f>HYPERLINK("http://mirror.ff7data.com.ar/ff7/data/battle/battle.lgp/lsbo.png","View Picture")</f>
        <v>View Picture</v>
      </c>
    </row>
    <row r="6690">
      <c r="A6690" s="55"/>
      <c r="B6690" s="119" t="s">
        <v>38789</v>
      </c>
      <c r="C6690" s="120" t="s">
        <v>3481</v>
      </c>
      <c r="D6690" s="33" t="s">
        <v>38766</v>
      </c>
      <c r="E6690" s="51" t="s">
        <v>1440</v>
      </c>
      <c r="F6690" s="121" t="s">
        <v>3009</v>
      </c>
      <c r="G6690" s="98" t="str">
        <f>HYPERLINK("http://mirror.ff7data.com.ar/ff7/data/battle/battle.lgp/lsbp.png","View Picture")</f>
        <v>View Picture</v>
      </c>
    </row>
    <row r="6691">
      <c r="A6691" s="55"/>
      <c r="B6691" s="119" t="s">
        <v>38790</v>
      </c>
      <c r="C6691" s="120" t="s">
        <v>3648</v>
      </c>
      <c r="D6691" s="33" t="s">
        <v>38766</v>
      </c>
      <c r="E6691" s="51" t="s">
        <v>1440</v>
      </c>
      <c r="F6691" s="121" t="s">
        <v>3009</v>
      </c>
      <c r="G6691" s="98" t="str">
        <f>HYPERLINK("http://mirror.ff7data.com.ar/ff7/data/battle/battle.lgp/lsbr.png","View Picture")</f>
        <v>View Picture</v>
      </c>
    </row>
    <row r="6692">
      <c r="A6692" s="55"/>
      <c r="B6692" s="119" t="s">
        <v>38791</v>
      </c>
      <c r="C6692" s="120" t="s">
        <v>4439</v>
      </c>
      <c r="D6692" s="33" t="s">
        <v>38766</v>
      </c>
      <c r="E6692" s="51" t="s">
        <v>1440</v>
      </c>
      <c r="F6692" s="121" t="s">
        <v>3009</v>
      </c>
      <c r="G6692" s="98" t="str">
        <f>HYPERLINK("http://mirror.ff7data.com.ar/ff7/data/battle/battle.lgp/lsbs.png","View Picture")</f>
        <v>View Picture</v>
      </c>
    </row>
    <row r="6693">
      <c r="A6693" s="55"/>
      <c r="B6693" s="119" t="s">
        <v>38792</v>
      </c>
      <c r="C6693" s="120" t="s">
        <v>3481</v>
      </c>
      <c r="D6693" s="33" t="s">
        <v>38766</v>
      </c>
      <c r="E6693" s="51" t="s">
        <v>1440</v>
      </c>
      <c r="F6693" s="121" t="s">
        <v>3009</v>
      </c>
      <c r="G6693" s="98" t="str">
        <f>HYPERLINK("http://mirror.ff7data.com.ar/ff7/data/battle/battle.lgp/lsbt.png","View Picture")</f>
        <v>View Picture</v>
      </c>
    </row>
    <row r="6694">
      <c r="A6694" s="55"/>
      <c r="B6694" s="119" t="s">
        <v>38793</v>
      </c>
      <c r="C6694" s="120" t="s">
        <v>4372</v>
      </c>
      <c r="D6694" s="33" t="s">
        <v>38766</v>
      </c>
      <c r="E6694" s="51" t="s">
        <v>1440</v>
      </c>
      <c r="F6694" s="121" t="s">
        <v>3009</v>
      </c>
      <c r="G6694" s="98" t="str">
        <f>HYPERLINK("http://mirror.ff7data.com.ar/ff7/data/battle/battle.lgp/lsbu.png","View Picture")</f>
        <v>View Picture</v>
      </c>
    </row>
    <row r="6695">
      <c r="A6695" s="55"/>
      <c r="B6695" s="119" t="s">
        <v>38794</v>
      </c>
      <c r="C6695" s="120" t="s">
        <v>4185</v>
      </c>
      <c r="D6695" s="33" t="s">
        <v>38766</v>
      </c>
      <c r="E6695" s="51" t="s">
        <v>1440</v>
      </c>
      <c r="F6695" s="121" t="s">
        <v>3009</v>
      </c>
      <c r="G6695" s="98" t="str">
        <f>HYPERLINK("http://mirror.ff7data.com.ar/ff7/data/battle/battle.lgp/lsbv.png","View Picture")</f>
        <v>View Picture</v>
      </c>
    </row>
    <row r="6696">
      <c r="A6696" s="55"/>
      <c r="B6696" s="119" t="s">
        <v>38795</v>
      </c>
      <c r="C6696" s="120" t="s">
        <v>4476</v>
      </c>
      <c r="D6696" s="33" t="s">
        <v>38766</v>
      </c>
      <c r="E6696" s="51" t="s">
        <v>1440</v>
      </c>
      <c r="F6696" s="121" t="s">
        <v>3009</v>
      </c>
      <c r="G6696" s="98" t="str">
        <f>HYPERLINK("http://mirror.ff7data.com.ar/ff7/data/battle/battle.lgp/lsbw.png","View Picture")</f>
        <v>View Picture</v>
      </c>
    </row>
    <row r="6697">
      <c r="A6697" s="55"/>
      <c r="B6697" s="119" t="s">
        <v>38796</v>
      </c>
      <c r="C6697" s="120" t="s">
        <v>3481</v>
      </c>
      <c r="D6697" s="33" t="s">
        <v>38766</v>
      </c>
      <c r="E6697" s="51" t="s">
        <v>1440</v>
      </c>
      <c r="F6697" s="121" t="s">
        <v>3009</v>
      </c>
      <c r="G6697" s="98" t="str">
        <f>HYPERLINK("http://mirror.ff7data.com.ar/ff7/data/battle/battle.lgp/lsbx.png","View Picture")</f>
        <v>View Picture</v>
      </c>
    </row>
    <row r="6698">
      <c r="A6698" s="55"/>
      <c r="B6698" s="119" t="s">
        <v>38797</v>
      </c>
      <c r="C6698" s="120" t="s">
        <v>7165</v>
      </c>
      <c r="D6698" s="33" t="s">
        <v>38766</v>
      </c>
      <c r="E6698" s="51" t="s">
        <v>1440</v>
      </c>
      <c r="F6698" s="121" t="s">
        <v>3009</v>
      </c>
      <c r="G6698" s="98" t="str">
        <f>HYPERLINK("http://mirror.ff7data.com.ar/ff7/data/battle/battle.lgp/lsby.png","View Picture")</f>
        <v>View Picture</v>
      </c>
    </row>
    <row r="6699">
      <c r="A6699" s="55"/>
      <c r="B6699" s="119" t="s">
        <v>38798</v>
      </c>
      <c r="C6699" s="120" t="s">
        <v>4719</v>
      </c>
      <c r="D6699" s="33" t="s">
        <v>38766</v>
      </c>
      <c r="E6699" s="51" t="s">
        <v>1440</v>
      </c>
      <c r="F6699" s="121" t="s">
        <v>3009</v>
      </c>
      <c r="G6699" s="98" t="str">
        <f>HYPERLINK("http://mirror.ff7data.com.ar/ff7/data/battle/battle.lgp/lscb.png","View Picture")</f>
        <v>View Picture</v>
      </c>
    </row>
    <row r="6700">
      <c r="A6700" s="55"/>
      <c r="B6700" s="119" t="s">
        <v>38799</v>
      </c>
      <c r="C6700" s="120" t="s">
        <v>4372</v>
      </c>
      <c r="D6700" s="33" t="s">
        <v>38766</v>
      </c>
      <c r="E6700" s="51" t="s">
        <v>1440</v>
      </c>
      <c r="F6700" s="121" t="s">
        <v>3009</v>
      </c>
      <c r="G6700" s="98" t="str">
        <f>HYPERLINK("http://mirror.ff7data.com.ar/ff7/data/battle/battle.lgp/lscc.png","View Picture")</f>
        <v>View Picture</v>
      </c>
    </row>
    <row r="6701">
      <c r="A6701" s="55"/>
      <c r="B6701" s="119" t="s">
        <v>38800</v>
      </c>
      <c r="C6701" s="120" t="s">
        <v>4357</v>
      </c>
      <c r="D6701" s="33" t="s">
        <v>38766</v>
      </c>
      <c r="E6701" s="51" t="s">
        <v>1440</v>
      </c>
      <c r="F6701" s="121" t="s">
        <v>3009</v>
      </c>
      <c r="G6701" s="98" t="str">
        <f>HYPERLINK("http://mirror.ff7data.com.ar/ff7/data/battle/battle.lgp/lscd.png","View Picture")</f>
        <v>View Picture</v>
      </c>
    </row>
    <row r="6702">
      <c r="A6702" s="55"/>
      <c r="B6702" s="119" t="s">
        <v>38801</v>
      </c>
      <c r="C6702" s="120" t="s">
        <v>4719</v>
      </c>
      <c r="D6702" s="33" t="s">
        <v>38766</v>
      </c>
      <c r="E6702" s="51" t="s">
        <v>1440</v>
      </c>
      <c r="F6702" s="121" t="s">
        <v>3009</v>
      </c>
      <c r="G6702" s="98" t="str">
        <f>HYPERLINK("http://mirror.ff7data.com.ar/ff7/data/battle/battle.lgp/lscf.png","View Picture")</f>
        <v>View Picture</v>
      </c>
    </row>
    <row r="6703">
      <c r="A6703" s="55"/>
      <c r="B6703" s="119" t="s">
        <v>38802</v>
      </c>
      <c r="C6703" s="120" t="s">
        <v>4372</v>
      </c>
      <c r="D6703" s="33" t="s">
        <v>38766</v>
      </c>
      <c r="E6703" s="51" t="s">
        <v>1440</v>
      </c>
      <c r="F6703" s="121" t="s">
        <v>3009</v>
      </c>
      <c r="G6703" s="98" t="str">
        <f>HYPERLINK("http://mirror.ff7data.com.ar/ff7/data/battle/battle.lgp/lscg.png","View Picture")</f>
        <v>View Picture</v>
      </c>
    </row>
    <row r="6704">
      <c r="A6704" s="55"/>
      <c r="B6704" s="119" t="s">
        <v>38803</v>
      </c>
      <c r="C6704" s="120" t="s">
        <v>5419</v>
      </c>
      <c r="D6704" s="33" t="s">
        <v>38766</v>
      </c>
      <c r="E6704" s="51" t="s">
        <v>1440</v>
      </c>
      <c r="F6704" s="121" t="s">
        <v>3009</v>
      </c>
      <c r="G6704" s="98" t="str">
        <f>HYPERLINK("http://mirror.ff7data.com.ar/ff7/data/battle/battle.lgp/lsch.png","View Picture")</f>
        <v>View Picture</v>
      </c>
    </row>
    <row r="6705">
      <c r="A6705" s="55"/>
      <c r="B6705" s="119" t="s">
        <v>38804</v>
      </c>
      <c r="C6705" s="120" t="s">
        <v>4122</v>
      </c>
      <c r="D6705" s="33" t="s">
        <v>38766</v>
      </c>
      <c r="E6705" s="51" t="s">
        <v>1440</v>
      </c>
      <c r="F6705" s="121" t="s">
        <v>3025</v>
      </c>
      <c r="H6705" s="46" t="s">
        <v>3002</v>
      </c>
    </row>
    <row r="6706">
      <c r="A6706" s="82"/>
      <c r="B6706" s="119" t="s">
        <v>38805</v>
      </c>
      <c r="C6706" s="120" t="s">
        <v>34740</v>
      </c>
      <c r="D6706" s="33" t="s">
        <v>38806</v>
      </c>
      <c r="E6706" s="51" t="s">
        <v>1443</v>
      </c>
      <c r="F6706" s="121" t="s">
        <v>2971</v>
      </c>
      <c r="G6706" s="98" t="str">
        <f>HYPERLINK("http://mirror.ff7data.com.ar/ff7/data/battle/battle.lgp/ltaa.png","View Picture")</f>
        <v>View Picture</v>
      </c>
    </row>
    <row r="6707">
      <c r="A6707" s="55"/>
      <c r="B6707" s="119" t="s">
        <v>38807</v>
      </c>
      <c r="C6707" s="120" t="s">
        <v>7606</v>
      </c>
      <c r="D6707" s="33" t="s">
        <v>38808</v>
      </c>
      <c r="E6707" s="51" t="s">
        <v>1443</v>
      </c>
      <c r="F6707" s="121" t="s">
        <v>2993</v>
      </c>
      <c r="H6707" s="46" t="s">
        <v>3002</v>
      </c>
    </row>
    <row r="6708">
      <c r="A6708" s="82"/>
      <c r="B6708" s="119" t="s">
        <v>38809</v>
      </c>
      <c r="C6708" s="120" t="s">
        <v>3671</v>
      </c>
      <c r="D6708" s="33" t="s">
        <v>38810</v>
      </c>
      <c r="E6708" s="51" t="s">
        <v>1443</v>
      </c>
      <c r="F6708" s="121" t="s">
        <v>1348</v>
      </c>
      <c r="G6708" s="98" t="str">
        <f>HYPERLINK("http://mirror.ff7data.com.ar/ff7/data/battle/battle.lgp/ltac.png","View Picture")</f>
        <v>View Picture</v>
      </c>
    </row>
    <row r="6709">
      <c r="A6709" s="82"/>
      <c r="B6709" s="119" t="s">
        <v>38811</v>
      </c>
      <c r="C6709" s="120" t="s">
        <v>4719</v>
      </c>
      <c r="D6709" s="33" t="s">
        <v>38812</v>
      </c>
      <c r="E6709" s="51" t="s">
        <v>1443</v>
      </c>
      <c r="F6709" s="121" t="s">
        <v>3009</v>
      </c>
      <c r="G6709" s="98" t="str">
        <f>HYPERLINK("http://mirror.ff7data.com.ar/ff7/data/battle/battle.lgp/ltam.png","View Picture")</f>
        <v>View Picture</v>
      </c>
    </row>
    <row r="6710">
      <c r="A6710" s="82"/>
      <c r="B6710" s="119" t="s">
        <v>38813</v>
      </c>
      <c r="C6710" s="120" t="s">
        <v>18406</v>
      </c>
      <c r="D6710" s="33" t="s">
        <v>38814</v>
      </c>
      <c r="E6710" s="51" t="s">
        <v>1443</v>
      </c>
      <c r="F6710" s="121" t="s">
        <v>3009</v>
      </c>
      <c r="G6710" s="98" t="str">
        <f>HYPERLINK("http://mirror.ff7data.com.ar/ff7/data/battle/battle.lgp/ltan.png","View Picture")</f>
        <v>View Picture</v>
      </c>
    </row>
    <row r="6711">
      <c r="A6711" s="82"/>
      <c r="B6711" s="119" t="s">
        <v>38815</v>
      </c>
      <c r="C6711" s="120" t="s">
        <v>8550</v>
      </c>
      <c r="D6711" s="33" t="s">
        <v>38816</v>
      </c>
      <c r="E6711" s="51" t="s">
        <v>1443</v>
      </c>
      <c r="F6711" s="121" t="s">
        <v>3009</v>
      </c>
      <c r="G6711" s="98" t="str">
        <f>HYPERLINK("http://mirror.ff7data.com.ar/ff7/data/battle/battle.lgp/ltao.png","View Picture")</f>
        <v>View Picture</v>
      </c>
    </row>
    <row r="6712">
      <c r="A6712" s="82"/>
      <c r="B6712" s="119" t="s">
        <v>38817</v>
      </c>
      <c r="C6712" s="120" t="s">
        <v>4732</v>
      </c>
      <c r="D6712" s="33" t="s">
        <v>38818</v>
      </c>
      <c r="E6712" s="51" t="s">
        <v>1443</v>
      </c>
      <c r="F6712" s="121" t="s">
        <v>3009</v>
      </c>
      <c r="G6712" s="98" t="str">
        <f>HYPERLINK("http://mirror.ff7data.com.ar/ff7/data/battle/battle.lgp/ltaq.png","View Picture")</f>
        <v>View Picture</v>
      </c>
    </row>
    <row r="6713">
      <c r="A6713" s="21"/>
      <c r="B6713" s="119" t="s">
        <v>38819</v>
      </c>
      <c r="C6713" s="120" t="s">
        <v>4719</v>
      </c>
      <c r="D6713" s="33" t="s">
        <v>38820</v>
      </c>
      <c r="E6713" s="51" t="s">
        <v>1443</v>
      </c>
      <c r="F6713" s="121" t="s">
        <v>3009</v>
      </c>
      <c r="G6713" s="98" t="str">
        <f>HYPERLINK("http://mirror.ff7data.com.ar/ff7/data/battle/battle.lgp/ltat.png","View Picture")</f>
        <v>View Picture</v>
      </c>
    </row>
    <row r="6714">
      <c r="A6714" s="21"/>
      <c r="B6714" s="119" t="s">
        <v>38821</v>
      </c>
      <c r="C6714" s="120" t="s">
        <v>4476</v>
      </c>
      <c r="D6714" s="33" t="s">
        <v>38822</v>
      </c>
      <c r="E6714" s="51" t="s">
        <v>1443</v>
      </c>
      <c r="F6714" s="121" t="s">
        <v>3009</v>
      </c>
      <c r="G6714" s="98" t="str">
        <f>HYPERLINK("http://mirror.ff7data.com.ar/ff7/data/battle/battle.lgp/ltau.png","View Picture")</f>
        <v>View Picture</v>
      </c>
    </row>
    <row r="6715">
      <c r="A6715" s="82"/>
      <c r="B6715" s="119" t="s">
        <v>38823</v>
      </c>
      <c r="C6715" s="120" t="s">
        <v>3412</v>
      </c>
      <c r="D6715" s="33" t="s">
        <v>38824</v>
      </c>
      <c r="E6715" s="51" t="s">
        <v>1443</v>
      </c>
      <c r="F6715" s="121" t="s">
        <v>3009</v>
      </c>
      <c r="G6715" s="98" t="str">
        <f>HYPERLINK("http://mirror.ff7data.com.ar/ff7/data/battle/battle.lgp/ltav.png","View Picture")</f>
        <v>View Picture</v>
      </c>
    </row>
    <row r="6716">
      <c r="A6716" s="21"/>
      <c r="B6716" s="119" t="s">
        <v>38825</v>
      </c>
      <c r="C6716" s="120" t="s">
        <v>4719</v>
      </c>
      <c r="D6716" s="33" t="s">
        <v>38820</v>
      </c>
      <c r="E6716" s="51" t="s">
        <v>1443</v>
      </c>
      <c r="F6716" s="121" t="s">
        <v>3009</v>
      </c>
      <c r="G6716" s="98" t="str">
        <f>HYPERLINK("http://mirror.ff7data.com.ar/ff7/data/battle/battle.lgp/ltay.png","View Picture")</f>
        <v>View Picture</v>
      </c>
    </row>
    <row r="6717">
      <c r="A6717" s="21"/>
      <c r="B6717" s="119" t="s">
        <v>38826</v>
      </c>
      <c r="C6717" s="120" t="s">
        <v>4476</v>
      </c>
      <c r="D6717" s="33" t="s">
        <v>38822</v>
      </c>
      <c r="E6717" s="51" t="s">
        <v>1443</v>
      </c>
      <c r="F6717" s="121" t="s">
        <v>3009</v>
      </c>
      <c r="G6717" s="98" t="str">
        <f>HYPERLINK("http://mirror.ff7data.com.ar/ff7/data/battle/battle.lgp/ltaz.png","View Picture")</f>
        <v>View Picture</v>
      </c>
    </row>
    <row r="6718">
      <c r="A6718" s="82"/>
      <c r="B6718" s="119" t="s">
        <v>38827</v>
      </c>
      <c r="C6718" s="120" t="s">
        <v>3412</v>
      </c>
      <c r="D6718" s="33" t="s">
        <v>38828</v>
      </c>
      <c r="E6718" s="51" t="s">
        <v>1443</v>
      </c>
      <c r="F6718" s="121" t="s">
        <v>3009</v>
      </c>
      <c r="G6718" s="98" t="str">
        <f>HYPERLINK("http://mirror.ff7data.com.ar/ff7/data/battle/battle.lgp/ltba.png","View Picture")</f>
        <v>View Picture</v>
      </c>
    </row>
    <row r="6719">
      <c r="A6719" s="21"/>
      <c r="B6719" s="119" t="s">
        <v>38829</v>
      </c>
      <c r="C6719" s="120" t="s">
        <v>4185</v>
      </c>
      <c r="D6719" s="33" t="s">
        <v>38830</v>
      </c>
      <c r="E6719" s="51" t="s">
        <v>1443</v>
      </c>
      <c r="F6719" s="121" t="s">
        <v>3009</v>
      </c>
      <c r="G6719" s="98" t="str">
        <f>HYPERLINK("http://mirror.ff7data.com.ar/ff7/data/battle/battle.lgp/ltbc.png","View Picture")</f>
        <v>View Picture</v>
      </c>
    </row>
    <row r="6720">
      <c r="A6720" s="21"/>
      <c r="B6720" s="119" t="s">
        <v>38831</v>
      </c>
      <c r="C6720" s="120" t="s">
        <v>4217</v>
      </c>
      <c r="D6720" s="33" t="s">
        <v>38832</v>
      </c>
      <c r="E6720" s="51" t="s">
        <v>1443</v>
      </c>
      <c r="F6720" s="121" t="s">
        <v>3009</v>
      </c>
      <c r="G6720" s="98" t="str">
        <f>HYPERLINK("http://mirror.ff7data.com.ar/ff7/data/battle/battle.lgp/ltbd.png","View Picture")</f>
        <v>View Picture</v>
      </c>
    </row>
    <row r="6721">
      <c r="A6721" s="21"/>
      <c r="B6721" s="119" t="s">
        <v>38833</v>
      </c>
      <c r="C6721" s="120" t="s">
        <v>4732</v>
      </c>
      <c r="D6721" s="33" t="s">
        <v>38834</v>
      </c>
      <c r="E6721" s="51" t="s">
        <v>1443</v>
      </c>
      <c r="F6721" s="121" t="s">
        <v>3009</v>
      </c>
      <c r="G6721" s="98" t="str">
        <f>HYPERLINK("http://mirror.ff7data.com.ar/ff7/data/battle/battle.lgp/ltbe.png","View Picture")</f>
        <v>View Picture</v>
      </c>
    </row>
    <row r="6722">
      <c r="A6722" s="21"/>
      <c r="B6722" s="119" t="s">
        <v>38835</v>
      </c>
      <c r="C6722" s="120" t="s">
        <v>4732</v>
      </c>
      <c r="D6722" s="33" t="s">
        <v>38836</v>
      </c>
      <c r="E6722" s="51" t="s">
        <v>1443</v>
      </c>
      <c r="F6722" s="121" t="s">
        <v>3009</v>
      </c>
      <c r="G6722" s="98" t="str">
        <f>HYPERLINK("http://mirror.ff7data.com.ar/ff7/data/battle/battle.lgp/ltbf.png","View Picture")</f>
        <v>View Picture</v>
      </c>
    </row>
    <row r="6723">
      <c r="A6723" s="21"/>
      <c r="B6723" s="119" t="s">
        <v>38837</v>
      </c>
      <c r="C6723" s="120" t="s">
        <v>4185</v>
      </c>
      <c r="D6723" s="33" t="s">
        <v>38830</v>
      </c>
      <c r="E6723" s="51" t="s">
        <v>1443</v>
      </c>
      <c r="F6723" s="121" t="s">
        <v>3009</v>
      </c>
      <c r="G6723" s="98" t="str">
        <f>HYPERLINK("http://mirror.ff7data.com.ar/ff7/data/battle/battle.lgp/ltbh.png","View Picture")</f>
        <v>View Picture</v>
      </c>
    </row>
    <row r="6724">
      <c r="A6724" s="21"/>
      <c r="B6724" s="119" t="s">
        <v>38838</v>
      </c>
      <c r="C6724" s="120" t="s">
        <v>4217</v>
      </c>
      <c r="D6724" s="33" t="s">
        <v>38832</v>
      </c>
      <c r="E6724" s="51" t="s">
        <v>1443</v>
      </c>
      <c r="F6724" s="121" t="s">
        <v>3009</v>
      </c>
      <c r="G6724" s="98" t="str">
        <f>HYPERLINK("http://mirror.ff7data.com.ar/ff7/data/battle/battle.lgp/ltbi.png","View Picture")</f>
        <v>View Picture</v>
      </c>
    </row>
    <row r="6725">
      <c r="A6725" s="21"/>
      <c r="B6725" s="119" t="s">
        <v>38839</v>
      </c>
      <c r="C6725" s="120" t="s">
        <v>4732</v>
      </c>
      <c r="D6725" s="33" t="s">
        <v>38834</v>
      </c>
      <c r="E6725" s="51" t="s">
        <v>1443</v>
      </c>
      <c r="F6725" s="121" t="s">
        <v>3009</v>
      </c>
      <c r="G6725" s="98" t="str">
        <f>HYPERLINK("http://mirror.ff7data.com.ar/ff7/data/battle/battle.lgp/ltbj.png","View Picture")</f>
        <v>View Picture</v>
      </c>
    </row>
    <row r="6726">
      <c r="A6726" s="21"/>
      <c r="B6726" s="119" t="s">
        <v>38840</v>
      </c>
      <c r="C6726" s="120" t="s">
        <v>4732</v>
      </c>
      <c r="D6726" s="33" t="s">
        <v>38836</v>
      </c>
      <c r="E6726" s="51" t="s">
        <v>1443</v>
      </c>
      <c r="F6726" s="121" t="s">
        <v>3009</v>
      </c>
      <c r="G6726" s="98" t="str">
        <f>HYPERLINK("http://mirror.ff7data.com.ar/ff7/data/battle/battle.lgp/ltbk.png","View Picture")</f>
        <v>View Picture</v>
      </c>
    </row>
    <row r="6727">
      <c r="A6727" s="21"/>
      <c r="B6727" s="119" t="s">
        <v>38841</v>
      </c>
      <c r="C6727" s="120" t="s">
        <v>4732</v>
      </c>
      <c r="D6727" s="33" t="s">
        <v>38842</v>
      </c>
      <c r="E6727" s="51" t="s">
        <v>1443</v>
      </c>
      <c r="F6727" s="121" t="s">
        <v>3009</v>
      </c>
      <c r="G6727" s="98" t="str">
        <f>HYPERLINK("http://mirror.ff7data.com.ar/ff7/data/battle/battle.lgp/ltbm.png","View Picture")</f>
        <v>View Picture</v>
      </c>
    </row>
    <row r="6728">
      <c r="A6728" s="21"/>
      <c r="B6728" s="119" t="s">
        <v>38843</v>
      </c>
      <c r="C6728" s="120" t="s">
        <v>4732</v>
      </c>
      <c r="D6728" s="33" t="s">
        <v>38844</v>
      </c>
      <c r="E6728" s="51" t="s">
        <v>1443</v>
      </c>
      <c r="F6728" s="121" t="s">
        <v>3009</v>
      </c>
      <c r="G6728" s="98" t="str">
        <f>HYPERLINK("http://mirror.ff7data.com.ar/ff7/data/battle/battle.lgp/ltbn.png","View Picture")</f>
        <v>View Picture</v>
      </c>
    </row>
    <row r="6729">
      <c r="A6729" s="55"/>
      <c r="B6729" s="119" t="s">
        <v>38845</v>
      </c>
      <c r="C6729" s="120" t="s">
        <v>6018</v>
      </c>
      <c r="D6729" s="33" t="s">
        <v>38808</v>
      </c>
      <c r="E6729" s="51" t="s">
        <v>1443</v>
      </c>
      <c r="F6729" s="121" t="s">
        <v>3025</v>
      </c>
      <c r="H6729" s="46" t="s">
        <v>3002</v>
      </c>
    </row>
    <row r="6730">
      <c r="A6730" s="21"/>
      <c r="B6730" s="119" t="s">
        <v>38846</v>
      </c>
      <c r="C6730" s="120" t="s">
        <v>12090</v>
      </c>
      <c r="D6730" s="33" t="s">
        <v>38847</v>
      </c>
      <c r="E6730" s="51" t="s">
        <v>1446</v>
      </c>
      <c r="F6730" s="121" t="s">
        <v>2971</v>
      </c>
      <c r="G6730" s="98" t="str">
        <f>HYPERLINK("http://mirror.ff7data.com.ar/ff7/data/battle/battle.lgp/luaa.png","View Picture")</f>
        <v>View Picture</v>
      </c>
    </row>
    <row r="6731">
      <c r="A6731" s="55"/>
      <c r="B6731" s="119" t="s">
        <v>38848</v>
      </c>
      <c r="C6731" s="120" t="s">
        <v>38849</v>
      </c>
      <c r="D6731" s="33" t="s">
        <v>38850</v>
      </c>
      <c r="E6731" s="51" t="s">
        <v>1446</v>
      </c>
      <c r="F6731" s="121" t="s">
        <v>2993</v>
      </c>
      <c r="H6731" s="46" t="s">
        <v>3002</v>
      </c>
    </row>
    <row r="6732">
      <c r="A6732" s="55"/>
      <c r="B6732" s="119" t="s">
        <v>38851</v>
      </c>
      <c r="C6732" s="120" t="s">
        <v>33181</v>
      </c>
      <c r="D6732" s="33" t="s">
        <v>38850</v>
      </c>
      <c r="E6732" s="51" t="s">
        <v>1446</v>
      </c>
      <c r="F6732" s="121" t="s">
        <v>3009</v>
      </c>
      <c r="G6732" s="98" t="str">
        <f>HYPERLINK("http://mirror.ff7data.com.ar/ff7/data/battle/battle.lgp/luam.png","View Picture")</f>
        <v>View Picture</v>
      </c>
    </row>
    <row r="6733">
      <c r="A6733" s="55"/>
      <c r="B6733" s="119" t="s">
        <v>38852</v>
      </c>
      <c r="C6733" s="120" t="s">
        <v>4357</v>
      </c>
      <c r="D6733" s="33" t="s">
        <v>38850</v>
      </c>
      <c r="E6733" s="51" t="s">
        <v>1446</v>
      </c>
      <c r="F6733" s="121" t="s">
        <v>3009</v>
      </c>
      <c r="G6733" s="98" t="str">
        <f>HYPERLINK("http://mirror.ff7data.com.ar/ff7/data/battle/battle.lgp/luan.png","View Picture")</f>
        <v>View Picture</v>
      </c>
    </row>
    <row r="6734">
      <c r="A6734" s="55"/>
      <c r="B6734" s="119" t="s">
        <v>38853</v>
      </c>
      <c r="C6734" s="120" t="s">
        <v>3723</v>
      </c>
      <c r="D6734" s="33" t="s">
        <v>38850</v>
      </c>
      <c r="E6734" s="51" t="s">
        <v>1446</v>
      </c>
      <c r="F6734" s="121" t="s">
        <v>3009</v>
      </c>
      <c r="G6734" s="98" t="str">
        <f>HYPERLINK("http://mirror.ff7data.com.ar/ff7/data/battle/battle.lgp/luao.png","View Picture")</f>
        <v>View Picture</v>
      </c>
    </row>
    <row r="6735">
      <c r="A6735" s="55"/>
      <c r="B6735" s="119" t="s">
        <v>38854</v>
      </c>
      <c r="C6735" s="120" t="s">
        <v>3318</v>
      </c>
      <c r="D6735" s="33" t="s">
        <v>38850</v>
      </c>
      <c r="E6735" s="51" t="s">
        <v>1446</v>
      </c>
      <c r="F6735" s="121" t="s">
        <v>3009</v>
      </c>
      <c r="G6735" s="98" t="str">
        <f>HYPERLINK("http://mirror.ff7data.com.ar/ff7/data/battle/battle.lgp/luap.png","View Picture")</f>
        <v>View Picture</v>
      </c>
    </row>
    <row r="6736">
      <c r="A6736" s="55"/>
      <c r="B6736" s="119" t="s">
        <v>38855</v>
      </c>
      <c r="C6736" s="120" t="s">
        <v>4046</v>
      </c>
      <c r="D6736" s="33" t="s">
        <v>38850</v>
      </c>
      <c r="E6736" s="51" t="s">
        <v>1446</v>
      </c>
      <c r="F6736" s="121" t="s">
        <v>3009</v>
      </c>
      <c r="G6736" s="98" t="str">
        <f>HYPERLINK("http://mirror.ff7data.com.ar/ff7/data/battle/battle.lgp/luar.png","View Picture")</f>
        <v>View Picture</v>
      </c>
    </row>
    <row r="6737">
      <c r="A6737" s="55"/>
      <c r="B6737" s="119" t="s">
        <v>38856</v>
      </c>
      <c r="C6737" s="120" t="s">
        <v>6018</v>
      </c>
      <c r="D6737" s="33" t="s">
        <v>38850</v>
      </c>
      <c r="E6737" s="51" t="s">
        <v>1446</v>
      </c>
      <c r="F6737" s="121" t="s">
        <v>3009</v>
      </c>
      <c r="G6737" s="98" t="str">
        <f>HYPERLINK("http://mirror.ff7data.com.ar/ff7/data/battle/battle.lgp/luas.png","View Picture")</f>
        <v>View Picture</v>
      </c>
    </row>
    <row r="6738">
      <c r="A6738" s="55"/>
      <c r="B6738" s="119" t="s">
        <v>38857</v>
      </c>
      <c r="C6738" s="120" t="s">
        <v>7129</v>
      </c>
      <c r="D6738" s="33" t="s">
        <v>38850</v>
      </c>
      <c r="E6738" s="51" t="s">
        <v>1446</v>
      </c>
      <c r="F6738" s="121" t="s">
        <v>3009</v>
      </c>
      <c r="G6738" s="98" t="str">
        <f>HYPERLINK("http://mirror.ff7data.com.ar/ff7/data/battle/battle.lgp/luav.png","View Picture")</f>
        <v>View Picture</v>
      </c>
    </row>
    <row r="6739">
      <c r="A6739" s="55"/>
      <c r="B6739" s="119" t="s">
        <v>38858</v>
      </c>
      <c r="C6739" s="120" t="s">
        <v>4228</v>
      </c>
      <c r="D6739" s="33" t="s">
        <v>38850</v>
      </c>
      <c r="E6739" s="51" t="s">
        <v>1446</v>
      </c>
      <c r="F6739" s="121" t="s">
        <v>3009</v>
      </c>
      <c r="G6739" s="98" t="str">
        <f>HYPERLINK("http://mirror.ff7data.com.ar/ff7/data/battle/battle.lgp/luaw.png","View Picture")</f>
        <v>View Picture</v>
      </c>
    </row>
    <row r="6740">
      <c r="A6740" s="55"/>
      <c r="B6740" s="119" t="s">
        <v>38859</v>
      </c>
      <c r="C6740" s="120" t="s">
        <v>4696</v>
      </c>
      <c r="D6740" s="33" t="s">
        <v>38850</v>
      </c>
      <c r="E6740" s="51" t="s">
        <v>1446</v>
      </c>
      <c r="F6740" s="121" t="s">
        <v>3009</v>
      </c>
      <c r="G6740" s="98" t="str">
        <f>HYPERLINK("http://mirror.ff7data.com.ar/ff7/data/battle/battle.lgp/luay.png","View Picture")</f>
        <v>View Picture</v>
      </c>
    </row>
    <row r="6741">
      <c r="A6741" s="55"/>
      <c r="B6741" s="119" t="s">
        <v>38860</v>
      </c>
      <c r="C6741" s="120" t="s">
        <v>3007</v>
      </c>
      <c r="D6741" s="33" t="s">
        <v>38850</v>
      </c>
      <c r="E6741" s="51" t="s">
        <v>1446</v>
      </c>
      <c r="F6741" s="121" t="s">
        <v>3009</v>
      </c>
      <c r="G6741" s="98" t="str">
        <f>HYPERLINK("http://mirror.ff7data.com.ar/ff7/data/battle/battle.lgp/luaz.png","View Picture")</f>
        <v>View Picture</v>
      </c>
    </row>
    <row r="6742">
      <c r="A6742" s="55"/>
      <c r="B6742" s="119" t="s">
        <v>38861</v>
      </c>
      <c r="C6742" s="120" t="s">
        <v>3723</v>
      </c>
      <c r="D6742" s="33" t="s">
        <v>38850</v>
      </c>
      <c r="E6742" s="51" t="s">
        <v>1446</v>
      </c>
      <c r="F6742" s="121" t="s">
        <v>3009</v>
      </c>
      <c r="G6742" s="98" t="str">
        <f>HYPERLINK("http://mirror.ff7data.com.ar/ff7/data/battle/battle.lgp/lubb.png","View Picture")</f>
        <v>View Picture</v>
      </c>
    </row>
    <row r="6743">
      <c r="A6743" s="55"/>
      <c r="B6743" s="119" t="s">
        <v>38862</v>
      </c>
      <c r="C6743" s="120" t="s">
        <v>4883</v>
      </c>
      <c r="D6743" s="33" t="s">
        <v>38850</v>
      </c>
      <c r="E6743" s="51" t="s">
        <v>1446</v>
      </c>
      <c r="F6743" s="121" t="s">
        <v>3009</v>
      </c>
      <c r="G6743" s="98" t="str">
        <f>HYPERLINK("http://mirror.ff7data.com.ar/ff7/data/battle/battle.lgp/lubd.png","View Picture")</f>
        <v>View Picture</v>
      </c>
    </row>
    <row r="6744">
      <c r="A6744" s="55"/>
      <c r="B6744" s="119" t="s">
        <v>38863</v>
      </c>
      <c r="C6744" s="120" t="s">
        <v>4883</v>
      </c>
      <c r="D6744" s="33" t="s">
        <v>38850</v>
      </c>
      <c r="E6744" s="51" t="s">
        <v>1446</v>
      </c>
      <c r="F6744" s="121" t="s">
        <v>3009</v>
      </c>
      <c r="G6744" s="98" t="str">
        <f>HYPERLINK("http://mirror.ff7data.com.ar/ff7/data/battle/battle.lgp/lube.png","View Picture")</f>
        <v>View Picture</v>
      </c>
    </row>
    <row r="6745">
      <c r="A6745" s="55"/>
      <c r="B6745" s="119" t="s">
        <v>38864</v>
      </c>
      <c r="C6745" s="120" t="s">
        <v>4883</v>
      </c>
      <c r="D6745" s="33" t="s">
        <v>38850</v>
      </c>
      <c r="E6745" s="51" t="s">
        <v>1446</v>
      </c>
      <c r="F6745" s="121" t="s">
        <v>3009</v>
      </c>
      <c r="G6745" s="98" t="str">
        <f>HYPERLINK("http://mirror.ff7data.com.ar/ff7/data/battle/battle.lgp/lubf.png","View Picture")</f>
        <v>View Picture</v>
      </c>
    </row>
    <row r="6746">
      <c r="A6746" s="55"/>
      <c r="B6746" s="119" t="s">
        <v>38865</v>
      </c>
      <c r="C6746" s="120" t="s">
        <v>4601</v>
      </c>
      <c r="D6746" s="33" t="s">
        <v>38850</v>
      </c>
      <c r="E6746" s="51" t="s">
        <v>1446</v>
      </c>
      <c r="F6746" s="121" t="s">
        <v>3009</v>
      </c>
      <c r="G6746" s="98" t="str">
        <f>HYPERLINK("http://mirror.ff7data.com.ar/ff7/data/battle/battle.lgp/lubg.png","View Picture")</f>
        <v>View Picture</v>
      </c>
    </row>
    <row r="6747">
      <c r="A6747" s="55"/>
      <c r="B6747" s="119" t="s">
        <v>38866</v>
      </c>
      <c r="C6747" s="120" t="s">
        <v>4012</v>
      </c>
      <c r="D6747" s="33" t="s">
        <v>38850</v>
      </c>
      <c r="E6747" s="51" t="s">
        <v>1446</v>
      </c>
      <c r="F6747" s="121" t="s">
        <v>3025</v>
      </c>
      <c r="H6747" s="46" t="s">
        <v>3002</v>
      </c>
    </row>
    <row r="6748">
      <c r="A6748" s="21"/>
      <c r="B6748" s="119" t="s">
        <v>38867</v>
      </c>
      <c r="C6748" s="120" t="s">
        <v>4096</v>
      </c>
      <c r="D6748" s="33" t="s">
        <v>38868</v>
      </c>
      <c r="E6748" s="51" t="s">
        <v>1450</v>
      </c>
      <c r="F6748" s="121" t="s">
        <v>2971</v>
      </c>
      <c r="G6748" s="98" t="str">
        <f>HYPERLINK("http://mirror.ff7data.com.ar/ff7/data/battle/battle.lgp/lvaa.png","View Picture")</f>
        <v>View Picture</v>
      </c>
    </row>
    <row r="6749">
      <c r="A6749" s="55"/>
      <c r="B6749" s="119" t="s">
        <v>38869</v>
      </c>
      <c r="C6749" s="120" t="s">
        <v>20088</v>
      </c>
      <c r="D6749" s="33" t="s">
        <v>38870</v>
      </c>
      <c r="E6749" s="51" t="s">
        <v>1450</v>
      </c>
      <c r="F6749" s="121" t="s">
        <v>2993</v>
      </c>
      <c r="H6749" s="46" t="s">
        <v>3002</v>
      </c>
    </row>
    <row r="6750">
      <c r="A6750" s="55"/>
      <c r="B6750" s="119" t="s">
        <v>38871</v>
      </c>
      <c r="C6750" s="120" t="s">
        <v>4217</v>
      </c>
      <c r="D6750" s="33" t="s">
        <v>38870</v>
      </c>
      <c r="E6750" s="51" t="s">
        <v>1450</v>
      </c>
      <c r="F6750" s="121" t="s">
        <v>3009</v>
      </c>
      <c r="G6750" s="98" t="str">
        <f>HYPERLINK("http://mirror.ff7data.com.ar/ff7/data/battle/battle.lgp/lvao.png","View Picture")</f>
        <v>View Picture</v>
      </c>
    </row>
    <row r="6751">
      <c r="A6751" s="55"/>
      <c r="B6751" s="119" t="s">
        <v>38872</v>
      </c>
      <c r="C6751" s="120" t="s">
        <v>4841</v>
      </c>
      <c r="D6751" s="33" t="s">
        <v>38870</v>
      </c>
      <c r="E6751" s="51" t="s">
        <v>1450</v>
      </c>
      <c r="F6751" s="121" t="s">
        <v>3009</v>
      </c>
      <c r="G6751" s="98" t="str">
        <f>HYPERLINK("http://mirror.ff7data.com.ar/ff7/data/battle/battle.lgp/lvap.png","View Picture")</f>
        <v>View Picture</v>
      </c>
    </row>
    <row r="6752">
      <c r="A6752" s="55"/>
      <c r="B6752" s="119" t="s">
        <v>38873</v>
      </c>
      <c r="C6752" s="120" t="s">
        <v>4372</v>
      </c>
      <c r="D6752" s="33" t="s">
        <v>38870</v>
      </c>
      <c r="E6752" s="51" t="s">
        <v>1450</v>
      </c>
      <c r="F6752" s="121" t="s">
        <v>3009</v>
      </c>
      <c r="G6752" s="98" t="str">
        <f>HYPERLINK("http://mirror.ff7data.com.ar/ff7/data/battle/battle.lgp/lvar.png","View Picture")</f>
        <v>View Picture</v>
      </c>
    </row>
    <row r="6753">
      <c r="A6753" s="55"/>
      <c r="B6753" s="119" t="s">
        <v>38874</v>
      </c>
      <c r="C6753" s="120" t="s">
        <v>6029</v>
      </c>
      <c r="D6753" s="33" t="s">
        <v>38870</v>
      </c>
      <c r="E6753" s="51" t="s">
        <v>1450</v>
      </c>
      <c r="F6753" s="121" t="s">
        <v>3009</v>
      </c>
      <c r="G6753" s="98" t="str">
        <f>HYPERLINK("http://mirror.ff7data.com.ar/ff7/data/battle/battle.lgp/lvat.png","View Picture")</f>
        <v>View Picture</v>
      </c>
    </row>
    <row r="6754">
      <c r="A6754" s="55"/>
      <c r="B6754" s="119" t="s">
        <v>38875</v>
      </c>
      <c r="C6754" s="120" t="s">
        <v>26138</v>
      </c>
      <c r="D6754" s="33" t="s">
        <v>38870</v>
      </c>
      <c r="E6754" s="51" t="s">
        <v>1450</v>
      </c>
      <c r="F6754" s="121" t="s">
        <v>3025</v>
      </c>
      <c r="H6754" s="46" t="s">
        <v>3002</v>
      </c>
    </row>
    <row r="6755">
      <c r="A6755" s="21"/>
      <c r="B6755" s="119" t="s">
        <v>38876</v>
      </c>
      <c r="C6755" s="120" t="s">
        <v>18047</v>
      </c>
      <c r="D6755" s="33" t="s">
        <v>38877</v>
      </c>
      <c r="E6755" s="51" t="s">
        <v>1454</v>
      </c>
      <c r="F6755" s="121" t="s">
        <v>2971</v>
      </c>
      <c r="G6755" s="98" t="str">
        <f>HYPERLINK("http://mirror.ff7data.com.ar/ff7/data/battle/battle.lgp/lwaa.png","View Picture")</f>
        <v>View Picture</v>
      </c>
    </row>
    <row r="6756">
      <c r="A6756" s="55"/>
      <c r="B6756" s="119" t="s">
        <v>38878</v>
      </c>
      <c r="C6756" s="120" t="s">
        <v>20088</v>
      </c>
      <c r="D6756" s="33" t="s">
        <v>38879</v>
      </c>
      <c r="E6756" s="51" t="s">
        <v>1454</v>
      </c>
      <c r="F6756" s="121" t="s">
        <v>2993</v>
      </c>
      <c r="H6756" s="46" t="s">
        <v>3002</v>
      </c>
    </row>
    <row r="6757">
      <c r="A6757" s="55"/>
      <c r="B6757" s="119" t="s">
        <v>38880</v>
      </c>
      <c r="C6757" s="120" t="s">
        <v>3614</v>
      </c>
      <c r="D6757" s="33" t="s">
        <v>38879</v>
      </c>
      <c r="E6757" s="51" t="s">
        <v>1454</v>
      </c>
      <c r="F6757" s="121" t="s">
        <v>3009</v>
      </c>
      <c r="G6757" s="98" t="str">
        <f>HYPERLINK("http://mirror.ff7data.com.ar/ff7/data/battle/battle.lgp/lwao.png","View Picture")</f>
        <v>View Picture</v>
      </c>
    </row>
    <row r="6758">
      <c r="A6758" s="55"/>
      <c r="B6758" s="119" t="s">
        <v>38881</v>
      </c>
      <c r="C6758" s="120" t="s">
        <v>4841</v>
      </c>
      <c r="D6758" s="33" t="s">
        <v>38879</v>
      </c>
      <c r="E6758" s="51" t="s">
        <v>1454</v>
      </c>
      <c r="F6758" s="121" t="s">
        <v>3009</v>
      </c>
      <c r="G6758" s="98" t="str">
        <f>HYPERLINK("http://mirror.ff7data.com.ar/ff7/data/battle/battle.lgp/lwap.png","View Picture")</f>
        <v>View Picture</v>
      </c>
    </row>
    <row r="6759">
      <c r="A6759" s="55"/>
      <c r="B6759" s="119" t="s">
        <v>38882</v>
      </c>
      <c r="C6759" s="120" t="s">
        <v>4288</v>
      </c>
      <c r="D6759" s="33" t="s">
        <v>38879</v>
      </c>
      <c r="E6759" s="51" t="s">
        <v>1454</v>
      </c>
      <c r="F6759" s="121" t="s">
        <v>3009</v>
      </c>
      <c r="G6759" s="98" t="str">
        <f>HYPERLINK("http://mirror.ff7data.com.ar/ff7/data/battle/battle.lgp/lwar.png","View Picture")</f>
        <v>View Picture</v>
      </c>
    </row>
    <row r="6760">
      <c r="A6760" s="55"/>
      <c r="B6760" s="119" t="s">
        <v>38883</v>
      </c>
      <c r="C6760" s="120" t="s">
        <v>4658</v>
      </c>
      <c r="D6760" s="33" t="s">
        <v>38879</v>
      </c>
      <c r="E6760" s="51" t="s">
        <v>1454</v>
      </c>
      <c r="F6760" s="121" t="s">
        <v>3009</v>
      </c>
      <c r="G6760" s="98" t="str">
        <f>HYPERLINK("http://mirror.ff7data.com.ar/ff7/data/battle/battle.lgp/lwas.png","View Picture")</f>
        <v>View Picture</v>
      </c>
    </row>
    <row r="6761">
      <c r="A6761" s="55"/>
      <c r="B6761" s="119" t="s">
        <v>38884</v>
      </c>
      <c r="C6761" s="120" t="s">
        <v>4658</v>
      </c>
      <c r="D6761" s="33" t="s">
        <v>38879</v>
      </c>
      <c r="E6761" s="51" t="s">
        <v>1454</v>
      </c>
      <c r="F6761" s="121" t="s">
        <v>3009</v>
      </c>
      <c r="G6761" s="98" t="str">
        <f>HYPERLINK("http://mirror.ff7data.com.ar/ff7/data/battle/battle.lgp/lwat.png","View Picture")</f>
        <v>View Picture</v>
      </c>
    </row>
    <row r="6762">
      <c r="A6762" s="55"/>
      <c r="B6762" s="119" t="s">
        <v>38885</v>
      </c>
      <c r="C6762" s="120" t="s">
        <v>4264</v>
      </c>
      <c r="D6762" s="33" t="s">
        <v>38879</v>
      </c>
      <c r="E6762" s="51" t="s">
        <v>1454</v>
      </c>
      <c r="F6762" s="121" t="s">
        <v>3009</v>
      </c>
      <c r="G6762" s="98" t="str">
        <f>HYPERLINK("http://mirror.ff7data.com.ar/ff7/data/battle/battle.lgp/lwav.png","View Picture")</f>
        <v>View Picture</v>
      </c>
    </row>
    <row r="6763">
      <c r="A6763" s="55"/>
      <c r="B6763" s="119" t="s">
        <v>38886</v>
      </c>
      <c r="C6763" s="120" t="s">
        <v>4658</v>
      </c>
      <c r="D6763" s="33" t="s">
        <v>38879</v>
      </c>
      <c r="E6763" s="51" t="s">
        <v>1454</v>
      </c>
      <c r="F6763" s="121" t="s">
        <v>3009</v>
      </c>
      <c r="G6763" s="98" t="str">
        <f>HYPERLINK("http://mirror.ff7data.com.ar/ff7/data/battle/battle.lgp/lwaw.png","View Picture")</f>
        <v>View Picture</v>
      </c>
    </row>
    <row r="6764">
      <c r="A6764" s="55"/>
      <c r="B6764" s="119" t="s">
        <v>38887</v>
      </c>
      <c r="C6764" s="120" t="s">
        <v>4658</v>
      </c>
      <c r="D6764" s="33" t="s">
        <v>38879</v>
      </c>
      <c r="E6764" s="51" t="s">
        <v>1454</v>
      </c>
      <c r="F6764" s="121" t="s">
        <v>3009</v>
      </c>
      <c r="G6764" s="98" t="str">
        <f>HYPERLINK("http://mirror.ff7data.com.ar/ff7/data/battle/battle.lgp/lwax.png","View Picture")</f>
        <v>View Picture</v>
      </c>
    </row>
    <row r="6765">
      <c r="A6765" s="55"/>
      <c r="B6765" s="119" t="s">
        <v>38888</v>
      </c>
      <c r="C6765" s="120" t="s">
        <v>4288</v>
      </c>
      <c r="D6765" s="33" t="s">
        <v>38879</v>
      </c>
      <c r="E6765" s="51" t="s">
        <v>1454</v>
      </c>
      <c r="F6765" s="121" t="s">
        <v>3009</v>
      </c>
      <c r="G6765" s="98" t="str">
        <f>HYPERLINK("http://mirror.ff7data.com.ar/ff7/data/battle/battle.lgp/lwaz.png","View Picture")</f>
        <v>View Picture</v>
      </c>
    </row>
    <row r="6766">
      <c r="A6766" s="55"/>
      <c r="B6766" s="119" t="s">
        <v>38889</v>
      </c>
      <c r="C6766" s="120" t="s">
        <v>4707</v>
      </c>
      <c r="D6766" s="33" t="s">
        <v>38879</v>
      </c>
      <c r="E6766" s="51" t="s">
        <v>1454</v>
      </c>
      <c r="F6766" s="121" t="s">
        <v>3009</v>
      </c>
      <c r="G6766" s="98" t="str">
        <f>HYPERLINK("http://mirror.ff7data.com.ar/ff7/data/battle/battle.lgp/lwba.png","View Picture")</f>
        <v>View Picture</v>
      </c>
    </row>
    <row r="6767">
      <c r="A6767" s="55"/>
      <c r="B6767" s="119" t="s">
        <v>38890</v>
      </c>
      <c r="C6767" s="120" t="s">
        <v>4658</v>
      </c>
      <c r="D6767" s="33" t="s">
        <v>38879</v>
      </c>
      <c r="E6767" s="51" t="s">
        <v>1454</v>
      </c>
      <c r="F6767" s="121" t="s">
        <v>3009</v>
      </c>
      <c r="G6767" s="98" t="str">
        <f>HYPERLINK("http://mirror.ff7data.com.ar/ff7/data/battle/battle.lgp/lwbb.png","View Picture")</f>
        <v>View Picture</v>
      </c>
    </row>
    <row r="6768">
      <c r="A6768" s="55"/>
      <c r="B6768" s="119" t="s">
        <v>38891</v>
      </c>
      <c r="C6768" s="120" t="s">
        <v>4264</v>
      </c>
      <c r="D6768" s="33" t="s">
        <v>38879</v>
      </c>
      <c r="E6768" s="51" t="s">
        <v>1454</v>
      </c>
      <c r="F6768" s="121" t="s">
        <v>3009</v>
      </c>
      <c r="G6768" s="98" t="str">
        <f>HYPERLINK("http://mirror.ff7data.com.ar/ff7/data/battle/battle.lgp/lwbd.png","View Picture")</f>
        <v>View Picture</v>
      </c>
    </row>
    <row r="6769">
      <c r="A6769" s="55"/>
      <c r="B6769" s="119" t="s">
        <v>38892</v>
      </c>
      <c r="C6769" s="120" t="s">
        <v>4707</v>
      </c>
      <c r="D6769" s="33" t="s">
        <v>38879</v>
      </c>
      <c r="E6769" s="51" t="s">
        <v>1454</v>
      </c>
      <c r="F6769" s="121" t="s">
        <v>3009</v>
      </c>
      <c r="G6769" s="98" t="str">
        <f>HYPERLINK("http://mirror.ff7data.com.ar/ff7/data/battle/battle.lgp/lwbe.png","View Picture")</f>
        <v>View Picture</v>
      </c>
    </row>
    <row r="6770">
      <c r="A6770" s="55"/>
      <c r="B6770" s="119" t="s">
        <v>38893</v>
      </c>
      <c r="C6770" s="120" t="s">
        <v>4707</v>
      </c>
      <c r="D6770" s="33" t="s">
        <v>38879</v>
      </c>
      <c r="E6770" s="51" t="s">
        <v>1454</v>
      </c>
      <c r="F6770" s="121" t="s">
        <v>3009</v>
      </c>
      <c r="G6770" s="98" t="str">
        <f>HYPERLINK("http://mirror.ff7data.com.ar/ff7/data/battle/battle.lgp/lwbf.png","View Picture")</f>
        <v>View Picture</v>
      </c>
    </row>
    <row r="6771">
      <c r="A6771" s="55"/>
      <c r="B6771" s="119" t="s">
        <v>38894</v>
      </c>
      <c r="C6771" s="120" t="s">
        <v>4122</v>
      </c>
      <c r="D6771" s="33" t="s">
        <v>38879</v>
      </c>
      <c r="E6771" s="51" t="s">
        <v>1454</v>
      </c>
      <c r="F6771" s="121" t="s">
        <v>3025</v>
      </c>
      <c r="H6771" s="46" t="s">
        <v>3002</v>
      </c>
    </row>
    <row r="6772">
      <c r="A6772" s="21"/>
      <c r="B6772" s="119" t="s">
        <v>38895</v>
      </c>
      <c r="C6772" s="120" t="s">
        <v>4456</v>
      </c>
      <c r="D6772" s="33" t="s">
        <v>38896</v>
      </c>
      <c r="E6772" s="51" t="s">
        <v>1459</v>
      </c>
      <c r="F6772" s="121" t="s">
        <v>2971</v>
      </c>
      <c r="G6772" s="98" t="str">
        <f>HYPERLINK("http://mirror.ff7data.com.ar/ff7/data/battle/battle.lgp/lxaa.png","View Picture")</f>
        <v>View Picture</v>
      </c>
    </row>
    <row r="6773">
      <c r="A6773" s="55"/>
      <c r="B6773" s="119" t="s">
        <v>38897</v>
      </c>
      <c r="C6773" s="120" t="s">
        <v>8538</v>
      </c>
      <c r="D6773" s="33" t="s">
        <v>38898</v>
      </c>
      <c r="E6773" s="51" t="s">
        <v>1459</v>
      </c>
      <c r="F6773" s="121" t="s">
        <v>2993</v>
      </c>
      <c r="H6773" s="46" t="s">
        <v>3002</v>
      </c>
    </row>
    <row r="6774">
      <c r="A6774" s="55"/>
      <c r="B6774" s="119" t="s">
        <v>38899</v>
      </c>
      <c r="C6774" s="120" t="s">
        <v>4841</v>
      </c>
      <c r="D6774" s="33" t="s">
        <v>38898</v>
      </c>
      <c r="E6774" s="51" t="s">
        <v>1459</v>
      </c>
      <c r="F6774" s="121" t="s">
        <v>3009</v>
      </c>
      <c r="G6774" s="98" t="str">
        <f>HYPERLINK("http://mirror.ff7data.com.ar/ff7/data/battle/battle.lgp/lxam.png","View Picture")</f>
        <v>View Picture</v>
      </c>
    </row>
    <row r="6775">
      <c r="A6775" s="55"/>
      <c r="B6775" s="119" t="s">
        <v>38900</v>
      </c>
      <c r="C6775" s="120" t="s">
        <v>7115</v>
      </c>
      <c r="D6775" s="33" t="s">
        <v>38898</v>
      </c>
      <c r="E6775" s="51" t="s">
        <v>1459</v>
      </c>
      <c r="F6775" s="121" t="s">
        <v>3009</v>
      </c>
      <c r="G6775" s="98" t="str">
        <f>HYPERLINK("http://mirror.ff7data.com.ar/ff7/data/battle/battle.lgp/lxan.png","View Picture")</f>
        <v>View Picture</v>
      </c>
    </row>
    <row r="6776">
      <c r="A6776" s="55"/>
      <c r="B6776" s="119" t="s">
        <v>38901</v>
      </c>
      <c r="C6776" s="120" t="s">
        <v>8649</v>
      </c>
      <c r="D6776" s="33" t="s">
        <v>38898</v>
      </c>
      <c r="E6776" s="51" t="s">
        <v>1459</v>
      </c>
      <c r="F6776" s="121" t="s">
        <v>3009</v>
      </c>
      <c r="G6776" s="98" t="str">
        <f>HYPERLINK("http://mirror.ff7data.com.ar/ff7/data/battle/battle.lgp/lxao.png","View Picture")</f>
        <v>View Picture</v>
      </c>
    </row>
    <row r="6777">
      <c r="A6777" s="55"/>
      <c r="B6777" s="119" t="s">
        <v>38902</v>
      </c>
      <c r="C6777" s="120" t="s">
        <v>3658</v>
      </c>
      <c r="D6777" s="33" t="s">
        <v>38898</v>
      </c>
      <c r="E6777" s="51" t="s">
        <v>1459</v>
      </c>
      <c r="F6777" s="121" t="s">
        <v>3009</v>
      </c>
      <c r="G6777" s="98" t="str">
        <f>HYPERLINK("http://mirror.ff7data.com.ar/ff7/data/battle/battle.lgp/lxar.png","View Picture")</f>
        <v>View Picture</v>
      </c>
    </row>
    <row r="6778">
      <c r="A6778" s="55"/>
      <c r="B6778" s="119" t="s">
        <v>38903</v>
      </c>
      <c r="C6778" s="120" t="s">
        <v>4372</v>
      </c>
      <c r="D6778" s="33" t="s">
        <v>38898</v>
      </c>
      <c r="E6778" s="51" t="s">
        <v>1459</v>
      </c>
      <c r="F6778" s="121" t="s">
        <v>3009</v>
      </c>
      <c r="G6778" s="98" t="str">
        <f>HYPERLINK("http://mirror.ff7data.com.ar/ff7/data/battle/battle.lgp/lxas.png","View Picture")</f>
        <v>View Picture</v>
      </c>
    </row>
    <row r="6779">
      <c r="A6779" s="55"/>
      <c r="B6779" s="119" t="s">
        <v>38904</v>
      </c>
      <c r="C6779" s="120" t="s">
        <v>4719</v>
      </c>
      <c r="D6779" s="33" t="s">
        <v>38898</v>
      </c>
      <c r="E6779" s="51" t="s">
        <v>1459</v>
      </c>
      <c r="F6779" s="121" t="s">
        <v>3009</v>
      </c>
      <c r="G6779" s="98" t="str">
        <f>HYPERLINK("http://mirror.ff7data.com.ar/ff7/data/battle/battle.lgp/lxat.png","View Picture")</f>
        <v>View Picture</v>
      </c>
    </row>
    <row r="6780">
      <c r="A6780" s="55"/>
      <c r="B6780" s="119" t="s">
        <v>38905</v>
      </c>
      <c r="C6780" s="120" t="s">
        <v>4719</v>
      </c>
      <c r="D6780" s="33" t="s">
        <v>38898</v>
      </c>
      <c r="E6780" s="51" t="s">
        <v>1459</v>
      </c>
      <c r="F6780" s="121" t="s">
        <v>3009</v>
      </c>
      <c r="G6780" s="98" t="str">
        <f>HYPERLINK("http://mirror.ff7data.com.ar/ff7/data/battle/battle.lgp/lxau.png","View Picture")</f>
        <v>View Picture</v>
      </c>
    </row>
    <row r="6781">
      <c r="A6781" s="55"/>
      <c r="B6781" s="119" t="s">
        <v>38906</v>
      </c>
      <c r="C6781" s="120" t="s">
        <v>4372</v>
      </c>
      <c r="D6781" s="33" t="s">
        <v>38898</v>
      </c>
      <c r="E6781" s="51" t="s">
        <v>1459</v>
      </c>
      <c r="F6781" s="121" t="s">
        <v>3009</v>
      </c>
      <c r="G6781" s="98" t="str">
        <f>HYPERLINK("http://mirror.ff7data.com.ar/ff7/data/battle/battle.lgp/lxav.png","View Picture")</f>
        <v>View Picture</v>
      </c>
    </row>
    <row r="6782">
      <c r="A6782" s="55"/>
      <c r="B6782" s="119" t="s">
        <v>38907</v>
      </c>
      <c r="C6782" s="120" t="s">
        <v>4372</v>
      </c>
      <c r="D6782" s="33" t="s">
        <v>38898</v>
      </c>
      <c r="E6782" s="51" t="s">
        <v>1459</v>
      </c>
      <c r="F6782" s="121" t="s">
        <v>3009</v>
      </c>
      <c r="G6782" s="98" t="str">
        <f>HYPERLINK("http://mirror.ff7data.com.ar/ff7/data/battle/battle.lgp/lxaw.png","View Picture")</f>
        <v>View Picture</v>
      </c>
    </row>
    <row r="6783">
      <c r="A6783" s="55"/>
      <c r="B6783" s="119" t="s">
        <v>38908</v>
      </c>
      <c r="C6783" s="120" t="s">
        <v>4439</v>
      </c>
      <c r="D6783" s="33" t="s">
        <v>38898</v>
      </c>
      <c r="E6783" s="51" t="s">
        <v>1459</v>
      </c>
      <c r="F6783" s="121" t="s">
        <v>3009</v>
      </c>
      <c r="G6783" s="98" t="str">
        <f>HYPERLINK("http://mirror.ff7data.com.ar/ff7/data/battle/battle.lgp/lxax.png","View Picture")</f>
        <v>View Picture</v>
      </c>
    </row>
    <row r="6784">
      <c r="A6784" s="55"/>
      <c r="B6784" s="119" t="s">
        <v>38909</v>
      </c>
      <c r="C6784" s="120" t="s">
        <v>4732</v>
      </c>
      <c r="D6784" s="33" t="s">
        <v>38898</v>
      </c>
      <c r="E6784" s="51" t="s">
        <v>1459</v>
      </c>
      <c r="F6784" s="121" t="s">
        <v>3009</v>
      </c>
      <c r="G6784" s="98" t="str">
        <f>HYPERLINK("http://mirror.ff7data.com.ar/ff7/data/battle/battle.lgp/lxay.png","View Picture")</f>
        <v>View Picture</v>
      </c>
    </row>
    <row r="6785">
      <c r="A6785" s="55"/>
      <c r="B6785" s="119" t="s">
        <v>38910</v>
      </c>
      <c r="C6785" s="120" t="s">
        <v>4439</v>
      </c>
      <c r="D6785" s="33" t="s">
        <v>38898</v>
      </c>
      <c r="E6785" s="51" t="s">
        <v>1459</v>
      </c>
      <c r="F6785" s="121" t="s">
        <v>3009</v>
      </c>
      <c r="G6785" s="98" t="str">
        <f>HYPERLINK("http://mirror.ff7data.com.ar/ff7/data/battle/battle.lgp/lxaz.png","View Picture")</f>
        <v>View Picture</v>
      </c>
    </row>
    <row r="6786">
      <c r="A6786" s="55"/>
      <c r="B6786" s="119" t="s">
        <v>38911</v>
      </c>
      <c r="C6786" s="120" t="s">
        <v>4732</v>
      </c>
      <c r="D6786" s="33" t="s">
        <v>38898</v>
      </c>
      <c r="E6786" s="51" t="s">
        <v>1459</v>
      </c>
      <c r="F6786" s="121" t="s">
        <v>3009</v>
      </c>
      <c r="G6786" s="98" t="str">
        <f>HYPERLINK("http://mirror.ff7data.com.ar/ff7/data/battle/battle.lgp/lxba.png","View Picture")</f>
        <v>View Picture</v>
      </c>
    </row>
    <row r="6787">
      <c r="A6787" s="55"/>
      <c r="B6787" s="119" t="s">
        <v>38912</v>
      </c>
      <c r="C6787" s="120" t="s">
        <v>4732</v>
      </c>
      <c r="D6787" s="33" t="s">
        <v>38898</v>
      </c>
      <c r="E6787" s="51" t="s">
        <v>1459</v>
      </c>
      <c r="F6787" s="121" t="s">
        <v>3009</v>
      </c>
      <c r="G6787" s="98" t="str">
        <f>HYPERLINK("http://mirror.ff7data.com.ar/ff7/data/battle/battle.lgp/lxbb.png","View Picture")</f>
        <v>View Picture</v>
      </c>
    </row>
    <row r="6788">
      <c r="A6788" s="55"/>
      <c r="B6788" s="119" t="s">
        <v>38913</v>
      </c>
      <c r="C6788" s="120" t="s">
        <v>4439</v>
      </c>
      <c r="D6788" s="33" t="s">
        <v>38898</v>
      </c>
      <c r="E6788" s="51" t="s">
        <v>1459</v>
      </c>
      <c r="F6788" s="121" t="s">
        <v>3009</v>
      </c>
      <c r="G6788" s="98" t="str">
        <f>HYPERLINK("http://mirror.ff7data.com.ar/ff7/data/battle/battle.lgp/lxbc.png","View Picture")</f>
        <v>View Picture</v>
      </c>
    </row>
    <row r="6789">
      <c r="A6789" s="55"/>
      <c r="B6789" s="119" t="s">
        <v>38914</v>
      </c>
      <c r="C6789" s="120" t="s">
        <v>4372</v>
      </c>
      <c r="D6789" s="33" t="s">
        <v>38898</v>
      </c>
      <c r="E6789" s="51" t="s">
        <v>1459</v>
      </c>
      <c r="F6789" s="121" t="s">
        <v>3009</v>
      </c>
      <c r="G6789" s="98" t="str">
        <f>HYPERLINK("http://mirror.ff7data.com.ar/ff7/data/battle/battle.lgp/lxbd.png","View Picture")</f>
        <v>View Picture</v>
      </c>
    </row>
    <row r="6790">
      <c r="A6790" s="55"/>
      <c r="B6790" s="119" t="s">
        <v>38915</v>
      </c>
      <c r="C6790" s="120" t="s">
        <v>5762</v>
      </c>
      <c r="D6790" s="33" t="s">
        <v>38898</v>
      </c>
      <c r="E6790" s="51" t="s">
        <v>1459</v>
      </c>
      <c r="F6790" s="121" t="s">
        <v>3009</v>
      </c>
      <c r="G6790" s="98" t="str">
        <f>HYPERLINK("http://mirror.ff7data.com.ar/ff7/data/battle/battle.lgp/lxbg.png","View Picture")</f>
        <v>View Picture</v>
      </c>
    </row>
    <row r="6791">
      <c r="A6791" s="55"/>
      <c r="B6791" s="119" t="s">
        <v>38916</v>
      </c>
      <c r="C6791" s="120" t="s">
        <v>5859</v>
      </c>
      <c r="D6791" s="33" t="s">
        <v>38898</v>
      </c>
      <c r="E6791" s="51" t="s">
        <v>1459</v>
      </c>
      <c r="F6791" s="121" t="s">
        <v>3009</v>
      </c>
      <c r="G6791" s="98" t="str">
        <f>HYPERLINK("http://mirror.ff7data.com.ar/ff7/data/battle/battle.lgp/lxbh.png","View Picture")</f>
        <v>View Picture</v>
      </c>
    </row>
    <row r="6792">
      <c r="A6792" s="55"/>
      <c r="B6792" s="119" t="s">
        <v>38917</v>
      </c>
      <c r="C6792" s="120" t="s">
        <v>4841</v>
      </c>
      <c r="D6792" s="33" t="s">
        <v>38898</v>
      </c>
      <c r="E6792" s="51" t="s">
        <v>1459</v>
      </c>
      <c r="F6792" s="121" t="s">
        <v>3009</v>
      </c>
      <c r="G6792" s="98" t="str">
        <f>HYPERLINK("http://mirror.ff7data.com.ar/ff7/data/battle/battle.lgp/lxbi.png","View Picture")</f>
        <v>View Picture</v>
      </c>
    </row>
    <row r="6793">
      <c r="A6793" s="55"/>
      <c r="B6793" s="119" t="s">
        <v>38918</v>
      </c>
      <c r="C6793" s="120" t="s">
        <v>5762</v>
      </c>
      <c r="D6793" s="33" t="s">
        <v>38898</v>
      </c>
      <c r="E6793" s="51" t="s">
        <v>1459</v>
      </c>
      <c r="F6793" s="121" t="s">
        <v>3009</v>
      </c>
      <c r="G6793" s="98" t="str">
        <f>HYPERLINK("http://mirror.ff7data.com.ar/ff7/data/battle/battle.lgp/lxbm.png","View Picture")</f>
        <v>View Picture</v>
      </c>
    </row>
    <row r="6794">
      <c r="A6794" s="55"/>
      <c r="B6794" s="119" t="s">
        <v>38919</v>
      </c>
      <c r="C6794" s="120" t="s">
        <v>5859</v>
      </c>
      <c r="D6794" s="33" t="s">
        <v>38898</v>
      </c>
      <c r="E6794" s="51" t="s">
        <v>1459</v>
      </c>
      <c r="F6794" s="121" t="s">
        <v>3009</v>
      </c>
      <c r="G6794" s="98" t="str">
        <f>HYPERLINK("http://mirror.ff7data.com.ar/ff7/data/battle/battle.lgp/lxbn.png","View Picture")</f>
        <v>View Picture</v>
      </c>
    </row>
    <row r="6795">
      <c r="A6795" s="55"/>
      <c r="B6795" s="119" t="s">
        <v>38920</v>
      </c>
      <c r="C6795" s="120" t="s">
        <v>4841</v>
      </c>
      <c r="D6795" s="33" t="s">
        <v>38898</v>
      </c>
      <c r="E6795" s="51" t="s">
        <v>1459</v>
      </c>
      <c r="F6795" s="121" t="s">
        <v>3009</v>
      </c>
      <c r="G6795" s="98" t="str">
        <f>HYPERLINK("http://mirror.ff7data.com.ar/ff7/data/battle/battle.lgp/lxbo.png","View Picture")</f>
        <v>View Picture</v>
      </c>
    </row>
    <row r="6796">
      <c r="A6796" s="55"/>
      <c r="B6796" s="119" t="s">
        <v>38921</v>
      </c>
      <c r="C6796" s="120" t="s">
        <v>3494</v>
      </c>
      <c r="D6796" s="33" t="s">
        <v>38898</v>
      </c>
      <c r="E6796" s="51" t="s">
        <v>1459</v>
      </c>
      <c r="F6796" s="121" t="s">
        <v>3009</v>
      </c>
      <c r="G6796" s="98" t="str">
        <f>HYPERLINK("http://mirror.ff7data.com.ar/ff7/data/battle/battle.lgp/lxbr.png","View Picture")</f>
        <v>View Picture</v>
      </c>
    </row>
    <row r="6797">
      <c r="A6797" s="55"/>
      <c r="B6797" s="119" t="s">
        <v>38922</v>
      </c>
      <c r="C6797" s="120" t="s">
        <v>11962</v>
      </c>
      <c r="D6797" s="33" t="s">
        <v>38898</v>
      </c>
      <c r="E6797" s="51" t="s">
        <v>1459</v>
      </c>
      <c r="F6797" s="121" t="s">
        <v>3009</v>
      </c>
      <c r="G6797" s="98" t="str">
        <f>HYPERLINK("http://mirror.ff7data.com.ar/ff7/data/battle/battle.lgp/lxbs.png","View Picture")</f>
        <v>View Picture</v>
      </c>
    </row>
    <row r="6798">
      <c r="A6798" s="55"/>
      <c r="B6798" s="119" t="s">
        <v>38923</v>
      </c>
      <c r="C6798" s="120" t="s">
        <v>3505</v>
      </c>
      <c r="D6798" s="33" t="s">
        <v>38898</v>
      </c>
      <c r="E6798" s="51" t="s">
        <v>1459</v>
      </c>
      <c r="F6798" s="121" t="s">
        <v>3009</v>
      </c>
      <c r="G6798" s="98" t="str">
        <f>HYPERLINK("http://mirror.ff7data.com.ar/ff7/data/battle/battle.lgp/lxbt.png","View Picture")</f>
        <v>View Picture</v>
      </c>
    </row>
    <row r="6799">
      <c r="A6799" s="55"/>
      <c r="B6799" s="119" t="s">
        <v>38924</v>
      </c>
      <c r="C6799" s="120" t="s">
        <v>3465</v>
      </c>
      <c r="D6799" s="33" t="s">
        <v>38898</v>
      </c>
      <c r="E6799" s="51" t="s">
        <v>1459</v>
      </c>
      <c r="F6799" s="121" t="s">
        <v>3009</v>
      </c>
      <c r="G6799" s="98" t="str">
        <f>HYPERLINK("http://mirror.ff7data.com.ar/ff7/data/battle/battle.lgp/lxbu.png","View Picture")</f>
        <v>View Picture</v>
      </c>
    </row>
    <row r="6800">
      <c r="A6800" s="55"/>
      <c r="B6800" s="119" t="s">
        <v>38925</v>
      </c>
      <c r="C6800" s="120" t="s">
        <v>7301</v>
      </c>
      <c r="D6800" s="33" t="s">
        <v>38898</v>
      </c>
      <c r="E6800" s="51" t="s">
        <v>1459</v>
      </c>
      <c r="F6800" s="121" t="s">
        <v>3009</v>
      </c>
      <c r="G6800" s="98" t="str">
        <f>HYPERLINK("http://mirror.ff7data.com.ar/ff7/data/battle/battle.lgp/lxbv.png","View Picture")</f>
        <v>View Picture</v>
      </c>
    </row>
    <row r="6801">
      <c r="A6801" s="55"/>
      <c r="B6801" s="119" t="s">
        <v>38926</v>
      </c>
      <c r="C6801" s="120" t="s">
        <v>6029</v>
      </c>
      <c r="D6801" s="33" t="s">
        <v>38898</v>
      </c>
      <c r="E6801" s="51" t="s">
        <v>1459</v>
      </c>
      <c r="F6801" s="121" t="s">
        <v>3009</v>
      </c>
      <c r="G6801" s="98" t="str">
        <f>HYPERLINK("http://mirror.ff7data.com.ar/ff7/data/battle/battle.lgp/lxbw.png","View Picture")</f>
        <v>View Picture</v>
      </c>
    </row>
    <row r="6802">
      <c r="A6802" s="55"/>
      <c r="B6802" s="119" t="s">
        <v>38927</v>
      </c>
      <c r="C6802" s="120" t="s">
        <v>3573</v>
      </c>
      <c r="D6802" s="33" t="s">
        <v>38898</v>
      </c>
      <c r="E6802" s="51" t="s">
        <v>1459</v>
      </c>
      <c r="F6802" s="121" t="s">
        <v>3025</v>
      </c>
      <c r="H6802" s="46" t="s">
        <v>3002</v>
      </c>
    </row>
    <row r="6803">
      <c r="A6803" s="21"/>
      <c r="B6803" s="119" t="s">
        <v>38928</v>
      </c>
      <c r="C6803" s="120" t="s">
        <v>4109</v>
      </c>
      <c r="D6803" s="33" t="s">
        <v>38929</v>
      </c>
      <c r="E6803" s="51" t="s">
        <v>1463</v>
      </c>
      <c r="F6803" s="121" t="s">
        <v>2971</v>
      </c>
      <c r="G6803" s="98" t="str">
        <f>HYPERLINK("http://mirror.ff7data.com.ar/ff7/data/battle/battle.lgp/lyaa.png","View Picture")</f>
        <v>View Picture</v>
      </c>
    </row>
    <row r="6804">
      <c r="A6804" s="55"/>
      <c r="B6804" s="119" t="s">
        <v>38930</v>
      </c>
      <c r="C6804" s="120" t="s">
        <v>5222</v>
      </c>
      <c r="D6804" s="33" t="s">
        <v>38931</v>
      </c>
      <c r="E6804" s="51" t="s">
        <v>1463</v>
      </c>
      <c r="F6804" s="121" t="s">
        <v>2993</v>
      </c>
      <c r="H6804" s="46" t="s">
        <v>3002</v>
      </c>
    </row>
    <row r="6805">
      <c r="A6805" s="55"/>
      <c r="B6805" s="119" t="s">
        <v>38932</v>
      </c>
      <c r="C6805" s="120" t="s">
        <v>7165</v>
      </c>
      <c r="D6805" s="33" t="s">
        <v>38931</v>
      </c>
      <c r="E6805" s="51" t="s">
        <v>1463</v>
      </c>
      <c r="F6805" s="121" t="s">
        <v>1348</v>
      </c>
      <c r="G6805" s="98" t="str">
        <f>HYPERLINK("http://mirror.ff7data.com.ar/ff7/data/battle/battle.lgp/lyac.png","View Picture")</f>
        <v>View Picture</v>
      </c>
    </row>
    <row r="6806">
      <c r="A6806" s="55"/>
      <c r="B6806" s="119" t="s">
        <v>38933</v>
      </c>
      <c r="C6806" s="120" t="s">
        <v>4191</v>
      </c>
      <c r="D6806" s="33" t="s">
        <v>38931</v>
      </c>
      <c r="E6806" s="51" t="s">
        <v>1463</v>
      </c>
      <c r="F6806" s="121" t="s">
        <v>1348</v>
      </c>
      <c r="G6806" s="98" t="str">
        <f>HYPERLINK("http://mirror.ff7data.com.ar/ff7/data/battle/battle.lgp/lyad.png","View Picture")</f>
        <v>View Picture</v>
      </c>
    </row>
    <row r="6807">
      <c r="A6807" s="55"/>
      <c r="B6807" s="119" t="s">
        <v>38934</v>
      </c>
      <c r="C6807" s="120" t="s">
        <v>3997</v>
      </c>
      <c r="D6807" s="33" t="s">
        <v>38931</v>
      </c>
      <c r="E6807" s="51" t="s">
        <v>1463</v>
      </c>
      <c r="F6807" s="121" t="s">
        <v>1348</v>
      </c>
      <c r="G6807" s="98" t="str">
        <f>HYPERLINK("http://mirror.ff7data.com.ar/ff7/data/battle/battle.lgp/lyae.png","View Picture")</f>
        <v>View Picture</v>
      </c>
    </row>
    <row r="6808">
      <c r="A6808" s="55"/>
      <c r="B6808" s="119" t="s">
        <v>38935</v>
      </c>
      <c r="C6808" s="120" t="s">
        <v>4601</v>
      </c>
      <c r="D6808" s="33" t="s">
        <v>38931</v>
      </c>
      <c r="E6808" s="51" t="s">
        <v>1463</v>
      </c>
      <c r="F6808" s="121" t="s">
        <v>3009</v>
      </c>
      <c r="G6808" s="98" t="str">
        <f>HYPERLINK("http://mirror.ff7data.com.ar/ff7/data/battle/battle.lgp/lyap.png","View Picture")</f>
        <v>View Picture</v>
      </c>
    </row>
    <row r="6809">
      <c r="A6809" s="55"/>
      <c r="B6809" s="119" t="s">
        <v>38936</v>
      </c>
      <c r="C6809" s="120" t="s">
        <v>10078</v>
      </c>
      <c r="D6809" s="33" t="s">
        <v>38931</v>
      </c>
      <c r="E6809" s="51" t="s">
        <v>1463</v>
      </c>
      <c r="F6809" s="121" t="s">
        <v>3009</v>
      </c>
      <c r="G6809" s="98" t="str">
        <f>HYPERLINK("http://mirror.ff7data.com.ar/ff7/data/battle/battle.lgp/lyaq.png","View Picture")</f>
        <v>View Picture</v>
      </c>
    </row>
    <row r="6810">
      <c r="A6810" s="55"/>
      <c r="B6810" s="119" t="s">
        <v>38937</v>
      </c>
      <c r="C6810" s="120" t="s">
        <v>4658</v>
      </c>
      <c r="D6810" s="33" t="s">
        <v>38931</v>
      </c>
      <c r="E6810" s="51" t="s">
        <v>1463</v>
      </c>
      <c r="F6810" s="121" t="s">
        <v>3009</v>
      </c>
      <c r="G6810" s="98" t="str">
        <f>HYPERLINK("http://mirror.ff7data.com.ar/ff7/data/battle/battle.lgp/lyar.png","View Picture")</f>
        <v>View Picture</v>
      </c>
    </row>
    <row r="6811">
      <c r="A6811" s="55"/>
      <c r="B6811" s="119" t="s">
        <v>38938</v>
      </c>
      <c r="C6811" s="120" t="s">
        <v>4601</v>
      </c>
      <c r="D6811" s="33" t="s">
        <v>38931</v>
      </c>
      <c r="E6811" s="51" t="s">
        <v>1463</v>
      </c>
      <c r="F6811" s="121" t="s">
        <v>3009</v>
      </c>
      <c r="G6811" s="98" t="str">
        <f>HYPERLINK("http://mirror.ff7data.com.ar/ff7/data/battle/battle.lgp/lyat.png","View Picture")</f>
        <v>View Picture</v>
      </c>
    </row>
    <row r="6812">
      <c r="A6812" s="55"/>
      <c r="B6812" s="119" t="s">
        <v>38939</v>
      </c>
      <c r="C6812" s="120" t="s">
        <v>10078</v>
      </c>
      <c r="D6812" s="33" t="s">
        <v>38931</v>
      </c>
      <c r="E6812" s="51" t="s">
        <v>1463</v>
      </c>
      <c r="F6812" s="121" t="s">
        <v>3009</v>
      </c>
      <c r="G6812" s="98" t="str">
        <f>HYPERLINK("http://mirror.ff7data.com.ar/ff7/data/battle/battle.lgp/lyau.png","View Picture")</f>
        <v>View Picture</v>
      </c>
    </row>
    <row r="6813">
      <c r="A6813" s="55"/>
      <c r="B6813" s="119" t="s">
        <v>38940</v>
      </c>
      <c r="C6813" s="120" t="s">
        <v>4707</v>
      </c>
      <c r="D6813" s="33" t="s">
        <v>38931</v>
      </c>
      <c r="E6813" s="51" t="s">
        <v>1463</v>
      </c>
      <c r="F6813" s="121" t="s">
        <v>3009</v>
      </c>
      <c r="G6813" s="98" t="str">
        <f>HYPERLINK("http://mirror.ff7data.com.ar/ff7/data/battle/battle.lgp/lyav.png","View Picture")</f>
        <v>View Picture</v>
      </c>
    </row>
    <row r="6814">
      <c r="A6814" s="55"/>
      <c r="B6814" s="119" t="s">
        <v>38941</v>
      </c>
      <c r="C6814" s="120" t="s">
        <v>4146</v>
      </c>
      <c r="D6814" s="33" t="s">
        <v>38931</v>
      </c>
      <c r="E6814" s="51" t="s">
        <v>1463</v>
      </c>
      <c r="F6814" s="121" t="s">
        <v>3009</v>
      </c>
      <c r="G6814" s="98" t="str">
        <f>HYPERLINK("http://mirror.ff7data.com.ar/ff7/data/battle/battle.lgp/lyaw.png","View Picture")</f>
        <v>View Picture</v>
      </c>
    </row>
    <row r="6815">
      <c r="A6815" s="55"/>
      <c r="B6815" s="119" t="s">
        <v>38942</v>
      </c>
      <c r="C6815" s="120" t="s">
        <v>4191</v>
      </c>
      <c r="D6815" s="33" t="s">
        <v>38931</v>
      </c>
      <c r="E6815" s="51" t="s">
        <v>1463</v>
      </c>
      <c r="F6815" s="121" t="s">
        <v>3009</v>
      </c>
      <c r="G6815" s="98" t="str">
        <f>HYPERLINK("http://mirror.ff7data.com.ar/ff7/data/battle/battle.lgp/lyaz.png","View Picture")</f>
        <v>View Picture</v>
      </c>
    </row>
    <row r="6816">
      <c r="A6816" s="55"/>
      <c r="B6816" s="119" t="s">
        <v>38943</v>
      </c>
      <c r="C6816" s="120" t="s">
        <v>7148</v>
      </c>
      <c r="D6816" s="33" t="s">
        <v>38931</v>
      </c>
      <c r="E6816" s="51" t="s">
        <v>1463</v>
      </c>
      <c r="F6816" s="121" t="s">
        <v>3009</v>
      </c>
      <c r="G6816" s="98" t="str">
        <f>HYPERLINK("http://mirror.ff7data.com.ar/ff7/data/battle/battle.lgp/lyba.png","View Picture")</f>
        <v>View Picture</v>
      </c>
    </row>
    <row r="6817">
      <c r="A6817" s="55"/>
      <c r="B6817" s="119" t="s">
        <v>38944</v>
      </c>
      <c r="C6817" s="120" t="s">
        <v>4439</v>
      </c>
      <c r="D6817" s="33" t="s">
        <v>38931</v>
      </c>
      <c r="E6817" s="51" t="s">
        <v>1463</v>
      </c>
      <c r="F6817" s="121" t="s">
        <v>3009</v>
      </c>
      <c r="G6817" s="98" t="str">
        <f>HYPERLINK("http://mirror.ff7data.com.ar/ff7/data/battle/battle.lgp/lybb.png","View Picture")</f>
        <v>View Picture</v>
      </c>
    </row>
    <row r="6818">
      <c r="A6818" s="55"/>
      <c r="B6818" s="119" t="s">
        <v>38945</v>
      </c>
      <c r="C6818" s="120" t="s">
        <v>4696</v>
      </c>
      <c r="D6818" s="33" t="s">
        <v>38931</v>
      </c>
      <c r="E6818" s="51" t="s">
        <v>1463</v>
      </c>
      <c r="F6818" s="121" t="s">
        <v>3009</v>
      </c>
      <c r="G6818" s="98" t="str">
        <f>HYPERLINK("http://mirror.ff7data.com.ar/ff7/data/battle/battle.lgp/lybc.png","View Picture")</f>
        <v>View Picture</v>
      </c>
    </row>
    <row r="6819">
      <c r="A6819" s="55"/>
      <c r="B6819" s="119" t="s">
        <v>38946</v>
      </c>
      <c r="C6819" s="120" t="s">
        <v>7165</v>
      </c>
      <c r="D6819" s="33" t="s">
        <v>38931</v>
      </c>
      <c r="E6819" s="51" t="s">
        <v>1463</v>
      </c>
      <c r="F6819" s="121" t="s">
        <v>3009</v>
      </c>
      <c r="G6819" s="98" t="str">
        <f>HYPERLINK("http://mirror.ff7data.com.ar/ff7/data/battle/battle.lgp/lybe.png","View Picture")</f>
        <v>View Picture</v>
      </c>
    </row>
    <row r="6820">
      <c r="A6820" s="55"/>
      <c r="B6820" s="119" t="s">
        <v>38947</v>
      </c>
      <c r="C6820" s="120" t="s">
        <v>4357</v>
      </c>
      <c r="D6820" s="33" t="s">
        <v>38931</v>
      </c>
      <c r="E6820" s="51" t="s">
        <v>1463</v>
      </c>
      <c r="F6820" s="121" t="s">
        <v>3009</v>
      </c>
      <c r="G6820" s="98" t="str">
        <f>HYPERLINK("http://mirror.ff7data.com.ar/ff7/data/battle/battle.lgp/lybg.png","View Picture")</f>
        <v>View Picture</v>
      </c>
    </row>
    <row r="6821">
      <c r="A6821" s="55"/>
      <c r="B6821" s="119" t="s">
        <v>38948</v>
      </c>
      <c r="C6821" s="120" t="s">
        <v>4601</v>
      </c>
      <c r="D6821" s="33" t="s">
        <v>38931</v>
      </c>
      <c r="E6821" s="51" t="s">
        <v>1463</v>
      </c>
      <c r="F6821" s="121" t="s">
        <v>3009</v>
      </c>
      <c r="G6821" s="98" t="str">
        <f>HYPERLINK("http://mirror.ff7data.com.ar/ff7/data/battle/battle.lgp/lybj.png","View Picture")</f>
        <v>View Picture</v>
      </c>
    </row>
    <row r="6822">
      <c r="A6822" s="55"/>
      <c r="B6822" s="119" t="s">
        <v>38949</v>
      </c>
      <c r="C6822" s="120" t="s">
        <v>7165</v>
      </c>
      <c r="D6822" s="33" t="s">
        <v>38931</v>
      </c>
      <c r="E6822" s="51" t="s">
        <v>1463</v>
      </c>
      <c r="F6822" s="121" t="s">
        <v>3009</v>
      </c>
      <c r="G6822" s="98" t="str">
        <f>HYPERLINK("http://mirror.ff7data.com.ar/ff7/data/battle/battle.lgp/lybk.png","View Picture")</f>
        <v>View Picture</v>
      </c>
    </row>
    <row r="6823">
      <c r="A6823" s="55"/>
      <c r="B6823" s="119" t="s">
        <v>38950</v>
      </c>
      <c r="C6823" s="120" t="s">
        <v>4288</v>
      </c>
      <c r="D6823" s="33" t="s">
        <v>38931</v>
      </c>
      <c r="E6823" s="51" t="s">
        <v>1463</v>
      </c>
      <c r="F6823" s="121" t="s">
        <v>3009</v>
      </c>
      <c r="G6823" s="98" t="str">
        <f>HYPERLINK("http://mirror.ff7data.com.ar/ff7/data/battle/battle.lgp/lybl.png","View Picture")</f>
        <v>View Picture</v>
      </c>
    </row>
    <row r="6824">
      <c r="A6824" s="55"/>
      <c r="B6824" s="119" t="s">
        <v>38951</v>
      </c>
      <c r="C6824" s="120" t="s">
        <v>4732</v>
      </c>
      <c r="D6824" s="33" t="s">
        <v>38931</v>
      </c>
      <c r="E6824" s="51" t="s">
        <v>1463</v>
      </c>
      <c r="F6824" s="121" t="s">
        <v>3009</v>
      </c>
      <c r="G6824" s="98" t="str">
        <f>HYPERLINK("http://mirror.ff7data.com.ar/ff7/data/battle/battle.lgp/lybm.png","View Picture")</f>
        <v>View Picture</v>
      </c>
    </row>
    <row r="6825">
      <c r="A6825" s="55"/>
      <c r="B6825" s="119" t="s">
        <v>38952</v>
      </c>
      <c r="C6825" s="120" t="s">
        <v>4601</v>
      </c>
      <c r="D6825" s="33" t="s">
        <v>38931</v>
      </c>
      <c r="E6825" s="51" t="s">
        <v>1463</v>
      </c>
      <c r="F6825" s="121" t="s">
        <v>3009</v>
      </c>
      <c r="G6825" s="98" t="str">
        <f>HYPERLINK("http://mirror.ff7data.com.ar/ff7/data/battle/battle.lgp/lybp.png","View Picture")</f>
        <v>View Picture</v>
      </c>
    </row>
    <row r="6826">
      <c r="A6826" s="55"/>
      <c r="B6826" s="119" t="s">
        <v>38953</v>
      </c>
      <c r="C6826" s="120" t="s">
        <v>7165</v>
      </c>
      <c r="D6826" s="33" t="s">
        <v>38931</v>
      </c>
      <c r="E6826" s="51" t="s">
        <v>1463</v>
      </c>
      <c r="F6826" s="121" t="s">
        <v>3009</v>
      </c>
      <c r="G6826" s="98" t="str">
        <f>HYPERLINK("http://mirror.ff7data.com.ar/ff7/data/battle/battle.lgp/lybq.png","View Picture")</f>
        <v>View Picture</v>
      </c>
    </row>
    <row r="6827">
      <c r="A6827" s="55"/>
      <c r="B6827" s="119" t="s">
        <v>38954</v>
      </c>
      <c r="C6827" s="120" t="s">
        <v>4288</v>
      </c>
      <c r="D6827" s="33" t="s">
        <v>38931</v>
      </c>
      <c r="E6827" s="51" t="s">
        <v>1463</v>
      </c>
      <c r="F6827" s="121" t="s">
        <v>3009</v>
      </c>
      <c r="G6827" s="98" t="str">
        <f>HYPERLINK("http://mirror.ff7data.com.ar/ff7/data/battle/battle.lgp/lybr.png","View Picture")</f>
        <v>View Picture</v>
      </c>
    </row>
    <row r="6828">
      <c r="A6828" s="55"/>
      <c r="B6828" s="119" t="s">
        <v>38955</v>
      </c>
      <c r="C6828" s="120" t="s">
        <v>4732</v>
      </c>
      <c r="D6828" s="33" t="s">
        <v>38931</v>
      </c>
      <c r="E6828" s="51" t="s">
        <v>1463</v>
      </c>
      <c r="F6828" s="121" t="s">
        <v>3009</v>
      </c>
      <c r="G6828" s="98" t="str">
        <f>HYPERLINK("http://mirror.ff7data.com.ar/ff7/data/battle/battle.lgp/lybs.png","View Picture")</f>
        <v>View Picture</v>
      </c>
    </row>
    <row r="6829">
      <c r="A6829" s="55"/>
      <c r="B6829" s="119" t="s">
        <v>38956</v>
      </c>
      <c r="C6829" s="120" t="s">
        <v>3671</v>
      </c>
      <c r="D6829" s="33" t="s">
        <v>38931</v>
      </c>
      <c r="E6829" s="51" t="s">
        <v>1463</v>
      </c>
      <c r="F6829" s="121" t="s">
        <v>3025</v>
      </c>
      <c r="H6829" s="46" t="s">
        <v>3002</v>
      </c>
    </row>
    <row r="6830">
      <c r="A6830" s="55"/>
      <c r="B6830" s="119" t="s">
        <v>38957</v>
      </c>
      <c r="C6830" s="120" t="s">
        <v>4109</v>
      </c>
      <c r="D6830" s="33" t="s">
        <v>38958</v>
      </c>
      <c r="E6830" s="51" t="s">
        <v>1466</v>
      </c>
      <c r="F6830" s="121" t="s">
        <v>2971</v>
      </c>
      <c r="G6830" s="98" t="str">
        <f>HYPERLINK("http://mirror.ff7data.com.ar/ff7/data/battle/battle.lgp/lzaa.png","View Picture")</f>
        <v>View Picture</v>
      </c>
    </row>
    <row r="6831">
      <c r="A6831" s="21"/>
      <c r="B6831" s="119" t="s">
        <v>38959</v>
      </c>
      <c r="C6831" s="120" t="s">
        <v>4109</v>
      </c>
      <c r="D6831" s="33" t="s">
        <v>38960</v>
      </c>
      <c r="E6831" s="51" t="s">
        <v>1466</v>
      </c>
      <c r="F6831" s="121" t="s">
        <v>2993</v>
      </c>
      <c r="H6831" s="46" t="s">
        <v>3002</v>
      </c>
    </row>
    <row r="6832">
      <c r="A6832" s="55"/>
      <c r="B6832" s="119" t="s">
        <v>38961</v>
      </c>
      <c r="C6832" s="120" t="s">
        <v>5904</v>
      </c>
      <c r="D6832" s="33" t="s">
        <v>38960</v>
      </c>
      <c r="E6832" s="51" t="s">
        <v>1466</v>
      </c>
      <c r="F6832" s="121" t="s">
        <v>3009</v>
      </c>
      <c r="G6832" s="98" t="str">
        <f>HYPERLINK("http://mirror.ff7data.com.ar/ff7/data/battle/battle.lgp/lzam.png","View Picture")</f>
        <v>View Picture</v>
      </c>
    </row>
    <row r="6833">
      <c r="A6833" s="55"/>
      <c r="B6833" s="119" t="s">
        <v>38962</v>
      </c>
      <c r="C6833" s="120" t="s">
        <v>14502</v>
      </c>
      <c r="D6833" s="33" t="s">
        <v>38960</v>
      </c>
      <c r="E6833" s="51" t="s">
        <v>1466</v>
      </c>
      <c r="F6833" s="121" t="s">
        <v>3009</v>
      </c>
      <c r="G6833" s="98" t="str">
        <f>HYPERLINK("http://mirror.ff7data.com.ar/ff7/data/battle/battle.lgp/lzan.png","View Picture")</f>
        <v>View Picture</v>
      </c>
    </row>
    <row r="6834">
      <c r="A6834" s="55"/>
      <c r="B6834" s="119" t="s">
        <v>38963</v>
      </c>
      <c r="C6834" s="120" t="s">
        <v>3573</v>
      </c>
      <c r="D6834" s="33" t="s">
        <v>38960</v>
      </c>
      <c r="E6834" s="51" t="s">
        <v>1466</v>
      </c>
      <c r="F6834" s="121" t="s">
        <v>3009</v>
      </c>
      <c r="G6834" s="98" t="str">
        <f>HYPERLINK("http://mirror.ff7data.com.ar/ff7/data/battle/battle.lgp/lzao.png","View Picture")</f>
        <v>View Picture</v>
      </c>
    </row>
    <row r="6835">
      <c r="A6835" s="55"/>
      <c r="B6835" s="119" t="s">
        <v>38964</v>
      </c>
      <c r="C6835" s="120" t="s">
        <v>3658</v>
      </c>
      <c r="D6835" s="33" t="s">
        <v>38960</v>
      </c>
      <c r="E6835" s="51" t="s">
        <v>1466</v>
      </c>
      <c r="F6835" s="121" t="s">
        <v>3009</v>
      </c>
      <c r="G6835" s="98" t="str">
        <f>HYPERLINK("http://mirror.ff7data.com.ar/ff7/data/battle/battle.lgp/lzar.png","View Picture")</f>
        <v>View Picture</v>
      </c>
    </row>
    <row r="6836">
      <c r="A6836" s="55"/>
      <c r="B6836" s="119" t="s">
        <v>38965</v>
      </c>
      <c r="C6836" s="120" t="s">
        <v>10217</v>
      </c>
      <c r="D6836" s="33" t="s">
        <v>38960</v>
      </c>
      <c r="E6836" s="51" t="s">
        <v>1466</v>
      </c>
      <c r="F6836" s="121" t="s">
        <v>3009</v>
      </c>
      <c r="G6836" s="98" t="str">
        <f>HYPERLINK("http://mirror.ff7data.com.ar/ff7/data/battle/battle.lgp/lzas.png","View Picture")</f>
        <v>View Picture</v>
      </c>
    </row>
    <row r="6837">
      <c r="A6837" s="55"/>
      <c r="B6837" s="119" t="s">
        <v>38966</v>
      </c>
      <c r="C6837" s="120" t="s">
        <v>4926</v>
      </c>
      <c r="D6837" s="33" t="s">
        <v>38960</v>
      </c>
      <c r="E6837" s="51" t="s">
        <v>1466</v>
      </c>
      <c r="F6837" s="121" t="s">
        <v>3009</v>
      </c>
      <c r="G6837" s="98" t="str">
        <f>HYPERLINK("http://mirror.ff7data.com.ar/ff7/data/battle/battle.lgp/lzat.png","View Picture")</f>
        <v>View Picture</v>
      </c>
    </row>
    <row r="6838">
      <c r="A6838" s="55"/>
      <c r="B6838" s="119" t="s">
        <v>38967</v>
      </c>
      <c r="C6838" s="120" t="s">
        <v>12616</v>
      </c>
      <c r="D6838" s="33" t="s">
        <v>38960</v>
      </c>
      <c r="E6838" s="51" t="s">
        <v>1466</v>
      </c>
      <c r="F6838" s="121" t="s">
        <v>3009</v>
      </c>
      <c r="G6838" s="98" t="str">
        <f>HYPERLINK("http://mirror.ff7data.com.ar/ff7/data/battle/battle.lgp/lzau.png","View Picture")</f>
        <v>View Picture</v>
      </c>
    </row>
    <row r="6839">
      <c r="A6839" s="55"/>
      <c r="B6839" s="119" t="s">
        <v>38968</v>
      </c>
      <c r="C6839" s="120" t="s">
        <v>3658</v>
      </c>
      <c r="D6839" s="33" t="s">
        <v>38960</v>
      </c>
      <c r="E6839" s="51" t="s">
        <v>1466</v>
      </c>
      <c r="F6839" s="121" t="s">
        <v>3009</v>
      </c>
      <c r="G6839" s="98" t="str">
        <f>HYPERLINK("http://mirror.ff7data.com.ar/ff7/data/battle/battle.lgp/lzax.png","View Picture")</f>
        <v>View Picture</v>
      </c>
    </row>
    <row r="6840">
      <c r="A6840" s="55"/>
      <c r="B6840" s="119" t="s">
        <v>38969</v>
      </c>
      <c r="C6840" s="120" t="s">
        <v>5993</v>
      </c>
      <c r="D6840" s="33" t="s">
        <v>38960</v>
      </c>
      <c r="E6840" s="51" t="s">
        <v>1466</v>
      </c>
      <c r="F6840" s="121" t="s">
        <v>3009</v>
      </c>
      <c r="G6840" s="98" t="str">
        <f>HYPERLINK("http://mirror.ff7data.com.ar/ff7/data/battle/battle.lgp/lzay.png","View Picture")</f>
        <v>View Picture</v>
      </c>
    </row>
    <row r="6841">
      <c r="A6841" s="55"/>
      <c r="B6841" s="119" t="s">
        <v>38970</v>
      </c>
      <c r="C6841" s="120" t="s">
        <v>4926</v>
      </c>
      <c r="D6841" s="33" t="s">
        <v>38960</v>
      </c>
      <c r="E6841" s="51" t="s">
        <v>1466</v>
      </c>
      <c r="F6841" s="121" t="s">
        <v>3009</v>
      </c>
      <c r="G6841" s="98" t="str">
        <f>HYPERLINK("http://mirror.ff7data.com.ar/ff7/data/battle/battle.lgp/lzaz.png","View Picture")</f>
        <v>View Picture</v>
      </c>
    </row>
    <row r="6842">
      <c r="A6842" s="55"/>
      <c r="B6842" s="119" t="s">
        <v>38971</v>
      </c>
      <c r="C6842" s="120" t="s">
        <v>22833</v>
      </c>
      <c r="D6842" s="33" t="s">
        <v>38960</v>
      </c>
      <c r="E6842" s="51" t="s">
        <v>1466</v>
      </c>
      <c r="F6842" s="121" t="s">
        <v>3009</v>
      </c>
      <c r="G6842" s="98" t="str">
        <f>HYPERLINK("http://mirror.ff7data.com.ar/ff7/data/battle/battle.lgp/lzba.png","View Picture")</f>
        <v>View Picture</v>
      </c>
    </row>
    <row r="6843">
      <c r="A6843" s="55"/>
      <c r="B6843" s="119" t="s">
        <v>38972</v>
      </c>
      <c r="C6843" s="120" t="s">
        <v>5419</v>
      </c>
      <c r="D6843" s="33" t="s">
        <v>38960</v>
      </c>
      <c r="E6843" s="51" t="s">
        <v>1466</v>
      </c>
      <c r="F6843" s="121" t="s">
        <v>3009</v>
      </c>
      <c r="G6843" s="98" t="str">
        <f>HYPERLINK("http://mirror.ff7data.com.ar/ff7/data/battle/battle.lgp/lzbd.png","View Picture")</f>
        <v>View Picture</v>
      </c>
    </row>
    <row r="6844">
      <c r="A6844" s="55"/>
      <c r="B6844" s="119" t="s">
        <v>38973</v>
      </c>
      <c r="C6844" s="120" t="s">
        <v>9041</v>
      </c>
      <c r="D6844" s="33" t="s">
        <v>38960</v>
      </c>
      <c r="E6844" s="51" t="s">
        <v>1466</v>
      </c>
      <c r="F6844" s="121" t="s">
        <v>3009</v>
      </c>
      <c r="G6844" s="98" t="str">
        <f>HYPERLINK("http://mirror.ff7data.com.ar/ff7/data/battle/battle.lgp/lzbe.png","View Picture")</f>
        <v>View Picture</v>
      </c>
    </row>
    <row r="6845">
      <c r="A6845" s="55"/>
      <c r="B6845" s="119" t="s">
        <v>38974</v>
      </c>
      <c r="C6845" s="120" t="s">
        <v>3343</v>
      </c>
      <c r="D6845" s="33" t="s">
        <v>38960</v>
      </c>
      <c r="E6845" s="51" t="s">
        <v>1466</v>
      </c>
      <c r="F6845" s="121" t="s">
        <v>3009</v>
      </c>
      <c r="G6845" s="98" t="str">
        <f>HYPERLINK("http://mirror.ff7data.com.ar/ff7/data/battle/battle.lgp/lzbf.png","View Picture")</f>
        <v>View Picture</v>
      </c>
    </row>
    <row r="6846">
      <c r="A6846" s="55"/>
      <c r="B6846" s="119" t="s">
        <v>38975</v>
      </c>
      <c r="C6846" s="120" t="s">
        <v>5419</v>
      </c>
      <c r="D6846" s="33" t="s">
        <v>38960</v>
      </c>
      <c r="E6846" s="51" t="s">
        <v>1466</v>
      </c>
      <c r="F6846" s="121" t="s">
        <v>3009</v>
      </c>
      <c r="G6846" s="98" t="str">
        <f>HYPERLINK("http://mirror.ff7data.com.ar/ff7/data/battle/battle.lgp/lzbi.png","View Picture")</f>
        <v>View Picture</v>
      </c>
    </row>
    <row r="6847">
      <c r="A6847" s="55"/>
      <c r="B6847" s="119" t="s">
        <v>38976</v>
      </c>
      <c r="C6847" s="120" t="s">
        <v>3505</v>
      </c>
      <c r="D6847" s="33" t="s">
        <v>38960</v>
      </c>
      <c r="E6847" s="51" t="s">
        <v>1466</v>
      </c>
      <c r="F6847" s="121" t="s">
        <v>3009</v>
      </c>
      <c r="G6847" s="98" t="str">
        <f>HYPERLINK("http://mirror.ff7data.com.ar/ff7/data/battle/battle.lgp/lzbj.png","View Picture")</f>
        <v>View Picture</v>
      </c>
    </row>
    <row r="6848">
      <c r="A6848" s="55"/>
      <c r="B6848" s="119" t="s">
        <v>38977</v>
      </c>
      <c r="C6848" s="120" t="s">
        <v>9041</v>
      </c>
      <c r="D6848" s="33" t="s">
        <v>38960</v>
      </c>
      <c r="E6848" s="51" t="s">
        <v>1466</v>
      </c>
      <c r="F6848" s="121" t="s">
        <v>3009</v>
      </c>
      <c r="G6848" s="98" t="str">
        <f>HYPERLINK("http://mirror.ff7data.com.ar/ff7/data/battle/battle.lgp/lzbk.png","View Picture")</f>
        <v>View Picture</v>
      </c>
    </row>
    <row r="6849">
      <c r="A6849" s="55"/>
      <c r="B6849" s="119" t="s">
        <v>38978</v>
      </c>
      <c r="C6849" s="120" t="s">
        <v>7270</v>
      </c>
      <c r="D6849" s="33" t="s">
        <v>38960</v>
      </c>
      <c r="E6849" s="51" t="s">
        <v>1466</v>
      </c>
      <c r="F6849" s="121" t="s">
        <v>3009</v>
      </c>
      <c r="G6849" s="98" t="str">
        <f>HYPERLINK("http://mirror.ff7data.com.ar/ff7/data/battle/battle.lgp/lzbm.png","View Picture")</f>
        <v>View Picture</v>
      </c>
    </row>
    <row r="6850">
      <c r="A6850" s="55"/>
      <c r="B6850" s="119" t="s">
        <v>38979</v>
      </c>
      <c r="C6850" s="120" t="s">
        <v>4252</v>
      </c>
      <c r="D6850" s="33" t="s">
        <v>38960</v>
      </c>
      <c r="E6850" s="51" t="s">
        <v>1466</v>
      </c>
      <c r="F6850" s="121" t="s">
        <v>3009</v>
      </c>
      <c r="G6850" s="98" t="str">
        <f>HYPERLINK("http://mirror.ff7data.com.ar/ff7/data/battle/battle.lgp/lzbn.png","View Picture")</f>
        <v>View Picture</v>
      </c>
    </row>
    <row r="6851">
      <c r="A6851" s="55"/>
      <c r="B6851" s="119" t="s">
        <v>38980</v>
      </c>
      <c r="C6851" s="120" t="s">
        <v>5891</v>
      </c>
      <c r="D6851" s="33" t="s">
        <v>38960</v>
      </c>
      <c r="E6851" s="51" t="s">
        <v>1466</v>
      </c>
      <c r="F6851" s="121" t="s">
        <v>3009</v>
      </c>
      <c r="G6851" s="98" t="str">
        <f>HYPERLINK("http://mirror.ff7data.com.ar/ff7/data/battle/battle.lgp/lzbo.png","View Picture")</f>
        <v>View Picture</v>
      </c>
    </row>
    <row r="6852">
      <c r="A6852" s="55"/>
      <c r="B6852" s="119" t="s">
        <v>38981</v>
      </c>
      <c r="C6852" s="120" t="s">
        <v>4252</v>
      </c>
      <c r="D6852" s="33" t="s">
        <v>38960</v>
      </c>
      <c r="E6852" s="51" t="s">
        <v>1466</v>
      </c>
      <c r="F6852" s="121" t="s">
        <v>3009</v>
      </c>
      <c r="G6852" s="98" t="str">
        <f>HYPERLINK("http://mirror.ff7data.com.ar/ff7/data/battle/battle.lgp/lzbq.png","View Picture")</f>
        <v>View Picture</v>
      </c>
    </row>
    <row r="6853">
      <c r="A6853" s="55"/>
      <c r="B6853" s="119" t="s">
        <v>38982</v>
      </c>
      <c r="C6853" s="120" t="s">
        <v>4252</v>
      </c>
      <c r="D6853" s="33" t="s">
        <v>38960</v>
      </c>
      <c r="E6853" s="51" t="s">
        <v>1466</v>
      </c>
      <c r="F6853" s="121" t="s">
        <v>3009</v>
      </c>
      <c r="G6853" s="98" t="str">
        <f>HYPERLINK("http://mirror.ff7data.com.ar/ff7/data/battle/battle.lgp/lzbr.png","View Picture")</f>
        <v>View Picture</v>
      </c>
    </row>
    <row r="6854">
      <c r="A6854" s="55"/>
      <c r="B6854" s="119" t="s">
        <v>38983</v>
      </c>
      <c r="C6854" s="120" t="s">
        <v>5891</v>
      </c>
      <c r="D6854" s="33" t="s">
        <v>38960</v>
      </c>
      <c r="E6854" s="51" t="s">
        <v>1466</v>
      </c>
      <c r="F6854" s="121" t="s">
        <v>3009</v>
      </c>
      <c r="G6854" s="98" t="str">
        <f>HYPERLINK("http://mirror.ff7data.com.ar/ff7/data/battle/battle.lgp/lzbs.png","View Picture")</f>
        <v>View Picture</v>
      </c>
    </row>
    <row r="6855">
      <c r="A6855" s="55"/>
      <c r="B6855" s="119" t="s">
        <v>38984</v>
      </c>
      <c r="C6855" s="120" t="s">
        <v>8550</v>
      </c>
      <c r="D6855" s="33" t="s">
        <v>38960</v>
      </c>
      <c r="E6855" s="51" t="s">
        <v>1466</v>
      </c>
      <c r="F6855" s="121" t="s">
        <v>3025</v>
      </c>
      <c r="H6855" s="46" t="s">
        <v>3002</v>
      </c>
    </row>
    <row r="6856">
      <c r="A6856" s="21"/>
      <c r="B6856" s="119" t="s">
        <v>38985</v>
      </c>
      <c r="C6856" s="120" t="s">
        <v>4846</v>
      </c>
      <c r="D6856" s="33" t="s">
        <v>38986</v>
      </c>
      <c r="E6856" s="51" t="s">
        <v>1472</v>
      </c>
      <c r="F6856" s="121" t="s">
        <v>2971</v>
      </c>
      <c r="G6856" s="98" t="str">
        <f>HYPERLINK("http://mirror.ff7data.com.ar/ff7/data/battle/battle.lgp/maaa.png","View Picture")</f>
        <v>View Picture</v>
      </c>
    </row>
    <row r="6857">
      <c r="A6857" s="55"/>
      <c r="B6857" s="119" t="s">
        <v>38987</v>
      </c>
      <c r="C6857" s="120" t="s">
        <v>7606</v>
      </c>
      <c r="D6857" s="33" t="s">
        <v>38988</v>
      </c>
      <c r="E6857" s="51" t="s">
        <v>1472</v>
      </c>
      <c r="F6857" s="121" t="s">
        <v>2993</v>
      </c>
      <c r="H6857" s="46" t="s">
        <v>3002</v>
      </c>
    </row>
    <row r="6858">
      <c r="A6858" s="55"/>
      <c r="B6858" s="119" t="s">
        <v>38989</v>
      </c>
      <c r="C6858" s="120" t="s">
        <v>4191</v>
      </c>
      <c r="D6858" s="33" t="s">
        <v>38988</v>
      </c>
      <c r="E6858" s="51" t="s">
        <v>1472</v>
      </c>
      <c r="F6858" s="121" t="s">
        <v>1348</v>
      </c>
      <c r="G6858" s="98" t="str">
        <f>HYPERLINK("http://mirror.ff7data.com.ar/ff7/data/battle/battle.lgp/maac.png","View Picture")</f>
        <v>View Picture</v>
      </c>
    </row>
    <row r="6859">
      <c r="A6859" s="55"/>
      <c r="B6859" s="119" t="s">
        <v>38990</v>
      </c>
      <c r="C6859" s="120" t="s">
        <v>3552</v>
      </c>
      <c r="D6859" s="33" t="s">
        <v>38988</v>
      </c>
      <c r="E6859" s="51" t="s">
        <v>1472</v>
      </c>
      <c r="F6859" s="121" t="s">
        <v>1348</v>
      </c>
      <c r="G6859" s="98" t="str">
        <f>HYPERLINK("http://mirror.ff7data.com.ar/ff7/data/battle/battle.lgp/maad.png","View Picture")</f>
        <v>View Picture</v>
      </c>
    </row>
    <row r="6860">
      <c r="A6860" s="55"/>
      <c r="B6860" s="119" t="s">
        <v>38991</v>
      </c>
      <c r="C6860" s="120" t="s">
        <v>3552</v>
      </c>
      <c r="D6860" s="33" t="s">
        <v>38988</v>
      </c>
      <c r="E6860" s="51" t="s">
        <v>1472</v>
      </c>
      <c r="F6860" s="121" t="s">
        <v>1348</v>
      </c>
      <c r="G6860" s="98" t="str">
        <f>HYPERLINK("http://mirror.ff7data.com.ar/ff7/data/battle/battle.lgp/maae.png","View Picture")</f>
        <v>View Picture</v>
      </c>
    </row>
    <row r="6861">
      <c r="A6861" s="55"/>
      <c r="B6861" s="119" t="s">
        <v>38992</v>
      </c>
      <c r="C6861" s="120" t="s">
        <v>4719</v>
      </c>
      <c r="D6861" s="33" t="s">
        <v>38988</v>
      </c>
      <c r="E6861" s="51" t="s">
        <v>1472</v>
      </c>
      <c r="F6861" s="121" t="s">
        <v>3009</v>
      </c>
      <c r="G6861" s="98" t="str">
        <f>HYPERLINK("http://mirror.ff7data.com.ar/ff7/data/battle/battle.lgp/maam.png","View Picture")</f>
        <v>View Picture</v>
      </c>
    </row>
    <row r="6862">
      <c r="A6862" s="55"/>
      <c r="B6862" s="119" t="s">
        <v>38993</v>
      </c>
      <c r="C6862" s="120" t="s">
        <v>4372</v>
      </c>
      <c r="D6862" s="33" t="s">
        <v>38988</v>
      </c>
      <c r="E6862" s="51" t="s">
        <v>1472</v>
      </c>
      <c r="F6862" s="121" t="s">
        <v>3009</v>
      </c>
      <c r="G6862" s="98" t="str">
        <f>HYPERLINK("http://mirror.ff7data.com.ar/ff7/data/battle/battle.lgp/maan.png","View Picture")</f>
        <v>View Picture</v>
      </c>
    </row>
    <row r="6863">
      <c r="A6863" s="55"/>
      <c r="B6863" s="119" t="s">
        <v>38994</v>
      </c>
      <c r="C6863" s="120" t="s">
        <v>4372</v>
      </c>
      <c r="D6863" s="33" t="s">
        <v>38988</v>
      </c>
      <c r="E6863" s="51" t="s">
        <v>1472</v>
      </c>
      <c r="F6863" s="121" t="s">
        <v>3009</v>
      </c>
      <c r="G6863" s="98" t="str">
        <f>HYPERLINK("http://mirror.ff7data.com.ar/ff7/data/battle/battle.lgp/maao.png","View Picture")</f>
        <v>View Picture</v>
      </c>
    </row>
    <row r="6864">
      <c r="A6864" s="55"/>
      <c r="B6864" s="119" t="s">
        <v>38995</v>
      </c>
      <c r="C6864" s="120" t="s">
        <v>4372</v>
      </c>
      <c r="D6864" s="33" t="s">
        <v>38988</v>
      </c>
      <c r="E6864" s="51" t="s">
        <v>1472</v>
      </c>
      <c r="F6864" s="121" t="s">
        <v>3009</v>
      </c>
      <c r="G6864" s="98" t="str">
        <f>HYPERLINK("http://mirror.ff7data.com.ar/ff7/data/battle/battle.lgp/maap.png","View Picture")</f>
        <v>View Picture</v>
      </c>
    </row>
    <row r="6865">
      <c r="A6865" s="55"/>
      <c r="B6865" s="119" t="s">
        <v>38996</v>
      </c>
      <c r="C6865" s="120" t="s">
        <v>4372</v>
      </c>
      <c r="D6865" s="33" t="s">
        <v>38988</v>
      </c>
      <c r="E6865" s="51" t="s">
        <v>1472</v>
      </c>
      <c r="F6865" s="121" t="s">
        <v>3009</v>
      </c>
      <c r="G6865" s="98" t="str">
        <f>HYPERLINK("http://mirror.ff7data.com.ar/ff7/data/battle/battle.lgp/maaq.png","View Picture")</f>
        <v>View Picture</v>
      </c>
    </row>
    <row r="6866">
      <c r="A6866" s="55"/>
      <c r="B6866" s="119" t="s">
        <v>38997</v>
      </c>
      <c r="C6866" s="120" t="s">
        <v>8376</v>
      </c>
      <c r="D6866" s="33" t="s">
        <v>38988</v>
      </c>
      <c r="E6866" s="51" t="s">
        <v>1472</v>
      </c>
      <c r="F6866" s="121" t="s">
        <v>3009</v>
      </c>
      <c r="G6866" s="98" t="str">
        <f>HYPERLINK("http://mirror.ff7data.com.ar/ff7/data/battle/battle.lgp/maar.png","View Picture")</f>
        <v>View Picture</v>
      </c>
    </row>
    <row r="6867">
      <c r="A6867" s="55"/>
      <c r="B6867" s="119" t="s">
        <v>38998</v>
      </c>
      <c r="C6867" s="120" t="s">
        <v>7062</v>
      </c>
      <c r="D6867" s="33" t="s">
        <v>38988</v>
      </c>
      <c r="E6867" s="51" t="s">
        <v>1472</v>
      </c>
      <c r="F6867" s="121" t="s">
        <v>3009</v>
      </c>
      <c r="G6867" s="98" t="str">
        <f>HYPERLINK("http://mirror.ff7data.com.ar/ff7/data/battle/battle.lgp/maat.png","View Picture")</f>
        <v>View Picture</v>
      </c>
    </row>
    <row r="6868">
      <c r="A6868" s="55"/>
      <c r="B6868" s="119" t="s">
        <v>38999</v>
      </c>
      <c r="C6868" s="120" t="s">
        <v>4439</v>
      </c>
      <c r="D6868" s="33" t="s">
        <v>38988</v>
      </c>
      <c r="E6868" s="51" t="s">
        <v>1472</v>
      </c>
      <c r="F6868" s="121" t="s">
        <v>3009</v>
      </c>
      <c r="G6868" s="98" t="str">
        <f>HYPERLINK("http://mirror.ff7data.com.ar/ff7/data/battle/battle.lgp/maav.png","View Picture")</f>
        <v>View Picture</v>
      </c>
    </row>
    <row r="6869">
      <c r="A6869" s="55"/>
      <c r="B6869" s="119" t="s">
        <v>39000</v>
      </c>
      <c r="C6869" s="120" t="s">
        <v>4719</v>
      </c>
      <c r="D6869" s="33" t="s">
        <v>38988</v>
      </c>
      <c r="E6869" s="51" t="s">
        <v>1472</v>
      </c>
      <c r="F6869" s="121" t="s">
        <v>3009</v>
      </c>
      <c r="G6869" s="98" t="str">
        <f>HYPERLINK("http://mirror.ff7data.com.ar/ff7/data/battle/battle.lgp/maaw.png","View Picture")</f>
        <v>View Picture</v>
      </c>
    </row>
    <row r="6870">
      <c r="A6870" s="55"/>
      <c r="B6870" s="119" t="s">
        <v>39001</v>
      </c>
      <c r="C6870" s="120" t="s">
        <v>4372</v>
      </c>
      <c r="D6870" s="33" t="s">
        <v>38988</v>
      </c>
      <c r="E6870" s="51" t="s">
        <v>1472</v>
      </c>
      <c r="F6870" s="121" t="s">
        <v>3009</v>
      </c>
      <c r="G6870" s="98" t="str">
        <f>HYPERLINK("http://mirror.ff7data.com.ar/ff7/data/battle/battle.lgp/maax.png","View Picture")</f>
        <v>View Picture</v>
      </c>
    </row>
    <row r="6871">
      <c r="A6871" s="55"/>
      <c r="B6871" s="119" t="s">
        <v>39002</v>
      </c>
      <c r="C6871" s="120" t="s">
        <v>4476</v>
      </c>
      <c r="D6871" s="33" t="s">
        <v>38988</v>
      </c>
      <c r="E6871" s="51" t="s">
        <v>1472</v>
      </c>
      <c r="F6871" s="121" t="s">
        <v>3009</v>
      </c>
      <c r="G6871" s="98" t="str">
        <f>HYPERLINK("http://mirror.ff7data.com.ar/ff7/data/battle/battle.lgp/maay.png","View Picture")</f>
        <v>View Picture</v>
      </c>
    </row>
    <row r="6872">
      <c r="A6872" s="55"/>
      <c r="B6872" s="119" t="s">
        <v>39003</v>
      </c>
      <c r="C6872" s="120" t="s">
        <v>4439</v>
      </c>
      <c r="D6872" s="33" t="s">
        <v>38988</v>
      </c>
      <c r="E6872" s="51" t="s">
        <v>1472</v>
      </c>
      <c r="F6872" s="121" t="s">
        <v>3009</v>
      </c>
      <c r="G6872" s="98" t="str">
        <f>HYPERLINK("http://mirror.ff7data.com.ar/ff7/data/battle/battle.lgp/maba.png","View Picture")</f>
        <v>View Picture</v>
      </c>
    </row>
    <row r="6873">
      <c r="A6873" s="55"/>
      <c r="B6873" s="119" t="s">
        <v>39004</v>
      </c>
      <c r="C6873" s="120" t="s">
        <v>4719</v>
      </c>
      <c r="D6873" s="33" t="s">
        <v>38988</v>
      </c>
      <c r="E6873" s="51" t="s">
        <v>1472</v>
      </c>
      <c r="F6873" s="121" t="s">
        <v>3009</v>
      </c>
      <c r="G6873" s="98" t="str">
        <f>HYPERLINK("http://mirror.ff7data.com.ar/ff7/data/battle/battle.lgp/mabb.png","View Picture")</f>
        <v>View Picture</v>
      </c>
    </row>
    <row r="6874">
      <c r="A6874" s="55"/>
      <c r="B6874" s="119" t="s">
        <v>39005</v>
      </c>
      <c r="C6874" s="120" t="s">
        <v>4372</v>
      </c>
      <c r="D6874" s="33" t="s">
        <v>38988</v>
      </c>
      <c r="E6874" s="51" t="s">
        <v>1472</v>
      </c>
      <c r="F6874" s="121" t="s">
        <v>3009</v>
      </c>
      <c r="G6874" s="98" t="str">
        <f>HYPERLINK("http://mirror.ff7data.com.ar/ff7/data/battle/battle.lgp/mabc.png","View Picture")</f>
        <v>View Picture</v>
      </c>
    </row>
    <row r="6875">
      <c r="A6875" s="55"/>
      <c r="B6875" s="119" t="s">
        <v>39006</v>
      </c>
      <c r="C6875" s="120" t="s">
        <v>6029</v>
      </c>
      <c r="D6875" s="33" t="s">
        <v>38988</v>
      </c>
      <c r="E6875" s="51" t="s">
        <v>1472</v>
      </c>
      <c r="F6875" s="121" t="s">
        <v>3009</v>
      </c>
      <c r="G6875" s="98" t="str">
        <f>HYPERLINK("http://mirror.ff7data.com.ar/ff7/data/battle/battle.lgp/mabd.png","View Picture")</f>
        <v>View Picture</v>
      </c>
    </row>
    <row r="6876">
      <c r="A6876" s="55"/>
      <c r="B6876" s="119" t="s">
        <v>39007</v>
      </c>
      <c r="C6876" s="120" t="s">
        <v>3626</v>
      </c>
      <c r="D6876" s="33" t="s">
        <v>38988</v>
      </c>
      <c r="E6876" s="51" t="s">
        <v>1472</v>
      </c>
      <c r="F6876" s="121" t="s">
        <v>3009</v>
      </c>
      <c r="G6876" s="98" t="str">
        <f>HYPERLINK("http://mirror.ff7data.com.ar/ff7/data/battle/battle.lgp/mabe.png","View Picture")</f>
        <v>View Picture</v>
      </c>
    </row>
    <row r="6877">
      <c r="A6877" s="55"/>
      <c r="B6877" s="119" t="s">
        <v>39008</v>
      </c>
      <c r="C6877" s="120" t="s">
        <v>8550</v>
      </c>
      <c r="D6877" s="33" t="s">
        <v>38988</v>
      </c>
      <c r="E6877" s="51" t="s">
        <v>1472</v>
      </c>
      <c r="F6877" s="121" t="s">
        <v>3009</v>
      </c>
      <c r="G6877" s="98" t="str">
        <f>HYPERLINK("http://mirror.ff7data.com.ar/ff7/data/battle/battle.lgp/mabf.png","View Picture")</f>
        <v>View Picture</v>
      </c>
    </row>
    <row r="6878">
      <c r="A6878" s="55"/>
      <c r="B6878" s="119" t="s">
        <v>39009</v>
      </c>
      <c r="C6878" s="120" t="s">
        <v>4372</v>
      </c>
      <c r="D6878" s="33" t="s">
        <v>38988</v>
      </c>
      <c r="E6878" s="51" t="s">
        <v>1472</v>
      </c>
      <c r="F6878" s="121" t="s">
        <v>3009</v>
      </c>
      <c r="G6878" s="98" t="str">
        <f>HYPERLINK("http://mirror.ff7data.com.ar/ff7/data/battle/battle.lgp/mabj.png","View Picture")</f>
        <v>View Picture</v>
      </c>
    </row>
    <row r="6879">
      <c r="A6879" s="55"/>
      <c r="B6879" s="119" t="s">
        <v>39010</v>
      </c>
      <c r="C6879" s="120" t="s">
        <v>4057</v>
      </c>
      <c r="D6879" s="33" t="s">
        <v>38988</v>
      </c>
      <c r="E6879" s="51" t="s">
        <v>1472</v>
      </c>
      <c r="F6879" s="121" t="s">
        <v>3009</v>
      </c>
      <c r="G6879" s="98" t="str">
        <f>HYPERLINK("http://mirror.ff7data.com.ar/ff7/data/battle/battle.lgp/mabk.png","View Picture")</f>
        <v>View Picture</v>
      </c>
    </row>
    <row r="6880">
      <c r="A6880" s="55"/>
      <c r="B6880" s="119" t="s">
        <v>39011</v>
      </c>
      <c r="C6880" s="120" t="s">
        <v>4372</v>
      </c>
      <c r="D6880" s="33" t="s">
        <v>38988</v>
      </c>
      <c r="E6880" s="51" t="s">
        <v>1472</v>
      </c>
      <c r="F6880" s="121" t="s">
        <v>3009</v>
      </c>
      <c r="G6880" s="98" t="str">
        <f>HYPERLINK("http://mirror.ff7data.com.ar/ff7/data/battle/battle.lgp/mabl.png","View Picture")</f>
        <v>View Picture</v>
      </c>
    </row>
    <row r="6881">
      <c r="A6881" s="55"/>
      <c r="B6881" s="119" t="s">
        <v>39012</v>
      </c>
      <c r="C6881" s="120" t="s">
        <v>6029</v>
      </c>
      <c r="D6881" s="33" t="s">
        <v>38988</v>
      </c>
      <c r="E6881" s="51" t="s">
        <v>1472</v>
      </c>
      <c r="F6881" s="121" t="s">
        <v>3009</v>
      </c>
      <c r="G6881" s="98" t="str">
        <f>HYPERLINK("http://mirror.ff7data.com.ar/ff7/data/battle/battle.lgp/mabm.png","View Picture")</f>
        <v>View Picture</v>
      </c>
    </row>
    <row r="6882">
      <c r="A6882" s="55"/>
      <c r="B6882" s="119" t="s">
        <v>39013</v>
      </c>
      <c r="C6882" s="120" t="s">
        <v>4372</v>
      </c>
      <c r="D6882" s="33" t="s">
        <v>38988</v>
      </c>
      <c r="E6882" s="51" t="s">
        <v>1472</v>
      </c>
      <c r="F6882" s="121" t="s">
        <v>3009</v>
      </c>
      <c r="G6882" s="98" t="str">
        <f>HYPERLINK("http://mirror.ff7data.com.ar/ff7/data/battle/battle.lgp/mabo.png","View Picture")</f>
        <v>View Picture</v>
      </c>
    </row>
    <row r="6883">
      <c r="A6883" s="55"/>
      <c r="B6883" s="119" t="s">
        <v>39014</v>
      </c>
      <c r="C6883" s="120" t="s">
        <v>4719</v>
      </c>
      <c r="D6883" s="33" t="s">
        <v>38988</v>
      </c>
      <c r="E6883" s="51" t="s">
        <v>1472</v>
      </c>
      <c r="F6883" s="121" t="s">
        <v>3009</v>
      </c>
      <c r="G6883" s="98" t="str">
        <f>HYPERLINK("http://mirror.ff7data.com.ar/ff7/data/battle/battle.lgp/mabp.png","View Picture")</f>
        <v>View Picture</v>
      </c>
    </row>
    <row r="6884">
      <c r="A6884" s="55"/>
      <c r="B6884" s="119" t="s">
        <v>39015</v>
      </c>
      <c r="C6884" s="120" t="s">
        <v>4372</v>
      </c>
      <c r="D6884" s="33" t="s">
        <v>38988</v>
      </c>
      <c r="E6884" s="51" t="s">
        <v>1472</v>
      </c>
      <c r="F6884" s="121" t="s">
        <v>3009</v>
      </c>
      <c r="G6884" s="98" t="str">
        <f>HYPERLINK("http://mirror.ff7data.com.ar/ff7/data/battle/battle.lgp/mabq.png","View Picture")</f>
        <v>View Picture</v>
      </c>
    </row>
    <row r="6885">
      <c r="A6885" s="55"/>
      <c r="B6885" s="119" t="s">
        <v>39016</v>
      </c>
      <c r="C6885" s="120" t="s">
        <v>6029</v>
      </c>
      <c r="D6885" s="33" t="s">
        <v>38988</v>
      </c>
      <c r="E6885" s="51" t="s">
        <v>1472</v>
      </c>
      <c r="F6885" s="121" t="s">
        <v>3009</v>
      </c>
      <c r="G6885" s="98" t="str">
        <f>HYPERLINK("http://mirror.ff7data.com.ar/ff7/data/battle/battle.lgp/mabr.png","View Picture")</f>
        <v>View Picture</v>
      </c>
    </row>
    <row r="6886">
      <c r="A6886" s="55"/>
      <c r="B6886" s="119" t="s">
        <v>39017</v>
      </c>
      <c r="C6886" s="120" t="s">
        <v>26120</v>
      </c>
      <c r="D6886" s="33" t="s">
        <v>38988</v>
      </c>
      <c r="E6886" s="51" t="s">
        <v>1472</v>
      </c>
      <c r="F6886" s="121" t="s">
        <v>3025</v>
      </c>
      <c r="H6886" s="46" t="s">
        <v>3002</v>
      </c>
    </row>
    <row r="6887">
      <c r="A6887" s="21"/>
      <c r="B6887" s="119" t="s">
        <v>39018</v>
      </c>
      <c r="C6887" s="120" t="s">
        <v>8004</v>
      </c>
      <c r="D6887" s="33" t="s">
        <v>39019</v>
      </c>
      <c r="E6887" s="51" t="s">
        <v>1477</v>
      </c>
      <c r="F6887" s="121" t="s">
        <v>2971</v>
      </c>
      <c r="G6887" s="98" t="str">
        <f>HYPERLINK("http://mirror.ff7data.com.ar/ff7/data/battle/battle.lgp/mbaa.png","View Picture")</f>
        <v>View Picture</v>
      </c>
      <c r="H6887" s="46" t="s">
        <v>39020</v>
      </c>
    </row>
    <row r="6888">
      <c r="A6888" s="55"/>
      <c r="B6888" s="119" t="s">
        <v>39021</v>
      </c>
      <c r="C6888" s="120" t="s">
        <v>4468</v>
      </c>
      <c r="D6888" s="33" t="s">
        <v>39022</v>
      </c>
      <c r="E6888" s="51" t="s">
        <v>1477</v>
      </c>
      <c r="F6888" s="121" t="s">
        <v>2993</v>
      </c>
      <c r="H6888" s="46" t="s">
        <v>3002</v>
      </c>
    </row>
    <row r="6889">
      <c r="A6889" s="55"/>
      <c r="B6889" s="119" t="s">
        <v>39023</v>
      </c>
      <c r="C6889" s="120" t="s">
        <v>5891</v>
      </c>
      <c r="D6889" s="33" t="s">
        <v>39022</v>
      </c>
      <c r="E6889" s="51" t="s">
        <v>1477</v>
      </c>
      <c r="F6889" s="121" t="s">
        <v>3009</v>
      </c>
      <c r="G6889" s="98" t="str">
        <f>HYPERLINK("http://mirror.ff7data.com.ar/ff7/data/battle/battle.lgp/mbam.png","View Picture")</f>
        <v>View Picture</v>
      </c>
    </row>
    <row r="6890">
      <c r="A6890" s="55"/>
      <c r="B6890" s="119" t="s">
        <v>39024</v>
      </c>
      <c r="C6890" s="120" t="s">
        <v>5419</v>
      </c>
      <c r="D6890" s="33" t="s">
        <v>39022</v>
      </c>
      <c r="E6890" s="51" t="s">
        <v>1477</v>
      </c>
      <c r="F6890" s="121" t="s">
        <v>3009</v>
      </c>
      <c r="G6890" s="98" t="str">
        <f>HYPERLINK("http://mirror.ff7data.com.ar/ff7/data/battle/battle.lgp/mban.png","View Picture")</f>
        <v>View Picture</v>
      </c>
    </row>
    <row r="6891">
      <c r="A6891" s="55"/>
      <c r="B6891" s="119" t="s">
        <v>39025</v>
      </c>
      <c r="C6891" s="120" t="s">
        <v>5419</v>
      </c>
      <c r="D6891" s="33" t="s">
        <v>39022</v>
      </c>
      <c r="E6891" s="51" t="s">
        <v>1477</v>
      </c>
      <c r="F6891" s="121" t="s">
        <v>3009</v>
      </c>
      <c r="G6891" s="98" t="str">
        <f>HYPERLINK("http://mirror.ff7data.com.ar/ff7/data/battle/battle.lgp/mbao.png","View Picture")</f>
        <v>View Picture</v>
      </c>
    </row>
    <row r="6892">
      <c r="A6892" s="55"/>
      <c r="B6892" s="119" t="s">
        <v>39026</v>
      </c>
      <c r="C6892" s="120" t="s">
        <v>4057</v>
      </c>
      <c r="D6892" s="33" t="s">
        <v>39022</v>
      </c>
      <c r="E6892" s="51" t="s">
        <v>1477</v>
      </c>
      <c r="F6892" s="121" t="s">
        <v>3009</v>
      </c>
      <c r="G6892" s="98" t="str">
        <f>HYPERLINK("http://mirror.ff7data.com.ar/ff7/data/battle/battle.lgp/mbap.png","View Picture")</f>
        <v>View Picture</v>
      </c>
    </row>
    <row r="6893">
      <c r="A6893" s="55"/>
      <c r="B6893" s="119" t="s">
        <v>39027</v>
      </c>
      <c r="C6893" s="120" t="s">
        <v>4719</v>
      </c>
      <c r="D6893" s="33" t="s">
        <v>39022</v>
      </c>
      <c r="E6893" s="51" t="s">
        <v>1477</v>
      </c>
      <c r="F6893" s="121" t="s">
        <v>3009</v>
      </c>
      <c r="G6893" s="98" t="str">
        <f>HYPERLINK("http://mirror.ff7data.com.ar/ff7/data/battle/battle.lgp/mbaq.png","View Picture")</f>
        <v>View Picture</v>
      </c>
    </row>
    <row r="6894">
      <c r="A6894" s="55"/>
      <c r="B6894" s="119" t="s">
        <v>39028</v>
      </c>
      <c r="C6894" s="120" t="s">
        <v>3519</v>
      </c>
      <c r="D6894" s="33" t="s">
        <v>39022</v>
      </c>
      <c r="E6894" s="51" t="s">
        <v>1477</v>
      </c>
      <c r="F6894" s="121" t="s">
        <v>3009</v>
      </c>
      <c r="G6894" s="98" t="str">
        <f>HYPERLINK("http://mirror.ff7data.com.ar/ff7/data/battle/battle.lgp/mbar.png","View Picture")</f>
        <v>View Picture</v>
      </c>
    </row>
    <row r="6895">
      <c r="A6895" s="55"/>
      <c r="B6895" s="119" t="s">
        <v>39029</v>
      </c>
      <c r="C6895" s="120" t="s">
        <v>3723</v>
      </c>
      <c r="D6895" s="33" t="s">
        <v>39022</v>
      </c>
      <c r="E6895" s="51" t="s">
        <v>1477</v>
      </c>
      <c r="F6895" s="121" t="s">
        <v>3009</v>
      </c>
      <c r="G6895" s="98" t="str">
        <f>HYPERLINK("http://mirror.ff7data.com.ar/ff7/data/battle/battle.lgp/mbat.png","View Picture")</f>
        <v>View Picture</v>
      </c>
    </row>
    <row r="6896">
      <c r="A6896" s="55"/>
      <c r="B6896" s="119" t="s">
        <v>39030</v>
      </c>
      <c r="C6896" s="120" t="s">
        <v>4357</v>
      </c>
      <c r="D6896" s="33" t="s">
        <v>39022</v>
      </c>
      <c r="E6896" s="51" t="s">
        <v>1477</v>
      </c>
      <c r="F6896" s="121" t="s">
        <v>3009</v>
      </c>
      <c r="G6896" s="98" t="str">
        <f>HYPERLINK("http://mirror.ff7data.com.ar/ff7/data/battle/battle.lgp/mbau.png","View Picture")</f>
        <v>View Picture</v>
      </c>
    </row>
    <row r="6897">
      <c r="A6897" s="55"/>
      <c r="B6897" s="119" t="s">
        <v>39031</v>
      </c>
      <c r="C6897" s="120" t="s">
        <v>3614</v>
      </c>
      <c r="D6897" s="33" t="s">
        <v>39022</v>
      </c>
      <c r="E6897" s="51" t="s">
        <v>1477</v>
      </c>
      <c r="F6897" s="121" t="s">
        <v>3009</v>
      </c>
      <c r="G6897" s="98" t="str">
        <f>HYPERLINK("http://mirror.ff7data.com.ar/ff7/data/battle/battle.lgp/mbav.png","View Picture")</f>
        <v>View Picture</v>
      </c>
    </row>
    <row r="6898">
      <c r="A6898" s="55"/>
      <c r="B6898" s="119" t="s">
        <v>39032</v>
      </c>
      <c r="C6898" s="120" t="s">
        <v>13957</v>
      </c>
      <c r="D6898" s="33" t="s">
        <v>39022</v>
      </c>
      <c r="E6898" s="51" t="s">
        <v>1477</v>
      </c>
      <c r="F6898" s="121" t="s">
        <v>3009</v>
      </c>
      <c r="G6898" s="98" t="str">
        <f>HYPERLINK("http://mirror.ff7data.com.ar/ff7/data/battle/battle.lgp/mbaw.png","View Picture")</f>
        <v>View Picture</v>
      </c>
    </row>
    <row r="6899">
      <c r="A6899" s="55"/>
      <c r="B6899" s="119" t="s">
        <v>39033</v>
      </c>
      <c r="C6899" s="120" t="s">
        <v>8376</v>
      </c>
      <c r="D6899" s="33" t="s">
        <v>39022</v>
      </c>
      <c r="E6899" s="51" t="s">
        <v>1477</v>
      </c>
      <c r="F6899" s="121" t="s">
        <v>3009</v>
      </c>
      <c r="G6899" s="98" t="str">
        <f>HYPERLINK("http://mirror.ff7data.com.ar/ff7/data/battle/battle.lgp/mbay.png","View Picture")</f>
        <v>View Picture</v>
      </c>
    </row>
    <row r="6900">
      <c r="A6900" s="55"/>
      <c r="B6900" s="119" t="s">
        <v>39034</v>
      </c>
      <c r="C6900" s="120" t="s">
        <v>7165</v>
      </c>
      <c r="D6900" s="33" t="s">
        <v>39022</v>
      </c>
      <c r="E6900" s="51" t="s">
        <v>1477</v>
      </c>
      <c r="F6900" s="121" t="s">
        <v>3009</v>
      </c>
      <c r="G6900" s="98" t="str">
        <f>HYPERLINK("http://mirror.ff7data.com.ar/ff7/data/battle/battle.lgp/mbaz.png","View Picture")</f>
        <v>View Picture</v>
      </c>
    </row>
    <row r="6901">
      <c r="A6901" s="55"/>
      <c r="B6901" s="119" t="s">
        <v>39035</v>
      </c>
      <c r="C6901" s="120" t="s">
        <v>7871</v>
      </c>
      <c r="D6901" s="33" t="s">
        <v>39022</v>
      </c>
      <c r="E6901" s="51" t="s">
        <v>1477</v>
      </c>
      <c r="F6901" s="121" t="s">
        <v>3009</v>
      </c>
      <c r="G6901" s="98" t="str">
        <f>HYPERLINK("http://mirror.ff7data.com.ar/ff7/data/battle/battle.lgp/mbba.png","View Picture")</f>
        <v>View Picture</v>
      </c>
    </row>
    <row r="6902">
      <c r="A6902" s="55"/>
      <c r="B6902" s="119" t="s">
        <v>39036</v>
      </c>
      <c r="C6902" s="120" t="s">
        <v>5967</v>
      </c>
      <c r="D6902" s="33" t="s">
        <v>39022</v>
      </c>
      <c r="E6902" s="51" t="s">
        <v>1477</v>
      </c>
      <c r="F6902" s="121" t="s">
        <v>3009</v>
      </c>
      <c r="G6902" s="98" t="str">
        <f>HYPERLINK("http://mirror.ff7data.com.ar/ff7/data/battle/battle.lgp/mbbb.png","View Picture")</f>
        <v>View Picture</v>
      </c>
    </row>
    <row r="6903">
      <c r="A6903" s="55"/>
      <c r="B6903" s="119" t="s">
        <v>39037</v>
      </c>
      <c r="C6903" s="120" t="s">
        <v>3614</v>
      </c>
      <c r="D6903" s="33" t="s">
        <v>39022</v>
      </c>
      <c r="E6903" s="51" t="s">
        <v>1477</v>
      </c>
      <c r="F6903" s="121" t="s">
        <v>3009</v>
      </c>
      <c r="G6903" s="98" t="str">
        <f>HYPERLINK("http://mirror.ff7data.com.ar/ff7/data/battle/battle.lgp/mbbc.png","View Picture")</f>
        <v>View Picture</v>
      </c>
    </row>
    <row r="6904">
      <c r="A6904" s="55"/>
      <c r="B6904" s="119" t="s">
        <v>39038</v>
      </c>
      <c r="C6904" s="120" t="s">
        <v>3626</v>
      </c>
      <c r="D6904" s="33" t="s">
        <v>39022</v>
      </c>
      <c r="E6904" s="51" t="s">
        <v>1477</v>
      </c>
      <c r="F6904" s="121" t="s">
        <v>3009</v>
      </c>
      <c r="G6904" s="98" t="str">
        <f>HYPERLINK("http://mirror.ff7data.com.ar/ff7/data/battle/battle.lgp/mbbd.png","View Picture")</f>
        <v>View Picture</v>
      </c>
    </row>
    <row r="6905">
      <c r="A6905" s="55"/>
      <c r="B6905" s="119" t="s">
        <v>39039</v>
      </c>
      <c r="C6905" s="120" t="s">
        <v>9041</v>
      </c>
      <c r="D6905" s="33" t="s">
        <v>39022</v>
      </c>
      <c r="E6905" s="51" t="s">
        <v>1477</v>
      </c>
      <c r="F6905" s="121" t="s">
        <v>3009</v>
      </c>
      <c r="G6905" s="98" t="str">
        <f>HYPERLINK("http://mirror.ff7data.com.ar/ff7/data/battle/battle.lgp/mbbe.png","View Picture")</f>
        <v>View Picture</v>
      </c>
    </row>
    <row r="6906">
      <c r="A6906" s="55"/>
      <c r="B6906" s="119" t="s">
        <v>39040</v>
      </c>
      <c r="C6906" s="120" t="s">
        <v>4191</v>
      </c>
      <c r="D6906" s="33" t="s">
        <v>39022</v>
      </c>
      <c r="E6906" s="51" t="s">
        <v>1477</v>
      </c>
      <c r="F6906" s="121" t="s">
        <v>3009</v>
      </c>
      <c r="G6906" s="98" t="str">
        <f>HYPERLINK("http://mirror.ff7data.com.ar/ff7/data/battle/battle.lgp/mbbf.png","View Picture")</f>
        <v>View Picture</v>
      </c>
    </row>
    <row r="6907">
      <c r="A6907" s="55"/>
      <c r="B6907" s="119" t="s">
        <v>39041</v>
      </c>
      <c r="C6907" s="120" t="s">
        <v>4217</v>
      </c>
      <c r="D6907" s="33" t="s">
        <v>39022</v>
      </c>
      <c r="E6907" s="51" t="s">
        <v>1477</v>
      </c>
      <c r="F6907" s="121" t="s">
        <v>3009</v>
      </c>
      <c r="G6907" s="98" t="str">
        <f>HYPERLINK("http://mirror.ff7data.com.ar/ff7/data/battle/battle.lgp/mbbg.png","View Picture")</f>
        <v>View Picture</v>
      </c>
    </row>
    <row r="6908">
      <c r="A6908" s="55"/>
      <c r="B6908" s="119" t="s">
        <v>39042</v>
      </c>
      <c r="C6908" s="120" t="s">
        <v>4372</v>
      </c>
      <c r="D6908" s="33" t="s">
        <v>39022</v>
      </c>
      <c r="E6908" s="51" t="s">
        <v>1477</v>
      </c>
      <c r="F6908" s="121" t="s">
        <v>3009</v>
      </c>
      <c r="G6908" s="98" t="str">
        <f>HYPERLINK("http://mirror.ff7data.com.ar/ff7/data/battle/battle.lgp/mbbi.png","View Picture")</f>
        <v>View Picture</v>
      </c>
    </row>
    <row r="6909">
      <c r="A6909" s="55"/>
      <c r="B6909" s="119" t="s">
        <v>39043</v>
      </c>
      <c r="C6909" s="120" t="s">
        <v>4732</v>
      </c>
      <c r="D6909" s="33" t="s">
        <v>39022</v>
      </c>
      <c r="E6909" s="51" t="s">
        <v>1477</v>
      </c>
      <c r="F6909" s="121" t="s">
        <v>3009</v>
      </c>
      <c r="G6909" s="98" t="str">
        <f>HYPERLINK("http://mirror.ff7data.com.ar/ff7/data/battle/battle.lgp/mbbj.png","View Picture")</f>
        <v>View Picture</v>
      </c>
    </row>
    <row r="6910">
      <c r="A6910" s="55"/>
      <c r="B6910" s="119" t="s">
        <v>39044</v>
      </c>
      <c r="C6910" s="120" t="s">
        <v>4719</v>
      </c>
      <c r="D6910" s="33" t="s">
        <v>39022</v>
      </c>
      <c r="E6910" s="51" t="s">
        <v>1477</v>
      </c>
      <c r="F6910" s="121" t="s">
        <v>3009</v>
      </c>
      <c r="G6910" s="98" t="str">
        <f>HYPERLINK("http://mirror.ff7data.com.ar/ff7/data/battle/battle.lgp/mbbl.png","View Picture")</f>
        <v>View Picture</v>
      </c>
    </row>
    <row r="6911">
      <c r="A6911" s="55"/>
      <c r="B6911" s="119" t="s">
        <v>39045</v>
      </c>
      <c r="C6911" s="120" t="s">
        <v>4732</v>
      </c>
      <c r="D6911" s="33" t="s">
        <v>39022</v>
      </c>
      <c r="E6911" s="51" t="s">
        <v>1477</v>
      </c>
      <c r="F6911" s="121" t="s">
        <v>3009</v>
      </c>
      <c r="G6911" s="98" t="str">
        <f>HYPERLINK("http://mirror.ff7data.com.ar/ff7/data/battle/battle.lgp/mbbm.png","View Picture")</f>
        <v>View Picture</v>
      </c>
    </row>
    <row r="6912">
      <c r="A6912" s="55"/>
      <c r="B6912" s="119" t="s">
        <v>39046</v>
      </c>
      <c r="C6912" s="120" t="s">
        <v>4185</v>
      </c>
      <c r="D6912" s="33" t="s">
        <v>39022</v>
      </c>
      <c r="E6912" s="51" t="s">
        <v>1477</v>
      </c>
      <c r="F6912" s="121" t="s">
        <v>3009</v>
      </c>
      <c r="G6912" s="98" t="str">
        <f>HYPERLINK("http://mirror.ff7data.com.ar/ff7/data/battle/battle.lgp/mbbo.png","View Picture")</f>
        <v>View Picture</v>
      </c>
    </row>
    <row r="6913">
      <c r="A6913" s="55"/>
      <c r="B6913" s="119" t="s">
        <v>39047</v>
      </c>
      <c r="C6913" s="120" t="s">
        <v>3723</v>
      </c>
      <c r="D6913" s="33" t="s">
        <v>39022</v>
      </c>
      <c r="E6913" s="51" t="s">
        <v>1477</v>
      </c>
      <c r="F6913" s="121" t="s">
        <v>3009</v>
      </c>
      <c r="G6913" s="98" t="str">
        <f>HYPERLINK("http://mirror.ff7data.com.ar/ff7/data/battle/battle.lgp/mbbq.png","View Picture")</f>
        <v>View Picture</v>
      </c>
    </row>
    <row r="6914">
      <c r="A6914" s="55"/>
      <c r="B6914" s="119" t="s">
        <v>39048</v>
      </c>
      <c r="C6914" s="120" t="s">
        <v>7871</v>
      </c>
      <c r="D6914" s="33" t="s">
        <v>39022</v>
      </c>
      <c r="E6914" s="51" t="s">
        <v>1477</v>
      </c>
      <c r="F6914" s="121" t="s">
        <v>3009</v>
      </c>
      <c r="G6914" s="98" t="str">
        <f>HYPERLINK("http://mirror.ff7data.com.ar/ff7/data/battle/battle.lgp/mbbr.png","View Picture")</f>
        <v>View Picture</v>
      </c>
    </row>
    <row r="6915">
      <c r="A6915" s="55"/>
      <c r="B6915" s="119" t="s">
        <v>39049</v>
      </c>
      <c r="C6915" s="120" t="s">
        <v>4396</v>
      </c>
      <c r="D6915" s="33" t="s">
        <v>39022</v>
      </c>
      <c r="E6915" s="51" t="s">
        <v>1477</v>
      </c>
      <c r="F6915" s="121" t="s">
        <v>3009</v>
      </c>
      <c r="G6915" s="98" t="str">
        <f>HYPERLINK("http://mirror.ff7data.com.ar/ff7/data/battle/battle.lgp/mbbs.png","View Picture")</f>
        <v>View Picture</v>
      </c>
    </row>
    <row r="6916">
      <c r="A6916" s="55"/>
      <c r="B6916" s="119" t="s">
        <v>39050</v>
      </c>
      <c r="C6916" s="120" t="s">
        <v>3355</v>
      </c>
      <c r="D6916" s="33" t="s">
        <v>39022</v>
      </c>
      <c r="E6916" s="51" t="s">
        <v>1477</v>
      </c>
      <c r="F6916" s="121" t="s">
        <v>3009</v>
      </c>
      <c r="G6916" s="98" t="str">
        <f>HYPERLINK("http://mirror.ff7data.com.ar/ff7/data/battle/battle.lgp/mbbt.png","View Picture")</f>
        <v>View Picture</v>
      </c>
    </row>
    <row r="6917">
      <c r="A6917" s="55"/>
      <c r="B6917" s="119" t="s">
        <v>39051</v>
      </c>
      <c r="C6917" s="120" t="s">
        <v>7301</v>
      </c>
      <c r="D6917" s="33" t="s">
        <v>39022</v>
      </c>
      <c r="E6917" s="51" t="s">
        <v>1477</v>
      </c>
      <c r="F6917" s="121" t="s">
        <v>3009</v>
      </c>
      <c r="G6917" s="98" t="str">
        <f>HYPERLINK("http://mirror.ff7data.com.ar/ff7/data/battle/battle.lgp/mbbv.png","View Picture")</f>
        <v>View Picture</v>
      </c>
    </row>
    <row r="6918">
      <c r="A6918" s="55"/>
      <c r="B6918" s="119" t="s">
        <v>39052</v>
      </c>
      <c r="C6918" s="120" t="s">
        <v>4252</v>
      </c>
      <c r="D6918" s="33" t="s">
        <v>39022</v>
      </c>
      <c r="E6918" s="51" t="s">
        <v>1477</v>
      </c>
      <c r="F6918" s="121" t="s">
        <v>3009</v>
      </c>
      <c r="G6918" s="98" t="str">
        <f>HYPERLINK("http://mirror.ff7data.com.ar/ff7/data/battle/battle.lgp/mbbw.png","View Picture")</f>
        <v>View Picture</v>
      </c>
    </row>
    <row r="6919">
      <c r="A6919" s="55"/>
      <c r="B6919" s="119" t="s">
        <v>39053</v>
      </c>
      <c r="C6919" s="120" t="s">
        <v>4252</v>
      </c>
      <c r="D6919" s="33" t="s">
        <v>39022</v>
      </c>
      <c r="E6919" s="51" t="s">
        <v>1477</v>
      </c>
      <c r="F6919" s="121" t="s">
        <v>3009</v>
      </c>
      <c r="G6919" s="98" t="str">
        <f>HYPERLINK("http://mirror.ff7data.com.ar/ff7/data/battle/battle.lgp/mbbx.png","View Picture")</f>
        <v>View Picture</v>
      </c>
    </row>
    <row r="6920">
      <c r="A6920" s="55"/>
      <c r="B6920" s="119" t="s">
        <v>39054</v>
      </c>
      <c r="C6920" s="120" t="s">
        <v>3768</v>
      </c>
      <c r="D6920" s="33" t="s">
        <v>39022</v>
      </c>
      <c r="E6920" s="51" t="s">
        <v>1477</v>
      </c>
      <c r="F6920" s="121" t="s">
        <v>3009</v>
      </c>
      <c r="G6920" s="98" t="str">
        <f>HYPERLINK("http://mirror.ff7data.com.ar/ff7/data/battle/battle.lgp/mbby.png","View Picture")</f>
        <v>View Picture</v>
      </c>
    </row>
    <row r="6921">
      <c r="A6921" s="55"/>
      <c r="B6921" s="119" t="s">
        <v>39055</v>
      </c>
      <c r="C6921" s="120" t="s">
        <v>15135</v>
      </c>
      <c r="D6921" s="33" t="s">
        <v>39022</v>
      </c>
      <c r="E6921" s="51" t="s">
        <v>1477</v>
      </c>
      <c r="F6921" s="121" t="s">
        <v>3025</v>
      </c>
      <c r="H6921" s="46" t="s">
        <v>3002</v>
      </c>
    </row>
    <row r="6922">
      <c r="A6922" s="21"/>
      <c r="B6922" s="119" t="s">
        <v>39056</v>
      </c>
      <c r="C6922" s="120" t="s">
        <v>2989</v>
      </c>
      <c r="D6922" s="33" t="s">
        <v>39057</v>
      </c>
      <c r="E6922" s="51" t="s">
        <v>1484</v>
      </c>
      <c r="F6922" s="121" t="s">
        <v>2971</v>
      </c>
      <c r="G6922" s="98" t="str">
        <f>HYPERLINK("http://mirror.ff7data.com.ar/ff7/data/battle/battle.lgp/mcaa.png","View Picture")</f>
        <v>View Picture</v>
      </c>
    </row>
    <row r="6923">
      <c r="A6923" s="55"/>
      <c r="B6923" s="119" t="s">
        <v>39058</v>
      </c>
      <c r="C6923" s="120" t="s">
        <v>5724</v>
      </c>
      <c r="D6923" s="33" t="s">
        <v>39059</v>
      </c>
      <c r="E6923" s="51" t="s">
        <v>1484</v>
      </c>
      <c r="F6923" s="121" t="s">
        <v>2993</v>
      </c>
      <c r="H6923" s="46" t="s">
        <v>3002</v>
      </c>
    </row>
    <row r="6924">
      <c r="A6924" s="55"/>
      <c r="B6924" s="119" t="s">
        <v>39060</v>
      </c>
      <c r="C6924" s="120" t="s">
        <v>6018</v>
      </c>
      <c r="D6924" s="33" t="s">
        <v>39059</v>
      </c>
      <c r="E6924" s="51" t="s">
        <v>1484</v>
      </c>
      <c r="F6924" s="121" t="s">
        <v>3009</v>
      </c>
      <c r="G6924" s="98" t="str">
        <f>HYPERLINK("http://mirror.ff7data.com.ar/ff7/data/battle/battle.lgp/mcam.png","View Picture")</f>
        <v>View Picture</v>
      </c>
    </row>
    <row r="6925">
      <c r="A6925" s="55"/>
      <c r="B6925" s="119" t="s">
        <v>39061</v>
      </c>
      <c r="C6925" s="120" t="s">
        <v>4732</v>
      </c>
      <c r="D6925" s="33" t="s">
        <v>39059</v>
      </c>
      <c r="E6925" s="51" t="s">
        <v>1484</v>
      </c>
      <c r="F6925" s="121" t="s">
        <v>3009</v>
      </c>
      <c r="G6925" s="98" t="str">
        <f>HYPERLINK("http://mirror.ff7data.com.ar/ff7/data/battle/battle.lgp/mcao.png","View Picture")</f>
        <v>View Picture</v>
      </c>
    </row>
    <row r="6926">
      <c r="A6926" s="55"/>
      <c r="B6926" s="119" t="s">
        <v>39062</v>
      </c>
      <c r="C6926" s="120" t="s">
        <v>6029</v>
      </c>
      <c r="D6926" s="33" t="s">
        <v>39059</v>
      </c>
      <c r="E6926" s="51" t="s">
        <v>1484</v>
      </c>
      <c r="F6926" s="121" t="s">
        <v>3009</v>
      </c>
      <c r="G6926" s="98" t="str">
        <f>HYPERLINK("http://mirror.ff7data.com.ar/ff7/data/battle/battle.lgp/mcap.png","View Picture")</f>
        <v>View Picture</v>
      </c>
    </row>
    <row r="6927">
      <c r="A6927" s="55"/>
      <c r="B6927" s="119" t="s">
        <v>39063</v>
      </c>
      <c r="C6927" s="120" t="s">
        <v>4217</v>
      </c>
      <c r="D6927" s="33" t="s">
        <v>39059</v>
      </c>
      <c r="E6927" s="51" t="s">
        <v>1484</v>
      </c>
      <c r="F6927" s="121" t="s">
        <v>3009</v>
      </c>
      <c r="G6927" s="98" t="str">
        <f>HYPERLINK("http://mirror.ff7data.com.ar/ff7/data/battle/battle.lgp/mcaq.png","View Picture")</f>
        <v>View Picture</v>
      </c>
    </row>
    <row r="6928">
      <c r="A6928" s="55"/>
      <c r="B6928" s="119" t="s">
        <v>39064</v>
      </c>
      <c r="C6928" s="120" t="s">
        <v>4252</v>
      </c>
      <c r="D6928" s="33" t="s">
        <v>39059</v>
      </c>
      <c r="E6928" s="51" t="s">
        <v>1484</v>
      </c>
      <c r="F6928" s="121" t="s">
        <v>3009</v>
      </c>
      <c r="G6928" s="98" t="str">
        <f>HYPERLINK("http://mirror.ff7data.com.ar/ff7/data/battle/battle.lgp/mcar.png","View Picture")</f>
        <v>View Picture</v>
      </c>
    </row>
    <row r="6929">
      <c r="A6929" s="55"/>
      <c r="B6929" s="119" t="s">
        <v>39065</v>
      </c>
      <c r="C6929" s="120" t="s">
        <v>4264</v>
      </c>
      <c r="D6929" s="33" t="s">
        <v>39059</v>
      </c>
      <c r="E6929" s="51" t="s">
        <v>1484</v>
      </c>
      <c r="F6929" s="121" t="s">
        <v>3009</v>
      </c>
      <c r="G6929" s="98" t="str">
        <f>HYPERLINK("http://mirror.ff7data.com.ar/ff7/data/battle/battle.lgp/mcat.png","View Picture")</f>
        <v>View Picture</v>
      </c>
    </row>
    <row r="6930">
      <c r="A6930" s="55"/>
      <c r="B6930" s="119" t="s">
        <v>39066</v>
      </c>
      <c r="C6930" s="120" t="s">
        <v>4732</v>
      </c>
      <c r="D6930" s="33" t="s">
        <v>39059</v>
      </c>
      <c r="E6930" s="51" t="s">
        <v>1484</v>
      </c>
      <c r="F6930" s="121" t="s">
        <v>3009</v>
      </c>
      <c r="G6930" s="98" t="str">
        <f>HYPERLINK("http://mirror.ff7data.com.ar/ff7/data/battle/battle.lgp/mcav.png","View Picture")</f>
        <v>View Picture</v>
      </c>
    </row>
    <row r="6931">
      <c r="A6931" s="55"/>
      <c r="B6931" s="119" t="s">
        <v>39067</v>
      </c>
      <c r="C6931" s="120" t="s">
        <v>6029</v>
      </c>
      <c r="D6931" s="33" t="s">
        <v>39059</v>
      </c>
      <c r="E6931" s="51" t="s">
        <v>1484</v>
      </c>
      <c r="F6931" s="121" t="s">
        <v>3009</v>
      </c>
      <c r="G6931" s="98" t="str">
        <f>HYPERLINK("http://mirror.ff7data.com.ar/ff7/data/battle/battle.lgp/mcaw.png","View Picture")</f>
        <v>View Picture</v>
      </c>
    </row>
    <row r="6932">
      <c r="A6932" s="55"/>
      <c r="B6932" s="119" t="s">
        <v>39068</v>
      </c>
      <c r="C6932" s="120" t="s">
        <v>4217</v>
      </c>
      <c r="D6932" s="33" t="s">
        <v>39059</v>
      </c>
      <c r="E6932" s="51" t="s">
        <v>1484</v>
      </c>
      <c r="F6932" s="121" t="s">
        <v>3009</v>
      </c>
      <c r="G6932" s="98" t="str">
        <f>HYPERLINK("http://mirror.ff7data.com.ar/ff7/data/battle/battle.lgp/mcax.png","View Picture")</f>
        <v>View Picture</v>
      </c>
    </row>
    <row r="6933">
      <c r="A6933" s="55"/>
      <c r="B6933" s="119" t="s">
        <v>39069</v>
      </c>
      <c r="C6933" s="120" t="s">
        <v>4252</v>
      </c>
      <c r="D6933" s="33" t="s">
        <v>39059</v>
      </c>
      <c r="E6933" s="51" t="s">
        <v>1484</v>
      </c>
      <c r="F6933" s="121" t="s">
        <v>3009</v>
      </c>
      <c r="G6933" s="98" t="str">
        <f>HYPERLINK("http://mirror.ff7data.com.ar/ff7/data/battle/battle.lgp/mcay.png","View Picture")</f>
        <v>View Picture</v>
      </c>
    </row>
    <row r="6934">
      <c r="A6934" s="55"/>
      <c r="B6934" s="119" t="s">
        <v>39070</v>
      </c>
      <c r="C6934" s="120" t="s">
        <v>4264</v>
      </c>
      <c r="D6934" s="33" t="s">
        <v>39059</v>
      </c>
      <c r="E6934" s="51" t="s">
        <v>1484</v>
      </c>
      <c r="F6934" s="121" t="s">
        <v>3009</v>
      </c>
      <c r="G6934" s="98" t="str">
        <f>HYPERLINK("http://mirror.ff7data.com.ar/ff7/data/battle/battle.lgp/mcba.png","View Picture")</f>
        <v>View Picture</v>
      </c>
    </row>
    <row r="6935">
      <c r="A6935" s="55"/>
      <c r="B6935" s="119" t="s">
        <v>39071</v>
      </c>
      <c r="C6935" s="120" t="s">
        <v>7871</v>
      </c>
      <c r="D6935" s="33" t="s">
        <v>39059</v>
      </c>
      <c r="E6935" s="51" t="s">
        <v>1484</v>
      </c>
      <c r="F6935" s="121" t="s">
        <v>3009</v>
      </c>
      <c r="G6935" s="98" t="str">
        <f>HYPERLINK("http://mirror.ff7data.com.ar/ff7/data/battle/battle.lgp/mcbb.png","View Picture")</f>
        <v>View Picture</v>
      </c>
    </row>
    <row r="6936">
      <c r="A6936" s="55"/>
      <c r="B6936" s="119" t="s">
        <v>39072</v>
      </c>
      <c r="C6936" s="120" t="s">
        <v>4719</v>
      </c>
      <c r="D6936" s="33" t="s">
        <v>39059</v>
      </c>
      <c r="E6936" s="51" t="s">
        <v>1484</v>
      </c>
      <c r="F6936" s="121" t="s">
        <v>3009</v>
      </c>
      <c r="G6936" s="98" t="str">
        <f>HYPERLINK("http://mirror.ff7data.com.ar/ff7/data/battle/battle.lgp/mcbe.png","View Picture")</f>
        <v>View Picture</v>
      </c>
    </row>
    <row r="6937">
      <c r="A6937" s="55"/>
      <c r="B6937" s="119" t="s">
        <v>39073</v>
      </c>
      <c r="C6937" s="120" t="s">
        <v>21725</v>
      </c>
      <c r="D6937" s="33" t="s">
        <v>39059</v>
      </c>
      <c r="E6937" s="51" t="s">
        <v>1484</v>
      </c>
      <c r="F6937" s="121" t="s">
        <v>3009</v>
      </c>
      <c r="G6937" s="98" t="str">
        <f>HYPERLINK("http://mirror.ff7data.com.ar/ff7/data/battle/battle.lgp/mcbf.png","View Picture")</f>
        <v>View Picture</v>
      </c>
    </row>
    <row r="6938">
      <c r="A6938" s="55"/>
      <c r="B6938" s="119" t="s">
        <v>39074</v>
      </c>
      <c r="C6938" s="120" t="s">
        <v>3648</v>
      </c>
      <c r="D6938" s="33" t="s">
        <v>39059</v>
      </c>
      <c r="E6938" s="51" t="s">
        <v>1484</v>
      </c>
      <c r="F6938" s="121" t="s">
        <v>3009</v>
      </c>
      <c r="G6938" s="98" t="str">
        <f>HYPERLINK("http://mirror.ff7data.com.ar/ff7/data/battle/battle.lgp/mcbg.png","View Picture")</f>
        <v>View Picture</v>
      </c>
    </row>
    <row r="6939">
      <c r="A6939" s="55"/>
      <c r="B6939" s="119" t="s">
        <v>39075</v>
      </c>
      <c r="C6939" s="120" t="s">
        <v>4719</v>
      </c>
      <c r="D6939" s="33" t="s">
        <v>39059</v>
      </c>
      <c r="E6939" s="51" t="s">
        <v>1484</v>
      </c>
      <c r="F6939" s="121" t="s">
        <v>3009</v>
      </c>
      <c r="G6939" s="98" t="str">
        <f>HYPERLINK("http://mirror.ff7data.com.ar/ff7/data/battle/battle.lgp/mcbi.png","View Picture")</f>
        <v>View Picture</v>
      </c>
    </row>
    <row r="6940">
      <c r="A6940" s="55"/>
      <c r="B6940" s="119" t="s">
        <v>39076</v>
      </c>
      <c r="C6940" s="120" t="s">
        <v>21725</v>
      </c>
      <c r="D6940" s="33" t="s">
        <v>39059</v>
      </c>
      <c r="E6940" s="51" t="s">
        <v>1484</v>
      </c>
      <c r="F6940" s="121" t="s">
        <v>3009</v>
      </c>
      <c r="G6940" s="98" t="str">
        <f>HYPERLINK("http://mirror.ff7data.com.ar/ff7/data/battle/battle.lgp/mcbj.png","View Picture")</f>
        <v>View Picture</v>
      </c>
    </row>
    <row r="6941">
      <c r="A6941" s="55"/>
      <c r="B6941" s="119" t="s">
        <v>39077</v>
      </c>
      <c r="C6941" s="120" t="s">
        <v>4396</v>
      </c>
      <c r="D6941" s="33" t="s">
        <v>39059</v>
      </c>
      <c r="E6941" s="51" t="s">
        <v>1484</v>
      </c>
      <c r="F6941" s="121" t="s">
        <v>3009</v>
      </c>
      <c r="G6941" s="98" t="str">
        <f>HYPERLINK("http://mirror.ff7data.com.ar/ff7/data/battle/battle.lgp/mcbk.png","View Picture")</f>
        <v>View Picture</v>
      </c>
    </row>
    <row r="6942">
      <c r="A6942" s="55"/>
      <c r="B6942" s="119" t="s">
        <v>39078</v>
      </c>
      <c r="C6942" s="120" t="s">
        <v>4185</v>
      </c>
      <c r="D6942" s="33" t="s">
        <v>39059</v>
      </c>
      <c r="E6942" s="51" t="s">
        <v>1484</v>
      </c>
      <c r="F6942" s="121" t="s">
        <v>3009</v>
      </c>
      <c r="G6942" s="98" t="str">
        <f>HYPERLINK("http://mirror.ff7data.com.ar/ff7/data/battle/battle.lgp/mcbl.png","View Picture")</f>
        <v>View Picture</v>
      </c>
    </row>
    <row r="6943">
      <c r="A6943" s="55"/>
      <c r="B6943" s="119" t="s">
        <v>39079</v>
      </c>
      <c r="C6943" s="120" t="s">
        <v>4185</v>
      </c>
      <c r="D6943" s="33" t="s">
        <v>39059</v>
      </c>
      <c r="E6943" s="51" t="s">
        <v>1484</v>
      </c>
      <c r="F6943" s="121" t="s">
        <v>3009</v>
      </c>
      <c r="G6943" s="98" t="str">
        <f>HYPERLINK("http://mirror.ff7data.com.ar/ff7/data/battle/battle.lgp/mcbm.png","View Picture")</f>
        <v>View Picture</v>
      </c>
    </row>
    <row r="6944">
      <c r="A6944" s="55"/>
      <c r="B6944" s="119" t="s">
        <v>39080</v>
      </c>
      <c r="C6944" s="120" t="s">
        <v>4185</v>
      </c>
      <c r="D6944" s="33" t="s">
        <v>39059</v>
      </c>
      <c r="E6944" s="51" t="s">
        <v>1484</v>
      </c>
      <c r="F6944" s="121" t="s">
        <v>3009</v>
      </c>
      <c r="G6944" s="98" t="str">
        <f>HYPERLINK("http://mirror.ff7data.com.ar/ff7/data/battle/battle.lgp/mcbn.png","View Picture")</f>
        <v>View Picture</v>
      </c>
    </row>
    <row r="6945">
      <c r="A6945" s="55"/>
      <c r="B6945" s="119" t="s">
        <v>39081</v>
      </c>
      <c r="C6945" s="120" t="s">
        <v>4185</v>
      </c>
      <c r="D6945" s="33" t="s">
        <v>39059</v>
      </c>
      <c r="E6945" s="51" t="s">
        <v>1484</v>
      </c>
      <c r="F6945" s="121" t="s">
        <v>3009</v>
      </c>
      <c r="G6945" s="98" t="str">
        <f>HYPERLINK("http://mirror.ff7data.com.ar/ff7/data/battle/battle.lgp/mcbo.png","View Picture")</f>
        <v>View Picture</v>
      </c>
    </row>
    <row r="6946">
      <c r="A6946" s="55"/>
      <c r="B6946" s="119" t="s">
        <v>39082</v>
      </c>
      <c r="C6946" s="120" t="s">
        <v>6029</v>
      </c>
      <c r="D6946" s="33" t="s">
        <v>39059</v>
      </c>
      <c r="E6946" s="51" t="s">
        <v>1484</v>
      </c>
      <c r="F6946" s="121" t="s">
        <v>3009</v>
      </c>
      <c r="G6946" s="98" t="str">
        <f>HYPERLINK("http://mirror.ff7data.com.ar/ff7/data/battle/battle.lgp/mcbp.png","View Picture")</f>
        <v>View Picture</v>
      </c>
    </row>
    <row r="6947">
      <c r="A6947" s="55"/>
      <c r="B6947" s="119" t="s">
        <v>39083</v>
      </c>
      <c r="C6947" s="120" t="s">
        <v>3318</v>
      </c>
      <c r="D6947" s="33" t="s">
        <v>39059</v>
      </c>
      <c r="E6947" s="51" t="s">
        <v>1484</v>
      </c>
      <c r="F6947" s="121" t="s">
        <v>3025</v>
      </c>
      <c r="H6947" s="46" t="s">
        <v>3002</v>
      </c>
    </row>
    <row r="6948">
      <c r="A6948" s="21"/>
      <c r="B6948" s="119" t="s">
        <v>39084</v>
      </c>
      <c r="C6948" s="120" t="s">
        <v>6789</v>
      </c>
      <c r="D6948" s="33" t="s">
        <v>39085</v>
      </c>
      <c r="E6948" s="51" t="s">
        <v>1488</v>
      </c>
      <c r="F6948" s="121" t="s">
        <v>2971</v>
      </c>
      <c r="G6948" s="98" t="str">
        <f>HYPERLINK("http://mirror.ff7data.com.ar/ff7/data/battle/battle.lgp/mdaa.png","View Picture")</f>
        <v>View Picture</v>
      </c>
    </row>
    <row r="6949">
      <c r="A6949" s="55"/>
      <c r="B6949" s="119" t="s">
        <v>39086</v>
      </c>
      <c r="C6949" s="120" t="s">
        <v>5724</v>
      </c>
      <c r="D6949" s="33" t="s">
        <v>39087</v>
      </c>
      <c r="E6949" s="51" t="s">
        <v>1488</v>
      </c>
      <c r="F6949" s="121" t="s">
        <v>2993</v>
      </c>
      <c r="H6949" s="46" t="s">
        <v>3002</v>
      </c>
    </row>
    <row r="6950">
      <c r="A6950" s="55"/>
      <c r="B6950" s="119" t="s">
        <v>39088</v>
      </c>
      <c r="C6950" s="120" t="s">
        <v>3552</v>
      </c>
      <c r="D6950" s="33" t="s">
        <v>39087</v>
      </c>
      <c r="E6950" s="51" t="s">
        <v>1488</v>
      </c>
      <c r="F6950" s="121" t="s">
        <v>1348</v>
      </c>
      <c r="G6950" s="98" t="str">
        <f>HYPERLINK("http://mirror.ff7data.com.ar/ff7/data/battle/battle.lgp/mdac.png","View Picture")</f>
        <v>View Picture</v>
      </c>
    </row>
    <row r="6951">
      <c r="A6951" s="55"/>
      <c r="B6951" s="119" t="s">
        <v>39089</v>
      </c>
      <c r="C6951" s="120" t="s">
        <v>3552</v>
      </c>
      <c r="D6951" s="33" t="s">
        <v>39087</v>
      </c>
      <c r="E6951" s="51" t="s">
        <v>1488</v>
      </c>
      <c r="F6951" s="121" t="s">
        <v>1348</v>
      </c>
      <c r="G6951" s="98" t="str">
        <f>HYPERLINK("http://mirror.ff7data.com.ar/ff7/data/battle/battle.lgp/mdad.png","View Picture")</f>
        <v>View Picture</v>
      </c>
    </row>
    <row r="6952">
      <c r="A6952" s="55"/>
      <c r="B6952" s="119" t="s">
        <v>39090</v>
      </c>
      <c r="C6952" s="120" t="s">
        <v>26433</v>
      </c>
      <c r="D6952" s="33" t="s">
        <v>39087</v>
      </c>
      <c r="E6952" s="51" t="s">
        <v>1488</v>
      </c>
      <c r="F6952" s="121" t="s">
        <v>3009</v>
      </c>
      <c r="G6952" s="98" t="str">
        <f>HYPERLINK("http://mirror.ff7data.com.ar/ff7/data/battle/battle.lgp/mdam.png","View Picture")</f>
        <v>View Picture</v>
      </c>
    </row>
    <row r="6953">
      <c r="A6953" s="55"/>
      <c r="B6953" s="119" t="s">
        <v>39091</v>
      </c>
      <c r="C6953" s="120" t="s">
        <v>7871</v>
      </c>
      <c r="D6953" s="33" t="s">
        <v>39087</v>
      </c>
      <c r="E6953" s="51" t="s">
        <v>1488</v>
      </c>
      <c r="F6953" s="121" t="s">
        <v>3009</v>
      </c>
      <c r="G6953" s="98" t="str">
        <f>HYPERLINK("http://mirror.ff7data.com.ar/ff7/data/battle/battle.lgp/mdan.png","View Picture")</f>
        <v>View Picture</v>
      </c>
    </row>
    <row r="6954">
      <c r="A6954" s="55"/>
      <c r="B6954" s="119" t="s">
        <v>39092</v>
      </c>
      <c r="C6954" s="120" t="s">
        <v>33181</v>
      </c>
      <c r="D6954" s="33" t="s">
        <v>39087</v>
      </c>
      <c r="E6954" s="51" t="s">
        <v>1488</v>
      </c>
      <c r="F6954" s="121" t="s">
        <v>3009</v>
      </c>
      <c r="G6954" s="98" t="str">
        <f>HYPERLINK("http://mirror.ff7data.com.ar/ff7/data/battle/battle.lgp/mdao.png","View Picture")</f>
        <v>View Picture</v>
      </c>
    </row>
    <row r="6955">
      <c r="A6955" s="55"/>
      <c r="B6955" s="119" t="s">
        <v>39093</v>
      </c>
      <c r="C6955" s="120" t="s">
        <v>3343</v>
      </c>
      <c r="D6955" s="33" t="s">
        <v>39087</v>
      </c>
      <c r="E6955" s="51" t="s">
        <v>1488</v>
      </c>
      <c r="F6955" s="121" t="s">
        <v>3009</v>
      </c>
      <c r="G6955" s="98" t="str">
        <f>HYPERLINK("http://mirror.ff7data.com.ar/ff7/data/battle/battle.lgp/mdap.png","View Picture")</f>
        <v>View Picture</v>
      </c>
    </row>
    <row r="6956">
      <c r="A6956" s="55"/>
      <c r="B6956" s="119" t="s">
        <v>39094</v>
      </c>
      <c r="C6956" s="120" t="s">
        <v>3412</v>
      </c>
      <c r="D6956" s="33" t="s">
        <v>39087</v>
      </c>
      <c r="E6956" s="51" t="s">
        <v>1488</v>
      </c>
      <c r="F6956" s="121" t="s">
        <v>3009</v>
      </c>
      <c r="G6956" s="98" t="str">
        <f>HYPERLINK("http://mirror.ff7data.com.ar/ff7/data/battle/battle.lgp/mdaq.png","View Picture")</f>
        <v>View Picture</v>
      </c>
    </row>
    <row r="6957">
      <c r="A6957" s="55"/>
      <c r="B6957" s="119" t="s">
        <v>39095</v>
      </c>
      <c r="C6957" s="120" t="s">
        <v>3768</v>
      </c>
      <c r="D6957" s="33" t="s">
        <v>39087</v>
      </c>
      <c r="E6957" s="51" t="s">
        <v>1488</v>
      </c>
      <c r="F6957" s="121" t="s">
        <v>3009</v>
      </c>
      <c r="G6957" s="98" t="str">
        <f>HYPERLINK("http://mirror.ff7data.com.ar/ff7/data/battle/battle.lgp/mdar.png","View Picture")</f>
        <v>View Picture</v>
      </c>
    </row>
    <row r="6958">
      <c r="A6958" s="55"/>
      <c r="B6958" s="119" t="s">
        <v>39096</v>
      </c>
      <c r="C6958" s="120" t="s">
        <v>6018</v>
      </c>
      <c r="D6958" s="33" t="s">
        <v>39087</v>
      </c>
      <c r="E6958" s="51" t="s">
        <v>1488</v>
      </c>
      <c r="F6958" s="121" t="s">
        <v>3009</v>
      </c>
      <c r="G6958" s="98" t="str">
        <f>HYPERLINK("http://mirror.ff7data.com.ar/ff7/data/battle/battle.lgp/mdas.png","View Picture")</f>
        <v>View Picture</v>
      </c>
    </row>
    <row r="6959">
      <c r="A6959" s="55"/>
      <c r="B6959" s="119" t="s">
        <v>39097</v>
      </c>
      <c r="C6959" s="120" t="s">
        <v>3505</v>
      </c>
      <c r="D6959" s="33" t="s">
        <v>39087</v>
      </c>
      <c r="E6959" s="51" t="s">
        <v>1488</v>
      </c>
      <c r="F6959" s="121" t="s">
        <v>3009</v>
      </c>
      <c r="G6959" s="98" t="str">
        <f>HYPERLINK("http://mirror.ff7data.com.ar/ff7/data/battle/battle.lgp/mdat.png","View Picture")</f>
        <v>View Picture</v>
      </c>
    </row>
    <row r="6960">
      <c r="A6960" s="55"/>
      <c r="B6960" s="119" t="s">
        <v>39098</v>
      </c>
      <c r="C6960" s="120" t="s">
        <v>4732</v>
      </c>
      <c r="D6960" s="33" t="s">
        <v>39087</v>
      </c>
      <c r="E6960" s="51" t="s">
        <v>1488</v>
      </c>
      <c r="F6960" s="121" t="s">
        <v>3009</v>
      </c>
      <c r="G6960" s="98" t="str">
        <f>HYPERLINK("http://mirror.ff7data.com.ar/ff7/data/battle/battle.lgp/mdav.png","View Picture")</f>
        <v>View Picture</v>
      </c>
    </row>
    <row r="6961">
      <c r="A6961" s="55"/>
      <c r="B6961" s="119" t="s">
        <v>39099</v>
      </c>
      <c r="C6961" s="120" t="s">
        <v>4732</v>
      </c>
      <c r="D6961" s="33" t="s">
        <v>39087</v>
      </c>
      <c r="E6961" s="51" t="s">
        <v>1488</v>
      </c>
      <c r="F6961" s="121" t="s">
        <v>3009</v>
      </c>
      <c r="G6961" s="98" t="str">
        <f>HYPERLINK("http://mirror.ff7data.com.ar/ff7/data/battle/battle.lgp/mdaw.png","View Picture")</f>
        <v>View Picture</v>
      </c>
    </row>
    <row r="6962">
      <c r="A6962" s="55"/>
      <c r="B6962" s="119" t="s">
        <v>39100</v>
      </c>
      <c r="C6962" s="120" t="s">
        <v>4732</v>
      </c>
      <c r="D6962" s="33" t="s">
        <v>39087</v>
      </c>
      <c r="E6962" s="51" t="s">
        <v>1488</v>
      </c>
      <c r="F6962" s="121" t="s">
        <v>3009</v>
      </c>
      <c r="G6962" s="98" t="str">
        <f>HYPERLINK("http://mirror.ff7data.com.ar/ff7/data/battle/battle.lgp/mdax.png","View Picture")</f>
        <v>View Picture</v>
      </c>
    </row>
    <row r="6963">
      <c r="A6963" s="55"/>
      <c r="B6963" s="119" t="s">
        <v>39101</v>
      </c>
      <c r="C6963" s="120" t="s">
        <v>4719</v>
      </c>
      <c r="D6963" s="33" t="s">
        <v>39087</v>
      </c>
      <c r="E6963" s="51" t="s">
        <v>1488</v>
      </c>
      <c r="F6963" s="121" t="s">
        <v>3009</v>
      </c>
      <c r="G6963" s="98" t="str">
        <f>HYPERLINK("http://mirror.ff7data.com.ar/ff7/data/battle/battle.lgp/mdaz.png","View Picture")</f>
        <v>View Picture</v>
      </c>
    </row>
    <row r="6964">
      <c r="A6964" s="55"/>
      <c r="B6964" s="119" t="s">
        <v>39102</v>
      </c>
      <c r="C6964" s="120" t="s">
        <v>4719</v>
      </c>
      <c r="D6964" s="33" t="s">
        <v>39087</v>
      </c>
      <c r="E6964" s="51" t="s">
        <v>1488</v>
      </c>
      <c r="F6964" s="121" t="s">
        <v>3009</v>
      </c>
      <c r="G6964" s="98" t="str">
        <f>HYPERLINK("http://mirror.ff7data.com.ar/ff7/data/battle/battle.lgp/mdbb.png","View Picture")</f>
        <v>View Picture</v>
      </c>
    </row>
    <row r="6965">
      <c r="A6965" s="55"/>
      <c r="B6965" s="119" t="s">
        <v>39103</v>
      </c>
      <c r="C6965" s="120" t="s">
        <v>4732</v>
      </c>
      <c r="D6965" s="33" t="s">
        <v>39087</v>
      </c>
      <c r="E6965" s="51" t="s">
        <v>1488</v>
      </c>
      <c r="F6965" s="121" t="s">
        <v>3009</v>
      </c>
      <c r="G6965" s="98" t="str">
        <f>HYPERLINK("http://mirror.ff7data.com.ar/ff7/data/battle/battle.lgp/mdbd.png","View Picture")</f>
        <v>View Picture</v>
      </c>
    </row>
    <row r="6966">
      <c r="A6966" s="55"/>
      <c r="B6966" s="119" t="s">
        <v>39104</v>
      </c>
      <c r="C6966" s="120" t="s">
        <v>4732</v>
      </c>
      <c r="D6966" s="33" t="s">
        <v>39087</v>
      </c>
      <c r="E6966" s="51" t="s">
        <v>1488</v>
      </c>
      <c r="F6966" s="121" t="s">
        <v>3009</v>
      </c>
      <c r="G6966" s="98" t="str">
        <f>HYPERLINK("http://mirror.ff7data.com.ar/ff7/data/battle/battle.lgp/mdbe.png","View Picture")</f>
        <v>View Picture</v>
      </c>
    </row>
    <row r="6967">
      <c r="A6967" s="55"/>
      <c r="B6967" s="119" t="s">
        <v>39105</v>
      </c>
      <c r="C6967" s="120" t="s">
        <v>4732</v>
      </c>
      <c r="D6967" s="33" t="s">
        <v>39087</v>
      </c>
      <c r="E6967" s="51" t="s">
        <v>1488</v>
      </c>
      <c r="F6967" s="121" t="s">
        <v>3009</v>
      </c>
      <c r="G6967" s="98" t="str">
        <f>HYPERLINK("http://mirror.ff7data.com.ar/ff7/data/battle/battle.lgp/mdbf.png","View Picture")</f>
        <v>View Picture</v>
      </c>
    </row>
    <row r="6968">
      <c r="A6968" s="55"/>
      <c r="B6968" s="119" t="s">
        <v>39106</v>
      </c>
      <c r="C6968" s="120" t="s">
        <v>4476</v>
      </c>
      <c r="D6968" s="33" t="s">
        <v>39087</v>
      </c>
      <c r="E6968" s="51" t="s">
        <v>1488</v>
      </c>
      <c r="F6968" s="121" t="s">
        <v>3009</v>
      </c>
      <c r="G6968" s="98" t="str">
        <f>HYPERLINK("http://mirror.ff7data.com.ar/ff7/data/battle/battle.lgp/mdbh.png","View Picture")</f>
        <v>View Picture</v>
      </c>
    </row>
    <row r="6969">
      <c r="A6969" s="55"/>
      <c r="B6969" s="119" t="s">
        <v>39107</v>
      </c>
      <c r="C6969" s="120" t="s">
        <v>4476</v>
      </c>
      <c r="D6969" s="33" t="s">
        <v>39087</v>
      </c>
      <c r="E6969" s="51" t="s">
        <v>1488</v>
      </c>
      <c r="F6969" s="121" t="s">
        <v>3009</v>
      </c>
      <c r="G6969" s="98" t="str">
        <f>HYPERLINK("http://mirror.ff7data.com.ar/ff7/data/battle/battle.lgp/mdbi.png","View Picture")</f>
        <v>View Picture</v>
      </c>
    </row>
    <row r="6970">
      <c r="A6970" s="55"/>
      <c r="B6970" s="119" t="s">
        <v>39108</v>
      </c>
      <c r="C6970" s="120" t="s">
        <v>4732</v>
      </c>
      <c r="D6970" s="33" t="s">
        <v>39087</v>
      </c>
      <c r="E6970" s="51" t="s">
        <v>1488</v>
      </c>
      <c r="F6970" s="121" t="s">
        <v>3009</v>
      </c>
      <c r="G6970" s="98" t="str">
        <f>HYPERLINK("http://mirror.ff7data.com.ar/ff7/data/battle/battle.lgp/mdbj.png","View Picture")</f>
        <v>View Picture</v>
      </c>
    </row>
    <row r="6971">
      <c r="A6971" s="55"/>
      <c r="B6971" s="119" t="s">
        <v>39109</v>
      </c>
      <c r="C6971" s="120" t="s">
        <v>4396</v>
      </c>
      <c r="D6971" s="33" t="s">
        <v>39087</v>
      </c>
      <c r="E6971" s="51" t="s">
        <v>1488</v>
      </c>
      <c r="F6971" s="121" t="s">
        <v>3009</v>
      </c>
      <c r="G6971" s="98" t="str">
        <f>HYPERLINK("http://mirror.ff7data.com.ar/ff7/data/battle/battle.lgp/mdbl.png","View Picture")</f>
        <v>View Picture</v>
      </c>
    </row>
    <row r="6972">
      <c r="A6972" s="55"/>
      <c r="B6972" s="119" t="s">
        <v>39110</v>
      </c>
      <c r="C6972" s="120" t="s">
        <v>4476</v>
      </c>
      <c r="D6972" s="33" t="s">
        <v>39087</v>
      </c>
      <c r="E6972" s="51" t="s">
        <v>1488</v>
      </c>
      <c r="F6972" s="121" t="s">
        <v>3009</v>
      </c>
      <c r="G6972" s="98" t="str">
        <f>HYPERLINK("http://mirror.ff7data.com.ar/ff7/data/battle/battle.lgp/mdbn.png","View Picture")</f>
        <v>View Picture</v>
      </c>
    </row>
    <row r="6973">
      <c r="A6973" s="55"/>
      <c r="B6973" s="119" t="s">
        <v>39111</v>
      </c>
      <c r="C6973" s="120" t="s">
        <v>4476</v>
      </c>
      <c r="D6973" s="33" t="s">
        <v>39087</v>
      </c>
      <c r="E6973" s="51" t="s">
        <v>1488</v>
      </c>
      <c r="F6973" s="121" t="s">
        <v>3009</v>
      </c>
      <c r="G6973" s="98" t="str">
        <f>HYPERLINK("http://mirror.ff7data.com.ar/ff7/data/battle/battle.lgp/mdbo.png","View Picture")</f>
        <v>View Picture</v>
      </c>
    </row>
    <row r="6974">
      <c r="A6974" s="55"/>
      <c r="B6974" s="119" t="s">
        <v>39112</v>
      </c>
      <c r="C6974" s="120" t="s">
        <v>4732</v>
      </c>
      <c r="D6974" s="33" t="s">
        <v>39087</v>
      </c>
      <c r="E6974" s="51" t="s">
        <v>1488</v>
      </c>
      <c r="F6974" s="121" t="s">
        <v>3009</v>
      </c>
      <c r="G6974" s="98" t="str">
        <f>HYPERLINK("http://mirror.ff7data.com.ar/ff7/data/battle/battle.lgp/mdbp.png","View Picture")</f>
        <v>View Picture</v>
      </c>
    </row>
    <row r="6975">
      <c r="A6975" s="55"/>
      <c r="B6975" s="119" t="s">
        <v>39113</v>
      </c>
      <c r="C6975" s="120" t="s">
        <v>4396</v>
      </c>
      <c r="D6975" s="33" t="s">
        <v>39087</v>
      </c>
      <c r="E6975" s="51" t="s">
        <v>1488</v>
      </c>
      <c r="F6975" s="121" t="s">
        <v>3009</v>
      </c>
      <c r="G6975" s="98" t="str">
        <f>HYPERLINK("http://mirror.ff7data.com.ar/ff7/data/battle/battle.lgp/mdbr.png","View Picture")</f>
        <v>View Picture</v>
      </c>
    </row>
    <row r="6976">
      <c r="A6976" s="55"/>
      <c r="B6976" s="119" t="s">
        <v>39114</v>
      </c>
      <c r="C6976" s="120" t="s">
        <v>3434</v>
      </c>
      <c r="D6976" s="33" t="s">
        <v>39087</v>
      </c>
      <c r="E6976" s="51" t="s">
        <v>1488</v>
      </c>
      <c r="F6976" s="121" t="s">
        <v>3009</v>
      </c>
      <c r="G6976" s="98" t="str">
        <f>HYPERLINK("http://mirror.ff7data.com.ar/ff7/data/battle/battle.lgp/mdbt.png","View Picture")</f>
        <v>View Picture</v>
      </c>
    </row>
    <row r="6977">
      <c r="A6977" s="55"/>
      <c r="B6977" s="119" t="s">
        <v>39115</v>
      </c>
      <c r="C6977" s="120" t="s">
        <v>3614</v>
      </c>
      <c r="D6977" s="33" t="s">
        <v>39087</v>
      </c>
      <c r="E6977" s="51" t="s">
        <v>1488</v>
      </c>
      <c r="F6977" s="121" t="s">
        <v>3009</v>
      </c>
      <c r="G6977" s="98" t="str">
        <f>HYPERLINK("http://mirror.ff7data.com.ar/ff7/data/battle/battle.lgp/mdbu.png","View Picture")</f>
        <v>View Picture</v>
      </c>
    </row>
    <row r="6978">
      <c r="A6978" s="55"/>
      <c r="B6978" s="119" t="s">
        <v>39116</v>
      </c>
      <c r="C6978" s="120" t="s">
        <v>10078</v>
      </c>
      <c r="D6978" s="33" t="s">
        <v>39087</v>
      </c>
      <c r="E6978" s="51" t="s">
        <v>1488</v>
      </c>
      <c r="F6978" s="121" t="s">
        <v>3009</v>
      </c>
      <c r="G6978" s="98" t="str">
        <f>HYPERLINK("http://mirror.ff7data.com.ar/ff7/data/battle/battle.lgp/mdbv.png","View Picture")</f>
        <v>View Picture</v>
      </c>
    </row>
    <row r="6979">
      <c r="A6979" s="55"/>
      <c r="B6979" s="119" t="s">
        <v>39117</v>
      </c>
      <c r="C6979" s="120" t="s">
        <v>10078</v>
      </c>
      <c r="D6979" s="33" t="s">
        <v>39087</v>
      </c>
      <c r="E6979" s="51" t="s">
        <v>1488</v>
      </c>
      <c r="F6979" s="121" t="s">
        <v>3009</v>
      </c>
      <c r="G6979" s="98" t="str">
        <f>HYPERLINK("http://mirror.ff7data.com.ar/ff7/data/battle/battle.lgp/mdbw.png","View Picture")</f>
        <v>View Picture</v>
      </c>
    </row>
    <row r="6980">
      <c r="A6980" s="55"/>
      <c r="B6980" s="119" t="s">
        <v>39118</v>
      </c>
      <c r="C6980" s="120" t="s">
        <v>7871</v>
      </c>
      <c r="D6980" s="33" t="s">
        <v>39087</v>
      </c>
      <c r="E6980" s="51" t="s">
        <v>1488</v>
      </c>
      <c r="F6980" s="121" t="s">
        <v>3009</v>
      </c>
      <c r="G6980" s="98" t="str">
        <f>HYPERLINK("http://mirror.ff7data.com.ar/ff7/data/battle/battle.lgp/mdbx.png","View Picture")</f>
        <v>View Picture</v>
      </c>
    </row>
    <row r="6981">
      <c r="A6981" s="55"/>
      <c r="B6981" s="119" t="s">
        <v>39119</v>
      </c>
      <c r="C6981" s="120" t="s">
        <v>7301</v>
      </c>
      <c r="D6981" s="33" t="s">
        <v>39087</v>
      </c>
      <c r="E6981" s="51" t="s">
        <v>1488</v>
      </c>
      <c r="F6981" s="121" t="s">
        <v>3009</v>
      </c>
      <c r="G6981" s="98" t="str">
        <f>HYPERLINK("http://mirror.ff7data.com.ar/ff7/data/battle/battle.lgp/mdbz.png","View Picture")</f>
        <v>View Picture</v>
      </c>
    </row>
    <row r="6982">
      <c r="A6982" s="55"/>
      <c r="B6982" s="119" t="s">
        <v>39120</v>
      </c>
      <c r="C6982" s="120" t="s">
        <v>3842</v>
      </c>
      <c r="D6982" s="33" t="s">
        <v>39087</v>
      </c>
      <c r="E6982" s="51" t="s">
        <v>1488</v>
      </c>
      <c r="F6982" s="121" t="s">
        <v>3009</v>
      </c>
      <c r="G6982" s="98" t="str">
        <f>HYPERLINK("http://mirror.ff7data.com.ar/ff7/data/battle/battle.lgp/mdca.png","View Picture")</f>
        <v>View Picture</v>
      </c>
    </row>
    <row r="6983">
      <c r="A6983" s="55"/>
      <c r="B6983" s="119" t="s">
        <v>39121</v>
      </c>
      <c r="C6983" s="120" t="s">
        <v>9600</v>
      </c>
      <c r="D6983" s="33" t="s">
        <v>39087</v>
      </c>
      <c r="E6983" s="51" t="s">
        <v>1488</v>
      </c>
      <c r="F6983" s="121" t="s">
        <v>3009</v>
      </c>
      <c r="G6983" s="98" t="str">
        <f>HYPERLINK("http://mirror.ff7data.com.ar/ff7/data/battle/battle.lgp/mdcb.png","View Picture")</f>
        <v>View Picture</v>
      </c>
    </row>
    <row r="6984">
      <c r="A6984" s="55"/>
      <c r="B6984" s="119" t="s">
        <v>39122</v>
      </c>
      <c r="C6984" s="120" t="s">
        <v>4252</v>
      </c>
      <c r="D6984" s="33" t="s">
        <v>39087</v>
      </c>
      <c r="E6984" s="51" t="s">
        <v>1488</v>
      </c>
      <c r="F6984" s="121" t="s">
        <v>3009</v>
      </c>
      <c r="G6984" s="98" t="str">
        <f>HYPERLINK("http://mirror.ff7data.com.ar/ff7/data/battle/battle.lgp/mdcc.png","View Picture")</f>
        <v>View Picture</v>
      </c>
    </row>
    <row r="6985">
      <c r="A6985" s="55"/>
      <c r="B6985" s="119" t="s">
        <v>39123</v>
      </c>
      <c r="C6985" s="120" t="s">
        <v>3412</v>
      </c>
      <c r="D6985" s="33" t="s">
        <v>39087</v>
      </c>
      <c r="E6985" s="51" t="s">
        <v>1488</v>
      </c>
      <c r="F6985" s="121" t="s">
        <v>3009</v>
      </c>
      <c r="G6985" s="98" t="str">
        <f>HYPERLINK("http://mirror.ff7data.com.ar/ff7/data/battle/battle.lgp/mdce.png","View Picture")</f>
        <v>View Picture</v>
      </c>
    </row>
    <row r="6986">
      <c r="A6986" s="55"/>
      <c r="B6986" s="119" t="s">
        <v>39124</v>
      </c>
      <c r="C6986" s="120" t="s">
        <v>3842</v>
      </c>
      <c r="D6986" s="33" t="s">
        <v>39087</v>
      </c>
      <c r="E6986" s="51" t="s">
        <v>1488</v>
      </c>
      <c r="F6986" s="121" t="s">
        <v>3009</v>
      </c>
      <c r="G6986" s="98" t="str">
        <f>HYPERLINK("http://mirror.ff7data.com.ar/ff7/data/battle/battle.lgp/mdcf.png","View Picture")</f>
        <v>View Picture</v>
      </c>
    </row>
    <row r="6987">
      <c r="A6987" s="55"/>
      <c r="B6987" s="119" t="s">
        <v>39125</v>
      </c>
      <c r="C6987" s="120" t="s">
        <v>9600</v>
      </c>
      <c r="D6987" s="33" t="s">
        <v>39087</v>
      </c>
      <c r="E6987" s="51" t="s">
        <v>1488</v>
      </c>
      <c r="F6987" s="121" t="s">
        <v>3009</v>
      </c>
      <c r="G6987" s="98" t="str">
        <f>HYPERLINK("http://mirror.ff7data.com.ar/ff7/data/battle/battle.lgp/mdcg.png","View Picture")</f>
        <v>View Picture</v>
      </c>
    </row>
    <row r="6988">
      <c r="A6988" s="55"/>
      <c r="B6988" s="119" t="s">
        <v>39126</v>
      </c>
      <c r="C6988" s="120" t="s">
        <v>4252</v>
      </c>
      <c r="D6988" s="33" t="s">
        <v>39087</v>
      </c>
      <c r="E6988" s="51" t="s">
        <v>1488</v>
      </c>
      <c r="F6988" s="121" t="s">
        <v>3009</v>
      </c>
      <c r="G6988" s="98" t="str">
        <f>HYPERLINK("http://mirror.ff7data.com.ar/ff7/data/battle/battle.lgp/mdch.png","View Picture")</f>
        <v>View Picture</v>
      </c>
    </row>
    <row r="6989">
      <c r="A6989" s="55"/>
      <c r="B6989" s="119" t="s">
        <v>39127</v>
      </c>
      <c r="C6989" s="120" t="s">
        <v>7762</v>
      </c>
      <c r="D6989" s="33" t="s">
        <v>39087</v>
      </c>
      <c r="E6989" s="51" t="s">
        <v>1488</v>
      </c>
      <c r="F6989" s="121" t="s">
        <v>3025</v>
      </c>
      <c r="H6989" s="46" t="s">
        <v>3002</v>
      </c>
    </row>
    <row r="6990">
      <c r="A6990" s="21"/>
      <c r="B6990" s="119" t="s">
        <v>39128</v>
      </c>
      <c r="C6990" s="120" t="s">
        <v>4196</v>
      </c>
      <c r="D6990" s="33" t="s">
        <v>39129</v>
      </c>
      <c r="E6990" s="51" t="s">
        <v>1492</v>
      </c>
      <c r="F6990" s="121" t="s">
        <v>2971</v>
      </c>
      <c r="G6990" s="98" t="str">
        <f>HYPERLINK("http://mirror.ff7data.com.ar/ff7/data/battle/battle.lgp/meaa.png","View Picture")</f>
        <v>View Picture</v>
      </c>
      <c r="H6990" s="46" t="s">
        <v>39130</v>
      </c>
    </row>
    <row r="6991">
      <c r="A6991" s="55"/>
      <c r="B6991" s="119" t="s">
        <v>39131</v>
      </c>
      <c r="C6991" s="120" t="s">
        <v>4926</v>
      </c>
      <c r="D6991" s="33" t="s">
        <v>39132</v>
      </c>
      <c r="E6991" s="51" t="s">
        <v>1492</v>
      </c>
      <c r="F6991" s="121" t="s">
        <v>2993</v>
      </c>
      <c r="H6991" s="46" t="s">
        <v>3002</v>
      </c>
    </row>
    <row r="6992">
      <c r="A6992" s="55"/>
      <c r="B6992" s="119" t="s">
        <v>39133</v>
      </c>
      <c r="C6992" s="120" t="s">
        <v>3552</v>
      </c>
      <c r="D6992" s="33" t="s">
        <v>39132</v>
      </c>
      <c r="E6992" s="51" t="s">
        <v>1492</v>
      </c>
      <c r="F6992" s="121" t="s">
        <v>1348</v>
      </c>
      <c r="G6992" s="98" t="str">
        <f>HYPERLINK("http://mirror.ff7data.com.ar/ff7/data/battle/battle.lgp/meac.png","View Picture")</f>
        <v>View Picture</v>
      </c>
    </row>
    <row r="6993">
      <c r="A6993" s="55"/>
      <c r="B6993" s="119" t="s">
        <v>39134</v>
      </c>
      <c r="C6993" s="120" t="s">
        <v>4191</v>
      </c>
      <c r="D6993" s="33" t="s">
        <v>39132</v>
      </c>
      <c r="E6993" s="51" t="s">
        <v>1492</v>
      </c>
      <c r="F6993" s="121" t="s">
        <v>1348</v>
      </c>
      <c r="G6993" s="98" t="str">
        <f>HYPERLINK("http://mirror.ff7data.com.ar/ff7/data/battle/battle.lgp/mead.png","View Picture")</f>
        <v>View Picture</v>
      </c>
    </row>
    <row r="6994">
      <c r="A6994" s="55"/>
      <c r="B6994" s="119" t="s">
        <v>39135</v>
      </c>
      <c r="C6994" s="120" t="s">
        <v>4732</v>
      </c>
      <c r="D6994" s="33" t="s">
        <v>39132</v>
      </c>
      <c r="E6994" s="51" t="s">
        <v>1492</v>
      </c>
      <c r="F6994" s="121" t="s">
        <v>1348</v>
      </c>
      <c r="G6994" s="98" t="str">
        <f>HYPERLINK("http://mirror.ff7data.com.ar/ff7/data/battle/battle.lgp/meae.png","View Picture")</f>
        <v>View Picture</v>
      </c>
    </row>
    <row r="6995">
      <c r="A6995" s="55"/>
      <c r="B6995" s="119" t="s">
        <v>39136</v>
      </c>
      <c r="C6995" s="120" t="s">
        <v>5203</v>
      </c>
      <c r="D6995" s="33" t="s">
        <v>39132</v>
      </c>
      <c r="E6995" s="51" t="s">
        <v>1492</v>
      </c>
      <c r="F6995" s="121" t="s">
        <v>3009</v>
      </c>
      <c r="G6995" s="98" t="str">
        <f>HYPERLINK("http://mirror.ff7data.com.ar/ff7/data/battle/battle.lgp/meam.png","View Picture")</f>
        <v>View Picture</v>
      </c>
    </row>
    <row r="6996">
      <c r="A6996" s="55"/>
      <c r="B6996" s="119" t="s">
        <v>39137</v>
      </c>
      <c r="C6996" s="120" t="s">
        <v>5925</v>
      </c>
      <c r="D6996" s="33" t="s">
        <v>39132</v>
      </c>
      <c r="E6996" s="51" t="s">
        <v>1492</v>
      </c>
      <c r="F6996" s="121" t="s">
        <v>3009</v>
      </c>
      <c r="G6996" s="98" t="str">
        <f>HYPERLINK("http://mirror.ff7data.com.ar/ff7/data/battle/battle.lgp/mean.png","View Picture")</f>
        <v>View Picture</v>
      </c>
    </row>
    <row r="6997">
      <c r="A6997" s="55"/>
      <c r="B6997" s="119" t="s">
        <v>39138</v>
      </c>
      <c r="C6997" s="120" t="s">
        <v>3399</v>
      </c>
      <c r="D6997" s="33" t="s">
        <v>39132</v>
      </c>
      <c r="E6997" s="51" t="s">
        <v>1492</v>
      </c>
      <c r="F6997" s="121" t="s">
        <v>3009</v>
      </c>
      <c r="G6997" s="98" t="str">
        <f>HYPERLINK("http://mirror.ff7data.com.ar/ff7/data/battle/battle.lgp/meao.png","View Picture")</f>
        <v>View Picture</v>
      </c>
    </row>
    <row r="6998">
      <c r="A6998" s="55"/>
      <c r="B6998" s="119" t="s">
        <v>39139</v>
      </c>
      <c r="C6998" s="120" t="s">
        <v>3481</v>
      </c>
      <c r="D6998" s="33" t="s">
        <v>39132</v>
      </c>
      <c r="E6998" s="51" t="s">
        <v>1492</v>
      </c>
      <c r="F6998" s="121" t="s">
        <v>3009</v>
      </c>
      <c r="G6998" s="98" t="str">
        <f>HYPERLINK("http://mirror.ff7data.com.ar/ff7/data/battle/battle.lgp/mear.png","View Picture")</f>
        <v>View Picture</v>
      </c>
    </row>
    <row r="6999">
      <c r="A6999" s="55"/>
      <c r="B6999" s="119" t="s">
        <v>39140</v>
      </c>
      <c r="C6999" s="120" t="s">
        <v>3505</v>
      </c>
      <c r="D6999" s="33" t="s">
        <v>39132</v>
      </c>
      <c r="E6999" s="51" t="s">
        <v>1492</v>
      </c>
      <c r="F6999" s="121" t="s">
        <v>3009</v>
      </c>
      <c r="G6999" s="98" t="str">
        <f>HYPERLINK("http://mirror.ff7data.com.ar/ff7/data/battle/battle.lgp/meas.png","View Picture")</f>
        <v>View Picture</v>
      </c>
    </row>
    <row r="7000">
      <c r="A7000" s="55"/>
      <c r="B7000" s="119" t="s">
        <v>39141</v>
      </c>
      <c r="C7000" s="120" t="s">
        <v>3614</v>
      </c>
      <c r="D7000" s="33" t="s">
        <v>39132</v>
      </c>
      <c r="E7000" s="51" t="s">
        <v>1492</v>
      </c>
      <c r="F7000" s="121" t="s">
        <v>3009</v>
      </c>
      <c r="G7000" s="98" t="str">
        <f>HYPERLINK("http://mirror.ff7data.com.ar/ff7/data/battle/battle.lgp/meat.png","View Picture")</f>
        <v>View Picture</v>
      </c>
    </row>
    <row r="7001">
      <c r="A7001" s="55"/>
      <c r="B7001" s="119" t="s">
        <v>39142</v>
      </c>
      <c r="C7001" s="120" t="s">
        <v>4732</v>
      </c>
      <c r="D7001" s="33" t="s">
        <v>39132</v>
      </c>
      <c r="E7001" s="51" t="s">
        <v>1492</v>
      </c>
      <c r="F7001" s="121" t="s">
        <v>3009</v>
      </c>
      <c r="G7001" s="98" t="str">
        <f>HYPERLINK("http://mirror.ff7data.com.ar/ff7/data/battle/battle.lgp/meav.png","View Picture")</f>
        <v>View Picture</v>
      </c>
    </row>
    <row r="7002">
      <c r="A7002" s="55"/>
      <c r="B7002" s="119" t="s">
        <v>39143</v>
      </c>
      <c r="C7002" s="120" t="s">
        <v>3519</v>
      </c>
      <c r="D7002" s="33" t="s">
        <v>39132</v>
      </c>
      <c r="E7002" s="51" t="s">
        <v>1492</v>
      </c>
      <c r="F7002" s="121" t="s">
        <v>3009</v>
      </c>
      <c r="G7002" s="98" t="str">
        <f>HYPERLINK("http://mirror.ff7data.com.ar/ff7/data/battle/battle.lgp/meay.png","View Picture")</f>
        <v>View Picture</v>
      </c>
    </row>
    <row r="7003">
      <c r="A7003" s="55"/>
      <c r="B7003" s="119" t="s">
        <v>39144</v>
      </c>
      <c r="C7003" s="120" t="s">
        <v>13957</v>
      </c>
      <c r="D7003" s="33" t="s">
        <v>39132</v>
      </c>
      <c r="E7003" s="51" t="s">
        <v>1492</v>
      </c>
      <c r="F7003" s="121" t="s">
        <v>3009</v>
      </c>
      <c r="G7003" s="98" t="str">
        <f>HYPERLINK("http://mirror.ff7data.com.ar/ff7/data/battle/battle.lgp/meaz.png","View Picture")</f>
        <v>View Picture</v>
      </c>
    </row>
    <row r="7004">
      <c r="A7004" s="55"/>
      <c r="B7004" s="119" t="s">
        <v>39145</v>
      </c>
      <c r="C7004" s="120" t="s">
        <v>3614</v>
      </c>
      <c r="D7004" s="33" t="s">
        <v>39132</v>
      </c>
      <c r="E7004" s="51" t="s">
        <v>1492</v>
      </c>
      <c r="F7004" s="121" t="s">
        <v>3009</v>
      </c>
      <c r="G7004" s="98" t="str">
        <f>HYPERLINK("http://mirror.ff7data.com.ar/ff7/data/battle/battle.lgp/meba.png","View Picture")</f>
        <v>View Picture</v>
      </c>
    </row>
    <row r="7005">
      <c r="A7005" s="55"/>
      <c r="B7005" s="119" t="s">
        <v>39146</v>
      </c>
      <c r="C7005" s="120" t="s">
        <v>4732</v>
      </c>
      <c r="D7005" s="33" t="s">
        <v>39132</v>
      </c>
      <c r="E7005" s="51" t="s">
        <v>1492</v>
      </c>
      <c r="F7005" s="121" t="s">
        <v>3009</v>
      </c>
      <c r="G7005" s="98" t="str">
        <f>HYPERLINK("http://mirror.ff7data.com.ar/ff7/data/battle/battle.lgp/mebc.png","View Picture")</f>
        <v>View Picture</v>
      </c>
    </row>
    <row r="7006">
      <c r="A7006" s="55"/>
      <c r="B7006" s="119" t="s">
        <v>39147</v>
      </c>
      <c r="C7006" s="120" t="s">
        <v>5203</v>
      </c>
      <c r="D7006" s="33" t="s">
        <v>39132</v>
      </c>
      <c r="E7006" s="51" t="s">
        <v>1492</v>
      </c>
      <c r="F7006" s="121" t="s">
        <v>3009</v>
      </c>
      <c r="G7006" s="98" t="str">
        <f>HYPERLINK("http://mirror.ff7data.com.ar/ff7/data/battle/battle.lgp/mebe.png","View Picture")</f>
        <v>View Picture</v>
      </c>
    </row>
    <row r="7007">
      <c r="A7007" s="55"/>
      <c r="B7007" s="119" t="s">
        <v>39148</v>
      </c>
      <c r="C7007" s="120" t="s">
        <v>10955</v>
      </c>
      <c r="D7007" s="33" t="s">
        <v>39132</v>
      </c>
      <c r="E7007" s="51" t="s">
        <v>1492</v>
      </c>
      <c r="F7007" s="121" t="s">
        <v>3009</v>
      </c>
      <c r="G7007" s="98" t="str">
        <f>HYPERLINK("http://mirror.ff7data.com.ar/ff7/data/battle/battle.lgp/mebf.png","View Picture")</f>
        <v>View Picture</v>
      </c>
    </row>
    <row r="7008">
      <c r="A7008" s="55"/>
      <c r="B7008" s="119" t="s">
        <v>39149</v>
      </c>
      <c r="C7008" s="120" t="s">
        <v>4185</v>
      </c>
      <c r="D7008" s="33" t="s">
        <v>39132</v>
      </c>
      <c r="E7008" s="51" t="s">
        <v>1492</v>
      </c>
      <c r="F7008" s="121" t="s">
        <v>3009</v>
      </c>
      <c r="G7008" s="98" t="str">
        <f>HYPERLINK("http://mirror.ff7data.com.ar/ff7/data/battle/battle.lgp/mebh.png","View Picture")</f>
        <v>View Picture</v>
      </c>
    </row>
    <row r="7009">
      <c r="A7009" s="55"/>
      <c r="B7009" s="119" t="s">
        <v>39150</v>
      </c>
      <c r="C7009" s="120" t="s">
        <v>4185</v>
      </c>
      <c r="D7009" s="33" t="s">
        <v>39132</v>
      </c>
      <c r="E7009" s="51" t="s">
        <v>1492</v>
      </c>
      <c r="F7009" s="121" t="s">
        <v>3009</v>
      </c>
      <c r="G7009" s="98" t="str">
        <f>HYPERLINK("http://mirror.ff7data.com.ar/ff7/data/battle/battle.lgp/mebi.png","View Picture")</f>
        <v>View Picture</v>
      </c>
    </row>
    <row r="7010">
      <c r="A7010" s="55"/>
      <c r="B7010" s="119" t="s">
        <v>39151</v>
      </c>
      <c r="C7010" s="120" t="s">
        <v>4185</v>
      </c>
      <c r="D7010" s="33" t="s">
        <v>39132</v>
      </c>
      <c r="E7010" s="51" t="s">
        <v>1492</v>
      </c>
      <c r="F7010" s="121" t="s">
        <v>3009</v>
      </c>
      <c r="G7010" s="98" t="str">
        <f>HYPERLINK("http://mirror.ff7data.com.ar/ff7/data/battle/battle.lgp/mebj.png","View Picture")</f>
        <v>View Picture</v>
      </c>
    </row>
    <row r="7011">
      <c r="A7011" s="55"/>
      <c r="B7011" s="119" t="s">
        <v>39152</v>
      </c>
      <c r="C7011" s="120" t="s">
        <v>5203</v>
      </c>
      <c r="D7011" s="33" t="s">
        <v>39132</v>
      </c>
      <c r="E7011" s="51" t="s">
        <v>1492</v>
      </c>
      <c r="F7011" s="121" t="s">
        <v>3009</v>
      </c>
      <c r="G7011" s="98" t="str">
        <f>HYPERLINK("http://mirror.ff7data.com.ar/ff7/data/battle/battle.lgp/mebl.png","View Picture")</f>
        <v>View Picture</v>
      </c>
    </row>
    <row r="7012">
      <c r="A7012" s="55"/>
      <c r="B7012" s="119" t="s">
        <v>39153</v>
      </c>
      <c r="C7012" s="120" t="s">
        <v>10955</v>
      </c>
      <c r="D7012" s="33" t="s">
        <v>39132</v>
      </c>
      <c r="E7012" s="51" t="s">
        <v>1492</v>
      </c>
      <c r="F7012" s="121" t="s">
        <v>3009</v>
      </c>
      <c r="G7012" s="98" t="str">
        <f>HYPERLINK("http://mirror.ff7data.com.ar/ff7/data/battle/battle.lgp/mebm.png","View Picture")</f>
        <v>View Picture</v>
      </c>
    </row>
    <row r="7013">
      <c r="A7013" s="55"/>
      <c r="B7013" s="119" t="s">
        <v>39154</v>
      </c>
      <c r="C7013" s="120" t="s">
        <v>6018</v>
      </c>
      <c r="D7013" s="33" t="s">
        <v>39132</v>
      </c>
      <c r="E7013" s="51" t="s">
        <v>1492</v>
      </c>
      <c r="F7013" s="121" t="s">
        <v>3025</v>
      </c>
      <c r="H7013" s="46" t="s">
        <v>3002</v>
      </c>
    </row>
    <row r="7014">
      <c r="A7014" s="21"/>
      <c r="B7014" s="119" t="s">
        <v>39155</v>
      </c>
      <c r="C7014" s="120" t="s">
        <v>4209</v>
      </c>
      <c r="D7014" s="33" t="s">
        <v>39156</v>
      </c>
      <c r="E7014" s="51" t="s">
        <v>1498</v>
      </c>
      <c r="F7014" s="121" t="s">
        <v>2971</v>
      </c>
      <c r="G7014" s="98" t="str">
        <f>HYPERLINK("http://mirror.ff7data.com.ar/ff7/data/battle/battle.lgp/mfaa.png","View Picture")</f>
        <v>View Picture</v>
      </c>
      <c r="H7014" s="46" t="s">
        <v>39157</v>
      </c>
    </row>
    <row r="7015">
      <c r="A7015" s="55"/>
      <c r="B7015" s="119" t="s">
        <v>39158</v>
      </c>
      <c r="C7015" s="120" t="s">
        <v>4109</v>
      </c>
      <c r="D7015" s="33" t="s">
        <v>39159</v>
      </c>
      <c r="E7015" s="51" t="s">
        <v>1498</v>
      </c>
      <c r="F7015" s="121" t="s">
        <v>2993</v>
      </c>
      <c r="H7015" s="46" t="s">
        <v>3002</v>
      </c>
    </row>
    <row r="7016">
      <c r="A7016" s="55"/>
      <c r="B7016" s="119" t="s">
        <v>39160</v>
      </c>
      <c r="C7016" s="120" t="s">
        <v>4841</v>
      </c>
      <c r="D7016" s="33" t="s">
        <v>39159</v>
      </c>
      <c r="E7016" s="51" t="s">
        <v>1498</v>
      </c>
      <c r="F7016" s="121" t="s">
        <v>3009</v>
      </c>
      <c r="G7016" s="98" t="str">
        <f>HYPERLINK("http://mirror.ff7data.com.ar/ff7/data/battle/battle.lgp/mfam.png","View Picture")</f>
        <v>View Picture</v>
      </c>
    </row>
    <row r="7017">
      <c r="A7017" s="55"/>
      <c r="B7017" s="119" t="s">
        <v>39161</v>
      </c>
      <c r="C7017" s="120" t="s">
        <v>14502</v>
      </c>
      <c r="D7017" s="33" t="s">
        <v>39159</v>
      </c>
      <c r="E7017" s="51" t="s">
        <v>1498</v>
      </c>
      <c r="F7017" s="121" t="s">
        <v>3009</v>
      </c>
      <c r="G7017" s="98" t="str">
        <f>HYPERLINK("http://mirror.ff7data.com.ar/ff7/data/battle/battle.lgp/mfan.png","View Picture")</f>
        <v>View Picture</v>
      </c>
    </row>
    <row r="7018">
      <c r="A7018" s="55"/>
      <c r="B7018" s="119" t="s">
        <v>39162</v>
      </c>
      <c r="C7018" s="120" t="s">
        <v>5891</v>
      </c>
      <c r="D7018" s="33" t="s">
        <v>39159</v>
      </c>
      <c r="E7018" s="51" t="s">
        <v>1498</v>
      </c>
      <c r="F7018" s="121" t="s">
        <v>3009</v>
      </c>
      <c r="G7018" s="98" t="str">
        <f>HYPERLINK("http://mirror.ff7data.com.ar/ff7/data/battle/battle.lgp/mfap.png","View Picture")</f>
        <v>View Picture</v>
      </c>
    </row>
    <row r="7019">
      <c r="A7019" s="55"/>
      <c r="B7019" s="119" t="s">
        <v>39163</v>
      </c>
      <c r="C7019" s="120" t="s">
        <v>4476</v>
      </c>
      <c r="D7019" s="33" t="s">
        <v>39159</v>
      </c>
      <c r="E7019" s="51" t="s">
        <v>1498</v>
      </c>
      <c r="F7019" s="121" t="s">
        <v>3009</v>
      </c>
      <c r="G7019" s="98" t="str">
        <f>HYPERLINK("http://mirror.ff7data.com.ar/ff7/data/battle/battle.lgp/mfas.png","View Picture")</f>
        <v>View Picture</v>
      </c>
    </row>
    <row r="7020">
      <c r="A7020" s="55"/>
      <c r="B7020" s="119" t="s">
        <v>39164</v>
      </c>
      <c r="C7020" s="120" t="s">
        <v>7301</v>
      </c>
      <c r="D7020" s="33" t="s">
        <v>39159</v>
      </c>
      <c r="E7020" s="51" t="s">
        <v>1498</v>
      </c>
      <c r="F7020" s="121" t="s">
        <v>3009</v>
      </c>
      <c r="G7020" s="98" t="str">
        <f>HYPERLINK("http://mirror.ff7data.com.ar/ff7/data/battle/battle.lgp/mfat.png","View Picture")</f>
        <v>View Picture</v>
      </c>
    </row>
    <row r="7021">
      <c r="A7021" s="55"/>
      <c r="B7021" s="119" t="s">
        <v>39165</v>
      </c>
      <c r="C7021" s="120" t="s">
        <v>6029</v>
      </c>
      <c r="D7021" s="33" t="s">
        <v>39159</v>
      </c>
      <c r="E7021" s="51" t="s">
        <v>1498</v>
      </c>
      <c r="F7021" s="121" t="s">
        <v>3009</v>
      </c>
      <c r="G7021" s="98" t="str">
        <f>HYPERLINK("http://mirror.ff7data.com.ar/ff7/data/battle/battle.lgp/mfau.png","View Picture")</f>
        <v>View Picture</v>
      </c>
    </row>
    <row r="7022">
      <c r="A7022" s="55"/>
      <c r="B7022" s="119" t="s">
        <v>39166</v>
      </c>
      <c r="C7022" s="120" t="s">
        <v>4696</v>
      </c>
      <c r="D7022" s="33" t="s">
        <v>39159</v>
      </c>
      <c r="E7022" s="51" t="s">
        <v>1498</v>
      </c>
      <c r="F7022" s="121" t="s">
        <v>3009</v>
      </c>
      <c r="G7022" s="98" t="str">
        <f>HYPERLINK("http://mirror.ff7data.com.ar/ff7/data/battle/battle.lgp/mfav.png","View Picture")</f>
        <v>View Picture</v>
      </c>
    </row>
    <row r="7023">
      <c r="A7023" s="55"/>
      <c r="B7023" s="119" t="s">
        <v>39167</v>
      </c>
      <c r="C7023" s="120" t="s">
        <v>4476</v>
      </c>
      <c r="D7023" s="33" t="s">
        <v>39159</v>
      </c>
      <c r="E7023" s="51" t="s">
        <v>1498</v>
      </c>
      <c r="F7023" s="121" t="s">
        <v>3009</v>
      </c>
      <c r="G7023" s="98" t="str">
        <f>HYPERLINK("http://mirror.ff7data.com.ar/ff7/data/battle/battle.lgp/mfaw.png","View Picture")</f>
        <v>View Picture</v>
      </c>
    </row>
    <row r="7024">
      <c r="A7024" s="55"/>
      <c r="B7024" s="119" t="s">
        <v>39168</v>
      </c>
      <c r="C7024" s="120" t="s">
        <v>4696</v>
      </c>
      <c r="D7024" s="33" t="s">
        <v>39159</v>
      </c>
      <c r="E7024" s="51" t="s">
        <v>1498</v>
      </c>
      <c r="F7024" s="121" t="s">
        <v>3009</v>
      </c>
      <c r="G7024" s="98" t="str">
        <f>HYPERLINK("http://mirror.ff7data.com.ar/ff7/data/battle/battle.lgp/mfax.png","View Picture")</f>
        <v>View Picture</v>
      </c>
    </row>
    <row r="7025">
      <c r="A7025" s="55"/>
      <c r="B7025" s="119" t="s">
        <v>39169</v>
      </c>
      <c r="C7025" s="120" t="s">
        <v>7258</v>
      </c>
      <c r="D7025" s="33" t="s">
        <v>39159</v>
      </c>
      <c r="E7025" s="51" t="s">
        <v>1498</v>
      </c>
      <c r="F7025" s="121" t="s">
        <v>3009</v>
      </c>
      <c r="G7025" s="98" t="str">
        <f>HYPERLINK("http://mirror.ff7data.com.ar/ff7/data/battle/battle.lgp/mfay.png","View Picture")</f>
        <v>View Picture</v>
      </c>
    </row>
    <row r="7026">
      <c r="A7026" s="55"/>
      <c r="B7026" s="119" t="s">
        <v>39170</v>
      </c>
      <c r="C7026" s="120" t="s">
        <v>4185</v>
      </c>
      <c r="D7026" s="33" t="s">
        <v>39159</v>
      </c>
      <c r="E7026" s="51" t="s">
        <v>1498</v>
      </c>
      <c r="F7026" s="121" t="s">
        <v>3009</v>
      </c>
      <c r="G7026" s="98" t="str">
        <f>HYPERLINK("http://mirror.ff7data.com.ar/ff7/data/battle/battle.lgp/mfbb.png","View Picture")</f>
        <v>View Picture</v>
      </c>
    </row>
    <row r="7027">
      <c r="A7027" s="55"/>
      <c r="B7027" s="119" t="s">
        <v>39171</v>
      </c>
      <c r="C7027" s="120" t="s">
        <v>3445</v>
      </c>
      <c r="D7027" s="33" t="s">
        <v>39159</v>
      </c>
      <c r="E7027" s="51" t="s">
        <v>1498</v>
      </c>
      <c r="F7027" s="121" t="s">
        <v>3009</v>
      </c>
      <c r="G7027" s="98" t="str">
        <f>HYPERLINK("http://mirror.ff7data.com.ar/ff7/data/battle/battle.lgp/mfbc.png","View Picture")</f>
        <v>View Picture</v>
      </c>
    </row>
    <row r="7028">
      <c r="A7028" s="55"/>
      <c r="B7028" s="119" t="s">
        <v>39172</v>
      </c>
      <c r="C7028" s="120" t="s">
        <v>3343</v>
      </c>
      <c r="D7028" s="33" t="s">
        <v>39159</v>
      </c>
      <c r="E7028" s="51" t="s">
        <v>1498</v>
      </c>
      <c r="F7028" s="121" t="s">
        <v>3009</v>
      </c>
      <c r="G7028" s="98" t="str">
        <f>HYPERLINK("http://mirror.ff7data.com.ar/ff7/data/battle/battle.lgp/mfbd.png","View Picture")</f>
        <v>View Picture</v>
      </c>
    </row>
    <row r="7029">
      <c r="A7029" s="55"/>
      <c r="B7029" s="119" t="s">
        <v>39173</v>
      </c>
      <c r="C7029" s="120" t="s">
        <v>6029</v>
      </c>
      <c r="D7029" s="33" t="s">
        <v>39159</v>
      </c>
      <c r="E7029" s="51" t="s">
        <v>1498</v>
      </c>
      <c r="F7029" s="121" t="s">
        <v>3009</v>
      </c>
      <c r="G7029" s="98" t="str">
        <f>HYPERLINK("http://mirror.ff7data.com.ar/ff7/data/battle/battle.lgp/mfbg.png","View Picture")</f>
        <v>View Picture</v>
      </c>
    </row>
    <row r="7030">
      <c r="A7030" s="55"/>
      <c r="B7030" s="119" t="s">
        <v>39174</v>
      </c>
      <c r="C7030" s="120" t="s">
        <v>4372</v>
      </c>
      <c r="D7030" s="33" t="s">
        <v>39159</v>
      </c>
      <c r="E7030" s="51" t="s">
        <v>1498</v>
      </c>
      <c r="F7030" s="121" t="s">
        <v>3009</v>
      </c>
      <c r="G7030" s="98" t="str">
        <f>HYPERLINK("http://mirror.ff7data.com.ar/ff7/data/battle/battle.lgp/mfbh.png","View Picture")</f>
        <v>View Picture</v>
      </c>
    </row>
    <row r="7031">
      <c r="A7031" s="55"/>
      <c r="B7031" s="119" t="s">
        <v>39175</v>
      </c>
      <c r="C7031" s="120" t="s">
        <v>6029</v>
      </c>
      <c r="D7031" s="33" t="s">
        <v>39159</v>
      </c>
      <c r="E7031" s="51" t="s">
        <v>1498</v>
      </c>
      <c r="F7031" s="121" t="s">
        <v>3009</v>
      </c>
      <c r="G7031" s="98" t="str">
        <f>HYPERLINK("http://mirror.ff7data.com.ar/ff7/data/battle/battle.lgp/mfbk.png","View Picture")</f>
        <v>View Picture</v>
      </c>
    </row>
    <row r="7032">
      <c r="A7032" s="55"/>
      <c r="B7032" s="119" t="s">
        <v>39176</v>
      </c>
      <c r="C7032" s="120" t="s">
        <v>4372</v>
      </c>
      <c r="D7032" s="33" t="s">
        <v>39159</v>
      </c>
      <c r="E7032" s="51" t="s">
        <v>1498</v>
      </c>
      <c r="F7032" s="121" t="s">
        <v>3009</v>
      </c>
      <c r="G7032" s="98" t="str">
        <f>HYPERLINK("http://mirror.ff7data.com.ar/ff7/data/battle/battle.lgp/mfbl.png","View Picture")</f>
        <v>View Picture</v>
      </c>
    </row>
    <row r="7033">
      <c r="A7033" s="55"/>
      <c r="B7033" s="119" t="s">
        <v>39177</v>
      </c>
      <c r="C7033" s="120" t="s">
        <v>4732</v>
      </c>
      <c r="D7033" s="33" t="s">
        <v>39159</v>
      </c>
      <c r="E7033" s="51" t="s">
        <v>1498</v>
      </c>
      <c r="F7033" s="121" t="s">
        <v>3009</v>
      </c>
      <c r="G7033" s="98" t="str">
        <f>HYPERLINK("http://mirror.ff7data.com.ar/ff7/data/battle/battle.lgp/mfbn.png","View Picture")</f>
        <v>View Picture</v>
      </c>
    </row>
    <row r="7034">
      <c r="A7034" s="55"/>
      <c r="B7034" s="119" t="s">
        <v>39178</v>
      </c>
      <c r="C7034" s="120" t="s">
        <v>4732</v>
      </c>
      <c r="D7034" s="33" t="s">
        <v>39159</v>
      </c>
      <c r="E7034" s="51" t="s">
        <v>1498</v>
      </c>
      <c r="F7034" s="121" t="s">
        <v>3009</v>
      </c>
      <c r="G7034" s="98" t="str">
        <f>HYPERLINK("http://mirror.ff7data.com.ar/ff7/data/battle/battle.lgp/mfbo.png","View Picture")</f>
        <v>View Picture</v>
      </c>
    </row>
    <row r="7035">
      <c r="A7035" s="55"/>
      <c r="B7035" s="119" t="s">
        <v>39179</v>
      </c>
      <c r="C7035" s="120" t="s">
        <v>4732</v>
      </c>
      <c r="D7035" s="33" t="s">
        <v>39159</v>
      </c>
      <c r="E7035" s="51" t="s">
        <v>1498</v>
      </c>
      <c r="F7035" s="121" t="s">
        <v>3009</v>
      </c>
      <c r="G7035" s="98" t="str">
        <f>HYPERLINK("http://mirror.ff7data.com.ar/ff7/data/battle/battle.lgp/mfbp.png","View Picture")</f>
        <v>View Picture</v>
      </c>
    </row>
    <row r="7036">
      <c r="A7036" s="55"/>
      <c r="B7036" s="119" t="s">
        <v>39180</v>
      </c>
      <c r="C7036" s="120" t="s">
        <v>4264</v>
      </c>
      <c r="D7036" s="33" t="s">
        <v>39159</v>
      </c>
      <c r="E7036" s="51" t="s">
        <v>1498</v>
      </c>
      <c r="F7036" s="121" t="s">
        <v>3009</v>
      </c>
      <c r="G7036" s="98" t="str">
        <f>HYPERLINK("http://mirror.ff7data.com.ar/ff7/data/battle/battle.lgp/mfbq.png","View Picture")</f>
        <v>View Picture</v>
      </c>
    </row>
    <row r="7037">
      <c r="A7037" s="55"/>
      <c r="B7037" s="119" t="s">
        <v>39181</v>
      </c>
      <c r="C7037" s="120" t="s">
        <v>4046</v>
      </c>
      <c r="D7037" s="33" t="s">
        <v>39159</v>
      </c>
      <c r="E7037" s="51" t="s">
        <v>1498</v>
      </c>
      <c r="F7037" s="121" t="s">
        <v>3025</v>
      </c>
      <c r="H7037" s="46" t="s">
        <v>3002</v>
      </c>
    </row>
    <row r="7038">
      <c r="A7038" s="21"/>
      <c r="B7038" s="119" t="s">
        <v>39182</v>
      </c>
      <c r="C7038" s="120" t="s">
        <v>14867</v>
      </c>
      <c r="D7038" s="33" t="s">
        <v>39183</v>
      </c>
      <c r="E7038" s="51" t="s">
        <v>1504</v>
      </c>
      <c r="F7038" s="121" t="s">
        <v>2971</v>
      </c>
      <c r="G7038" s="98" t="str">
        <f>HYPERLINK("http://mirror.ff7data.com.ar/ff7/data/battle/battle.lgp/mgaa.png","View Picture")</f>
        <v>View Picture</v>
      </c>
      <c r="H7038" s="46" t="s">
        <v>39184</v>
      </c>
    </row>
    <row r="7039">
      <c r="A7039" s="55"/>
      <c r="B7039" s="119" t="s">
        <v>39185</v>
      </c>
      <c r="C7039" s="120" t="s">
        <v>5724</v>
      </c>
      <c r="D7039" s="33" t="s">
        <v>39186</v>
      </c>
      <c r="E7039" s="51" t="s">
        <v>1504</v>
      </c>
      <c r="F7039" s="121" t="s">
        <v>2993</v>
      </c>
      <c r="H7039" s="46" t="s">
        <v>3002</v>
      </c>
    </row>
    <row r="7040">
      <c r="A7040" s="55"/>
      <c r="B7040" s="119" t="s">
        <v>39187</v>
      </c>
      <c r="C7040" s="120" t="s">
        <v>7081</v>
      </c>
      <c r="D7040" s="33" t="s">
        <v>39186</v>
      </c>
      <c r="E7040" s="51" t="s">
        <v>1504</v>
      </c>
      <c r="F7040" s="121" t="s">
        <v>1348</v>
      </c>
      <c r="G7040" s="98" t="str">
        <f>HYPERLINK("http://mirror.ff7data.com.ar/ff7/data/battle/battle.lgp/mgac.png","View Picture")</f>
        <v>View Picture</v>
      </c>
    </row>
    <row r="7041">
      <c r="A7041" s="55"/>
      <c r="B7041" s="119" t="s">
        <v>39188</v>
      </c>
      <c r="C7041" s="120" t="s">
        <v>4191</v>
      </c>
      <c r="D7041" s="33" t="s">
        <v>39186</v>
      </c>
      <c r="E7041" s="51" t="s">
        <v>1504</v>
      </c>
      <c r="F7041" s="121" t="s">
        <v>1348</v>
      </c>
      <c r="G7041" s="98" t="str">
        <f>HYPERLINK("http://mirror.ff7data.com.ar/ff7/data/battle/battle.lgp/mgad.png","View Picture")</f>
        <v>View Picture</v>
      </c>
    </row>
    <row r="7042">
      <c r="A7042" s="55"/>
      <c r="B7042" s="119" t="s">
        <v>39189</v>
      </c>
      <c r="C7042" s="120" t="s">
        <v>7165</v>
      </c>
      <c r="D7042" s="33" t="s">
        <v>39186</v>
      </c>
      <c r="E7042" s="51" t="s">
        <v>1504</v>
      </c>
      <c r="F7042" s="121" t="s">
        <v>1348</v>
      </c>
      <c r="G7042" s="98" t="str">
        <f>HYPERLINK("http://mirror.ff7data.com.ar/ff7/data/battle/battle.lgp/mgae.png","View Picture")</f>
        <v>View Picture</v>
      </c>
    </row>
    <row r="7043">
      <c r="A7043" s="55"/>
      <c r="B7043" s="119" t="s">
        <v>39190</v>
      </c>
      <c r="C7043" s="120" t="s">
        <v>4228</v>
      </c>
      <c r="D7043" s="33" t="s">
        <v>39186</v>
      </c>
      <c r="E7043" s="51" t="s">
        <v>1504</v>
      </c>
      <c r="F7043" s="121" t="s">
        <v>3009</v>
      </c>
      <c r="G7043" s="98" t="str">
        <f>HYPERLINK("http://mirror.ff7data.com.ar/ff7/data/battle/battle.lgp/mgam.png","View Picture")</f>
        <v>View Picture</v>
      </c>
    </row>
    <row r="7044">
      <c r="A7044" s="55"/>
      <c r="B7044" s="119" t="s">
        <v>39191</v>
      </c>
      <c r="C7044" s="120" t="s">
        <v>33181</v>
      </c>
      <c r="D7044" s="33" t="s">
        <v>39186</v>
      </c>
      <c r="E7044" s="51" t="s">
        <v>1504</v>
      </c>
      <c r="F7044" s="121" t="s">
        <v>3009</v>
      </c>
      <c r="G7044" s="98" t="str">
        <f>HYPERLINK("http://mirror.ff7data.com.ar/ff7/data/battle/battle.lgp/mgan.png","View Picture")</f>
        <v>View Picture</v>
      </c>
    </row>
    <row r="7045">
      <c r="A7045" s="55"/>
      <c r="B7045" s="119" t="s">
        <v>39192</v>
      </c>
      <c r="C7045" s="120" t="s">
        <v>4439</v>
      </c>
      <c r="D7045" s="33" t="s">
        <v>39186</v>
      </c>
      <c r="E7045" s="51" t="s">
        <v>1504</v>
      </c>
      <c r="F7045" s="121" t="s">
        <v>3009</v>
      </c>
      <c r="G7045" s="98" t="str">
        <f>HYPERLINK("http://mirror.ff7data.com.ar/ff7/data/battle/battle.lgp/mgar.png","View Picture")</f>
        <v>View Picture</v>
      </c>
    </row>
    <row r="7046">
      <c r="A7046" s="55"/>
      <c r="B7046" s="119" t="s">
        <v>39193</v>
      </c>
      <c r="C7046" s="120" t="s">
        <v>4288</v>
      </c>
      <c r="D7046" s="33" t="s">
        <v>39186</v>
      </c>
      <c r="E7046" s="51" t="s">
        <v>1504</v>
      </c>
      <c r="F7046" s="121" t="s">
        <v>3009</v>
      </c>
      <c r="G7046" s="98" t="str">
        <f>HYPERLINK("http://mirror.ff7data.com.ar/ff7/data/battle/battle.lgp/mgas.png","View Picture")</f>
        <v>View Picture</v>
      </c>
    </row>
    <row r="7047">
      <c r="A7047" s="55"/>
      <c r="B7047" s="119" t="s">
        <v>39194</v>
      </c>
      <c r="C7047" s="120" t="s">
        <v>4288</v>
      </c>
      <c r="D7047" s="33" t="s">
        <v>39186</v>
      </c>
      <c r="E7047" s="51" t="s">
        <v>1504</v>
      </c>
      <c r="F7047" s="121" t="s">
        <v>3009</v>
      </c>
      <c r="G7047" s="98" t="str">
        <f>HYPERLINK("http://mirror.ff7data.com.ar/ff7/data/battle/battle.lgp/mgat.png","View Picture")</f>
        <v>View Picture</v>
      </c>
    </row>
    <row r="7048">
      <c r="A7048" s="55"/>
      <c r="B7048" s="119" t="s">
        <v>39195</v>
      </c>
      <c r="C7048" s="120" t="s">
        <v>4288</v>
      </c>
      <c r="D7048" s="33" t="s">
        <v>39186</v>
      </c>
      <c r="E7048" s="51" t="s">
        <v>1504</v>
      </c>
      <c r="F7048" s="121" t="s">
        <v>3009</v>
      </c>
      <c r="G7048" s="98" t="str">
        <f>HYPERLINK("http://mirror.ff7data.com.ar/ff7/data/battle/battle.lgp/mgau.png","View Picture")</f>
        <v>View Picture</v>
      </c>
    </row>
    <row r="7049">
      <c r="A7049" s="55"/>
      <c r="B7049" s="119" t="s">
        <v>39196</v>
      </c>
      <c r="C7049" s="120" t="s">
        <v>4288</v>
      </c>
      <c r="D7049" s="33" t="s">
        <v>39186</v>
      </c>
      <c r="E7049" s="51" t="s">
        <v>1504</v>
      </c>
      <c r="F7049" s="121" t="s">
        <v>3009</v>
      </c>
      <c r="G7049" s="98" t="str">
        <f>HYPERLINK("http://mirror.ff7data.com.ar/ff7/data/battle/battle.lgp/mgav.png","View Picture")</f>
        <v>View Picture</v>
      </c>
    </row>
    <row r="7050">
      <c r="A7050" s="55"/>
      <c r="B7050" s="119" t="s">
        <v>39197</v>
      </c>
      <c r="C7050" s="120" t="s">
        <v>4288</v>
      </c>
      <c r="D7050" s="33" t="s">
        <v>39186</v>
      </c>
      <c r="E7050" s="51" t="s">
        <v>1504</v>
      </c>
      <c r="F7050" s="121" t="s">
        <v>3009</v>
      </c>
      <c r="G7050" s="98" t="str">
        <f>HYPERLINK("http://mirror.ff7data.com.ar/ff7/data/battle/battle.lgp/mgaw.png","View Picture")</f>
        <v>View Picture</v>
      </c>
    </row>
    <row r="7051">
      <c r="A7051" s="55"/>
      <c r="B7051" s="119" t="s">
        <v>39198</v>
      </c>
      <c r="C7051" s="120" t="s">
        <v>4696</v>
      </c>
      <c r="D7051" s="33" t="s">
        <v>39186</v>
      </c>
      <c r="E7051" s="51" t="s">
        <v>1504</v>
      </c>
      <c r="F7051" s="121" t="s">
        <v>3009</v>
      </c>
      <c r="G7051" s="98" t="str">
        <f>HYPERLINK("http://mirror.ff7data.com.ar/ff7/data/battle/battle.lgp/mgax.png","View Picture")</f>
        <v>View Picture</v>
      </c>
    </row>
    <row r="7052">
      <c r="A7052" s="55"/>
      <c r="B7052" s="119" t="s">
        <v>39199</v>
      </c>
      <c r="C7052" s="120" t="s">
        <v>4565</v>
      </c>
      <c r="D7052" s="33" t="s">
        <v>39186</v>
      </c>
      <c r="E7052" s="51" t="s">
        <v>1504</v>
      </c>
      <c r="F7052" s="121" t="s">
        <v>3009</v>
      </c>
      <c r="G7052" s="98" t="str">
        <f>HYPERLINK("http://mirror.ff7data.com.ar/ff7/data/battle/battle.lgp/mgaz.png","View Picture")</f>
        <v>View Picture</v>
      </c>
    </row>
    <row r="7053">
      <c r="A7053" s="55"/>
      <c r="B7053" s="119" t="s">
        <v>39200</v>
      </c>
      <c r="C7053" s="120" t="s">
        <v>7148</v>
      </c>
      <c r="D7053" s="33" t="s">
        <v>39186</v>
      </c>
      <c r="E7053" s="51" t="s">
        <v>1504</v>
      </c>
      <c r="F7053" s="121" t="s">
        <v>3009</v>
      </c>
      <c r="G7053" s="98" t="str">
        <f>HYPERLINK("http://mirror.ff7data.com.ar/ff7/data/battle/battle.lgp/mgba.png","View Picture")</f>
        <v>View Picture</v>
      </c>
    </row>
    <row r="7054">
      <c r="A7054" s="55"/>
      <c r="B7054" s="119" t="s">
        <v>39201</v>
      </c>
      <c r="C7054" s="120" t="s">
        <v>7148</v>
      </c>
      <c r="D7054" s="33" t="s">
        <v>39186</v>
      </c>
      <c r="E7054" s="51" t="s">
        <v>1504</v>
      </c>
      <c r="F7054" s="121" t="s">
        <v>3009</v>
      </c>
      <c r="G7054" s="98" t="str">
        <f>HYPERLINK("http://mirror.ff7data.com.ar/ff7/data/battle/battle.lgp/mgbb.png","View Picture")</f>
        <v>View Picture</v>
      </c>
    </row>
    <row r="7055">
      <c r="A7055" s="55"/>
      <c r="B7055" s="119" t="s">
        <v>39202</v>
      </c>
      <c r="C7055" s="120" t="s">
        <v>7148</v>
      </c>
      <c r="D7055" s="33" t="s">
        <v>39186</v>
      </c>
      <c r="E7055" s="51" t="s">
        <v>1504</v>
      </c>
      <c r="F7055" s="121" t="s">
        <v>3009</v>
      </c>
      <c r="G7055" s="98" t="str">
        <f>HYPERLINK("http://mirror.ff7data.com.ar/ff7/data/battle/battle.lgp/mgbc.png","View Picture")</f>
        <v>View Picture</v>
      </c>
    </row>
    <row r="7056">
      <c r="A7056" s="55"/>
      <c r="B7056" s="119" t="s">
        <v>39203</v>
      </c>
      <c r="C7056" s="120" t="s">
        <v>7148</v>
      </c>
      <c r="D7056" s="33" t="s">
        <v>39186</v>
      </c>
      <c r="E7056" s="51" t="s">
        <v>1504</v>
      </c>
      <c r="F7056" s="121" t="s">
        <v>3009</v>
      </c>
      <c r="G7056" s="98" t="str">
        <f>HYPERLINK("http://mirror.ff7data.com.ar/ff7/data/battle/battle.lgp/mgbd.png","View Picture")</f>
        <v>View Picture</v>
      </c>
    </row>
    <row r="7057">
      <c r="A7057" s="55"/>
      <c r="B7057" s="119" t="s">
        <v>39204</v>
      </c>
      <c r="C7057" s="120" t="s">
        <v>3007</v>
      </c>
      <c r="D7057" s="33" t="s">
        <v>39186</v>
      </c>
      <c r="E7057" s="51" t="s">
        <v>1504</v>
      </c>
      <c r="F7057" s="121" t="s">
        <v>3009</v>
      </c>
      <c r="G7057" s="98" t="str">
        <f>HYPERLINK("http://mirror.ff7data.com.ar/ff7/data/battle/battle.lgp/mgbe.png","View Picture")</f>
        <v>View Picture</v>
      </c>
    </row>
    <row r="7058">
      <c r="A7058" s="55"/>
      <c r="B7058" s="119" t="s">
        <v>39205</v>
      </c>
      <c r="C7058" s="120" t="s">
        <v>7148</v>
      </c>
      <c r="D7058" s="33" t="s">
        <v>39186</v>
      </c>
      <c r="E7058" s="51" t="s">
        <v>1504</v>
      </c>
      <c r="F7058" s="121" t="s">
        <v>3009</v>
      </c>
      <c r="G7058" s="98" t="str">
        <f>HYPERLINK("http://mirror.ff7data.com.ar/ff7/data/battle/battle.lgp/mgbg.png","View Picture")</f>
        <v>View Picture</v>
      </c>
    </row>
    <row r="7059">
      <c r="A7059" s="55"/>
      <c r="B7059" s="119" t="s">
        <v>39206</v>
      </c>
      <c r="C7059" s="120" t="s">
        <v>7148</v>
      </c>
      <c r="D7059" s="33" t="s">
        <v>39186</v>
      </c>
      <c r="E7059" s="51" t="s">
        <v>1504</v>
      </c>
      <c r="F7059" s="121" t="s">
        <v>3009</v>
      </c>
      <c r="G7059" s="98" t="str">
        <f>HYPERLINK("http://mirror.ff7data.com.ar/ff7/data/battle/battle.lgp/mgbh.png","View Picture")</f>
        <v>View Picture</v>
      </c>
    </row>
    <row r="7060">
      <c r="A7060" s="55"/>
      <c r="B7060" s="119" t="s">
        <v>39207</v>
      </c>
      <c r="C7060" s="120" t="s">
        <v>4601</v>
      </c>
      <c r="D7060" s="33" t="s">
        <v>39186</v>
      </c>
      <c r="E7060" s="51" t="s">
        <v>1504</v>
      </c>
      <c r="F7060" s="121" t="s">
        <v>3009</v>
      </c>
      <c r="G7060" s="98" t="str">
        <f>HYPERLINK("http://mirror.ff7data.com.ar/ff7/data/battle/battle.lgp/mgbi.png","View Picture")</f>
        <v>View Picture</v>
      </c>
    </row>
    <row r="7061">
      <c r="A7061" s="55"/>
      <c r="B7061" s="119" t="s">
        <v>39208</v>
      </c>
      <c r="C7061" s="120" t="s">
        <v>7148</v>
      </c>
      <c r="D7061" s="33" t="s">
        <v>39186</v>
      </c>
      <c r="E7061" s="51" t="s">
        <v>1504</v>
      </c>
      <c r="F7061" s="121" t="s">
        <v>3009</v>
      </c>
      <c r="G7061" s="98" t="str">
        <f>HYPERLINK("http://mirror.ff7data.com.ar/ff7/data/battle/battle.lgp/mgbj.png","View Picture")</f>
        <v>View Picture</v>
      </c>
    </row>
    <row r="7062">
      <c r="A7062" s="55"/>
      <c r="B7062" s="119" t="s">
        <v>39209</v>
      </c>
      <c r="C7062" s="120" t="s">
        <v>7148</v>
      </c>
      <c r="D7062" s="33" t="s">
        <v>39186</v>
      </c>
      <c r="E7062" s="51" t="s">
        <v>1504</v>
      </c>
      <c r="F7062" s="121" t="s">
        <v>3009</v>
      </c>
      <c r="G7062" s="98" t="str">
        <f>HYPERLINK("http://mirror.ff7data.com.ar/ff7/data/battle/battle.lgp/mgbk.png","View Picture")</f>
        <v>View Picture</v>
      </c>
    </row>
    <row r="7063">
      <c r="A7063" s="55"/>
      <c r="B7063" s="119" t="s">
        <v>39210</v>
      </c>
      <c r="C7063" s="120" t="s">
        <v>3007</v>
      </c>
      <c r="D7063" s="33" t="s">
        <v>39186</v>
      </c>
      <c r="E7063" s="51" t="s">
        <v>1504</v>
      </c>
      <c r="F7063" s="121" t="s">
        <v>3009</v>
      </c>
      <c r="G7063" s="98" t="str">
        <f>HYPERLINK("http://mirror.ff7data.com.ar/ff7/data/battle/battle.lgp/mgbl.png","View Picture")</f>
        <v>View Picture</v>
      </c>
    </row>
    <row r="7064">
      <c r="A7064" s="55"/>
      <c r="B7064" s="119" t="s">
        <v>39211</v>
      </c>
      <c r="C7064" s="120" t="s">
        <v>4167</v>
      </c>
      <c r="D7064" s="33" t="s">
        <v>39186</v>
      </c>
      <c r="E7064" s="51" t="s">
        <v>1504</v>
      </c>
      <c r="F7064" s="121" t="s">
        <v>3009</v>
      </c>
      <c r="G7064" s="98" t="str">
        <f>HYPERLINK("http://mirror.ff7data.com.ar/ff7/data/battle/battle.lgp/mgbm.png","View Picture")</f>
        <v>View Picture</v>
      </c>
    </row>
    <row r="7065">
      <c r="A7065" s="55"/>
      <c r="B7065" s="119" t="s">
        <v>39212</v>
      </c>
      <c r="C7065" s="120" t="s">
        <v>3355</v>
      </c>
      <c r="D7065" s="33" t="s">
        <v>39186</v>
      </c>
      <c r="E7065" s="51" t="s">
        <v>1504</v>
      </c>
      <c r="F7065" s="121" t="s">
        <v>3009</v>
      </c>
      <c r="G7065" s="98" t="str">
        <f>HYPERLINK("http://mirror.ff7data.com.ar/ff7/data/battle/battle.lgp/mgbo.png","View Picture")</f>
        <v>View Picture</v>
      </c>
    </row>
    <row r="7066">
      <c r="A7066" s="55"/>
      <c r="B7066" s="119" t="s">
        <v>39213</v>
      </c>
      <c r="C7066" s="120" t="s">
        <v>3658</v>
      </c>
      <c r="D7066" s="33" t="s">
        <v>39186</v>
      </c>
      <c r="E7066" s="51" t="s">
        <v>1504</v>
      </c>
      <c r="F7066" s="121" t="s">
        <v>3009</v>
      </c>
      <c r="G7066" s="98" t="str">
        <f>HYPERLINK("http://mirror.ff7data.com.ar/ff7/data/battle/battle.lgp/mgbp.png","View Picture")</f>
        <v>View Picture</v>
      </c>
    </row>
    <row r="7067">
      <c r="A7067" s="55"/>
      <c r="B7067" s="119" t="s">
        <v>39214</v>
      </c>
      <c r="C7067" s="120" t="s">
        <v>3614</v>
      </c>
      <c r="D7067" s="33" t="s">
        <v>39186</v>
      </c>
      <c r="E7067" s="51" t="s">
        <v>1504</v>
      </c>
      <c r="F7067" s="121" t="s">
        <v>3009</v>
      </c>
      <c r="G7067" s="98" t="str">
        <f>HYPERLINK("http://mirror.ff7data.com.ar/ff7/data/battle/battle.lgp/mgbq.png","View Picture")</f>
        <v>View Picture</v>
      </c>
    </row>
    <row r="7068">
      <c r="A7068" s="55"/>
      <c r="B7068" s="119" t="s">
        <v>39215</v>
      </c>
      <c r="C7068" s="120" t="s">
        <v>7301</v>
      </c>
      <c r="D7068" s="33" t="s">
        <v>39186</v>
      </c>
      <c r="E7068" s="51" t="s">
        <v>1504</v>
      </c>
      <c r="F7068" s="121" t="s">
        <v>3009</v>
      </c>
      <c r="G7068" s="98" t="str">
        <f>HYPERLINK("http://mirror.ff7data.com.ar/ff7/data/battle/battle.lgp/mgbs.png","View Picture")</f>
        <v>View Picture</v>
      </c>
    </row>
    <row r="7069">
      <c r="A7069" s="55"/>
      <c r="B7069" s="119" t="s">
        <v>39216</v>
      </c>
      <c r="C7069" s="120" t="s">
        <v>3658</v>
      </c>
      <c r="D7069" s="33" t="s">
        <v>39186</v>
      </c>
      <c r="E7069" s="51" t="s">
        <v>1504</v>
      </c>
      <c r="F7069" s="121" t="s">
        <v>3009</v>
      </c>
      <c r="G7069" s="98" t="str">
        <f>HYPERLINK("http://mirror.ff7data.com.ar/ff7/data/battle/battle.lgp/mgbt.png","View Picture")</f>
        <v>View Picture</v>
      </c>
    </row>
    <row r="7070">
      <c r="A7070" s="55"/>
      <c r="B7070" s="119" t="s">
        <v>39217</v>
      </c>
      <c r="C7070" s="120" t="s">
        <v>3614</v>
      </c>
      <c r="D7070" s="33" t="s">
        <v>39186</v>
      </c>
      <c r="E7070" s="51" t="s">
        <v>1504</v>
      </c>
      <c r="F7070" s="121" t="s">
        <v>3009</v>
      </c>
      <c r="G7070" s="98" t="str">
        <f>HYPERLINK("http://mirror.ff7data.com.ar/ff7/data/battle/battle.lgp/mgbu.png","View Picture")</f>
        <v>View Picture</v>
      </c>
    </row>
    <row r="7071">
      <c r="A7071" s="55"/>
      <c r="B7071" s="119" t="s">
        <v>39218</v>
      </c>
      <c r="C7071" s="120" t="s">
        <v>7165</v>
      </c>
      <c r="D7071" s="33" t="s">
        <v>39186</v>
      </c>
      <c r="E7071" s="51" t="s">
        <v>1504</v>
      </c>
      <c r="F7071" s="121" t="s">
        <v>3009</v>
      </c>
      <c r="G7071" s="98" t="str">
        <f>HYPERLINK("http://mirror.ff7data.com.ar/ff7/data/battle/battle.lgp/mgbx.png","View Picture")</f>
        <v>View Picture</v>
      </c>
    </row>
    <row r="7072">
      <c r="A7072" s="55"/>
      <c r="B7072" s="119" t="s">
        <v>39219</v>
      </c>
      <c r="C7072" s="120" t="s">
        <v>4439</v>
      </c>
      <c r="D7072" s="33" t="s">
        <v>39186</v>
      </c>
      <c r="E7072" s="51" t="s">
        <v>1504</v>
      </c>
      <c r="F7072" s="121" t="s">
        <v>3009</v>
      </c>
      <c r="G7072" s="98" t="str">
        <f>HYPERLINK("http://mirror.ff7data.com.ar/ff7/data/battle/battle.lgp/mgby.png","View Picture")</f>
        <v>View Picture</v>
      </c>
    </row>
    <row r="7073">
      <c r="A7073" s="55"/>
      <c r="B7073" s="119" t="s">
        <v>39220</v>
      </c>
      <c r="C7073" s="120" t="s">
        <v>10078</v>
      </c>
      <c r="D7073" s="33" t="s">
        <v>39186</v>
      </c>
      <c r="E7073" s="51" t="s">
        <v>1504</v>
      </c>
      <c r="F7073" s="121" t="s">
        <v>3009</v>
      </c>
      <c r="G7073" s="98" t="str">
        <f>HYPERLINK("http://mirror.ff7data.com.ar/ff7/data/battle/battle.lgp/mgbz.png","View Picture")</f>
        <v>View Picture</v>
      </c>
    </row>
    <row r="7074">
      <c r="A7074" s="55"/>
      <c r="B7074" s="119" t="s">
        <v>39221</v>
      </c>
      <c r="C7074" s="120" t="s">
        <v>7165</v>
      </c>
      <c r="D7074" s="33" t="s">
        <v>39186</v>
      </c>
      <c r="E7074" s="51" t="s">
        <v>1504</v>
      </c>
      <c r="F7074" s="121" t="s">
        <v>3009</v>
      </c>
      <c r="G7074" s="98" t="str">
        <f>HYPERLINK("http://mirror.ff7data.com.ar/ff7/data/battle/battle.lgp/mgcc.png","View Picture")</f>
        <v>View Picture</v>
      </c>
    </row>
    <row r="7075">
      <c r="A7075" s="55"/>
      <c r="B7075" s="119" t="s">
        <v>39222</v>
      </c>
      <c r="C7075" s="120" t="s">
        <v>4439</v>
      </c>
      <c r="D7075" s="33" t="s">
        <v>39186</v>
      </c>
      <c r="E7075" s="51" t="s">
        <v>1504</v>
      </c>
      <c r="F7075" s="121" t="s">
        <v>3009</v>
      </c>
      <c r="G7075" s="98" t="str">
        <f>HYPERLINK("http://mirror.ff7data.com.ar/ff7/data/battle/battle.lgp/mgcd.png","View Picture")</f>
        <v>View Picture</v>
      </c>
    </row>
    <row r="7076">
      <c r="A7076" s="55"/>
      <c r="B7076" s="119" t="s">
        <v>39223</v>
      </c>
      <c r="C7076" s="120" t="s">
        <v>10078</v>
      </c>
      <c r="D7076" s="33" t="s">
        <v>39186</v>
      </c>
      <c r="E7076" s="51" t="s">
        <v>1504</v>
      </c>
      <c r="F7076" s="121" t="s">
        <v>3009</v>
      </c>
      <c r="G7076" s="98" t="str">
        <f>HYPERLINK("http://mirror.ff7data.com.ar/ff7/data/battle/battle.lgp/mgce.png","View Picture")</f>
        <v>View Picture</v>
      </c>
    </row>
    <row r="7077">
      <c r="A7077" s="55"/>
      <c r="B7077" s="119" t="s">
        <v>39224</v>
      </c>
      <c r="C7077" s="120" t="s">
        <v>4191</v>
      </c>
      <c r="D7077" s="33" t="s">
        <v>39186</v>
      </c>
      <c r="E7077" s="51" t="s">
        <v>1504</v>
      </c>
      <c r="F7077" s="121" t="s">
        <v>3025</v>
      </c>
      <c r="H7077" s="46" t="s">
        <v>3002</v>
      </c>
    </row>
    <row r="7078">
      <c r="A7078" s="82"/>
      <c r="B7078" s="119" t="s">
        <v>39225</v>
      </c>
      <c r="C7078" s="120" t="s">
        <v>10179</v>
      </c>
      <c r="D7078" s="33" t="s">
        <v>39226</v>
      </c>
      <c r="E7078" s="51" t="s">
        <v>1508</v>
      </c>
      <c r="F7078" s="121" t="s">
        <v>2971</v>
      </c>
      <c r="G7078" s="98" t="str">
        <f>HYPERLINK("http://mirror.ff7data.com.ar/ff7/data/battle/battle.lgp/mhaa.png","View Picture")</f>
        <v>View Picture</v>
      </c>
    </row>
    <row r="7079">
      <c r="A7079" s="55"/>
      <c r="B7079" s="119" t="s">
        <v>39227</v>
      </c>
      <c r="C7079" s="120" t="s">
        <v>8063</v>
      </c>
      <c r="D7079" s="33" t="s">
        <v>39228</v>
      </c>
      <c r="E7079" s="51" t="s">
        <v>1508</v>
      </c>
      <c r="F7079" s="121" t="s">
        <v>2993</v>
      </c>
      <c r="H7079" s="46" t="s">
        <v>3002</v>
      </c>
    </row>
    <row r="7080">
      <c r="A7080" s="82"/>
      <c r="B7080" s="119" t="s">
        <v>39229</v>
      </c>
      <c r="C7080" s="120" t="s">
        <v>4191</v>
      </c>
      <c r="D7080" s="33" t="s">
        <v>39230</v>
      </c>
      <c r="E7080" s="51" t="s">
        <v>1508</v>
      </c>
      <c r="G7080" s="98" t="str">
        <f>HYPERLINK("http://mirror.ff7data.com.ar/ff7/data/battle/battle.lgp/mhaq.png","View Picture")</f>
        <v>View Picture</v>
      </c>
    </row>
    <row r="7081">
      <c r="A7081" s="55"/>
      <c r="B7081" s="119" t="s">
        <v>39231</v>
      </c>
      <c r="C7081" s="120" t="s">
        <v>3412</v>
      </c>
      <c r="D7081" s="33" t="s">
        <v>39228</v>
      </c>
      <c r="E7081" s="51" t="s">
        <v>1508</v>
      </c>
      <c r="F7081" s="121" t="s">
        <v>3025</v>
      </c>
      <c r="H7081" s="46" t="s">
        <v>3002</v>
      </c>
    </row>
    <row r="7082">
      <c r="A7082" s="21"/>
      <c r="B7082" s="119" t="s">
        <v>39232</v>
      </c>
      <c r="C7082" s="120" t="s">
        <v>8004</v>
      </c>
      <c r="D7082" s="33" t="s">
        <v>39233</v>
      </c>
      <c r="E7082" s="51" t="s">
        <v>1514</v>
      </c>
      <c r="F7082" s="121" t="s">
        <v>2971</v>
      </c>
      <c r="G7082" s="98" t="str">
        <f>HYPERLINK("http://mirror.ff7data.com.ar/ff7/data/battle/battle.lgp/miaa.png","View Picture")</f>
        <v>View Picture</v>
      </c>
      <c r="H7082" s="46" t="s">
        <v>39234</v>
      </c>
    </row>
    <row r="7083">
      <c r="A7083" s="55"/>
      <c r="B7083" s="119" t="s">
        <v>39235</v>
      </c>
      <c r="C7083" s="120" t="s">
        <v>5724</v>
      </c>
      <c r="D7083" s="33" t="s">
        <v>39236</v>
      </c>
      <c r="E7083" s="51" t="s">
        <v>1514</v>
      </c>
      <c r="F7083" s="121" t="s">
        <v>2993</v>
      </c>
      <c r="H7083" s="46" t="s">
        <v>3002</v>
      </c>
    </row>
    <row r="7084">
      <c r="A7084" s="55"/>
      <c r="B7084" s="119" t="s">
        <v>39237</v>
      </c>
      <c r="C7084" s="120" t="s">
        <v>3671</v>
      </c>
      <c r="D7084" s="33" t="s">
        <v>39236</v>
      </c>
      <c r="E7084" s="51" t="s">
        <v>1514</v>
      </c>
      <c r="F7084" s="121" t="s">
        <v>1348</v>
      </c>
      <c r="G7084" s="98" t="str">
        <f>HYPERLINK("http://mirror.ff7data.com.ar/ff7/data/battle/battle.lgp/miac.png","View Picture")</f>
        <v>View Picture</v>
      </c>
    </row>
    <row r="7085">
      <c r="A7085" s="55"/>
      <c r="B7085" s="119" t="s">
        <v>39238</v>
      </c>
      <c r="C7085" s="120" t="s">
        <v>8550</v>
      </c>
      <c r="D7085" s="33" t="s">
        <v>39236</v>
      </c>
      <c r="E7085" s="51" t="s">
        <v>1514</v>
      </c>
      <c r="F7085" s="121" t="s">
        <v>3009</v>
      </c>
      <c r="G7085" s="98" t="str">
        <f>HYPERLINK("http://mirror.ff7data.com.ar/ff7/data/battle/battle.lgp/miam.png","View Picture")</f>
        <v>View Picture</v>
      </c>
    </row>
    <row r="7086">
      <c r="A7086" s="55"/>
      <c r="B7086" s="119" t="s">
        <v>39239</v>
      </c>
      <c r="C7086" s="120" t="s">
        <v>4167</v>
      </c>
      <c r="D7086" s="33" t="s">
        <v>39236</v>
      </c>
      <c r="E7086" s="51" t="s">
        <v>1514</v>
      </c>
      <c r="F7086" s="121" t="s">
        <v>3009</v>
      </c>
      <c r="G7086" s="98" t="str">
        <f>HYPERLINK("http://mirror.ff7data.com.ar/ff7/data/battle/battle.lgp/mian.png","View Picture")</f>
        <v>View Picture</v>
      </c>
    </row>
    <row r="7087">
      <c r="A7087" s="55"/>
      <c r="B7087" s="119" t="s">
        <v>39240</v>
      </c>
      <c r="C7087" s="120" t="s">
        <v>3445</v>
      </c>
      <c r="D7087" s="33" t="s">
        <v>39236</v>
      </c>
      <c r="E7087" s="51" t="s">
        <v>1514</v>
      </c>
      <c r="F7087" s="121" t="s">
        <v>3009</v>
      </c>
      <c r="G7087" s="98" t="str">
        <f>HYPERLINK("http://mirror.ff7data.com.ar/ff7/data/battle/battle.lgp/miap.png","View Picture")</f>
        <v>View Picture</v>
      </c>
    </row>
    <row r="7088">
      <c r="A7088" s="55"/>
      <c r="B7088" s="119" t="s">
        <v>39241</v>
      </c>
      <c r="C7088" s="120" t="s">
        <v>7871</v>
      </c>
      <c r="D7088" s="33" t="s">
        <v>39236</v>
      </c>
      <c r="E7088" s="51" t="s">
        <v>1514</v>
      </c>
      <c r="F7088" s="121" t="s">
        <v>3009</v>
      </c>
      <c r="G7088" s="98" t="str">
        <f>HYPERLINK("http://mirror.ff7data.com.ar/ff7/data/battle/battle.lgp/miar.png","View Picture")</f>
        <v>View Picture</v>
      </c>
    </row>
    <row r="7089">
      <c r="A7089" s="55"/>
      <c r="B7089" s="119" t="s">
        <v>39242</v>
      </c>
      <c r="C7089" s="120" t="s">
        <v>6830</v>
      </c>
      <c r="D7089" s="33" t="s">
        <v>39236</v>
      </c>
      <c r="E7089" s="51" t="s">
        <v>1514</v>
      </c>
      <c r="F7089" s="121" t="s">
        <v>3009</v>
      </c>
      <c r="G7089" s="98" t="str">
        <f>HYPERLINK("http://mirror.ff7data.com.ar/ff7/data/battle/battle.lgp/miau.png","View Picture")</f>
        <v>View Picture</v>
      </c>
    </row>
    <row r="7090">
      <c r="A7090" s="55"/>
      <c r="B7090" s="119" t="s">
        <v>39243</v>
      </c>
      <c r="C7090" s="120" t="s">
        <v>3445</v>
      </c>
      <c r="D7090" s="33" t="s">
        <v>39236</v>
      </c>
      <c r="E7090" s="51" t="s">
        <v>1514</v>
      </c>
      <c r="F7090" s="121" t="s">
        <v>3009</v>
      </c>
      <c r="G7090" s="98" t="str">
        <f>HYPERLINK("http://mirror.ff7data.com.ar/ff7/data/battle/battle.lgp/miav.png","View Picture")</f>
        <v>View Picture</v>
      </c>
    </row>
    <row r="7091">
      <c r="A7091" s="55"/>
      <c r="B7091" s="119" t="s">
        <v>39244</v>
      </c>
      <c r="C7091" s="120" t="s">
        <v>4252</v>
      </c>
      <c r="D7091" s="33" t="s">
        <v>39236</v>
      </c>
      <c r="E7091" s="51" t="s">
        <v>1514</v>
      </c>
      <c r="F7091" s="121" t="s">
        <v>3009</v>
      </c>
      <c r="G7091" s="98" t="str">
        <f>HYPERLINK("http://mirror.ff7data.com.ar/ff7/data/battle/battle.lgp/miay.png","View Picture")</f>
        <v>View Picture</v>
      </c>
    </row>
    <row r="7092">
      <c r="A7092" s="55"/>
      <c r="B7092" s="119" t="s">
        <v>39245</v>
      </c>
      <c r="C7092" s="120" t="s">
        <v>3494</v>
      </c>
      <c r="D7092" s="33" t="s">
        <v>39236</v>
      </c>
      <c r="E7092" s="51" t="s">
        <v>1514</v>
      </c>
      <c r="F7092" s="121" t="s">
        <v>3009</v>
      </c>
      <c r="G7092" s="98" t="str">
        <f>HYPERLINK("http://mirror.ff7data.com.ar/ff7/data/battle/battle.lgp/miaz.png","View Picture")</f>
        <v>View Picture</v>
      </c>
    </row>
    <row r="7093">
      <c r="A7093" s="55"/>
      <c r="B7093" s="119" t="s">
        <v>39246</v>
      </c>
      <c r="C7093" s="120" t="s">
        <v>5762</v>
      </c>
      <c r="D7093" s="33" t="s">
        <v>39236</v>
      </c>
      <c r="E7093" s="51" t="s">
        <v>1514</v>
      </c>
      <c r="F7093" s="121" t="s">
        <v>3009</v>
      </c>
      <c r="G7093" s="98" t="str">
        <f>HYPERLINK("http://mirror.ff7data.com.ar/ff7/data/battle/battle.lgp/miba.png","View Picture")</f>
        <v>View Picture</v>
      </c>
    </row>
    <row r="7094">
      <c r="A7094" s="55"/>
      <c r="B7094" s="119" t="s">
        <v>39247</v>
      </c>
      <c r="C7094" s="120" t="s">
        <v>13957</v>
      </c>
      <c r="D7094" s="33" t="s">
        <v>39236</v>
      </c>
      <c r="E7094" s="51" t="s">
        <v>1514</v>
      </c>
      <c r="F7094" s="121" t="s">
        <v>3009</v>
      </c>
      <c r="G7094" s="98" t="str">
        <f>HYPERLINK("http://mirror.ff7data.com.ar/ff7/data/battle/battle.lgp/mibb.png","View Picture")</f>
        <v>View Picture</v>
      </c>
    </row>
    <row r="7095">
      <c r="A7095" s="55"/>
      <c r="B7095" s="119" t="s">
        <v>39248</v>
      </c>
      <c r="C7095" s="120" t="s">
        <v>19628</v>
      </c>
      <c r="D7095" s="33" t="s">
        <v>39236</v>
      </c>
      <c r="E7095" s="51" t="s">
        <v>1514</v>
      </c>
      <c r="F7095" s="121" t="s">
        <v>3009</v>
      </c>
      <c r="G7095" s="98" t="str">
        <f>HYPERLINK("http://mirror.ff7data.com.ar/ff7/data/battle/battle.lgp/mibe.png","View Picture")</f>
        <v>View Picture</v>
      </c>
    </row>
    <row r="7096">
      <c r="A7096" s="55"/>
      <c r="B7096" s="119" t="s">
        <v>39249</v>
      </c>
      <c r="C7096" s="120" t="s">
        <v>3614</v>
      </c>
      <c r="D7096" s="33" t="s">
        <v>39236</v>
      </c>
      <c r="E7096" s="51" t="s">
        <v>1514</v>
      </c>
      <c r="F7096" s="121" t="s">
        <v>3009</v>
      </c>
      <c r="G7096" s="98" t="str">
        <f>HYPERLINK("http://mirror.ff7data.com.ar/ff7/data/battle/battle.lgp/mibf.png","View Picture")</f>
        <v>View Picture</v>
      </c>
    </row>
    <row r="7097">
      <c r="A7097" s="55"/>
      <c r="B7097" s="119" t="s">
        <v>39250</v>
      </c>
      <c r="C7097" s="120" t="s">
        <v>7270</v>
      </c>
      <c r="D7097" s="33" t="s">
        <v>39236</v>
      </c>
      <c r="E7097" s="51" t="s">
        <v>1514</v>
      </c>
      <c r="F7097" s="121" t="s">
        <v>3009</v>
      </c>
      <c r="G7097" s="98" t="str">
        <f>HYPERLINK("http://mirror.ff7data.com.ar/ff7/data/battle/battle.lgp/mibi.png","View Picture")</f>
        <v>View Picture</v>
      </c>
    </row>
    <row r="7098">
      <c r="A7098" s="55"/>
      <c r="B7098" s="119" t="s">
        <v>39251</v>
      </c>
      <c r="C7098" s="120" t="s">
        <v>12399</v>
      </c>
      <c r="D7098" s="33" t="s">
        <v>39236</v>
      </c>
      <c r="E7098" s="51" t="s">
        <v>1514</v>
      </c>
      <c r="F7098" s="121" t="s">
        <v>3009</v>
      </c>
      <c r="G7098" s="98" t="str">
        <f>HYPERLINK("http://mirror.ff7data.com.ar/ff7/data/battle/battle.lgp/mibj.png","View Picture")</f>
        <v>View Picture</v>
      </c>
    </row>
    <row r="7099">
      <c r="A7099" s="55"/>
      <c r="B7099" s="119" t="s">
        <v>39252</v>
      </c>
      <c r="C7099" s="120" t="s">
        <v>3658</v>
      </c>
      <c r="D7099" s="33" t="s">
        <v>39236</v>
      </c>
      <c r="E7099" s="51" t="s">
        <v>1514</v>
      </c>
      <c r="F7099" s="121" t="s">
        <v>3009</v>
      </c>
      <c r="G7099" s="98" t="str">
        <f>HYPERLINK("http://mirror.ff7data.com.ar/ff7/data/battle/battle.lgp/mibk.png","View Picture")</f>
        <v>View Picture</v>
      </c>
    </row>
    <row r="7100">
      <c r="A7100" s="55"/>
      <c r="B7100" s="119" t="s">
        <v>39253</v>
      </c>
      <c r="C7100" s="120" t="s">
        <v>3519</v>
      </c>
      <c r="D7100" s="33" t="s">
        <v>39236</v>
      </c>
      <c r="E7100" s="51" t="s">
        <v>1514</v>
      </c>
      <c r="F7100" s="121" t="s">
        <v>3009</v>
      </c>
      <c r="G7100" s="98" t="str">
        <f>HYPERLINK("http://mirror.ff7data.com.ar/ff7/data/battle/battle.lgp/mibl.png","View Picture")</f>
        <v>View Picture</v>
      </c>
    </row>
    <row r="7101">
      <c r="A7101" s="55"/>
      <c r="B7101" s="119" t="s">
        <v>39254</v>
      </c>
      <c r="C7101" s="120" t="s">
        <v>3445</v>
      </c>
      <c r="D7101" s="33" t="s">
        <v>39236</v>
      </c>
      <c r="E7101" s="51" t="s">
        <v>1514</v>
      </c>
      <c r="F7101" s="121" t="s">
        <v>3009</v>
      </c>
      <c r="G7101" s="98" t="str">
        <f>HYPERLINK("http://mirror.ff7data.com.ar/ff7/data/battle/battle.lgp/mibn.png","View Picture")</f>
        <v>View Picture</v>
      </c>
    </row>
    <row r="7102">
      <c r="A7102" s="55"/>
      <c r="B7102" s="119" t="s">
        <v>39255</v>
      </c>
      <c r="C7102" s="120" t="s">
        <v>3355</v>
      </c>
      <c r="D7102" s="33" t="s">
        <v>39236</v>
      </c>
      <c r="E7102" s="51" t="s">
        <v>1514</v>
      </c>
      <c r="F7102" s="121" t="s">
        <v>3009</v>
      </c>
      <c r="G7102" s="98" t="str">
        <f>HYPERLINK("http://mirror.ff7data.com.ar/ff7/data/battle/battle.lgp/mibo.png","View Picture")</f>
        <v>View Picture</v>
      </c>
    </row>
    <row r="7103">
      <c r="A7103" s="55"/>
      <c r="B7103" s="119" t="s">
        <v>39256</v>
      </c>
      <c r="C7103" s="120" t="s">
        <v>3465</v>
      </c>
      <c r="D7103" s="33" t="s">
        <v>39236</v>
      </c>
      <c r="E7103" s="51" t="s">
        <v>1514</v>
      </c>
      <c r="F7103" s="121" t="s">
        <v>3009</v>
      </c>
      <c r="G7103" s="98" t="str">
        <f>HYPERLINK("http://mirror.ff7data.com.ar/ff7/data/battle/battle.lgp/mibp.png","View Picture")</f>
        <v>View Picture</v>
      </c>
    </row>
    <row r="7104">
      <c r="A7104" s="55"/>
      <c r="B7104" s="119" t="s">
        <v>39257</v>
      </c>
      <c r="C7104" s="120" t="s">
        <v>4288</v>
      </c>
      <c r="D7104" s="33" t="s">
        <v>39236</v>
      </c>
      <c r="E7104" s="51" t="s">
        <v>1514</v>
      </c>
      <c r="F7104" s="121" t="s">
        <v>3009</v>
      </c>
      <c r="G7104" s="98" t="str">
        <f>HYPERLINK("http://mirror.ff7data.com.ar/ff7/data/battle/battle.lgp/mibr.png","View Picture")</f>
        <v>View Picture</v>
      </c>
    </row>
    <row r="7105">
      <c r="A7105" s="55"/>
      <c r="B7105" s="119" t="s">
        <v>39258</v>
      </c>
      <c r="C7105" s="120" t="s">
        <v>3445</v>
      </c>
      <c r="D7105" s="33" t="s">
        <v>39236</v>
      </c>
      <c r="E7105" s="51" t="s">
        <v>1514</v>
      </c>
      <c r="F7105" s="121" t="s">
        <v>3009</v>
      </c>
      <c r="G7105" s="98" t="str">
        <f>HYPERLINK("http://mirror.ff7data.com.ar/ff7/data/battle/battle.lgp/mibt.png","View Picture")</f>
        <v>View Picture</v>
      </c>
    </row>
    <row r="7106">
      <c r="A7106" s="55"/>
      <c r="B7106" s="119" t="s">
        <v>39259</v>
      </c>
      <c r="C7106" s="120" t="s">
        <v>3355</v>
      </c>
      <c r="D7106" s="33" t="s">
        <v>39236</v>
      </c>
      <c r="E7106" s="51" t="s">
        <v>1514</v>
      </c>
      <c r="F7106" s="121" t="s">
        <v>3009</v>
      </c>
      <c r="G7106" s="98" t="str">
        <f>HYPERLINK("http://mirror.ff7data.com.ar/ff7/data/battle/battle.lgp/mibu.png","View Picture")</f>
        <v>View Picture</v>
      </c>
    </row>
    <row r="7107">
      <c r="A7107" s="55"/>
      <c r="B7107" s="119" t="s">
        <v>39260</v>
      </c>
      <c r="C7107" s="120" t="s">
        <v>11261</v>
      </c>
      <c r="D7107" s="33" t="s">
        <v>39236</v>
      </c>
      <c r="E7107" s="51" t="s">
        <v>1514</v>
      </c>
      <c r="F7107" s="121" t="s">
        <v>3009</v>
      </c>
      <c r="G7107" s="98" t="str">
        <f>HYPERLINK("http://mirror.ff7data.com.ar/ff7/data/battle/battle.lgp/mibv.png","View Picture")</f>
        <v>View Picture</v>
      </c>
    </row>
    <row r="7108">
      <c r="A7108" s="55"/>
      <c r="B7108" s="119" t="s">
        <v>39261</v>
      </c>
      <c r="C7108" s="120" t="s">
        <v>4288</v>
      </c>
      <c r="D7108" s="33" t="s">
        <v>39236</v>
      </c>
      <c r="E7108" s="51" t="s">
        <v>1514</v>
      </c>
      <c r="F7108" s="121" t="s">
        <v>3009</v>
      </c>
      <c r="G7108" s="98" t="str">
        <f>HYPERLINK("http://mirror.ff7data.com.ar/ff7/data/battle/battle.lgp/mibx.png","View Picture")</f>
        <v>View Picture</v>
      </c>
    </row>
    <row r="7109">
      <c r="A7109" s="55"/>
      <c r="B7109" s="119" t="s">
        <v>39262</v>
      </c>
      <c r="C7109" s="120" t="s">
        <v>3445</v>
      </c>
      <c r="D7109" s="33" t="s">
        <v>39236</v>
      </c>
      <c r="E7109" s="51" t="s">
        <v>1514</v>
      </c>
      <c r="F7109" s="121" t="s">
        <v>3009</v>
      </c>
      <c r="G7109" s="98" t="str">
        <f>HYPERLINK("http://mirror.ff7data.com.ar/ff7/data/battle/battle.lgp/miby.png","View Picture")</f>
        <v>View Picture</v>
      </c>
    </row>
    <row r="7110">
      <c r="A7110" s="55"/>
      <c r="B7110" s="119" t="s">
        <v>39263</v>
      </c>
      <c r="C7110" s="120" t="s">
        <v>6018</v>
      </c>
      <c r="D7110" s="33" t="s">
        <v>39236</v>
      </c>
      <c r="E7110" s="51" t="s">
        <v>1514</v>
      </c>
      <c r="F7110" s="121" t="s">
        <v>3025</v>
      </c>
      <c r="H7110" s="46" t="s">
        <v>3002</v>
      </c>
    </row>
    <row r="7111">
      <c r="A7111" s="21"/>
      <c r="B7111" s="119" t="s">
        <v>39264</v>
      </c>
      <c r="C7111" s="120" t="s">
        <v>3980</v>
      </c>
      <c r="D7111" s="33" t="s">
        <v>39265</v>
      </c>
      <c r="E7111" s="51" t="s">
        <v>1520</v>
      </c>
      <c r="F7111" s="121" t="s">
        <v>2971</v>
      </c>
      <c r="G7111" s="98" t="str">
        <f>HYPERLINK("http://mirror.ff7data.com.ar/ff7/data/battle/battle.lgp/mjaa.png","View Picture")</f>
        <v>View Picture</v>
      </c>
    </row>
    <row r="7112">
      <c r="A7112" s="55"/>
      <c r="B7112" s="119" t="s">
        <v>39266</v>
      </c>
      <c r="C7112" s="120" t="s">
        <v>7375</v>
      </c>
      <c r="D7112" s="33" t="s">
        <v>39267</v>
      </c>
      <c r="E7112" s="51" t="s">
        <v>1520</v>
      </c>
      <c r="F7112" s="121" t="s">
        <v>2993</v>
      </c>
      <c r="H7112" s="46" t="s">
        <v>3002</v>
      </c>
    </row>
    <row r="7113">
      <c r="A7113" s="55"/>
      <c r="B7113" s="119" t="s">
        <v>39268</v>
      </c>
      <c r="C7113" s="120" t="s">
        <v>4707</v>
      </c>
      <c r="D7113" s="33" t="s">
        <v>39267</v>
      </c>
      <c r="E7113" s="51" t="s">
        <v>1520</v>
      </c>
      <c r="F7113" s="121" t="s">
        <v>3009</v>
      </c>
      <c r="G7113" s="98" t="str">
        <f>HYPERLINK("http://mirror.ff7data.com.ar/ff7/data/battle/battle.lgp/mjam.png","View Picture")</f>
        <v>View Picture</v>
      </c>
    </row>
    <row r="7114">
      <c r="A7114" s="55"/>
      <c r="B7114" s="119" t="s">
        <v>39269</v>
      </c>
      <c r="C7114" s="120" t="s">
        <v>4707</v>
      </c>
      <c r="D7114" s="33" t="s">
        <v>39267</v>
      </c>
      <c r="E7114" s="51" t="s">
        <v>1520</v>
      </c>
      <c r="F7114" s="121" t="s">
        <v>3009</v>
      </c>
      <c r="G7114" s="98" t="str">
        <f>HYPERLINK("http://mirror.ff7data.com.ar/ff7/data/battle/battle.lgp/mjan.png","View Picture")</f>
        <v>View Picture</v>
      </c>
    </row>
    <row r="7115">
      <c r="A7115" s="55"/>
      <c r="B7115" s="119" t="s">
        <v>39270</v>
      </c>
      <c r="C7115" s="120" t="s">
        <v>4707</v>
      </c>
      <c r="D7115" s="33" t="s">
        <v>39267</v>
      </c>
      <c r="E7115" s="51" t="s">
        <v>1520</v>
      </c>
      <c r="F7115" s="121" t="s">
        <v>3009</v>
      </c>
      <c r="G7115" s="98" t="str">
        <f>HYPERLINK("http://mirror.ff7data.com.ar/ff7/data/battle/battle.lgp/mjao.png","View Picture")</f>
        <v>View Picture</v>
      </c>
    </row>
    <row r="7116">
      <c r="A7116" s="55"/>
      <c r="B7116" s="119" t="s">
        <v>39271</v>
      </c>
      <c r="C7116" s="120" t="s">
        <v>7270</v>
      </c>
      <c r="D7116" s="33" t="s">
        <v>39267</v>
      </c>
      <c r="E7116" s="51" t="s">
        <v>1520</v>
      </c>
      <c r="F7116" s="121" t="s">
        <v>3009</v>
      </c>
      <c r="G7116" s="98" t="str">
        <f>HYPERLINK("http://mirror.ff7data.com.ar/ff7/data/battle/battle.lgp/mjap.png","View Picture")</f>
        <v>View Picture</v>
      </c>
    </row>
    <row r="7117">
      <c r="A7117" s="55"/>
      <c r="B7117" s="119" t="s">
        <v>39272</v>
      </c>
      <c r="C7117" s="120" t="s">
        <v>7270</v>
      </c>
      <c r="D7117" s="33" t="s">
        <v>39267</v>
      </c>
      <c r="E7117" s="51" t="s">
        <v>1520</v>
      </c>
      <c r="F7117" s="121" t="s">
        <v>3009</v>
      </c>
      <c r="G7117" s="98" t="str">
        <f>HYPERLINK("http://mirror.ff7data.com.ar/ff7/data/battle/battle.lgp/mjaq.png","View Picture")</f>
        <v>View Picture</v>
      </c>
    </row>
    <row r="7118">
      <c r="A7118" s="55"/>
      <c r="B7118" s="119" t="s">
        <v>39273</v>
      </c>
      <c r="C7118" s="120" t="s">
        <v>4707</v>
      </c>
      <c r="D7118" s="33" t="s">
        <v>39267</v>
      </c>
      <c r="E7118" s="51" t="s">
        <v>1520</v>
      </c>
      <c r="F7118" s="121" t="s">
        <v>3009</v>
      </c>
      <c r="G7118" s="98" t="str">
        <f>HYPERLINK("http://mirror.ff7data.com.ar/ff7/data/battle/battle.lgp/mjar.png","View Picture")</f>
        <v>View Picture</v>
      </c>
    </row>
    <row r="7119">
      <c r="A7119" s="55"/>
      <c r="B7119" s="119" t="s">
        <v>39274</v>
      </c>
      <c r="C7119" s="120" t="s">
        <v>4707</v>
      </c>
      <c r="D7119" s="33" t="s">
        <v>39267</v>
      </c>
      <c r="E7119" s="51" t="s">
        <v>1520</v>
      </c>
      <c r="F7119" s="121" t="s">
        <v>3009</v>
      </c>
      <c r="G7119" s="98" t="str">
        <f>HYPERLINK("http://mirror.ff7data.com.ar/ff7/data/battle/battle.lgp/mjas.png","View Picture")</f>
        <v>View Picture</v>
      </c>
    </row>
    <row r="7120">
      <c r="A7120" s="55"/>
      <c r="B7120" s="119" t="s">
        <v>39275</v>
      </c>
      <c r="C7120" s="120" t="s">
        <v>4707</v>
      </c>
      <c r="D7120" s="33" t="s">
        <v>39267</v>
      </c>
      <c r="E7120" s="51" t="s">
        <v>1520</v>
      </c>
      <c r="F7120" s="121" t="s">
        <v>3009</v>
      </c>
      <c r="G7120" s="98" t="str">
        <f>HYPERLINK("http://mirror.ff7data.com.ar/ff7/data/battle/battle.lgp/mjat.png","View Picture")</f>
        <v>View Picture</v>
      </c>
    </row>
    <row r="7121">
      <c r="A7121" s="55"/>
      <c r="B7121" s="119" t="s">
        <v>39276</v>
      </c>
      <c r="C7121" s="120" t="s">
        <v>4707</v>
      </c>
      <c r="D7121" s="33" t="s">
        <v>39267</v>
      </c>
      <c r="E7121" s="51" t="s">
        <v>1520</v>
      </c>
      <c r="F7121" s="121" t="s">
        <v>3009</v>
      </c>
      <c r="G7121" s="98" t="str">
        <f>HYPERLINK("http://mirror.ff7data.com.ar/ff7/data/battle/battle.lgp/mjau.png","View Picture")</f>
        <v>View Picture</v>
      </c>
    </row>
    <row r="7122">
      <c r="A7122" s="55"/>
      <c r="B7122" s="119" t="s">
        <v>39277</v>
      </c>
      <c r="C7122" s="120" t="s">
        <v>4696</v>
      </c>
      <c r="D7122" s="33" t="s">
        <v>39267</v>
      </c>
      <c r="E7122" s="51" t="s">
        <v>1520</v>
      </c>
      <c r="F7122" s="121" t="s">
        <v>3009</v>
      </c>
      <c r="G7122" s="98" t="str">
        <f>HYPERLINK("http://mirror.ff7data.com.ar/ff7/data/battle/battle.lgp/mjav.png","View Picture")</f>
        <v>View Picture</v>
      </c>
    </row>
    <row r="7123">
      <c r="A7123" s="55"/>
      <c r="B7123" s="119" t="s">
        <v>39278</v>
      </c>
      <c r="C7123" s="120" t="s">
        <v>3573</v>
      </c>
      <c r="D7123" s="33" t="s">
        <v>39267</v>
      </c>
      <c r="E7123" s="51" t="s">
        <v>1520</v>
      </c>
      <c r="F7123" s="121" t="s">
        <v>3009</v>
      </c>
      <c r="G7123" s="98" t="str">
        <f>HYPERLINK("http://mirror.ff7data.com.ar/ff7/data/battle/battle.lgp/mjaw.png","View Picture")</f>
        <v>View Picture</v>
      </c>
    </row>
    <row r="7124">
      <c r="A7124" s="55"/>
      <c r="B7124" s="119" t="s">
        <v>39279</v>
      </c>
      <c r="C7124" s="120" t="s">
        <v>4288</v>
      </c>
      <c r="D7124" s="33" t="s">
        <v>39267</v>
      </c>
      <c r="E7124" s="51" t="s">
        <v>1520</v>
      </c>
      <c r="F7124" s="121" t="s">
        <v>3009</v>
      </c>
      <c r="G7124" s="98" t="str">
        <f>HYPERLINK("http://mirror.ff7data.com.ar/ff7/data/battle/battle.lgp/mjay.png","View Picture")</f>
        <v>View Picture</v>
      </c>
    </row>
    <row r="7125">
      <c r="A7125" s="55"/>
      <c r="B7125" s="119" t="s">
        <v>39280</v>
      </c>
      <c r="C7125" s="120" t="s">
        <v>4185</v>
      </c>
      <c r="D7125" s="33" t="s">
        <v>39267</v>
      </c>
      <c r="E7125" s="51" t="s">
        <v>1520</v>
      </c>
      <c r="F7125" s="121" t="s">
        <v>3009</v>
      </c>
      <c r="G7125" s="98" t="str">
        <f>HYPERLINK("http://mirror.ff7data.com.ar/ff7/data/battle/battle.lgp/mjba.png","View Picture")</f>
        <v>View Picture</v>
      </c>
    </row>
    <row r="7126">
      <c r="A7126" s="55"/>
      <c r="B7126" s="119" t="s">
        <v>39281</v>
      </c>
      <c r="C7126" s="120" t="s">
        <v>4601</v>
      </c>
      <c r="D7126" s="33" t="s">
        <v>39267</v>
      </c>
      <c r="E7126" s="51" t="s">
        <v>1520</v>
      </c>
      <c r="F7126" s="121" t="s">
        <v>3009</v>
      </c>
      <c r="G7126" s="98" t="str">
        <f>HYPERLINK("http://mirror.ff7data.com.ar/ff7/data/battle/battle.lgp/mjbc.png","View Picture")</f>
        <v>View Picture</v>
      </c>
    </row>
    <row r="7127">
      <c r="A7127" s="55"/>
      <c r="B7127" s="119" t="s">
        <v>39282</v>
      </c>
      <c r="C7127" s="120" t="s">
        <v>4288</v>
      </c>
      <c r="D7127" s="33" t="s">
        <v>39267</v>
      </c>
      <c r="E7127" s="51" t="s">
        <v>1520</v>
      </c>
      <c r="F7127" s="121" t="s">
        <v>3009</v>
      </c>
      <c r="G7127" s="98" t="str">
        <f>HYPERLINK("http://mirror.ff7data.com.ar/ff7/data/battle/battle.lgp/mjbe.png","View Picture")</f>
        <v>View Picture</v>
      </c>
    </row>
    <row r="7128">
      <c r="A7128" s="55"/>
      <c r="B7128" s="119" t="s">
        <v>39283</v>
      </c>
      <c r="C7128" s="120" t="s">
        <v>4601</v>
      </c>
      <c r="D7128" s="33" t="s">
        <v>39267</v>
      </c>
      <c r="E7128" s="51" t="s">
        <v>1520</v>
      </c>
      <c r="F7128" s="121" t="s">
        <v>3009</v>
      </c>
      <c r="G7128" s="98" t="str">
        <f>HYPERLINK("http://mirror.ff7data.com.ar/ff7/data/battle/battle.lgp/mjbg.png","View Picture")</f>
        <v>View Picture</v>
      </c>
    </row>
    <row r="7129">
      <c r="A7129" s="55"/>
      <c r="B7129" s="119" t="s">
        <v>39284</v>
      </c>
      <c r="C7129" s="120" t="s">
        <v>4439</v>
      </c>
      <c r="D7129" s="33" t="s">
        <v>39267</v>
      </c>
      <c r="E7129" s="51" t="s">
        <v>1520</v>
      </c>
      <c r="F7129" s="121" t="s">
        <v>3009</v>
      </c>
      <c r="G7129" s="98" t="str">
        <f>HYPERLINK("http://mirror.ff7data.com.ar/ff7/data/battle/battle.lgp/mjbi.png","View Picture")</f>
        <v>View Picture</v>
      </c>
    </row>
    <row r="7130">
      <c r="A7130" s="55"/>
      <c r="B7130" s="119" t="s">
        <v>39285</v>
      </c>
      <c r="C7130" s="120" t="s">
        <v>14030</v>
      </c>
      <c r="D7130" s="33" t="s">
        <v>39267</v>
      </c>
      <c r="E7130" s="51" t="s">
        <v>1520</v>
      </c>
      <c r="F7130" s="121" t="s">
        <v>3025</v>
      </c>
      <c r="H7130" s="46" t="s">
        <v>3002</v>
      </c>
    </row>
    <row r="7131">
      <c r="A7131" s="21"/>
      <c r="B7131" s="119" t="s">
        <v>39286</v>
      </c>
      <c r="C7131" s="120" t="s">
        <v>3557</v>
      </c>
      <c r="D7131" s="33" t="s">
        <v>39287</v>
      </c>
      <c r="E7131" s="51" t="s">
        <v>1524</v>
      </c>
      <c r="F7131" s="121" t="s">
        <v>2971</v>
      </c>
      <c r="G7131" s="98" t="str">
        <f>HYPERLINK("http://mirror.ff7data.com.ar/ff7/data/battle/battle.lgp/mkaa.png","View Picture")</f>
        <v>View Picture</v>
      </c>
      <c r="H7131" s="46" t="s">
        <v>39288</v>
      </c>
    </row>
    <row r="7132">
      <c r="A7132" s="55"/>
      <c r="B7132" s="119" t="s">
        <v>39289</v>
      </c>
      <c r="C7132" s="120" t="s">
        <v>12616</v>
      </c>
      <c r="D7132" s="33" t="s">
        <v>39290</v>
      </c>
      <c r="E7132" s="51" t="s">
        <v>1524</v>
      </c>
      <c r="F7132" s="121" t="s">
        <v>2993</v>
      </c>
      <c r="H7132" s="46" t="s">
        <v>3002</v>
      </c>
    </row>
    <row r="7133">
      <c r="A7133" s="55"/>
      <c r="B7133" s="119" t="s">
        <v>39291</v>
      </c>
      <c r="C7133" s="120" t="s">
        <v>4396</v>
      </c>
      <c r="D7133" s="33" t="s">
        <v>39290</v>
      </c>
      <c r="E7133" s="51" t="s">
        <v>1524</v>
      </c>
      <c r="F7133" s="121" t="s">
        <v>3009</v>
      </c>
      <c r="G7133" s="98" t="str">
        <f>HYPERLINK("http://mirror.ff7data.com.ar/ff7/data/battle/battle.lgp/mkam.png","View Picture")</f>
        <v>View Picture</v>
      </c>
    </row>
    <row r="7134">
      <c r="A7134" s="55"/>
      <c r="B7134" s="119" t="s">
        <v>39292</v>
      </c>
      <c r="C7134" s="120" t="s">
        <v>4372</v>
      </c>
      <c r="D7134" s="33" t="s">
        <v>39290</v>
      </c>
      <c r="E7134" s="51" t="s">
        <v>1524</v>
      </c>
      <c r="F7134" s="121" t="s">
        <v>3009</v>
      </c>
      <c r="G7134" s="98" t="str">
        <f>HYPERLINK("http://mirror.ff7data.com.ar/ff7/data/battle/battle.lgp/mkan.png","View Picture")</f>
        <v>View Picture</v>
      </c>
    </row>
    <row r="7135">
      <c r="A7135" s="55"/>
      <c r="B7135" s="119" t="s">
        <v>39293</v>
      </c>
      <c r="C7135" s="120" t="s">
        <v>4057</v>
      </c>
      <c r="D7135" s="33" t="s">
        <v>39290</v>
      </c>
      <c r="E7135" s="51" t="s">
        <v>1524</v>
      </c>
      <c r="F7135" s="121" t="s">
        <v>3009</v>
      </c>
      <c r="G7135" s="98" t="str">
        <f>HYPERLINK("http://mirror.ff7data.com.ar/ff7/data/battle/battle.lgp/mkao.png","View Picture")</f>
        <v>View Picture</v>
      </c>
    </row>
    <row r="7136">
      <c r="A7136" s="55"/>
      <c r="B7136" s="119" t="s">
        <v>39294</v>
      </c>
      <c r="C7136" s="120" t="s">
        <v>4357</v>
      </c>
      <c r="D7136" s="33" t="s">
        <v>39290</v>
      </c>
      <c r="E7136" s="51" t="s">
        <v>1524</v>
      </c>
      <c r="F7136" s="121" t="s">
        <v>3009</v>
      </c>
      <c r="G7136" s="98" t="str">
        <f>HYPERLINK("http://mirror.ff7data.com.ar/ff7/data/battle/battle.lgp/mkap.png","View Picture")</f>
        <v>View Picture</v>
      </c>
    </row>
    <row r="7137">
      <c r="A7137" s="55"/>
      <c r="B7137" s="119" t="s">
        <v>39295</v>
      </c>
      <c r="C7137" s="120" t="s">
        <v>4841</v>
      </c>
      <c r="D7137" s="33" t="s">
        <v>39290</v>
      </c>
      <c r="E7137" s="51" t="s">
        <v>1524</v>
      </c>
      <c r="F7137" s="121" t="s">
        <v>3009</v>
      </c>
      <c r="G7137" s="98" t="str">
        <f>HYPERLINK("http://mirror.ff7data.com.ar/ff7/data/battle/battle.lgp/mkaq.png","View Picture")</f>
        <v>View Picture</v>
      </c>
    </row>
    <row r="7138">
      <c r="A7138" s="55"/>
      <c r="B7138" s="119" t="s">
        <v>39296</v>
      </c>
      <c r="C7138" s="120" t="s">
        <v>3723</v>
      </c>
      <c r="D7138" s="33" t="s">
        <v>39290</v>
      </c>
      <c r="E7138" s="51" t="s">
        <v>1524</v>
      </c>
      <c r="F7138" s="121" t="s">
        <v>3009</v>
      </c>
      <c r="G7138" s="98" t="str">
        <f>HYPERLINK("http://mirror.ff7data.com.ar/ff7/data/battle/battle.lgp/mkar.png","View Picture")</f>
        <v>View Picture</v>
      </c>
    </row>
    <row r="7139">
      <c r="A7139" s="55"/>
      <c r="B7139" s="119" t="s">
        <v>39297</v>
      </c>
      <c r="C7139" s="120" t="s">
        <v>3749</v>
      </c>
      <c r="D7139" s="33" t="s">
        <v>39290</v>
      </c>
      <c r="E7139" s="51" t="s">
        <v>1524</v>
      </c>
      <c r="F7139" s="121" t="s">
        <v>3009</v>
      </c>
      <c r="G7139" s="98" t="str">
        <f>HYPERLINK("http://mirror.ff7data.com.ar/ff7/data/battle/battle.lgp/mkat.png","View Picture")</f>
        <v>View Picture</v>
      </c>
    </row>
    <row r="7140">
      <c r="A7140" s="55"/>
      <c r="B7140" s="119" t="s">
        <v>39298</v>
      </c>
      <c r="C7140" s="120" t="s">
        <v>4732</v>
      </c>
      <c r="D7140" s="33" t="s">
        <v>39290</v>
      </c>
      <c r="E7140" s="51" t="s">
        <v>1524</v>
      </c>
      <c r="F7140" s="121" t="s">
        <v>3009</v>
      </c>
      <c r="G7140" s="98" t="str">
        <f>HYPERLINK("http://mirror.ff7data.com.ar/ff7/data/battle/battle.lgp/mkau.png","View Picture")</f>
        <v>View Picture</v>
      </c>
    </row>
    <row r="7141">
      <c r="A7141" s="55"/>
      <c r="B7141" s="119" t="s">
        <v>39299</v>
      </c>
      <c r="C7141" s="120" t="s">
        <v>3658</v>
      </c>
      <c r="D7141" s="33" t="s">
        <v>39290</v>
      </c>
      <c r="E7141" s="51" t="s">
        <v>1524</v>
      </c>
      <c r="F7141" s="121" t="s">
        <v>3009</v>
      </c>
      <c r="G7141" s="98" t="str">
        <f>HYPERLINK("http://mirror.ff7data.com.ar/ff7/data/battle/battle.lgp/mkav.png","View Picture")</f>
        <v>View Picture</v>
      </c>
    </row>
    <row r="7142">
      <c r="A7142" s="55"/>
      <c r="B7142" s="119" t="s">
        <v>39300</v>
      </c>
      <c r="C7142" s="120" t="s">
        <v>4357</v>
      </c>
      <c r="D7142" s="33" t="s">
        <v>39290</v>
      </c>
      <c r="E7142" s="51" t="s">
        <v>1524</v>
      </c>
      <c r="F7142" s="121" t="s">
        <v>3009</v>
      </c>
      <c r="G7142" s="98" t="str">
        <f>HYPERLINK("http://mirror.ff7data.com.ar/ff7/data/battle/battle.lgp/mkaw.png","View Picture")</f>
        <v>View Picture</v>
      </c>
    </row>
    <row r="7143">
      <c r="A7143" s="55"/>
      <c r="B7143" s="119" t="s">
        <v>39301</v>
      </c>
      <c r="C7143" s="120" t="s">
        <v>4476</v>
      </c>
      <c r="D7143" s="33" t="s">
        <v>39290</v>
      </c>
      <c r="E7143" s="51" t="s">
        <v>1524</v>
      </c>
      <c r="F7143" s="121" t="s">
        <v>3009</v>
      </c>
      <c r="G7143" s="98" t="str">
        <f>HYPERLINK("http://mirror.ff7data.com.ar/ff7/data/battle/battle.lgp/mkay.png","View Picture")</f>
        <v>View Picture</v>
      </c>
    </row>
    <row r="7144">
      <c r="A7144" s="55"/>
      <c r="B7144" s="119" t="s">
        <v>39302</v>
      </c>
      <c r="C7144" s="120" t="s">
        <v>7165</v>
      </c>
      <c r="D7144" s="33" t="s">
        <v>39290</v>
      </c>
      <c r="E7144" s="51" t="s">
        <v>1524</v>
      </c>
      <c r="F7144" s="121" t="s">
        <v>3009</v>
      </c>
      <c r="G7144" s="98" t="str">
        <f>HYPERLINK("http://mirror.ff7data.com.ar/ff7/data/battle/battle.lgp/mkaz.png","View Picture")</f>
        <v>View Picture</v>
      </c>
    </row>
    <row r="7145">
      <c r="A7145" s="55"/>
      <c r="B7145" s="119" t="s">
        <v>39303</v>
      </c>
      <c r="C7145" s="120" t="s">
        <v>4185</v>
      </c>
      <c r="D7145" s="33" t="s">
        <v>39290</v>
      </c>
      <c r="E7145" s="51" t="s">
        <v>1524</v>
      </c>
      <c r="F7145" s="121" t="s">
        <v>3009</v>
      </c>
      <c r="G7145" s="98" t="str">
        <f>HYPERLINK("http://mirror.ff7data.com.ar/ff7/data/battle/battle.lgp/mkba.png","View Picture")</f>
        <v>View Picture</v>
      </c>
    </row>
    <row r="7146">
      <c r="A7146" s="55"/>
      <c r="B7146" s="119" t="s">
        <v>39304</v>
      </c>
      <c r="C7146" s="120" t="s">
        <v>5891</v>
      </c>
      <c r="D7146" s="33" t="s">
        <v>39290</v>
      </c>
      <c r="E7146" s="51" t="s">
        <v>1524</v>
      </c>
      <c r="F7146" s="121" t="s">
        <v>3009</v>
      </c>
      <c r="G7146" s="98" t="str">
        <f>HYPERLINK("http://mirror.ff7data.com.ar/ff7/data/battle/battle.lgp/mkbc.png","View Picture")</f>
        <v>View Picture</v>
      </c>
    </row>
    <row r="7147">
      <c r="A7147" s="55"/>
      <c r="B7147" s="119" t="s">
        <v>39305</v>
      </c>
      <c r="C7147" s="120" t="s">
        <v>4185</v>
      </c>
      <c r="D7147" s="33" t="s">
        <v>39290</v>
      </c>
      <c r="E7147" s="51" t="s">
        <v>1524</v>
      </c>
      <c r="F7147" s="121" t="s">
        <v>3009</v>
      </c>
      <c r="G7147" s="98" t="str">
        <f>HYPERLINK("http://mirror.ff7data.com.ar/ff7/data/battle/battle.lgp/mkbe.png","View Picture")</f>
        <v>View Picture</v>
      </c>
    </row>
    <row r="7148">
      <c r="A7148" s="55"/>
      <c r="B7148" s="119" t="s">
        <v>39306</v>
      </c>
      <c r="C7148" s="120" t="s">
        <v>7165</v>
      </c>
      <c r="D7148" s="33" t="s">
        <v>39290</v>
      </c>
      <c r="E7148" s="51" t="s">
        <v>1524</v>
      </c>
      <c r="F7148" s="121" t="s">
        <v>3009</v>
      </c>
      <c r="G7148" s="98" t="str">
        <f>HYPERLINK("http://mirror.ff7data.com.ar/ff7/data/battle/battle.lgp/mkbf.png","View Picture")</f>
        <v>View Picture</v>
      </c>
    </row>
    <row r="7149">
      <c r="A7149" s="55"/>
      <c r="B7149" s="119" t="s">
        <v>39307</v>
      </c>
      <c r="C7149" s="120" t="s">
        <v>4185</v>
      </c>
      <c r="D7149" s="33" t="s">
        <v>39290</v>
      </c>
      <c r="E7149" s="51" t="s">
        <v>1524</v>
      </c>
      <c r="F7149" s="121" t="s">
        <v>3009</v>
      </c>
      <c r="G7149" s="98" t="str">
        <f>HYPERLINK("http://mirror.ff7data.com.ar/ff7/data/battle/battle.lgp/mkbg.png","View Picture")</f>
        <v>View Picture</v>
      </c>
    </row>
    <row r="7150">
      <c r="A7150" s="55"/>
      <c r="B7150" s="119" t="s">
        <v>39308</v>
      </c>
      <c r="C7150" s="120" t="s">
        <v>4732</v>
      </c>
      <c r="D7150" s="33" t="s">
        <v>39290</v>
      </c>
      <c r="E7150" s="51" t="s">
        <v>1524</v>
      </c>
      <c r="F7150" s="121" t="s">
        <v>3009</v>
      </c>
      <c r="G7150" s="98" t="str">
        <f>HYPERLINK("http://mirror.ff7data.com.ar/ff7/data/battle/battle.lgp/mkbh.png","View Picture")</f>
        <v>View Picture</v>
      </c>
    </row>
    <row r="7151">
      <c r="A7151" s="55"/>
      <c r="B7151" s="119" t="s">
        <v>39309</v>
      </c>
      <c r="C7151" s="120" t="s">
        <v>3658</v>
      </c>
      <c r="D7151" s="33" t="s">
        <v>39290</v>
      </c>
      <c r="E7151" s="51" t="s">
        <v>1524</v>
      </c>
      <c r="F7151" s="121" t="s">
        <v>3009</v>
      </c>
      <c r="G7151" s="98" t="str">
        <f>HYPERLINK("http://mirror.ff7data.com.ar/ff7/data/battle/battle.lgp/mkbi.png","View Picture")</f>
        <v>View Picture</v>
      </c>
    </row>
    <row r="7152">
      <c r="A7152" s="55"/>
      <c r="B7152" s="119" t="s">
        <v>39310</v>
      </c>
      <c r="C7152" s="120" t="s">
        <v>4357</v>
      </c>
      <c r="D7152" s="33" t="s">
        <v>39290</v>
      </c>
      <c r="E7152" s="51" t="s">
        <v>1524</v>
      </c>
      <c r="F7152" s="121" t="s">
        <v>3009</v>
      </c>
      <c r="G7152" s="98" t="str">
        <f>HYPERLINK("http://mirror.ff7data.com.ar/ff7/data/battle/battle.lgp/mkbj.png","View Picture")</f>
        <v>View Picture</v>
      </c>
    </row>
    <row r="7153">
      <c r="A7153" s="55"/>
      <c r="B7153" s="119" t="s">
        <v>39311</v>
      </c>
      <c r="C7153" s="120" t="s">
        <v>3658</v>
      </c>
      <c r="D7153" s="33" t="s">
        <v>39290</v>
      </c>
      <c r="E7153" s="51" t="s">
        <v>1524</v>
      </c>
      <c r="F7153" s="121" t="s">
        <v>3009</v>
      </c>
      <c r="G7153" s="98" t="str">
        <f>HYPERLINK("http://mirror.ff7data.com.ar/ff7/data/battle/battle.lgp/mkbl.png","View Picture")</f>
        <v>View Picture</v>
      </c>
    </row>
    <row r="7154">
      <c r="A7154" s="55"/>
      <c r="B7154" s="119" t="s">
        <v>39312</v>
      </c>
      <c r="C7154" s="120" t="s">
        <v>4357</v>
      </c>
      <c r="D7154" s="33" t="s">
        <v>39290</v>
      </c>
      <c r="E7154" s="51" t="s">
        <v>1524</v>
      </c>
      <c r="F7154" s="121" t="s">
        <v>3009</v>
      </c>
      <c r="G7154" s="98" t="str">
        <f>HYPERLINK("http://mirror.ff7data.com.ar/ff7/data/battle/battle.lgp/mkbm.png","View Picture")</f>
        <v>View Picture</v>
      </c>
    </row>
    <row r="7155">
      <c r="A7155" s="55"/>
      <c r="B7155" s="119" t="s">
        <v>39313</v>
      </c>
      <c r="C7155" s="120" t="s">
        <v>4288</v>
      </c>
      <c r="D7155" s="33" t="s">
        <v>39290</v>
      </c>
      <c r="E7155" s="51" t="s">
        <v>1524</v>
      </c>
      <c r="F7155" s="121" t="s">
        <v>3009</v>
      </c>
      <c r="G7155" s="98" t="str">
        <f>HYPERLINK("http://mirror.ff7data.com.ar/ff7/data/battle/battle.lgp/mkbn.png","View Picture")</f>
        <v>View Picture</v>
      </c>
    </row>
    <row r="7156">
      <c r="A7156" s="55"/>
      <c r="B7156" s="119" t="s">
        <v>39314</v>
      </c>
      <c r="C7156" s="120" t="s">
        <v>4288</v>
      </c>
      <c r="D7156" s="33" t="s">
        <v>39290</v>
      </c>
      <c r="E7156" s="51" t="s">
        <v>1524</v>
      </c>
      <c r="F7156" s="121" t="s">
        <v>3009</v>
      </c>
      <c r="G7156" s="98" t="str">
        <f>HYPERLINK("http://mirror.ff7data.com.ar/ff7/data/battle/battle.lgp/mkbo.png","View Picture")</f>
        <v>View Picture</v>
      </c>
    </row>
    <row r="7157">
      <c r="A7157" s="55"/>
      <c r="B7157" s="119" t="s">
        <v>39315</v>
      </c>
      <c r="C7157" s="120" t="s">
        <v>7301</v>
      </c>
      <c r="D7157" s="33" t="s">
        <v>39290</v>
      </c>
      <c r="E7157" s="51" t="s">
        <v>1524</v>
      </c>
      <c r="F7157" s="121" t="s">
        <v>3009</v>
      </c>
      <c r="G7157" s="98" t="str">
        <f>HYPERLINK("http://mirror.ff7data.com.ar/ff7/data/battle/battle.lgp/mkbp.png","View Picture")</f>
        <v>View Picture</v>
      </c>
    </row>
    <row r="7158">
      <c r="A7158" s="55"/>
      <c r="B7158" s="119" t="s">
        <v>39316</v>
      </c>
      <c r="C7158" s="120" t="s">
        <v>4476</v>
      </c>
      <c r="D7158" s="33" t="s">
        <v>39290</v>
      </c>
      <c r="E7158" s="51" t="s">
        <v>1524</v>
      </c>
      <c r="F7158" s="121" t="s">
        <v>3009</v>
      </c>
      <c r="G7158" s="98" t="str">
        <f>HYPERLINK("http://mirror.ff7data.com.ar/ff7/data/battle/battle.lgp/mkbr.png","View Picture")</f>
        <v>View Picture</v>
      </c>
    </row>
    <row r="7159">
      <c r="A7159" s="55"/>
      <c r="B7159" s="119" t="s">
        <v>39317</v>
      </c>
      <c r="C7159" s="120" t="s">
        <v>4372</v>
      </c>
      <c r="D7159" s="33" t="s">
        <v>39290</v>
      </c>
      <c r="E7159" s="51" t="s">
        <v>1524</v>
      </c>
      <c r="F7159" s="121" t="s">
        <v>3009</v>
      </c>
      <c r="G7159" s="98" t="str">
        <f>HYPERLINK("http://mirror.ff7data.com.ar/ff7/data/battle/battle.lgp/mkbs.png","View Picture")</f>
        <v>View Picture</v>
      </c>
    </row>
    <row r="7160">
      <c r="A7160" s="55"/>
      <c r="B7160" s="119" t="s">
        <v>39318</v>
      </c>
      <c r="C7160" s="120" t="s">
        <v>7301</v>
      </c>
      <c r="D7160" s="33" t="s">
        <v>39290</v>
      </c>
      <c r="E7160" s="51" t="s">
        <v>1524</v>
      </c>
      <c r="F7160" s="121" t="s">
        <v>3009</v>
      </c>
      <c r="G7160" s="98" t="str">
        <f>HYPERLINK("http://mirror.ff7data.com.ar/ff7/data/battle/battle.lgp/mkbt.png","View Picture")</f>
        <v>View Picture</v>
      </c>
    </row>
    <row r="7161">
      <c r="A7161" s="55"/>
      <c r="B7161" s="119" t="s">
        <v>39319</v>
      </c>
      <c r="C7161" s="120" t="s">
        <v>4476</v>
      </c>
      <c r="D7161" s="33" t="s">
        <v>39290</v>
      </c>
      <c r="E7161" s="51" t="s">
        <v>1524</v>
      </c>
      <c r="F7161" s="121" t="s">
        <v>3009</v>
      </c>
      <c r="G7161" s="98" t="str">
        <f>HYPERLINK("http://mirror.ff7data.com.ar/ff7/data/battle/battle.lgp/mkbv.png","View Picture")</f>
        <v>View Picture</v>
      </c>
    </row>
    <row r="7162">
      <c r="A7162" s="55"/>
      <c r="B7162" s="119" t="s">
        <v>39320</v>
      </c>
      <c r="C7162" s="120" t="s">
        <v>4372</v>
      </c>
      <c r="D7162" s="33" t="s">
        <v>39290</v>
      </c>
      <c r="E7162" s="51" t="s">
        <v>1524</v>
      </c>
      <c r="F7162" s="121" t="s">
        <v>3009</v>
      </c>
      <c r="G7162" s="98" t="str">
        <f>HYPERLINK("http://mirror.ff7data.com.ar/ff7/data/battle/battle.lgp/mkbw.png","View Picture")</f>
        <v>View Picture</v>
      </c>
    </row>
    <row r="7163">
      <c r="A7163" s="55"/>
      <c r="B7163" s="119" t="s">
        <v>39321</v>
      </c>
      <c r="C7163" s="120" t="s">
        <v>3412</v>
      </c>
      <c r="D7163" s="33" t="s">
        <v>39290</v>
      </c>
      <c r="E7163" s="51" t="s">
        <v>1524</v>
      </c>
      <c r="F7163" s="121" t="s">
        <v>3009</v>
      </c>
      <c r="G7163" s="98" t="str">
        <f>HYPERLINK("http://mirror.ff7data.com.ar/ff7/data/battle/battle.lgp/mkbx.png","View Picture")</f>
        <v>View Picture</v>
      </c>
    </row>
    <row r="7164">
      <c r="A7164" s="55"/>
      <c r="B7164" s="119" t="s">
        <v>39322</v>
      </c>
      <c r="C7164" s="120" t="s">
        <v>4191</v>
      </c>
      <c r="D7164" s="33" t="s">
        <v>39290</v>
      </c>
      <c r="E7164" s="51" t="s">
        <v>1524</v>
      </c>
      <c r="F7164" s="121" t="s">
        <v>3025</v>
      </c>
      <c r="H7164" s="46" t="s">
        <v>3002</v>
      </c>
    </row>
    <row r="7165">
      <c r="A7165" s="21"/>
      <c r="B7165" s="119" t="s">
        <v>39323</v>
      </c>
      <c r="C7165" s="120" t="s">
        <v>6802</v>
      </c>
      <c r="D7165" s="33" t="s">
        <v>39324</v>
      </c>
      <c r="E7165" s="51" t="s">
        <v>1529</v>
      </c>
      <c r="F7165" s="121" t="s">
        <v>2971</v>
      </c>
      <c r="G7165" s="98" t="str">
        <f>HYPERLINK("http://mirror.ff7data.com.ar/ff7/data/battle/battle.lgp/mlaa.png","View Picture")</f>
        <v>View Picture</v>
      </c>
      <c r="H7165" s="46" t="s">
        <v>39325</v>
      </c>
    </row>
    <row r="7166">
      <c r="A7166" s="55"/>
      <c r="B7166" s="119" t="s">
        <v>39326</v>
      </c>
      <c r="C7166" s="120" t="s">
        <v>12616</v>
      </c>
      <c r="D7166" s="33" t="s">
        <v>39327</v>
      </c>
      <c r="E7166" s="51" t="s">
        <v>1529</v>
      </c>
      <c r="F7166" s="121" t="s">
        <v>2993</v>
      </c>
      <c r="H7166" s="46" t="s">
        <v>3002</v>
      </c>
    </row>
    <row r="7167">
      <c r="A7167" s="55"/>
      <c r="B7167" s="119" t="s">
        <v>39328</v>
      </c>
      <c r="C7167" s="120" t="s">
        <v>4191</v>
      </c>
      <c r="D7167" s="33" t="s">
        <v>39327</v>
      </c>
      <c r="E7167" s="51" t="s">
        <v>1529</v>
      </c>
      <c r="F7167" s="121" t="s">
        <v>1348</v>
      </c>
      <c r="G7167" s="98" t="str">
        <f>HYPERLINK("http://mirror.ff7data.com.ar/ff7/data/battle/battle.lgp/mlac.png","View Picture")</f>
        <v>View Picture</v>
      </c>
    </row>
    <row r="7168">
      <c r="A7168" s="55"/>
      <c r="B7168" s="119" t="s">
        <v>39329</v>
      </c>
      <c r="C7168" s="120" t="s">
        <v>7081</v>
      </c>
      <c r="D7168" s="33" t="s">
        <v>39327</v>
      </c>
      <c r="E7168" s="51" t="s">
        <v>1529</v>
      </c>
      <c r="F7168" s="121" t="s">
        <v>1348</v>
      </c>
      <c r="G7168" s="98" t="str">
        <f>HYPERLINK("http://mirror.ff7data.com.ar/ff7/data/battle/battle.lgp/mlad.png","View Picture")</f>
        <v>View Picture</v>
      </c>
    </row>
    <row r="7169">
      <c r="A7169" s="55"/>
      <c r="B7169" s="119" t="s">
        <v>39330</v>
      </c>
      <c r="C7169" s="120" t="s">
        <v>3997</v>
      </c>
      <c r="D7169" s="33" t="s">
        <v>39327</v>
      </c>
      <c r="E7169" s="51" t="s">
        <v>1529</v>
      </c>
      <c r="F7169" s="121" t="s">
        <v>1348</v>
      </c>
      <c r="G7169" s="98" t="str">
        <f>HYPERLINK("http://mirror.ff7data.com.ar/ff7/data/battle/battle.lgp/mlae.png","View Picture")</f>
        <v>View Picture</v>
      </c>
    </row>
    <row r="7170">
      <c r="A7170" s="55"/>
      <c r="B7170" s="119" t="s">
        <v>39331</v>
      </c>
      <c r="C7170" s="120" t="s">
        <v>5891</v>
      </c>
      <c r="D7170" s="33" t="s">
        <v>39327</v>
      </c>
      <c r="E7170" s="51" t="s">
        <v>1529</v>
      </c>
      <c r="F7170" s="121" t="s">
        <v>3009</v>
      </c>
      <c r="G7170" s="98" t="str">
        <f>HYPERLINK("http://mirror.ff7data.com.ar/ff7/data/battle/battle.lgp/mlam.png","View Picture")</f>
        <v>View Picture</v>
      </c>
    </row>
    <row r="7171">
      <c r="A7171" s="55"/>
      <c r="B7171" s="119" t="s">
        <v>39332</v>
      </c>
      <c r="C7171" s="120" t="s">
        <v>8376</v>
      </c>
      <c r="D7171" s="33" t="s">
        <v>39327</v>
      </c>
      <c r="E7171" s="51" t="s">
        <v>1529</v>
      </c>
      <c r="F7171" s="121" t="s">
        <v>3009</v>
      </c>
      <c r="G7171" s="98" t="str">
        <f>HYPERLINK("http://mirror.ff7data.com.ar/ff7/data/battle/battle.lgp/mlan.png","View Picture")</f>
        <v>View Picture</v>
      </c>
    </row>
    <row r="7172">
      <c r="A7172" s="55"/>
      <c r="B7172" s="119" t="s">
        <v>39333</v>
      </c>
      <c r="C7172" s="120" t="s">
        <v>4707</v>
      </c>
      <c r="D7172" s="33" t="s">
        <v>39327</v>
      </c>
      <c r="E7172" s="51" t="s">
        <v>1529</v>
      </c>
      <c r="F7172" s="121" t="s">
        <v>3009</v>
      </c>
      <c r="G7172" s="98" t="str">
        <f>HYPERLINK("http://mirror.ff7data.com.ar/ff7/data/battle/battle.lgp/mlaq.png","View Picture")</f>
        <v>View Picture</v>
      </c>
    </row>
    <row r="7173">
      <c r="A7173" s="55"/>
      <c r="B7173" s="119" t="s">
        <v>39334</v>
      </c>
      <c r="C7173" s="120" t="s">
        <v>5891</v>
      </c>
      <c r="D7173" s="33" t="s">
        <v>39327</v>
      </c>
      <c r="E7173" s="51" t="s">
        <v>1529</v>
      </c>
      <c r="F7173" s="121" t="s">
        <v>3009</v>
      </c>
      <c r="G7173" s="98" t="str">
        <f>HYPERLINK("http://mirror.ff7data.com.ar/ff7/data/battle/battle.lgp/mlar.png","View Picture")</f>
        <v>View Picture</v>
      </c>
    </row>
    <row r="7174">
      <c r="A7174" s="55"/>
      <c r="B7174" s="119" t="s">
        <v>39335</v>
      </c>
      <c r="C7174" s="120" t="s">
        <v>3768</v>
      </c>
      <c r="D7174" s="33" t="s">
        <v>39327</v>
      </c>
      <c r="E7174" s="51" t="s">
        <v>1529</v>
      </c>
      <c r="F7174" s="121" t="s">
        <v>3009</v>
      </c>
      <c r="G7174" s="98" t="str">
        <f>HYPERLINK("http://mirror.ff7data.com.ar/ff7/data/battle/battle.lgp/mlas.png","View Picture")</f>
        <v>View Picture</v>
      </c>
    </row>
    <row r="7175">
      <c r="A7175" s="55"/>
      <c r="B7175" s="119" t="s">
        <v>39336</v>
      </c>
      <c r="C7175" s="120" t="s">
        <v>4841</v>
      </c>
      <c r="D7175" s="33" t="s">
        <v>39327</v>
      </c>
      <c r="E7175" s="51" t="s">
        <v>1529</v>
      </c>
      <c r="F7175" s="121" t="s">
        <v>3009</v>
      </c>
      <c r="G7175" s="98" t="str">
        <f>HYPERLINK("http://mirror.ff7data.com.ar/ff7/data/battle/battle.lgp/mlat.png","View Picture")</f>
        <v>View Picture</v>
      </c>
    </row>
    <row r="7176">
      <c r="A7176" s="55"/>
      <c r="B7176" s="119" t="s">
        <v>39337</v>
      </c>
      <c r="C7176" s="120" t="s">
        <v>4288</v>
      </c>
      <c r="D7176" s="33" t="s">
        <v>39327</v>
      </c>
      <c r="E7176" s="51" t="s">
        <v>1529</v>
      </c>
      <c r="F7176" s="121" t="s">
        <v>3009</v>
      </c>
      <c r="G7176" s="98" t="str">
        <f>HYPERLINK("http://mirror.ff7data.com.ar/ff7/data/battle/battle.lgp/mlav.png","View Picture")</f>
        <v>View Picture</v>
      </c>
    </row>
    <row r="7177">
      <c r="A7177" s="55"/>
      <c r="B7177" s="119" t="s">
        <v>39338</v>
      </c>
      <c r="C7177" s="120" t="s">
        <v>4439</v>
      </c>
      <c r="D7177" s="33" t="s">
        <v>39327</v>
      </c>
      <c r="E7177" s="51" t="s">
        <v>1529</v>
      </c>
      <c r="F7177" s="121" t="s">
        <v>3009</v>
      </c>
      <c r="G7177" s="98" t="str">
        <f>HYPERLINK("http://mirror.ff7data.com.ar/ff7/data/battle/battle.lgp/mlaw.png","View Picture")</f>
        <v>View Picture</v>
      </c>
    </row>
    <row r="7178">
      <c r="A7178" s="55"/>
      <c r="B7178" s="119" t="s">
        <v>39339</v>
      </c>
      <c r="C7178" s="120" t="s">
        <v>4288</v>
      </c>
      <c r="D7178" s="33" t="s">
        <v>39327</v>
      </c>
      <c r="E7178" s="51" t="s">
        <v>1529</v>
      </c>
      <c r="F7178" s="121" t="s">
        <v>3009</v>
      </c>
      <c r="G7178" s="98" t="str">
        <f>HYPERLINK("http://mirror.ff7data.com.ar/ff7/data/battle/battle.lgp/mlay.png","View Picture")</f>
        <v>View Picture</v>
      </c>
    </row>
    <row r="7179">
      <c r="A7179" s="55"/>
      <c r="B7179" s="119" t="s">
        <v>39340</v>
      </c>
      <c r="C7179" s="120" t="s">
        <v>4439</v>
      </c>
      <c r="D7179" s="33" t="s">
        <v>39327</v>
      </c>
      <c r="E7179" s="51" t="s">
        <v>1529</v>
      </c>
      <c r="F7179" s="121" t="s">
        <v>3009</v>
      </c>
      <c r="G7179" s="98" t="str">
        <f>HYPERLINK("http://mirror.ff7data.com.ar/ff7/data/battle/battle.lgp/mlaz.png","View Picture")</f>
        <v>View Picture</v>
      </c>
    </row>
    <row r="7180">
      <c r="A7180" s="55"/>
      <c r="B7180" s="119" t="s">
        <v>39341</v>
      </c>
      <c r="C7180" s="120" t="s">
        <v>3842</v>
      </c>
      <c r="D7180" s="33" t="s">
        <v>39327</v>
      </c>
      <c r="E7180" s="51" t="s">
        <v>1529</v>
      </c>
      <c r="F7180" s="121" t="s">
        <v>3009</v>
      </c>
      <c r="G7180" s="98" t="str">
        <f>HYPERLINK("http://mirror.ff7data.com.ar/ff7/data/battle/battle.lgp/mlbc.png","View Picture")</f>
        <v>View Picture</v>
      </c>
    </row>
    <row r="7181">
      <c r="A7181" s="55"/>
      <c r="B7181" s="119" t="s">
        <v>39342</v>
      </c>
      <c r="C7181" s="120" t="s">
        <v>4707</v>
      </c>
      <c r="D7181" s="33" t="s">
        <v>39327</v>
      </c>
      <c r="E7181" s="51" t="s">
        <v>1529</v>
      </c>
      <c r="F7181" s="121" t="s">
        <v>3009</v>
      </c>
      <c r="G7181" s="98" t="str">
        <f>HYPERLINK("http://mirror.ff7data.com.ar/ff7/data/battle/battle.lgp/mlbf.png","View Picture")</f>
        <v>View Picture</v>
      </c>
    </row>
    <row r="7182">
      <c r="A7182" s="55"/>
      <c r="B7182" s="119" t="s">
        <v>39343</v>
      </c>
      <c r="C7182" s="120" t="s">
        <v>3842</v>
      </c>
      <c r="D7182" s="33" t="s">
        <v>39327</v>
      </c>
      <c r="E7182" s="51" t="s">
        <v>1529</v>
      </c>
      <c r="F7182" s="121" t="s">
        <v>3009</v>
      </c>
      <c r="G7182" s="98" t="str">
        <f>HYPERLINK("http://mirror.ff7data.com.ar/ff7/data/battle/battle.lgp/mlbg.png","View Picture")</f>
        <v>View Picture</v>
      </c>
    </row>
    <row r="7183">
      <c r="A7183" s="55"/>
      <c r="B7183" s="119" t="s">
        <v>39344</v>
      </c>
      <c r="C7183" s="120" t="s">
        <v>3768</v>
      </c>
      <c r="D7183" s="33" t="s">
        <v>39327</v>
      </c>
      <c r="E7183" s="51" t="s">
        <v>1529</v>
      </c>
      <c r="F7183" s="121" t="s">
        <v>3009</v>
      </c>
      <c r="G7183" s="98" t="str">
        <f>HYPERLINK("http://mirror.ff7data.com.ar/ff7/data/battle/battle.lgp/mlbh.png","View Picture")</f>
        <v>View Picture</v>
      </c>
    </row>
    <row r="7184">
      <c r="A7184" s="55"/>
      <c r="B7184" s="119" t="s">
        <v>39345</v>
      </c>
      <c r="C7184" s="120" t="s">
        <v>7871</v>
      </c>
      <c r="D7184" s="33" t="s">
        <v>39327</v>
      </c>
      <c r="E7184" s="51" t="s">
        <v>1529</v>
      </c>
      <c r="F7184" s="121" t="s">
        <v>3009</v>
      </c>
      <c r="G7184" s="98" t="str">
        <f>HYPERLINK("http://mirror.ff7data.com.ar/ff7/data/battle/battle.lgp/mlbi.png","View Picture")</f>
        <v>View Picture</v>
      </c>
    </row>
    <row r="7185">
      <c r="A7185" s="55"/>
      <c r="B7185" s="119" t="s">
        <v>39346</v>
      </c>
      <c r="C7185" s="120" t="s">
        <v>4601</v>
      </c>
      <c r="D7185" s="33" t="s">
        <v>39327</v>
      </c>
      <c r="E7185" s="51" t="s">
        <v>1529</v>
      </c>
      <c r="F7185" s="121" t="s">
        <v>3009</v>
      </c>
      <c r="G7185" s="98" t="str">
        <f>HYPERLINK("http://mirror.ff7data.com.ar/ff7/data/battle/battle.lgp/mlbk.png","View Picture")</f>
        <v>View Picture</v>
      </c>
    </row>
    <row r="7186">
      <c r="A7186" s="55"/>
      <c r="B7186" s="119" t="s">
        <v>39347</v>
      </c>
      <c r="C7186" s="120" t="s">
        <v>9041</v>
      </c>
      <c r="D7186" s="33" t="s">
        <v>39327</v>
      </c>
      <c r="E7186" s="51" t="s">
        <v>1529</v>
      </c>
      <c r="F7186" s="121" t="s">
        <v>3009</v>
      </c>
      <c r="G7186" s="98" t="str">
        <f>HYPERLINK("http://mirror.ff7data.com.ar/ff7/data/battle/battle.lgp/mlbl.png","View Picture")</f>
        <v>View Picture</v>
      </c>
    </row>
    <row r="7187">
      <c r="A7187" s="55"/>
      <c r="B7187" s="119" t="s">
        <v>39348</v>
      </c>
      <c r="C7187" s="120" t="s">
        <v>4601</v>
      </c>
      <c r="D7187" s="33" t="s">
        <v>39327</v>
      </c>
      <c r="E7187" s="51" t="s">
        <v>1529</v>
      </c>
      <c r="F7187" s="121" t="s">
        <v>3009</v>
      </c>
      <c r="G7187" s="98" t="str">
        <f>HYPERLINK("http://mirror.ff7data.com.ar/ff7/data/battle/battle.lgp/mlbn.png","View Picture")</f>
        <v>View Picture</v>
      </c>
    </row>
    <row r="7188">
      <c r="A7188" s="55"/>
      <c r="B7188" s="119" t="s">
        <v>39349</v>
      </c>
      <c r="C7188" s="120" t="s">
        <v>9041</v>
      </c>
      <c r="D7188" s="33" t="s">
        <v>39327</v>
      </c>
      <c r="E7188" s="51" t="s">
        <v>1529</v>
      </c>
      <c r="F7188" s="121" t="s">
        <v>3009</v>
      </c>
      <c r="G7188" s="98" t="str">
        <f>HYPERLINK("http://mirror.ff7data.com.ar/ff7/data/battle/battle.lgp/mlbo.png","View Picture")</f>
        <v>View Picture</v>
      </c>
    </row>
    <row r="7189">
      <c r="A7189" s="55"/>
      <c r="B7189" s="119" t="s">
        <v>39350</v>
      </c>
      <c r="C7189" s="120" t="s">
        <v>4228</v>
      </c>
      <c r="D7189" s="33" t="s">
        <v>39327</v>
      </c>
      <c r="E7189" s="51" t="s">
        <v>1529</v>
      </c>
      <c r="F7189" s="121" t="s">
        <v>3025</v>
      </c>
      <c r="H7189" s="46" t="s">
        <v>3002</v>
      </c>
    </row>
    <row r="7190">
      <c r="A7190" s="21"/>
      <c r="B7190" s="119" t="s">
        <v>39351</v>
      </c>
      <c r="C7190" s="120" t="s">
        <v>6802</v>
      </c>
      <c r="D7190" s="33" t="s">
        <v>39352</v>
      </c>
      <c r="E7190" s="51" t="s">
        <v>1533</v>
      </c>
      <c r="F7190" s="121" t="s">
        <v>2971</v>
      </c>
      <c r="G7190" s="98" t="str">
        <f>HYPERLINK("http://mirror.ff7data.com.ar/ff7/data/battle/battle.lgp/mmaa.png","View Picture")</f>
        <v>View Picture</v>
      </c>
    </row>
    <row r="7191">
      <c r="A7191" s="55"/>
      <c r="B7191" s="119" t="s">
        <v>39353</v>
      </c>
      <c r="C7191" s="120" t="s">
        <v>3914</v>
      </c>
      <c r="D7191" s="33" t="s">
        <v>39354</v>
      </c>
      <c r="E7191" s="51" t="s">
        <v>1533</v>
      </c>
      <c r="F7191" s="121" t="s">
        <v>2993</v>
      </c>
      <c r="H7191" s="46" t="s">
        <v>3002</v>
      </c>
    </row>
    <row r="7192">
      <c r="A7192" s="55"/>
      <c r="B7192" s="119" t="s">
        <v>39355</v>
      </c>
      <c r="C7192" s="120" t="s">
        <v>39356</v>
      </c>
      <c r="D7192" s="33" t="s">
        <v>39354</v>
      </c>
      <c r="E7192" s="51" t="s">
        <v>1533</v>
      </c>
      <c r="F7192" s="121" t="s">
        <v>3009</v>
      </c>
      <c r="G7192" s="98" t="str">
        <f>HYPERLINK("http://mirror.ff7data.com.ar/ff7/data/battle/battle.lgp/mmam.png","View Picture")</f>
        <v>View Picture</v>
      </c>
    </row>
    <row r="7193">
      <c r="A7193" s="55"/>
      <c r="B7193" s="119" t="s">
        <v>39357</v>
      </c>
      <c r="C7193" s="120" t="s">
        <v>3318</v>
      </c>
      <c r="D7193" s="33" t="s">
        <v>39354</v>
      </c>
      <c r="E7193" s="51" t="s">
        <v>1533</v>
      </c>
      <c r="F7193" s="121" t="s">
        <v>3009</v>
      </c>
      <c r="G7193" s="98" t="str">
        <f>HYPERLINK("http://mirror.ff7data.com.ar/ff7/data/battle/battle.lgp/mman.png","View Picture")</f>
        <v>View Picture</v>
      </c>
    </row>
    <row r="7194">
      <c r="A7194" s="55"/>
      <c r="B7194" s="119" t="s">
        <v>39358</v>
      </c>
      <c r="C7194" s="120" t="s">
        <v>4439</v>
      </c>
      <c r="D7194" s="33" t="s">
        <v>39354</v>
      </c>
      <c r="E7194" s="51" t="s">
        <v>1533</v>
      </c>
      <c r="F7194" s="121" t="s">
        <v>3009</v>
      </c>
      <c r="G7194" s="98" t="str">
        <f>HYPERLINK("http://mirror.ff7data.com.ar/ff7/data/battle/battle.lgp/mmaq.png","View Picture")</f>
        <v>View Picture</v>
      </c>
    </row>
    <row r="7195">
      <c r="A7195" s="55"/>
      <c r="B7195" s="119" t="s">
        <v>39359</v>
      </c>
      <c r="C7195" s="120" t="s">
        <v>4288</v>
      </c>
      <c r="D7195" s="33" t="s">
        <v>39354</v>
      </c>
      <c r="E7195" s="51" t="s">
        <v>1533</v>
      </c>
      <c r="F7195" s="121" t="s">
        <v>3009</v>
      </c>
      <c r="G7195" s="98" t="str">
        <f>HYPERLINK("http://mirror.ff7data.com.ar/ff7/data/battle/battle.lgp/mmar.png","View Picture")</f>
        <v>View Picture</v>
      </c>
    </row>
    <row r="7196">
      <c r="A7196" s="55"/>
      <c r="B7196" s="119" t="s">
        <v>39360</v>
      </c>
      <c r="C7196" s="120" t="s">
        <v>4288</v>
      </c>
      <c r="D7196" s="33" t="s">
        <v>39354</v>
      </c>
      <c r="E7196" s="51" t="s">
        <v>1533</v>
      </c>
      <c r="F7196" s="121" t="s">
        <v>3009</v>
      </c>
      <c r="G7196" s="98" t="str">
        <f>HYPERLINK("http://mirror.ff7data.com.ar/ff7/data/battle/battle.lgp/mmas.png","View Picture")</f>
        <v>View Picture</v>
      </c>
    </row>
    <row r="7197">
      <c r="A7197" s="55"/>
      <c r="B7197" s="119" t="s">
        <v>39361</v>
      </c>
      <c r="C7197" s="120" t="s">
        <v>4288</v>
      </c>
      <c r="D7197" s="33" t="s">
        <v>39354</v>
      </c>
      <c r="E7197" s="51" t="s">
        <v>1533</v>
      </c>
      <c r="F7197" s="121" t="s">
        <v>3009</v>
      </c>
      <c r="G7197" s="98" t="str">
        <f>HYPERLINK("http://mirror.ff7data.com.ar/ff7/data/battle/battle.lgp/mmat.png","View Picture")</f>
        <v>View Picture</v>
      </c>
    </row>
    <row r="7198">
      <c r="A7198" s="55"/>
      <c r="B7198" s="119" t="s">
        <v>39362</v>
      </c>
      <c r="C7198" s="120" t="s">
        <v>4288</v>
      </c>
      <c r="D7198" s="33" t="s">
        <v>39354</v>
      </c>
      <c r="E7198" s="51" t="s">
        <v>1533</v>
      </c>
      <c r="F7198" s="121" t="s">
        <v>3009</v>
      </c>
      <c r="G7198" s="98" t="str">
        <f>HYPERLINK("http://mirror.ff7data.com.ar/ff7/data/battle/battle.lgp/mmau.png","View Picture")</f>
        <v>View Picture</v>
      </c>
    </row>
    <row r="7199">
      <c r="A7199" s="55"/>
      <c r="B7199" s="119" t="s">
        <v>39363</v>
      </c>
      <c r="C7199" s="120" t="s">
        <v>4288</v>
      </c>
      <c r="D7199" s="33" t="s">
        <v>39354</v>
      </c>
      <c r="E7199" s="51" t="s">
        <v>1533</v>
      </c>
      <c r="F7199" s="121" t="s">
        <v>3009</v>
      </c>
      <c r="G7199" s="98" t="str">
        <f>HYPERLINK("http://mirror.ff7data.com.ar/ff7/data/battle/battle.lgp/mmav.png","View Picture")</f>
        <v>View Picture</v>
      </c>
    </row>
    <row r="7200">
      <c r="A7200" s="55"/>
      <c r="B7200" s="119" t="s">
        <v>39364</v>
      </c>
      <c r="C7200" s="120" t="s">
        <v>4288</v>
      </c>
      <c r="D7200" s="33" t="s">
        <v>39354</v>
      </c>
      <c r="E7200" s="51" t="s">
        <v>1533</v>
      </c>
      <c r="F7200" s="121" t="s">
        <v>3009</v>
      </c>
      <c r="G7200" s="98" t="str">
        <f>HYPERLINK("http://mirror.ff7data.com.ar/ff7/data/battle/battle.lgp/mmaw.png","View Picture")</f>
        <v>View Picture</v>
      </c>
    </row>
    <row r="7201">
      <c r="A7201" s="55"/>
      <c r="B7201" s="119" t="s">
        <v>39365</v>
      </c>
      <c r="C7201" s="120" t="s">
        <v>3723</v>
      </c>
      <c r="D7201" s="33" t="s">
        <v>39354</v>
      </c>
      <c r="E7201" s="51" t="s">
        <v>1533</v>
      </c>
      <c r="F7201" s="121" t="s">
        <v>3009</v>
      </c>
      <c r="G7201" s="98" t="str">
        <f>HYPERLINK("http://mirror.ff7data.com.ar/ff7/data/battle/battle.lgp/mmax.png","View Picture")</f>
        <v>View Picture</v>
      </c>
    </row>
    <row r="7202">
      <c r="A7202" s="55"/>
      <c r="B7202" s="119" t="s">
        <v>39366</v>
      </c>
      <c r="C7202" s="120" t="s">
        <v>3519</v>
      </c>
      <c r="D7202" s="33" t="s">
        <v>39354</v>
      </c>
      <c r="E7202" s="51" t="s">
        <v>1533</v>
      </c>
      <c r="F7202" s="121" t="s">
        <v>3009</v>
      </c>
      <c r="G7202" s="98" t="str">
        <f>HYPERLINK("http://mirror.ff7data.com.ar/ff7/data/battle/battle.lgp/mmba.png","View Picture")</f>
        <v>View Picture</v>
      </c>
    </row>
    <row r="7203">
      <c r="A7203" s="55"/>
      <c r="B7203" s="119" t="s">
        <v>39367</v>
      </c>
      <c r="C7203" s="120" t="s">
        <v>3519</v>
      </c>
      <c r="D7203" s="33" t="s">
        <v>39354</v>
      </c>
      <c r="E7203" s="51" t="s">
        <v>1533</v>
      </c>
      <c r="F7203" s="121" t="s">
        <v>3009</v>
      </c>
      <c r="G7203" s="98" t="str">
        <f>HYPERLINK("http://mirror.ff7data.com.ar/ff7/data/battle/battle.lgp/mmbe.png","View Picture")</f>
        <v>View Picture</v>
      </c>
    </row>
    <row r="7204">
      <c r="A7204" s="55"/>
      <c r="B7204" s="119" t="s">
        <v>39368</v>
      </c>
      <c r="C7204" s="120" t="s">
        <v>4185</v>
      </c>
      <c r="D7204" s="33" t="s">
        <v>39354</v>
      </c>
      <c r="E7204" s="51" t="s">
        <v>1533</v>
      </c>
      <c r="F7204" s="121" t="s">
        <v>3009</v>
      </c>
      <c r="G7204" s="98" t="str">
        <f>HYPERLINK("http://mirror.ff7data.com.ar/ff7/data/battle/battle.lgp/mmbh.png","View Picture")</f>
        <v>View Picture</v>
      </c>
    </row>
    <row r="7205">
      <c r="A7205" s="55"/>
      <c r="B7205" s="119" t="s">
        <v>39369</v>
      </c>
      <c r="C7205" s="120" t="s">
        <v>4288</v>
      </c>
      <c r="D7205" s="33" t="s">
        <v>39354</v>
      </c>
      <c r="E7205" s="51" t="s">
        <v>1533</v>
      </c>
      <c r="F7205" s="121" t="s">
        <v>3009</v>
      </c>
      <c r="G7205" s="98" t="str">
        <f>HYPERLINK("http://mirror.ff7data.com.ar/ff7/data/battle/battle.lgp/mmbi.png","View Picture")</f>
        <v>View Picture</v>
      </c>
    </row>
    <row r="7206">
      <c r="A7206" s="55"/>
      <c r="B7206" s="119" t="s">
        <v>39370</v>
      </c>
      <c r="C7206" s="120" t="s">
        <v>4288</v>
      </c>
      <c r="D7206" s="33" t="s">
        <v>39354</v>
      </c>
      <c r="E7206" s="51" t="s">
        <v>1533</v>
      </c>
      <c r="F7206" s="121" t="s">
        <v>3009</v>
      </c>
      <c r="G7206" s="98" t="str">
        <f>HYPERLINK("http://mirror.ff7data.com.ar/ff7/data/battle/battle.lgp/mmbj.png","View Picture")</f>
        <v>View Picture</v>
      </c>
    </row>
    <row r="7207">
      <c r="A7207" s="55"/>
      <c r="B7207" s="119" t="s">
        <v>39371</v>
      </c>
      <c r="C7207" s="120" t="s">
        <v>4288</v>
      </c>
      <c r="D7207" s="33" t="s">
        <v>39354</v>
      </c>
      <c r="E7207" s="51" t="s">
        <v>1533</v>
      </c>
      <c r="F7207" s="121" t="s">
        <v>3009</v>
      </c>
      <c r="G7207" s="98" t="str">
        <f>HYPERLINK("http://mirror.ff7data.com.ar/ff7/data/battle/battle.lgp/mmbk.png","View Picture")</f>
        <v>View Picture</v>
      </c>
    </row>
    <row r="7208">
      <c r="A7208" s="55"/>
      <c r="B7208" s="119" t="s">
        <v>39372</v>
      </c>
      <c r="C7208" s="120" t="s">
        <v>4288</v>
      </c>
      <c r="D7208" s="33" t="s">
        <v>39354</v>
      </c>
      <c r="E7208" s="51" t="s">
        <v>1533</v>
      </c>
      <c r="F7208" s="121" t="s">
        <v>3009</v>
      </c>
      <c r="G7208" s="98" t="str">
        <f>HYPERLINK("http://mirror.ff7data.com.ar/ff7/data/battle/battle.lgp/mmbl.png","View Picture")</f>
        <v>View Picture</v>
      </c>
    </row>
    <row r="7209">
      <c r="A7209" s="55"/>
      <c r="B7209" s="119" t="s">
        <v>39373</v>
      </c>
      <c r="C7209" s="120" t="s">
        <v>4288</v>
      </c>
      <c r="D7209" s="33" t="s">
        <v>39354</v>
      </c>
      <c r="E7209" s="51" t="s">
        <v>1533</v>
      </c>
      <c r="F7209" s="121" t="s">
        <v>3009</v>
      </c>
      <c r="G7209" s="98" t="str">
        <f>HYPERLINK("http://mirror.ff7data.com.ar/ff7/data/battle/battle.lgp/mmbm.png","View Picture")</f>
        <v>View Picture</v>
      </c>
    </row>
    <row r="7210">
      <c r="A7210" s="55"/>
      <c r="B7210" s="119" t="s">
        <v>39374</v>
      </c>
      <c r="C7210" s="120" t="s">
        <v>4288</v>
      </c>
      <c r="D7210" s="33" t="s">
        <v>39354</v>
      </c>
      <c r="E7210" s="51" t="s">
        <v>1533</v>
      </c>
      <c r="F7210" s="121" t="s">
        <v>3009</v>
      </c>
      <c r="G7210" s="98" t="str">
        <f>HYPERLINK("http://mirror.ff7data.com.ar/ff7/data/battle/battle.lgp/mmbn.png","View Picture")</f>
        <v>View Picture</v>
      </c>
    </row>
    <row r="7211">
      <c r="A7211" s="55"/>
      <c r="B7211" s="119" t="s">
        <v>39375</v>
      </c>
      <c r="C7211" s="120" t="s">
        <v>3723</v>
      </c>
      <c r="D7211" s="33" t="s">
        <v>39354</v>
      </c>
      <c r="E7211" s="51" t="s">
        <v>1533</v>
      </c>
      <c r="F7211" s="121" t="s">
        <v>3009</v>
      </c>
      <c r="G7211" s="98" t="str">
        <f>HYPERLINK("http://mirror.ff7data.com.ar/ff7/data/battle/battle.lgp/mmbo.png","View Picture")</f>
        <v>View Picture</v>
      </c>
    </row>
    <row r="7212">
      <c r="A7212" s="55"/>
      <c r="B7212" s="119" t="s">
        <v>39376</v>
      </c>
      <c r="C7212" s="120" t="s">
        <v>37143</v>
      </c>
      <c r="D7212" s="33" t="s">
        <v>39354</v>
      </c>
      <c r="E7212" s="51" t="s">
        <v>1533</v>
      </c>
      <c r="F7212" s="121" t="s">
        <v>3025</v>
      </c>
      <c r="H7212" s="46" t="s">
        <v>3002</v>
      </c>
    </row>
    <row r="7213">
      <c r="A7213" s="21"/>
      <c r="B7213" s="119" t="s">
        <v>39377</v>
      </c>
      <c r="C7213" s="120" t="s">
        <v>2989</v>
      </c>
      <c r="D7213" s="33" t="s">
        <v>39378</v>
      </c>
      <c r="E7213" s="51" t="s">
        <v>1536</v>
      </c>
      <c r="F7213" s="121" t="s">
        <v>2971</v>
      </c>
      <c r="G7213" s="98" t="str">
        <f>HYPERLINK("http://mirror.ff7data.com.ar/ff7/data/battle/battle.lgp/mnaa.png","View Picture")</f>
        <v>View Picture</v>
      </c>
    </row>
    <row r="7214">
      <c r="A7214" s="55"/>
      <c r="B7214" s="119" t="s">
        <v>39379</v>
      </c>
      <c r="C7214" s="120" t="s">
        <v>6029</v>
      </c>
      <c r="D7214" s="33" t="s">
        <v>39380</v>
      </c>
      <c r="E7214" s="51" t="s">
        <v>1536</v>
      </c>
      <c r="F7214" s="121" t="s">
        <v>2993</v>
      </c>
      <c r="H7214" s="46" t="s">
        <v>3002</v>
      </c>
    </row>
    <row r="7215">
      <c r="A7215" s="55"/>
      <c r="B7215" s="119" t="s">
        <v>39381</v>
      </c>
      <c r="C7215" s="120" t="s">
        <v>3997</v>
      </c>
      <c r="D7215" s="33" t="s">
        <v>39380</v>
      </c>
      <c r="E7215" s="51" t="s">
        <v>1536</v>
      </c>
      <c r="F7215" s="121" t="s">
        <v>1348</v>
      </c>
      <c r="G7215" s="98" t="str">
        <f>HYPERLINK("http://mirror.ff7data.com.ar/ff7/data/battle/battle.lgp/mnac.png","View Picture")</f>
        <v>View Picture</v>
      </c>
    </row>
    <row r="7216">
      <c r="A7216" s="55"/>
      <c r="B7216" s="119" t="s">
        <v>39382</v>
      </c>
      <c r="C7216" s="120" t="s">
        <v>7081</v>
      </c>
      <c r="D7216" s="33" t="s">
        <v>39380</v>
      </c>
      <c r="E7216" s="51" t="s">
        <v>1536</v>
      </c>
      <c r="F7216" s="121" t="s">
        <v>1348</v>
      </c>
      <c r="G7216" s="98" t="str">
        <f>HYPERLINK("http://mirror.ff7data.com.ar/ff7/data/battle/battle.lgp/mnad.png","View Picture")</f>
        <v>View Picture</v>
      </c>
    </row>
    <row r="7217">
      <c r="A7217" s="55"/>
      <c r="B7217" s="119" t="s">
        <v>39383</v>
      </c>
      <c r="C7217" s="120" t="s">
        <v>3552</v>
      </c>
      <c r="D7217" s="33" t="s">
        <v>39380</v>
      </c>
      <c r="E7217" s="51" t="s">
        <v>1536</v>
      </c>
      <c r="F7217" s="121" t="s">
        <v>1348</v>
      </c>
      <c r="G7217" s="98" t="str">
        <f>HYPERLINK("http://mirror.ff7data.com.ar/ff7/data/battle/battle.lgp/mnae.png","View Picture")</f>
        <v>View Picture</v>
      </c>
    </row>
    <row r="7218">
      <c r="A7218" s="55"/>
      <c r="B7218" s="119" t="s">
        <v>39384</v>
      </c>
      <c r="C7218" s="120" t="s">
        <v>4191</v>
      </c>
      <c r="D7218" s="33" t="s">
        <v>39380</v>
      </c>
      <c r="E7218" s="51" t="s">
        <v>1536</v>
      </c>
      <c r="F7218" s="121" t="s">
        <v>3009</v>
      </c>
      <c r="G7218" s="98" t="str">
        <f>HYPERLINK("http://mirror.ff7data.com.ar/ff7/data/battle/battle.lgp/mnam.png","View Picture")</f>
        <v>View Picture</v>
      </c>
    </row>
    <row r="7219">
      <c r="A7219" s="55"/>
      <c r="B7219" s="119" t="s">
        <v>39385</v>
      </c>
      <c r="C7219" s="120" t="s">
        <v>39386</v>
      </c>
      <c r="D7219" s="33" t="s">
        <v>39380</v>
      </c>
      <c r="E7219" s="51" t="s">
        <v>1536</v>
      </c>
      <c r="F7219" s="121" t="s">
        <v>3009</v>
      </c>
      <c r="G7219" s="98" t="str">
        <f>HYPERLINK("http://mirror.ff7data.com.ar/ff7/data/battle/battle.lgp/mnat.png","View Picture")</f>
        <v>View Picture</v>
      </c>
    </row>
    <row r="7220">
      <c r="A7220" s="55"/>
      <c r="B7220" s="119" t="s">
        <v>39387</v>
      </c>
      <c r="C7220" s="120" t="s">
        <v>7301</v>
      </c>
      <c r="D7220" s="33" t="s">
        <v>39380</v>
      </c>
      <c r="E7220" s="51" t="s">
        <v>1536</v>
      </c>
      <c r="F7220" s="121" t="s">
        <v>3009</v>
      </c>
      <c r="G7220" s="98" t="str">
        <f>HYPERLINK("http://mirror.ff7data.com.ar/ff7/data/battle/battle.lgp/mnav.png","View Picture")</f>
        <v>View Picture</v>
      </c>
    </row>
    <row r="7221">
      <c r="A7221" s="55"/>
      <c r="B7221" s="119" t="s">
        <v>39388</v>
      </c>
      <c r="C7221" s="120" t="s">
        <v>3343</v>
      </c>
      <c r="D7221" s="33" t="s">
        <v>39380</v>
      </c>
      <c r="E7221" s="51" t="s">
        <v>1536</v>
      </c>
      <c r="F7221" s="121" t="s">
        <v>3009</v>
      </c>
      <c r="G7221" s="98" t="str">
        <f>HYPERLINK("http://mirror.ff7data.com.ar/ff7/data/battle/battle.lgp/mnax.png","View Picture")</f>
        <v>View Picture</v>
      </c>
    </row>
    <row r="7222">
      <c r="A7222" s="55"/>
      <c r="B7222" s="119" t="s">
        <v>39389</v>
      </c>
      <c r="C7222" s="120" t="s">
        <v>4601</v>
      </c>
      <c r="D7222" s="33" t="s">
        <v>39380</v>
      </c>
      <c r="E7222" s="51" t="s">
        <v>1536</v>
      </c>
      <c r="F7222" s="121" t="s">
        <v>3009</v>
      </c>
      <c r="G7222" s="98" t="str">
        <f>HYPERLINK("http://mirror.ff7data.com.ar/ff7/data/battle/battle.lgp/mnaz.png","View Picture")</f>
        <v>View Picture</v>
      </c>
    </row>
    <row r="7223">
      <c r="A7223" s="55"/>
      <c r="B7223" s="119" t="s">
        <v>39390</v>
      </c>
      <c r="C7223" s="120" t="s">
        <v>4264</v>
      </c>
      <c r="D7223" s="33" t="s">
        <v>39380</v>
      </c>
      <c r="E7223" s="51" t="s">
        <v>1536</v>
      </c>
      <c r="F7223" s="121" t="s">
        <v>3009</v>
      </c>
      <c r="G7223" s="98" t="str">
        <f>HYPERLINK("http://mirror.ff7data.com.ar/ff7/data/battle/battle.lgp/mnba.png","View Picture")</f>
        <v>View Picture</v>
      </c>
    </row>
    <row r="7224">
      <c r="A7224" s="55"/>
      <c r="B7224" s="119" t="s">
        <v>39391</v>
      </c>
      <c r="C7224" s="120" t="s">
        <v>7148</v>
      </c>
      <c r="D7224" s="33" t="s">
        <v>39380</v>
      </c>
      <c r="E7224" s="51" t="s">
        <v>1536</v>
      </c>
      <c r="F7224" s="121" t="s">
        <v>3009</v>
      </c>
      <c r="G7224" s="98" t="str">
        <f>HYPERLINK("http://mirror.ff7data.com.ar/ff7/data/battle/battle.lgp/mnbc.png","View Picture")</f>
        <v>View Picture</v>
      </c>
    </row>
    <row r="7225">
      <c r="A7225" s="55"/>
      <c r="B7225" s="119" t="s">
        <v>39392</v>
      </c>
      <c r="C7225" s="120" t="s">
        <v>4264</v>
      </c>
      <c r="D7225" s="33" t="s">
        <v>39380</v>
      </c>
      <c r="E7225" s="51" t="s">
        <v>1536</v>
      </c>
      <c r="F7225" s="121" t="s">
        <v>3009</v>
      </c>
      <c r="G7225" s="98" t="str">
        <f>HYPERLINK("http://mirror.ff7data.com.ar/ff7/data/battle/battle.lgp/mnbd.png","View Picture")</f>
        <v>View Picture</v>
      </c>
    </row>
    <row r="7226">
      <c r="A7226" s="55"/>
      <c r="B7226" s="119" t="s">
        <v>39393</v>
      </c>
      <c r="C7226" s="120" t="s">
        <v>7894</v>
      </c>
      <c r="D7226" s="33" t="s">
        <v>39380</v>
      </c>
      <c r="E7226" s="51" t="s">
        <v>1536</v>
      </c>
      <c r="F7226" s="121" t="s">
        <v>3009</v>
      </c>
      <c r="G7226" s="98" t="str">
        <f>HYPERLINK("http://mirror.ff7data.com.ar/ff7/data/battle/battle.lgp/mnbk.png","View Picture")</f>
        <v>View Picture</v>
      </c>
    </row>
    <row r="7227">
      <c r="A7227" s="55"/>
      <c r="B7227" s="119" t="s">
        <v>39394</v>
      </c>
      <c r="C7227" s="120" t="s">
        <v>3355</v>
      </c>
      <c r="D7227" s="33" t="s">
        <v>39380</v>
      </c>
      <c r="E7227" s="51" t="s">
        <v>1536</v>
      </c>
      <c r="F7227" s="121" t="s">
        <v>3009</v>
      </c>
      <c r="G7227" s="98" t="str">
        <f>HYPERLINK("http://mirror.ff7data.com.ar/ff7/data/battle/battle.lgp/mnbl.png","View Picture")</f>
        <v>View Picture</v>
      </c>
    </row>
    <row r="7228">
      <c r="A7228" s="55"/>
      <c r="B7228" s="119" t="s">
        <v>39395</v>
      </c>
      <c r="C7228" s="120" t="s">
        <v>5925</v>
      </c>
      <c r="D7228" s="33" t="s">
        <v>39380</v>
      </c>
      <c r="E7228" s="51" t="s">
        <v>1536</v>
      </c>
      <c r="F7228" s="121" t="s">
        <v>3009</v>
      </c>
      <c r="G7228" s="98" t="str">
        <f>HYPERLINK("http://mirror.ff7data.com.ar/ff7/data/battle/battle.lgp/mnbo.png","View Picture")</f>
        <v>View Picture</v>
      </c>
    </row>
    <row r="7229">
      <c r="A7229" s="55"/>
      <c r="B7229" s="119" t="s">
        <v>39396</v>
      </c>
      <c r="C7229" s="120" t="s">
        <v>3355</v>
      </c>
      <c r="D7229" s="33" t="s">
        <v>39380</v>
      </c>
      <c r="E7229" s="51" t="s">
        <v>1536</v>
      </c>
      <c r="F7229" s="121" t="s">
        <v>3009</v>
      </c>
      <c r="G7229" s="98" t="str">
        <f>HYPERLINK("http://mirror.ff7data.com.ar/ff7/data/battle/battle.lgp/mnbp.png","View Picture")</f>
        <v>View Picture</v>
      </c>
    </row>
    <row r="7230">
      <c r="A7230" s="55"/>
      <c r="B7230" s="119" t="s">
        <v>39397</v>
      </c>
      <c r="C7230" s="120" t="s">
        <v>26120</v>
      </c>
      <c r="D7230" s="33" t="s">
        <v>39380</v>
      </c>
      <c r="E7230" s="51" t="s">
        <v>1536</v>
      </c>
      <c r="F7230" s="121" t="s">
        <v>3025</v>
      </c>
      <c r="H7230" s="46" t="s">
        <v>3002</v>
      </c>
    </row>
    <row r="7231" ht="22.5" customHeight="1">
      <c r="A7231" s="21"/>
      <c r="B7231" s="119" t="s">
        <v>39398</v>
      </c>
      <c r="C7231" s="120" t="s">
        <v>2989</v>
      </c>
      <c r="D7231" s="33" t="s">
        <v>39378</v>
      </c>
      <c r="E7231" s="51" t="s">
        <v>1545</v>
      </c>
      <c r="F7231" s="121" t="s">
        <v>2971</v>
      </c>
      <c r="G7231" s="98" t="str">
        <f>HYPERLINK("http://mirror.ff7data.com.ar/ff7/data/battle/battle.lgp/moaa.png","View Picture")</f>
        <v>View Picture</v>
      </c>
      <c r="H7231" s="46" t="s">
        <v>39399</v>
      </c>
    </row>
    <row r="7232">
      <c r="A7232" s="55"/>
      <c r="B7232" s="119" t="s">
        <v>39400</v>
      </c>
      <c r="C7232" s="120" t="s">
        <v>6029</v>
      </c>
      <c r="D7232" s="33" t="s">
        <v>39380</v>
      </c>
      <c r="E7232" s="51" t="s">
        <v>1545</v>
      </c>
      <c r="F7232" s="121" t="s">
        <v>2993</v>
      </c>
      <c r="H7232" s="46" t="s">
        <v>3002</v>
      </c>
    </row>
    <row r="7233">
      <c r="A7233" s="55"/>
      <c r="B7233" s="119" t="s">
        <v>39401</v>
      </c>
      <c r="C7233" s="120" t="s">
        <v>3997</v>
      </c>
      <c r="D7233" s="33" t="s">
        <v>39380</v>
      </c>
      <c r="E7233" s="51" t="s">
        <v>1545</v>
      </c>
      <c r="F7233" s="121" t="s">
        <v>1348</v>
      </c>
      <c r="G7233" s="98" t="str">
        <f>HYPERLINK("http://mirror.ff7data.com.ar/ff7/data/battle/battle.lgp/moac.png","View Picture")</f>
        <v>View Picture</v>
      </c>
    </row>
    <row r="7234">
      <c r="A7234" s="55"/>
      <c r="B7234" s="119" t="s">
        <v>39402</v>
      </c>
      <c r="C7234" s="120" t="s">
        <v>7081</v>
      </c>
      <c r="D7234" s="33" t="s">
        <v>39380</v>
      </c>
      <c r="E7234" s="51" t="s">
        <v>1545</v>
      </c>
      <c r="F7234" s="121" t="s">
        <v>1348</v>
      </c>
      <c r="G7234" s="98" t="str">
        <f>HYPERLINK("http://mirror.ff7data.com.ar/ff7/data/battle/battle.lgp/moad.png","View Picture")</f>
        <v>View Picture</v>
      </c>
    </row>
    <row r="7235">
      <c r="A7235" s="55"/>
      <c r="B7235" s="119" t="s">
        <v>39403</v>
      </c>
      <c r="C7235" s="120" t="s">
        <v>3552</v>
      </c>
      <c r="D7235" s="33" t="s">
        <v>39380</v>
      </c>
      <c r="E7235" s="51" t="s">
        <v>1545</v>
      </c>
      <c r="F7235" s="121" t="s">
        <v>1348</v>
      </c>
      <c r="G7235" s="98" t="str">
        <f>HYPERLINK("http://mirror.ff7data.com.ar/ff7/data/battle/battle.lgp/moae.png","View Picture")</f>
        <v>View Picture</v>
      </c>
    </row>
    <row r="7236">
      <c r="A7236" s="55"/>
      <c r="B7236" s="119" t="s">
        <v>39404</v>
      </c>
      <c r="C7236" s="120" t="s">
        <v>4191</v>
      </c>
      <c r="D7236" s="33" t="s">
        <v>39380</v>
      </c>
      <c r="E7236" s="51" t="s">
        <v>1545</v>
      </c>
      <c r="F7236" s="121" t="s">
        <v>3009</v>
      </c>
      <c r="G7236" s="98" t="str">
        <f>HYPERLINK("http://mirror.ff7data.com.ar/ff7/data/battle/battle.lgp/moam.png","View Picture")</f>
        <v>View Picture</v>
      </c>
    </row>
    <row r="7237">
      <c r="A7237" s="55"/>
      <c r="B7237" s="119" t="s">
        <v>39405</v>
      </c>
      <c r="C7237" s="120" t="s">
        <v>39386</v>
      </c>
      <c r="D7237" s="33" t="s">
        <v>39380</v>
      </c>
      <c r="E7237" s="51" t="s">
        <v>1545</v>
      </c>
      <c r="F7237" s="121" t="s">
        <v>3009</v>
      </c>
      <c r="G7237" s="98" t="str">
        <f>HYPERLINK("http://mirror.ff7data.com.ar/ff7/data/battle/battle.lgp/moat.png","View Picture")</f>
        <v>View Picture</v>
      </c>
    </row>
    <row r="7238">
      <c r="A7238" s="55"/>
      <c r="B7238" s="119" t="s">
        <v>39406</v>
      </c>
      <c r="C7238" s="120" t="s">
        <v>7301</v>
      </c>
      <c r="D7238" s="33" t="s">
        <v>39380</v>
      </c>
      <c r="E7238" s="51" t="s">
        <v>1545</v>
      </c>
      <c r="F7238" s="121" t="s">
        <v>3009</v>
      </c>
      <c r="G7238" s="98" t="str">
        <f>HYPERLINK("http://mirror.ff7data.com.ar/ff7/data/battle/battle.lgp/moav.png","View Picture")</f>
        <v>View Picture</v>
      </c>
    </row>
    <row r="7239">
      <c r="A7239" s="55"/>
      <c r="B7239" s="119" t="s">
        <v>39407</v>
      </c>
      <c r="C7239" s="120" t="s">
        <v>3343</v>
      </c>
      <c r="D7239" s="33" t="s">
        <v>39380</v>
      </c>
      <c r="E7239" s="51" t="s">
        <v>1545</v>
      </c>
      <c r="F7239" s="121" t="s">
        <v>3009</v>
      </c>
      <c r="G7239" s="98" t="str">
        <f>HYPERLINK("http://mirror.ff7data.com.ar/ff7/data/battle/battle.lgp/moax.png","View Picture")</f>
        <v>View Picture</v>
      </c>
    </row>
    <row r="7240">
      <c r="A7240" s="55"/>
      <c r="B7240" s="119" t="s">
        <v>39408</v>
      </c>
      <c r="C7240" s="120" t="s">
        <v>4601</v>
      </c>
      <c r="D7240" s="33" t="s">
        <v>39380</v>
      </c>
      <c r="E7240" s="51" t="s">
        <v>1545</v>
      </c>
      <c r="F7240" s="121" t="s">
        <v>3009</v>
      </c>
      <c r="G7240" s="98" t="str">
        <f>HYPERLINK("http://mirror.ff7data.com.ar/ff7/data/battle/battle.lgp/moaz.png","View Picture")</f>
        <v>View Picture</v>
      </c>
    </row>
    <row r="7241">
      <c r="A7241" s="55"/>
      <c r="B7241" s="119" t="s">
        <v>39409</v>
      </c>
      <c r="C7241" s="120" t="s">
        <v>4264</v>
      </c>
      <c r="D7241" s="33" t="s">
        <v>39380</v>
      </c>
      <c r="E7241" s="51" t="s">
        <v>1545</v>
      </c>
      <c r="F7241" s="121" t="s">
        <v>3009</v>
      </c>
      <c r="G7241" s="98" t="str">
        <f>HYPERLINK("http://mirror.ff7data.com.ar/ff7/data/battle/battle.lgp/moba.png","View Picture")</f>
        <v>View Picture</v>
      </c>
    </row>
    <row r="7242">
      <c r="A7242" s="55"/>
      <c r="B7242" s="119" t="s">
        <v>39410</v>
      </c>
      <c r="C7242" s="120" t="s">
        <v>7148</v>
      </c>
      <c r="D7242" s="33" t="s">
        <v>39380</v>
      </c>
      <c r="E7242" s="51" t="s">
        <v>1545</v>
      </c>
      <c r="F7242" s="121" t="s">
        <v>3009</v>
      </c>
      <c r="G7242" s="98" t="str">
        <f>HYPERLINK("http://mirror.ff7data.com.ar/ff7/data/battle/battle.lgp/mobc.png","View Picture")</f>
        <v>View Picture</v>
      </c>
    </row>
    <row r="7243">
      <c r="A7243" s="55"/>
      <c r="B7243" s="119" t="s">
        <v>39411</v>
      </c>
      <c r="C7243" s="120" t="s">
        <v>4264</v>
      </c>
      <c r="D7243" s="33" t="s">
        <v>39380</v>
      </c>
      <c r="E7243" s="51" t="s">
        <v>1545</v>
      </c>
      <c r="F7243" s="121" t="s">
        <v>3009</v>
      </c>
      <c r="G7243" s="98" t="str">
        <f>HYPERLINK("http://mirror.ff7data.com.ar/ff7/data/battle/battle.lgp/mobd.png","View Picture")</f>
        <v>View Picture</v>
      </c>
    </row>
    <row r="7244">
      <c r="A7244" s="55"/>
      <c r="B7244" s="119" t="s">
        <v>39412</v>
      </c>
      <c r="C7244" s="120" t="s">
        <v>7894</v>
      </c>
      <c r="D7244" s="33" t="s">
        <v>39380</v>
      </c>
      <c r="E7244" s="51" t="s">
        <v>1545</v>
      </c>
      <c r="F7244" s="121" t="s">
        <v>3009</v>
      </c>
      <c r="G7244" s="98" t="str">
        <f>HYPERLINK("http://mirror.ff7data.com.ar/ff7/data/battle/battle.lgp/mobk.png","View Picture")</f>
        <v>View Picture</v>
      </c>
    </row>
    <row r="7245">
      <c r="A7245" s="55"/>
      <c r="B7245" s="119" t="s">
        <v>39413</v>
      </c>
      <c r="C7245" s="120" t="s">
        <v>3355</v>
      </c>
      <c r="D7245" s="33" t="s">
        <v>39380</v>
      </c>
      <c r="E7245" s="51" t="s">
        <v>1545</v>
      </c>
      <c r="F7245" s="121" t="s">
        <v>3009</v>
      </c>
      <c r="G7245" s="98" t="str">
        <f>HYPERLINK("http://mirror.ff7data.com.ar/ff7/data/battle/battle.lgp/mobl.png","View Picture")</f>
        <v>View Picture</v>
      </c>
    </row>
    <row r="7246">
      <c r="A7246" s="55"/>
      <c r="B7246" s="119" t="s">
        <v>39414</v>
      </c>
      <c r="C7246" s="120" t="s">
        <v>5925</v>
      </c>
      <c r="D7246" s="33" t="s">
        <v>39380</v>
      </c>
      <c r="E7246" s="51" t="s">
        <v>1545</v>
      </c>
      <c r="F7246" s="121" t="s">
        <v>3009</v>
      </c>
      <c r="G7246" s="98" t="str">
        <f>HYPERLINK("http://mirror.ff7data.com.ar/ff7/data/battle/battle.lgp/mobo.png","View Picture")</f>
        <v>View Picture</v>
      </c>
    </row>
    <row r="7247">
      <c r="A7247" s="55"/>
      <c r="B7247" s="119" t="s">
        <v>39415</v>
      </c>
      <c r="C7247" s="120" t="s">
        <v>3355</v>
      </c>
      <c r="D7247" s="33" t="s">
        <v>39380</v>
      </c>
      <c r="E7247" s="51" t="s">
        <v>1545</v>
      </c>
      <c r="F7247" s="121" t="s">
        <v>3009</v>
      </c>
      <c r="G7247" s="98" t="str">
        <f>HYPERLINK("http://mirror.ff7data.com.ar/ff7/data/battle/battle.lgp/mobp.png","View Picture")</f>
        <v>View Picture</v>
      </c>
    </row>
    <row r="7248">
      <c r="A7248" s="55"/>
      <c r="B7248" s="119" t="s">
        <v>39416</v>
      </c>
      <c r="C7248" s="120" t="s">
        <v>26120</v>
      </c>
      <c r="D7248" s="33" t="s">
        <v>39380</v>
      </c>
      <c r="E7248" s="51" t="s">
        <v>1545</v>
      </c>
      <c r="F7248" s="121" t="s">
        <v>3025</v>
      </c>
      <c r="H7248" s="46" t="s">
        <v>3002</v>
      </c>
    </row>
    <row r="7249" ht="22.5" customHeight="1">
      <c r="A7249" s="21"/>
      <c r="B7249" s="119" t="s">
        <v>39417</v>
      </c>
      <c r="C7249" s="120" t="s">
        <v>2989</v>
      </c>
      <c r="D7249" s="33" t="s">
        <v>39378</v>
      </c>
      <c r="E7249" s="51" t="s">
        <v>1550</v>
      </c>
      <c r="F7249" s="121" t="s">
        <v>2971</v>
      </c>
      <c r="G7249" s="98" t="str">
        <f>HYPERLINK("http://mirror.ff7data.com.ar/ff7/data/battle/battle.lgp/mpaa.png","View Picture")</f>
        <v>View Picture</v>
      </c>
      <c r="H7249" s="46" t="s">
        <v>39418</v>
      </c>
    </row>
    <row r="7250">
      <c r="A7250" s="55"/>
      <c r="B7250" s="119" t="s">
        <v>39419</v>
      </c>
      <c r="C7250" s="120" t="s">
        <v>6029</v>
      </c>
      <c r="D7250" s="33" t="s">
        <v>39380</v>
      </c>
      <c r="E7250" s="51" t="s">
        <v>1550</v>
      </c>
      <c r="F7250" s="121" t="s">
        <v>2993</v>
      </c>
      <c r="H7250" s="46" t="s">
        <v>3002</v>
      </c>
    </row>
    <row r="7251">
      <c r="A7251" s="55"/>
      <c r="B7251" s="119" t="s">
        <v>39420</v>
      </c>
      <c r="C7251" s="120" t="s">
        <v>3997</v>
      </c>
      <c r="D7251" s="33" t="s">
        <v>39380</v>
      </c>
      <c r="E7251" s="51" t="s">
        <v>1550</v>
      </c>
      <c r="F7251" s="121" t="s">
        <v>1348</v>
      </c>
      <c r="G7251" s="98" t="str">
        <f>HYPERLINK("http://mirror.ff7data.com.ar/ff7/data/battle/battle.lgp/mpac.png","View Picture")</f>
        <v>View Picture</v>
      </c>
    </row>
    <row r="7252">
      <c r="A7252" s="55"/>
      <c r="B7252" s="119" t="s">
        <v>39421</v>
      </c>
      <c r="C7252" s="120" t="s">
        <v>7081</v>
      </c>
      <c r="D7252" s="33" t="s">
        <v>39380</v>
      </c>
      <c r="E7252" s="51" t="s">
        <v>1550</v>
      </c>
      <c r="F7252" s="121" t="s">
        <v>1348</v>
      </c>
      <c r="G7252" s="98" t="str">
        <f>HYPERLINK("http://mirror.ff7data.com.ar/ff7/data/battle/battle.lgp/mpad.png","View Picture")</f>
        <v>View Picture</v>
      </c>
    </row>
    <row r="7253">
      <c r="A7253" s="55"/>
      <c r="B7253" s="119" t="s">
        <v>39422</v>
      </c>
      <c r="C7253" s="120" t="s">
        <v>3552</v>
      </c>
      <c r="D7253" s="33" t="s">
        <v>39380</v>
      </c>
      <c r="E7253" s="51" t="s">
        <v>1550</v>
      </c>
      <c r="F7253" s="121" t="s">
        <v>1348</v>
      </c>
      <c r="G7253" s="98" t="str">
        <f>HYPERLINK("http://mirror.ff7data.com.ar/ff7/data/battle/battle.lgp/mpae.png","View Picture")</f>
        <v>View Picture</v>
      </c>
    </row>
    <row r="7254">
      <c r="A7254" s="55"/>
      <c r="B7254" s="119" t="s">
        <v>39423</v>
      </c>
      <c r="C7254" s="120" t="s">
        <v>4191</v>
      </c>
      <c r="D7254" s="33" t="s">
        <v>39380</v>
      </c>
      <c r="E7254" s="51" t="s">
        <v>1550</v>
      </c>
      <c r="F7254" s="121" t="s">
        <v>3009</v>
      </c>
      <c r="G7254" s="98" t="str">
        <f>HYPERLINK("http://mirror.ff7data.com.ar/ff7/data/battle/battle.lgp/mpam.png","View Picture")</f>
        <v>View Picture</v>
      </c>
    </row>
    <row r="7255">
      <c r="A7255" s="55"/>
      <c r="B7255" s="119" t="s">
        <v>39424</v>
      </c>
      <c r="C7255" s="120" t="s">
        <v>39386</v>
      </c>
      <c r="D7255" s="33" t="s">
        <v>39380</v>
      </c>
      <c r="E7255" s="51" t="s">
        <v>1550</v>
      </c>
      <c r="F7255" s="121" t="s">
        <v>3009</v>
      </c>
      <c r="G7255" s="98" t="str">
        <f>HYPERLINK("http://mirror.ff7data.com.ar/ff7/data/battle/battle.lgp/mpat.png","View Picture")</f>
        <v>View Picture</v>
      </c>
    </row>
    <row r="7256">
      <c r="A7256" s="55"/>
      <c r="B7256" s="119" t="s">
        <v>39425</v>
      </c>
      <c r="C7256" s="120" t="s">
        <v>7301</v>
      </c>
      <c r="D7256" s="33" t="s">
        <v>39380</v>
      </c>
      <c r="E7256" s="51" t="s">
        <v>1550</v>
      </c>
      <c r="F7256" s="121" t="s">
        <v>3009</v>
      </c>
      <c r="G7256" s="98" t="str">
        <f>HYPERLINK("http://mirror.ff7data.com.ar/ff7/data/battle/battle.lgp/mpav.png","View Picture")</f>
        <v>View Picture</v>
      </c>
    </row>
    <row r="7257">
      <c r="A7257" s="55"/>
      <c r="B7257" s="119" t="s">
        <v>39426</v>
      </c>
      <c r="C7257" s="120" t="s">
        <v>3343</v>
      </c>
      <c r="D7257" s="33" t="s">
        <v>39380</v>
      </c>
      <c r="E7257" s="51" t="s">
        <v>1550</v>
      </c>
      <c r="F7257" s="121" t="s">
        <v>3009</v>
      </c>
      <c r="G7257" s="98" t="str">
        <f>HYPERLINK("http://mirror.ff7data.com.ar/ff7/data/battle/battle.lgp/mpax.png","View Picture")</f>
        <v>View Picture</v>
      </c>
    </row>
    <row r="7258">
      <c r="A7258" s="55"/>
      <c r="B7258" s="119" t="s">
        <v>39427</v>
      </c>
      <c r="C7258" s="120" t="s">
        <v>4601</v>
      </c>
      <c r="D7258" s="33" t="s">
        <v>39380</v>
      </c>
      <c r="E7258" s="51" t="s">
        <v>1550</v>
      </c>
      <c r="F7258" s="121" t="s">
        <v>3009</v>
      </c>
      <c r="G7258" s="98" t="str">
        <f>HYPERLINK("http://mirror.ff7data.com.ar/ff7/data/battle/battle.lgp/mpaz.png","View Picture")</f>
        <v>View Picture</v>
      </c>
    </row>
    <row r="7259">
      <c r="A7259" s="55"/>
      <c r="B7259" s="119" t="s">
        <v>39428</v>
      </c>
      <c r="C7259" s="120" t="s">
        <v>4264</v>
      </c>
      <c r="D7259" s="33" t="s">
        <v>39380</v>
      </c>
      <c r="E7259" s="51" t="s">
        <v>1550</v>
      </c>
      <c r="F7259" s="121" t="s">
        <v>3009</v>
      </c>
      <c r="G7259" s="98" t="str">
        <f>HYPERLINK("http://mirror.ff7data.com.ar/ff7/data/battle/battle.lgp/mpba.png","View Picture")</f>
        <v>View Picture</v>
      </c>
    </row>
    <row r="7260">
      <c r="A7260" s="55"/>
      <c r="B7260" s="119" t="s">
        <v>39429</v>
      </c>
      <c r="C7260" s="120" t="s">
        <v>7148</v>
      </c>
      <c r="D7260" s="33" t="s">
        <v>39380</v>
      </c>
      <c r="E7260" s="51" t="s">
        <v>1550</v>
      </c>
      <c r="F7260" s="121" t="s">
        <v>3009</v>
      </c>
      <c r="G7260" s="98" t="str">
        <f>HYPERLINK("http://mirror.ff7data.com.ar/ff7/data/battle/battle.lgp/mpbc.png","View Picture")</f>
        <v>View Picture</v>
      </c>
    </row>
    <row r="7261">
      <c r="A7261" s="55"/>
      <c r="B7261" s="119" t="s">
        <v>39430</v>
      </c>
      <c r="C7261" s="120" t="s">
        <v>4264</v>
      </c>
      <c r="D7261" s="33" t="s">
        <v>39380</v>
      </c>
      <c r="E7261" s="51" t="s">
        <v>1550</v>
      </c>
      <c r="F7261" s="121" t="s">
        <v>3009</v>
      </c>
      <c r="G7261" s="98" t="str">
        <f>HYPERLINK("http://mirror.ff7data.com.ar/ff7/data/battle/battle.lgp/mpbd.png","View Picture")</f>
        <v>View Picture</v>
      </c>
    </row>
    <row r="7262">
      <c r="A7262" s="55"/>
      <c r="B7262" s="119" t="s">
        <v>39431</v>
      </c>
      <c r="C7262" s="120" t="s">
        <v>7894</v>
      </c>
      <c r="D7262" s="33" t="s">
        <v>39380</v>
      </c>
      <c r="E7262" s="51" t="s">
        <v>1550</v>
      </c>
      <c r="F7262" s="121" t="s">
        <v>3009</v>
      </c>
      <c r="G7262" s="98" t="str">
        <f>HYPERLINK("http://mirror.ff7data.com.ar/ff7/data/battle/battle.lgp/mpbk.png","View Picture")</f>
        <v>View Picture</v>
      </c>
    </row>
    <row r="7263">
      <c r="A7263" s="55"/>
      <c r="B7263" s="119" t="s">
        <v>39432</v>
      </c>
      <c r="C7263" s="120" t="s">
        <v>3355</v>
      </c>
      <c r="D7263" s="33" t="s">
        <v>39380</v>
      </c>
      <c r="E7263" s="51" t="s">
        <v>1550</v>
      </c>
      <c r="F7263" s="121" t="s">
        <v>3009</v>
      </c>
      <c r="G7263" s="98" t="str">
        <f>HYPERLINK("http://mirror.ff7data.com.ar/ff7/data/battle/battle.lgp/mpbl.png","View Picture")</f>
        <v>View Picture</v>
      </c>
    </row>
    <row r="7264">
      <c r="A7264" s="55"/>
      <c r="B7264" s="119" t="s">
        <v>39433</v>
      </c>
      <c r="C7264" s="120" t="s">
        <v>5925</v>
      </c>
      <c r="D7264" s="33" t="s">
        <v>39380</v>
      </c>
      <c r="E7264" s="51" t="s">
        <v>1550</v>
      </c>
      <c r="F7264" s="121" t="s">
        <v>3009</v>
      </c>
      <c r="G7264" s="98" t="str">
        <f>HYPERLINK("http://mirror.ff7data.com.ar/ff7/data/battle/battle.lgp/mpbo.png","View Picture")</f>
        <v>View Picture</v>
      </c>
    </row>
    <row r="7265">
      <c r="A7265" s="55"/>
      <c r="B7265" s="119" t="s">
        <v>39434</v>
      </c>
      <c r="C7265" s="120" t="s">
        <v>3355</v>
      </c>
      <c r="D7265" s="33" t="s">
        <v>39380</v>
      </c>
      <c r="E7265" s="51" t="s">
        <v>1550</v>
      </c>
      <c r="F7265" s="121" t="s">
        <v>3009</v>
      </c>
      <c r="G7265" s="98" t="str">
        <f>HYPERLINK("http://mirror.ff7data.com.ar/ff7/data/battle/battle.lgp/mpbp.png","View Picture")</f>
        <v>View Picture</v>
      </c>
    </row>
    <row r="7266">
      <c r="A7266" s="55"/>
      <c r="B7266" s="119" t="s">
        <v>39435</v>
      </c>
      <c r="C7266" s="120" t="s">
        <v>26120</v>
      </c>
      <c r="D7266" s="33" t="s">
        <v>39380</v>
      </c>
      <c r="E7266" s="51" t="s">
        <v>1550</v>
      </c>
      <c r="F7266" s="121" t="s">
        <v>3025</v>
      </c>
      <c r="H7266" s="46" t="s">
        <v>3002</v>
      </c>
    </row>
    <row r="7267" ht="22.5" customHeight="1">
      <c r="A7267" s="21"/>
      <c r="B7267" s="119" t="s">
        <v>39436</v>
      </c>
      <c r="C7267" s="120" t="s">
        <v>2989</v>
      </c>
      <c r="D7267" s="33" t="s">
        <v>39378</v>
      </c>
      <c r="E7267" s="51" t="s">
        <v>1555</v>
      </c>
      <c r="F7267" s="121" t="s">
        <v>2971</v>
      </c>
      <c r="G7267" s="98" t="str">
        <f>HYPERLINK("http://mirror.ff7data.com.ar/ff7/data/battle/battle.lgp/mqaa.png","View Picture")</f>
        <v>View Picture</v>
      </c>
      <c r="H7267" s="46" t="s">
        <v>39437</v>
      </c>
    </row>
    <row r="7268">
      <c r="A7268" s="55"/>
      <c r="B7268" s="119" t="s">
        <v>39438</v>
      </c>
      <c r="C7268" s="120" t="s">
        <v>6029</v>
      </c>
      <c r="D7268" s="33" t="s">
        <v>39380</v>
      </c>
      <c r="E7268" s="51" t="s">
        <v>1555</v>
      </c>
      <c r="F7268" s="121" t="s">
        <v>2993</v>
      </c>
      <c r="H7268" s="46" t="s">
        <v>3002</v>
      </c>
    </row>
    <row r="7269">
      <c r="A7269" s="55"/>
      <c r="B7269" s="119" t="s">
        <v>39439</v>
      </c>
      <c r="C7269" s="120" t="s">
        <v>3997</v>
      </c>
      <c r="D7269" s="33" t="s">
        <v>39380</v>
      </c>
      <c r="E7269" s="51" t="s">
        <v>1555</v>
      </c>
      <c r="F7269" s="121" t="s">
        <v>1348</v>
      </c>
      <c r="G7269" s="98" t="str">
        <f>HYPERLINK("http://mirror.ff7data.com.ar/ff7/data/battle/battle.lgp/mqac.png","View Picture")</f>
        <v>View Picture</v>
      </c>
    </row>
    <row r="7270">
      <c r="A7270" s="55"/>
      <c r="B7270" s="119" t="s">
        <v>39440</v>
      </c>
      <c r="C7270" s="120" t="s">
        <v>7081</v>
      </c>
      <c r="D7270" s="33" t="s">
        <v>39380</v>
      </c>
      <c r="E7270" s="51" t="s">
        <v>1555</v>
      </c>
      <c r="F7270" s="121" t="s">
        <v>1348</v>
      </c>
      <c r="G7270" s="98" t="str">
        <f>HYPERLINK("http://mirror.ff7data.com.ar/ff7/data/battle/battle.lgp/mqad.png","View Picture")</f>
        <v>View Picture</v>
      </c>
    </row>
    <row r="7271">
      <c r="A7271" s="55"/>
      <c r="B7271" s="119" t="s">
        <v>39441</v>
      </c>
      <c r="C7271" s="120" t="s">
        <v>3552</v>
      </c>
      <c r="D7271" s="33" t="s">
        <v>39380</v>
      </c>
      <c r="E7271" s="51" t="s">
        <v>1555</v>
      </c>
      <c r="F7271" s="121" t="s">
        <v>1348</v>
      </c>
      <c r="G7271" s="98" t="str">
        <f>HYPERLINK("http://mirror.ff7data.com.ar/ff7/data/battle/battle.lgp/mqae.png","View Picture")</f>
        <v>View Picture</v>
      </c>
    </row>
    <row r="7272">
      <c r="A7272" s="55"/>
      <c r="B7272" s="119" t="s">
        <v>39442</v>
      </c>
      <c r="C7272" s="120" t="s">
        <v>4191</v>
      </c>
      <c r="D7272" s="33" t="s">
        <v>39380</v>
      </c>
      <c r="E7272" s="51" t="s">
        <v>1555</v>
      </c>
      <c r="F7272" s="121" t="s">
        <v>3009</v>
      </c>
      <c r="G7272" s="98" t="str">
        <f>HYPERLINK("http://mirror.ff7data.com.ar/ff7/data/battle/battle.lgp/mqam.png","View Picture")</f>
        <v>View Picture</v>
      </c>
    </row>
    <row r="7273">
      <c r="A7273" s="55"/>
      <c r="B7273" s="119" t="s">
        <v>39443</v>
      </c>
      <c r="C7273" s="120" t="s">
        <v>39386</v>
      </c>
      <c r="D7273" s="33" t="s">
        <v>39380</v>
      </c>
      <c r="E7273" s="51" t="s">
        <v>1555</v>
      </c>
      <c r="F7273" s="121" t="s">
        <v>3009</v>
      </c>
      <c r="G7273" s="98" t="str">
        <f>HYPERLINK("http://mirror.ff7data.com.ar/ff7/data/battle/battle.lgp/mqat.png","View Picture")</f>
        <v>View Picture</v>
      </c>
    </row>
    <row r="7274">
      <c r="A7274" s="55"/>
      <c r="B7274" s="119" t="s">
        <v>39444</v>
      </c>
      <c r="C7274" s="120" t="s">
        <v>7301</v>
      </c>
      <c r="D7274" s="33" t="s">
        <v>39380</v>
      </c>
      <c r="E7274" s="51" t="s">
        <v>1555</v>
      </c>
      <c r="F7274" s="121" t="s">
        <v>3009</v>
      </c>
      <c r="G7274" s="98" t="str">
        <f>HYPERLINK("http://mirror.ff7data.com.ar/ff7/data/battle/battle.lgp/mqav.png","View Picture")</f>
        <v>View Picture</v>
      </c>
    </row>
    <row r="7275">
      <c r="A7275" s="55"/>
      <c r="B7275" s="119" t="s">
        <v>39445</v>
      </c>
      <c r="C7275" s="120" t="s">
        <v>3343</v>
      </c>
      <c r="D7275" s="33" t="s">
        <v>39380</v>
      </c>
      <c r="E7275" s="51" t="s">
        <v>1555</v>
      </c>
      <c r="F7275" s="121" t="s">
        <v>3009</v>
      </c>
      <c r="G7275" s="98" t="str">
        <f>HYPERLINK("http://mirror.ff7data.com.ar/ff7/data/battle/battle.lgp/mqax.png","View Picture")</f>
        <v>View Picture</v>
      </c>
    </row>
    <row r="7276">
      <c r="A7276" s="55"/>
      <c r="B7276" s="119" t="s">
        <v>39446</v>
      </c>
      <c r="C7276" s="120" t="s">
        <v>4601</v>
      </c>
      <c r="D7276" s="33" t="s">
        <v>39380</v>
      </c>
      <c r="E7276" s="51" t="s">
        <v>1555</v>
      </c>
      <c r="F7276" s="121" t="s">
        <v>3009</v>
      </c>
      <c r="G7276" s="98" t="str">
        <f>HYPERLINK("http://mirror.ff7data.com.ar/ff7/data/battle/battle.lgp/mqaz.png","View Picture")</f>
        <v>View Picture</v>
      </c>
    </row>
    <row r="7277">
      <c r="A7277" s="55"/>
      <c r="B7277" s="119" t="s">
        <v>39447</v>
      </c>
      <c r="C7277" s="120" t="s">
        <v>4264</v>
      </c>
      <c r="D7277" s="33" t="s">
        <v>39380</v>
      </c>
      <c r="E7277" s="51" t="s">
        <v>1555</v>
      </c>
      <c r="F7277" s="121" t="s">
        <v>3009</v>
      </c>
      <c r="G7277" s="98" t="str">
        <f>HYPERLINK("http://mirror.ff7data.com.ar/ff7/data/battle/battle.lgp/mqba.png","View Picture")</f>
        <v>View Picture</v>
      </c>
    </row>
    <row r="7278">
      <c r="A7278" s="55"/>
      <c r="B7278" s="119" t="s">
        <v>39448</v>
      </c>
      <c r="C7278" s="120" t="s">
        <v>7148</v>
      </c>
      <c r="D7278" s="33" t="s">
        <v>39380</v>
      </c>
      <c r="E7278" s="51" t="s">
        <v>1555</v>
      </c>
      <c r="F7278" s="121" t="s">
        <v>3009</v>
      </c>
      <c r="G7278" s="98" t="str">
        <f>HYPERLINK("http://mirror.ff7data.com.ar/ff7/data/battle/battle.lgp/mqbc.png","View Picture")</f>
        <v>View Picture</v>
      </c>
    </row>
    <row r="7279">
      <c r="A7279" s="55"/>
      <c r="B7279" s="119" t="s">
        <v>39449</v>
      </c>
      <c r="C7279" s="120" t="s">
        <v>4264</v>
      </c>
      <c r="D7279" s="33" t="s">
        <v>39380</v>
      </c>
      <c r="E7279" s="51" t="s">
        <v>1555</v>
      </c>
      <c r="F7279" s="121" t="s">
        <v>3009</v>
      </c>
      <c r="G7279" s="98" t="str">
        <f>HYPERLINK("http://mirror.ff7data.com.ar/ff7/data/battle/battle.lgp/mqbd.png","View Picture")</f>
        <v>View Picture</v>
      </c>
    </row>
    <row r="7280">
      <c r="A7280" s="55"/>
      <c r="B7280" s="119" t="s">
        <v>39450</v>
      </c>
      <c r="C7280" s="120" t="s">
        <v>7894</v>
      </c>
      <c r="D7280" s="33" t="s">
        <v>39380</v>
      </c>
      <c r="E7280" s="51" t="s">
        <v>1555</v>
      </c>
      <c r="F7280" s="121" t="s">
        <v>3009</v>
      </c>
      <c r="G7280" s="98" t="str">
        <f>HYPERLINK("http://mirror.ff7data.com.ar/ff7/data/battle/battle.lgp/mqbk.png","View Picture")</f>
        <v>View Picture</v>
      </c>
    </row>
    <row r="7281">
      <c r="A7281" s="55"/>
      <c r="B7281" s="119" t="s">
        <v>39451</v>
      </c>
      <c r="C7281" s="120" t="s">
        <v>3355</v>
      </c>
      <c r="D7281" s="33" t="s">
        <v>39380</v>
      </c>
      <c r="E7281" s="51" t="s">
        <v>1555</v>
      </c>
      <c r="F7281" s="121" t="s">
        <v>3009</v>
      </c>
      <c r="G7281" s="98" t="str">
        <f>HYPERLINK("http://mirror.ff7data.com.ar/ff7/data/battle/battle.lgp/mqbl.png","View Picture")</f>
        <v>View Picture</v>
      </c>
    </row>
    <row r="7282">
      <c r="A7282" s="55"/>
      <c r="B7282" s="119" t="s">
        <v>39452</v>
      </c>
      <c r="C7282" s="120" t="s">
        <v>5925</v>
      </c>
      <c r="D7282" s="33" t="s">
        <v>39380</v>
      </c>
      <c r="E7282" s="51" t="s">
        <v>1555</v>
      </c>
      <c r="F7282" s="121" t="s">
        <v>3009</v>
      </c>
      <c r="G7282" s="98" t="str">
        <f>HYPERLINK("http://mirror.ff7data.com.ar/ff7/data/battle/battle.lgp/mqbo.png","View Picture")</f>
        <v>View Picture</v>
      </c>
    </row>
    <row r="7283">
      <c r="A7283" s="55"/>
      <c r="B7283" s="119" t="s">
        <v>39453</v>
      </c>
      <c r="C7283" s="120" t="s">
        <v>3355</v>
      </c>
      <c r="D7283" s="33" t="s">
        <v>39380</v>
      </c>
      <c r="E7283" s="51" t="s">
        <v>1555</v>
      </c>
      <c r="F7283" s="121" t="s">
        <v>3009</v>
      </c>
      <c r="G7283" s="98" t="str">
        <f>HYPERLINK("http://mirror.ff7data.com.ar/ff7/data/battle/battle.lgp/mqbp.png","View Picture")</f>
        <v>View Picture</v>
      </c>
    </row>
    <row r="7284">
      <c r="A7284" s="55"/>
      <c r="B7284" s="119" t="s">
        <v>39454</v>
      </c>
      <c r="C7284" s="120" t="s">
        <v>26120</v>
      </c>
      <c r="D7284" s="33" t="s">
        <v>39380</v>
      </c>
      <c r="E7284" s="51" t="s">
        <v>1555</v>
      </c>
      <c r="F7284" s="121" t="s">
        <v>3025</v>
      </c>
      <c r="H7284" s="46" t="s">
        <v>3002</v>
      </c>
    </row>
    <row r="7285" ht="22.5" customHeight="1">
      <c r="A7285" s="21"/>
      <c r="B7285" s="119" t="s">
        <v>39455</v>
      </c>
      <c r="C7285" s="120" t="s">
        <v>2989</v>
      </c>
      <c r="D7285" s="33" t="s">
        <v>39378</v>
      </c>
      <c r="E7285" s="51" t="s">
        <v>1560</v>
      </c>
      <c r="F7285" s="121" t="s">
        <v>2971</v>
      </c>
      <c r="G7285" s="98" t="str">
        <f>HYPERLINK("http://mirror.ff7data.com.ar/ff7/data/battle/battle.lgp/mraa.png","View Picture")</f>
        <v>View Picture</v>
      </c>
      <c r="H7285" s="46" t="s">
        <v>39456</v>
      </c>
    </row>
    <row r="7286">
      <c r="A7286" s="55"/>
      <c r="B7286" s="119" t="s">
        <v>39457</v>
      </c>
      <c r="C7286" s="120" t="s">
        <v>6029</v>
      </c>
      <c r="D7286" s="33" t="s">
        <v>39380</v>
      </c>
      <c r="E7286" s="51" t="s">
        <v>1560</v>
      </c>
      <c r="F7286" s="121" t="s">
        <v>2993</v>
      </c>
      <c r="H7286" s="46" t="s">
        <v>3002</v>
      </c>
    </row>
    <row r="7287">
      <c r="A7287" s="55"/>
      <c r="B7287" s="119" t="s">
        <v>39458</v>
      </c>
      <c r="C7287" s="120" t="s">
        <v>3997</v>
      </c>
      <c r="D7287" s="33" t="s">
        <v>39380</v>
      </c>
      <c r="E7287" s="51" t="s">
        <v>1560</v>
      </c>
      <c r="F7287" s="121" t="s">
        <v>1348</v>
      </c>
      <c r="G7287" s="98" t="str">
        <f>HYPERLINK("http://mirror.ff7data.com.ar/ff7/data/battle/battle.lgp/mrac.png","View Picture")</f>
        <v>View Picture</v>
      </c>
    </row>
    <row r="7288">
      <c r="A7288" s="55"/>
      <c r="B7288" s="119" t="s">
        <v>39459</v>
      </c>
      <c r="C7288" s="120" t="s">
        <v>7081</v>
      </c>
      <c r="D7288" s="33" t="s">
        <v>39380</v>
      </c>
      <c r="E7288" s="51" t="s">
        <v>1560</v>
      </c>
      <c r="F7288" s="121" t="s">
        <v>1348</v>
      </c>
      <c r="G7288" s="98" t="str">
        <f>HYPERLINK("http://mirror.ff7data.com.ar/ff7/data/battle/battle.lgp/mrad.png","View Picture")</f>
        <v>View Picture</v>
      </c>
    </row>
    <row r="7289">
      <c r="A7289" s="55"/>
      <c r="B7289" s="119" t="s">
        <v>39460</v>
      </c>
      <c r="C7289" s="120" t="s">
        <v>3552</v>
      </c>
      <c r="D7289" s="33" t="s">
        <v>39380</v>
      </c>
      <c r="E7289" s="51" t="s">
        <v>1560</v>
      </c>
      <c r="F7289" s="121" t="s">
        <v>1348</v>
      </c>
      <c r="G7289" s="98" t="str">
        <f>HYPERLINK("http://mirror.ff7data.com.ar/ff7/data/battle/battle.lgp/mrae.png","View Picture")</f>
        <v>View Picture</v>
      </c>
    </row>
    <row r="7290">
      <c r="A7290" s="55"/>
      <c r="B7290" s="119" t="s">
        <v>39461</v>
      </c>
      <c r="C7290" s="120" t="s">
        <v>4191</v>
      </c>
      <c r="D7290" s="33" t="s">
        <v>39380</v>
      </c>
      <c r="E7290" s="51" t="s">
        <v>1560</v>
      </c>
      <c r="F7290" s="121" t="s">
        <v>3009</v>
      </c>
      <c r="G7290" s="98" t="str">
        <f>HYPERLINK("http://mirror.ff7data.com.ar/ff7/data/battle/battle.lgp/mram.png","View Picture")</f>
        <v>View Picture</v>
      </c>
    </row>
    <row r="7291">
      <c r="A7291" s="55"/>
      <c r="B7291" s="119" t="s">
        <v>39462</v>
      </c>
      <c r="C7291" s="120" t="s">
        <v>39386</v>
      </c>
      <c r="D7291" s="33" t="s">
        <v>39380</v>
      </c>
      <c r="E7291" s="51" t="s">
        <v>1560</v>
      </c>
      <c r="F7291" s="121" t="s">
        <v>3009</v>
      </c>
      <c r="G7291" s="98" t="str">
        <f>HYPERLINK("http://mirror.ff7data.com.ar/ff7/data/battle/battle.lgp/mrat.png","View Picture")</f>
        <v>View Picture</v>
      </c>
    </row>
    <row r="7292">
      <c r="A7292" s="55"/>
      <c r="B7292" s="119" t="s">
        <v>39463</v>
      </c>
      <c r="C7292" s="120" t="s">
        <v>7301</v>
      </c>
      <c r="D7292" s="33" t="s">
        <v>39380</v>
      </c>
      <c r="E7292" s="51" t="s">
        <v>1560</v>
      </c>
      <c r="F7292" s="121" t="s">
        <v>3009</v>
      </c>
      <c r="G7292" s="98" t="str">
        <f>HYPERLINK("http://mirror.ff7data.com.ar/ff7/data/battle/battle.lgp/mrav.png","View Picture")</f>
        <v>View Picture</v>
      </c>
    </row>
    <row r="7293">
      <c r="A7293" s="55"/>
      <c r="B7293" s="119" t="s">
        <v>39464</v>
      </c>
      <c r="C7293" s="120" t="s">
        <v>3343</v>
      </c>
      <c r="D7293" s="33" t="s">
        <v>39380</v>
      </c>
      <c r="E7293" s="51" t="s">
        <v>1560</v>
      </c>
      <c r="F7293" s="121" t="s">
        <v>3009</v>
      </c>
      <c r="G7293" s="98" t="str">
        <f>HYPERLINK("http://mirror.ff7data.com.ar/ff7/data/battle/battle.lgp/mrax.png","View Picture")</f>
        <v>View Picture</v>
      </c>
    </row>
    <row r="7294">
      <c r="A7294" s="55"/>
      <c r="B7294" s="119" t="s">
        <v>39465</v>
      </c>
      <c r="C7294" s="120" t="s">
        <v>4601</v>
      </c>
      <c r="D7294" s="33" t="s">
        <v>39380</v>
      </c>
      <c r="E7294" s="51" t="s">
        <v>1560</v>
      </c>
      <c r="F7294" s="121" t="s">
        <v>3009</v>
      </c>
      <c r="G7294" s="98" t="str">
        <f>HYPERLINK("http://mirror.ff7data.com.ar/ff7/data/battle/battle.lgp/mraz.png","View Picture")</f>
        <v>View Picture</v>
      </c>
    </row>
    <row r="7295">
      <c r="A7295" s="55"/>
      <c r="B7295" s="119" t="s">
        <v>39466</v>
      </c>
      <c r="C7295" s="120" t="s">
        <v>4264</v>
      </c>
      <c r="D7295" s="33" t="s">
        <v>39380</v>
      </c>
      <c r="E7295" s="51" t="s">
        <v>1560</v>
      </c>
      <c r="F7295" s="121" t="s">
        <v>3009</v>
      </c>
      <c r="G7295" s="98" t="str">
        <f>HYPERLINK("http://mirror.ff7data.com.ar/ff7/data/battle/battle.lgp/mrba.png","View Picture")</f>
        <v>View Picture</v>
      </c>
    </row>
    <row r="7296">
      <c r="A7296" s="55"/>
      <c r="B7296" s="119" t="s">
        <v>39467</v>
      </c>
      <c r="C7296" s="120" t="s">
        <v>7148</v>
      </c>
      <c r="D7296" s="33" t="s">
        <v>39380</v>
      </c>
      <c r="E7296" s="51" t="s">
        <v>1560</v>
      </c>
      <c r="F7296" s="121" t="s">
        <v>3009</v>
      </c>
      <c r="G7296" s="98" t="str">
        <f>HYPERLINK("http://mirror.ff7data.com.ar/ff7/data/battle/battle.lgp/mrbc.png","View Picture")</f>
        <v>View Picture</v>
      </c>
    </row>
    <row r="7297">
      <c r="A7297" s="55"/>
      <c r="B7297" s="119" t="s">
        <v>39468</v>
      </c>
      <c r="C7297" s="120" t="s">
        <v>4264</v>
      </c>
      <c r="D7297" s="33" t="s">
        <v>39380</v>
      </c>
      <c r="E7297" s="51" t="s">
        <v>1560</v>
      </c>
      <c r="F7297" s="121" t="s">
        <v>3009</v>
      </c>
      <c r="G7297" s="98" t="str">
        <f>HYPERLINK("http://mirror.ff7data.com.ar/ff7/data/battle/battle.lgp/mrbd.png","View Picture")</f>
        <v>View Picture</v>
      </c>
    </row>
    <row r="7298">
      <c r="A7298" s="55"/>
      <c r="B7298" s="119" t="s">
        <v>39469</v>
      </c>
      <c r="C7298" s="120" t="s">
        <v>7894</v>
      </c>
      <c r="D7298" s="33" t="s">
        <v>39380</v>
      </c>
      <c r="E7298" s="51" t="s">
        <v>1560</v>
      </c>
      <c r="F7298" s="121" t="s">
        <v>3009</v>
      </c>
      <c r="G7298" s="98" t="str">
        <f>HYPERLINK("http://mirror.ff7data.com.ar/ff7/data/battle/battle.lgp/mrbk.png","View Picture")</f>
        <v>View Picture</v>
      </c>
    </row>
    <row r="7299">
      <c r="A7299" s="55"/>
      <c r="B7299" s="119" t="s">
        <v>39470</v>
      </c>
      <c r="C7299" s="120" t="s">
        <v>3355</v>
      </c>
      <c r="D7299" s="33" t="s">
        <v>39380</v>
      </c>
      <c r="E7299" s="51" t="s">
        <v>1560</v>
      </c>
      <c r="F7299" s="121" t="s">
        <v>3009</v>
      </c>
      <c r="G7299" s="98" t="str">
        <f>HYPERLINK("http://mirror.ff7data.com.ar/ff7/data/battle/battle.lgp/mrbl.png","View Picture")</f>
        <v>View Picture</v>
      </c>
    </row>
    <row r="7300">
      <c r="A7300" s="55"/>
      <c r="B7300" s="119" t="s">
        <v>39471</v>
      </c>
      <c r="C7300" s="120" t="s">
        <v>5925</v>
      </c>
      <c r="D7300" s="33" t="s">
        <v>39380</v>
      </c>
      <c r="E7300" s="51" t="s">
        <v>1560</v>
      </c>
      <c r="F7300" s="121" t="s">
        <v>3009</v>
      </c>
      <c r="G7300" s="98" t="str">
        <f>HYPERLINK("http://mirror.ff7data.com.ar/ff7/data/battle/battle.lgp/mrbo.png","View Picture")</f>
        <v>View Picture</v>
      </c>
    </row>
    <row r="7301">
      <c r="A7301" s="55"/>
      <c r="B7301" s="119" t="s">
        <v>39472</v>
      </c>
      <c r="C7301" s="120" t="s">
        <v>3355</v>
      </c>
      <c r="D7301" s="33" t="s">
        <v>39380</v>
      </c>
      <c r="E7301" s="51" t="s">
        <v>1560</v>
      </c>
      <c r="F7301" s="121" t="s">
        <v>3009</v>
      </c>
      <c r="G7301" s="98" t="str">
        <f>HYPERLINK("http://mirror.ff7data.com.ar/ff7/data/battle/battle.lgp/mrbp.png","View Picture")</f>
        <v>View Picture</v>
      </c>
    </row>
    <row r="7302">
      <c r="A7302" s="55"/>
      <c r="B7302" s="119" t="s">
        <v>39473</v>
      </c>
      <c r="C7302" s="120" t="s">
        <v>26120</v>
      </c>
      <c r="D7302" s="33" t="s">
        <v>39380</v>
      </c>
      <c r="E7302" s="51" t="s">
        <v>1560</v>
      </c>
      <c r="F7302" s="121" t="s">
        <v>3025</v>
      </c>
      <c r="H7302" s="46" t="s">
        <v>3002</v>
      </c>
    </row>
    <row r="7303" ht="22.5" customHeight="1">
      <c r="A7303" s="55"/>
      <c r="B7303" s="119" t="s">
        <v>39474</v>
      </c>
      <c r="C7303" s="120" t="s">
        <v>2989</v>
      </c>
      <c r="D7303" s="33" t="s">
        <v>39378</v>
      </c>
      <c r="E7303" s="51" t="s">
        <v>1566</v>
      </c>
      <c r="F7303" s="121" t="s">
        <v>2971</v>
      </c>
      <c r="G7303" s="98" t="str">
        <f>HYPERLINK("http://mirror.ff7data.com.ar/ff7/data/battle/battle.lgp/msaa.png","View Picture")</f>
        <v>View Picture</v>
      </c>
      <c r="H7303" s="46" t="s">
        <v>39475</v>
      </c>
    </row>
    <row r="7304">
      <c r="A7304" s="55"/>
      <c r="B7304" s="119" t="s">
        <v>39476</v>
      </c>
      <c r="C7304" s="120" t="s">
        <v>6029</v>
      </c>
      <c r="D7304" s="33" t="s">
        <v>39380</v>
      </c>
      <c r="E7304" s="51" t="s">
        <v>1566</v>
      </c>
      <c r="F7304" s="121" t="s">
        <v>2993</v>
      </c>
      <c r="H7304" s="46" t="s">
        <v>3002</v>
      </c>
    </row>
    <row r="7305">
      <c r="A7305" s="55"/>
      <c r="B7305" s="119" t="s">
        <v>39477</v>
      </c>
      <c r="C7305" s="120" t="s">
        <v>3997</v>
      </c>
      <c r="D7305" s="33" t="s">
        <v>39380</v>
      </c>
      <c r="E7305" s="51" t="s">
        <v>1566</v>
      </c>
      <c r="F7305" s="121" t="s">
        <v>1348</v>
      </c>
      <c r="G7305" s="98" t="str">
        <f>HYPERLINK("http://mirror.ff7data.com.ar/ff7/data/battle/battle.lgp/msac.png","View Picture")</f>
        <v>View Picture</v>
      </c>
    </row>
    <row r="7306">
      <c r="A7306" s="55"/>
      <c r="B7306" s="119" t="s">
        <v>39478</v>
      </c>
      <c r="C7306" s="120" t="s">
        <v>7081</v>
      </c>
      <c r="D7306" s="33" t="s">
        <v>39380</v>
      </c>
      <c r="E7306" s="51" t="s">
        <v>1566</v>
      </c>
      <c r="F7306" s="121" t="s">
        <v>1348</v>
      </c>
      <c r="G7306" s="98" t="str">
        <f>HYPERLINK("http://mirror.ff7data.com.ar/ff7/data/battle/battle.lgp/msad.png","View Picture")</f>
        <v>View Picture</v>
      </c>
    </row>
    <row r="7307">
      <c r="A7307" s="55"/>
      <c r="B7307" s="119" t="s">
        <v>39479</v>
      </c>
      <c r="C7307" s="120" t="s">
        <v>3552</v>
      </c>
      <c r="D7307" s="33" t="s">
        <v>39380</v>
      </c>
      <c r="E7307" s="51" t="s">
        <v>1566</v>
      </c>
      <c r="F7307" s="121" t="s">
        <v>1348</v>
      </c>
      <c r="G7307" s="98" t="str">
        <f>HYPERLINK("http://mirror.ff7data.com.ar/ff7/data/battle/battle.lgp/msae.png","View Picture")</f>
        <v>View Picture</v>
      </c>
    </row>
    <row r="7308">
      <c r="A7308" s="55"/>
      <c r="B7308" s="119" t="s">
        <v>39480</v>
      </c>
      <c r="C7308" s="120" t="s">
        <v>4191</v>
      </c>
      <c r="D7308" s="33" t="s">
        <v>39380</v>
      </c>
      <c r="E7308" s="51" t="s">
        <v>1566</v>
      </c>
      <c r="F7308" s="121" t="s">
        <v>3009</v>
      </c>
      <c r="G7308" s="98" t="str">
        <f>HYPERLINK("http://mirror.ff7data.com.ar/ff7/data/battle/battle.lgp/msam.png","View Picture")</f>
        <v>View Picture</v>
      </c>
    </row>
    <row r="7309">
      <c r="A7309" s="55"/>
      <c r="B7309" s="119" t="s">
        <v>39481</v>
      </c>
      <c r="C7309" s="120" t="s">
        <v>39386</v>
      </c>
      <c r="D7309" s="33" t="s">
        <v>39380</v>
      </c>
      <c r="E7309" s="51" t="s">
        <v>1566</v>
      </c>
      <c r="F7309" s="121" t="s">
        <v>3009</v>
      </c>
      <c r="G7309" s="98" t="str">
        <f>HYPERLINK("http://mirror.ff7data.com.ar/ff7/data/battle/battle.lgp/msat.png","View Picture")</f>
        <v>View Picture</v>
      </c>
    </row>
    <row r="7310">
      <c r="A7310" s="55"/>
      <c r="B7310" s="119" t="s">
        <v>39482</v>
      </c>
      <c r="C7310" s="120" t="s">
        <v>7301</v>
      </c>
      <c r="D7310" s="33" t="s">
        <v>39380</v>
      </c>
      <c r="E7310" s="51" t="s">
        <v>1566</v>
      </c>
      <c r="F7310" s="121" t="s">
        <v>3009</v>
      </c>
      <c r="G7310" s="98" t="str">
        <f>HYPERLINK("http://mirror.ff7data.com.ar/ff7/data/battle/battle.lgp/msav.png","View Picture")</f>
        <v>View Picture</v>
      </c>
    </row>
    <row r="7311">
      <c r="A7311" s="55"/>
      <c r="B7311" s="119" t="s">
        <v>39483</v>
      </c>
      <c r="C7311" s="120" t="s">
        <v>3343</v>
      </c>
      <c r="D7311" s="33" t="s">
        <v>39380</v>
      </c>
      <c r="E7311" s="51" t="s">
        <v>1566</v>
      </c>
      <c r="F7311" s="121" t="s">
        <v>3009</v>
      </c>
      <c r="G7311" s="98" t="str">
        <f>HYPERLINK("http://mirror.ff7data.com.ar/ff7/data/battle/battle.lgp/msax.png","View Picture")</f>
        <v>View Picture</v>
      </c>
    </row>
    <row r="7312">
      <c r="A7312" s="55"/>
      <c r="B7312" s="119" t="s">
        <v>39484</v>
      </c>
      <c r="C7312" s="120" t="s">
        <v>4601</v>
      </c>
      <c r="D7312" s="33" t="s">
        <v>39380</v>
      </c>
      <c r="E7312" s="51" t="s">
        <v>1566</v>
      </c>
      <c r="F7312" s="121" t="s">
        <v>3009</v>
      </c>
      <c r="G7312" s="98" t="str">
        <f>HYPERLINK("http://mirror.ff7data.com.ar/ff7/data/battle/battle.lgp/msaz.png","View Picture")</f>
        <v>View Picture</v>
      </c>
    </row>
    <row r="7313">
      <c r="A7313" s="55"/>
      <c r="B7313" s="119" t="s">
        <v>39485</v>
      </c>
      <c r="C7313" s="120" t="s">
        <v>4264</v>
      </c>
      <c r="D7313" s="33" t="s">
        <v>39380</v>
      </c>
      <c r="E7313" s="51" t="s">
        <v>1566</v>
      </c>
      <c r="F7313" s="121" t="s">
        <v>3009</v>
      </c>
      <c r="G7313" s="98" t="str">
        <f>HYPERLINK("http://mirror.ff7data.com.ar/ff7/data/battle/battle.lgp/msba.png","View Picture")</f>
        <v>View Picture</v>
      </c>
    </row>
    <row r="7314">
      <c r="A7314" s="55"/>
      <c r="B7314" s="119" t="s">
        <v>39486</v>
      </c>
      <c r="C7314" s="120" t="s">
        <v>7148</v>
      </c>
      <c r="D7314" s="33" t="s">
        <v>39380</v>
      </c>
      <c r="E7314" s="51" t="s">
        <v>1566</v>
      </c>
      <c r="F7314" s="121" t="s">
        <v>3009</v>
      </c>
      <c r="G7314" s="98" t="str">
        <f>HYPERLINK("http://mirror.ff7data.com.ar/ff7/data/battle/battle.lgp/msbc.png","View Picture")</f>
        <v>View Picture</v>
      </c>
    </row>
    <row r="7315">
      <c r="A7315" s="55"/>
      <c r="B7315" s="119" t="s">
        <v>39487</v>
      </c>
      <c r="C7315" s="120" t="s">
        <v>4264</v>
      </c>
      <c r="D7315" s="33" t="s">
        <v>39380</v>
      </c>
      <c r="E7315" s="51" t="s">
        <v>1566</v>
      </c>
      <c r="F7315" s="121" t="s">
        <v>3009</v>
      </c>
      <c r="G7315" s="98" t="str">
        <f>HYPERLINK("http://mirror.ff7data.com.ar/ff7/data/battle/battle.lgp/msbd.png","View Picture")</f>
        <v>View Picture</v>
      </c>
    </row>
    <row r="7316">
      <c r="A7316" s="55"/>
      <c r="B7316" s="119" t="s">
        <v>39488</v>
      </c>
      <c r="C7316" s="120" t="s">
        <v>7894</v>
      </c>
      <c r="D7316" s="33" t="s">
        <v>39380</v>
      </c>
      <c r="E7316" s="51" t="s">
        <v>1566</v>
      </c>
      <c r="F7316" s="121" t="s">
        <v>3009</v>
      </c>
      <c r="G7316" s="98" t="str">
        <f>HYPERLINK("http://mirror.ff7data.com.ar/ff7/data/battle/battle.lgp/msbk.png","View Picture")</f>
        <v>View Picture</v>
      </c>
    </row>
    <row r="7317">
      <c r="A7317" s="55"/>
      <c r="B7317" s="119" t="s">
        <v>39489</v>
      </c>
      <c r="C7317" s="120" t="s">
        <v>3355</v>
      </c>
      <c r="D7317" s="33" t="s">
        <v>39380</v>
      </c>
      <c r="E7317" s="51" t="s">
        <v>1566</v>
      </c>
      <c r="F7317" s="121" t="s">
        <v>3009</v>
      </c>
      <c r="G7317" s="98" t="str">
        <f>HYPERLINK("http://mirror.ff7data.com.ar/ff7/data/battle/battle.lgp/msbl.png","View Picture")</f>
        <v>View Picture</v>
      </c>
    </row>
    <row r="7318">
      <c r="A7318" s="55"/>
      <c r="B7318" s="119" t="s">
        <v>39490</v>
      </c>
      <c r="C7318" s="120" t="s">
        <v>5925</v>
      </c>
      <c r="D7318" s="33" t="s">
        <v>39380</v>
      </c>
      <c r="E7318" s="51" t="s">
        <v>1566</v>
      </c>
      <c r="F7318" s="121" t="s">
        <v>3009</v>
      </c>
      <c r="G7318" s="98" t="str">
        <f>HYPERLINK("http://mirror.ff7data.com.ar/ff7/data/battle/battle.lgp/msbo.png","View Picture")</f>
        <v>View Picture</v>
      </c>
    </row>
    <row r="7319">
      <c r="A7319" s="55"/>
      <c r="B7319" s="119" t="s">
        <v>39491</v>
      </c>
      <c r="C7319" s="120" t="s">
        <v>3355</v>
      </c>
      <c r="D7319" s="33" t="s">
        <v>39380</v>
      </c>
      <c r="E7319" s="51" t="s">
        <v>1566</v>
      </c>
      <c r="F7319" s="121" t="s">
        <v>3009</v>
      </c>
      <c r="G7319" s="98" t="str">
        <f>HYPERLINK("http://mirror.ff7data.com.ar/ff7/data/battle/battle.lgp/msbp.png","View Picture")</f>
        <v>View Picture</v>
      </c>
    </row>
    <row r="7320">
      <c r="A7320" s="55"/>
      <c r="B7320" s="119" t="s">
        <v>39492</v>
      </c>
      <c r="C7320" s="120" t="s">
        <v>26120</v>
      </c>
      <c r="D7320" s="33" t="s">
        <v>39380</v>
      </c>
      <c r="E7320" s="51" t="s">
        <v>1566</v>
      </c>
      <c r="F7320" s="121" t="s">
        <v>3025</v>
      </c>
      <c r="H7320" s="46" t="s">
        <v>3002</v>
      </c>
    </row>
    <row r="7321">
      <c r="A7321" s="21"/>
      <c r="B7321" s="119" t="s">
        <v>39493</v>
      </c>
      <c r="C7321" s="120" t="s">
        <v>6789</v>
      </c>
      <c r="D7321" s="33" t="s">
        <v>39494</v>
      </c>
      <c r="E7321" s="51" t="s">
        <v>1571</v>
      </c>
      <c r="F7321" s="121" t="s">
        <v>2971</v>
      </c>
      <c r="G7321" s="98" t="str">
        <f>HYPERLINK("http://mirror.ff7data.com.ar/ff7/data/battle/battle.lgp/mtaa.png","View Picture")</f>
        <v>View Picture</v>
      </c>
    </row>
    <row r="7322">
      <c r="A7322" s="55"/>
      <c r="B7322" s="119" t="s">
        <v>39495</v>
      </c>
      <c r="C7322" s="120" t="s">
        <v>8004</v>
      </c>
      <c r="D7322" s="33" t="s">
        <v>39496</v>
      </c>
      <c r="E7322" s="51" t="s">
        <v>1571</v>
      </c>
      <c r="F7322" s="121" t="s">
        <v>2993</v>
      </c>
      <c r="H7322" s="46" t="s">
        <v>3002</v>
      </c>
    </row>
    <row r="7323">
      <c r="A7323" s="55"/>
      <c r="B7323" s="119" t="s">
        <v>39497</v>
      </c>
      <c r="C7323" s="120" t="s">
        <v>3552</v>
      </c>
      <c r="D7323" s="33" t="s">
        <v>39496</v>
      </c>
      <c r="E7323" s="51" t="s">
        <v>1571</v>
      </c>
      <c r="F7323" s="121" t="s">
        <v>1348</v>
      </c>
      <c r="G7323" s="98" t="str">
        <f>HYPERLINK("http://mirror.ff7data.com.ar/ff7/data/battle/battle.lgp/mtac.png","View Picture")</f>
        <v>View Picture</v>
      </c>
    </row>
    <row r="7324">
      <c r="A7324" s="55"/>
      <c r="B7324" s="119" t="s">
        <v>39498</v>
      </c>
      <c r="C7324" s="120" t="s">
        <v>6010</v>
      </c>
      <c r="D7324" s="33" t="s">
        <v>39496</v>
      </c>
      <c r="E7324" s="51" t="s">
        <v>1571</v>
      </c>
      <c r="F7324" s="121" t="s">
        <v>3009</v>
      </c>
      <c r="G7324" s="98" t="str">
        <f>HYPERLINK("http://mirror.ff7data.com.ar/ff7/data/battle/battle.lgp/mtam.png","View Picture")</f>
        <v>View Picture</v>
      </c>
    </row>
    <row r="7325">
      <c r="A7325" s="55"/>
      <c r="B7325" s="119" t="s">
        <v>39499</v>
      </c>
      <c r="C7325" s="120" t="s">
        <v>10955</v>
      </c>
      <c r="D7325" s="33" t="s">
        <v>39496</v>
      </c>
      <c r="E7325" s="51" t="s">
        <v>1571</v>
      </c>
      <c r="F7325" s="121" t="s">
        <v>3009</v>
      </c>
      <c r="G7325" s="98" t="str">
        <f>HYPERLINK("http://mirror.ff7data.com.ar/ff7/data/battle/battle.lgp/mtan.png","View Picture")</f>
        <v>View Picture</v>
      </c>
    </row>
    <row r="7326">
      <c r="A7326" s="55"/>
      <c r="B7326" s="119" t="s">
        <v>39500</v>
      </c>
      <c r="C7326" s="120" t="s">
        <v>34499</v>
      </c>
      <c r="D7326" s="33" t="s">
        <v>39496</v>
      </c>
      <c r="E7326" s="51" t="s">
        <v>1571</v>
      </c>
      <c r="F7326" s="121" t="s">
        <v>3009</v>
      </c>
      <c r="G7326" s="98" t="str">
        <f>HYPERLINK("http://mirror.ff7data.com.ar/ff7/data/battle/battle.lgp/mtao.png","View Picture")</f>
        <v>View Picture</v>
      </c>
    </row>
    <row r="7327">
      <c r="A7327" s="55"/>
      <c r="B7327" s="119" t="s">
        <v>39501</v>
      </c>
      <c r="C7327" s="120" t="s">
        <v>4288</v>
      </c>
      <c r="D7327" s="33" t="s">
        <v>39496</v>
      </c>
      <c r="E7327" s="51" t="s">
        <v>1571</v>
      </c>
      <c r="F7327" s="121" t="s">
        <v>3009</v>
      </c>
      <c r="G7327" s="98" t="str">
        <f>HYPERLINK("http://mirror.ff7data.com.ar/ff7/data/battle/battle.lgp/mtap.png","View Picture")</f>
        <v>View Picture</v>
      </c>
    </row>
    <row r="7328">
      <c r="A7328" s="55"/>
      <c r="B7328" s="119" t="s">
        <v>39502</v>
      </c>
      <c r="C7328" s="120" t="s">
        <v>4288</v>
      </c>
      <c r="D7328" s="33" t="s">
        <v>39496</v>
      </c>
      <c r="E7328" s="51" t="s">
        <v>1571</v>
      </c>
      <c r="F7328" s="121" t="s">
        <v>3009</v>
      </c>
      <c r="G7328" s="98" t="str">
        <f>HYPERLINK("http://mirror.ff7data.com.ar/ff7/data/battle/battle.lgp/mtaq.png","View Picture")</f>
        <v>View Picture</v>
      </c>
    </row>
    <row r="7329">
      <c r="A7329" s="55"/>
      <c r="B7329" s="119" t="s">
        <v>39503</v>
      </c>
      <c r="C7329" s="120" t="s">
        <v>4288</v>
      </c>
      <c r="D7329" s="33" t="s">
        <v>39496</v>
      </c>
      <c r="E7329" s="51" t="s">
        <v>1571</v>
      </c>
      <c r="F7329" s="121" t="s">
        <v>3009</v>
      </c>
      <c r="G7329" s="98" t="str">
        <f>HYPERLINK("http://mirror.ff7data.com.ar/ff7/data/battle/battle.lgp/mtar.png","View Picture")</f>
        <v>View Picture</v>
      </c>
    </row>
    <row r="7330">
      <c r="A7330" s="55"/>
      <c r="B7330" s="119" t="s">
        <v>39504</v>
      </c>
      <c r="C7330" s="120" t="s">
        <v>4288</v>
      </c>
      <c r="D7330" s="33" t="s">
        <v>39496</v>
      </c>
      <c r="E7330" s="51" t="s">
        <v>1571</v>
      </c>
      <c r="F7330" s="121" t="s">
        <v>3009</v>
      </c>
      <c r="G7330" s="98" t="str">
        <f>HYPERLINK("http://mirror.ff7data.com.ar/ff7/data/battle/battle.lgp/mtas.png","View Picture")</f>
        <v>View Picture</v>
      </c>
    </row>
    <row r="7331">
      <c r="A7331" s="55"/>
      <c r="B7331" s="119" t="s">
        <v>39505</v>
      </c>
      <c r="C7331" s="120" t="s">
        <v>4646</v>
      </c>
      <c r="D7331" s="33" t="s">
        <v>39496</v>
      </c>
      <c r="E7331" s="51" t="s">
        <v>1571</v>
      </c>
      <c r="F7331" s="121" t="s">
        <v>3009</v>
      </c>
      <c r="G7331" s="98" t="str">
        <f>HYPERLINK("http://mirror.ff7data.com.ar/ff7/data/battle/battle.lgp/mtat.png","View Picture")</f>
        <v>View Picture</v>
      </c>
    </row>
    <row r="7332">
      <c r="A7332" s="55"/>
      <c r="B7332" s="119" t="s">
        <v>39506</v>
      </c>
      <c r="C7332" s="120" t="s">
        <v>4288</v>
      </c>
      <c r="D7332" s="33" t="s">
        <v>39496</v>
      </c>
      <c r="E7332" s="51" t="s">
        <v>1571</v>
      </c>
      <c r="F7332" s="121" t="s">
        <v>3009</v>
      </c>
      <c r="G7332" s="98" t="str">
        <f>HYPERLINK("http://mirror.ff7data.com.ar/ff7/data/battle/battle.lgp/mtav.png","View Picture")</f>
        <v>View Picture</v>
      </c>
    </row>
    <row r="7333">
      <c r="A7333" s="55"/>
      <c r="B7333" s="119" t="s">
        <v>39507</v>
      </c>
      <c r="C7333" s="120" t="s">
        <v>4288</v>
      </c>
      <c r="D7333" s="33" t="s">
        <v>39496</v>
      </c>
      <c r="E7333" s="51" t="s">
        <v>1571</v>
      </c>
      <c r="F7333" s="121" t="s">
        <v>3009</v>
      </c>
      <c r="G7333" s="98" t="str">
        <f>HYPERLINK("http://mirror.ff7data.com.ar/ff7/data/battle/battle.lgp/mtaw.png","View Picture")</f>
        <v>View Picture</v>
      </c>
    </row>
    <row r="7334">
      <c r="A7334" s="55"/>
      <c r="B7334" s="119" t="s">
        <v>39508</v>
      </c>
      <c r="C7334" s="120" t="s">
        <v>4646</v>
      </c>
      <c r="D7334" s="33" t="s">
        <v>39496</v>
      </c>
      <c r="E7334" s="51" t="s">
        <v>1571</v>
      </c>
      <c r="F7334" s="121" t="s">
        <v>3009</v>
      </c>
      <c r="G7334" s="98" t="str">
        <f>HYPERLINK("http://mirror.ff7data.com.ar/ff7/data/battle/battle.lgp/mtax.png","View Picture")</f>
        <v>View Picture</v>
      </c>
    </row>
    <row r="7335">
      <c r="A7335" s="55"/>
      <c r="B7335" s="119" t="s">
        <v>39509</v>
      </c>
      <c r="C7335" s="120" t="s">
        <v>7270</v>
      </c>
      <c r="D7335" s="33" t="s">
        <v>39496</v>
      </c>
      <c r="E7335" s="51" t="s">
        <v>1571</v>
      </c>
      <c r="F7335" s="121" t="s">
        <v>3009</v>
      </c>
      <c r="G7335" s="98" t="str">
        <f>HYPERLINK("http://mirror.ff7data.com.ar/ff7/data/battle/battle.lgp/mtba.png","View Picture")</f>
        <v>View Picture</v>
      </c>
    </row>
    <row r="7336">
      <c r="A7336" s="55"/>
      <c r="B7336" s="119" t="s">
        <v>39510</v>
      </c>
      <c r="C7336" s="120" t="s">
        <v>4357</v>
      </c>
      <c r="D7336" s="33" t="s">
        <v>39496</v>
      </c>
      <c r="E7336" s="51" t="s">
        <v>1571</v>
      </c>
      <c r="F7336" s="121" t="s">
        <v>3009</v>
      </c>
      <c r="G7336" s="98" t="str">
        <f>HYPERLINK("http://mirror.ff7data.com.ar/ff7/data/battle/battle.lgp/mtbb.png","View Picture")</f>
        <v>View Picture</v>
      </c>
    </row>
    <row r="7337">
      <c r="A7337" s="55"/>
      <c r="B7337" s="119" t="s">
        <v>39511</v>
      </c>
      <c r="C7337" s="120" t="s">
        <v>3481</v>
      </c>
      <c r="D7337" s="33" t="s">
        <v>39496</v>
      </c>
      <c r="E7337" s="51" t="s">
        <v>1571</v>
      </c>
      <c r="F7337" s="121" t="s">
        <v>3009</v>
      </c>
      <c r="G7337" s="98" t="str">
        <f>HYPERLINK("http://mirror.ff7data.com.ar/ff7/data/battle/battle.lgp/mtbc.png","View Picture")</f>
        <v>View Picture</v>
      </c>
    </row>
    <row r="7338">
      <c r="A7338" s="55"/>
      <c r="B7338" s="119" t="s">
        <v>39512</v>
      </c>
      <c r="C7338" s="120" t="s">
        <v>9571</v>
      </c>
      <c r="D7338" s="33" t="s">
        <v>39496</v>
      </c>
      <c r="E7338" s="51" t="s">
        <v>1571</v>
      </c>
      <c r="F7338" s="121" t="s">
        <v>3009</v>
      </c>
      <c r="G7338" s="98" t="str">
        <f>HYPERLINK("http://mirror.ff7data.com.ar/ff7/data/battle/battle.lgp/mtbg.png","View Picture")</f>
        <v>View Picture</v>
      </c>
    </row>
    <row r="7339">
      <c r="A7339" s="55"/>
      <c r="B7339" s="119" t="s">
        <v>39513</v>
      </c>
      <c r="C7339" s="120" t="s">
        <v>3318</v>
      </c>
      <c r="D7339" s="33" t="s">
        <v>39496</v>
      </c>
      <c r="E7339" s="51" t="s">
        <v>1571</v>
      </c>
      <c r="F7339" s="121" t="s">
        <v>3009</v>
      </c>
      <c r="G7339" s="98" t="str">
        <f>HYPERLINK("http://mirror.ff7data.com.ar/ff7/data/battle/battle.lgp/mtbh.png","View Picture")</f>
        <v>View Picture</v>
      </c>
    </row>
    <row r="7340">
      <c r="A7340" s="55"/>
      <c r="B7340" s="119" t="s">
        <v>39514</v>
      </c>
      <c r="C7340" s="120" t="s">
        <v>4185</v>
      </c>
      <c r="D7340" s="33" t="s">
        <v>39496</v>
      </c>
      <c r="E7340" s="51" t="s">
        <v>1571</v>
      </c>
      <c r="F7340" s="121" t="s">
        <v>3009</v>
      </c>
      <c r="G7340" s="98" t="str">
        <f>HYPERLINK("http://mirror.ff7data.com.ar/ff7/data/battle/battle.lgp/mtbj.png","View Picture")</f>
        <v>View Picture</v>
      </c>
    </row>
    <row r="7341">
      <c r="A7341" s="55"/>
      <c r="B7341" s="119" t="s">
        <v>39515</v>
      </c>
      <c r="C7341" s="120" t="s">
        <v>3355</v>
      </c>
      <c r="D7341" s="33" t="s">
        <v>39496</v>
      </c>
      <c r="E7341" s="51" t="s">
        <v>1571</v>
      </c>
      <c r="F7341" s="121" t="s">
        <v>3009</v>
      </c>
      <c r="G7341" s="98" t="str">
        <f>HYPERLINK("http://mirror.ff7data.com.ar/ff7/data/battle/battle.lgp/mtbk.png","View Picture")</f>
        <v>View Picture</v>
      </c>
    </row>
    <row r="7342">
      <c r="A7342" s="55"/>
      <c r="B7342" s="119" t="s">
        <v>39516</v>
      </c>
      <c r="C7342" s="120" t="s">
        <v>13957</v>
      </c>
      <c r="D7342" s="33" t="s">
        <v>39496</v>
      </c>
      <c r="E7342" s="51" t="s">
        <v>1571</v>
      </c>
      <c r="F7342" s="121" t="s">
        <v>3009</v>
      </c>
      <c r="G7342" s="98" t="str">
        <f>HYPERLINK("http://mirror.ff7data.com.ar/ff7/data/battle/battle.lgp/mtbl.png","View Picture")</f>
        <v>View Picture</v>
      </c>
    </row>
    <row r="7343">
      <c r="A7343" s="55"/>
      <c r="B7343" s="119" t="s">
        <v>39517</v>
      </c>
      <c r="C7343" s="120" t="s">
        <v>4185</v>
      </c>
      <c r="D7343" s="33" t="s">
        <v>39496</v>
      </c>
      <c r="E7343" s="51" t="s">
        <v>1571</v>
      </c>
      <c r="F7343" s="121" t="s">
        <v>3009</v>
      </c>
      <c r="G7343" s="98" t="str">
        <f>HYPERLINK("http://mirror.ff7data.com.ar/ff7/data/battle/battle.lgp/mtbn.png","View Picture")</f>
        <v>View Picture</v>
      </c>
    </row>
    <row r="7344">
      <c r="A7344" s="55"/>
      <c r="B7344" s="119" t="s">
        <v>39518</v>
      </c>
      <c r="C7344" s="120" t="s">
        <v>7301</v>
      </c>
      <c r="D7344" s="33" t="s">
        <v>39496</v>
      </c>
      <c r="E7344" s="51" t="s">
        <v>1571</v>
      </c>
      <c r="F7344" s="121" t="s">
        <v>3009</v>
      </c>
      <c r="G7344" s="98" t="str">
        <f>HYPERLINK("http://mirror.ff7data.com.ar/ff7/data/battle/battle.lgp/mtbo.png","View Picture")</f>
        <v>View Picture</v>
      </c>
    </row>
    <row r="7345">
      <c r="A7345" s="55"/>
      <c r="B7345" s="119" t="s">
        <v>39519</v>
      </c>
      <c r="C7345" s="120" t="s">
        <v>13957</v>
      </c>
      <c r="D7345" s="33" t="s">
        <v>39496</v>
      </c>
      <c r="E7345" s="51" t="s">
        <v>1571</v>
      </c>
      <c r="F7345" s="121" t="s">
        <v>3009</v>
      </c>
      <c r="G7345" s="98" t="str">
        <f>HYPERLINK("http://mirror.ff7data.com.ar/ff7/data/battle/battle.lgp/mtbp.png","View Picture")</f>
        <v>View Picture</v>
      </c>
    </row>
    <row r="7346">
      <c r="A7346" s="55"/>
      <c r="B7346" s="119" t="s">
        <v>39520</v>
      </c>
      <c r="C7346" s="120" t="s">
        <v>4185</v>
      </c>
      <c r="D7346" s="33" t="s">
        <v>39496</v>
      </c>
      <c r="E7346" s="51" t="s">
        <v>1571</v>
      </c>
      <c r="F7346" s="121" t="s">
        <v>3009</v>
      </c>
      <c r="G7346" s="98" t="str">
        <f>HYPERLINK("http://mirror.ff7data.com.ar/ff7/data/battle/battle.lgp/mtbr.png","View Picture")</f>
        <v>View Picture</v>
      </c>
    </row>
    <row r="7347">
      <c r="A7347" s="55"/>
      <c r="B7347" s="119" t="s">
        <v>39521</v>
      </c>
      <c r="C7347" s="120" t="s">
        <v>3355</v>
      </c>
      <c r="D7347" s="33" t="s">
        <v>39496</v>
      </c>
      <c r="E7347" s="51" t="s">
        <v>1571</v>
      </c>
      <c r="F7347" s="121" t="s">
        <v>3009</v>
      </c>
      <c r="G7347" s="98" t="str">
        <f>HYPERLINK("http://mirror.ff7data.com.ar/ff7/data/battle/battle.lgp/mtbs.png","View Picture")</f>
        <v>View Picture</v>
      </c>
    </row>
    <row r="7348">
      <c r="A7348" s="55"/>
      <c r="B7348" s="119" t="s">
        <v>39522</v>
      </c>
      <c r="C7348" s="120" t="s">
        <v>13957</v>
      </c>
      <c r="D7348" s="33" t="s">
        <v>39496</v>
      </c>
      <c r="E7348" s="51" t="s">
        <v>1571</v>
      </c>
      <c r="F7348" s="121" t="s">
        <v>3009</v>
      </c>
      <c r="G7348" s="98" t="str">
        <f>HYPERLINK("http://mirror.ff7data.com.ar/ff7/data/battle/battle.lgp/mtbt.png","View Picture")</f>
        <v>View Picture</v>
      </c>
    </row>
    <row r="7349">
      <c r="A7349" s="55"/>
      <c r="B7349" s="119" t="s">
        <v>39523</v>
      </c>
      <c r="C7349" s="120" t="s">
        <v>3658</v>
      </c>
      <c r="D7349" s="33" t="s">
        <v>39496</v>
      </c>
      <c r="E7349" s="51" t="s">
        <v>1571</v>
      </c>
      <c r="F7349" s="121" t="s">
        <v>3009</v>
      </c>
      <c r="G7349" s="98" t="str">
        <f>HYPERLINK("http://mirror.ff7data.com.ar/ff7/data/battle/battle.lgp/mtbv.png","View Picture")</f>
        <v>View Picture</v>
      </c>
    </row>
    <row r="7350">
      <c r="A7350" s="55"/>
      <c r="B7350" s="119" t="s">
        <v>39524</v>
      </c>
      <c r="C7350" s="120" t="s">
        <v>4185</v>
      </c>
      <c r="D7350" s="33" t="s">
        <v>39496</v>
      </c>
      <c r="E7350" s="51" t="s">
        <v>1571</v>
      </c>
      <c r="F7350" s="121" t="s">
        <v>3009</v>
      </c>
      <c r="G7350" s="98" t="str">
        <f>HYPERLINK("http://mirror.ff7data.com.ar/ff7/data/battle/battle.lgp/mtbx.png","View Picture")</f>
        <v>View Picture</v>
      </c>
    </row>
    <row r="7351">
      <c r="A7351" s="55"/>
      <c r="B7351" s="119" t="s">
        <v>39525</v>
      </c>
      <c r="C7351" s="120" t="s">
        <v>3355</v>
      </c>
      <c r="D7351" s="33" t="s">
        <v>39496</v>
      </c>
      <c r="E7351" s="51" t="s">
        <v>1571</v>
      </c>
      <c r="F7351" s="121" t="s">
        <v>3009</v>
      </c>
      <c r="G7351" s="98" t="str">
        <f>HYPERLINK("http://mirror.ff7data.com.ar/ff7/data/battle/battle.lgp/mtby.png","View Picture")</f>
        <v>View Picture</v>
      </c>
    </row>
    <row r="7352">
      <c r="A7352" s="55"/>
      <c r="B7352" s="119" t="s">
        <v>39526</v>
      </c>
      <c r="C7352" s="120" t="s">
        <v>13957</v>
      </c>
      <c r="D7352" s="33" t="s">
        <v>39496</v>
      </c>
      <c r="E7352" s="51" t="s">
        <v>1571</v>
      </c>
      <c r="F7352" s="121" t="s">
        <v>3009</v>
      </c>
      <c r="G7352" s="98" t="str">
        <f>HYPERLINK("http://mirror.ff7data.com.ar/ff7/data/battle/battle.lgp/mtbz.png","View Picture")</f>
        <v>View Picture</v>
      </c>
    </row>
    <row r="7353">
      <c r="A7353" s="55"/>
      <c r="B7353" s="119" t="s">
        <v>39527</v>
      </c>
      <c r="C7353" s="120" t="s">
        <v>4185</v>
      </c>
      <c r="D7353" s="33" t="s">
        <v>39496</v>
      </c>
      <c r="E7353" s="51" t="s">
        <v>1571</v>
      </c>
      <c r="F7353" s="121" t="s">
        <v>3009</v>
      </c>
      <c r="G7353" s="98" t="str">
        <f>HYPERLINK("http://mirror.ff7data.com.ar/ff7/data/battle/battle.lgp/mtcb.png","View Picture")</f>
        <v>View Picture</v>
      </c>
    </row>
    <row r="7354">
      <c r="A7354" s="55"/>
      <c r="B7354" s="119" t="s">
        <v>39528</v>
      </c>
      <c r="C7354" s="120" t="s">
        <v>7301</v>
      </c>
      <c r="D7354" s="33" t="s">
        <v>39496</v>
      </c>
      <c r="E7354" s="51" t="s">
        <v>1571</v>
      </c>
      <c r="F7354" s="121" t="s">
        <v>3009</v>
      </c>
      <c r="G7354" s="98" t="str">
        <f>HYPERLINK("http://mirror.ff7data.com.ar/ff7/data/battle/battle.lgp/mtcc.png","View Picture")</f>
        <v>View Picture</v>
      </c>
    </row>
    <row r="7355">
      <c r="A7355" s="55"/>
      <c r="B7355" s="119" t="s">
        <v>39529</v>
      </c>
      <c r="C7355" s="120" t="s">
        <v>13957</v>
      </c>
      <c r="D7355" s="33" t="s">
        <v>39496</v>
      </c>
      <c r="E7355" s="51" t="s">
        <v>1571</v>
      </c>
      <c r="F7355" s="121" t="s">
        <v>3009</v>
      </c>
      <c r="G7355" s="98" t="str">
        <f>HYPERLINK("http://mirror.ff7data.com.ar/ff7/data/battle/battle.lgp/mtcd.png","View Picture")</f>
        <v>View Picture</v>
      </c>
    </row>
    <row r="7356">
      <c r="A7356" s="55"/>
      <c r="B7356" s="119" t="s">
        <v>39530</v>
      </c>
      <c r="C7356" s="120" t="s">
        <v>4185</v>
      </c>
      <c r="D7356" s="33" t="s">
        <v>39496</v>
      </c>
      <c r="E7356" s="51" t="s">
        <v>1571</v>
      </c>
      <c r="F7356" s="121" t="s">
        <v>3009</v>
      </c>
      <c r="G7356" s="98" t="str">
        <f>HYPERLINK("http://mirror.ff7data.com.ar/ff7/data/battle/battle.lgp/mtcf.png","View Picture")</f>
        <v>View Picture</v>
      </c>
    </row>
    <row r="7357">
      <c r="A7357" s="55"/>
      <c r="B7357" s="119" t="s">
        <v>39531</v>
      </c>
      <c r="C7357" s="120" t="s">
        <v>7301</v>
      </c>
      <c r="D7357" s="33" t="s">
        <v>39496</v>
      </c>
      <c r="E7357" s="51" t="s">
        <v>1571</v>
      </c>
      <c r="F7357" s="121" t="s">
        <v>3009</v>
      </c>
      <c r="G7357" s="98" t="str">
        <f>HYPERLINK("http://mirror.ff7data.com.ar/ff7/data/battle/battle.lgp/mtcg.png","View Picture")</f>
        <v>View Picture</v>
      </c>
    </row>
    <row r="7358">
      <c r="A7358" s="55"/>
      <c r="B7358" s="119" t="s">
        <v>39532</v>
      </c>
      <c r="C7358" s="120" t="s">
        <v>13957</v>
      </c>
      <c r="D7358" s="33" t="s">
        <v>39496</v>
      </c>
      <c r="E7358" s="51" t="s">
        <v>1571</v>
      </c>
      <c r="F7358" s="121" t="s">
        <v>3009</v>
      </c>
      <c r="G7358" s="98" t="str">
        <f>HYPERLINK("http://mirror.ff7data.com.ar/ff7/data/battle/battle.lgp/mtch.png","View Picture")</f>
        <v>View Picture</v>
      </c>
    </row>
    <row r="7359">
      <c r="A7359" s="55"/>
      <c r="B7359" s="119" t="s">
        <v>39533</v>
      </c>
      <c r="C7359" s="120" t="s">
        <v>39534</v>
      </c>
      <c r="D7359" s="33" t="s">
        <v>39496</v>
      </c>
      <c r="E7359" s="51" t="s">
        <v>1571</v>
      </c>
      <c r="F7359" s="121" t="s">
        <v>3025</v>
      </c>
      <c r="H7359" s="46" t="s">
        <v>3002</v>
      </c>
    </row>
    <row r="7360">
      <c r="A7360" s="82"/>
      <c r="B7360" s="119" t="s">
        <v>39535</v>
      </c>
      <c r="C7360" s="120" t="s">
        <v>35790</v>
      </c>
      <c r="D7360" s="33" t="s">
        <v>39536</v>
      </c>
      <c r="E7360" s="51" t="s">
        <v>1578</v>
      </c>
      <c r="F7360" s="121" t="s">
        <v>2971</v>
      </c>
      <c r="G7360" s="98" t="str">
        <f>HYPERLINK("http://mirror.ff7data.com.ar/ff7/data/battle/battle.lgp/muaa.png","View Picture")</f>
        <v>View Picture</v>
      </c>
    </row>
    <row r="7361">
      <c r="A7361" s="55"/>
      <c r="B7361" s="119" t="s">
        <v>39537</v>
      </c>
      <c r="C7361" s="120" t="s">
        <v>3906</v>
      </c>
      <c r="D7361" s="33" t="s">
        <v>39538</v>
      </c>
      <c r="E7361" s="51" t="s">
        <v>1578</v>
      </c>
      <c r="F7361" s="121" t="s">
        <v>2993</v>
      </c>
      <c r="H7361" s="46" t="s">
        <v>3002</v>
      </c>
    </row>
    <row r="7362">
      <c r="A7362" s="82"/>
      <c r="B7362" s="119" t="s">
        <v>39539</v>
      </c>
      <c r="C7362" s="120" t="s">
        <v>26095</v>
      </c>
      <c r="D7362" s="33" t="s">
        <v>39540</v>
      </c>
      <c r="E7362" s="51" t="s">
        <v>1578</v>
      </c>
      <c r="F7362" s="121" t="s">
        <v>1348</v>
      </c>
      <c r="G7362" s="98" t="str">
        <f>HYPERLINK("http://mirror.ff7data.com.ar/ff7/data/battle/battle.lgp/muac.png","View Picture")</f>
        <v>View Picture</v>
      </c>
    </row>
    <row r="7363">
      <c r="A7363" s="82"/>
      <c r="B7363" s="119" t="s">
        <v>39541</v>
      </c>
      <c r="C7363" s="120" t="s">
        <v>3399</v>
      </c>
      <c r="D7363" s="33" t="s">
        <v>10360</v>
      </c>
      <c r="E7363" s="51" t="s">
        <v>1578</v>
      </c>
      <c r="F7363" s="121" t="s">
        <v>3009</v>
      </c>
      <c r="G7363" s="98" t="str">
        <f>HYPERLINK("http://mirror.ff7data.com.ar/ff7/data/battle/battle.lgp/muam.png","View Picture")</f>
        <v>View Picture</v>
      </c>
    </row>
    <row r="7364">
      <c r="A7364" s="82"/>
      <c r="B7364" s="119" t="s">
        <v>39542</v>
      </c>
      <c r="C7364" s="120" t="s">
        <v>37143</v>
      </c>
      <c r="D7364" s="33" t="s">
        <v>10366</v>
      </c>
      <c r="E7364" s="51" t="s">
        <v>1578</v>
      </c>
      <c r="F7364" s="121" t="s">
        <v>3009</v>
      </c>
      <c r="G7364" s="98" t="str">
        <f>HYPERLINK("http://mirror.ff7data.com.ar/ff7/data/battle/battle.lgp/muan.png","View Picture")</f>
        <v>View Picture</v>
      </c>
    </row>
    <row r="7365">
      <c r="A7365" s="21"/>
      <c r="B7365" s="119" t="s">
        <v>39543</v>
      </c>
      <c r="C7365" s="120" t="s">
        <v>4288</v>
      </c>
      <c r="D7365" s="33" t="s">
        <v>39544</v>
      </c>
      <c r="E7365" s="51" t="s">
        <v>1578</v>
      </c>
      <c r="F7365" s="121" t="s">
        <v>3009</v>
      </c>
      <c r="G7365" s="98" t="str">
        <f>HYPERLINK("http://mirror.ff7data.com.ar/ff7/data/battle/battle.lgp/muap.png","View Picture")</f>
        <v>View Picture</v>
      </c>
    </row>
    <row r="7366">
      <c r="A7366" s="21"/>
      <c r="B7366" s="119" t="s">
        <v>39545</v>
      </c>
      <c r="C7366" s="120" t="s">
        <v>4288</v>
      </c>
      <c r="D7366" s="33" t="s">
        <v>39544</v>
      </c>
      <c r="E7366" s="51" t="s">
        <v>1578</v>
      </c>
      <c r="F7366" s="121" t="s">
        <v>3009</v>
      </c>
      <c r="G7366" s="98" t="str">
        <f>HYPERLINK("http://mirror.ff7data.com.ar/ff7/data/battle/battle.lgp/muaq.png","View Picture")</f>
        <v>View Picture</v>
      </c>
    </row>
    <row r="7367">
      <c r="A7367" s="21"/>
      <c r="B7367" s="119" t="s">
        <v>39546</v>
      </c>
      <c r="C7367" s="120" t="s">
        <v>4288</v>
      </c>
      <c r="D7367" s="33" t="s">
        <v>39544</v>
      </c>
      <c r="E7367" s="51" t="s">
        <v>1578</v>
      </c>
      <c r="F7367" s="121" t="s">
        <v>3009</v>
      </c>
      <c r="G7367" s="98" t="str">
        <f>HYPERLINK("http://mirror.ff7data.com.ar/ff7/data/battle/battle.lgp/muar.png","View Picture")</f>
        <v>View Picture</v>
      </c>
    </row>
    <row r="7368">
      <c r="A7368" s="21"/>
      <c r="B7368" s="119" t="s">
        <v>39547</v>
      </c>
      <c r="C7368" s="120" t="s">
        <v>4288</v>
      </c>
      <c r="D7368" s="33" t="s">
        <v>39544</v>
      </c>
      <c r="E7368" s="51" t="s">
        <v>1578</v>
      </c>
      <c r="F7368" s="121" t="s">
        <v>3009</v>
      </c>
      <c r="G7368" s="98" t="str">
        <f>HYPERLINK("http://mirror.ff7data.com.ar/ff7/data/battle/battle.lgp/muas.png","View Picture")</f>
        <v>View Picture</v>
      </c>
    </row>
    <row r="7369">
      <c r="A7369" s="21"/>
      <c r="B7369" s="119" t="s">
        <v>39548</v>
      </c>
      <c r="C7369" s="120" t="s">
        <v>4696</v>
      </c>
      <c r="D7369" s="33" t="s">
        <v>39544</v>
      </c>
      <c r="E7369" s="51" t="s">
        <v>1578</v>
      </c>
      <c r="F7369" s="121" t="s">
        <v>3009</v>
      </c>
      <c r="G7369" s="98" t="str">
        <f>HYPERLINK("http://mirror.ff7data.com.ar/ff7/data/battle/battle.lgp/muat.png","View Picture")</f>
        <v>View Picture</v>
      </c>
    </row>
    <row r="7370">
      <c r="A7370" s="21"/>
      <c r="B7370" s="119" t="s">
        <v>39549</v>
      </c>
      <c r="C7370" s="120" t="s">
        <v>4288</v>
      </c>
      <c r="D7370" s="33" t="s">
        <v>39544</v>
      </c>
      <c r="E7370" s="51" t="s">
        <v>1578</v>
      </c>
      <c r="F7370" s="121" t="s">
        <v>3009</v>
      </c>
      <c r="G7370" s="98" t="str">
        <f>HYPERLINK("http://mirror.ff7data.com.ar/ff7/data/battle/battle.lgp/muav.png","View Picture")</f>
        <v>View Picture</v>
      </c>
    </row>
    <row r="7371">
      <c r="A7371" s="21"/>
      <c r="B7371" s="119" t="s">
        <v>39550</v>
      </c>
      <c r="C7371" s="120" t="s">
        <v>4288</v>
      </c>
      <c r="D7371" s="33" t="s">
        <v>39544</v>
      </c>
      <c r="E7371" s="51" t="s">
        <v>1578</v>
      </c>
      <c r="F7371" s="121" t="s">
        <v>3009</v>
      </c>
      <c r="G7371" s="98" t="str">
        <f>HYPERLINK("http://mirror.ff7data.com.ar/ff7/data/battle/battle.lgp/muaw.png","View Picture")</f>
        <v>View Picture</v>
      </c>
    </row>
    <row r="7372">
      <c r="A7372" s="21"/>
      <c r="B7372" s="119" t="s">
        <v>39551</v>
      </c>
      <c r="C7372" s="120" t="s">
        <v>4288</v>
      </c>
      <c r="D7372" s="33" t="s">
        <v>39544</v>
      </c>
      <c r="E7372" s="51" t="s">
        <v>1578</v>
      </c>
      <c r="F7372" s="121" t="s">
        <v>3009</v>
      </c>
      <c r="G7372" s="98" t="str">
        <f>HYPERLINK("http://mirror.ff7data.com.ar/ff7/data/battle/battle.lgp/muax.png","View Picture")</f>
        <v>View Picture</v>
      </c>
    </row>
    <row r="7373">
      <c r="A7373" s="21"/>
      <c r="B7373" s="119" t="s">
        <v>39552</v>
      </c>
      <c r="C7373" s="120" t="s">
        <v>4288</v>
      </c>
      <c r="D7373" s="33" t="s">
        <v>39544</v>
      </c>
      <c r="E7373" s="51" t="s">
        <v>1578</v>
      </c>
      <c r="F7373" s="121" t="s">
        <v>3009</v>
      </c>
      <c r="G7373" s="98" t="str">
        <f>HYPERLINK("http://mirror.ff7data.com.ar/ff7/data/battle/battle.lgp/muay.png","View Picture")</f>
        <v>View Picture</v>
      </c>
    </row>
    <row r="7374">
      <c r="A7374" s="21"/>
      <c r="B7374" s="119" t="s">
        <v>39553</v>
      </c>
      <c r="C7374" s="120" t="s">
        <v>4696</v>
      </c>
      <c r="D7374" s="33" t="s">
        <v>39544</v>
      </c>
      <c r="E7374" s="51" t="s">
        <v>1578</v>
      </c>
      <c r="F7374" s="121" t="s">
        <v>3009</v>
      </c>
      <c r="G7374" s="98" t="str">
        <f>HYPERLINK("http://mirror.ff7data.com.ar/ff7/data/battle/battle.lgp/muaz.png","View Picture")</f>
        <v>View Picture</v>
      </c>
    </row>
    <row r="7375">
      <c r="A7375" s="21"/>
      <c r="B7375" s="119" t="s">
        <v>39554</v>
      </c>
      <c r="C7375" s="120" t="s">
        <v>4288</v>
      </c>
      <c r="D7375" s="33" t="s">
        <v>39544</v>
      </c>
      <c r="E7375" s="51" t="s">
        <v>1578</v>
      </c>
      <c r="F7375" s="121" t="s">
        <v>3009</v>
      </c>
      <c r="G7375" s="98" t="str">
        <f>HYPERLINK("http://mirror.ff7data.com.ar/ff7/data/battle/battle.lgp/mubb.png","View Picture")</f>
        <v>View Picture</v>
      </c>
    </row>
    <row r="7376">
      <c r="A7376" s="21"/>
      <c r="B7376" s="119" t="s">
        <v>39555</v>
      </c>
      <c r="C7376" s="120" t="s">
        <v>4288</v>
      </c>
      <c r="D7376" s="33" t="s">
        <v>39544</v>
      </c>
      <c r="E7376" s="51" t="s">
        <v>1578</v>
      </c>
      <c r="F7376" s="121" t="s">
        <v>3009</v>
      </c>
      <c r="G7376" s="98" t="str">
        <f>HYPERLINK("http://mirror.ff7data.com.ar/ff7/data/battle/battle.lgp/mubc.png","View Picture")</f>
        <v>View Picture</v>
      </c>
    </row>
    <row r="7377">
      <c r="A7377" s="21"/>
      <c r="B7377" s="119" t="s">
        <v>39556</v>
      </c>
      <c r="C7377" s="120" t="s">
        <v>4288</v>
      </c>
      <c r="D7377" s="33" t="s">
        <v>39544</v>
      </c>
      <c r="E7377" s="51" t="s">
        <v>1578</v>
      </c>
      <c r="F7377" s="121" t="s">
        <v>3009</v>
      </c>
      <c r="G7377" s="98" t="str">
        <f>HYPERLINK("http://mirror.ff7data.com.ar/ff7/data/battle/battle.lgp/mubd.png","View Picture")</f>
        <v>View Picture</v>
      </c>
    </row>
    <row r="7378">
      <c r="A7378" s="21"/>
      <c r="B7378" s="119" t="s">
        <v>39557</v>
      </c>
      <c r="C7378" s="120" t="s">
        <v>4288</v>
      </c>
      <c r="D7378" s="33" t="s">
        <v>39544</v>
      </c>
      <c r="E7378" s="51" t="s">
        <v>1578</v>
      </c>
      <c r="F7378" s="121" t="s">
        <v>3009</v>
      </c>
      <c r="G7378" s="98" t="str">
        <f>HYPERLINK("http://mirror.ff7data.com.ar/ff7/data/battle/battle.lgp/mube.png","View Picture")</f>
        <v>View Picture</v>
      </c>
    </row>
    <row r="7379">
      <c r="A7379" s="21"/>
      <c r="B7379" s="119" t="s">
        <v>39558</v>
      </c>
      <c r="C7379" s="120" t="s">
        <v>4696</v>
      </c>
      <c r="D7379" s="33" t="s">
        <v>39544</v>
      </c>
      <c r="E7379" s="51" t="s">
        <v>1578</v>
      </c>
      <c r="F7379" s="121" t="s">
        <v>3009</v>
      </c>
      <c r="G7379" s="98" t="str">
        <f>HYPERLINK("http://mirror.ff7data.com.ar/ff7/data/battle/battle.lgp/mubf.png","View Picture")</f>
        <v>View Picture</v>
      </c>
    </row>
    <row r="7380">
      <c r="A7380" s="82"/>
      <c r="B7380" s="119" t="s">
        <v>39559</v>
      </c>
      <c r="C7380" s="120" t="s">
        <v>18406</v>
      </c>
      <c r="D7380" s="33" t="s">
        <v>10357</v>
      </c>
      <c r="E7380" s="51" t="s">
        <v>1578</v>
      </c>
      <c r="F7380" s="121" t="s">
        <v>3009</v>
      </c>
      <c r="G7380" s="98" t="str">
        <f>HYPERLINK("http://mirror.ff7data.com.ar/ff7/data/battle/battle.lgp/mubg.png","View Picture")</f>
        <v>View Picture</v>
      </c>
    </row>
    <row r="7381">
      <c r="A7381" s="21"/>
      <c r="B7381" s="119" t="s">
        <v>39560</v>
      </c>
      <c r="C7381" s="120" t="s">
        <v>14030</v>
      </c>
      <c r="D7381" s="33" t="s">
        <v>10398</v>
      </c>
      <c r="E7381" s="51" t="s">
        <v>1578</v>
      </c>
      <c r="F7381" s="121" t="s">
        <v>3009</v>
      </c>
      <c r="G7381" s="98" t="str">
        <f>HYPERLINK("http://mirror.ff7data.com.ar/ff7/data/battle/battle.lgp/mubi.png","View Picture")</f>
        <v>View Picture</v>
      </c>
    </row>
    <row r="7382">
      <c r="A7382" s="21"/>
      <c r="B7382" s="119" t="s">
        <v>39561</v>
      </c>
      <c r="C7382" s="120" t="s">
        <v>12399</v>
      </c>
      <c r="D7382" s="33" t="s">
        <v>10402</v>
      </c>
      <c r="E7382" s="51" t="s">
        <v>1578</v>
      </c>
      <c r="F7382" s="121" t="s">
        <v>3009</v>
      </c>
      <c r="G7382" s="98" t="str">
        <f>HYPERLINK("http://mirror.ff7data.com.ar/ff7/data/battle/battle.lgp/mubj.png","View Picture")</f>
        <v>View Picture</v>
      </c>
    </row>
    <row r="7383">
      <c r="A7383" s="21"/>
      <c r="B7383" s="119" t="s">
        <v>39562</v>
      </c>
      <c r="C7383" s="120" t="s">
        <v>8376</v>
      </c>
      <c r="D7383" s="33" t="s">
        <v>39563</v>
      </c>
      <c r="E7383" s="51" t="s">
        <v>1578</v>
      </c>
      <c r="F7383" s="121" t="s">
        <v>3009</v>
      </c>
      <c r="G7383" s="98" t="str">
        <f>HYPERLINK("http://mirror.ff7data.com.ar/ff7/data/battle/battle.lgp/mubk.png","View Picture")</f>
        <v>View Picture</v>
      </c>
    </row>
    <row r="7384">
      <c r="A7384" s="21"/>
      <c r="B7384" s="119" t="s">
        <v>39564</v>
      </c>
      <c r="C7384" s="120" t="s">
        <v>5891</v>
      </c>
      <c r="D7384" s="33" t="s">
        <v>39565</v>
      </c>
      <c r="E7384" s="51" t="s">
        <v>1578</v>
      </c>
      <c r="F7384" s="121" t="s">
        <v>3009</v>
      </c>
      <c r="G7384" s="98" t="str">
        <f>HYPERLINK("http://mirror.ff7data.com.ar/ff7/data/battle/battle.lgp/mubl.png","View Picture")</f>
        <v>View Picture</v>
      </c>
    </row>
    <row r="7385">
      <c r="A7385" s="21"/>
      <c r="B7385" s="119" t="s">
        <v>39566</v>
      </c>
      <c r="C7385" s="120" t="s">
        <v>14030</v>
      </c>
      <c r="D7385" s="33" t="s">
        <v>10398</v>
      </c>
      <c r="E7385" s="51" t="s">
        <v>1578</v>
      </c>
      <c r="F7385" s="121" t="s">
        <v>3009</v>
      </c>
      <c r="G7385" s="98" t="str">
        <f>HYPERLINK("http://mirror.ff7data.com.ar/ff7/data/battle/battle.lgp/mubn.png","View Picture")</f>
        <v>View Picture</v>
      </c>
    </row>
    <row r="7386">
      <c r="A7386" s="21"/>
      <c r="B7386" s="119" t="s">
        <v>39567</v>
      </c>
      <c r="C7386" s="120" t="s">
        <v>7894</v>
      </c>
      <c r="D7386" s="33" t="s">
        <v>10402</v>
      </c>
      <c r="E7386" s="51" t="s">
        <v>1578</v>
      </c>
      <c r="F7386" s="121" t="s">
        <v>3009</v>
      </c>
      <c r="G7386" s="98" t="str">
        <f>HYPERLINK("http://mirror.ff7data.com.ar/ff7/data/battle/battle.lgp/mubo.png","View Picture")</f>
        <v>View Picture</v>
      </c>
    </row>
    <row r="7387">
      <c r="A7387" s="21"/>
      <c r="B7387" s="119" t="s">
        <v>39568</v>
      </c>
      <c r="C7387" s="120" t="s">
        <v>8376</v>
      </c>
      <c r="D7387" s="33" t="s">
        <v>39569</v>
      </c>
      <c r="E7387" s="51" t="s">
        <v>1578</v>
      </c>
      <c r="F7387" s="121" t="s">
        <v>3009</v>
      </c>
      <c r="G7387" s="98" t="str">
        <f>HYPERLINK("http://mirror.ff7data.com.ar/ff7/data/battle/battle.lgp/mubp.png","View Picture")</f>
        <v>View Picture</v>
      </c>
    </row>
    <row r="7388">
      <c r="A7388" s="21"/>
      <c r="B7388" s="119" t="s">
        <v>39570</v>
      </c>
      <c r="C7388" s="120" t="s">
        <v>5891</v>
      </c>
      <c r="D7388" s="33" t="s">
        <v>39565</v>
      </c>
      <c r="E7388" s="51" t="s">
        <v>1578</v>
      </c>
      <c r="F7388" s="121" t="s">
        <v>3009</v>
      </c>
      <c r="G7388" s="98" t="str">
        <f>HYPERLINK("http://mirror.ff7data.com.ar/ff7/data/battle/battle.lgp/mubq.png","View Picture")</f>
        <v>View Picture</v>
      </c>
    </row>
    <row r="7389">
      <c r="A7389" s="21"/>
      <c r="B7389" s="119" t="s">
        <v>39571</v>
      </c>
      <c r="C7389" s="120" t="s">
        <v>5203</v>
      </c>
      <c r="D7389" s="33" t="s">
        <v>10375</v>
      </c>
      <c r="E7389" s="51" t="s">
        <v>1578</v>
      </c>
      <c r="F7389" s="121" t="s">
        <v>3009</v>
      </c>
      <c r="G7389" s="98" t="str">
        <f>HYPERLINK("http://mirror.ff7data.com.ar/ff7/data/battle/battle.lgp/mubt.png","View Picture")</f>
        <v>View Picture</v>
      </c>
    </row>
    <row r="7390">
      <c r="A7390" s="21"/>
      <c r="B7390" s="119" t="s">
        <v>39572</v>
      </c>
      <c r="C7390" s="120" t="s">
        <v>3343</v>
      </c>
      <c r="D7390" s="33" t="s">
        <v>10379</v>
      </c>
      <c r="E7390" s="51" t="s">
        <v>1578</v>
      </c>
      <c r="F7390" s="121" t="s">
        <v>3009</v>
      </c>
      <c r="G7390" s="98" t="str">
        <f>HYPERLINK("http://mirror.ff7data.com.ar/ff7/data/battle/battle.lgp/mubu.png","View Picture")</f>
        <v>View Picture</v>
      </c>
    </row>
    <row r="7391">
      <c r="A7391" s="82"/>
      <c r="B7391" s="119" t="s">
        <v>39573</v>
      </c>
      <c r="C7391" s="120" t="s">
        <v>5904</v>
      </c>
      <c r="D7391" s="33" t="s">
        <v>39574</v>
      </c>
      <c r="E7391" s="51" t="s">
        <v>1578</v>
      </c>
      <c r="F7391" s="121" t="s">
        <v>3009</v>
      </c>
      <c r="G7391" s="98" t="str">
        <f>HYPERLINK("http://mirror.ff7data.com.ar/ff7/data/battle/battle.lgp/mubv.png","View Picture")</f>
        <v>View Picture</v>
      </c>
    </row>
    <row r="7392">
      <c r="A7392" s="21"/>
      <c r="B7392" s="119" t="s">
        <v>39575</v>
      </c>
      <c r="C7392" s="120" t="s">
        <v>8649</v>
      </c>
      <c r="D7392" s="33" t="s">
        <v>10375</v>
      </c>
      <c r="E7392" s="51" t="s">
        <v>1578</v>
      </c>
      <c r="F7392" s="121" t="s">
        <v>3009</v>
      </c>
      <c r="G7392" s="98" t="str">
        <f>HYPERLINK("http://mirror.ff7data.com.ar/ff7/data/battle/battle.lgp/muby.png","View Picture")</f>
        <v>View Picture</v>
      </c>
    </row>
    <row r="7393">
      <c r="A7393" s="21"/>
      <c r="B7393" s="119" t="s">
        <v>39576</v>
      </c>
      <c r="C7393" s="120" t="s">
        <v>3343</v>
      </c>
      <c r="D7393" s="33" t="s">
        <v>10379</v>
      </c>
      <c r="E7393" s="51" t="s">
        <v>1578</v>
      </c>
      <c r="F7393" s="121" t="s">
        <v>3009</v>
      </c>
      <c r="G7393" s="98" t="str">
        <f>HYPERLINK("http://mirror.ff7data.com.ar/ff7/data/battle/battle.lgp/mubz.png","View Picture")</f>
        <v>View Picture</v>
      </c>
    </row>
    <row r="7394">
      <c r="A7394" s="82"/>
      <c r="B7394" s="119" t="s">
        <v>39577</v>
      </c>
      <c r="C7394" s="120" t="s">
        <v>5904</v>
      </c>
      <c r="D7394" s="33" t="s">
        <v>39578</v>
      </c>
      <c r="E7394" s="51" t="s">
        <v>1578</v>
      </c>
      <c r="F7394" s="121" t="s">
        <v>3009</v>
      </c>
      <c r="G7394" s="98" t="str">
        <f>HYPERLINK("http://mirror.ff7data.com.ar/ff7/data/battle/battle.lgp/muca.png","View Picture")</f>
        <v>View Picture</v>
      </c>
    </row>
    <row r="7395">
      <c r="A7395" s="82"/>
      <c r="B7395" s="119" t="s">
        <v>39579</v>
      </c>
      <c r="C7395" s="120" t="s">
        <v>10955</v>
      </c>
      <c r="D7395" s="33" t="s">
        <v>10395</v>
      </c>
      <c r="E7395" s="51" t="s">
        <v>1578</v>
      </c>
      <c r="F7395" s="121" t="s">
        <v>3009</v>
      </c>
      <c r="G7395" s="98" t="str">
        <f>HYPERLINK("http://mirror.ff7data.com.ar/ff7/data/battle/battle.lgp/muck.png","View Picture")</f>
        <v>View Picture</v>
      </c>
    </row>
    <row r="7396">
      <c r="A7396" s="55"/>
      <c r="B7396" s="119" t="s">
        <v>39580</v>
      </c>
      <c r="C7396" s="120" t="s">
        <v>4122</v>
      </c>
      <c r="D7396" s="33" t="s">
        <v>39538</v>
      </c>
      <c r="E7396" s="51" t="s">
        <v>1578</v>
      </c>
      <c r="F7396" s="121" t="s">
        <v>3025</v>
      </c>
      <c r="H7396" s="46" t="s">
        <v>3002</v>
      </c>
    </row>
    <row r="7397">
      <c r="A7397" s="55"/>
      <c r="B7397" s="119" t="s">
        <v>39581</v>
      </c>
      <c r="C7397" s="120" t="s">
        <v>6789</v>
      </c>
      <c r="D7397" s="33" t="s">
        <v>39582</v>
      </c>
      <c r="E7397" s="51" t="s">
        <v>1584</v>
      </c>
      <c r="F7397" s="121" t="s">
        <v>2971</v>
      </c>
      <c r="G7397" s="98" t="str">
        <f>HYPERLINK("http://mirror.ff7data.com.ar/ff7/data/battle/battle.lgp/mvaa.png","View Picture")</f>
        <v>View Picture</v>
      </c>
    </row>
    <row r="7398">
      <c r="A7398" s="55"/>
      <c r="B7398" s="119" t="s">
        <v>39583</v>
      </c>
      <c r="C7398" s="120" t="s">
        <v>4846</v>
      </c>
      <c r="D7398" s="33" t="s">
        <v>39584</v>
      </c>
      <c r="E7398" s="51" t="s">
        <v>1584</v>
      </c>
      <c r="F7398" s="121" t="s">
        <v>2993</v>
      </c>
      <c r="H7398" s="46" t="s">
        <v>3002</v>
      </c>
    </row>
    <row r="7399">
      <c r="A7399" s="55"/>
      <c r="B7399" s="119" t="s">
        <v>39585</v>
      </c>
      <c r="C7399" s="120" t="s">
        <v>4841</v>
      </c>
      <c r="D7399" s="33" t="s">
        <v>39584</v>
      </c>
      <c r="E7399" s="51" t="s">
        <v>1584</v>
      </c>
      <c r="F7399" s="121" t="s">
        <v>3009</v>
      </c>
      <c r="G7399" s="98" t="str">
        <f>HYPERLINK("http://mirror.ff7data.com.ar/ff7/data/battle/battle.lgp/mvam.png","View Picture")</f>
        <v>View Picture</v>
      </c>
    </row>
    <row r="7400">
      <c r="A7400" s="55"/>
      <c r="B7400" s="119" t="s">
        <v>39586</v>
      </c>
      <c r="C7400" s="120" t="s">
        <v>7471</v>
      </c>
      <c r="D7400" s="33" t="s">
        <v>39584</v>
      </c>
      <c r="E7400" s="51" t="s">
        <v>1584</v>
      </c>
      <c r="F7400" s="121" t="s">
        <v>3009</v>
      </c>
      <c r="G7400" s="98" t="str">
        <f>HYPERLINK("http://mirror.ff7data.com.ar/ff7/data/battle/battle.lgp/mvan.png","View Picture")</f>
        <v>View Picture</v>
      </c>
    </row>
    <row r="7401">
      <c r="A7401" s="55"/>
      <c r="B7401" s="119" t="s">
        <v>39587</v>
      </c>
      <c r="C7401" s="120" t="s">
        <v>11918</v>
      </c>
      <c r="D7401" s="33" t="s">
        <v>39584</v>
      </c>
      <c r="E7401" s="51" t="s">
        <v>1584</v>
      </c>
      <c r="F7401" s="121" t="s">
        <v>3009</v>
      </c>
      <c r="G7401" s="98" t="str">
        <f>HYPERLINK("http://mirror.ff7data.com.ar/ff7/data/battle/battle.lgp/mvao.png","View Picture")</f>
        <v>View Picture</v>
      </c>
    </row>
    <row r="7402">
      <c r="A7402" s="55"/>
      <c r="B7402" s="119" t="s">
        <v>39588</v>
      </c>
      <c r="C7402" s="120" t="s">
        <v>3434</v>
      </c>
      <c r="D7402" s="33" t="s">
        <v>39584</v>
      </c>
      <c r="E7402" s="51" t="s">
        <v>1584</v>
      </c>
      <c r="F7402" s="121" t="s">
        <v>3009</v>
      </c>
      <c r="G7402" s="98" t="str">
        <f>HYPERLINK("http://mirror.ff7data.com.ar/ff7/data/battle/battle.lgp/mvap.png","View Picture")</f>
        <v>View Picture</v>
      </c>
    </row>
    <row r="7403">
      <c r="A7403" s="55"/>
      <c r="B7403" s="119" t="s">
        <v>39589</v>
      </c>
      <c r="C7403" s="120" t="s">
        <v>3573</v>
      </c>
      <c r="D7403" s="33" t="s">
        <v>39584</v>
      </c>
      <c r="E7403" s="51" t="s">
        <v>1584</v>
      </c>
      <c r="F7403" s="121" t="s">
        <v>3009</v>
      </c>
      <c r="G7403" s="98" t="str">
        <f>HYPERLINK("http://mirror.ff7data.com.ar/ff7/data/battle/battle.lgp/mvaq.png","View Picture")</f>
        <v>View Picture</v>
      </c>
    </row>
    <row r="7404">
      <c r="A7404" s="55"/>
      <c r="B7404" s="119" t="s">
        <v>39590</v>
      </c>
      <c r="C7404" s="120" t="s">
        <v>7871</v>
      </c>
      <c r="D7404" s="33" t="s">
        <v>39584</v>
      </c>
      <c r="E7404" s="51" t="s">
        <v>1584</v>
      </c>
      <c r="F7404" s="121" t="s">
        <v>3009</v>
      </c>
      <c r="G7404" s="98" t="str">
        <f>HYPERLINK("http://mirror.ff7data.com.ar/ff7/data/battle/battle.lgp/mvar.png","View Picture")</f>
        <v>View Picture</v>
      </c>
    </row>
    <row r="7405">
      <c r="A7405" s="55"/>
      <c r="B7405" s="119" t="s">
        <v>39591</v>
      </c>
      <c r="C7405" s="120" t="s">
        <v>9290</v>
      </c>
      <c r="D7405" s="33" t="s">
        <v>39584</v>
      </c>
      <c r="E7405" s="51" t="s">
        <v>1584</v>
      </c>
      <c r="F7405" s="121" t="s">
        <v>3009</v>
      </c>
      <c r="G7405" s="98" t="str">
        <f>HYPERLINK("http://mirror.ff7data.com.ar/ff7/data/battle/battle.lgp/mvav.png","View Picture")</f>
        <v>View Picture</v>
      </c>
    </row>
    <row r="7406">
      <c r="A7406" s="55"/>
      <c r="B7406" s="119" t="s">
        <v>39592</v>
      </c>
      <c r="C7406" s="120" t="s">
        <v>3614</v>
      </c>
      <c r="D7406" s="33" t="s">
        <v>39584</v>
      </c>
      <c r="E7406" s="51" t="s">
        <v>1584</v>
      </c>
      <c r="F7406" s="121" t="s">
        <v>3009</v>
      </c>
      <c r="G7406" s="98" t="str">
        <f>HYPERLINK("http://mirror.ff7data.com.ar/ff7/data/battle/battle.lgp/mvaw.png","View Picture")</f>
        <v>View Picture</v>
      </c>
    </row>
    <row r="7407">
      <c r="A7407" s="55"/>
      <c r="B7407" s="119" t="s">
        <v>39593</v>
      </c>
      <c r="C7407" s="120" t="s">
        <v>8376</v>
      </c>
      <c r="D7407" s="33" t="s">
        <v>39584</v>
      </c>
      <c r="E7407" s="51" t="s">
        <v>1584</v>
      </c>
      <c r="F7407" s="121" t="s">
        <v>3009</v>
      </c>
      <c r="G7407" s="98" t="str">
        <f>HYPERLINK("http://mirror.ff7data.com.ar/ff7/data/battle/battle.lgp/mvax.png","View Picture")</f>
        <v>View Picture</v>
      </c>
    </row>
    <row r="7408">
      <c r="A7408" s="55"/>
      <c r="B7408" s="119" t="s">
        <v>39594</v>
      </c>
      <c r="C7408" s="120" t="s">
        <v>3445</v>
      </c>
      <c r="D7408" s="33" t="s">
        <v>39584</v>
      </c>
      <c r="E7408" s="51" t="s">
        <v>1584</v>
      </c>
      <c r="F7408" s="121" t="s">
        <v>3009</v>
      </c>
      <c r="G7408" s="98" t="str">
        <f>HYPERLINK("http://mirror.ff7data.com.ar/ff7/data/battle/battle.lgp/mvaz.png","View Picture")</f>
        <v>View Picture</v>
      </c>
    </row>
    <row r="7409">
      <c r="A7409" s="55"/>
      <c r="B7409" s="119" t="s">
        <v>39595</v>
      </c>
      <c r="C7409" s="120" t="s">
        <v>10078</v>
      </c>
      <c r="D7409" s="33" t="s">
        <v>39584</v>
      </c>
      <c r="E7409" s="51" t="s">
        <v>1584</v>
      </c>
      <c r="F7409" s="121" t="s">
        <v>3009</v>
      </c>
      <c r="G7409" s="98" t="str">
        <f>HYPERLINK("http://mirror.ff7data.com.ar/ff7/data/battle/battle.lgp/mvba.png","View Picture")</f>
        <v>View Picture</v>
      </c>
    </row>
    <row r="7410">
      <c r="A7410" s="55"/>
      <c r="B7410" s="119" t="s">
        <v>39596</v>
      </c>
      <c r="C7410" s="120" t="s">
        <v>3519</v>
      </c>
      <c r="D7410" s="33" t="s">
        <v>39584</v>
      </c>
      <c r="E7410" s="51" t="s">
        <v>1584</v>
      </c>
      <c r="F7410" s="121" t="s">
        <v>3009</v>
      </c>
      <c r="G7410" s="98" t="str">
        <f>HYPERLINK("http://mirror.ff7data.com.ar/ff7/data/battle/battle.lgp/mvbb.png","View Picture")</f>
        <v>View Picture</v>
      </c>
    </row>
    <row r="7411">
      <c r="A7411" s="55"/>
      <c r="B7411" s="119" t="s">
        <v>39597</v>
      </c>
      <c r="C7411" s="120" t="s">
        <v>4057</v>
      </c>
      <c r="D7411" s="33" t="s">
        <v>39584</v>
      </c>
      <c r="E7411" s="51" t="s">
        <v>1584</v>
      </c>
      <c r="F7411" s="121" t="s">
        <v>3009</v>
      </c>
      <c r="G7411" s="98" t="str">
        <f>HYPERLINK("http://mirror.ff7data.com.ar/ff7/data/battle/battle.lgp/mvbd.png","View Picture")</f>
        <v>View Picture</v>
      </c>
    </row>
    <row r="7412">
      <c r="A7412" s="55"/>
      <c r="B7412" s="119" t="s">
        <v>39598</v>
      </c>
      <c r="C7412" s="120" t="s">
        <v>4372</v>
      </c>
      <c r="D7412" s="33" t="s">
        <v>39584</v>
      </c>
      <c r="E7412" s="51" t="s">
        <v>1584</v>
      </c>
      <c r="F7412" s="121" t="s">
        <v>3009</v>
      </c>
      <c r="G7412" s="98" t="str">
        <f>HYPERLINK("http://mirror.ff7data.com.ar/ff7/data/battle/battle.lgp/mvbe.png","View Picture")</f>
        <v>View Picture</v>
      </c>
    </row>
    <row r="7413">
      <c r="A7413" s="55"/>
      <c r="B7413" s="119" t="s">
        <v>39599</v>
      </c>
      <c r="C7413" s="120" t="s">
        <v>4719</v>
      </c>
      <c r="D7413" s="33" t="s">
        <v>39584</v>
      </c>
      <c r="E7413" s="51" t="s">
        <v>1584</v>
      </c>
      <c r="F7413" s="121" t="s">
        <v>3009</v>
      </c>
      <c r="G7413" s="98" t="str">
        <f>HYPERLINK("http://mirror.ff7data.com.ar/ff7/data/battle/battle.lgp/mvbg.png","View Picture")</f>
        <v>View Picture</v>
      </c>
    </row>
    <row r="7414">
      <c r="A7414" s="55"/>
      <c r="B7414" s="119" t="s">
        <v>39600</v>
      </c>
      <c r="C7414" s="120" t="s">
        <v>4372</v>
      </c>
      <c r="D7414" s="33" t="s">
        <v>39584</v>
      </c>
      <c r="E7414" s="51" t="s">
        <v>1584</v>
      </c>
      <c r="F7414" s="121" t="s">
        <v>3009</v>
      </c>
      <c r="G7414" s="98" t="str">
        <f>HYPERLINK("http://mirror.ff7data.com.ar/ff7/data/battle/battle.lgp/mvbh.png","View Picture")</f>
        <v>View Picture</v>
      </c>
    </row>
    <row r="7415">
      <c r="A7415" s="55"/>
      <c r="B7415" s="119" t="s">
        <v>39601</v>
      </c>
      <c r="C7415" s="120" t="s">
        <v>7501</v>
      </c>
      <c r="D7415" s="33" t="s">
        <v>39584</v>
      </c>
      <c r="E7415" s="51" t="s">
        <v>1584</v>
      </c>
      <c r="F7415" s="121" t="s">
        <v>3009</v>
      </c>
      <c r="G7415" s="98" t="str">
        <f>HYPERLINK("http://mirror.ff7data.com.ar/ff7/data/battle/battle.lgp/mvbm.png","View Picture")</f>
        <v>View Picture</v>
      </c>
    </row>
    <row r="7416">
      <c r="A7416" s="55"/>
      <c r="B7416" s="119" t="s">
        <v>39602</v>
      </c>
      <c r="C7416" s="120" t="s">
        <v>7871</v>
      </c>
      <c r="D7416" s="33" t="s">
        <v>39584</v>
      </c>
      <c r="E7416" s="51" t="s">
        <v>1584</v>
      </c>
      <c r="F7416" s="121" t="s">
        <v>3009</v>
      </c>
      <c r="G7416" s="98" t="str">
        <f>HYPERLINK("http://mirror.ff7data.com.ar/ff7/data/battle/battle.lgp/mvbn.png","View Picture")</f>
        <v>View Picture</v>
      </c>
    </row>
    <row r="7417">
      <c r="A7417" s="55"/>
      <c r="B7417" s="119" t="s">
        <v>39603</v>
      </c>
      <c r="C7417" s="120" t="s">
        <v>8376</v>
      </c>
      <c r="D7417" s="33" t="s">
        <v>39584</v>
      </c>
      <c r="E7417" s="51" t="s">
        <v>1584</v>
      </c>
      <c r="F7417" s="121" t="s">
        <v>3009</v>
      </c>
      <c r="G7417" s="98" t="str">
        <f>HYPERLINK("http://mirror.ff7data.com.ar/ff7/data/battle/battle.lgp/mvbo.png","View Picture")</f>
        <v>View Picture</v>
      </c>
    </row>
    <row r="7418">
      <c r="A7418" s="55"/>
      <c r="B7418" s="119" t="s">
        <v>39604</v>
      </c>
      <c r="C7418" s="120" t="s">
        <v>3412</v>
      </c>
      <c r="D7418" s="33" t="s">
        <v>39584</v>
      </c>
      <c r="E7418" s="51" t="s">
        <v>1584</v>
      </c>
      <c r="F7418" s="121" t="s">
        <v>3009</v>
      </c>
      <c r="G7418" s="98" t="str">
        <f>HYPERLINK("http://mirror.ff7data.com.ar/ff7/data/battle/battle.lgp/mvbq.png","View Picture")</f>
        <v>View Picture</v>
      </c>
    </row>
    <row r="7419">
      <c r="A7419" s="55"/>
      <c r="B7419" s="119" t="s">
        <v>39605</v>
      </c>
      <c r="C7419" s="120" t="s">
        <v>4252</v>
      </c>
      <c r="D7419" s="33" t="s">
        <v>39584</v>
      </c>
      <c r="E7419" s="51" t="s">
        <v>1584</v>
      </c>
      <c r="F7419" s="121" t="s">
        <v>3009</v>
      </c>
      <c r="G7419" s="98" t="str">
        <f>HYPERLINK("http://mirror.ff7data.com.ar/ff7/data/battle/battle.lgp/mvbr.png","View Picture")</f>
        <v>View Picture</v>
      </c>
    </row>
    <row r="7420">
      <c r="A7420" s="55"/>
      <c r="B7420" s="119" t="s">
        <v>39606</v>
      </c>
      <c r="C7420" s="120" t="s">
        <v>3519</v>
      </c>
      <c r="D7420" s="33" t="s">
        <v>39584</v>
      </c>
      <c r="E7420" s="51" t="s">
        <v>1584</v>
      </c>
      <c r="F7420" s="121" t="s">
        <v>3009</v>
      </c>
      <c r="G7420" s="98" t="str">
        <f>HYPERLINK("http://mirror.ff7data.com.ar/ff7/data/battle/battle.lgp/mvbs.png","View Picture")</f>
        <v>View Picture</v>
      </c>
    </row>
    <row r="7421">
      <c r="A7421" s="55"/>
      <c r="B7421" s="119" t="s">
        <v>39607</v>
      </c>
      <c r="C7421" s="120" t="s">
        <v>5891</v>
      </c>
      <c r="D7421" s="33" t="s">
        <v>39584</v>
      </c>
      <c r="E7421" s="51" t="s">
        <v>1584</v>
      </c>
      <c r="F7421" s="121" t="s">
        <v>3009</v>
      </c>
      <c r="G7421" s="98" t="str">
        <f>HYPERLINK("http://mirror.ff7data.com.ar/ff7/data/battle/battle.lgp/mvbu.png","View Picture")</f>
        <v>View Picture</v>
      </c>
    </row>
    <row r="7422">
      <c r="A7422" s="55"/>
      <c r="B7422" s="119" t="s">
        <v>39608</v>
      </c>
      <c r="C7422" s="120" t="s">
        <v>4057</v>
      </c>
      <c r="D7422" s="33" t="s">
        <v>39584</v>
      </c>
      <c r="E7422" s="51" t="s">
        <v>1584</v>
      </c>
      <c r="F7422" s="121" t="s">
        <v>3009</v>
      </c>
      <c r="G7422" s="98" t="str">
        <f>HYPERLINK("http://mirror.ff7data.com.ar/ff7/data/battle/battle.lgp/mvbv.png","View Picture")</f>
        <v>View Picture</v>
      </c>
    </row>
    <row r="7423">
      <c r="A7423" s="55"/>
      <c r="B7423" s="119" t="s">
        <v>39609</v>
      </c>
      <c r="C7423" s="120" t="s">
        <v>5891</v>
      </c>
      <c r="D7423" s="33" t="s">
        <v>39584</v>
      </c>
      <c r="E7423" s="51" t="s">
        <v>1584</v>
      </c>
      <c r="F7423" s="121" t="s">
        <v>3009</v>
      </c>
      <c r="G7423" s="98" t="str">
        <f>HYPERLINK("http://mirror.ff7data.com.ar/ff7/data/battle/battle.lgp/mvbw.png","View Picture")</f>
        <v>View Picture</v>
      </c>
    </row>
    <row r="7424">
      <c r="A7424" s="55"/>
      <c r="B7424" s="119" t="s">
        <v>39610</v>
      </c>
      <c r="C7424" s="120" t="s">
        <v>3723</v>
      </c>
      <c r="D7424" s="33" t="s">
        <v>39584</v>
      </c>
      <c r="E7424" s="51" t="s">
        <v>1584</v>
      </c>
      <c r="F7424" s="121" t="s">
        <v>3009</v>
      </c>
      <c r="G7424" s="98" t="str">
        <f>HYPERLINK("http://mirror.ff7data.com.ar/ff7/data/battle/battle.lgp/mvbx.png","View Picture")</f>
        <v>View Picture</v>
      </c>
    </row>
    <row r="7425">
      <c r="A7425" s="55"/>
      <c r="B7425" s="119" t="s">
        <v>39611</v>
      </c>
      <c r="C7425" s="120" t="s">
        <v>5891</v>
      </c>
      <c r="D7425" s="33" t="s">
        <v>39584</v>
      </c>
      <c r="E7425" s="51" t="s">
        <v>1584</v>
      </c>
      <c r="F7425" s="121" t="s">
        <v>3009</v>
      </c>
      <c r="G7425" s="98" t="str">
        <f>HYPERLINK("http://mirror.ff7data.com.ar/ff7/data/battle/battle.lgp/mvbz.png","View Picture")</f>
        <v>View Picture</v>
      </c>
    </row>
    <row r="7426">
      <c r="A7426" s="55"/>
      <c r="B7426" s="119" t="s">
        <v>39612</v>
      </c>
      <c r="C7426" s="120" t="s">
        <v>4057</v>
      </c>
      <c r="D7426" s="33" t="s">
        <v>39584</v>
      </c>
      <c r="E7426" s="51" t="s">
        <v>1584</v>
      </c>
      <c r="F7426" s="121" t="s">
        <v>3009</v>
      </c>
      <c r="G7426" s="98" t="str">
        <f>HYPERLINK("http://mirror.ff7data.com.ar/ff7/data/battle/battle.lgp/mvca.png","View Picture")</f>
        <v>View Picture</v>
      </c>
    </row>
    <row r="7427">
      <c r="A7427" s="55"/>
      <c r="B7427" s="119" t="s">
        <v>39613</v>
      </c>
      <c r="C7427" s="120" t="s">
        <v>3648</v>
      </c>
      <c r="D7427" s="33" t="s">
        <v>39584</v>
      </c>
      <c r="E7427" s="51" t="s">
        <v>1584</v>
      </c>
      <c r="F7427" s="121" t="s">
        <v>3009</v>
      </c>
      <c r="G7427" s="98" t="str">
        <f>HYPERLINK("http://mirror.ff7data.com.ar/ff7/data/battle/battle.lgp/mvcb.png","View Picture")</f>
        <v>View Picture</v>
      </c>
    </row>
    <row r="7428">
      <c r="A7428" s="55"/>
      <c r="B7428" s="119" t="s">
        <v>39614</v>
      </c>
      <c r="C7428" s="120" t="s">
        <v>3723</v>
      </c>
      <c r="D7428" s="33" t="s">
        <v>39584</v>
      </c>
      <c r="E7428" s="51" t="s">
        <v>1584</v>
      </c>
      <c r="F7428" s="121" t="s">
        <v>3009</v>
      </c>
      <c r="G7428" s="98" t="str">
        <f>HYPERLINK("http://mirror.ff7data.com.ar/ff7/data/battle/battle.lgp/mvcc.png","View Picture")</f>
        <v>View Picture</v>
      </c>
    </row>
    <row r="7429">
      <c r="A7429" s="55"/>
      <c r="B7429" s="119" t="s">
        <v>39615</v>
      </c>
      <c r="C7429" s="120" t="s">
        <v>4264</v>
      </c>
      <c r="D7429" s="33" t="s">
        <v>39584</v>
      </c>
      <c r="E7429" s="51" t="s">
        <v>1584</v>
      </c>
      <c r="F7429" s="121" t="s">
        <v>3009</v>
      </c>
      <c r="G7429" s="98" t="str">
        <f>HYPERLINK("http://mirror.ff7data.com.ar/ff7/data/battle/battle.lgp/mvce.png","View Picture")</f>
        <v>View Picture</v>
      </c>
    </row>
    <row r="7430">
      <c r="A7430" s="55"/>
      <c r="B7430" s="119" t="s">
        <v>39616</v>
      </c>
      <c r="C7430" s="120" t="s">
        <v>4732</v>
      </c>
      <c r="D7430" s="33" t="s">
        <v>39584</v>
      </c>
      <c r="E7430" s="51" t="s">
        <v>1584</v>
      </c>
      <c r="F7430" s="121" t="s">
        <v>3009</v>
      </c>
      <c r="G7430" s="98" t="str">
        <f>HYPERLINK("http://mirror.ff7data.com.ar/ff7/data/battle/battle.lgp/mvcf.png","View Picture")</f>
        <v>View Picture</v>
      </c>
    </row>
    <row r="7431">
      <c r="A7431" s="55"/>
      <c r="B7431" s="119" t="s">
        <v>39617</v>
      </c>
      <c r="C7431" s="120" t="s">
        <v>4732</v>
      </c>
      <c r="D7431" s="33" t="s">
        <v>39584</v>
      </c>
      <c r="E7431" s="51" t="s">
        <v>1584</v>
      </c>
      <c r="F7431" s="121" t="s">
        <v>3009</v>
      </c>
      <c r="G7431" s="98" t="str">
        <f>HYPERLINK("http://mirror.ff7data.com.ar/ff7/data/battle/battle.lgp/mvcg.png","View Picture")</f>
        <v>View Picture</v>
      </c>
    </row>
    <row r="7432">
      <c r="A7432" s="55"/>
      <c r="B7432" s="119" t="s">
        <v>39618</v>
      </c>
      <c r="C7432" s="120" t="s">
        <v>4883</v>
      </c>
      <c r="D7432" s="33" t="s">
        <v>39584</v>
      </c>
      <c r="E7432" s="51" t="s">
        <v>1584</v>
      </c>
      <c r="F7432" s="121" t="s">
        <v>3009</v>
      </c>
      <c r="G7432" s="98" t="str">
        <f>HYPERLINK("http://mirror.ff7data.com.ar/ff7/data/battle/battle.lgp/mvch.png","View Picture")</f>
        <v>View Picture</v>
      </c>
    </row>
    <row r="7433">
      <c r="A7433" s="55"/>
      <c r="B7433" s="119" t="s">
        <v>39619</v>
      </c>
      <c r="C7433" s="120" t="s">
        <v>26179</v>
      </c>
      <c r="D7433" s="33" t="s">
        <v>39584</v>
      </c>
      <c r="E7433" s="51" t="s">
        <v>1584</v>
      </c>
      <c r="F7433" s="121" t="s">
        <v>3025</v>
      </c>
      <c r="H7433" s="46" t="s">
        <v>3002</v>
      </c>
    </row>
    <row r="7434">
      <c r="A7434" s="55"/>
      <c r="B7434" s="119" t="s">
        <v>39620</v>
      </c>
      <c r="C7434" s="120" t="s">
        <v>6789</v>
      </c>
      <c r="D7434" s="33" t="s">
        <v>39621</v>
      </c>
      <c r="E7434" s="51" t="s">
        <v>1588</v>
      </c>
      <c r="F7434" s="121" t="s">
        <v>2971</v>
      </c>
      <c r="G7434" s="98" t="str">
        <f>HYPERLINK("http://mirror.ff7data.com.ar/ff7/data/battle/battle.lgp/mwaa.png","View Picture")</f>
        <v>View Picture</v>
      </c>
      <c r="H7434" s="46" t="s">
        <v>39622</v>
      </c>
    </row>
    <row r="7435">
      <c r="A7435" s="55"/>
      <c r="B7435" s="119" t="s">
        <v>39623</v>
      </c>
      <c r="C7435" s="120" t="s">
        <v>4846</v>
      </c>
      <c r="D7435" s="33" t="s">
        <v>39624</v>
      </c>
      <c r="E7435" s="51" t="s">
        <v>1588</v>
      </c>
      <c r="F7435" s="121" t="s">
        <v>2993</v>
      </c>
      <c r="H7435" s="46" t="s">
        <v>3002</v>
      </c>
    </row>
    <row r="7436">
      <c r="A7436" s="55"/>
      <c r="B7436" s="119" t="s">
        <v>39625</v>
      </c>
      <c r="C7436" s="120" t="s">
        <v>4841</v>
      </c>
      <c r="D7436" s="33" t="s">
        <v>39624</v>
      </c>
      <c r="E7436" s="51" t="s">
        <v>1588</v>
      </c>
      <c r="F7436" s="121" t="s">
        <v>3009</v>
      </c>
      <c r="G7436" s="98" t="str">
        <f>HYPERLINK("http://mirror.ff7data.com.ar/ff7/data/battle/battle.lgp/mwam.png","View Picture")</f>
        <v>View Picture</v>
      </c>
    </row>
    <row r="7437">
      <c r="A7437" s="55"/>
      <c r="B7437" s="119" t="s">
        <v>39626</v>
      </c>
      <c r="C7437" s="120" t="s">
        <v>7471</v>
      </c>
      <c r="D7437" s="33" t="s">
        <v>39624</v>
      </c>
      <c r="E7437" s="51" t="s">
        <v>1588</v>
      </c>
      <c r="F7437" s="121" t="s">
        <v>3009</v>
      </c>
      <c r="G7437" s="98" t="str">
        <f>HYPERLINK("http://mirror.ff7data.com.ar/ff7/data/battle/battle.lgp/mwan.png","View Picture")</f>
        <v>View Picture</v>
      </c>
    </row>
    <row r="7438">
      <c r="A7438" s="55"/>
      <c r="B7438" s="119" t="s">
        <v>39627</v>
      </c>
      <c r="C7438" s="120" t="s">
        <v>11918</v>
      </c>
      <c r="D7438" s="33" t="s">
        <v>39624</v>
      </c>
      <c r="E7438" s="51" t="s">
        <v>1588</v>
      </c>
      <c r="F7438" s="121" t="s">
        <v>3009</v>
      </c>
      <c r="G7438" s="98" t="str">
        <f>HYPERLINK("http://mirror.ff7data.com.ar/ff7/data/battle/battle.lgp/mwao.png","View Picture")</f>
        <v>View Picture</v>
      </c>
    </row>
    <row r="7439">
      <c r="A7439" s="55"/>
      <c r="B7439" s="119" t="s">
        <v>39628</v>
      </c>
      <c r="C7439" s="120" t="s">
        <v>3434</v>
      </c>
      <c r="D7439" s="33" t="s">
        <v>39624</v>
      </c>
      <c r="E7439" s="51" t="s">
        <v>1588</v>
      </c>
      <c r="F7439" s="121" t="s">
        <v>3009</v>
      </c>
      <c r="G7439" s="98" t="str">
        <f>HYPERLINK("http://mirror.ff7data.com.ar/ff7/data/battle/battle.lgp/mwap.png","View Picture")</f>
        <v>View Picture</v>
      </c>
    </row>
    <row r="7440">
      <c r="A7440" s="55"/>
      <c r="B7440" s="119" t="s">
        <v>39629</v>
      </c>
      <c r="C7440" s="120" t="s">
        <v>3573</v>
      </c>
      <c r="D7440" s="33" t="s">
        <v>39624</v>
      </c>
      <c r="E7440" s="51" t="s">
        <v>1588</v>
      </c>
      <c r="F7440" s="121" t="s">
        <v>3009</v>
      </c>
      <c r="G7440" s="98" t="str">
        <f>HYPERLINK("http://mirror.ff7data.com.ar/ff7/data/battle/battle.lgp/mwaq.png","View Picture")</f>
        <v>View Picture</v>
      </c>
    </row>
    <row r="7441">
      <c r="A7441" s="55"/>
      <c r="B7441" s="119" t="s">
        <v>39630</v>
      </c>
      <c r="C7441" s="120" t="s">
        <v>7871</v>
      </c>
      <c r="D7441" s="33" t="s">
        <v>39624</v>
      </c>
      <c r="E7441" s="51" t="s">
        <v>1588</v>
      </c>
      <c r="F7441" s="121" t="s">
        <v>3009</v>
      </c>
      <c r="G7441" s="98" t="str">
        <f>HYPERLINK("http://mirror.ff7data.com.ar/ff7/data/battle/battle.lgp/mwar.png","View Picture")</f>
        <v>View Picture</v>
      </c>
    </row>
    <row r="7442">
      <c r="A7442" s="55"/>
      <c r="B7442" s="119" t="s">
        <v>39631</v>
      </c>
      <c r="C7442" s="120" t="s">
        <v>9290</v>
      </c>
      <c r="D7442" s="33" t="s">
        <v>39624</v>
      </c>
      <c r="E7442" s="51" t="s">
        <v>1588</v>
      </c>
      <c r="F7442" s="121" t="s">
        <v>3009</v>
      </c>
      <c r="G7442" s="98" t="str">
        <f>HYPERLINK("http://mirror.ff7data.com.ar/ff7/data/battle/battle.lgp/mwav.png","View Picture")</f>
        <v>View Picture</v>
      </c>
    </row>
    <row r="7443">
      <c r="A7443" s="55"/>
      <c r="B7443" s="119" t="s">
        <v>39632</v>
      </c>
      <c r="C7443" s="120" t="s">
        <v>3614</v>
      </c>
      <c r="D7443" s="33" t="s">
        <v>39624</v>
      </c>
      <c r="E7443" s="51" t="s">
        <v>1588</v>
      </c>
      <c r="F7443" s="121" t="s">
        <v>3009</v>
      </c>
      <c r="G7443" s="98" t="str">
        <f>HYPERLINK("http://mirror.ff7data.com.ar/ff7/data/battle/battle.lgp/mwaw.png","View Picture")</f>
        <v>View Picture</v>
      </c>
    </row>
    <row r="7444">
      <c r="A7444" s="55"/>
      <c r="B7444" s="119" t="s">
        <v>39633</v>
      </c>
      <c r="C7444" s="120" t="s">
        <v>8376</v>
      </c>
      <c r="D7444" s="33" t="s">
        <v>39624</v>
      </c>
      <c r="E7444" s="51" t="s">
        <v>1588</v>
      </c>
      <c r="F7444" s="121" t="s">
        <v>3009</v>
      </c>
      <c r="G7444" s="98" t="str">
        <f>HYPERLINK("http://mirror.ff7data.com.ar/ff7/data/battle/battle.lgp/mwax.png","View Picture")</f>
        <v>View Picture</v>
      </c>
    </row>
    <row r="7445">
      <c r="A7445" s="55"/>
      <c r="B7445" s="119" t="s">
        <v>39634</v>
      </c>
      <c r="C7445" s="120" t="s">
        <v>3445</v>
      </c>
      <c r="D7445" s="33" t="s">
        <v>39624</v>
      </c>
      <c r="E7445" s="51" t="s">
        <v>1588</v>
      </c>
      <c r="F7445" s="121" t="s">
        <v>3009</v>
      </c>
      <c r="G7445" s="98" t="str">
        <f>HYPERLINK("http://mirror.ff7data.com.ar/ff7/data/battle/battle.lgp/mwaz.png","View Picture")</f>
        <v>View Picture</v>
      </c>
    </row>
    <row r="7446">
      <c r="A7446" s="55"/>
      <c r="B7446" s="119" t="s">
        <v>39635</v>
      </c>
      <c r="C7446" s="120" t="s">
        <v>10078</v>
      </c>
      <c r="D7446" s="33" t="s">
        <v>39624</v>
      </c>
      <c r="E7446" s="51" t="s">
        <v>1588</v>
      </c>
      <c r="F7446" s="121" t="s">
        <v>3009</v>
      </c>
      <c r="G7446" s="98" t="str">
        <f>HYPERLINK("http://mirror.ff7data.com.ar/ff7/data/battle/battle.lgp/mwba.png","View Picture")</f>
        <v>View Picture</v>
      </c>
    </row>
    <row r="7447">
      <c r="A7447" s="55"/>
      <c r="B7447" s="119" t="s">
        <v>39636</v>
      </c>
      <c r="C7447" s="120" t="s">
        <v>3519</v>
      </c>
      <c r="D7447" s="33" t="s">
        <v>39624</v>
      </c>
      <c r="E7447" s="51" t="s">
        <v>1588</v>
      </c>
      <c r="F7447" s="121" t="s">
        <v>3009</v>
      </c>
      <c r="G7447" s="98" t="str">
        <f>HYPERLINK("http://mirror.ff7data.com.ar/ff7/data/battle/battle.lgp/mwbb.png","View Picture")</f>
        <v>View Picture</v>
      </c>
    </row>
    <row r="7448">
      <c r="A7448" s="55"/>
      <c r="B7448" s="119" t="s">
        <v>39637</v>
      </c>
      <c r="C7448" s="120" t="s">
        <v>4057</v>
      </c>
      <c r="D7448" s="33" t="s">
        <v>39624</v>
      </c>
      <c r="E7448" s="51" t="s">
        <v>1588</v>
      </c>
      <c r="F7448" s="121" t="s">
        <v>3009</v>
      </c>
      <c r="G7448" s="98" t="str">
        <f>HYPERLINK("http://mirror.ff7data.com.ar/ff7/data/battle/battle.lgp/mwbd.png","View Picture")</f>
        <v>View Picture</v>
      </c>
    </row>
    <row r="7449">
      <c r="A7449" s="55"/>
      <c r="B7449" s="119" t="s">
        <v>39638</v>
      </c>
      <c r="C7449" s="120" t="s">
        <v>4372</v>
      </c>
      <c r="D7449" s="33" t="s">
        <v>39624</v>
      </c>
      <c r="E7449" s="51" t="s">
        <v>1588</v>
      </c>
      <c r="F7449" s="121" t="s">
        <v>3009</v>
      </c>
      <c r="G7449" s="98" t="str">
        <f>HYPERLINK("http://mirror.ff7data.com.ar/ff7/data/battle/battle.lgp/mwbe.png","View Picture")</f>
        <v>View Picture</v>
      </c>
    </row>
    <row r="7450">
      <c r="A7450" s="55"/>
      <c r="B7450" s="119" t="s">
        <v>39639</v>
      </c>
      <c r="C7450" s="120" t="s">
        <v>4719</v>
      </c>
      <c r="D7450" s="33" t="s">
        <v>39624</v>
      </c>
      <c r="E7450" s="51" t="s">
        <v>1588</v>
      </c>
      <c r="F7450" s="121" t="s">
        <v>3009</v>
      </c>
      <c r="G7450" s="98" t="str">
        <f>HYPERLINK("http://mirror.ff7data.com.ar/ff7/data/battle/battle.lgp/mwbg.png","View Picture")</f>
        <v>View Picture</v>
      </c>
    </row>
    <row r="7451">
      <c r="A7451" s="55"/>
      <c r="B7451" s="119" t="s">
        <v>39640</v>
      </c>
      <c r="C7451" s="120" t="s">
        <v>4372</v>
      </c>
      <c r="D7451" s="33" t="s">
        <v>39624</v>
      </c>
      <c r="E7451" s="51" t="s">
        <v>1588</v>
      </c>
      <c r="F7451" s="121" t="s">
        <v>3009</v>
      </c>
      <c r="G7451" s="98" t="str">
        <f>HYPERLINK("http://mirror.ff7data.com.ar/ff7/data/battle/battle.lgp/mwbh.png","View Picture")</f>
        <v>View Picture</v>
      </c>
    </row>
    <row r="7452">
      <c r="A7452" s="55"/>
      <c r="B7452" s="119" t="s">
        <v>39641</v>
      </c>
      <c r="C7452" s="120" t="s">
        <v>7501</v>
      </c>
      <c r="D7452" s="33" t="s">
        <v>39624</v>
      </c>
      <c r="E7452" s="51" t="s">
        <v>1588</v>
      </c>
      <c r="F7452" s="121" t="s">
        <v>3009</v>
      </c>
      <c r="G7452" s="98" t="str">
        <f>HYPERLINK("http://mirror.ff7data.com.ar/ff7/data/battle/battle.lgp/mwbm.png","View Picture")</f>
        <v>View Picture</v>
      </c>
    </row>
    <row r="7453">
      <c r="A7453" s="55"/>
      <c r="B7453" s="119" t="s">
        <v>39642</v>
      </c>
      <c r="C7453" s="120" t="s">
        <v>7871</v>
      </c>
      <c r="D7453" s="33" t="s">
        <v>39624</v>
      </c>
      <c r="E7453" s="51" t="s">
        <v>1588</v>
      </c>
      <c r="F7453" s="121" t="s">
        <v>3009</v>
      </c>
      <c r="G7453" s="98" t="str">
        <f>HYPERLINK("http://mirror.ff7data.com.ar/ff7/data/battle/battle.lgp/mwbn.png","View Picture")</f>
        <v>View Picture</v>
      </c>
    </row>
    <row r="7454">
      <c r="A7454" s="55"/>
      <c r="B7454" s="119" t="s">
        <v>39643</v>
      </c>
      <c r="C7454" s="120" t="s">
        <v>8376</v>
      </c>
      <c r="D7454" s="33" t="s">
        <v>39624</v>
      </c>
      <c r="E7454" s="51" t="s">
        <v>1588</v>
      </c>
      <c r="F7454" s="121" t="s">
        <v>3009</v>
      </c>
      <c r="G7454" s="98" t="str">
        <f>HYPERLINK("http://mirror.ff7data.com.ar/ff7/data/battle/battle.lgp/mwbo.png","View Picture")</f>
        <v>View Picture</v>
      </c>
    </row>
    <row r="7455">
      <c r="A7455" s="55"/>
      <c r="B7455" s="119" t="s">
        <v>39644</v>
      </c>
      <c r="C7455" s="120" t="s">
        <v>3412</v>
      </c>
      <c r="D7455" s="33" t="s">
        <v>39624</v>
      </c>
      <c r="E7455" s="51" t="s">
        <v>1588</v>
      </c>
      <c r="F7455" s="121" t="s">
        <v>3009</v>
      </c>
      <c r="G7455" s="98" t="str">
        <f>HYPERLINK("http://mirror.ff7data.com.ar/ff7/data/battle/battle.lgp/mwbq.png","View Picture")</f>
        <v>View Picture</v>
      </c>
    </row>
    <row r="7456">
      <c r="A7456" s="55"/>
      <c r="B7456" s="119" t="s">
        <v>39645</v>
      </c>
      <c r="C7456" s="120" t="s">
        <v>4252</v>
      </c>
      <c r="D7456" s="33" t="s">
        <v>39624</v>
      </c>
      <c r="E7456" s="51" t="s">
        <v>1588</v>
      </c>
      <c r="F7456" s="121" t="s">
        <v>3009</v>
      </c>
      <c r="G7456" s="98" t="str">
        <f>HYPERLINK("http://mirror.ff7data.com.ar/ff7/data/battle/battle.lgp/mwbr.png","View Picture")</f>
        <v>View Picture</v>
      </c>
    </row>
    <row r="7457">
      <c r="A7457" s="55"/>
      <c r="B7457" s="119" t="s">
        <v>39646</v>
      </c>
      <c r="C7457" s="120" t="s">
        <v>3519</v>
      </c>
      <c r="D7457" s="33" t="s">
        <v>39624</v>
      </c>
      <c r="E7457" s="51" t="s">
        <v>1588</v>
      </c>
      <c r="F7457" s="121" t="s">
        <v>3009</v>
      </c>
      <c r="G7457" s="98" t="str">
        <f>HYPERLINK("http://mirror.ff7data.com.ar/ff7/data/battle/battle.lgp/mwbs.png","View Picture")</f>
        <v>View Picture</v>
      </c>
    </row>
    <row r="7458">
      <c r="A7458" s="55"/>
      <c r="B7458" s="119" t="s">
        <v>39647</v>
      </c>
      <c r="C7458" s="120" t="s">
        <v>5891</v>
      </c>
      <c r="D7458" s="33" t="s">
        <v>39624</v>
      </c>
      <c r="E7458" s="51" t="s">
        <v>1588</v>
      </c>
      <c r="F7458" s="121" t="s">
        <v>3009</v>
      </c>
      <c r="G7458" s="98" t="str">
        <f>HYPERLINK("http://mirror.ff7data.com.ar/ff7/data/battle/battle.lgp/mwbu.png","View Picture")</f>
        <v>View Picture</v>
      </c>
    </row>
    <row r="7459">
      <c r="A7459" s="55"/>
      <c r="B7459" s="119" t="s">
        <v>39648</v>
      </c>
      <c r="C7459" s="120" t="s">
        <v>4057</v>
      </c>
      <c r="D7459" s="33" t="s">
        <v>39624</v>
      </c>
      <c r="E7459" s="51" t="s">
        <v>1588</v>
      </c>
      <c r="F7459" s="121" t="s">
        <v>3009</v>
      </c>
      <c r="G7459" s="98" t="str">
        <f>HYPERLINK("http://mirror.ff7data.com.ar/ff7/data/battle/battle.lgp/mwbv.png","View Picture")</f>
        <v>View Picture</v>
      </c>
    </row>
    <row r="7460">
      <c r="A7460" s="55"/>
      <c r="B7460" s="119" t="s">
        <v>39649</v>
      </c>
      <c r="C7460" s="120" t="s">
        <v>5891</v>
      </c>
      <c r="D7460" s="33" t="s">
        <v>39624</v>
      </c>
      <c r="E7460" s="51" t="s">
        <v>1588</v>
      </c>
      <c r="F7460" s="121" t="s">
        <v>3009</v>
      </c>
      <c r="G7460" s="98" t="str">
        <f>HYPERLINK("http://mirror.ff7data.com.ar/ff7/data/battle/battle.lgp/mwbw.png","View Picture")</f>
        <v>View Picture</v>
      </c>
    </row>
    <row r="7461">
      <c r="A7461" s="55"/>
      <c r="B7461" s="119" t="s">
        <v>39650</v>
      </c>
      <c r="C7461" s="120" t="s">
        <v>3723</v>
      </c>
      <c r="D7461" s="33" t="s">
        <v>39624</v>
      </c>
      <c r="E7461" s="51" t="s">
        <v>1588</v>
      </c>
      <c r="F7461" s="121" t="s">
        <v>3009</v>
      </c>
      <c r="G7461" s="98" t="str">
        <f>HYPERLINK("http://mirror.ff7data.com.ar/ff7/data/battle/battle.lgp/mwbx.png","View Picture")</f>
        <v>View Picture</v>
      </c>
    </row>
    <row r="7462">
      <c r="A7462" s="55"/>
      <c r="B7462" s="119" t="s">
        <v>39651</v>
      </c>
      <c r="C7462" s="120" t="s">
        <v>5891</v>
      </c>
      <c r="D7462" s="33" t="s">
        <v>39624</v>
      </c>
      <c r="E7462" s="51" t="s">
        <v>1588</v>
      </c>
      <c r="F7462" s="121" t="s">
        <v>3009</v>
      </c>
      <c r="G7462" s="98" t="str">
        <f>HYPERLINK("http://mirror.ff7data.com.ar/ff7/data/battle/battle.lgp/mwbz.png","View Picture")</f>
        <v>View Picture</v>
      </c>
    </row>
    <row r="7463">
      <c r="A7463" s="55"/>
      <c r="B7463" s="119" t="s">
        <v>39652</v>
      </c>
      <c r="C7463" s="120" t="s">
        <v>4057</v>
      </c>
      <c r="D7463" s="33" t="s">
        <v>39624</v>
      </c>
      <c r="E7463" s="51" t="s">
        <v>1588</v>
      </c>
      <c r="F7463" s="121" t="s">
        <v>3009</v>
      </c>
      <c r="G7463" s="98" t="str">
        <f>HYPERLINK("http://mirror.ff7data.com.ar/ff7/data/battle/battle.lgp/mwca.png","View Picture")</f>
        <v>View Picture</v>
      </c>
    </row>
    <row r="7464">
      <c r="A7464" s="55"/>
      <c r="B7464" s="119" t="s">
        <v>39653</v>
      </c>
      <c r="C7464" s="120" t="s">
        <v>3648</v>
      </c>
      <c r="D7464" s="33" t="s">
        <v>39624</v>
      </c>
      <c r="E7464" s="51" t="s">
        <v>1588</v>
      </c>
      <c r="F7464" s="121" t="s">
        <v>3009</v>
      </c>
      <c r="G7464" s="98" t="str">
        <f>HYPERLINK("http://mirror.ff7data.com.ar/ff7/data/battle/battle.lgp/mwcb.png","View Picture")</f>
        <v>View Picture</v>
      </c>
    </row>
    <row r="7465">
      <c r="A7465" s="55"/>
      <c r="B7465" s="119" t="s">
        <v>39654</v>
      </c>
      <c r="C7465" s="120" t="s">
        <v>3723</v>
      </c>
      <c r="D7465" s="33" t="s">
        <v>39624</v>
      </c>
      <c r="E7465" s="51" t="s">
        <v>1588</v>
      </c>
      <c r="F7465" s="121" t="s">
        <v>3009</v>
      </c>
      <c r="G7465" s="98" t="str">
        <f>HYPERLINK("http://mirror.ff7data.com.ar/ff7/data/battle/battle.lgp/mwcc.png","View Picture")</f>
        <v>View Picture</v>
      </c>
    </row>
    <row r="7466">
      <c r="A7466" s="55"/>
      <c r="B7466" s="119" t="s">
        <v>39655</v>
      </c>
      <c r="C7466" s="120" t="s">
        <v>4264</v>
      </c>
      <c r="D7466" s="33" t="s">
        <v>39624</v>
      </c>
      <c r="E7466" s="51" t="s">
        <v>1588</v>
      </c>
      <c r="F7466" s="121" t="s">
        <v>3009</v>
      </c>
      <c r="G7466" s="98" t="str">
        <f>HYPERLINK("http://mirror.ff7data.com.ar/ff7/data/battle/battle.lgp/mwce.png","View Picture")</f>
        <v>View Picture</v>
      </c>
    </row>
    <row r="7467">
      <c r="A7467" s="55"/>
      <c r="B7467" s="119" t="s">
        <v>39656</v>
      </c>
      <c r="C7467" s="120" t="s">
        <v>4732</v>
      </c>
      <c r="D7467" s="33" t="s">
        <v>39624</v>
      </c>
      <c r="E7467" s="51" t="s">
        <v>1588</v>
      </c>
      <c r="F7467" s="121" t="s">
        <v>3009</v>
      </c>
      <c r="G7467" s="98" t="str">
        <f>HYPERLINK("http://mirror.ff7data.com.ar/ff7/data/battle/battle.lgp/mwcf.png","View Picture")</f>
        <v>View Picture</v>
      </c>
    </row>
    <row r="7468">
      <c r="A7468" s="55"/>
      <c r="B7468" s="119" t="s">
        <v>39657</v>
      </c>
      <c r="C7468" s="120" t="s">
        <v>4732</v>
      </c>
      <c r="D7468" s="33" t="s">
        <v>39624</v>
      </c>
      <c r="E7468" s="51" t="s">
        <v>1588</v>
      </c>
      <c r="F7468" s="121" t="s">
        <v>3009</v>
      </c>
      <c r="G7468" s="98" t="str">
        <f>HYPERLINK("http://mirror.ff7data.com.ar/ff7/data/battle/battle.lgp/mwcg.png","View Picture")</f>
        <v>View Picture</v>
      </c>
    </row>
    <row r="7469">
      <c r="A7469" s="55"/>
      <c r="B7469" s="119" t="s">
        <v>39658</v>
      </c>
      <c r="C7469" s="120" t="s">
        <v>4883</v>
      </c>
      <c r="D7469" s="33" t="s">
        <v>39624</v>
      </c>
      <c r="E7469" s="51" t="s">
        <v>1588</v>
      </c>
      <c r="F7469" s="121" t="s">
        <v>3009</v>
      </c>
      <c r="G7469" s="98" t="str">
        <f>HYPERLINK("http://mirror.ff7data.com.ar/ff7/data/battle/battle.lgp/mwch.png","View Picture")</f>
        <v>View Picture</v>
      </c>
    </row>
    <row r="7470">
      <c r="A7470" s="55"/>
      <c r="B7470" s="119" t="s">
        <v>39659</v>
      </c>
      <c r="C7470" s="120" t="s">
        <v>26179</v>
      </c>
      <c r="D7470" s="33" t="s">
        <v>39624</v>
      </c>
      <c r="E7470" s="51" t="s">
        <v>1588</v>
      </c>
      <c r="F7470" s="121" t="s">
        <v>3025</v>
      </c>
      <c r="H7470" s="46" t="s">
        <v>3002</v>
      </c>
    </row>
    <row r="7471">
      <c r="A7471" s="55"/>
      <c r="B7471" s="119" t="s">
        <v>39660</v>
      </c>
      <c r="C7471" s="120" t="s">
        <v>6789</v>
      </c>
      <c r="D7471" s="33" t="s">
        <v>39661</v>
      </c>
      <c r="E7471" s="51" t="s">
        <v>1599</v>
      </c>
      <c r="F7471" s="121" t="s">
        <v>2971</v>
      </c>
      <c r="G7471" s="98" t="str">
        <f>HYPERLINK("http://mirror.ff7data.com.ar/ff7/data/battle/battle.lgp/mxaa.png","View Picture")</f>
        <v>View Picture</v>
      </c>
      <c r="H7471" s="46" t="s">
        <v>39662</v>
      </c>
    </row>
    <row r="7472">
      <c r="A7472" s="55"/>
      <c r="B7472" s="119" t="s">
        <v>39663</v>
      </c>
      <c r="C7472" s="120" t="s">
        <v>4846</v>
      </c>
      <c r="D7472" s="33" t="s">
        <v>39624</v>
      </c>
      <c r="E7472" s="51" t="s">
        <v>1599</v>
      </c>
      <c r="F7472" s="121" t="s">
        <v>2993</v>
      </c>
      <c r="H7472" s="46" t="s">
        <v>3002</v>
      </c>
    </row>
    <row r="7473">
      <c r="A7473" s="55"/>
      <c r="B7473" s="119" t="s">
        <v>39664</v>
      </c>
      <c r="C7473" s="120" t="s">
        <v>4841</v>
      </c>
      <c r="D7473" s="33" t="s">
        <v>39624</v>
      </c>
      <c r="E7473" s="51" t="s">
        <v>1599</v>
      </c>
      <c r="F7473" s="121" t="s">
        <v>3009</v>
      </c>
      <c r="G7473" s="98" t="str">
        <f>HYPERLINK("http://mirror.ff7data.com.ar/ff7/data/battle/battle.lgp/mxam.png","View Picture")</f>
        <v>View Picture</v>
      </c>
    </row>
    <row r="7474">
      <c r="A7474" s="55"/>
      <c r="B7474" s="119" t="s">
        <v>39665</v>
      </c>
      <c r="C7474" s="120" t="s">
        <v>7471</v>
      </c>
      <c r="D7474" s="33" t="s">
        <v>39624</v>
      </c>
      <c r="E7474" s="51" t="s">
        <v>1599</v>
      </c>
      <c r="F7474" s="121" t="s">
        <v>3009</v>
      </c>
      <c r="G7474" s="98" t="str">
        <f>HYPERLINK("http://mirror.ff7data.com.ar/ff7/data/battle/battle.lgp/mxan.png","View Picture")</f>
        <v>View Picture</v>
      </c>
    </row>
    <row r="7475">
      <c r="A7475" s="55"/>
      <c r="B7475" s="119" t="s">
        <v>39666</v>
      </c>
      <c r="C7475" s="120" t="s">
        <v>11918</v>
      </c>
      <c r="D7475" s="33" t="s">
        <v>39624</v>
      </c>
      <c r="E7475" s="51" t="s">
        <v>1599</v>
      </c>
      <c r="F7475" s="121" t="s">
        <v>3009</v>
      </c>
      <c r="G7475" s="98" t="str">
        <f>HYPERLINK("http://mirror.ff7data.com.ar/ff7/data/battle/battle.lgp/mxao.png","View Picture")</f>
        <v>View Picture</v>
      </c>
    </row>
    <row r="7476">
      <c r="A7476" s="55"/>
      <c r="B7476" s="119" t="s">
        <v>39667</v>
      </c>
      <c r="C7476" s="120" t="s">
        <v>3434</v>
      </c>
      <c r="D7476" s="33" t="s">
        <v>39624</v>
      </c>
      <c r="E7476" s="51" t="s">
        <v>1599</v>
      </c>
      <c r="F7476" s="121" t="s">
        <v>3009</v>
      </c>
      <c r="G7476" s="98" t="str">
        <f>HYPERLINK("http://mirror.ff7data.com.ar/ff7/data/battle/battle.lgp/mxap.png","View Picture")</f>
        <v>View Picture</v>
      </c>
    </row>
    <row r="7477">
      <c r="A7477" s="55"/>
      <c r="B7477" s="119" t="s">
        <v>39668</v>
      </c>
      <c r="C7477" s="120" t="s">
        <v>3573</v>
      </c>
      <c r="D7477" s="33" t="s">
        <v>39624</v>
      </c>
      <c r="E7477" s="51" t="s">
        <v>1599</v>
      </c>
      <c r="F7477" s="121" t="s">
        <v>3009</v>
      </c>
      <c r="G7477" s="98" t="str">
        <f>HYPERLINK("http://mirror.ff7data.com.ar/ff7/data/battle/battle.lgp/mxaq.png","View Picture")</f>
        <v>View Picture</v>
      </c>
    </row>
    <row r="7478">
      <c r="A7478" s="55"/>
      <c r="B7478" s="119" t="s">
        <v>39669</v>
      </c>
      <c r="C7478" s="120" t="s">
        <v>7871</v>
      </c>
      <c r="D7478" s="33" t="s">
        <v>39624</v>
      </c>
      <c r="E7478" s="51" t="s">
        <v>1599</v>
      </c>
      <c r="F7478" s="121" t="s">
        <v>3009</v>
      </c>
      <c r="G7478" s="98" t="str">
        <f>HYPERLINK("http://mirror.ff7data.com.ar/ff7/data/battle/battle.lgp/mxar.png","View Picture")</f>
        <v>View Picture</v>
      </c>
    </row>
    <row r="7479">
      <c r="A7479" s="55"/>
      <c r="B7479" s="119" t="s">
        <v>39670</v>
      </c>
      <c r="C7479" s="120" t="s">
        <v>9290</v>
      </c>
      <c r="D7479" s="33" t="s">
        <v>39624</v>
      </c>
      <c r="E7479" s="51" t="s">
        <v>1599</v>
      </c>
      <c r="F7479" s="121" t="s">
        <v>3009</v>
      </c>
      <c r="G7479" s="98" t="str">
        <f>HYPERLINK("http://mirror.ff7data.com.ar/ff7/data/battle/battle.lgp/mxav.png","View Picture")</f>
        <v>View Picture</v>
      </c>
    </row>
    <row r="7480">
      <c r="A7480" s="55"/>
      <c r="B7480" s="119" t="s">
        <v>39671</v>
      </c>
      <c r="C7480" s="120" t="s">
        <v>3614</v>
      </c>
      <c r="D7480" s="33" t="s">
        <v>39624</v>
      </c>
      <c r="E7480" s="51" t="s">
        <v>1599</v>
      </c>
      <c r="F7480" s="121" t="s">
        <v>3009</v>
      </c>
      <c r="G7480" s="98" t="str">
        <f>HYPERLINK("http://mirror.ff7data.com.ar/ff7/data/battle/battle.lgp/mxaw.png","View Picture")</f>
        <v>View Picture</v>
      </c>
    </row>
    <row r="7481">
      <c r="A7481" s="55"/>
      <c r="B7481" s="119" t="s">
        <v>39672</v>
      </c>
      <c r="C7481" s="120" t="s">
        <v>8376</v>
      </c>
      <c r="D7481" s="33" t="s">
        <v>39624</v>
      </c>
      <c r="E7481" s="51" t="s">
        <v>1599</v>
      </c>
      <c r="F7481" s="121" t="s">
        <v>3009</v>
      </c>
      <c r="G7481" s="98" t="str">
        <f>HYPERLINK("http://mirror.ff7data.com.ar/ff7/data/battle/battle.lgp/mxax.png","View Picture")</f>
        <v>View Picture</v>
      </c>
    </row>
    <row r="7482">
      <c r="A7482" s="55"/>
      <c r="B7482" s="119" t="s">
        <v>39673</v>
      </c>
      <c r="C7482" s="120" t="s">
        <v>3445</v>
      </c>
      <c r="D7482" s="33" t="s">
        <v>39624</v>
      </c>
      <c r="E7482" s="51" t="s">
        <v>1599</v>
      </c>
      <c r="F7482" s="121" t="s">
        <v>3009</v>
      </c>
      <c r="G7482" s="98" t="str">
        <f>HYPERLINK("http://mirror.ff7data.com.ar/ff7/data/battle/battle.lgp/mxaz.png","View Picture")</f>
        <v>View Picture</v>
      </c>
    </row>
    <row r="7483">
      <c r="A7483" s="55"/>
      <c r="B7483" s="119" t="s">
        <v>39674</v>
      </c>
      <c r="C7483" s="120" t="s">
        <v>10078</v>
      </c>
      <c r="D7483" s="33" t="s">
        <v>39624</v>
      </c>
      <c r="E7483" s="51" t="s">
        <v>1599</v>
      </c>
      <c r="F7483" s="121" t="s">
        <v>3009</v>
      </c>
      <c r="G7483" s="98" t="str">
        <f>HYPERLINK("http://mirror.ff7data.com.ar/ff7/data/battle/battle.lgp/mxba.png","View Picture")</f>
        <v>View Picture</v>
      </c>
    </row>
    <row r="7484">
      <c r="A7484" s="55"/>
      <c r="B7484" s="119" t="s">
        <v>39675</v>
      </c>
      <c r="C7484" s="120" t="s">
        <v>3519</v>
      </c>
      <c r="D7484" s="33" t="s">
        <v>39624</v>
      </c>
      <c r="E7484" s="51" t="s">
        <v>1599</v>
      </c>
      <c r="F7484" s="121" t="s">
        <v>3009</v>
      </c>
      <c r="G7484" s="98" t="str">
        <f>HYPERLINK("http://mirror.ff7data.com.ar/ff7/data/battle/battle.lgp/mxbb.png","View Picture")</f>
        <v>View Picture</v>
      </c>
    </row>
    <row r="7485">
      <c r="A7485" s="55"/>
      <c r="B7485" s="119" t="s">
        <v>39676</v>
      </c>
      <c r="C7485" s="120" t="s">
        <v>4057</v>
      </c>
      <c r="D7485" s="33" t="s">
        <v>39624</v>
      </c>
      <c r="E7485" s="51" t="s">
        <v>1599</v>
      </c>
      <c r="F7485" s="121" t="s">
        <v>3009</v>
      </c>
      <c r="G7485" s="98" t="str">
        <f>HYPERLINK("http://mirror.ff7data.com.ar/ff7/data/battle/battle.lgp/mxbd.png","View Picture")</f>
        <v>View Picture</v>
      </c>
    </row>
    <row r="7486">
      <c r="A7486" s="55"/>
      <c r="B7486" s="119" t="s">
        <v>39677</v>
      </c>
      <c r="C7486" s="120" t="s">
        <v>4372</v>
      </c>
      <c r="D7486" s="33" t="s">
        <v>39624</v>
      </c>
      <c r="E7486" s="51" t="s">
        <v>1599</v>
      </c>
      <c r="F7486" s="121" t="s">
        <v>3009</v>
      </c>
      <c r="G7486" s="98" t="str">
        <f>HYPERLINK("http://mirror.ff7data.com.ar/ff7/data/battle/battle.lgp/mxbe.png","View Picture")</f>
        <v>View Picture</v>
      </c>
    </row>
    <row r="7487">
      <c r="A7487" s="55"/>
      <c r="B7487" s="119" t="s">
        <v>39678</v>
      </c>
      <c r="C7487" s="120" t="s">
        <v>4719</v>
      </c>
      <c r="D7487" s="33" t="s">
        <v>39624</v>
      </c>
      <c r="E7487" s="51" t="s">
        <v>1599</v>
      </c>
      <c r="F7487" s="121" t="s">
        <v>3009</v>
      </c>
      <c r="G7487" s="98" t="str">
        <f>HYPERLINK("http://mirror.ff7data.com.ar/ff7/data/battle/battle.lgp/mxbg.png","View Picture")</f>
        <v>View Picture</v>
      </c>
    </row>
    <row r="7488">
      <c r="A7488" s="55"/>
      <c r="B7488" s="119" t="s">
        <v>39679</v>
      </c>
      <c r="C7488" s="120" t="s">
        <v>4372</v>
      </c>
      <c r="D7488" s="33" t="s">
        <v>39624</v>
      </c>
      <c r="E7488" s="51" t="s">
        <v>1599</v>
      </c>
      <c r="F7488" s="121" t="s">
        <v>3009</v>
      </c>
      <c r="G7488" s="98" t="str">
        <f>HYPERLINK("http://mirror.ff7data.com.ar/ff7/data/battle/battle.lgp/mxbh.png","View Picture")</f>
        <v>View Picture</v>
      </c>
    </row>
    <row r="7489">
      <c r="A7489" s="55"/>
      <c r="B7489" s="119" t="s">
        <v>39680</v>
      </c>
      <c r="C7489" s="120" t="s">
        <v>7501</v>
      </c>
      <c r="D7489" s="33" t="s">
        <v>39624</v>
      </c>
      <c r="E7489" s="51" t="s">
        <v>1599</v>
      </c>
      <c r="F7489" s="121" t="s">
        <v>3009</v>
      </c>
      <c r="G7489" s="98" t="str">
        <f>HYPERLINK("http://mirror.ff7data.com.ar/ff7/data/battle/battle.lgp/mxbm.png","View Picture")</f>
        <v>View Picture</v>
      </c>
    </row>
    <row r="7490">
      <c r="A7490" s="55"/>
      <c r="B7490" s="119" t="s">
        <v>39681</v>
      </c>
      <c r="C7490" s="120" t="s">
        <v>7871</v>
      </c>
      <c r="D7490" s="33" t="s">
        <v>39624</v>
      </c>
      <c r="E7490" s="51" t="s">
        <v>1599</v>
      </c>
      <c r="F7490" s="121" t="s">
        <v>3009</v>
      </c>
      <c r="G7490" s="98" t="str">
        <f>HYPERLINK("http://mirror.ff7data.com.ar/ff7/data/battle/battle.lgp/mxbn.png","View Picture")</f>
        <v>View Picture</v>
      </c>
    </row>
    <row r="7491">
      <c r="A7491" s="55"/>
      <c r="B7491" s="119" t="s">
        <v>39682</v>
      </c>
      <c r="C7491" s="120" t="s">
        <v>8376</v>
      </c>
      <c r="D7491" s="33" t="s">
        <v>39624</v>
      </c>
      <c r="E7491" s="51" t="s">
        <v>1599</v>
      </c>
      <c r="F7491" s="121" t="s">
        <v>3009</v>
      </c>
      <c r="G7491" s="98" t="str">
        <f>HYPERLINK("http://mirror.ff7data.com.ar/ff7/data/battle/battle.lgp/mxbo.png","View Picture")</f>
        <v>View Picture</v>
      </c>
    </row>
    <row r="7492">
      <c r="A7492" s="55"/>
      <c r="B7492" s="119" t="s">
        <v>39683</v>
      </c>
      <c r="C7492" s="120" t="s">
        <v>3412</v>
      </c>
      <c r="D7492" s="33" t="s">
        <v>39624</v>
      </c>
      <c r="E7492" s="51" t="s">
        <v>1599</v>
      </c>
      <c r="F7492" s="121" t="s">
        <v>3009</v>
      </c>
      <c r="G7492" s="98" t="str">
        <f>HYPERLINK("http://mirror.ff7data.com.ar/ff7/data/battle/battle.lgp/mxbq.png","View Picture")</f>
        <v>View Picture</v>
      </c>
    </row>
    <row r="7493">
      <c r="A7493" s="55"/>
      <c r="B7493" s="119" t="s">
        <v>39684</v>
      </c>
      <c r="C7493" s="120" t="s">
        <v>4252</v>
      </c>
      <c r="D7493" s="33" t="s">
        <v>39624</v>
      </c>
      <c r="E7493" s="51" t="s">
        <v>1599</v>
      </c>
      <c r="F7493" s="121" t="s">
        <v>3009</v>
      </c>
      <c r="G7493" s="98" t="str">
        <f>HYPERLINK("http://mirror.ff7data.com.ar/ff7/data/battle/battle.lgp/mxbr.png","View Picture")</f>
        <v>View Picture</v>
      </c>
    </row>
    <row r="7494">
      <c r="A7494" s="55"/>
      <c r="B7494" s="119" t="s">
        <v>39685</v>
      </c>
      <c r="C7494" s="120" t="s">
        <v>3519</v>
      </c>
      <c r="D7494" s="33" t="s">
        <v>39624</v>
      </c>
      <c r="E7494" s="51" t="s">
        <v>1599</v>
      </c>
      <c r="F7494" s="121" t="s">
        <v>3009</v>
      </c>
      <c r="G7494" s="98" t="str">
        <f>HYPERLINK("http://mirror.ff7data.com.ar/ff7/data/battle/battle.lgp/mxbs.png","View Picture")</f>
        <v>View Picture</v>
      </c>
    </row>
    <row r="7495">
      <c r="A7495" s="55"/>
      <c r="B7495" s="119" t="s">
        <v>39686</v>
      </c>
      <c r="C7495" s="120" t="s">
        <v>5891</v>
      </c>
      <c r="D7495" s="33" t="s">
        <v>39624</v>
      </c>
      <c r="E7495" s="51" t="s">
        <v>1599</v>
      </c>
      <c r="F7495" s="121" t="s">
        <v>3009</v>
      </c>
      <c r="G7495" s="98" t="str">
        <f>HYPERLINK("http://mirror.ff7data.com.ar/ff7/data/battle/battle.lgp/mxbu.png","View Picture")</f>
        <v>View Picture</v>
      </c>
    </row>
    <row r="7496">
      <c r="A7496" s="55"/>
      <c r="B7496" s="119" t="s">
        <v>39687</v>
      </c>
      <c r="C7496" s="120" t="s">
        <v>4057</v>
      </c>
      <c r="D7496" s="33" t="s">
        <v>39624</v>
      </c>
      <c r="E7496" s="51" t="s">
        <v>1599</v>
      </c>
      <c r="F7496" s="121" t="s">
        <v>3009</v>
      </c>
      <c r="G7496" s="98" t="str">
        <f>HYPERLINK("http://mirror.ff7data.com.ar/ff7/data/battle/battle.lgp/mxbv.png","View Picture")</f>
        <v>View Picture</v>
      </c>
    </row>
    <row r="7497">
      <c r="A7497" s="55"/>
      <c r="B7497" s="119" t="s">
        <v>39688</v>
      </c>
      <c r="C7497" s="120" t="s">
        <v>5891</v>
      </c>
      <c r="D7497" s="33" t="s">
        <v>39624</v>
      </c>
      <c r="E7497" s="51" t="s">
        <v>1599</v>
      </c>
      <c r="F7497" s="121" t="s">
        <v>3009</v>
      </c>
      <c r="G7497" s="98" t="str">
        <f>HYPERLINK("http://mirror.ff7data.com.ar/ff7/data/battle/battle.lgp/mxbw.png","View Picture")</f>
        <v>View Picture</v>
      </c>
    </row>
    <row r="7498">
      <c r="A7498" s="55"/>
      <c r="B7498" s="119" t="s">
        <v>39689</v>
      </c>
      <c r="C7498" s="120" t="s">
        <v>3723</v>
      </c>
      <c r="D7498" s="33" t="s">
        <v>39624</v>
      </c>
      <c r="E7498" s="51" t="s">
        <v>1599</v>
      </c>
      <c r="F7498" s="121" t="s">
        <v>3009</v>
      </c>
      <c r="G7498" s="98" t="str">
        <f>HYPERLINK("http://mirror.ff7data.com.ar/ff7/data/battle/battle.lgp/mxbx.png","View Picture")</f>
        <v>View Picture</v>
      </c>
    </row>
    <row r="7499">
      <c r="A7499" s="55"/>
      <c r="B7499" s="119" t="s">
        <v>39690</v>
      </c>
      <c r="C7499" s="120" t="s">
        <v>5891</v>
      </c>
      <c r="D7499" s="33" t="s">
        <v>39624</v>
      </c>
      <c r="E7499" s="51" t="s">
        <v>1599</v>
      </c>
      <c r="F7499" s="121" t="s">
        <v>3009</v>
      </c>
      <c r="G7499" s="98" t="str">
        <f>HYPERLINK("http://mirror.ff7data.com.ar/ff7/data/battle/battle.lgp/mxbz.png","View Picture")</f>
        <v>View Picture</v>
      </c>
    </row>
    <row r="7500">
      <c r="A7500" s="55"/>
      <c r="B7500" s="119" t="s">
        <v>39691</v>
      </c>
      <c r="C7500" s="120" t="s">
        <v>4057</v>
      </c>
      <c r="D7500" s="33" t="s">
        <v>39624</v>
      </c>
      <c r="E7500" s="51" t="s">
        <v>1599</v>
      </c>
      <c r="F7500" s="121" t="s">
        <v>3009</v>
      </c>
      <c r="G7500" s="98" t="str">
        <f>HYPERLINK("http://mirror.ff7data.com.ar/ff7/data/battle/battle.lgp/mxca.png","View Picture")</f>
        <v>View Picture</v>
      </c>
    </row>
    <row r="7501">
      <c r="A7501" s="55"/>
      <c r="B7501" s="119" t="s">
        <v>39692</v>
      </c>
      <c r="C7501" s="120" t="s">
        <v>3648</v>
      </c>
      <c r="D7501" s="33" t="s">
        <v>39624</v>
      </c>
      <c r="E7501" s="51" t="s">
        <v>1599</v>
      </c>
      <c r="F7501" s="121" t="s">
        <v>3009</v>
      </c>
      <c r="G7501" s="98" t="str">
        <f>HYPERLINK("http://mirror.ff7data.com.ar/ff7/data/battle/battle.lgp/mxcb.png","View Picture")</f>
        <v>View Picture</v>
      </c>
    </row>
    <row r="7502">
      <c r="A7502" s="55"/>
      <c r="B7502" s="119" t="s">
        <v>39693</v>
      </c>
      <c r="C7502" s="120" t="s">
        <v>3723</v>
      </c>
      <c r="D7502" s="33" t="s">
        <v>39624</v>
      </c>
      <c r="E7502" s="51" t="s">
        <v>1599</v>
      </c>
      <c r="F7502" s="121" t="s">
        <v>3009</v>
      </c>
      <c r="G7502" s="98" t="str">
        <f>HYPERLINK("http://mirror.ff7data.com.ar/ff7/data/battle/battle.lgp/mxcc.png","View Picture")</f>
        <v>View Picture</v>
      </c>
    </row>
    <row r="7503">
      <c r="A7503" s="55"/>
      <c r="B7503" s="119" t="s">
        <v>39694</v>
      </c>
      <c r="C7503" s="120" t="s">
        <v>4264</v>
      </c>
      <c r="D7503" s="33" t="s">
        <v>39624</v>
      </c>
      <c r="E7503" s="51" t="s">
        <v>1599</v>
      </c>
      <c r="F7503" s="121" t="s">
        <v>3009</v>
      </c>
      <c r="G7503" s="98" t="str">
        <f>HYPERLINK("http://mirror.ff7data.com.ar/ff7/data/battle/battle.lgp/mxce.png","View Picture")</f>
        <v>View Picture</v>
      </c>
    </row>
    <row r="7504">
      <c r="A7504" s="55"/>
      <c r="B7504" s="119" t="s">
        <v>39695</v>
      </c>
      <c r="C7504" s="120" t="s">
        <v>4732</v>
      </c>
      <c r="D7504" s="33" t="s">
        <v>39624</v>
      </c>
      <c r="E7504" s="51" t="s">
        <v>1599</v>
      </c>
      <c r="F7504" s="121" t="s">
        <v>3009</v>
      </c>
      <c r="G7504" s="98" t="str">
        <f>HYPERLINK("http://mirror.ff7data.com.ar/ff7/data/battle/battle.lgp/mxcf.png","View Picture")</f>
        <v>View Picture</v>
      </c>
    </row>
    <row r="7505">
      <c r="A7505" s="55"/>
      <c r="B7505" s="119" t="s">
        <v>39696</v>
      </c>
      <c r="C7505" s="120" t="s">
        <v>4732</v>
      </c>
      <c r="D7505" s="33" t="s">
        <v>39624</v>
      </c>
      <c r="E7505" s="51" t="s">
        <v>1599</v>
      </c>
      <c r="F7505" s="121" t="s">
        <v>3009</v>
      </c>
      <c r="G7505" s="98" t="str">
        <f>HYPERLINK("http://mirror.ff7data.com.ar/ff7/data/battle/battle.lgp/mxcg.png","View Picture")</f>
        <v>View Picture</v>
      </c>
    </row>
    <row r="7506">
      <c r="A7506" s="55"/>
      <c r="B7506" s="119" t="s">
        <v>39697</v>
      </c>
      <c r="C7506" s="120" t="s">
        <v>4883</v>
      </c>
      <c r="D7506" s="33" t="s">
        <v>39624</v>
      </c>
      <c r="E7506" s="51" t="s">
        <v>1599</v>
      </c>
      <c r="F7506" s="121" t="s">
        <v>3009</v>
      </c>
      <c r="G7506" s="98" t="str">
        <f>HYPERLINK("http://mirror.ff7data.com.ar/ff7/data/battle/battle.lgp/mxch.png","View Picture")</f>
        <v>View Picture</v>
      </c>
    </row>
    <row r="7507">
      <c r="A7507" s="55"/>
      <c r="B7507" s="119" t="s">
        <v>39698</v>
      </c>
      <c r="C7507" s="120" t="s">
        <v>4012</v>
      </c>
      <c r="D7507" s="33" t="s">
        <v>39624</v>
      </c>
      <c r="E7507" s="51" t="s">
        <v>1599</v>
      </c>
      <c r="F7507" s="121" t="s">
        <v>3025</v>
      </c>
      <c r="H7507" s="46" t="s">
        <v>3002</v>
      </c>
    </row>
    <row r="7508">
      <c r="A7508" s="55"/>
      <c r="B7508" s="119" t="s">
        <v>39699</v>
      </c>
      <c r="C7508" s="120" t="s">
        <v>6789</v>
      </c>
      <c r="D7508" s="33" t="s">
        <v>39661</v>
      </c>
      <c r="E7508" s="51" t="s">
        <v>1605</v>
      </c>
      <c r="F7508" s="121" t="s">
        <v>2971</v>
      </c>
      <c r="G7508" s="98" t="str">
        <f>HYPERLINK("http://mirror.ff7data.com.ar/ff7/data/battle/battle.lgp/myaa.png","View Picture")</f>
        <v>View Picture</v>
      </c>
      <c r="H7508" s="46" t="s">
        <v>39700</v>
      </c>
    </row>
    <row r="7509">
      <c r="A7509" s="55"/>
      <c r="B7509" s="119" t="s">
        <v>39701</v>
      </c>
      <c r="C7509" s="120" t="s">
        <v>4846</v>
      </c>
      <c r="D7509" s="33" t="s">
        <v>39624</v>
      </c>
      <c r="E7509" s="51" t="s">
        <v>1605</v>
      </c>
      <c r="F7509" s="121" t="s">
        <v>2993</v>
      </c>
      <c r="H7509" s="46" t="s">
        <v>3002</v>
      </c>
    </row>
    <row r="7510">
      <c r="A7510" s="55"/>
      <c r="B7510" s="119" t="s">
        <v>39702</v>
      </c>
      <c r="C7510" s="120" t="s">
        <v>4841</v>
      </c>
      <c r="D7510" s="33" t="s">
        <v>39624</v>
      </c>
      <c r="E7510" s="51" t="s">
        <v>1605</v>
      </c>
      <c r="F7510" s="121" t="s">
        <v>3009</v>
      </c>
      <c r="G7510" s="98" t="str">
        <f>HYPERLINK("http://mirror.ff7data.com.ar/ff7/data/battle/battle.lgp/myam.png","View Picture")</f>
        <v>View Picture</v>
      </c>
    </row>
    <row r="7511">
      <c r="A7511" s="55"/>
      <c r="B7511" s="119" t="s">
        <v>39703</v>
      </c>
      <c r="C7511" s="120" t="s">
        <v>7471</v>
      </c>
      <c r="D7511" s="33" t="s">
        <v>39624</v>
      </c>
      <c r="E7511" s="51" t="s">
        <v>1605</v>
      </c>
      <c r="F7511" s="121" t="s">
        <v>3009</v>
      </c>
      <c r="G7511" s="98" t="str">
        <f>HYPERLINK("http://mirror.ff7data.com.ar/ff7/data/battle/battle.lgp/myan.png","View Picture")</f>
        <v>View Picture</v>
      </c>
    </row>
    <row r="7512">
      <c r="A7512" s="55"/>
      <c r="B7512" s="119" t="s">
        <v>39704</v>
      </c>
      <c r="C7512" s="120" t="s">
        <v>11918</v>
      </c>
      <c r="D7512" s="33" t="s">
        <v>39624</v>
      </c>
      <c r="E7512" s="51" t="s">
        <v>1605</v>
      </c>
      <c r="F7512" s="121" t="s">
        <v>3009</v>
      </c>
      <c r="G7512" s="98" t="str">
        <f>HYPERLINK("http://mirror.ff7data.com.ar/ff7/data/battle/battle.lgp/myao.png","View Picture")</f>
        <v>View Picture</v>
      </c>
    </row>
    <row r="7513">
      <c r="A7513" s="55"/>
      <c r="B7513" s="119" t="s">
        <v>39705</v>
      </c>
      <c r="C7513" s="120" t="s">
        <v>3434</v>
      </c>
      <c r="D7513" s="33" t="s">
        <v>39624</v>
      </c>
      <c r="E7513" s="51" t="s">
        <v>1605</v>
      </c>
      <c r="F7513" s="121" t="s">
        <v>3009</v>
      </c>
      <c r="G7513" s="98" t="str">
        <f>HYPERLINK("http://mirror.ff7data.com.ar/ff7/data/battle/battle.lgp/myap.png","View Picture")</f>
        <v>View Picture</v>
      </c>
    </row>
    <row r="7514">
      <c r="A7514" s="55"/>
      <c r="B7514" s="119" t="s">
        <v>39706</v>
      </c>
      <c r="C7514" s="120" t="s">
        <v>3573</v>
      </c>
      <c r="D7514" s="33" t="s">
        <v>39624</v>
      </c>
      <c r="E7514" s="51" t="s">
        <v>1605</v>
      </c>
      <c r="F7514" s="121" t="s">
        <v>3009</v>
      </c>
      <c r="G7514" s="98" t="str">
        <f>HYPERLINK("http://mirror.ff7data.com.ar/ff7/data/battle/battle.lgp/myaq.png","View Picture")</f>
        <v>View Picture</v>
      </c>
    </row>
    <row r="7515">
      <c r="A7515" s="55"/>
      <c r="B7515" s="119" t="s">
        <v>39707</v>
      </c>
      <c r="C7515" s="120" t="s">
        <v>7871</v>
      </c>
      <c r="D7515" s="33" t="s">
        <v>39624</v>
      </c>
      <c r="E7515" s="51" t="s">
        <v>1605</v>
      </c>
      <c r="F7515" s="121" t="s">
        <v>3009</v>
      </c>
      <c r="G7515" s="98" t="str">
        <f>HYPERLINK("http://mirror.ff7data.com.ar/ff7/data/battle/battle.lgp/myar.png","View Picture")</f>
        <v>View Picture</v>
      </c>
    </row>
    <row r="7516">
      <c r="A7516" s="55"/>
      <c r="B7516" s="119" t="s">
        <v>39708</v>
      </c>
      <c r="C7516" s="120" t="s">
        <v>9290</v>
      </c>
      <c r="D7516" s="33" t="s">
        <v>39624</v>
      </c>
      <c r="E7516" s="51" t="s">
        <v>1605</v>
      </c>
      <c r="F7516" s="121" t="s">
        <v>3009</v>
      </c>
      <c r="G7516" s="98" t="str">
        <f>HYPERLINK("http://mirror.ff7data.com.ar/ff7/data/battle/battle.lgp/myav.png","View Picture")</f>
        <v>View Picture</v>
      </c>
    </row>
    <row r="7517">
      <c r="A7517" s="55"/>
      <c r="B7517" s="119" t="s">
        <v>39709</v>
      </c>
      <c r="C7517" s="120" t="s">
        <v>3614</v>
      </c>
      <c r="D7517" s="33" t="s">
        <v>39624</v>
      </c>
      <c r="E7517" s="51" t="s">
        <v>1605</v>
      </c>
      <c r="F7517" s="121" t="s">
        <v>3009</v>
      </c>
      <c r="G7517" s="98" t="str">
        <f>HYPERLINK("http://mirror.ff7data.com.ar/ff7/data/battle/battle.lgp/myaw.png","View Picture")</f>
        <v>View Picture</v>
      </c>
    </row>
    <row r="7518">
      <c r="A7518" s="55"/>
      <c r="B7518" s="119" t="s">
        <v>39710</v>
      </c>
      <c r="C7518" s="120" t="s">
        <v>8376</v>
      </c>
      <c r="D7518" s="33" t="s">
        <v>39624</v>
      </c>
      <c r="E7518" s="51" t="s">
        <v>1605</v>
      </c>
      <c r="F7518" s="121" t="s">
        <v>3009</v>
      </c>
      <c r="G7518" s="98" t="str">
        <f>HYPERLINK("http://mirror.ff7data.com.ar/ff7/data/battle/battle.lgp/myax.png","View Picture")</f>
        <v>View Picture</v>
      </c>
    </row>
    <row r="7519">
      <c r="A7519" s="55"/>
      <c r="B7519" s="119" t="s">
        <v>39711</v>
      </c>
      <c r="C7519" s="120" t="s">
        <v>3445</v>
      </c>
      <c r="D7519" s="33" t="s">
        <v>39624</v>
      </c>
      <c r="E7519" s="51" t="s">
        <v>1605</v>
      </c>
      <c r="F7519" s="121" t="s">
        <v>3009</v>
      </c>
      <c r="G7519" s="98" t="str">
        <f>HYPERLINK("http://mirror.ff7data.com.ar/ff7/data/battle/battle.lgp/myaz.png","View Picture")</f>
        <v>View Picture</v>
      </c>
    </row>
    <row r="7520">
      <c r="A7520" s="55"/>
      <c r="B7520" s="119" t="s">
        <v>39712</v>
      </c>
      <c r="C7520" s="120" t="s">
        <v>10078</v>
      </c>
      <c r="D7520" s="33" t="s">
        <v>39624</v>
      </c>
      <c r="E7520" s="51" t="s">
        <v>1605</v>
      </c>
      <c r="F7520" s="121" t="s">
        <v>3009</v>
      </c>
      <c r="G7520" s="98" t="str">
        <f>HYPERLINK("http://mirror.ff7data.com.ar/ff7/data/battle/battle.lgp/myba.png","View Picture")</f>
        <v>View Picture</v>
      </c>
    </row>
    <row r="7521">
      <c r="A7521" s="55"/>
      <c r="B7521" s="119" t="s">
        <v>39713</v>
      </c>
      <c r="C7521" s="120" t="s">
        <v>3519</v>
      </c>
      <c r="D7521" s="33" t="s">
        <v>39624</v>
      </c>
      <c r="E7521" s="51" t="s">
        <v>1605</v>
      </c>
      <c r="F7521" s="121" t="s">
        <v>3009</v>
      </c>
      <c r="G7521" s="98" t="str">
        <f>HYPERLINK("http://mirror.ff7data.com.ar/ff7/data/battle/battle.lgp/mybb.png","View Picture")</f>
        <v>View Picture</v>
      </c>
    </row>
    <row r="7522">
      <c r="A7522" s="55"/>
      <c r="B7522" s="119" t="s">
        <v>39714</v>
      </c>
      <c r="C7522" s="120" t="s">
        <v>4057</v>
      </c>
      <c r="D7522" s="33" t="s">
        <v>39624</v>
      </c>
      <c r="E7522" s="51" t="s">
        <v>1605</v>
      </c>
      <c r="F7522" s="121" t="s">
        <v>3009</v>
      </c>
      <c r="G7522" s="98" t="str">
        <f>HYPERLINK("http://mirror.ff7data.com.ar/ff7/data/battle/battle.lgp/mybd.png","View Picture")</f>
        <v>View Picture</v>
      </c>
    </row>
    <row r="7523">
      <c r="A7523" s="55"/>
      <c r="B7523" s="119" t="s">
        <v>39715</v>
      </c>
      <c r="C7523" s="120" t="s">
        <v>4372</v>
      </c>
      <c r="D7523" s="33" t="s">
        <v>39624</v>
      </c>
      <c r="E7523" s="51" t="s">
        <v>1605</v>
      </c>
      <c r="F7523" s="121" t="s">
        <v>3009</v>
      </c>
      <c r="G7523" s="98" t="str">
        <f>HYPERLINK("http://mirror.ff7data.com.ar/ff7/data/battle/battle.lgp/mybe.png","View Picture")</f>
        <v>View Picture</v>
      </c>
    </row>
    <row r="7524">
      <c r="A7524" s="55"/>
      <c r="B7524" s="119" t="s">
        <v>39716</v>
      </c>
      <c r="C7524" s="120" t="s">
        <v>4719</v>
      </c>
      <c r="D7524" s="33" t="s">
        <v>39624</v>
      </c>
      <c r="E7524" s="51" t="s">
        <v>1605</v>
      </c>
      <c r="F7524" s="121" t="s">
        <v>3009</v>
      </c>
      <c r="G7524" s="98" t="str">
        <f>HYPERLINK("http://mirror.ff7data.com.ar/ff7/data/battle/battle.lgp/mybg.png","View Picture")</f>
        <v>View Picture</v>
      </c>
    </row>
    <row r="7525">
      <c r="A7525" s="55"/>
      <c r="B7525" s="119" t="s">
        <v>39717</v>
      </c>
      <c r="C7525" s="120" t="s">
        <v>4372</v>
      </c>
      <c r="D7525" s="33" t="s">
        <v>39624</v>
      </c>
      <c r="E7525" s="51" t="s">
        <v>1605</v>
      </c>
      <c r="F7525" s="121" t="s">
        <v>3009</v>
      </c>
      <c r="G7525" s="98" t="str">
        <f>HYPERLINK("http://mirror.ff7data.com.ar/ff7/data/battle/battle.lgp/mybh.png","View Picture")</f>
        <v>View Picture</v>
      </c>
    </row>
    <row r="7526">
      <c r="A7526" s="55"/>
      <c r="B7526" s="119" t="s">
        <v>39718</v>
      </c>
      <c r="C7526" s="120" t="s">
        <v>7501</v>
      </c>
      <c r="D7526" s="33" t="s">
        <v>39624</v>
      </c>
      <c r="E7526" s="51" t="s">
        <v>1605</v>
      </c>
      <c r="F7526" s="121" t="s">
        <v>3009</v>
      </c>
      <c r="G7526" s="98" t="str">
        <f>HYPERLINK("http://mirror.ff7data.com.ar/ff7/data/battle/battle.lgp/mybm.png","View Picture")</f>
        <v>View Picture</v>
      </c>
    </row>
    <row r="7527">
      <c r="A7527" s="55"/>
      <c r="B7527" s="119" t="s">
        <v>39719</v>
      </c>
      <c r="C7527" s="120" t="s">
        <v>7871</v>
      </c>
      <c r="D7527" s="33" t="s">
        <v>39624</v>
      </c>
      <c r="E7527" s="51" t="s">
        <v>1605</v>
      </c>
      <c r="F7527" s="121" t="s">
        <v>3009</v>
      </c>
      <c r="G7527" s="98" t="str">
        <f>HYPERLINK("http://mirror.ff7data.com.ar/ff7/data/battle/battle.lgp/mybn.png","View Picture")</f>
        <v>View Picture</v>
      </c>
    </row>
    <row r="7528">
      <c r="A7528" s="55"/>
      <c r="B7528" s="119" t="s">
        <v>39720</v>
      </c>
      <c r="C7528" s="120" t="s">
        <v>8376</v>
      </c>
      <c r="D7528" s="33" t="s">
        <v>39624</v>
      </c>
      <c r="E7528" s="51" t="s">
        <v>1605</v>
      </c>
      <c r="F7528" s="121" t="s">
        <v>3009</v>
      </c>
      <c r="G7528" s="98" t="str">
        <f>HYPERLINK("http://mirror.ff7data.com.ar/ff7/data/battle/battle.lgp/mybo.png","View Picture")</f>
        <v>View Picture</v>
      </c>
    </row>
    <row r="7529">
      <c r="A7529" s="55"/>
      <c r="B7529" s="119" t="s">
        <v>39721</v>
      </c>
      <c r="C7529" s="120" t="s">
        <v>3412</v>
      </c>
      <c r="D7529" s="33" t="s">
        <v>39624</v>
      </c>
      <c r="E7529" s="51" t="s">
        <v>1605</v>
      </c>
      <c r="F7529" s="121" t="s">
        <v>3009</v>
      </c>
      <c r="G7529" s="98" t="str">
        <f>HYPERLINK("http://mirror.ff7data.com.ar/ff7/data/battle/battle.lgp/mybq.png","View Picture")</f>
        <v>View Picture</v>
      </c>
    </row>
    <row r="7530">
      <c r="A7530" s="55"/>
      <c r="B7530" s="119" t="s">
        <v>39722</v>
      </c>
      <c r="C7530" s="120" t="s">
        <v>4252</v>
      </c>
      <c r="D7530" s="33" t="s">
        <v>39624</v>
      </c>
      <c r="E7530" s="51" t="s">
        <v>1605</v>
      </c>
      <c r="F7530" s="121" t="s">
        <v>3009</v>
      </c>
      <c r="G7530" s="98" t="str">
        <f>HYPERLINK("http://mirror.ff7data.com.ar/ff7/data/battle/battle.lgp/mybr.png","View Picture")</f>
        <v>View Picture</v>
      </c>
    </row>
    <row r="7531">
      <c r="A7531" s="55"/>
      <c r="B7531" s="119" t="s">
        <v>39723</v>
      </c>
      <c r="C7531" s="120" t="s">
        <v>3519</v>
      </c>
      <c r="D7531" s="33" t="s">
        <v>39624</v>
      </c>
      <c r="E7531" s="51" t="s">
        <v>1605</v>
      </c>
      <c r="F7531" s="121" t="s">
        <v>3009</v>
      </c>
      <c r="G7531" s="98" t="str">
        <f>HYPERLINK("http://mirror.ff7data.com.ar/ff7/data/battle/battle.lgp/mybs.png","View Picture")</f>
        <v>View Picture</v>
      </c>
    </row>
    <row r="7532">
      <c r="A7532" s="55"/>
      <c r="B7532" s="119" t="s">
        <v>39724</v>
      </c>
      <c r="C7532" s="120" t="s">
        <v>5891</v>
      </c>
      <c r="D7532" s="33" t="s">
        <v>39624</v>
      </c>
      <c r="E7532" s="51" t="s">
        <v>1605</v>
      </c>
      <c r="F7532" s="121" t="s">
        <v>3009</v>
      </c>
      <c r="G7532" s="98" t="str">
        <f>HYPERLINK("http://mirror.ff7data.com.ar/ff7/data/battle/battle.lgp/mybu.png","View Picture")</f>
        <v>View Picture</v>
      </c>
    </row>
    <row r="7533">
      <c r="A7533" s="55"/>
      <c r="B7533" s="119" t="s">
        <v>39725</v>
      </c>
      <c r="C7533" s="120" t="s">
        <v>4057</v>
      </c>
      <c r="D7533" s="33" t="s">
        <v>39624</v>
      </c>
      <c r="E7533" s="51" t="s">
        <v>1605</v>
      </c>
      <c r="F7533" s="121" t="s">
        <v>3009</v>
      </c>
      <c r="G7533" s="98" t="str">
        <f>HYPERLINK("http://mirror.ff7data.com.ar/ff7/data/battle/battle.lgp/mybv.png","View Picture")</f>
        <v>View Picture</v>
      </c>
    </row>
    <row r="7534">
      <c r="A7534" s="55"/>
      <c r="B7534" s="119" t="s">
        <v>39726</v>
      </c>
      <c r="C7534" s="120" t="s">
        <v>5891</v>
      </c>
      <c r="D7534" s="33" t="s">
        <v>39624</v>
      </c>
      <c r="E7534" s="51" t="s">
        <v>1605</v>
      </c>
      <c r="F7534" s="121" t="s">
        <v>3009</v>
      </c>
      <c r="G7534" s="98" t="str">
        <f>HYPERLINK("http://mirror.ff7data.com.ar/ff7/data/battle/battle.lgp/mybw.png","View Picture")</f>
        <v>View Picture</v>
      </c>
    </row>
    <row r="7535">
      <c r="A7535" s="55"/>
      <c r="B7535" s="119" t="s">
        <v>39727</v>
      </c>
      <c r="C7535" s="120" t="s">
        <v>3723</v>
      </c>
      <c r="D7535" s="33" t="s">
        <v>39624</v>
      </c>
      <c r="E7535" s="51" t="s">
        <v>1605</v>
      </c>
      <c r="F7535" s="121" t="s">
        <v>3009</v>
      </c>
      <c r="G7535" s="98" t="str">
        <f>HYPERLINK("http://mirror.ff7data.com.ar/ff7/data/battle/battle.lgp/mybx.png","View Picture")</f>
        <v>View Picture</v>
      </c>
    </row>
    <row r="7536">
      <c r="A7536" s="55"/>
      <c r="B7536" s="119" t="s">
        <v>39728</v>
      </c>
      <c r="C7536" s="120" t="s">
        <v>5891</v>
      </c>
      <c r="D7536" s="33" t="s">
        <v>39624</v>
      </c>
      <c r="E7536" s="51" t="s">
        <v>1605</v>
      </c>
      <c r="F7536" s="121" t="s">
        <v>3009</v>
      </c>
      <c r="G7536" s="98" t="str">
        <f>HYPERLINK("http://mirror.ff7data.com.ar/ff7/data/battle/battle.lgp/mybz.png","View Picture")</f>
        <v>View Picture</v>
      </c>
    </row>
    <row r="7537">
      <c r="A7537" s="55"/>
      <c r="B7537" s="119" t="s">
        <v>39729</v>
      </c>
      <c r="C7537" s="120" t="s">
        <v>4057</v>
      </c>
      <c r="D7537" s="33" t="s">
        <v>39624</v>
      </c>
      <c r="E7537" s="51" t="s">
        <v>1605</v>
      </c>
      <c r="F7537" s="121" t="s">
        <v>3009</v>
      </c>
      <c r="G7537" s="98" t="str">
        <f>HYPERLINK("http://mirror.ff7data.com.ar/ff7/data/battle/battle.lgp/myca.png","View Picture")</f>
        <v>View Picture</v>
      </c>
    </row>
    <row r="7538">
      <c r="A7538" s="55"/>
      <c r="B7538" s="119" t="s">
        <v>39730</v>
      </c>
      <c r="C7538" s="120" t="s">
        <v>3648</v>
      </c>
      <c r="D7538" s="33" t="s">
        <v>39624</v>
      </c>
      <c r="E7538" s="51" t="s">
        <v>1605</v>
      </c>
      <c r="F7538" s="121" t="s">
        <v>3009</v>
      </c>
      <c r="G7538" s="98" t="str">
        <f>HYPERLINK("http://mirror.ff7data.com.ar/ff7/data/battle/battle.lgp/mycb.png","View Picture")</f>
        <v>View Picture</v>
      </c>
    </row>
    <row r="7539">
      <c r="A7539" s="55"/>
      <c r="B7539" s="119" t="s">
        <v>39731</v>
      </c>
      <c r="C7539" s="120" t="s">
        <v>3723</v>
      </c>
      <c r="D7539" s="33" t="s">
        <v>39624</v>
      </c>
      <c r="E7539" s="51" t="s">
        <v>1605</v>
      </c>
      <c r="F7539" s="121" t="s">
        <v>3009</v>
      </c>
      <c r="G7539" s="98" t="str">
        <f>HYPERLINK("http://mirror.ff7data.com.ar/ff7/data/battle/battle.lgp/mycc.png","View Picture")</f>
        <v>View Picture</v>
      </c>
    </row>
    <row r="7540">
      <c r="A7540" s="55"/>
      <c r="B7540" s="119" t="s">
        <v>39732</v>
      </c>
      <c r="C7540" s="120" t="s">
        <v>4264</v>
      </c>
      <c r="D7540" s="33" t="s">
        <v>39624</v>
      </c>
      <c r="E7540" s="51" t="s">
        <v>1605</v>
      </c>
      <c r="F7540" s="121" t="s">
        <v>3009</v>
      </c>
      <c r="G7540" s="98" t="str">
        <f>HYPERLINK("http://mirror.ff7data.com.ar/ff7/data/battle/battle.lgp/myce.png","View Picture")</f>
        <v>View Picture</v>
      </c>
    </row>
    <row r="7541">
      <c r="A7541" s="55"/>
      <c r="B7541" s="119" t="s">
        <v>39733</v>
      </c>
      <c r="C7541" s="120" t="s">
        <v>4732</v>
      </c>
      <c r="D7541" s="33" t="s">
        <v>39624</v>
      </c>
      <c r="E7541" s="51" t="s">
        <v>1605</v>
      </c>
      <c r="F7541" s="121" t="s">
        <v>3009</v>
      </c>
      <c r="G7541" s="98" t="str">
        <f>HYPERLINK("http://mirror.ff7data.com.ar/ff7/data/battle/battle.lgp/mycf.png","View Picture")</f>
        <v>View Picture</v>
      </c>
    </row>
    <row r="7542">
      <c r="A7542" s="55"/>
      <c r="B7542" s="119" t="s">
        <v>39734</v>
      </c>
      <c r="C7542" s="120" t="s">
        <v>4732</v>
      </c>
      <c r="D7542" s="33" t="s">
        <v>39624</v>
      </c>
      <c r="E7542" s="51" t="s">
        <v>1605</v>
      </c>
      <c r="F7542" s="121" t="s">
        <v>3009</v>
      </c>
      <c r="G7542" s="98" t="str">
        <f>HYPERLINK("http://mirror.ff7data.com.ar/ff7/data/battle/battle.lgp/mycg.png","View Picture")</f>
        <v>View Picture</v>
      </c>
    </row>
    <row r="7543">
      <c r="A7543" s="55"/>
      <c r="B7543" s="119" t="s">
        <v>39735</v>
      </c>
      <c r="C7543" s="120" t="s">
        <v>4883</v>
      </c>
      <c r="D7543" s="33" t="s">
        <v>39624</v>
      </c>
      <c r="E7543" s="51" t="s">
        <v>1605</v>
      </c>
      <c r="F7543" s="121" t="s">
        <v>3009</v>
      </c>
      <c r="G7543" s="98" t="str">
        <f>HYPERLINK("http://mirror.ff7data.com.ar/ff7/data/battle/battle.lgp/mych.png","View Picture")</f>
        <v>View Picture</v>
      </c>
    </row>
    <row r="7544">
      <c r="A7544" s="55"/>
      <c r="B7544" s="119" t="s">
        <v>39736</v>
      </c>
      <c r="C7544" s="120" t="s">
        <v>4012</v>
      </c>
      <c r="D7544" s="33" t="s">
        <v>39624</v>
      </c>
      <c r="E7544" s="51" t="s">
        <v>1605</v>
      </c>
      <c r="F7544" s="121" t="s">
        <v>3025</v>
      </c>
      <c r="H7544" s="46" t="s">
        <v>3002</v>
      </c>
    </row>
    <row r="7545">
      <c r="A7545" s="55"/>
      <c r="B7545" s="119" t="s">
        <v>39737</v>
      </c>
      <c r="C7545" s="120" t="s">
        <v>11208</v>
      </c>
      <c r="D7545" s="33" t="s">
        <v>39738</v>
      </c>
      <c r="E7545" s="51" t="s">
        <v>1609</v>
      </c>
      <c r="F7545" s="121" t="s">
        <v>2971</v>
      </c>
      <c r="G7545" s="98" t="str">
        <f>HYPERLINK("http://mirror.ff7data.com.ar/ff7/data/battle/battle.lgp/mzaa.png","View Picture")</f>
        <v>View Picture</v>
      </c>
    </row>
    <row r="7546">
      <c r="A7546" s="55"/>
      <c r="B7546" s="119" t="s">
        <v>39739</v>
      </c>
      <c r="C7546" s="120" t="s">
        <v>4846</v>
      </c>
      <c r="D7546" s="33" t="s">
        <v>39740</v>
      </c>
      <c r="E7546" s="51" t="s">
        <v>1609</v>
      </c>
      <c r="F7546" s="121" t="s">
        <v>2993</v>
      </c>
      <c r="H7546" s="46" t="s">
        <v>3002</v>
      </c>
    </row>
    <row r="7547">
      <c r="A7547" s="55"/>
      <c r="B7547" s="119" t="s">
        <v>39741</v>
      </c>
      <c r="C7547" s="120" t="s">
        <v>10078</v>
      </c>
      <c r="D7547" s="33" t="s">
        <v>39740</v>
      </c>
      <c r="E7547" s="51" t="s">
        <v>1609</v>
      </c>
      <c r="F7547" s="121" t="s">
        <v>3009</v>
      </c>
      <c r="G7547" s="98" t="str">
        <f>HYPERLINK("http://mirror.ff7data.com.ar/ff7/data/battle/battle.lgp/mzam.png","View Picture")</f>
        <v>View Picture</v>
      </c>
    </row>
    <row r="7548">
      <c r="A7548" s="55"/>
      <c r="B7548" s="119" t="s">
        <v>39742</v>
      </c>
      <c r="C7548" s="120" t="s">
        <v>7258</v>
      </c>
      <c r="D7548" s="33" t="s">
        <v>39740</v>
      </c>
      <c r="E7548" s="51" t="s">
        <v>1609</v>
      </c>
      <c r="F7548" s="121" t="s">
        <v>3009</v>
      </c>
      <c r="G7548" s="98" t="str">
        <f>HYPERLINK("http://mirror.ff7data.com.ar/ff7/data/battle/battle.lgp/mzan.png","View Picture")</f>
        <v>View Picture</v>
      </c>
    </row>
    <row r="7549">
      <c r="A7549" s="55"/>
      <c r="B7549" s="119" t="s">
        <v>39743</v>
      </c>
      <c r="C7549" s="120" t="s">
        <v>3648</v>
      </c>
      <c r="D7549" s="33" t="s">
        <v>39740</v>
      </c>
      <c r="E7549" s="51" t="s">
        <v>1609</v>
      </c>
      <c r="F7549" s="121" t="s">
        <v>3009</v>
      </c>
      <c r="G7549" s="98" t="str">
        <f>HYPERLINK("http://mirror.ff7data.com.ar/ff7/data/battle/battle.lgp/mzap.png","View Picture")</f>
        <v>View Picture</v>
      </c>
    </row>
    <row r="7550">
      <c r="A7550" s="55"/>
      <c r="B7550" s="119" t="s">
        <v>39744</v>
      </c>
      <c r="C7550" s="120" t="s">
        <v>3648</v>
      </c>
      <c r="D7550" s="33" t="s">
        <v>39740</v>
      </c>
      <c r="E7550" s="51" t="s">
        <v>1609</v>
      </c>
      <c r="F7550" s="121" t="s">
        <v>3009</v>
      </c>
      <c r="G7550" s="98" t="str">
        <f>HYPERLINK("http://mirror.ff7data.com.ar/ff7/data/battle/battle.lgp/mzaq.png","View Picture")</f>
        <v>View Picture</v>
      </c>
    </row>
    <row r="7551">
      <c r="A7551" s="55"/>
      <c r="B7551" s="119" t="s">
        <v>39745</v>
      </c>
      <c r="C7551" s="120" t="s">
        <v>3648</v>
      </c>
      <c r="D7551" s="33" t="s">
        <v>39740</v>
      </c>
      <c r="E7551" s="51" t="s">
        <v>1609</v>
      </c>
      <c r="F7551" s="121" t="s">
        <v>3009</v>
      </c>
      <c r="G7551" s="98" t="str">
        <f>HYPERLINK("http://mirror.ff7data.com.ar/ff7/data/battle/battle.lgp/mzat.png","View Picture")</f>
        <v>View Picture</v>
      </c>
    </row>
    <row r="7552">
      <c r="A7552" s="55"/>
      <c r="B7552" s="119" t="s">
        <v>39746</v>
      </c>
      <c r="C7552" s="120" t="s">
        <v>3648</v>
      </c>
      <c r="D7552" s="33" t="s">
        <v>39740</v>
      </c>
      <c r="E7552" s="51" t="s">
        <v>1609</v>
      </c>
      <c r="F7552" s="121" t="s">
        <v>3009</v>
      </c>
      <c r="G7552" s="98" t="str">
        <f>HYPERLINK("http://mirror.ff7data.com.ar/ff7/data/battle/battle.lgp/mzau.png","View Picture")</f>
        <v>View Picture</v>
      </c>
    </row>
    <row r="7553">
      <c r="A7553" s="55"/>
      <c r="B7553" s="119" t="s">
        <v>39747</v>
      </c>
      <c r="C7553" s="120" t="s">
        <v>3648</v>
      </c>
      <c r="D7553" s="33" t="s">
        <v>39740</v>
      </c>
      <c r="E7553" s="51" t="s">
        <v>1609</v>
      </c>
      <c r="F7553" s="121" t="s">
        <v>3009</v>
      </c>
      <c r="G7553" s="98" t="str">
        <f>HYPERLINK("http://mirror.ff7data.com.ar/ff7/data/battle/battle.lgp/mzaw.png","View Picture")</f>
        <v>View Picture</v>
      </c>
    </row>
    <row r="7554">
      <c r="A7554" s="55"/>
      <c r="B7554" s="119" t="s">
        <v>39748</v>
      </c>
      <c r="C7554" s="120" t="s">
        <v>3648</v>
      </c>
      <c r="D7554" s="33" t="s">
        <v>39740</v>
      </c>
      <c r="E7554" s="51" t="s">
        <v>1609</v>
      </c>
      <c r="F7554" s="121" t="s">
        <v>3009</v>
      </c>
      <c r="G7554" s="98" t="str">
        <f>HYPERLINK("http://mirror.ff7data.com.ar/ff7/data/battle/battle.lgp/mzax.png","View Picture")</f>
        <v>View Picture</v>
      </c>
    </row>
    <row r="7555">
      <c r="A7555" s="55"/>
      <c r="B7555" s="119" t="s">
        <v>39749</v>
      </c>
      <c r="C7555" s="120" t="s">
        <v>3648</v>
      </c>
      <c r="D7555" s="33" t="s">
        <v>39740</v>
      </c>
      <c r="E7555" s="51" t="s">
        <v>1609</v>
      </c>
      <c r="F7555" s="121" t="s">
        <v>3009</v>
      </c>
      <c r="G7555" s="98" t="str">
        <f>HYPERLINK("http://mirror.ff7data.com.ar/ff7/data/battle/battle.lgp/mzaz.png","View Picture")</f>
        <v>View Picture</v>
      </c>
    </row>
    <row r="7556">
      <c r="A7556" s="55"/>
      <c r="B7556" s="119" t="s">
        <v>39750</v>
      </c>
      <c r="C7556" s="120" t="s">
        <v>3648</v>
      </c>
      <c r="D7556" s="33" t="s">
        <v>39740</v>
      </c>
      <c r="E7556" s="51" t="s">
        <v>1609</v>
      </c>
      <c r="F7556" s="121" t="s">
        <v>3009</v>
      </c>
      <c r="G7556" s="98" t="str">
        <f>HYPERLINK("http://mirror.ff7data.com.ar/ff7/data/battle/battle.lgp/mzba.png","View Picture")</f>
        <v>View Picture</v>
      </c>
    </row>
    <row r="7557">
      <c r="A7557" s="55"/>
      <c r="B7557" s="119" t="s">
        <v>39751</v>
      </c>
      <c r="C7557" s="120" t="s">
        <v>4396</v>
      </c>
      <c r="D7557" s="33" t="s">
        <v>39740</v>
      </c>
      <c r="E7557" s="51" t="s">
        <v>1609</v>
      </c>
      <c r="F7557" s="121" t="s">
        <v>3025</v>
      </c>
      <c r="H7557" s="46" t="s">
        <v>3002</v>
      </c>
    </row>
    <row r="7558">
      <c r="A7558" s="55"/>
      <c r="B7558" s="119" t="s">
        <v>39752</v>
      </c>
      <c r="C7558" s="120" t="s">
        <v>6802</v>
      </c>
      <c r="D7558" s="33" t="s">
        <v>39753</v>
      </c>
      <c r="E7558" s="51" t="s">
        <v>1613</v>
      </c>
      <c r="F7558" s="121" t="s">
        <v>2971</v>
      </c>
      <c r="G7558" s="98" t="str">
        <f>HYPERLINK("http://mirror.ff7data.com.ar/ff7/data/battle/battle.lgp/naaa.png","View Picture")</f>
        <v>View Picture</v>
      </c>
    </row>
    <row r="7559">
      <c r="A7559" s="55"/>
      <c r="B7559" s="119" t="s">
        <v>39754</v>
      </c>
      <c r="C7559" s="120" t="s">
        <v>4846</v>
      </c>
      <c r="D7559" s="33" t="s">
        <v>39755</v>
      </c>
      <c r="E7559" s="51" t="s">
        <v>1613</v>
      </c>
      <c r="F7559" s="121" t="s">
        <v>2993</v>
      </c>
      <c r="H7559" s="46" t="s">
        <v>3002</v>
      </c>
    </row>
    <row r="7560">
      <c r="A7560" s="55"/>
      <c r="B7560" s="119" t="s">
        <v>39756</v>
      </c>
      <c r="C7560" s="120" t="s">
        <v>7258</v>
      </c>
      <c r="D7560" s="33" t="s">
        <v>39755</v>
      </c>
      <c r="E7560" s="51" t="s">
        <v>1613</v>
      </c>
      <c r="F7560" s="121" t="s">
        <v>3009</v>
      </c>
      <c r="G7560" s="98" t="str">
        <f>HYPERLINK("http://mirror.ff7data.com.ar/ff7/data/battle/battle.lgp/naam.png","View Picture")</f>
        <v>View Picture</v>
      </c>
    </row>
    <row r="7561">
      <c r="A7561" s="55"/>
      <c r="B7561" s="119" t="s">
        <v>39757</v>
      </c>
      <c r="C7561" s="120" t="s">
        <v>4167</v>
      </c>
      <c r="D7561" s="33" t="s">
        <v>39755</v>
      </c>
      <c r="E7561" s="51" t="s">
        <v>1613</v>
      </c>
      <c r="F7561" s="121" t="s">
        <v>3009</v>
      </c>
      <c r="G7561" s="98" t="str">
        <f>HYPERLINK("http://mirror.ff7data.com.ar/ff7/data/battle/battle.lgp/naan.png","View Picture")</f>
        <v>View Picture</v>
      </c>
    </row>
    <row r="7562">
      <c r="A7562" s="55"/>
      <c r="B7562" s="119" t="s">
        <v>39758</v>
      </c>
      <c r="C7562" s="120" t="s">
        <v>7270</v>
      </c>
      <c r="D7562" s="33" t="s">
        <v>39755</v>
      </c>
      <c r="E7562" s="51" t="s">
        <v>1613</v>
      </c>
      <c r="F7562" s="121" t="s">
        <v>3009</v>
      </c>
      <c r="G7562" s="98" t="str">
        <f>HYPERLINK("http://mirror.ff7data.com.ar/ff7/data/battle/battle.lgp/naap.png","View Picture")</f>
        <v>View Picture</v>
      </c>
    </row>
    <row r="7563">
      <c r="A7563" s="55"/>
      <c r="B7563" s="119" t="s">
        <v>39759</v>
      </c>
      <c r="C7563" s="120" t="s">
        <v>7270</v>
      </c>
      <c r="D7563" s="33" t="s">
        <v>39755</v>
      </c>
      <c r="E7563" s="51" t="s">
        <v>1613</v>
      </c>
      <c r="F7563" s="121" t="s">
        <v>3009</v>
      </c>
      <c r="G7563" s="98" t="str">
        <f>HYPERLINK("http://mirror.ff7data.com.ar/ff7/data/battle/battle.lgp/naat.png","View Picture")</f>
        <v>View Picture</v>
      </c>
    </row>
    <row r="7564">
      <c r="A7564" s="55"/>
      <c r="B7564" s="119" t="s">
        <v>39760</v>
      </c>
      <c r="C7564" s="120" t="s">
        <v>7148</v>
      </c>
      <c r="D7564" s="33" t="s">
        <v>39755</v>
      </c>
      <c r="E7564" s="51" t="s">
        <v>1613</v>
      </c>
      <c r="F7564" s="121" t="s">
        <v>3009</v>
      </c>
      <c r="G7564" s="98" t="str">
        <f>HYPERLINK("http://mirror.ff7data.com.ar/ff7/data/battle/battle.lgp/naau.png","View Picture")</f>
        <v>View Picture</v>
      </c>
    </row>
    <row r="7565">
      <c r="A7565" s="55"/>
      <c r="B7565" s="119" t="s">
        <v>39761</v>
      </c>
      <c r="C7565" s="120" t="s">
        <v>4185</v>
      </c>
      <c r="D7565" s="33" t="s">
        <v>39755</v>
      </c>
      <c r="E7565" s="51" t="s">
        <v>1613</v>
      </c>
      <c r="F7565" s="121" t="s">
        <v>3009</v>
      </c>
      <c r="G7565" s="98" t="str">
        <f>HYPERLINK("http://mirror.ff7data.com.ar/ff7/data/battle/battle.lgp/naaw.png","View Picture")</f>
        <v>View Picture</v>
      </c>
    </row>
    <row r="7566">
      <c r="A7566" s="55"/>
      <c r="B7566" s="119" t="s">
        <v>39762</v>
      </c>
      <c r="C7566" s="120" t="s">
        <v>4288</v>
      </c>
      <c r="D7566" s="33" t="s">
        <v>39755</v>
      </c>
      <c r="E7566" s="51" t="s">
        <v>1613</v>
      </c>
      <c r="F7566" s="121" t="s">
        <v>3009</v>
      </c>
      <c r="G7566" s="98" t="str">
        <f>HYPERLINK("http://mirror.ff7data.com.ar/ff7/data/battle/battle.lgp/naax.png","View Picture")</f>
        <v>View Picture</v>
      </c>
    </row>
    <row r="7567">
      <c r="A7567" s="55"/>
      <c r="B7567" s="119" t="s">
        <v>39763</v>
      </c>
      <c r="C7567" s="120" t="s">
        <v>4396</v>
      </c>
      <c r="D7567" s="33" t="s">
        <v>39755</v>
      </c>
      <c r="E7567" s="51" t="s">
        <v>1613</v>
      </c>
      <c r="F7567" s="121" t="s">
        <v>3009</v>
      </c>
      <c r="G7567" s="98" t="str">
        <f>HYPERLINK("http://mirror.ff7data.com.ar/ff7/data/battle/battle.lgp/naay.png","View Picture")</f>
        <v>View Picture</v>
      </c>
    </row>
    <row r="7568">
      <c r="A7568" s="55"/>
      <c r="B7568" s="119" t="s">
        <v>39764</v>
      </c>
      <c r="C7568" s="120" t="s">
        <v>4057</v>
      </c>
      <c r="D7568" s="33" t="s">
        <v>39755</v>
      </c>
      <c r="E7568" s="51" t="s">
        <v>1613</v>
      </c>
      <c r="F7568" s="121" t="s">
        <v>3009</v>
      </c>
      <c r="G7568" s="98" t="str">
        <f>HYPERLINK("http://mirror.ff7data.com.ar/ff7/data/battle/battle.lgp/naaz.png","View Picture")</f>
        <v>View Picture</v>
      </c>
    </row>
    <row r="7569">
      <c r="A7569" s="55"/>
      <c r="B7569" s="119" t="s">
        <v>39765</v>
      </c>
      <c r="C7569" s="120" t="s">
        <v>4185</v>
      </c>
      <c r="D7569" s="33" t="s">
        <v>39755</v>
      </c>
      <c r="E7569" s="51" t="s">
        <v>1613</v>
      </c>
      <c r="F7569" s="121" t="s">
        <v>3009</v>
      </c>
      <c r="G7569" s="98" t="str">
        <f>HYPERLINK("http://mirror.ff7data.com.ar/ff7/data/battle/battle.lgp/nabb.png","View Picture")</f>
        <v>View Picture</v>
      </c>
    </row>
    <row r="7570">
      <c r="A7570" s="55"/>
      <c r="B7570" s="119" t="s">
        <v>39766</v>
      </c>
      <c r="C7570" s="120" t="s">
        <v>4288</v>
      </c>
      <c r="D7570" s="33" t="s">
        <v>39755</v>
      </c>
      <c r="E7570" s="51" t="s">
        <v>1613</v>
      </c>
      <c r="F7570" s="121" t="s">
        <v>3009</v>
      </c>
      <c r="G7570" s="98" t="str">
        <f>HYPERLINK("http://mirror.ff7data.com.ar/ff7/data/battle/battle.lgp/nabc.png","View Picture")</f>
        <v>View Picture</v>
      </c>
    </row>
    <row r="7571">
      <c r="A7571" s="55"/>
      <c r="B7571" s="119" t="s">
        <v>39767</v>
      </c>
      <c r="C7571" s="120" t="s">
        <v>4396</v>
      </c>
      <c r="D7571" s="33" t="s">
        <v>39755</v>
      </c>
      <c r="E7571" s="51" t="s">
        <v>1613</v>
      </c>
      <c r="F7571" s="121" t="s">
        <v>3009</v>
      </c>
      <c r="G7571" s="98" t="str">
        <f>HYPERLINK("http://mirror.ff7data.com.ar/ff7/data/battle/battle.lgp/nabd.png","View Picture")</f>
        <v>View Picture</v>
      </c>
    </row>
    <row r="7572">
      <c r="A7572" s="55"/>
      <c r="B7572" s="119" t="s">
        <v>39768</v>
      </c>
      <c r="C7572" s="120" t="s">
        <v>4057</v>
      </c>
      <c r="D7572" s="33" t="s">
        <v>39755</v>
      </c>
      <c r="E7572" s="51" t="s">
        <v>1613</v>
      </c>
      <c r="F7572" s="121" t="s">
        <v>3009</v>
      </c>
      <c r="G7572" s="98" t="str">
        <f>HYPERLINK("http://mirror.ff7data.com.ar/ff7/data/battle/battle.lgp/nabe.png","View Picture")</f>
        <v>View Picture</v>
      </c>
    </row>
    <row r="7573">
      <c r="A7573" s="55"/>
      <c r="B7573" s="119" t="s">
        <v>39769</v>
      </c>
      <c r="C7573" s="120" t="s">
        <v>5419</v>
      </c>
      <c r="D7573" s="33" t="s">
        <v>39755</v>
      </c>
      <c r="E7573" s="51" t="s">
        <v>1613</v>
      </c>
      <c r="F7573" s="121" t="s">
        <v>3009</v>
      </c>
      <c r="G7573" s="98" t="str">
        <f>HYPERLINK("http://mirror.ff7data.com.ar/ff7/data/battle/battle.lgp/nabh.png","View Picture")</f>
        <v>View Picture</v>
      </c>
    </row>
    <row r="7574">
      <c r="A7574" s="55"/>
      <c r="B7574" s="119" t="s">
        <v>39770</v>
      </c>
      <c r="C7574" s="120" t="s">
        <v>4439</v>
      </c>
      <c r="D7574" s="33" t="s">
        <v>39755</v>
      </c>
      <c r="E7574" s="51" t="s">
        <v>1613</v>
      </c>
      <c r="F7574" s="121" t="s">
        <v>3009</v>
      </c>
      <c r="G7574" s="98" t="str">
        <f>HYPERLINK("http://mirror.ff7data.com.ar/ff7/data/battle/battle.lgp/nabi.png","View Picture")</f>
        <v>View Picture</v>
      </c>
    </row>
    <row r="7575">
      <c r="A7575" s="55"/>
      <c r="B7575" s="119" t="s">
        <v>39771</v>
      </c>
      <c r="C7575" s="120" t="s">
        <v>3749</v>
      </c>
      <c r="D7575" s="33" t="s">
        <v>39755</v>
      </c>
      <c r="E7575" s="51" t="s">
        <v>1613</v>
      </c>
      <c r="F7575" s="121" t="s">
        <v>3009</v>
      </c>
      <c r="G7575" s="98" t="str">
        <f>HYPERLINK("http://mirror.ff7data.com.ar/ff7/data/battle/battle.lgp/nabj.png","View Picture")</f>
        <v>View Picture</v>
      </c>
    </row>
    <row r="7576">
      <c r="A7576" s="55"/>
      <c r="B7576" s="119" t="s">
        <v>39772</v>
      </c>
      <c r="C7576" s="120" t="s">
        <v>5419</v>
      </c>
      <c r="D7576" s="33" t="s">
        <v>39755</v>
      </c>
      <c r="E7576" s="51" t="s">
        <v>1613</v>
      </c>
      <c r="F7576" s="121" t="s">
        <v>3009</v>
      </c>
      <c r="G7576" s="98" t="str">
        <f>HYPERLINK("http://mirror.ff7data.com.ar/ff7/data/battle/battle.lgp/nabm.png","View Picture")</f>
        <v>View Picture</v>
      </c>
    </row>
    <row r="7577">
      <c r="A7577" s="55"/>
      <c r="B7577" s="119" t="s">
        <v>39773</v>
      </c>
      <c r="C7577" s="120" t="s">
        <v>4185</v>
      </c>
      <c r="D7577" s="33" t="s">
        <v>39755</v>
      </c>
      <c r="E7577" s="51" t="s">
        <v>1613</v>
      </c>
      <c r="F7577" s="121" t="s">
        <v>3009</v>
      </c>
      <c r="G7577" s="98" t="str">
        <f>HYPERLINK("http://mirror.ff7data.com.ar/ff7/data/battle/battle.lgp/nabn.png","View Picture")</f>
        <v>View Picture</v>
      </c>
    </row>
    <row r="7578">
      <c r="A7578" s="55"/>
      <c r="B7578" s="119" t="s">
        <v>39774</v>
      </c>
      <c r="C7578" s="120" t="s">
        <v>3749</v>
      </c>
      <c r="D7578" s="33" t="s">
        <v>39755</v>
      </c>
      <c r="E7578" s="51" t="s">
        <v>1613</v>
      </c>
      <c r="F7578" s="121" t="s">
        <v>3009</v>
      </c>
      <c r="G7578" s="98" t="str">
        <f>HYPERLINK("http://mirror.ff7data.com.ar/ff7/data/battle/battle.lgp/nabo.png","View Picture")</f>
        <v>View Picture</v>
      </c>
    </row>
    <row r="7579">
      <c r="A7579" s="55"/>
      <c r="B7579" s="119" t="s">
        <v>39775</v>
      </c>
      <c r="C7579" s="120" t="s">
        <v>26138</v>
      </c>
      <c r="D7579" s="33" t="s">
        <v>39755</v>
      </c>
      <c r="E7579" s="51" t="s">
        <v>1613</v>
      </c>
      <c r="F7579" s="121" t="s">
        <v>3025</v>
      </c>
      <c r="H7579" s="46" t="s">
        <v>3002</v>
      </c>
    </row>
    <row r="7580">
      <c r="A7580" s="55"/>
      <c r="B7580" s="119" t="s">
        <v>39776</v>
      </c>
      <c r="C7580" s="120" t="s">
        <v>2989</v>
      </c>
      <c r="D7580" s="33" t="s">
        <v>39777</v>
      </c>
      <c r="E7580" s="51" t="s">
        <v>1616</v>
      </c>
      <c r="F7580" s="121" t="s">
        <v>2971</v>
      </c>
      <c r="G7580" s="98" t="str">
        <f>HYPERLINK("http://mirror.ff7data.com.ar/ff7/data/battle/battle.lgp/nbaa.png","View Picture")</f>
        <v>View Picture</v>
      </c>
    </row>
    <row r="7581">
      <c r="A7581" s="55"/>
      <c r="B7581" s="119" t="s">
        <v>39778</v>
      </c>
      <c r="C7581" s="120" t="s">
        <v>20511</v>
      </c>
      <c r="D7581" s="33" t="s">
        <v>39779</v>
      </c>
      <c r="E7581" s="51" t="s">
        <v>1616</v>
      </c>
      <c r="F7581" s="121" t="s">
        <v>2993</v>
      </c>
      <c r="H7581" s="46" t="s">
        <v>3002</v>
      </c>
    </row>
    <row r="7582">
      <c r="A7582" s="55"/>
      <c r="B7582" s="119" t="s">
        <v>39780</v>
      </c>
      <c r="C7582" s="120" t="s">
        <v>4476</v>
      </c>
      <c r="D7582" s="33" t="s">
        <v>39779</v>
      </c>
      <c r="E7582" s="51" t="s">
        <v>1616</v>
      </c>
      <c r="F7582" s="121" t="s">
        <v>3009</v>
      </c>
      <c r="G7582" s="98" t="str">
        <f>HYPERLINK("http://mirror.ff7data.com.ar/ff7/data/battle/battle.lgp/nbam.png","View Picture")</f>
        <v>View Picture</v>
      </c>
    </row>
    <row r="7583">
      <c r="A7583" s="55"/>
      <c r="B7583" s="119" t="s">
        <v>39781</v>
      </c>
      <c r="C7583" s="120" t="s">
        <v>4719</v>
      </c>
      <c r="D7583" s="33" t="s">
        <v>39779</v>
      </c>
      <c r="E7583" s="51" t="s">
        <v>1616</v>
      </c>
      <c r="F7583" s="121" t="s">
        <v>3009</v>
      </c>
      <c r="G7583" s="98" t="str">
        <f>HYPERLINK("http://mirror.ff7data.com.ar/ff7/data/battle/battle.lgp/nban.png","View Picture")</f>
        <v>View Picture</v>
      </c>
    </row>
    <row r="7584">
      <c r="A7584" s="55"/>
      <c r="B7584" s="119" t="s">
        <v>39782</v>
      </c>
      <c r="C7584" s="120" t="s">
        <v>3445</v>
      </c>
      <c r="D7584" s="33" t="s">
        <v>39779</v>
      </c>
      <c r="E7584" s="51" t="s">
        <v>1616</v>
      </c>
      <c r="F7584" s="121" t="s">
        <v>3009</v>
      </c>
      <c r="G7584" s="98" t="str">
        <f>HYPERLINK("http://mirror.ff7data.com.ar/ff7/data/battle/battle.lgp/nbao.png","View Picture")</f>
        <v>View Picture</v>
      </c>
    </row>
    <row r="7585">
      <c r="A7585" s="55"/>
      <c r="B7585" s="119" t="s">
        <v>39783</v>
      </c>
      <c r="C7585" s="120" t="s">
        <v>4185</v>
      </c>
      <c r="D7585" s="33" t="s">
        <v>39779</v>
      </c>
      <c r="E7585" s="51" t="s">
        <v>1616</v>
      </c>
      <c r="F7585" s="121" t="s">
        <v>3009</v>
      </c>
      <c r="G7585" s="98" t="str">
        <f>HYPERLINK("http://mirror.ff7data.com.ar/ff7/data/battle/battle.lgp/nbaq.png","View Picture")</f>
        <v>View Picture</v>
      </c>
    </row>
    <row r="7586">
      <c r="A7586" s="55"/>
      <c r="B7586" s="119" t="s">
        <v>39784</v>
      </c>
      <c r="C7586" s="120" t="s">
        <v>4439</v>
      </c>
      <c r="D7586" s="33" t="s">
        <v>39779</v>
      </c>
      <c r="E7586" s="51" t="s">
        <v>1616</v>
      </c>
      <c r="F7586" s="121" t="s">
        <v>3009</v>
      </c>
      <c r="G7586" s="98" t="str">
        <f>HYPERLINK("http://mirror.ff7data.com.ar/ff7/data/battle/battle.lgp/nbar.png","View Picture")</f>
        <v>View Picture</v>
      </c>
    </row>
    <row r="7587">
      <c r="A7587" s="55"/>
      <c r="B7587" s="119" t="s">
        <v>39785</v>
      </c>
      <c r="C7587" s="120" t="s">
        <v>4841</v>
      </c>
      <c r="D7587" s="33" t="s">
        <v>39779</v>
      </c>
      <c r="E7587" s="51" t="s">
        <v>1616</v>
      </c>
      <c r="F7587" s="121" t="s">
        <v>3009</v>
      </c>
      <c r="G7587" s="98" t="str">
        <f>HYPERLINK("http://mirror.ff7data.com.ar/ff7/data/battle/battle.lgp/nbas.png","View Picture")</f>
        <v>View Picture</v>
      </c>
    </row>
    <row r="7588">
      <c r="A7588" s="55"/>
      <c r="B7588" s="119" t="s">
        <v>39786</v>
      </c>
      <c r="C7588" s="120" t="s">
        <v>4476</v>
      </c>
      <c r="D7588" s="33" t="s">
        <v>39779</v>
      </c>
      <c r="E7588" s="51" t="s">
        <v>1616</v>
      </c>
      <c r="F7588" s="121" t="s">
        <v>3009</v>
      </c>
      <c r="G7588" s="98" t="str">
        <f>HYPERLINK("http://mirror.ff7data.com.ar/ff7/data/battle/battle.lgp/nbat.png","View Picture")</f>
        <v>View Picture</v>
      </c>
    </row>
    <row r="7589">
      <c r="A7589" s="55"/>
      <c r="B7589" s="119" t="s">
        <v>39787</v>
      </c>
      <c r="C7589" s="120" t="s">
        <v>4185</v>
      </c>
      <c r="D7589" s="33" t="s">
        <v>39779</v>
      </c>
      <c r="E7589" s="51" t="s">
        <v>1616</v>
      </c>
      <c r="F7589" s="121" t="s">
        <v>3009</v>
      </c>
      <c r="G7589" s="98" t="str">
        <f>HYPERLINK("http://mirror.ff7data.com.ar/ff7/data/battle/battle.lgp/nbav.png","View Picture")</f>
        <v>View Picture</v>
      </c>
    </row>
    <row r="7590">
      <c r="A7590" s="55"/>
      <c r="B7590" s="119" t="s">
        <v>39788</v>
      </c>
      <c r="C7590" s="120" t="s">
        <v>4372</v>
      </c>
      <c r="D7590" s="33" t="s">
        <v>39779</v>
      </c>
      <c r="E7590" s="51" t="s">
        <v>1616</v>
      </c>
      <c r="F7590" s="121" t="s">
        <v>3009</v>
      </c>
      <c r="G7590" s="98" t="str">
        <f>HYPERLINK("http://mirror.ff7data.com.ar/ff7/data/battle/battle.lgp/nbax.png","View Picture")</f>
        <v>View Picture</v>
      </c>
    </row>
    <row r="7591">
      <c r="A7591" s="55"/>
      <c r="B7591" s="119" t="s">
        <v>39789</v>
      </c>
      <c r="C7591" s="120" t="s">
        <v>4288</v>
      </c>
      <c r="D7591" s="33" t="s">
        <v>39779</v>
      </c>
      <c r="E7591" s="51" t="s">
        <v>1616</v>
      </c>
      <c r="F7591" s="121" t="s">
        <v>3009</v>
      </c>
      <c r="G7591" s="98" t="str">
        <f>HYPERLINK("http://mirror.ff7data.com.ar/ff7/data/battle/battle.lgp/nbay.png","View Picture")</f>
        <v>View Picture</v>
      </c>
    </row>
    <row r="7592">
      <c r="A7592" s="55"/>
      <c r="B7592" s="119" t="s">
        <v>39790</v>
      </c>
      <c r="C7592" s="120" t="s">
        <v>4185</v>
      </c>
      <c r="D7592" s="33" t="s">
        <v>39779</v>
      </c>
      <c r="E7592" s="51" t="s">
        <v>1616</v>
      </c>
      <c r="F7592" s="121" t="s">
        <v>3009</v>
      </c>
      <c r="G7592" s="98" t="str">
        <f>HYPERLINK("http://mirror.ff7data.com.ar/ff7/data/battle/battle.lgp/nbaz.png","View Picture")</f>
        <v>View Picture</v>
      </c>
    </row>
    <row r="7593">
      <c r="A7593" s="55"/>
      <c r="B7593" s="119" t="s">
        <v>39791</v>
      </c>
      <c r="C7593" s="120" t="s">
        <v>26381</v>
      </c>
      <c r="D7593" s="33" t="s">
        <v>39779</v>
      </c>
      <c r="E7593" s="51" t="s">
        <v>1616</v>
      </c>
      <c r="F7593" s="121" t="s">
        <v>3009</v>
      </c>
      <c r="G7593" s="98" t="str">
        <f>HYPERLINK("http://mirror.ff7data.com.ar/ff7/data/battle/battle.lgp/nbbb.png","View Picture")</f>
        <v>View Picture</v>
      </c>
    </row>
    <row r="7594">
      <c r="A7594" s="55"/>
      <c r="B7594" s="119" t="s">
        <v>39792</v>
      </c>
      <c r="C7594" s="120" t="s">
        <v>26381</v>
      </c>
      <c r="D7594" s="33" t="s">
        <v>39779</v>
      </c>
      <c r="E7594" s="51" t="s">
        <v>1616</v>
      </c>
      <c r="F7594" s="121" t="s">
        <v>3009</v>
      </c>
      <c r="G7594" s="98" t="str">
        <f>HYPERLINK("http://mirror.ff7data.com.ar/ff7/data/battle/battle.lgp/nbbd.png","View Picture")</f>
        <v>View Picture</v>
      </c>
    </row>
    <row r="7595">
      <c r="A7595" s="55"/>
      <c r="B7595" s="119" t="s">
        <v>39793</v>
      </c>
      <c r="C7595" s="120" t="s">
        <v>26381</v>
      </c>
      <c r="D7595" s="33" t="s">
        <v>39779</v>
      </c>
      <c r="E7595" s="51" t="s">
        <v>1616</v>
      </c>
      <c r="F7595" s="121" t="s">
        <v>3009</v>
      </c>
      <c r="G7595" s="98" t="str">
        <f>HYPERLINK("http://mirror.ff7data.com.ar/ff7/data/battle/battle.lgp/nbbf.png","View Picture")</f>
        <v>View Picture</v>
      </c>
    </row>
    <row r="7596">
      <c r="A7596" s="55"/>
      <c r="B7596" s="119" t="s">
        <v>39794</v>
      </c>
      <c r="C7596" s="120" t="s">
        <v>4372</v>
      </c>
      <c r="D7596" s="33" t="s">
        <v>39779</v>
      </c>
      <c r="E7596" s="51" t="s">
        <v>1616</v>
      </c>
      <c r="F7596" s="121" t="s">
        <v>3009</v>
      </c>
      <c r="G7596" s="98" t="str">
        <f>HYPERLINK("http://mirror.ff7data.com.ar/ff7/data/battle/battle.lgp/nbbh.png","View Picture")</f>
        <v>View Picture</v>
      </c>
    </row>
    <row r="7597">
      <c r="A7597" s="55"/>
      <c r="B7597" s="119" t="s">
        <v>39795</v>
      </c>
      <c r="C7597" s="120" t="s">
        <v>4288</v>
      </c>
      <c r="D7597" s="33" t="s">
        <v>39779</v>
      </c>
      <c r="E7597" s="51" t="s">
        <v>1616</v>
      </c>
      <c r="F7597" s="121" t="s">
        <v>3009</v>
      </c>
      <c r="G7597" s="98" t="str">
        <f>HYPERLINK("http://mirror.ff7data.com.ar/ff7/data/battle/battle.lgp/nbbi.png","View Picture")</f>
        <v>View Picture</v>
      </c>
    </row>
    <row r="7598">
      <c r="A7598" s="55"/>
      <c r="B7598" s="119" t="s">
        <v>39796</v>
      </c>
      <c r="C7598" s="120" t="s">
        <v>4185</v>
      </c>
      <c r="D7598" s="33" t="s">
        <v>39779</v>
      </c>
      <c r="E7598" s="51" t="s">
        <v>1616</v>
      </c>
      <c r="F7598" s="121" t="s">
        <v>3009</v>
      </c>
      <c r="G7598" s="98" t="str">
        <f>HYPERLINK("http://mirror.ff7data.com.ar/ff7/data/battle/battle.lgp/nbbj.png","View Picture")</f>
        <v>View Picture</v>
      </c>
    </row>
    <row r="7599">
      <c r="A7599" s="55"/>
      <c r="B7599" s="119" t="s">
        <v>39797</v>
      </c>
      <c r="C7599" s="120" t="s">
        <v>4288</v>
      </c>
      <c r="D7599" s="33" t="s">
        <v>39779</v>
      </c>
      <c r="E7599" s="51" t="s">
        <v>1616</v>
      </c>
      <c r="F7599" s="121" t="s">
        <v>3009</v>
      </c>
      <c r="G7599" s="98" t="str">
        <f>HYPERLINK("http://mirror.ff7data.com.ar/ff7/data/battle/battle.lgp/nbbl.png","View Picture")</f>
        <v>View Picture</v>
      </c>
    </row>
    <row r="7600">
      <c r="A7600" s="55"/>
      <c r="B7600" s="119" t="s">
        <v>39798</v>
      </c>
      <c r="C7600" s="120" t="s">
        <v>26381</v>
      </c>
      <c r="D7600" s="33" t="s">
        <v>39779</v>
      </c>
      <c r="E7600" s="51" t="s">
        <v>1616</v>
      </c>
      <c r="F7600" s="121" t="s">
        <v>3009</v>
      </c>
      <c r="G7600" s="98" t="str">
        <f>HYPERLINK("http://mirror.ff7data.com.ar/ff7/data/battle/battle.lgp/nbbn.png","View Picture")</f>
        <v>View Picture</v>
      </c>
    </row>
    <row r="7601">
      <c r="A7601" s="55"/>
      <c r="B7601" s="119" t="s">
        <v>39799</v>
      </c>
      <c r="C7601" s="120" t="s">
        <v>26381</v>
      </c>
      <c r="D7601" s="33" t="s">
        <v>39779</v>
      </c>
      <c r="E7601" s="51" t="s">
        <v>1616</v>
      </c>
      <c r="F7601" s="121" t="s">
        <v>3009</v>
      </c>
      <c r="G7601" s="98" t="str">
        <f>HYPERLINK("http://mirror.ff7data.com.ar/ff7/data/battle/battle.lgp/nbbp.png","View Picture")</f>
        <v>View Picture</v>
      </c>
    </row>
    <row r="7602">
      <c r="A7602" s="55"/>
      <c r="B7602" s="119" t="s">
        <v>39800</v>
      </c>
      <c r="C7602" s="120" t="s">
        <v>6010</v>
      </c>
      <c r="D7602" s="33" t="s">
        <v>39779</v>
      </c>
      <c r="E7602" s="51" t="s">
        <v>1616</v>
      </c>
      <c r="F7602" s="121" t="s">
        <v>3025</v>
      </c>
      <c r="H7602" s="46" t="s">
        <v>3002</v>
      </c>
    </row>
    <row r="7603">
      <c r="A7603" s="55"/>
      <c r="B7603" s="119" t="s">
        <v>39801</v>
      </c>
      <c r="C7603" s="120" t="s">
        <v>2989</v>
      </c>
      <c r="D7603" s="33" t="s">
        <v>39777</v>
      </c>
      <c r="E7603" s="51" t="s">
        <v>1622</v>
      </c>
      <c r="F7603" s="121" t="s">
        <v>2971</v>
      </c>
      <c r="G7603" s="98" t="str">
        <f>HYPERLINK("http://mirror.ff7data.com.ar/ff7/data/battle/battle.lgp/ncaa.png","View Picture")</f>
        <v>View Picture</v>
      </c>
      <c r="H7603" s="46" t="s">
        <v>39802</v>
      </c>
    </row>
    <row r="7604">
      <c r="A7604" s="55"/>
      <c r="B7604" s="119" t="s">
        <v>39803</v>
      </c>
      <c r="C7604" s="120" t="s">
        <v>20511</v>
      </c>
      <c r="D7604" s="33" t="s">
        <v>39779</v>
      </c>
      <c r="E7604" s="51" t="s">
        <v>1622</v>
      </c>
      <c r="F7604" s="121" t="s">
        <v>2993</v>
      </c>
      <c r="H7604" s="46" t="s">
        <v>3002</v>
      </c>
    </row>
    <row r="7605">
      <c r="A7605" s="55"/>
      <c r="B7605" s="119" t="s">
        <v>39804</v>
      </c>
      <c r="C7605" s="120" t="s">
        <v>4476</v>
      </c>
      <c r="D7605" s="33" t="s">
        <v>39779</v>
      </c>
      <c r="E7605" s="51" t="s">
        <v>1622</v>
      </c>
      <c r="F7605" s="121" t="s">
        <v>3009</v>
      </c>
      <c r="G7605" s="98" t="str">
        <f>HYPERLINK("http://mirror.ff7data.com.ar/ff7/data/battle/battle.lgp/ncam.png","View Picture")</f>
        <v>View Picture</v>
      </c>
    </row>
    <row r="7606">
      <c r="A7606" s="55"/>
      <c r="B7606" s="119" t="s">
        <v>39805</v>
      </c>
      <c r="C7606" s="120" t="s">
        <v>4719</v>
      </c>
      <c r="D7606" s="33" t="s">
        <v>39779</v>
      </c>
      <c r="E7606" s="51" t="s">
        <v>1622</v>
      </c>
      <c r="F7606" s="121" t="s">
        <v>3009</v>
      </c>
      <c r="G7606" s="98" t="str">
        <f>HYPERLINK("http://mirror.ff7data.com.ar/ff7/data/battle/battle.lgp/ncan.png","View Picture")</f>
        <v>View Picture</v>
      </c>
    </row>
    <row r="7607">
      <c r="A7607" s="55"/>
      <c r="B7607" s="119" t="s">
        <v>39806</v>
      </c>
      <c r="C7607" s="120" t="s">
        <v>3445</v>
      </c>
      <c r="D7607" s="33" t="s">
        <v>39779</v>
      </c>
      <c r="E7607" s="51" t="s">
        <v>1622</v>
      </c>
      <c r="F7607" s="121" t="s">
        <v>3009</v>
      </c>
      <c r="G7607" s="98" t="str">
        <f>HYPERLINK("http://mirror.ff7data.com.ar/ff7/data/battle/battle.lgp/ncao.png","View Picture")</f>
        <v>View Picture</v>
      </c>
    </row>
    <row r="7608">
      <c r="A7608" s="55"/>
      <c r="B7608" s="119" t="s">
        <v>39807</v>
      </c>
      <c r="C7608" s="120" t="s">
        <v>4185</v>
      </c>
      <c r="D7608" s="33" t="s">
        <v>39779</v>
      </c>
      <c r="E7608" s="51" t="s">
        <v>1622</v>
      </c>
      <c r="F7608" s="121" t="s">
        <v>3009</v>
      </c>
      <c r="G7608" s="98" t="str">
        <f>HYPERLINK("http://mirror.ff7data.com.ar/ff7/data/battle/battle.lgp/ncaq.png","View Picture")</f>
        <v>View Picture</v>
      </c>
    </row>
    <row r="7609">
      <c r="A7609" s="55"/>
      <c r="B7609" s="119" t="s">
        <v>39808</v>
      </c>
      <c r="C7609" s="120" t="s">
        <v>4439</v>
      </c>
      <c r="D7609" s="33" t="s">
        <v>39779</v>
      </c>
      <c r="E7609" s="51" t="s">
        <v>1622</v>
      </c>
      <c r="F7609" s="121" t="s">
        <v>3009</v>
      </c>
      <c r="G7609" s="98" t="str">
        <f>HYPERLINK("http://mirror.ff7data.com.ar/ff7/data/battle/battle.lgp/ncar.png","View Picture")</f>
        <v>View Picture</v>
      </c>
    </row>
    <row r="7610">
      <c r="A7610" s="55"/>
      <c r="B7610" s="119" t="s">
        <v>39809</v>
      </c>
      <c r="C7610" s="120" t="s">
        <v>4841</v>
      </c>
      <c r="D7610" s="33" t="s">
        <v>39779</v>
      </c>
      <c r="E7610" s="51" t="s">
        <v>1622</v>
      </c>
      <c r="F7610" s="121" t="s">
        <v>3009</v>
      </c>
      <c r="G7610" s="98" t="str">
        <f>HYPERLINK("http://mirror.ff7data.com.ar/ff7/data/battle/battle.lgp/ncas.png","View Picture")</f>
        <v>View Picture</v>
      </c>
    </row>
    <row r="7611">
      <c r="A7611" s="55"/>
      <c r="B7611" s="119" t="s">
        <v>39810</v>
      </c>
      <c r="C7611" s="120" t="s">
        <v>4476</v>
      </c>
      <c r="D7611" s="33" t="s">
        <v>39779</v>
      </c>
      <c r="E7611" s="51" t="s">
        <v>1622</v>
      </c>
      <c r="F7611" s="121" t="s">
        <v>3009</v>
      </c>
      <c r="G7611" s="98" t="str">
        <f>HYPERLINK("http://mirror.ff7data.com.ar/ff7/data/battle/battle.lgp/ncat.png","View Picture")</f>
        <v>View Picture</v>
      </c>
    </row>
    <row r="7612">
      <c r="A7612" s="55"/>
      <c r="B7612" s="119" t="s">
        <v>39811</v>
      </c>
      <c r="C7612" s="120" t="s">
        <v>4185</v>
      </c>
      <c r="D7612" s="33" t="s">
        <v>39779</v>
      </c>
      <c r="E7612" s="51" t="s">
        <v>1622</v>
      </c>
      <c r="F7612" s="121" t="s">
        <v>3009</v>
      </c>
      <c r="G7612" s="98" t="str">
        <f>HYPERLINK("http://mirror.ff7data.com.ar/ff7/data/battle/battle.lgp/ncav.png","View Picture")</f>
        <v>View Picture</v>
      </c>
    </row>
    <row r="7613">
      <c r="A7613" s="55"/>
      <c r="B7613" s="119" t="s">
        <v>39812</v>
      </c>
      <c r="C7613" s="120" t="s">
        <v>4372</v>
      </c>
      <c r="D7613" s="33" t="s">
        <v>39779</v>
      </c>
      <c r="E7613" s="51" t="s">
        <v>1622</v>
      </c>
      <c r="F7613" s="121" t="s">
        <v>3009</v>
      </c>
      <c r="G7613" s="98" t="str">
        <f>HYPERLINK("http://mirror.ff7data.com.ar/ff7/data/battle/battle.lgp/ncax.png","View Picture")</f>
        <v>View Picture</v>
      </c>
    </row>
    <row r="7614">
      <c r="A7614" s="55"/>
      <c r="B7614" s="119" t="s">
        <v>39813</v>
      </c>
      <c r="C7614" s="120" t="s">
        <v>4288</v>
      </c>
      <c r="D7614" s="33" t="s">
        <v>39779</v>
      </c>
      <c r="E7614" s="51" t="s">
        <v>1622</v>
      </c>
      <c r="F7614" s="121" t="s">
        <v>3009</v>
      </c>
      <c r="G7614" s="98" t="str">
        <f>HYPERLINK("http://mirror.ff7data.com.ar/ff7/data/battle/battle.lgp/ncay.png","View Picture")</f>
        <v>View Picture</v>
      </c>
    </row>
    <row r="7615">
      <c r="A7615" s="55"/>
      <c r="B7615" s="119" t="s">
        <v>39814</v>
      </c>
      <c r="C7615" s="120" t="s">
        <v>4185</v>
      </c>
      <c r="D7615" s="33" t="s">
        <v>39779</v>
      </c>
      <c r="E7615" s="51" t="s">
        <v>1622</v>
      </c>
      <c r="F7615" s="121" t="s">
        <v>3009</v>
      </c>
      <c r="G7615" s="98" t="str">
        <f>HYPERLINK("http://mirror.ff7data.com.ar/ff7/data/battle/battle.lgp/ncaz.png","View Picture")</f>
        <v>View Picture</v>
      </c>
    </row>
    <row r="7616">
      <c r="A7616" s="55"/>
      <c r="B7616" s="119" t="s">
        <v>39815</v>
      </c>
      <c r="C7616" s="120" t="s">
        <v>26381</v>
      </c>
      <c r="D7616" s="33" t="s">
        <v>39779</v>
      </c>
      <c r="E7616" s="51" t="s">
        <v>1622</v>
      </c>
      <c r="F7616" s="121" t="s">
        <v>3009</v>
      </c>
      <c r="G7616" s="98" t="str">
        <f>HYPERLINK("http://mirror.ff7data.com.ar/ff7/data/battle/battle.lgp/ncbb.png","View Picture")</f>
        <v>View Picture</v>
      </c>
    </row>
    <row r="7617">
      <c r="A7617" s="55"/>
      <c r="B7617" s="119" t="s">
        <v>39816</v>
      </c>
      <c r="C7617" s="120" t="s">
        <v>26381</v>
      </c>
      <c r="D7617" s="33" t="s">
        <v>39779</v>
      </c>
      <c r="E7617" s="51" t="s">
        <v>1622</v>
      </c>
      <c r="F7617" s="121" t="s">
        <v>3009</v>
      </c>
      <c r="G7617" s="98" t="str">
        <f>HYPERLINK("http://mirror.ff7data.com.ar/ff7/data/battle/battle.lgp/ncbd.png","View Picture")</f>
        <v>View Picture</v>
      </c>
    </row>
    <row r="7618">
      <c r="A7618" s="55"/>
      <c r="B7618" s="119" t="s">
        <v>39817</v>
      </c>
      <c r="C7618" s="120" t="s">
        <v>26381</v>
      </c>
      <c r="D7618" s="33" t="s">
        <v>39779</v>
      </c>
      <c r="E7618" s="51" t="s">
        <v>1622</v>
      </c>
      <c r="F7618" s="121" t="s">
        <v>3009</v>
      </c>
      <c r="G7618" s="98" t="str">
        <f>HYPERLINK("http://mirror.ff7data.com.ar/ff7/data/battle/battle.lgp/ncbf.png","View Picture")</f>
        <v>View Picture</v>
      </c>
    </row>
    <row r="7619">
      <c r="A7619" s="55"/>
      <c r="B7619" s="119" t="s">
        <v>39818</v>
      </c>
      <c r="C7619" s="120" t="s">
        <v>4372</v>
      </c>
      <c r="D7619" s="33" t="s">
        <v>39779</v>
      </c>
      <c r="E7619" s="51" t="s">
        <v>1622</v>
      </c>
      <c r="F7619" s="121" t="s">
        <v>3009</v>
      </c>
      <c r="G7619" s="98" t="str">
        <f>HYPERLINK("http://mirror.ff7data.com.ar/ff7/data/battle/battle.lgp/ncbh.png","View Picture")</f>
        <v>View Picture</v>
      </c>
    </row>
    <row r="7620">
      <c r="A7620" s="55"/>
      <c r="B7620" s="119" t="s">
        <v>39819</v>
      </c>
      <c r="C7620" s="120" t="s">
        <v>4288</v>
      </c>
      <c r="D7620" s="33" t="s">
        <v>39779</v>
      </c>
      <c r="E7620" s="51" t="s">
        <v>1622</v>
      </c>
      <c r="F7620" s="121" t="s">
        <v>3009</v>
      </c>
      <c r="G7620" s="98" t="str">
        <f>HYPERLINK("http://mirror.ff7data.com.ar/ff7/data/battle/battle.lgp/ncbi.png","View Picture")</f>
        <v>View Picture</v>
      </c>
    </row>
    <row r="7621">
      <c r="A7621" s="55"/>
      <c r="B7621" s="119" t="s">
        <v>39820</v>
      </c>
      <c r="C7621" s="120" t="s">
        <v>4185</v>
      </c>
      <c r="D7621" s="33" t="s">
        <v>39779</v>
      </c>
      <c r="E7621" s="51" t="s">
        <v>1622</v>
      </c>
      <c r="F7621" s="121" t="s">
        <v>3009</v>
      </c>
      <c r="G7621" s="98" t="str">
        <f>HYPERLINK("http://mirror.ff7data.com.ar/ff7/data/battle/battle.lgp/ncbj.png","View Picture")</f>
        <v>View Picture</v>
      </c>
    </row>
    <row r="7622">
      <c r="A7622" s="55"/>
      <c r="B7622" s="119" t="s">
        <v>39821</v>
      </c>
      <c r="C7622" s="120" t="s">
        <v>4288</v>
      </c>
      <c r="D7622" s="33" t="s">
        <v>39779</v>
      </c>
      <c r="E7622" s="51" t="s">
        <v>1622</v>
      </c>
      <c r="F7622" s="121" t="s">
        <v>3009</v>
      </c>
      <c r="G7622" s="98" t="str">
        <f>HYPERLINK("http://mirror.ff7data.com.ar/ff7/data/battle/battle.lgp/ncbl.png","View Picture")</f>
        <v>View Picture</v>
      </c>
    </row>
    <row r="7623">
      <c r="A7623" s="55"/>
      <c r="B7623" s="119" t="s">
        <v>39822</v>
      </c>
      <c r="C7623" s="120" t="s">
        <v>26381</v>
      </c>
      <c r="D7623" s="33" t="s">
        <v>39779</v>
      </c>
      <c r="E7623" s="51" t="s">
        <v>1622</v>
      </c>
      <c r="F7623" s="121" t="s">
        <v>3009</v>
      </c>
      <c r="G7623" s="98" t="str">
        <f>HYPERLINK("http://mirror.ff7data.com.ar/ff7/data/battle/battle.lgp/ncbn.png","View Picture")</f>
        <v>View Picture</v>
      </c>
    </row>
    <row r="7624">
      <c r="A7624" s="55"/>
      <c r="B7624" s="119" t="s">
        <v>39823</v>
      </c>
      <c r="C7624" s="120" t="s">
        <v>26381</v>
      </c>
      <c r="D7624" s="33" t="s">
        <v>39779</v>
      </c>
      <c r="E7624" s="51" t="s">
        <v>1622</v>
      </c>
      <c r="F7624" s="121" t="s">
        <v>3009</v>
      </c>
      <c r="G7624" s="98" t="str">
        <f>HYPERLINK("http://mirror.ff7data.com.ar/ff7/data/battle/battle.lgp/ncbp.png","View Picture")</f>
        <v>View Picture</v>
      </c>
    </row>
    <row r="7625">
      <c r="A7625" s="55"/>
      <c r="B7625" s="119" t="s">
        <v>39824</v>
      </c>
      <c r="C7625" s="120" t="s">
        <v>6010</v>
      </c>
      <c r="D7625" s="33" t="s">
        <v>39779</v>
      </c>
      <c r="E7625" s="51" t="s">
        <v>1622</v>
      </c>
      <c r="F7625" s="121" t="s">
        <v>3025</v>
      </c>
      <c r="H7625" s="46" t="s">
        <v>3002</v>
      </c>
    </row>
    <row r="7626">
      <c r="A7626" s="55"/>
      <c r="B7626" s="119" t="s">
        <v>39825</v>
      </c>
      <c r="C7626" s="120" t="s">
        <v>2989</v>
      </c>
      <c r="D7626" s="33" t="s">
        <v>39777</v>
      </c>
      <c r="E7626" s="51" t="s">
        <v>1625</v>
      </c>
      <c r="F7626" s="121" t="s">
        <v>2971</v>
      </c>
      <c r="G7626" s="98" t="str">
        <f>HYPERLINK("http://mirror.ff7data.com.ar/ff7/data/battle/battle.lgp/ndaa.png","View Picture")</f>
        <v>View Picture</v>
      </c>
      <c r="H7626" s="46" t="s">
        <v>39826</v>
      </c>
    </row>
    <row r="7627">
      <c r="A7627" s="55"/>
      <c r="B7627" s="119" t="s">
        <v>39827</v>
      </c>
      <c r="C7627" s="120" t="s">
        <v>20511</v>
      </c>
      <c r="D7627" s="33" t="s">
        <v>39779</v>
      </c>
      <c r="E7627" s="51" t="s">
        <v>1625</v>
      </c>
      <c r="F7627" s="121" t="s">
        <v>2993</v>
      </c>
      <c r="H7627" s="46" t="s">
        <v>3002</v>
      </c>
    </row>
    <row r="7628">
      <c r="A7628" s="55"/>
      <c r="B7628" s="119" t="s">
        <v>39828</v>
      </c>
      <c r="C7628" s="120" t="s">
        <v>4476</v>
      </c>
      <c r="D7628" s="33" t="s">
        <v>39779</v>
      </c>
      <c r="E7628" s="51" t="s">
        <v>1625</v>
      </c>
      <c r="F7628" s="121" t="s">
        <v>3009</v>
      </c>
      <c r="G7628" s="98" t="str">
        <f>HYPERLINK("http://mirror.ff7data.com.ar/ff7/data/battle/battle.lgp/ndam.png","View Picture")</f>
        <v>View Picture</v>
      </c>
    </row>
    <row r="7629">
      <c r="A7629" s="55"/>
      <c r="B7629" s="119" t="s">
        <v>39829</v>
      </c>
      <c r="C7629" s="120" t="s">
        <v>4719</v>
      </c>
      <c r="D7629" s="33" t="s">
        <v>39779</v>
      </c>
      <c r="E7629" s="51" t="s">
        <v>1625</v>
      </c>
      <c r="F7629" s="121" t="s">
        <v>3009</v>
      </c>
      <c r="G7629" s="98" t="str">
        <f>HYPERLINK("http://mirror.ff7data.com.ar/ff7/data/battle/battle.lgp/ndan.png","View Picture")</f>
        <v>View Picture</v>
      </c>
    </row>
    <row r="7630">
      <c r="A7630" s="55"/>
      <c r="B7630" s="119" t="s">
        <v>39830</v>
      </c>
      <c r="C7630" s="120" t="s">
        <v>3445</v>
      </c>
      <c r="D7630" s="33" t="s">
        <v>39779</v>
      </c>
      <c r="E7630" s="51" t="s">
        <v>1625</v>
      </c>
      <c r="F7630" s="121" t="s">
        <v>3009</v>
      </c>
      <c r="G7630" s="98" t="str">
        <f>HYPERLINK("http://mirror.ff7data.com.ar/ff7/data/battle/battle.lgp/ndao.png","View Picture")</f>
        <v>View Picture</v>
      </c>
    </row>
    <row r="7631">
      <c r="A7631" s="55"/>
      <c r="B7631" s="119" t="s">
        <v>39831</v>
      </c>
      <c r="C7631" s="120" t="s">
        <v>4185</v>
      </c>
      <c r="D7631" s="33" t="s">
        <v>39779</v>
      </c>
      <c r="E7631" s="51" t="s">
        <v>1625</v>
      </c>
      <c r="F7631" s="121" t="s">
        <v>3009</v>
      </c>
      <c r="G7631" s="98" t="str">
        <f>HYPERLINK("http://mirror.ff7data.com.ar/ff7/data/battle/battle.lgp/ndaq.png","View Picture")</f>
        <v>View Picture</v>
      </c>
    </row>
    <row r="7632">
      <c r="A7632" s="55"/>
      <c r="B7632" s="119" t="s">
        <v>39832</v>
      </c>
      <c r="C7632" s="120" t="s">
        <v>4439</v>
      </c>
      <c r="D7632" s="33" t="s">
        <v>39779</v>
      </c>
      <c r="E7632" s="51" t="s">
        <v>1625</v>
      </c>
      <c r="F7632" s="121" t="s">
        <v>3009</v>
      </c>
      <c r="G7632" s="98" t="str">
        <f>HYPERLINK("http://mirror.ff7data.com.ar/ff7/data/battle/battle.lgp/ndar.png","View Picture")</f>
        <v>View Picture</v>
      </c>
    </row>
    <row r="7633">
      <c r="A7633" s="55"/>
      <c r="B7633" s="119" t="s">
        <v>39833</v>
      </c>
      <c r="C7633" s="120" t="s">
        <v>4841</v>
      </c>
      <c r="D7633" s="33" t="s">
        <v>39779</v>
      </c>
      <c r="E7633" s="51" t="s">
        <v>1625</v>
      </c>
      <c r="F7633" s="121" t="s">
        <v>3009</v>
      </c>
      <c r="G7633" s="98" t="str">
        <f>HYPERLINK("http://mirror.ff7data.com.ar/ff7/data/battle/battle.lgp/ndas.png","View Picture")</f>
        <v>View Picture</v>
      </c>
    </row>
    <row r="7634">
      <c r="A7634" s="55"/>
      <c r="B7634" s="119" t="s">
        <v>39834</v>
      </c>
      <c r="C7634" s="120" t="s">
        <v>4476</v>
      </c>
      <c r="D7634" s="33" t="s">
        <v>39779</v>
      </c>
      <c r="E7634" s="51" t="s">
        <v>1625</v>
      </c>
      <c r="F7634" s="121" t="s">
        <v>3009</v>
      </c>
      <c r="G7634" s="98" t="str">
        <f>HYPERLINK("http://mirror.ff7data.com.ar/ff7/data/battle/battle.lgp/ndat.png","View Picture")</f>
        <v>View Picture</v>
      </c>
    </row>
    <row r="7635">
      <c r="A7635" s="55"/>
      <c r="B7635" s="119" t="s">
        <v>39835</v>
      </c>
      <c r="C7635" s="120" t="s">
        <v>4185</v>
      </c>
      <c r="D7635" s="33" t="s">
        <v>39779</v>
      </c>
      <c r="E7635" s="51" t="s">
        <v>1625</v>
      </c>
      <c r="F7635" s="121" t="s">
        <v>3009</v>
      </c>
      <c r="G7635" s="98" t="str">
        <f>HYPERLINK("http://mirror.ff7data.com.ar/ff7/data/battle/battle.lgp/ndav.png","View Picture")</f>
        <v>View Picture</v>
      </c>
    </row>
    <row r="7636">
      <c r="A7636" s="55"/>
      <c r="B7636" s="119" t="s">
        <v>39836</v>
      </c>
      <c r="C7636" s="120" t="s">
        <v>4372</v>
      </c>
      <c r="D7636" s="33" t="s">
        <v>39779</v>
      </c>
      <c r="E7636" s="51" t="s">
        <v>1625</v>
      </c>
      <c r="F7636" s="121" t="s">
        <v>3009</v>
      </c>
      <c r="G7636" s="98" t="str">
        <f>HYPERLINK("http://mirror.ff7data.com.ar/ff7/data/battle/battle.lgp/ndax.png","View Picture")</f>
        <v>View Picture</v>
      </c>
    </row>
    <row r="7637">
      <c r="A7637" s="55"/>
      <c r="B7637" s="119" t="s">
        <v>39837</v>
      </c>
      <c r="C7637" s="120" t="s">
        <v>4288</v>
      </c>
      <c r="D7637" s="33" t="s">
        <v>39779</v>
      </c>
      <c r="E7637" s="51" t="s">
        <v>1625</v>
      </c>
      <c r="F7637" s="121" t="s">
        <v>3009</v>
      </c>
      <c r="G7637" s="98" t="str">
        <f>HYPERLINK("http://mirror.ff7data.com.ar/ff7/data/battle/battle.lgp/nday.png","View Picture")</f>
        <v>View Picture</v>
      </c>
    </row>
    <row r="7638">
      <c r="A7638" s="55"/>
      <c r="B7638" s="119" t="s">
        <v>39838</v>
      </c>
      <c r="C7638" s="120" t="s">
        <v>4185</v>
      </c>
      <c r="D7638" s="33" t="s">
        <v>39779</v>
      </c>
      <c r="E7638" s="51" t="s">
        <v>1625</v>
      </c>
      <c r="F7638" s="121" t="s">
        <v>3009</v>
      </c>
      <c r="G7638" s="98" t="str">
        <f>HYPERLINK("http://mirror.ff7data.com.ar/ff7/data/battle/battle.lgp/ndaz.png","View Picture")</f>
        <v>View Picture</v>
      </c>
    </row>
    <row r="7639">
      <c r="A7639" s="55"/>
      <c r="B7639" s="119" t="s">
        <v>39839</v>
      </c>
      <c r="C7639" s="120" t="s">
        <v>26381</v>
      </c>
      <c r="D7639" s="33" t="s">
        <v>39779</v>
      </c>
      <c r="E7639" s="51" t="s">
        <v>1625</v>
      </c>
      <c r="F7639" s="121" t="s">
        <v>3009</v>
      </c>
      <c r="G7639" s="98" t="str">
        <f>HYPERLINK("http://mirror.ff7data.com.ar/ff7/data/battle/battle.lgp/ndbb.png","View Picture")</f>
        <v>View Picture</v>
      </c>
    </row>
    <row r="7640">
      <c r="A7640" s="55"/>
      <c r="B7640" s="119" t="s">
        <v>39840</v>
      </c>
      <c r="C7640" s="120" t="s">
        <v>26381</v>
      </c>
      <c r="D7640" s="33" t="s">
        <v>39779</v>
      </c>
      <c r="E7640" s="51" t="s">
        <v>1625</v>
      </c>
      <c r="F7640" s="121" t="s">
        <v>3009</v>
      </c>
      <c r="G7640" s="98" t="str">
        <f>HYPERLINK("http://mirror.ff7data.com.ar/ff7/data/battle/battle.lgp/ndbd.png","View Picture")</f>
        <v>View Picture</v>
      </c>
    </row>
    <row r="7641">
      <c r="A7641" s="55"/>
      <c r="B7641" s="119" t="s">
        <v>39841</v>
      </c>
      <c r="C7641" s="120" t="s">
        <v>26381</v>
      </c>
      <c r="D7641" s="33" t="s">
        <v>39779</v>
      </c>
      <c r="E7641" s="51" t="s">
        <v>1625</v>
      </c>
      <c r="F7641" s="121" t="s">
        <v>3009</v>
      </c>
      <c r="G7641" s="98" t="str">
        <f>HYPERLINK("http://mirror.ff7data.com.ar/ff7/data/battle/battle.lgp/ndbf.png","View Picture")</f>
        <v>View Picture</v>
      </c>
    </row>
    <row r="7642">
      <c r="A7642" s="55"/>
      <c r="B7642" s="119" t="s">
        <v>39842</v>
      </c>
      <c r="C7642" s="120" t="s">
        <v>4372</v>
      </c>
      <c r="D7642" s="33" t="s">
        <v>39779</v>
      </c>
      <c r="E7642" s="51" t="s">
        <v>1625</v>
      </c>
      <c r="F7642" s="121" t="s">
        <v>3009</v>
      </c>
      <c r="G7642" s="98" t="str">
        <f>HYPERLINK("http://mirror.ff7data.com.ar/ff7/data/battle/battle.lgp/ndbh.png","View Picture")</f>
        <v>View Picture</v>
      </c>
    </row>
    <row r="7643">
      <c r="A7643" s="55"/>
      <c r="B7643" s="119" t="s">
        <v>39843</v>
      </c>
      <c r="C7643" s="120" t="s">
        <v>4288</v>
      </c>
      <c r="D7643" s="33" t="s">
        <v>39779</v>
      </c>
      <c r="E7643" s="51" t="s">
        <v>1625</v>
      </c>
      <c r="F7643" s="121" t="s">
        <v>3009</v>
      </c>
      <c r="G7643" s="98" t="str">
        <f>HYPERLINK("http://mirror.ff7data.com.ar/ff7/data/battle/battle.lgp/ndbi.png","View Picture")</f>
        <v>View Picture</v>
      </c>
    </row>
    <row r="7644">
      <c r="A7644" s="55"/>
      <c r="B7644" s="119" t="s">
        <v>39844</v>
      </c>
      <c r="C7644" s="120" t="s">
        <v>4185</v>
      </c>
      <c r="D7644" s="33" t="s">
        <v>39779</v>
      </c>
      <c r="E7644" s="51" t="s">
        <v>1625</v>
      </c>
      <c r="F7644" s="121" t="s">
        <v>3009</v>
      </c>
      <c r="G7644" s="98" t="str">
        <f>HYPERLINK("http://mirror.ff7data.com.ar/ff7/data/battle/battle.lgp/ndbj.png","View Picture")</f>
        <v>View Picture</v>
      </c>
    </row>
    <row r="7645">
      <c r="A7645" s="55"/>
      <c r="B7645" s="119" t="s">
        <v>39845</v>
      </c>
      <c r="C7645" s="120" t="s">
        <v>4288</v>
      </c>
      <c r="D7645" s="33" t="s">
        <v>39779</v>
      </c>
      <c r="E7645" s="51" t="s">
        <v>1625</v>
      </c>
      <c r="F7645" s="121" t="s">
        <v>3009</v>
      </c>
      <c r="G7645" s="98" t="str">
        <f>HYPERLINK("http://mirror.ff7data.com.ar/ff7/data/battle/battle.lgp/ndbl.png","View Picture")</f>
        <v>View Picture</v>
      </c>
    </row>
    <row r="7646">
      <c r="A7646" s="55"/>
      <c r="B7646" s="119" t="s">
        <v>39846</v>
      </c>
      <c r="C7646" s="120" t="s">
        <v>26381</v>
      </c>
      <c r="D7646" s="33" t="s">
        <v>39779</v>
      </c>
      <c r="E7646" s="51" t="s">
        <v>1625</v>
      </c>
      <c r="F7646" s="121" t="s">
        <v>3009</v>
      </c>
      <c r="G7646" s="98" t="str">
        <f>HYPERLINK("http://mirror.ff7data.com.ar/ff7/data/battle/battle.lgp/ndbn.png","View Picture")</f>
        <v>View Picture</v>
      </c>
    </row>
    <row r="7647">
      <c r="A7647" s="55"/>
      <c r="B7647" s="119" t="s">
        <v>39847</v>
      </c>
      <c r="C7647" s="120" t="s">
        <v>26381</v>
      </c>
      <c r="D7647" s="33" t="s">
        <v>39779</v>
      </c>
      <c r="E7647" s="51" t="s">
        <v>1625</v>
      </c>
      <c r="F7647" s="121" t="s">
        <v>3009</v>
      </c>
      <c r="G7647" s="98" t="str">
        <f>HYPERLINK("http://mirror.ff7data.com.ar/ff7/data/battle/battle.lgp/ndbp.png","View Picture")</f>
        <v>View Picture</v>
      </c>
    </row>
    <row r="7648">
      <c r="A7648" s="55"/>
      <c r="B7648" s="119" t="s">
        <v>39848</v>
      </c>
      <c r="C7648" s="120" t="s">
        <v>6010</v>
      </c>
      <c r="D7648" s="33" t="s">
        <v>39779</v>
      </c>
      <c r="E7648" s="51" t="s">
        <v>1625</v>
      </c>
      <c r="F7648" s="121" t="s">
        <v>3025</v>
      </c>
      <c r="H7648" s="46" t="s">
        <v>3002</v>
      </c>
    </row>
    <row r="7649">
      <c r="A7649" s="55"/>
      <c r="B7649" s="119" t="s">
        <v>39849</v>
      </c>
      <c r="C7649" s="120" t="s">
        <v>2989</v>
      </c>
      <c r="D7649" s="33" t="s">
        <v>39777</v>
      </c>
      <c r="E7649" s="51" t="s">
        <v>1628</v>
      </c>
      <c r="F7649" s="121" t="s">
        <v>2971</v>
      </c>
      <c r="G7649" s="98" t="str">
        <f>HYPERLINK("http://mirror.ff7data.com.ar/ff7/data/battle/battle.lgp/neaa.png","View Picture")</f>
        <v>View Picture</v>
      </c>
      <c r="H7649" s="46" t="s">
        <v>39850</v>
      </c>
    </row>
    <row r="7650">
      <c r="A7650" s="55"/>
      <c r="B7650" s="119" t="s">
        <v>39851</v>
      </c>
      <c r="C7650" s="120" t="s">
        <v>20511</v>
      </c>
      <c r="D7650" s="33" t="s">
        <v>39779</v>
      </c>
      <c r="E7650" s="51" t="s">
        <v>1628</v>
      </c>
      <c r="F7650" s="121" t="s">
        <v>2993</v>
      </c>
      <c r="H7650" s="46" t="s">
        <v>3002</v>
      </c>
    </row>
    <row r="7651">
      <c r="A7651" s="55"/>
      <c r="B7651" s="119" t="s">
        <v>39852</v>
      </c>
      <c r="C7651" s="120" t="s">
        <v>4476</v>
      </c>
      <c r="D7651" s="33" t="s">
        <v>39779</v>
      </c>
      <c r="E7651" s="51" t="s">
        <v>1628</v>
      </c>
      <c r="F7651" s="121" t="s">
        <v>3009</v>
      </c>
      <c r="G7651" s="98" t="str">
        <f>HYPERLINK("http://mirror.ff7data.com.ar/ff7/data/battle/battle.lgp/neam.png","View Picture")</f>
        <v>View Picture</v>
      </c>
    </row>
    <row r="7652">
      <c r="A7652" s="55"/>
      <c r="B7652" s="119" t="s">
        <v>39853</v>
      </c>
      <c r="C7652" s="120" t="s">
        <v>4719</v>
      </c>
      <c r="D7652" s="33" t="s">
        <v>39779</v>
      </c>
      <c r="E7652" s="51" t="s">
        <v>1628</v>
      </c>
      <c r="F7652" s="121" t="s">
        <v>3009</v>
      </c>
      <c r="G7652" s="98" t="str">
        <f>HYPERLINK("http://mirror.ff7data.com.ar/ff7/data/battle/battle.lgp/nean.png","View Picture")</f>
        <v>View Picture</v>
      </c>
    </row>
    <row r="7653">
      <c r="A7653" s="55"/>
      <c r="B7653" s="119" t="s">
        <v>39854</v>
      </c>
      <c r="C7653" s="120" t="s">
        <v>3445</v>
      </c>
      <c r="D7653" s="33" t="s">
        <v>39779</v>
      </c>
      <c r="E7653" s="51" t="s">
        <v>1628</v>
      </c>
      <c r="F7653" s="121" t="s">
        <v>3009</v>
      </c>
      <c r="G7653" s="98" t="str">
        <f>HYPERLINK("http://mirror.ff7data.com.ar/ff7/data/battle/battle.lgp/neao.png","View Picture")</f>
        <v>View Picture</v>
      </c>
    </row>
    <row r="7654">
      <c r="A7654" s="55"/>
      <c r="B7654" s="119" t="s">
        <v>39855</v>
      </c>
      <c r="C7654" s="120" t="s">
        <v>4185</v>
      </c>
      <c r="D7654" s="33" t="s">
        <v>39779</v>
      </c>
      <c r="E7654" s="51" t="s">
        <v>1628</v>
      </c>
      <c r="F7654" s="121" t="s">
        <v>3009</v>
      </c>
      <c r="G7654" s="98" t="str">
        <f>HYPERLINK("http://mirror.ff7data.com.ar/ff7/data/battle/battle.lgp/neaq.png","View Picture")</f>
        <v>View Picture</v>
      </c>
    </row>
    <row r="7655">
      <c r="A7655" s="55"/>
      <c r="B7655" s="119" t="s">
        <v>39856</v>
      </c>
      <c r="C7655" s="120" t="s">
        <v>4439</v>
      </c>
      <c r="D7655" s="33" t="s">
        <v>39779</v>
      </c>
      <c r="E7655" s="51" t="s">
        <v>1628</v>
      </c>
      <c r="F7655" s="121" t="s">
        <v>3009</v>
      </c>
      <c r="G7655" s="98" t="str">
        <f>HYPERLINK("http://mirror.ff7data.com.ar/ff7/data/battle/battle.lgp/near.png","View Picture")</f>
        <v>View Picture</v>
      </c>
    </row>
    <row r="7656">
      <c r="A7656" s="55"/>
      <c r="B7656" s="119" t="s">
        <v>39857</v>
      </c>
      <c r="C7656" s="120" t="s">
        <v>4841</v>
      </c>
      <c r="D7656" s="33" t="s">
        <v>39779</v>
      </c>
      <c r="E7656" s="51" t="s">
        <v>1628</v>
      </c>
      <c r="F7656" s="121" t="s">
        <v>3009</v>
      </c>
      <c r="G7656" s="98" t="str">
        <f>HYPERLINK("http://mirror.ff7data.com.ar/ff7/data/battle/battle.lgp/neas.png","View Picture")</f>
        <v>View Picture</v>
      </c>
    </row>
    <row r="7657">
      <c r="A7657" s="55"/>
      <c r="B7657" s="119" t="s">
        <v>39858</v>
      </c>
      <c r="C7657" s="120" t="s">
        <v>4476</v>
      </c>
      <c r="D7657" s="33" t="s">
        <v>39779</v>
      </c>
      <c r="E7657" s="51" t="s">
        <v>1628</v>
      </c>
      <c r="F7657" s="121" t="s">
        <v>3009</v>
      </c>
      <c r="G7657" s="98" t="str">
        <f>HYPERLINK("http://mirror.ff7data.com.ar/ff7/data/battle/battle.lgp/neat.png","View Picture")</f>
        <v>View Picture</v>
      </c>
    </row>
    <row r="7658">
      <c r="A7658" s="55"/>
      <c r="B7658" s="119" t="s">
        <v>39859</v>
      </c>
      <c r="C7658" s="120" t="s">
        <v>4185</v>
      </c>
      <c r="D7658" s="33" t="s">
        <v>39779</v>
      </c>
      <c r="E7658" s="51" t="s">
        <v>1628</v>
      </c>
      <c r="F7658" s="121" t="s">
        <v>3009</v>
      </c>
      <c r="G7658" s="98" t="str">
        <f>HYPERLINK("http://mirror.ff7data.com.ar/ff7/data/battle/battle.lgp/neav.png","View Picture")</f>
        <v>View Picture</v>
      </c>
    </row>
    <row r="7659">
      <c r="A7659" s="55"/>
      <c r="B7659" s="119" t="s">
        <v>39860</v>
      </c>
      <c r="C7659" s="120" t="s">
        <v>4372</v>
      </c>
      <c r="D7659" s="33" t="s">
        <v>39779</v>
      </c>
      <c r="E7659" s="51" t="s">
        <v>1628</v>
      </c>
      <c r="F7659" s="121" t="s">
        <v>3009</v>
      </c>
      <c r="G7659" s="98" t="str">
        <f>HYPERLINK("http://mirror.ff7data.com.ar/ff7/data/battle/battle.lgp/neax.png","View Picture")</f>
        <v>View Picture</v>
      </c>
    </row>
    <row r="7660">
      <c r="A7660" s="55"/>
      <c r="B7660" s="119" t="s">
        <v>39861</v>
      </c>
      <c r="C7660" s="120" t="s">
        <v>4288</v>
      </c>
      <c r="D7660" s="33" t="s">
        <v>39779</v>
      </c>
      <c r="E7660" s="51" t="s">
        <v>1628</v>
      </c>
      <c r="F7660" s="121" t="s">
        <v>3009</v>
      </c>
      <c r="G7660" s="98" t="str">
        <f>HYPERLINK("http://mirror.ff7data.com.ar/ff7/data/battle/battle.lgp/neay.png","View Picture")</f>
        <v>View Picture</v>
      </c>
    </row>
    <row r="7661">
      <c r="A7661" s="55"/>
      <c r="B7661" s="119" t="s">
        <v>39862</v>
      </c>
      <c r="C7661" s="120" t="s">
        <v>4185</v>
      </c>
      <c r="D7661" s="33" t="s">
        <v>39779</v>
      </c>
      <c r="E7661" s="51" t="s">
        <v>1628</v>
      </c>
      <c r="F7661" s="121" t="s">
        <v>3009</v>
      </c>
      <c r="G7661" s="98" t="str">
        <f>HYPERLINK("http://mirror.ff7data.com.ar/ff7/data/battle/battle.lgp/neaz.png","View Picture")</f>
        <v>View Picture</v>
      </c>
    </row>
    <row r="7662">
      <c r="A7662" s="55"/>
      <c r="B7662" s="119" t="s">
        <v>39863</v>
      </c>
      <c r="C7662" s="120" t="s">
        <v>26381</v>
      </c>
      <c r="D7662" s="33" t="s">
        <v>39779</v>
      </c>
      <c r="E7662" s="51" t="s">
        <v>1628</v>
      </c>
      <c r="F7662" s="121" t="s">
        <v>3009</v>
      </c>
      <c r="G7662" s="98" t="str">
        <f>HYPERLINK("http://mirror.ff7data.com.ar/ff7/data/battle/battle.lgp/nebb.png","View Picture")</f>
        <v>View Picture</v>
      </c>
    </row>
    <row r="7663">
      <c r="A7663" s="55"/>
      <c r="B7663" s="119" t="s">
        <v>39864</v>
      </c>
      <c r="C7663" s="120" t="s">
        <v>26381</v>
      </c>
      <c r="D7663" s="33" t="s">
        <v>39779</v>
      </c>
      <c r="E7663" s="51" t="s">
        <v>1628</v>
      </c>
      <c r="F7663" s="121" t="s">
        <v>3009</v>
      </c>
      <c r="G7663" s="98" t="str">
        <f>HYPERLINK("http://mirror.ff7data.com.ar/ff7/data/battle/battle.lgp/nebd.png","View Picture")</f>
        <v>View Picture</v>
      </c>
    </row>
    <row r="7664">
      <c r="A7664" s="55"/>
      <c r="B7664" s="119" t="s">
        <v>39865</v>
      </c>
      <c r="C7664" s="120" t="s">
        <v>26381</v>
      </c>
      <c r="D7664" s="33" t="s">
        <v>39779</v>
      </c>
      <c r="E7664" s="51" t="s">
        <v>1628</v>
      </c>
      <c r="F7664" s="121" t="s">
        <v>3009</v>
      </c>
      <c r="G7664" s="98" t="str">
        <f>HYPERLINK("http://mirror.ff7data.com.ar/ff7/data/battle/battle.lgp/nebf.png","View Picture")</f>
        <v>View Picture</v>
      </c>
    </row>
    <row r="7665">
      <c r="A7665" s="55"/>
      <c r="B7665" s="119" t="s">
        <v>39866</v>
      </c>
      <c r="C7665" s="120" t="s">
        <v>4372</v>
      </c>
      <c r="D7665" s="33" t="s">
        <v>39779</v>
      </c>
      <c r="E7665" s="51" t="s">
        <v>1628</v>
      </c>
      <c r="F7665" s="121" t="s">
        <v>3009</v>
      </c>
      <c r="G7665" s="98" t="str">
        <f>HYPERLINK("http://mirror.ff7data.com.ar/ff7/data/battle/battle.lgp/nebh.png","View Picture")</f>
        <v>View Picture</v>
      </c>
    </row>
    <row r="7666">
      <c r="A7666" s="55"/>
      <c r="B7666" s="119" t="s">
        <v>39867</v>
      </c>
      <c r="C7666" s="120" t="s">
        <v>4288</v>
      </c>
      <c r="D7666" s="33" t="s">
        <v>39779</v>
      </c>
      <c r="E7666" s="51" t="s">
        <v>1628</v>
      </c>
      <c r="F7666" s="121" t="s">
        <v>3009</v>
      </c>
      <c r="G7666" s="98" t="str">
        <f>HYPERLINK("http://mirror.ff7data.com.ar/ff7/data/battle/battle.lgp/nebi.png","View Picture")</f>
        <v>View Picture</v>
      </c>
    </row>
    <row r="7667">
      <c r="A7667" s="55"/>
      <c r="B7667" s="119" t="s">
        <v>39868</v>
      </c>
      <c r="C7667" s="120" t="s">
        <v>4185</v>
      </c>
      <c r="D7667" s="33" t="s">
        <v>39779</v>
      </c>
      <c r="E7667" s="51" t="s">
        <v>1628</v>
      </c>
      <c r="F7667" s="121" t="s">
        <v>3009</v>
      </c>
      <c r="G7667" s="98" t="str">
        <f>HYPERLINK("http://mirror.ff7data.com.ar/ff7/data/battle/battle.lgp/nebj.png","View Picture")</f>
        <v>View Picture</v>
      </c>
    </row>
    <row r="7668">
      <c r="A7668" s="55"/>
      <c r="B7668" s="119" t="s">
        <v>39869</v>
      </c>
      <c r="C7668" s="120" t="s">
        <v>4288</v>
      </c>
      <c r="D7668" s="33" t="s">
        <v>39779</v>
      </c>
      <c r="E7668" s="51" t="s">
        <v>1628</v>
      </c>
      <c r="F7668" s="121" t="s">
        <v>3009</v>
      </c>
      <c r="G7668" s="98" t="str">
        <f>HYPERLINK("http://mirror.ff7data.com.ar/ff7/data/battle/battle.lgp/nebl.png","View Picture")</f>
        <v>View Picture</v>
      </c>
    </row>
    <row r="7669">
      <c r="A7669" s="55"/>
      <c r="B7669" s="119" t="s">
        <v>39870</v>
      </c>
      <c r="C7669" s="120" t="s">
        <v>26381</v>
      </c>
      <c r="D7669" s="33" t="s">
        <v>39779</v>
      </c>
      <c r="E7669" s="51" t="s">
        <v>1628</v>
      </c>
      <c r="F7669" s="121" t="s">
        <v>3009</v>
      </c>
      <c r="G7669" s="98" t="str">
        <f>HYPERLINK("http://mirror.ff7data.com.ar/ff7/data/battle/battle.lgp/nebn.png","View Picture")</f>
        <v>View Picture</v>
      </c>
    </row>
    <row r="7670">
      <c r="A7670" s="55"/>
      <c r="B7670" s="119" t="s">
        <v>39871</v>
      </c>
      <c r="C7670" s="120" t="s">
        <v>26381</v>
      </c>
      <c r="D7670" s="33" t="s">
        <v>39779</v>
      </c>
      <c r="E7670" s="51" t="s">
        <v>1628</v>
      </c>
      <c r="F7670" s="121" t="s">
        <v>3009</v>
      </c>
      <c r="G7670" s="98" t="str">
        <f>HYPERLINK("http://mirror.ff7data.com.ar/ff7/data/battle/battle.lgp/nebp.png","View Picture")</f>
        <v>View Picture</v>
      </c>
    </row>
    <row r="7671">
      <c r="A7671" s="55"/>
      <c r="B7671" s="119" t="s">
        <v>39872</v>
      </c>
      <c r="C7671" s="120" t="s">
        <v>6010</v>
      </c>
      <c r="D7671" s="33" t="s">
        <v>39779</v>
      </c>
      <c r="E7671" s="51" t="s">
        <v>1628</v>
      </c>
      <c r="F7671" s="121" t="s">
        <v>3025</v>
      </c>
      <c r="H7671" s="46" t="s">
        <v>3002</v>
      </c>
    </row>
    <row r="7672">
      <c r="A7672" s="55"/>
      <c r="B7672" s="119" t="s">
        <v>39873</v>
      </c>
      <c r="C7672" s="120" t="s">
        <v>2989</v>
      </c>
      <c r="D7672" s="33" t="s">
        <v>39777</v>
      </c>
      <c r="E7672" s="51" t="s">
        <v>1632</v>
      </c>
      <c r="F7672" s="121" t="s">
        <v>2971</v>
      </c>
      <c r="G7672" s="98" t="str">
        <f>HYPERLINK("http://mirror.ff7data.com.ar/ff7/data/battle/battle.lgp/nfaa.png","View Picture")</f>
        <v>View Picture</v>
      </c>
      <c r="H7672" s="46" t="s">
        <v>39874</v>
      </c>
    </row>
    <row r="7673">
      <c r="A7673" s="55"/>
      <c r="B7673" s="119" t="s">
        <v>39875</v>
      </c>
      <c r="C7673" s="120" t="s">
        <v>20511</v>
      </c>
      <c r="D7673" s="33" t="s">
        <v>39779</v>
      </c>
      <c r="E7673" s="51" t="s">
        <v>1632</v>
      </c>
      <c r="F7673" s="121" t="s">
        <v>2993</v>
      </c>
      <c r="H7673" s="46" t="s">
        <v>3002</v>
      </c>
    </row>
    <row r="7674">
      <c r="A7674" s="55"/>
      <c r="B7674" s="119" t="s">
        <v>39876</v>
      </c>
      <c r="C7674" s="120" t="s">
        <v>4476</v>
      </c>
      <c r="D7674" s="33" t="s">
        <v>39779</v>
      </c>
      <c r="E7674" s="51" t="s">
        <v>1632</v>
      </c>
      <c r="F7674" s="121" t="s">
        <v>3009</v>
      </c>
      <c r="G7674" s="98" t="str">
        <f>HYPERLINK("http://mirror.ff7data.com.ar/ff7/data/battle/battle.lgp/nfam.png","View Picture")</f>
        <v>View Picture</v>
      </c>
    </row>
    <row r="7675">
      <c r="A7675" s="55"/>
      <c r="B7675" s="119" t="s">
        <v>39877</v>
      </c>
      <c r="C7675" s="120" t="s">
        <v>4719</v>
      </c>
      <c r="D7675" s="33" t="s">
        <v>39779</v>
      </c>
      <c r="E7675" s="51" t="s">
        <v>1632</v>
      </c>
      <c r="F7675" s="121" t="s">
        <v>3009</v>
      </c>
      <c r="G7675" s="98" t="str">
        <f>HYPERLINK("http://mirror.ff7data.com.ar/ff7/data/battle/battle.lgp/nfan.png","View Picture")</f>
        <v>View Picture</v>
      </c>
    </row>
    <row r="7676">
      <c r="A7676" s="55"/>
      <c r="B7676" s="119" t="s">
        <v>39878</v>
      </c>
      <c r="C7676" s="120" t="s">
        <v>3445</v>
      </c>
      <c r="D7676" s="33" t="s">
        <v>39779</v>
      </c>
      <c r="E7676" s="51" t="s">
        <v>1632</v>
      </c>
      <c r="F7676" s="121" t="s">
        <v>3009</v>
      </c>
      <c r="G7676" s="98" t="str">
        <f>HYPERLINK("http://mirror.ff7data.com.ar/ff7/data/battle/battle.lgp/nfao.png","View Picture")</f>
        <v>View Picture</v>
      </c>
    </row>
    <row r="7677">
      <c r="A7677" s="55"/>
      <c r="B7677" s="119" t="s">
        <v>39879</v>
      </c>
      <c r="C7677" s="120" t="s">
        <v>4185</v>
      </c>
      <c r="D7677" s="33" t="s">
        <v>39779</v>
      </c>
      <c r="E7677" s="51" t="s">
        <v>1632</v>
      </c>
      <c r="F7677" s="121" t="s">
        <v>3009</v>
      </c>
      <c r="G7677" s="98" t="str">
        <f>HYPERLINK("http://mirror.ff7data.com.ar/ff7/data/battle/battle.lgp/nfaq.png","View Picture")</f>
        <v>View Picture</v>
      </c>
    </row>
    <row r="7678">
      <c r="A7678" s="55"/>
      <c r="B7678" s="119" t="s">
        <v>39880</v>
      </c>
      <c r="C7678" s="120" t="s">
        <v>4439</v>
      </c>
      <c r="D7678" s="33" t="s">
        <v>39779</v>
      </c>
      <c r="E7678" s="51" t="s">
        <v>1632</v>
      </c>
      <c r="F7678" s="121" t="s">
        <v>3009</v>
      </c>
      <c r="G7678" s="98" t="str">
        <f>HYPERLINK("http://mirror.ff7data.com.ar/ff7/data/battle/battle.lgp/nfar.png","View Picture")</f>
        <v>View Picture</v>
      </c>
    </row>
    <row r="7679">
      <c r="A7679" s="55"/>
      <c r="B7679" s="119" t="s">
        <v>39881</v>
      </c>
      <c r="C7679" s="120" t="s">
        <v>4841</v>
      </c>
      <c r="D7679" s="33" t="s">
        <v>39779</v>
      </c>
      <c r="E7679" s="51" t="s">
        <v>1632</v>
      </c>
      <c r="F7679" s="121" t="s">
        <v>3009</v>
      </c>
      <c r="G7679" s="98" t="str">
        <f>HYPERLINK("http://mirror.ff7data.com.ar/ff7/data/battle/battle.lgp/nfas.png","View Picture")</f>
        <v>View Picture</v>
      </c>
    </row>
    <row r="7680">
      <c r="A7680" s="55"/>
      <c r="B7680" s="119" t="s">
        <v>39882</v>
      </c>
      <c r="C7680" s="120" t="s">
        <v>4476</v>
      </c>
      <c r="D7680" s="33" t="s">
        <v>39779</v>
      </c>
      <c r="E7680" s="51" t="s">
        <v>1632</v>
      </c>
      <c r="F7680" s="121" t="s">
        <v>3009</v>
      </c>
      <c r="G7680" s="98" t="str">
        <f>HYPERLINK("http://mirror.ff7data.com.ar/ff7/data/battle/battle.lgp/nfat.png","View Picture")</f>
        <v>View Picture</v>
      </c>
    </row>
    <row r="7681">
      <c r="A7681" s="55"/>
      <c r="B7681" s="119" t="s">
        <v>39883</v>
      </c>
      <c r="C7681" s="120" t="s">
        <v>4185</v>
      </c>
      <c r="D7681" s="33" t="s">
        <v>39779</v>
      </c>
      <c r="E7681" s="51" t="s">
        <v>1632</v>
      </c>
      <c r="F7681" s="121" t="s">
        <v>3009</v>
      </c>
      <c r="G7681" s="98" t="str">
        <f>HYPERLINK("http://mirror.ff7data.com.ar/ff7/data/battle/battle.lgp/nfav.png","View Picture")</f>
        <v>View Picture</v>
      </c>
    </row>
    <row r="7682">
      <c r="A7682" s="55"/>
      <c r="B7682" s="119" t="s">
        <v>39884</v>
      </c>
      <c r="C7682" s="120" t="s">
        <v>4372</v>
      </c>
      <c r="D7682" s="33" t="s">
        <v>39779</v>
      </c>
      <c r="E7682" s="51" t="s">
        <v>1632</v>
      </c>
      <c r="F7682" s="121" t="s">
        <v>3009</v>
      </c>
      <c r="G7682" s="98" t="str">
        <f>HYPERLINK("http://mirror.ff7data.com.ar/ff7/data/battle/battle.lgp/nfax.png","View Picture")</f>
        <v>View Picture</v>
      </c>
    </row>
    <row r="7683">
      <c r="A7683" s="55"/>
      <c r="B7683" s="119" t="s">
        <v>39885</v>
      </c>
      <c r="C7683" s="120" t="s">
        <v>4288</v>
      </c>
      <c r="D7683" s="33" t="s">
        <v>39779</v>
      </c>
      <c r="E7683" s="51" t="s">
        <v>1632</v>
      </c>
      <c r="F7683" s="121" t="s">
        <v>3009</v>
      </c>
      <c r="G7683" s="98" t="str">
        <f>HYPERLINK("http://mirror.ff7data.com.ar/ff7/data/battle/battle.lgp/nfay.png","View Picture")</f>
        <v>View Picture</v>
      </c>
    </row>
    <row r="7684">
      <c r="A7684" s="55"/>
      <c r="B7684" s="119" t="s">
        <v>39886</v>
      </c>
      <c r="C7684" s="120" t="s">
        <v>4185</v>
      </c>
      <c r="D7684" s="33" t="s">
        <v>39779</v>
      </c>
      <c r="E7684" s="51" t="s">
        <v>1632</v>
      </c>
      <c r="F7684" s="121" t="s">
        <v>3009</v>
      </c>
      <c r="G7684" s="98" t="str">
        <f>HYPERLINK("http://mirror.ff7data.com.ar/ff7/data/battle/battle.lgp/nfaz.png","View Picture")</f>
        <v>View Picture</v>
      </c>
    </row>
    <row r="7685">
      <c r="A7685" s="55"/>
      <c r="B7685" s="119" t="s">
        <v>39887</v>
      </c>
      <c r="C7685" s="120" t="s">
        <v>26381</v>
      </c>
      <c r="D7685" s="33" t="s">
        <v>39779</v>
      </c>
      <c r="E7685" s="51" t="s">
        <v>1632</v>
      </c>
      <c r="F7685" s="121" t="s">
        <v>3009</v>
      </c>
      <c r="G7685" s="98" t="str">
        <f>HYPERLINK("http://mirror.ff7data.com.ar/ff7/data/battle/battle.lgp/nfbb.png","View Picture")</f>
        <v>View Picture</v>
      </c>
    </row>
    <row r="7686">
      <c r="A7686" s="55"/>
      <c r="B7686" s="119" t="s">
        <v>39888</v>
      </c>
      <c r="C7686" s="120" t="s">
        <v>26381</v>
      </c>
      <c r="D7686" s="33" t="s">
        <v>39779</v>
      </c>
      <c r="E7686" s="51" t="s">
        <v>1632</v>
      </c>
      <c r="F7686" s="121" t="s">
        <v>3009</v>
      </c>
      <c r="G7686" s="98" t="str">
        <f>HYPERLINK("http://mirror.ff7data.com.ar/ff7/data/battle/battle.lgp/nfbd.png","View Picture")</f>
        <v>View Picture</v>
      </c>
    </row>
    <row r="7687">
      <c r="A7687" s="55"/>
      <c r="B7687" s="119" t="s">
        <v>39889</v>
      </c>
      <c r="C7687" s="120" t="s">
        <v>26381</v>
      </c>
      <c r="D7687" s="33" t="s">
        <v>39779</v>
      </c>
      <c r="E7687" s="51" t="s">
        <v>1632</v>
      </c>
      <c r="F7687" s="121" t="s">
        <v>3009</v>
      </c>
      <c r="G7687" s="98" t="str">
        <f>HYPERLINK("http://mirror.ff7data.com.ar/ff7/data/battle/battle.lgp/nfbf.png","View Picture")</f>
        <v>View Picture</v>
      </c>
    </row>
    <row r="7688">
      <c r="A7688" s="55"/>
      <c r="B7688" s="119" t="s">
        <v>39890</v>
      </c>
      <c r="C7688" s="120" t="s">
        <v>4372</v>
      </c>
      <c r="D7688" s="33" t="s">
        <v>39779</v>
      </c>
      <c r="E7688" s="51" t="s">
        <v>1632</v>
      </c>
      <c r="F7688" s="121" t="s">
        <v>3009</v>
      </c>
      <c r="G7688" s="98" t="str">
        <f>HYPERLINK("http://mirror.ff7data.com.ar/ff7/data/battle/battle.lgp/nfbh.png","View Picture")</f>
        <v>View Picture</v>
      </c>
    </row>
    <row r="7689">
      <c r="A7689" s="55"/>
      <c r="B7689" s="119" t="s">
        <v>39891</v>
      </c>
      <c r="C7689" s="120" t="s">
        <v>4288</v>
      </c>
      <c r="D7689" s="33" t="s">
        <v>39779</v>
      </c>
      <c r="E7689" s="51" t="s">
        <v>1632</v>
      </c>
      <c r="F7689" s="121" t="s">
        <v>3009</v>
      </c>
      <c r="G7689" s="98" t="str">
        <f>HYPERLINK("http://mirror.ff7data.com.ar/ff7/data/battle/battle.lgp/nfbi.png","View Picture")</f>
        <v>View Picture</v>
      </c>
    </row>
    <row r="7690">
      <c r="A7690" s="55"/>
      <c r="B7690" s="119" t="s">
        <v>39892</v>
      </c>
      <c r="C7690" s="120" t="s">
        <v>4185</v>
      </c>
      <c r="D7690" s="33" t="s">
        <v>39779</v>
      </c>
      <c r="E7690" s="51" t="s">
        <v>1632</v>
      </c>
      <c r="F7690" s="121" t="s">
        <v>3009</v>
      </c>
      <c r="G7690" s="98" t="str">
        <f>HYPERLINK("http://mirror.ff7data.com.ar/ff7/data/battle/battle.lgp/nfbj.png","View Picture")</f>
        <v>View Picture</v>
      </c>
    </row>
    <row r="7691">
      <c r="A7691" s="55"/>
      <c r="B7691" s="119" t="s">
        <v>39893</v>
      </c>
      <c r="C7691" s="120" t="s">
        <v>4288</v>
      </c>
      <c r="D7691" s="33" t="s">
        <v>39779</v>
      </c>
      <c r="E7691" s="51" t="s">
        <v>1632</v>
      </c>
      <c r="F7691" s="121" t="s">
        <v>3009</v>
      </c>
      <c r="G7691" s="98" t="str">
        <f>HYPERLINK("http://mirror.ff7data.com.ar/ff7/data/battle/battle.lgp/nfbl.png","View Picture")</f>
        <v>View Picture</v>
      </c>
    </row>
    <row r="7692">
      <c r="A7692" s="55"/>
      <c r="B7692" s="119" t="s">
        <v>39894</v>
      </c>
      <c r="C7692" s="120" t="s">
        <v>26381</v>
      </c>
      <c r="D7692" s="33" t="s">
        <v>39779</v>
      </c>
      <c r="E7692" s="51" t="s">
        <v>1632</v>
      </c>
      <c r="F7692" s="121" t="s">
        <v>3009</v>
      </c>
      <c r="G7692" s="98" t="str">
        <f>HYPERLINK("http://mirror.ff7data.com.ar/ff7/data/battle/battle.lgp/nfbn.png","View Picture")</f>
        <v>View Picture</v>
      </c>
    </row>
    <row r="7693">
      <c r="A7693" s="55"/>
      <c r="B7693" s="119" t="s">
        <v>39895</v>
      </c>
      <c r="C7693" s="120" t="s">
        <v>26381</v>
      </c>
      <c r="D7693" s="33" t="s">
        <v>39779</v>
      </c>
      <c r="E7693" s="51" t="s">
        <v>1632</v>
      </c>
      <c r="F7693" s="121" t="s">
        <v>3009</v>
      </c>
      <c r="G7693" s="98" t="str">
        <f>HYPERLINK("http://mirror.ff7data.com.ar/ff7/data/battle/battle.lgp/nfbp.png","View Picture")</f>
        <v>View Picture</v>
      </c>
    </row>
    <row r="7694">
      <c r="A7694" s="55"/>
      <c r="B7694" s="119" t="s">
        <v>39896</v>
      </c>
      <c r="C7694" s="120" t="s">
        <v>6010</v>
      </c>
      <c r="D7694" s="33" t="s">
        <v>39779</v>
      </c>
      <c r="E7694" s="51" t="s">
        <v>1632</v>
      </c>
      <c r="F7694" s="121" t="s">
        <v>3025</v>
      </c>
      <c r="H7694" s="46" t="s">
        <v>3002</v>
      </c>
    </row>
    <row r="7695">
      <c r="A7695" s="55"/>
      <c r="B7695" s="119" t="s">
        <v>39897</v>
      </c>
      <c r="C7695" s="120" t="s">
        <v>2989</v>
      </c>
      <c r="D7695" s="33" t="s">
        <v>39777</v>
      </c>
      <c r="E7695" s="51" t="s">
        <v>1635</v>
      </c>
      <c r="F7695" s="121" t="s">
        <v>2971</v>
      </c>
      <c r="G7695" s="98" t="str">
        <f>HYPERLINK("http://mirror.ff7data.com.ar/ff7/data/battle/battle.lgp/ngaa.png","View Picture")</f>
        <v>View Picture</v>
      </c>
      <c r="H7695" s="46" t="s">
        <v>39898</v>
      </c>
    </row>
    <row r="7696">
      <c r="A7696" s="55"/>
      <c r="B7696" s="119" t="s">
        <v>39899</v>
      </c>
      <c r="C7696" s="120" t="s">
        <v>20511</v>
      </c>
      <c r="D7696" s="33" t="s">
        <v>39779</v>
      </c>
      <c r="E7696" s="51" t="s">
        <v>1635</v>
      </c>
      <c r="F7696" s="121" t="s">
        <v>2993</v>
      </c>
      <c r="H7696" s="46" t="s">
        <v>3002</v>
      </c>
    </row>
    <row r="7697">
      <c r="A7697" s="55"/>
      <c r="B7697" s="119" t="s">
        <v>39900</v>
      </c>
      <c r="C7697" s="120" t="s">
        <v>4476</v>
      </c>
      <c r="D7697" s="33" t="s">
        <v>39779</v>
      </c>
      <c r="E7697" s="51" t="s">
        <v>1635</v>
      </c>
      <c r="F7697" s="121" t="s">
        <v>3009</v>
      </c>
      <c r="G7697" s="98" t="str">
        <f>HYPERLINK("http://mirror.ff7data.com.ar/ff7/data/battle/battle.lgp/ngam.png","View Picture")</f>
        <v>View Picture</v>
      </c>
    </row>
    <row r="7698">
      <c r="A7698" s="55"/>
      <c r="B7698" s="119" t="s">
        <v>39901</v>
      </c>
      <c r="C7698" s="120" t="s">
        <v>4719</v>
      </c>
      <c r="D7698" s="33" t="s">
        <v>39779</v>
      </c>
      <c r="E7698" s="51" t="s">
        <v>1635</v>
      </c>
      <c r="F7698" s="121" t="s">
        <v>3009</v>
      </c>
      <c r="G7698" s="98" t="str">
        <f>HYPERLINK("http://mirror.ff7data.com.ar/ff7/data/battle/battle.lgp/ngan.png","View Picture")</f>
        <v>View Picture</v>
      </c>
    </row>
    <row r="7699">
      <c r="A7699" s="55"/>
      <c r="B7699" s="119" t="s">
        <v>39902</v>
      </c>
      <c r="C7699" s="120" t="s">
        <v>3445</v>
      </c>
      <c r="D7699" s="33" t="s">
        <v>39779</v>
      </c>
      <c r="E7699" s="51" t="s">
        <v>1635</v>
      </c>
      <c r="F7699" s="121" t="s">
        <v>3009</v>
      </c>
      <c r="G7699" s="98" t="str">
        <f>HYPERLINK("http://mirror.ff7data.com.ar/ff7/data/battle/battle.lgp/ngao.png","View Picture")</f>
        <v>View Picture</v>
      </c>
    </row>
    <row r="7700">
      <c r="A7700" s="55"/>
      <c r="B7700" s="119" t="s">
        <v>39903</v>
      </c>
      <c r="C7700" s="120" t="s">
        <v>4185</v>
      </c>
      <c r="D7700" s="33" t="s">
        <v>39779</v>
      </c>
      <c r="E7700" s="51" t="s">
        <v>1635</v>
      </c>
      <c r="F7700" s="121" t="s">
        <v>3009</v>
      </c>
      <c r="G7700" s="98" t="str">
        <f>HYPERLINK("http://mirror.ff7data.com.ar/ff7/data/battle/battle.lgp/ngaq.png","View Picture")</f>
        <v>View Picture</v>
      </c>
    </row>
    <row r="7701">
      <c r="A7701" s="55"/>
      <c r="B7701" s="119" t="s">
        <v>39904</v>
      </c>
      <c r="C7701" s="120" t="s">
        <v>4439</v>
      </c>
      <c r="D7701" s="33" t="s">
        <v>39779</v>
      </c>
      <c r="E7701" s="51" t="s">
        <v>1635</v>
      </c>
      <c r="F7701" s="121" t="s">
        <v>3009</v>
      </c>
      <c r="G7701" s="98" t="str">
        <f>HYPERLINK("http://mirror.ff7data.com.ar/ff7/data/battle/battle.lgp/ngar.png","View Picture")</f>
        <v>View Picture</v>
      </c>
    </row>
    <row r="7702">
      <c r="A7702" s="55"/>
      <c r="B7702" s="119" t="s">
        <v>39905</v>
      </c>
      <c r="C7702" s="120" t="s">
        <v>4841</v>
      </c>
      <c r="D7702" s="33" t="s">
        <v>39779</v>
      </c>
      <c r="E7702" s="51" t="s">
        <v>1635</v>
      </c>
      <c r="F7702" s="121" t="s">
        <v>3009</v>
      </c>
      <c r="G7702" s="98" t="str">
        <f>HYPERLINK("http://mirror.ff7data.com.ar/ff7/data/battle/battle.lgp/ngas.png","View Picture")</f>
        <v>View Picture</v>
      </c>
    </row>
    <row r="7703">
      <c r="A7703" s="55"/>
      <c r="B7703" s="119" t="s">
        <v>39906</v>
      </c>
      <c r="C7703" s="120" t="s">
        <v>4476</v>
      </c>
      <c r="D7703" s="33" t="s">
        <v>39779</v>
      </c>
      <c r="E7703" s="51" t="s">
        <v>1635</v>
      </c>
      <c r="F7703" s="121" t="s">
        <v>3009</v>
      </c>
      <c r="G7703" s="98" t="str">
        <f>HYPERLINK("http://mirror.ff7data.com.ar/ff7/data/battle/battle.lgp/ngat.png","View Picture")</f>
        <v>View Picture</v>
      </c>
    </row>
    <row r="7704">
      <c r="A7704" s="55"/>
      <c r="B7704" s="119" t="s">
        <v>39907</v>
      </c>
      <c r="C7704" s="120" t="s">
        <v>4185</v>
      </c>
      <c r="D7704" s="33" t="s">
        <v>39779</v>
      </c>
      <c r="E7704" s="51" t="s">
        <v>1635</v>
      </c>
      <c r="F7704" s="121" t="s">
        <v>3009</v>
      </c>
      <c r="G7704" s="98" t="str">
        <f>HYPERLINK("http://mirror.ff7data.com.ar/ff7/data/battle/battle.lgp/ngav.png","View Picture")</f>
        <v>View Picture</v>
      </c>
    </row>
    <row r="7705">
      <c r="A7705" s="55"/>
      <c r="B7705" s="119" t="s">
        <v>39908</v>
      </c>
      <c r="C7705" s="120" t="s">
        <v>4372</v>
      </c>
      <c r="D7705" s="33" t="s">
        <v>39779</v>
      </c>
      <c r="E7705" s="51" t="s">
        <v>1635</v>
      </c>
      <c r="F7705" s="121" t="s">
        <v>3009</v>
      </c>
      <c r="G7705" s="98" t="str">
        <f>HYPERLINK("http://mirror.ff7data.com.ar/ff7/data/battle/battle.lgp/ngax.png","View Picture")</f>
        <v>View Picture</v>
      </c>
    </row>
    <row r="7706">
      <c r="A7706" s="55"/>
      <c r="B7706" s="119" t="s">
        <v>39909</v>
      </c>
      <c r="C7706" s="120" t="s">
        <v>4288</v>
      </c>
      <c r="D7706" s="33" t="s">
        <v>39779</v>
      </c>
      <c r="E7706" s="51" t="s">
        <v>1635</v>
      </c>
      <c r="F7706" s="121" t="s">
        <v>3009</v>
      </c>
      <c r="G7706" s="98" t="str">
        <f>HYPERLINK("http://mirror.ff7data.com.ar/ff7/data/battle/battle.lgp/ngay.png","View Picture")</f>
        <v>View Picture</v>
      </c>
    </row>
    <row r="7707">
      <c r="A7707" s="55"/>
      <c r="B7707" s="119" t="s">
        <v>39910</v>
      </c>
      <c r="C7707" s="120" t="s">
        <v>4185</v>
      </c>
      <c r="D7707" s="33" t="s">
        <v>39779</v>
      </c>
      <c r="E7707" s="51" t="s">
        <v>1635</v>
      </c>
      <c r="F7707" s="121" t="s">
        <v>3009</v>
      </c>
      <c r="G7707" s="98" t="str">
        <f>HYPERLINK("http://mirror.ff7data.com.ar/ff7/data/battle/battle.lgp/ngaz.png","View Picture")</f>
        <v>View Picture</v>
      </c>
    </row>
    <row r="7708">
      <c r="A7708" s="55"/>
      <c r="B7708" s="119" t="s">
        <v>39911</v>
      </c>
      <c r="C7708" s="120" t="s">
        <v>26381</v>
      </c>
      <c r="D7708" s="33" t="s">
        <v>39779</v>
      </c>
      <c r="E7708" s="51" t="s">
        <v>1635</v>
      </c>
      <c r="F7708" s="121" t="s">
        <v>3009</v>
      </c>
      <c r="G7708" s="98" t="str">
        <f>HYPERLINK("http://mirror.ff7data.com.ar/ff7/data/battle/battle.lgp/ngbb.png","View Picture")</f>
        <v>View Picture</v>
      </c>
    </row>
    <row r="7709">
      <c r="A7709" s="55"/>
      <c r="B7709" s="119" t="s">
        <v>39912</v>
      </c>
      <c r="C7709" s="120" t="s">
        <v>26381</v>
      </c>
      <c r="D7709" s="33" t="s">
        <v>39779</v>
      </c>
      <c r="E7709" s="51" t="s">
        <v>1635</v>
      </c>
      <c r="F7709" s="121" t="s">
        <v>3009</v>
      </c>
      <c r="G7709" s="98" t="str">
        <f>HYPERLINK("http://mirror.ff7data.com.ar/ff7/data/battle/battle.lgp/ngbd.png","View Picture")</f>
        <v>View Picture</v>
      </c>
    </row>
    <row r="7710">
      <c r="A7710" s="55"/>
      <c r="B7710" s="119" t="s">
        <v>39913</v>
      </c>
      <c r="C7710" s="120" t="s">
        <v>26381</v>
      </c>
      <c r="D7710" s="33" t="s">
        <v>39779</v>
      </c>
      <c r="E7710" s="51" t="s">
        <v>1635</v>
      </c>
      <c r="F7710" s="121" t="s">
        <v>3009</v>
      </c>
      <c r="G7710" s="98" t="str">
        <f>HYPERLINK("http://mirror.ff7data.com.ar/ff7/data/battle/battle.lgp/ngbf.png","View Picture")</f>
        <v>View Picture</v>
      </c>
    </row>
    <row r="7711">
      <c r="A7711" s="55"/>
      <c r="B7711" s="119" t="s">
        <v>39914</v>
      </c>
      <c r="C7711" s="120" t="s">
        <v>4372</v>
      </c>
      <c r="D7711" s="33" t="s">
        <v>39779</v>
      </c>
      <c r="E7711" s="51" t="s">
        <v>1635</v>
      </c>
      <c r="F7711" s="121" t="s">
        <v>3009</v>
      </c>
      <c r="G7711" s="98" t="str">
        <f>HYPERLINK("http://mirror.ff7data.com.ar/ff7/data/battle/battle.lgp/ngbh.png","View Picture")</f>
        <v>View Picture</v>
      </c>
    </row>
    <row r="7712">
      <c r="A7712" s="55"/>
      <c r="B7712" s="119" t="s">
        <v>39915</v>
      </c>
      <c r="C7712" s="120" t="s">
        <v>4288</v>
      </c>
      <c r="D7712" s="33" t="s">
        <v>39779</v>
      </c>
      <c r="E7712" s="51" t="s">
        <v>1635</v>
      </c>
      <c r="F7712" s="121" t="s">
        <v>3009</v>
      </c>
      <c r="G7712" s="98" t="str">
        <f>HYPERLINK("http://mirror.ff7data.com.ar/ff7/data/battle/battle.lgp/ngbi.png","View Picture")</f>
        <v>View Picture</v>
      </c>
    </row>
    <row r="7713">
      <c r="A7713" s="55"/>
      <c r="B7713" s="119" t="s">
        <v>39916</v>
      </c>
      <c r="C7713" s="120" t="s">
        <v>4185</v>
      </c>
      <c r="D7713" s="33" t="s">
        <v>39779</v>
      </c>
      <c r="E7713" s="51" t="s">
        <v>1635</v>
      </c>
      <c r="F7713" s="121" t="s">
        <v>3009</v>
      </c>
      <c r="G7713" s="98" t="str">
        <f>HYPERLINK("http://mirror.ff7data.com.ar/ff7/data/battle/battle.lgp/ngbj.png","View Picture")</f>
        <v>View Picture</v>
      </c>
    </row>
    <row r="7714">
      <c r="A7714" s="55"/>
      <c r="B7714" s="119" t="s">
        <v>39917</v>
      </c>
      <c r="C7714" s="120" t="s">
        <v>4288</v>
      </c>
      <c r="D7714" s="33" t="s">
        <v>39779</v>
      </c>
      <c r="E7714" s="51" t="s">
        <v>1635</v>
      </c>
      <c r="F7714" s="121" t="s">
        <v>3009</v>
      </c>
      <c r="G7714" s="98" t="str">
        <f>HYPERLINK("http://mirror.ff7data.com.ar/ff7/data/battle/battle.lgp/ngbl.png","View Picture")</f>
        <v>View Picture</v>
      </c>
    </row>
    <row r="7715">
      <c r="A7715" s="55"/>
      <c r="B7715" s="119" t="s">
        <v>39918</v>
      </c>
      <c r="C7715" s="120" t="s">
        <v>26381</v>
      </c>
      <c r="D7715" s="33" t="s">
        <v>39779</v>
      </c>
      <c r="E7715" s="51" t="s">
        <v>1635</v>
      </c>
      <c r="F7715" s="121" t="s">
        <v>3009</v>
      </c>
      <c r="G7715" s="98" t="str">
        <f>HYPERLINK("http://mirror.ff7data.com.ar/ff7/data/battle/battle.lgp/ngbn.png","View Picture")</f>
        <v>View Picture</v>
      </c>
    </row>
    <row r="7716">
      <c r="A7716" s="55"/>
      <c r="B7716" s="119" t="s">
        <v>39919</v>
      </c>
      <c r="C7716" s="120" t="s">
        <v>26381</v>
      </c>
      <c r="D7716" s="33" t="s">
        <v>39779</v>
      </c>
      <c r="E7716" s="51" t="s">
        <v>1635</v>
      </c>
      <c r="F7716" s="121" t="s">
        <v>3009</v>
      </c>
      <c r="G7716" s="98" t="str">
        <f>HYPERLINK("http://mirror.ff7data.com.ar/ff7/data/battle/battle.lgp/ngbp.png","View Picture")</f>
        <v>View Picture</v>
      </c>
    </row>
    <row r="7717">
      <c r="A7717" s="55"/>
      <c r="B7717" s="119" t="s">
        <v>39920</v>
      </c>
      <c r="C7717" s="120" t="s">
        <v>6010</v>
      </c>
      <c r="D7717" s="33" t="s">
        <v>39779</v>
      </c>
      <c r="E7717" s="51" t="s">
        <v>1635</v>
      </c>
      <c r="F7717" s="121" t="s">
        <v>3025</v>
      </c>
      <c r="H7717" s="46" t="s">
        <v>3002</v>
      </c>
    </row>
    <row r="7718">
      <c r="A7718" s="55"/>
      <c r="B7718" s="119" t="s">
        <v>39921</v>
      </c>
      <c r="C7718" s="120" t="s">
        <v>2989</v>
      </c>
      <c r="D7718" s="33" t="s">
        <v>39777</v>
      </c>
      <c r="E7718" s="51" t="s">
        <v>1638</v>
      </c>
      <c r="F7718" s="121" t="s">
        <v>2971</v>
      </c>
      <c r="G7718" s="98" t="str">
        <f>HYPERLINK("http://mirror.ff7data.com.ar/ff7/data/battle/battle.lgp/nhaa.png","View Picture")</f>
        <v>View Picture</v>
      </c>
      <c r="H7718" s="46" t="s">
        <v>39922</v>
      </c>
    </row>
    <row r="7719">
      <c r="A7719" s="55"/>
      <c r="B7719" s="119" t="s">
        <v>39923</v>
      </c>
      <c r="C7719" s="120" t="s">
        <v>20511</v>
      </c>
      <c r="D7719" s="33" t="s">
        <v>39779</v>
      </c>
      <c r="E7719" s="51" t="s">
        <v>1638</v>
      </c>
      <c r="F7719" s="121" t="s">
        <v>2993</v>
      </c>
      <c r="H7719" s="46" t="s">
        <v>3002</v>
      </c>
    </row>
    <row r="7720">
      <c r="A7720" s="55"/>
      <c r="B7720" s="119" t="s">
        <v>39924</v>
      </c>
      <c r="C7720" s="120" t="s">
        <v>4476</v>
      </c>
      <c r="D7720" s="33" t="s">
        <v>39779</v>
      </c>
      <c r="E7720" s="51" t="s">
        <v>1638</v>
      </c>
      <c r="F7720" s="121" t="s">
        <v>3009</v>
      </c>
      <c r="G7720" s="98" t="str">
        <f>HYPERLINK("http://mirror.ff7data.com.ar/ff7/data/battle/battle.lgp/nham.png","View Picture")</f>
        <v>View Picture</v>
      </c>
    </row>
    <row r="7721">
      <c r="A7721" s="55"/>
      <c r="B7721" s="119" t="s">
        <v>39925</v>
      </c>
      <c r="C7721" s="120" t="s">
        <v>4719</v>
      </c>
      <c r="D7721" s="33" t="s">
        <v>39779</v>
      </c>
      <c r="E7721" s="51" t="s">
        <v>1638</v>
      </c>
      <c r="F7721" s="121" t="s">
        <v>3009</v>
      </c>
      <c r="G7721" s="98" t="str">
        <f>HYPERLINK("http://mirror.ff7data.com.ar/ff7/data/battle/battle.lgp/nhan.png","View Picture")</f>
        <v>View Picture</v>
      </c>
    </row>
    <row r="7722">
      <c r="A7722" s="55"/>
      <c r="B7722" s="119" t="s">
        <v>39926</v>
      </c>
      <c r="C7722" s="120" t="s">
        <v>3445</v>
      </c>
      <c r="D7722" s="33" t="s">
        <v>39779</v>
      </c>
      <c r="E7722" s="51" t="s">
        <v>1638</v>
      </c>
      <c r="F7722" s="121" t="s">
        <v>3009</v>
      </c>
      <c r="G7722" s="98" t="str">
        <f>HYPERLINK("http://mirror.ff7data.com.ar/ff7/data/battle/battle.lgp/nhao.png","View Picture")</f>
        <v>View Picture</v>
      </c>
    </row>
    <row r="7723">
      <c r="A7723" s="55"/>
      <c r="B7723" s="119" t="s">
        <v>39927</v>
      </c>
      <c r="C7723" s="120" t="s">
        <v>4185</v>
      </c>
      <c r="D7723" s="33" t="s">
        <v>39779</v>
      </c>
      <c r="E7723" s="51" t="s">
        <v>1638</v>
      </c>
      <c r="F7723" s="121" t="s">
        <v>3009</v>
      </c>
      <c r="G7723" s="98" t="str">
        <f>HYPERLINK("http://mirror.ff7data.com.ar/ff7/data/battle/battle.lgp/nhaq.png","View Picture")</f>
        <v>View Picture</v>
      </c>
    </row>
    <row r="7724">
      <c r="A7724" s="55"/>
      <c r="B7724" s="119" t="s">
        <v>39928</v>
      </c>
      <c r="C7724" s="120" t="s">
        <v>4439</v>
      </c>
      <c r="D7724" s="33" t="s">
        <v>39779</v>
      </c>
      <c r="E7724" s="51" t="s">
        <v>1638</v>
      </c>
      <c r="F7724" s="121" t="s">
        <v>3009</v>
      </c>
      <c r="G7724" s="98" t="str">
        <f>HYPERLINK("http://mirror.ff7data.com.ar/ff7/data/battle/battle.lgp/nhar.png","View Picture")</f>
        <v>View Picture</v>
      </c>
    </row>
    <row r="7725">
      <c r="A7725" s="55"/>
      <c r="B7725" s="119" t="s">
        <v>39929</v>
      </c>
      <c r="C7725" s="120" t="s">
        <v>4841</v>
      </c>
      <c r="D7725" s="33" t="s">
        <v>39779</v>
      </c>
      <c r="E7725" s="51" t="s">
        <v>1638</v>
      </c>
      <c r="F7725" s="121" t="s">
        <v>3009</v>
      </c>
      <c r="G7725" s="98" t="str">
        <f>HYPERLINK("http://mirror.ff7data.com.ar/ff7/data/battle/battle.lgp/nhas.png","View Picture")</f>
        <v>View Picture</v>
      </c>
    </row>
    <row r="7726">
      <c r="A7726" s="55"/>
      <c r="B7726" s="119" t="s">
        <v>39930</v>
      </c>
      <c r="C7726" s="120" t="s">
        <v>4476</v>
      </c>
      <c r="D7726" s="33" t="s">
        <v>39779</v>
      </c>
      <c r="E7726" s="51" t="s">
        <v>1638</v>
      </c>
      <c r="F7726" s="121" t="s">
        <v>3009</v>
      </c>
      <c r="G7726" s="98" t="str">
        <f>HYPERLINK("http://mirror.ff7data.com.ar/ff7/data/battle/battle.lgp/nhat.png","View Picture")</f>
        <v>View Picture</v>
      </c>
    </row>
    <row r="7727">
      <c r="A7727" s="55"/>
      <c r="B7727" s="119" t="s">
        <v>39931</v>
      </c>
      <c r="C7727" s="120" t="s">
        <v>4185</v>
      </c>
      <c r="D7727" s="33" t="s">
        <v>39779</v>
      </c>
      <c r="E7727" s="51" t="s">
        <v>1638</v>
      </c>
      <c r="F7727" s="121" t="s">
        <v>3009</v>
      </c>
      <c r="G7727" s="98" t="str">
        <f>HYPERLINK("http://mirror.ff7data.com.ar/ff7/data/battle/battle.lgp/nhav.png","View Picture")</f>
        <v>View Picture</v>
      </c>
    </row>
    <row r="7728">
      <c r="A7728" s="55"/>
      <c r="B7728" s="119" t="s">
        <v>39932</v>
      </c>
      <c r="C7728" s="120" t="s">
        <v>4372</v>
      </c>
      <c r="D7728" s="33" t="s">
        <v>39779</v>
      </c>
      <c r="E7728" s="51" t="s">
        <v>1638</v>
      </c>
      <c r="F7728" s="121" t="s">
        <v>3009</v>
      </c>
      <c r="G7728" s="98" t="str">
        <f>HYPERLINK("http://mirror.ff7data.com.ar/ff7/data/battle/battle.lgp/nhax.png","View Picture")</f>
        <v>View Picture</v>
      </c>
    </row>
    <row r="7729">
      <c r="A7729" s="55"/>
      <c r="B7729" s="119" t="s">
        <v>39933</v>
      </c>
      <c r="C7729" s="120" t="s">
        <v>4288</v>
      </c>
      <c r="D7729" s="33" t="s">
        <v>39779</v>
      </c>
      <c r="E7729" s="51" t="s">
        <v>1638</v>
      </c>
      <c r="F7729" s="121" t="s">
        <v>3009</v>
      </c>
      <c r="G7729" s="98" t="str">
        <f>HYPERLINK("http://mirror.ff7data.com.ar/ff7/data/battle/battle.lgp/nhay.png","View Picture")</f>
        <v>View Picture</v>
      </c>
    </row>
    <row r="7730">
      <c r="A7730" s="55"/>
      <c r="B7730" s="119" t="s">
        <v>39934</v>
      </c>
      <c r="C7730" s="120" t="s">
        <v>4185</v>
      </c>
      <c r="D7730" s="33" t="s">
        <v>39779</v>
      </c>
      <c r="E7730" s="51" t="s">
        <v>1638</v>
      </c>
      <c r="F7730" s="121" t="s">
        <v>3009</v>
      </c>
      <c r="G7730" s="98" t="str">
        <f>HYPERLINK("http://mirror.ff7data.com.ar/ff7/data/battle/battle.lgp/nhaz.png","View Picture")</f>
        <v>View Picture</v>
      </c>
    </row>
    <row r="7731">
      <c r="A7731" s="55"/>
      <c r="B7731" s="119" t="s">
        <v>39935</v>
      </c>
      <c r="C7731" s="120" t="s">
        <v>26381</v>
      </c>
      <c r="D7731" s="33" t="s">
        <v>39779</v>
      </c>
      <c r="E7731" s="51" t="s">
        <v>1638</v>
      </c>
      <c r="F7731" s="121" t="s">
        <v>3009</v>
      </c>
      <c r="G7731" s="98" t="str">
        <f>HYPERLINK("http://mirror.ff7data.com.ar/ff7/data/battle/battle.lgp/nhbb.png","View Picture")</f>
        <v>View Picture</v>
      </c>
    </row>
    <row r="7732">
      <c r="A7732" s="55"/>
      <c r="B7732" s="119" t="s">
        <v>39936</v>
      </c>
      <c r="C7732" s="120" t="s">
        <v>26381</v>
      </c>
      <c r="D7732" s="33" t="s">
        <v>39779</v>
      </c>
      <c r="E7732" s="51" t="s">
        <v>1638</v>
      </c>
      <c r="F7732" s="121" t="s">
        <v>3009</v>
      </c>
      <c r="G7732" s="98" t="str">
        <f>HYPERLINK("http://mirror.ff7data.com.ar/ff7/data/battle/battle.lgp/nhbd.png","View Picture")</f>
        <v>View Picture</v>
      </c>
    </row>
    <row r="7733">
      <c r="A7733" s="55"/>
      <c r="B7733" s="119" t="s">
        <v>39937</v>
      </c>
      <c r="C7733" s="120" t="s">
        <v>26381</v>
      </c>
      <c r="D7733" s="33" t="s">
        <v>39779</v>
      </c>
      <c r="E7733" s="51" t="s">
        <v>1638</v>
      </c>
      <c r="F7733" s="121" t="s">
        <v>3009</v>
      </c>
      <c r="G7733" s="98" t="str">
        <f>HYPERLINK("http://mirror.ff7data.com.ar/ff7/data/battle/battle.lgp/nhbf.png","View Picture")</f>
        <v>View Picture</v>
      </c>
    </row>
    <row r="7734">
      <c r="A7734" s="55"/>
      <c r="B7734" s="119" t="s">
        <v>39938</v>
      </c>
      <c r="C7734" s="120" t="s">
        <v>4372</v>
      </c>
      <c r="D7734" s="33" t="s">
        <v>39779</v>
      </c>
      <c r="E7734" s="51" t="s">
        <v>1638</v>
      </c>
      <c r="F7734" s="121" t="s">
        <v>3009</v>
      </c>
      <c r="G7734" s="98" t="str">
        <f>HYPERLINK("http://mirror.ff7data.com.ar/ff7/data/battle/battle.lgp/nhbh.png","View Picture")</f>
        <v>View Picture</v>
      </c>
    </row>
    <row r="7735">
      <c r="A7735" s="55"/>
      <c r="B7735" s="119" t="s">
        <v>39939</v>
      </c>
      <c r="C7735" s="120" t="s">
        <v>4288</v>
      </c>
      <c r="D7735" s="33" t="s">
        <v>39779</v>
      </c>
      <c r="E7735" s="51" t="s">
        <v>1638</v>
      </c>
      <c r="F7735" s="121" t="s">
        <v>3009</v>
      </c>
      <c r="G7735" s="98" t="str">
        <f>HYPERLINK("http://mirror.ff7data.com.ar/ff7/data/battle/battle.lgp/nhbi.png","View Picture")</f>
        <v>View Picture</v>
      </c>
    </row>
    <row r="7736">
      <c r="A7736" s="55"/>
      <c r="B7736" s="119" t="s">
        <v>39940</v>
      </c>
      <c r="C7736" s="120" t="s">
        <v>4185</v>
      </c>
      <c r="D7736" s="33" t="s">
        <v>39779</v>
      </c>
      <c r="E7736" s="51" t="s">
        <v>1638</v>
      </c>
      <c r="F7736" s="121" t="s">
        <v>3009</v>
      </c>
      <c r="G7736" s="98" t="str">
        <f>HYPERLINK("http://mirror.ff7data.com.ar/ff7/data/battle/battle.lgp/nhbj.png","View Picture")</f>
        <v>View Picture</v>
      </c>
    </row>
    <row r="7737">
      <c r="A7737" s="55"/>
      <c r="B7737" s="119" t="s">
        <v>39941</v>
      </c>
      <c r="C7737" s="120" t="s">
        <v>4288</v>
      </c>
      <c r="D7737" s="33" t="s">
        <v>39779</v>
      </c>
      <c r="E7737" s="51" t="s">
        <v>1638</v>
      </c>
      <c r="F7737" s="121" t="s">
        <v>3009</v>
      </c>
      <c r="G7737" s="98" t="str">
        <f>HYPERLINK("http://mirror.ff7data.com.ar/ff7/data/battle/battle.lgp/nhbl.png","View Picture")</f>
        <v>View Picture</v>
      </c>
    </row>
    <row r="7738">
      <c r="A7738" s="55"/>
      <c r="B7738" s="119" t="s">
        <v>39942</v>
      </c>
      <c r="C7738" s="120" t="s">
        <v>26381</v>
      </c>
      <c r="D7738" s="33" t="s">
        <v>39779</v>
      </c>
      <c r="E7738" s="51" t="s">
        <v>1638</v>
      </c>
      <c r="F7738" s="121" t="s">
        <v>3009</v>
      </c>
      <c r="G7738" s="98" t="str">
        <f>HYPERLINK("http://mirror.ff7data.com.ar/ff7/data/battle/battle.lgp/nhbn.png","View Picture")</f>
        <v>View Picture</v>
      </c>
    </row>
    <row r="7739">
      <c r="A7739" s="55"/>
      <c r="B7739" s="119" t="s">
        <v>39943</v>
      </c>
      <c r="C7739" s="120" t="s">
        <v>26381</v>
      </c>
      <c r="D7739" s="33" t="s">
        <v>39779</v>
      </c>
      <c r="E7739" s="51" t="s">
        <v>1638</v>
      </c>
      <c r="F7739" s="121" t="s">
        <v>3009</v>
      </c>
      <c r="G7739" s="98" t="str">
        <f>HYPERLINK("http://mirror.ff7data.com.ar/ff7/data/battle/battle.lgp/nhbp.png","View Picture")</f>
        <v>View Picture</v>
      </c>
    </row>
    <row r="7740">
      <c r="A7740" s="55"/>
      <c r="B7740" s="119" t="s">
        <v>39944</v>
      </c>
      <c r="C7740" s="120" t="s">
        <v>6010</v>
      </c>
      <c r="D7740" s="33" t="s">
        <v>39779</v>
      </c>
      <c r="E7740" s="51" t="s">
        <v>1638</v>
      </c>
      <c r="F7740" s="121" t="s">
        <v>3025</v>
      </c>
      <c r="H7740" s="46" t="s">
        <v>3002</v>
      </c>
    </row>
    <row r="7741">
      <c r="A7741" s="55"/>
      <c r="B7741" s="119" t="s">
        <v>39945</v>
      </c>
      <c r="C7741" s="120" t="s">
        <v>2989</v>
      </c>
      <c r="D7741" s="33" t="s">
        <v>39777</v>
      </c>
      <c r="E7741" s="51" t="s">
        <v>1640</v>
      </c>
      <c r="F7741" s="121" t="s">
        <v>2971</v>
      </c>
      <c r="G7741" s="98" t="str">
        <f>HYPERLINK("http://mirror.ff7data.com.ar/ff7/data/battle/battle.lgp/niaa.png","View Picture")</f>
        <v>View Picture</v>
      </c>
      <c r="H7741" s="46" t="s">
        <v>39946</v>
      </c>
    </row>
    <row r="7742">
      <c r="A7742" s="55"/>
      <c r="B7742" s="119" t="s">
        <v>39947</v>
      </c>
      <c r="C7742" s="120" t="s">
        <v>20511</v>
      </c>
      <c r="D7742" s="33" t="s">
        <v>39779</v>
      </c>
      <c r="E7742" s="51" t="s">
        <v>1640</v>
      </c>
      <c r="F7742" s="121" t="s">
        <v>2993</v>
      </c>
      <c r="H7742" s="46" t="s">
        <v>3002</v>
      </c>
    </row>
    <row r="7743">
      <c r="A7743" s="55"/>
      <c r="B7743" s="119" t="s">
        <v>39948</v>
      </c>
      <c r="C7743" s="120" t="s">
        <v>4476</v>
      </c>
      <c r="D7743" s="33" t="s">
        <v>39779</v>
      </c>
      <c r="E7743" s="51" t="s">
        <v>1640</v>
      </c>
      <c r="F7743" s="121" t="s">
        <v>3009</v>
      </c>
      <c r="G7743" s="98" t="str">
        <f>HYPERLINK("http://mirror.ff7data.com.ar/ff7/data/battle/battle.lgp/niam.png","View Picture")</f>
        <v>View Picture</v>
      </c>
    </row>
    <row r="7744">
      <c r="A7744" s="55"/>
      <c r="B7744" s="119" t="s">
        <v>39949</v>
      </c>
      <c r="C7744" s="120" t="s">
        <v>4719</v>
      </c>
      <c r="D7744" s="33" t="s">
        <v>39779</v>
      </c>
      <c r="E7744" s="51" t="s">
        <v>1640</v>
      </c>
      <c r="F7744" s="121" t="s">
        <v>3009</v>
      </c>
      <c r="G7744" s="98" t="str">
        <f>HYPERLINK("http://mirror.ff7data.com.ar/ff7/data/battle/battle.lgp/nian.png","View Picture")</f>
        <v>View Picture</v>
      </c>
    </row>
    <row r="7745">
      <c r="A7745" s="55"/>
      <c r="B7745" s="119" t="s">
        <v>39950</v>
      </c>
      <c r="C7745" s="120" t="s">
        <v>3445</v>
      </c>
      <c r="D7745" s="33" t="s">
        <v>39779</v>
      </c>
      <c r="E7745" s="51" t="s">
        <v>1640</v>
      </c>
      <c r="F7745" s="121" t="s">
        <v>3009</v>
      </c>
      <c r="G7745" s="98" t="str">
        <f>HYPERLINK("http://mirror.ff7data.com.ar/ff7/data/battle/battle.lgp/niao.png","View Picture")</f>
        <v>View Picture</v>
      </c>
    </row>
    <row r="7746">
      <c r="A7746" s="55"/>
      <c r="B7746" s="119" t="s">
        <v>39951</v>
      </c>
      <c r="C7746" s="120" t="s">
        <v>4185</v>
      </c>
      <c r="D7746" s="33" t="s">
        <v>39779</v>
      </c>
      <c r="E7746" s="51" t="s">
        <v>1640</v>
      </c>
      <c r="F7746" s="121" t="s">
        <v>3009</v>
      </c>
      <c r="G7746" s="98" t="str">
        <f>HYPERLINK("http://mirror.ff7data.com.ar/ff7/data/battle/battle.lgp/niaq.png","View Picture")</f>
        <v>View Picture</v>
      </c>
    </row>
    <row r="7747">
      <c r="A7747" s="55"/>
      <c r="B7747" s="119" t="s">
        <v>39952</v>
      </c>
      <c r="C7747" s="120" t="s">
        <v>4439</v>
      </c>
      <c r="D7747" s="33" t="s">
        <v>39779</v>
      </c>
      <c r="E7747" s="51" t="s">
        <v>1640</v>
      </c>
      <c r="F7747" s="121" t="s">
        <v>3009</v>
      </c>
      <c r="G7747" s="98" t="str">
        <f>HYPERLINK("http://mirror.ff7data.com.ar/ff7/data/battle/battle.lgp/niar.png","View Picture")</f>
        <v>View Picture</v>
      </c>
    </row>
    <row r="7748">
      <c r="A7748" s="55"/>
      <c r="B7748" s="119" t="s">
        <v>39953</v>
      </c>
      <c r="C7748" s="120" t="s">
        <v>4841</v>
      </c>
      <c r="D7748" s="33" t="s">
        <v>39779</v>
      </c>
      <c r="E7748" s="51" t="s">
        <v>1640</v>
      </c>
      <c r="F7748" s="121" t="s">
        <v>3009</v>
      </c>
      <c r="G7748" s="98" t="str">
        <f>HYPERLINK("http://mirror.ff7data.com.ar/ff7/data/battle/battle.lgp/nias.png","View Picture")</f>
        <v>View Picture</v>
      </c>
    </row>
    <row r="7749">
      <c r="A7749" s="55"/>
      <c r="B7749" s="119" t="s">
        <v>39954</v>
      </c>
      <c r="C7749" s="120" t="s">
        <v>4476</v>
      </c>
      <c r="D7749" s="33" t="s">
        <v>39779</v>
      </c>
      <c r="E7749" s="51" t="s">
        <v>1640</v>
      </c>
      <c r="F7749" s="121" t="s">
        <v>3009</v>
      </c>
      <c r="G7749" s="98" t="str">
        <f>HYPERLINK("http://mirror.ff7data.com.ar/ff7/data/battle/battle.lgp/niat.png","View Picture")</f>
        <v>View Picture</v>
      </c>
    </row>
    <row r="7750">
      <c r="A7750" s="55"/>
      <c r="B7750" s="119" t="s">
        <v>39955</v>
      </c>
      <c r="C7750" s="120" t="s">
        <v>4185</v>
      </c>
      <c r="D7750" s="33" t="s">
        <v>39779</v>
      </c>
      <c r="E7750" s="51" t="s">
        <v>1640</v>
      </c>
      <c r="F7750" s="121" t="s">
        <v>3009</v>
      </c>
      <c r="G7750" s="98" t="str">
        <f>HYPERLINK("http://mirror.ff7data.com.ar/ff7/data/battle/battle.lgp/niav.png","View Picture")</f>
        <v>View Picture</v>
      </c>
    </row>
    <row r="7751">
      <c r="A7751" s="55"/>
      <c r="B7751" s="119" t="s">
        <v>39956</v>
      </c>
      <c r="C7751" s="120" t="s">
        <v>4372</v>
      </c>
      <c r="D7751" s="33" t="s">
        <v>39779</v>
      </c>
      <c r="E7751" s="51" t="s">
        <v>1640</v>
      </c>
      <c r="F7751" s="121" t="s">
        <v>3009</v>
      </c>
      <c r="G7751" s="98" t="str">
        <f>HYPERLINK("http://mirror.ff7data.com.ar/ff7/data/battle/battle.lgp/niax.png","View Picture")</f>
        <v>View Picture</v>
      </c>
    </row>
    <row r="7752">
      <c r="A7752" s="55"/>
      <c r="B7752" s="119" t="s">
        <v>39957</v>
      </c>
      <c r="C7752" s="120" t="s">
        <v>4288</v>
      </c>
      <c r="D7752" s="33" t="s">
        <v>39779</v>
      </c>
      <c r="E7752" s="51" t="s">
        <v>1640</v>
      </c>
      <c r="F7752" s="121" t="s">
        <v>3009</v>
      </c>
      <c r="G7752" s="98" t="str">
        <f>HYPERLINK("http://mirror.ff7data.com.ar/ff7/data/battle/battle.lgp/niay.png","View Picture")</f>
        <v>View Picture</v>
      </c>
    </row>
    <row r="7753">
      <c r="A7753" s="55"/>
      <c r="B7753" s="119" t="s">
        <v>39958</v>
      </c>
      <c r="C7753" s="120" t="s">
        <v>4185</v>
      </c>
      <c r="D7753" s="33" t="s">
        <v>39779</v>
      </c>
      <c r="E7753" s="51" t="s">
        <v>1640</v>
      </c>
      <c r="F7753" s="121" t="s">
        <v>3009</v>
      </c>
      <c r="G7753" s="98" t="str">
        <f>HYPERLINK("http://mirror.ff7data.com.ar/ff7/data/battle/battle.lgp/niaz.png","View Picture")</f>
        <v>View Picture</v>
      </c>
    </row>
    <row r="7754">
      <c r="A7754" s="55"/>
      <c r="B7754" s="119" t="s">
        <v>39959</v>
      </c>
      <c r="C7754" s="120" t="s">
        <v>26381</v>
      </c>
      <c r="D7754" s="33" t="s">
        <v>39779</v>
      </c>
      <c r="E7754" s="51" t="s">
        <v>1640</v>
      </c>
      <c r="F7754" s="121" t="s">
        <v>3009</v>
      </c>
      <c r="G7754" s="98" t="str">
        <f>HYPERLINK("http://mirror.ff7data.com.ar/ff7/data/battle/battle.lgp/nibb.png","View Picture")</f>
        <v>View Picture</v>
      </c>
    </row>
    <row r="7755">
      <c r="A7755" s="55"/>
      <c r="B7755" s="119" t="s">
        <v>39960</v>
      </c>
      <c r="C7755" s="120" t="s">
        <v>26381</v>
      </c>
      <c r="D7755" s="33" t="s">
        <v>39779</v>
      </c>
      <c r="E7755" s="51" t="s">
        <v>1640</v>
      </c>
      <c r="F7755" s="121" t="s">
        <v>3009</v>
      </c>
      <c r="G7755" s="98" t="str">
        <f>HYPERLINK("http://mirror.ff7data.com.ar/ff7/data/battle/battle.lgp/nibd.png","View Picture")</f>
        <v>View Picture</v>
      </c>
    </row>
    <row r="7756">
      <c r="A7756" s="55"/>
      <c r="B7756" s="119" t="s">
        <v>39961</v>
      </c>
      <c r="C7756" s="120" t="s">
        <v>26381</v>
      </c>
      <c r="D7756" s="33" t="s">
        <v>39779</v>
      </c>
      <c r="E7756" s="51" t="s">
        <v>1640</v>
      </c>
      <c r="F7756" s="121" t="s">
        <v>3009</v>
      </c>
      <c r="G7756" s="98" t="str">
        <f>HYPERLINK("http://mirror.ff7data.com.ar/ff7/data/battle/battle.lgp/nibf.png","View Picture")</f>
        <v>View Picture</v>
      </c>
    </row>
    <row r="7757">
      <c r="A7757" s="55"/>
      <c r="B7757" s="119" t="s">
        <v>39962</v>
      </c>
      <c r="C7757" s="120" t="s">
        <v>4372</v>
      </c>
      <c r="D7757" s="33" t="s">
        <v>39779</v>
      </c>
      <c r="E7757" s="51" t="s">
        <v>1640</v>
      </c>
      <c r="F7757" s="121" t="s">
        <v>3009</v>
      </c>
      <c r="G7757" s="98" t="str">
        <f>HYPERLINK("http://mirror.ff7data.com.ar/ff7/data/battle/battle.lgp/nibh.png","View Picture")</f>
        <v>View Picture</v>
      </c>
    </row>
    <row r="7758">
      <c r="A7758" s="55"/>
      <c r="B7758" s="119" t="s">
        <v>39963</v>
      </c>
      <c r="C7758" s="120" t="s">
        <v>4288</v>
      </c>
      <c r="D7758" s="33" t="s">
        <v>39779</v>
      </c>
      <c r="E7758" s="51" t="s">
        <v>1640</v>
      </c>
      <c r="F7758" s="121" t="s">
        <v>3009</v>
      </c>
      <c r="G7758" s="98" t="str">
        <f>HYPERLINK("http://mirror.ff7data.com.ar/ff7/data/battle/battle.lgp/nibi.png","View Picture")</f>
        <v>View Picture</v>
      </c>
    </row>
    <row r="7759">
      <c r="A7759" s="55"/>
      <c r="B7759" s="119" t="s">
        <v>39964</v>
      </c>
      <c r="C7759" s="120" t="s">
        <v>4185</v>
      </c>
      <c r="D7759" s="33" t="s">
        <v>39779</v>
      </c>
      <c r="E7759" s="51" t="s">
        <v>1640</v>
      </c>
      <c r="F7759" s="121" t="s">
        <v>3009</v>
      </c>
      <c r="G7759" s="98" t="str">
        <f>HYPERLINK("http://mirror.ff7data.com.ar/ff7/data/battle/battle.lgp/nibj.png","View Picture")</f>
        <v>View Picture</v>
      </c>
    </row>
    <row r="7760">
      <c r="A7760" s="55"/>
      <c r="B7760" s="119" t="s">
        <v>39965</v>
      </c>
      <c r="C7760" s="120" t="s">
        <v>4288</v>
      </c>
      <c r="D7760" s="33" t="s">
        <v>39779</v>
      </c>
      <c r="E7760" s="51" t="s">
        <v>1640</v>
      </c>
      <c r="F7760" s="121" t="s">
        <v>3009</v>
      </c>
      <c r="G7760" s="98" t="str">
        <f>HYPERLINK("http://mirror.ff7data.com.ar/ff7/data/battle/battle.lgp/nibl.png","View Picture")</f>
        <v>View Picture</v>
      </c>
    </row>
    <row r="7761">
      <c r="A7761" s="55"/>
      <c r="B7761" s="119" t="s">
        <v>39966</v>
      </c>
      <c r="C7761" s="120" t="s">
        <v>26381</v>
      </c>
      <c r="D7761" s="33" t="s">
        <v>39779</v>
      </c>
      <c r="E7761" s="51" t="s">
        <v>1640</v>
      </c>
      <c r="F7761" s="121" t="s">
        <v>3009</v>
      </c>
      <c r="G7761" s="98" t="str">
        <f>HYPERLINK("http://mirror.ff7data.com.ar/ff7/data/battle/battle.lgp/nibn.png","View Picture")</f>
        <v>View Picture</v>
      </c>
    </row>
    <row r="7762">
      <c r="A7762" s="55"/>
      <c r="B7762" s="119" t="s">
        <v>39967</v>
      </c>
      <c r="C7762" s="120" t="s">
        <v>26381</v>
      </c>
      <c r="D7762" s="33" t="s">
        <v>39779</v>
      </c>
      <c r="E7762" s="51" t="s">
        <v>1640</v>
      </c>
      <c r="F7762" s="121" t="s">
        <v>3009</v>
      </c>
      <c r="G7762" s="98" t="str">
        <f>HYPERLINK("http://mirror.ff7data.com.ar/ff7/data/battle/battle.lgp/nibp.png","View Picture")</f>
        <v>View Picture</v>
      </c>
    </row>
    <row r="7763">
      <c r="A7763" s="55"/>
      <c r="B7763" s="119" t="s">
        <v>39968</v>
      </c>
      <c r="C7763" s="120" t="s">
        <v>6010</v>
      </c>
      <c r="D7763" s="33" t="s">
        <v>39779</v>
      </c>
      <c r="E7763" s="51" t="s">
        <v>1640</v>
      </c>
      <c r="F7763" s="121" t="s">
        <v>3025</v>
      </c>
      <c r="H7763" s="46" t="s">
        <v>3002</v>
      </c>
    </row>
    <row r="7764">
      <c r="A7764" s="55"/>
      <c r="B7764" s="119" t="s">
        <v>39969</v>
      </c>
      <c r="C7764" s="120" t="s">
        <v>2989</v>
      </c>
      <c r="D7764" s="33" t="s">
        <v>39777</v>
      </c>
      <c r="E7764" s="51" t="s">
        <v>1642</v>
      </c>
      <c r="F7764" s="121" t="s">
        <v>2971</v>
      </c>
      <c r="G7764" s="98" t="str">
        <f>HYPERLINK("http://mirror.ff7data.com.ar/ff7/data/battle/battle.lgp/njaa.png","View Picture")</f>
        <v>View Picture</v>
      </c>
      <c r="H7764" s="46" t="s">
        <v>39970</v>
      </c>
    </row>
    <row r="7765">
      <c r="A7765" s="55"/>
      <c r="B7765" s="119" t="s">
        <v>39971</v>
      </c>
      <c r="C7765" s="120" t="s">
        <v>20511</v>
      </c>
      <c r="D7765" s="33" t="s">
        <v>39779</v>
      </c>
      <c r="E7765" s="51" t="s">
        <v>1642</v>
      </c>
      <c r="F7765" s="121" t="s">
        <v>2993</v>
      </c>
      <c r="H7765" s="46" t="s">
        <v>3002</v>
      </c>
    </row>
    <row r="7766">
      <c r="A7766" s="55"/>
      <c r="B7766" s="119" t="s">
        <v>39972</v>
      </c>
      <c r="C7766" s="120" t="s">
        <v>4476</v>
      </c>
      <c r="D7766" s="33" t="s">
        <v>39779</v>
      </c>
      <c r="E7766" s="51" t="s">
        <v>1642</v>
      </c>
      <c r="F7766" s="121" t="s">
        <v>3009</v>
      </c>
      <c r="G7766" s="98" t="str">
        <f>HYPERLINK("http://mirror.ff7data.com.ar/ff7/data/battle/battle.lgp/njam.png","View Picture")</f>
        <v>View Picture</v>
      </c>
    </row>
    <row r="7767">
      <c r="A7767" s="55"/>
      <c r="B7767" s="119" t="s">
        <v>39973</v>
      </c>
      <c r="C7767" s="120" t="s">
        <v>4719</v>
      </c>
      <c r="D7767" s="33" t="s">
        <v>39779</v>
      </c>
      <c r="E7767" s="51" t="s">
        <v>1642</v>
      </c>
      <c r="F7767" s="121" t="s">
        <v>3009</v>
      </c>
      <c r="G7767" s="98" t="str">
        <f>HYPERLINK("http://mirror.ff7data.com.ar/ff7/data/battle/battle.lgp/njan.png","View Picture")</f>
        <v>View Picture</v>
      </c>
    </row>
    <row r="7768">
      <c r="A7768" s="55"/>
      <c r="B7768" s="119" t="s">
        <v>39974</v>
      </c>
      <c r="C7768" s="120" t="s">
        <v>3445</v>
      </c>
      <c r="D7768" s="33" t="s">
        <v>39779</v>
      </c>
      <c r="E7768" s="51" t="s">
        <v>1642</v>
      </c>
      <c r="F7768" s="121" t="s">
        <v>3009</v>
      </c>
      <c r="G7768" s="98" t="str">
        <f>HYPERLINK("http://mirror.ff7data.com.ar/ff7/data/battle/battle.lgp/njao.png","View Picture")</f>
        <v>View Picture</v>
      </c>
    </row>
    <row r="7769">
      <c r="A7769" s="55"/>
      <c r="B7769" s="119" t="s">
        <v>39975</v>
      </c>
      <c r="C7769" s="120" t="s">
        <v>4185</v>
      </c>
      <c r="D7769" s="33" t="s">
        <v>39779</v>
      </c>
      <c r="E7769" s="51" t="s">
        <v>1642</v>
      </c>
      <c r="F7769" s="121" t="s">
        <v>3009</v>
      </c>
      <c r="G7769" s="98" t="str">
        <f>HYPERLINK("http://mirror.ff7data.com.ar/ff7/data/battle/battle.lgp/njaq.png","View Picture")</f>
        <v>View Picture</v>
      </c>
    </row>
    <row r="7770">
      <c r="A7770" s="55"/>
      <c r="B7770" s="119" t="s">
        <v>39976</v>
      </c>
      <c r="C7770" s="120" t="s">
        <v>4439</v>
      </c>
      <c r="D7770" s="33" t="s">
        <v>39779</v>
      </c>
      <c r="E7770" s="51" t="s">
        <v>1642</v>
      </c>
      <c r="F7770" s="121" t="s">
        <v>3009</v>
      </c>
      <c r="G7770" s="98" t="str">
        <f>HYPERLINK("http://mirror.ff7data.com.ar/ff7/data/battle/battle.lgp/njar.png","View Picture")</f>
        <v>View Picture</v>
      </c>
    </row>
    <row r="7771">
      <c r="A7771" s="55"/>
      <c r="B7771" s="119" t="s">
        <v>39977</v>
      </c>
      <c r="C7771" s="120" t="s">
        <v>4841</v>
      </c>
      <c r="D7771" s="33" t="s">
        <v>39779</v>
      </c>
      <c r="E7771" s="51" t="s">
        <v>1642</v>
      </c>
      <c r="F7771" s="121" t="s">
        <v>3009</v>
      </c>
      <c r="G7771" s="98" t="str">
        <f>HYPERLINK("http://mirror.ff7data.com.ar/ff7/data/battle/battle.lgp/njas.png","View Picture")</f>
        <v>View Picture</v>
      </c>
    </row>
    <row r="7772">
      <c r="A7772" s="55"/>
      <c r="B7772" s="119" t="s">
        <v>39978</v>
      </c>
      <c r="C7772" s="120" t="s">
        <v>4476</v>
      </c>
      <c r="D7772" s="33" t="s">
        <v>39779</v>
      </c>
      <c r="E7772" s="51" t="s">
        <v>1642</v>
      </c>
      <c r="F7772" s="121" t="s">
        <v>3009</v>
      </c>
      <c r="G7772" s="98" t="str">
        <f>HYPERLINK("http://mirror.ff7data.com.ar/ff7/data/battle/battle.lgp/njat.png","View Picture")</f>
        <v>View Picture</v>
      </c>
    </row>
    <row r="7773">
      <c r="A7773" s="55"/>
      <c r="B7773" s="119" t="s">
        <v>39979</v>
      </c>
      <c r="C7773" s="120" t="s">
        <v>4185</v>
      </c>
      <c r="D7773" s="33" t="s">
        <v>39779</v>
      </c>
      <c r="E7773" s="51" t="s">
        <v>1642</v>
      </c>
      <c r="F7773" s="121" t="s">
        <v>3009</v>
      </c>
      <c r="G7773" s="98" t="str">
        <f>HYPERLINK("http://mirror.ff7data.com.ar/ff7/data/battle/battle.lgp/njav.png","View Picture")</f>
        <v>View Picture</v>
      </c>
    </row>
    <row r="7774">
      <c r="A7774" s="55"/>
      <c r="B7774" s="119" t="s">
        <v>39980</v>
      </c>
      <c r="C7774" s="120" t="s">
        <v>4372</v>
      </c>
      <c r="D7774" s="33" t="s">
        <v>39779</v>
      </c>
      <c r="E7774" s="51" t="s">
        <v>1642</v>
      </c>
      <c r="F7774" s="121" t="s">
        <v>3009</v>
      </c>
      <c r="G7774" s="98" t="str">
        <f>HYPERLINK("http://mirror.ff7data.com.ar/ff7/data/battle/battle.lgp/njax.png","View Picture")</f>
        <v>View Picture</v>
      </c>
    </row>
    <row r="7775">
      <c r="A7775" s="55"/>
      <c r="B7775" s="119" t="s">
        <v>39981</v>
      </c>
      <c r="C7775" s="120" t="s">
        <v>4288</v>
      </c>
      <c r="D7775" s="33" t="s">
        <v>39779</v>
      </c>
      <c r="E7775" s="51" t="s">
        <v>1642</v>
      </c>
      <c r="F7775" s="121" t="s">
        <v>3009</v>
      </c>
      <c r="G7775" s="98" t="str">
        <f>HYPERLINK("http://mirror.ff7data.com.ar/ff7/data/battle/battle.lgp/njay.png","View Picture")</f>
        <v>View Picture</v>
      </c>
    </row>
    <row r="7776">
      <c r="A7776" s="55"/>
      <c r="B7776" s="119" t="s">
        <v>39982</v>
      </c>
      <c r="C7776" s="120" t="s">
        <v>4185</v>
      </c>
      <c r="D7776" s="33" t="s">
        <v>39779</v>
      </c>
      <c r="E7776" s="51" t="s">
        <v>1642</v>
      </c>
      <c r="F7776" s="121" t="s">
        <v>3009</v>
      </c>
      <c r="G7776" s="98" t="str">
        <f>HYPERLINK("http://mirror.ff7data.com.ar/ff7/data/battle/battle.lgp/njaz.png","View Picture")</f>
        <v>View Picture</v>
      </c>
    </row>
    <row r="7777">
      <c r="A7777" s="55"/>
      <c r="B7777" s="119" t="s">
        <v>39983</v>
      </c>
      <c r="C7777" s="120" t="s">
        <v>26381</v>
      </c>
      <c r="D7777" s="33" t="s">
        <v>39779</v>
      </c>
      <c r="E7777" s="51" t="s">
        <v>1642</v>
      </c>
      <c r="F7777" s="121" t="s">
        <v>3009</v>
      </c>
      <c r="G7777" s="98" t="str">
        <f>HYPERLINK("http://mirror.ff7data.com.ar/ff7/data/battle/battle.lgp/njbb.png","View Picture")</f>
        <v>View Picture</v>
      </c>
    </row>
    <row r="7778">
      <c r="A7778" s="55"/>
      <c r="B7778" s="119" t="s">
        <v>39984</v>
      </c>
      <c r="C7778" s="120" t="s">
        <v>26381</v>
      </c>
      <c r="D7778" s="33" t="s">
        <v>39779</v>
      </c>
      <c r="E7778" s="51" t="s">
        <v>1642</v>
      </c>
      <c r="F7778" s="121" t="s">
        <v>3009</v>
      </c>
      <c r="G7778" s="98" t="str">
        <f>HYPERLINK("http://mirror.ff7data.com.ar/ff7/data/battle/battle.lgp/njbd.png","View Picture")</f>
        <v>View Picture</v>
      </c>
    </row>
    <row r="7779">
      <c r="A7779" s="55"/>
      <c r="B7779" s="119" t="s">
        <v>39985</v>
      </c>
      <c r="C7779" s="120" t="s">
        <v>26381</v>
      </c>
      <c r="D7779" s="33" t="s">
        <v>39779</v>
      </c>
      <c r="E7779" s="51" t="s">
        <v>1642</v>
      </c>
      <c r="F7779" s="121" t="s">
        <v>3009</v>
      </c>
      <c r="G7779" s="98" t="str">
        <f>HYPERLINK("http://mirror.ff7data.com.ar/ff7/data/battle/battle.lgp/njbf.png","View Picture")</f>
        <v>View Picture</v>
      </c>
    </row>
    <row r="7780">
      <c r="A7780" s="55"/>
      <c r="B7780" s="119" t="s">
        <v>39986</v>
      </c>
      <c r="C7780" s="120" t="s">
        <v>4372</v>
      </c>
      <c r="D7780" s="33" t="s">
        <v>39779</v>
      </c>
      <c r="E7780" s="51" t="s">
        <v>1642</v>
      </c>
      <c r="F7780" s="121" t="s">
        <v>3009</v>
      </c>
      <c r="G7780" s="98" t="str">
        <f>HYPERLINK("http://mirror.ff7data.com.ar/ff7/data/battle/battle.lgp/njbh.png","View Picture")</f>
        <v>View Picture</v>
      </c>
    </row>
    <row r="7781">
      <c r="A7781" s="55"/>
      <c r="B7781" s="119" t="s">
        <v>39987</v>
      </c>
      <c r="C7781" s="120" t="s">
        <v>4288</v>
      </c>
      <c r="D7781" s="33" t="s">
        <v>39779</v>
      </c>
      <c r="E7781" s="51" t="s">
        <v>1642</v>
      </c>
      <c r="F7781" s="121" t="s">
        <v>3009</v>
      </c>
      <c r="G7781" s="98" t="str">
        <f>HYPERLINK("http://mirror.ff7data.com.ar/ff7/data/battle/battle.lgp/njbi.png","View Picture")</f>
        <v>View Picture</v>
      </c>
    </row>
    <row r="7782">
      <c r="A7782" s="55"/>
      <c r="B7782" s="119" t="s">
        <v>39988</v>
      </c>
      <c r="C7782" s="120" t="s">
        <v>4185</v>
      </c>
      <c r="D7782" s="33" t="s">
        <v>39779</v>
      </c>
      <c r="E7782" s="51" t="s">
        <v>1642</v>
      </c>
      <c r="F7782" s="121" t="s">
        <v>3009</v>
      </c>
      <c r="G7782" s="98" t="str">
        <f>HYPERLINK("http://mirror.ff7data.com.ar/ff7/data/battle/battle.lgp/njbj.png","View Picture")</f>
        <v>View Picture</v>
      </c>
    </row>
    <row r="7783">
      <c r="A7783" s="55"/>
      <c r="B7783" s="119" t="s">
        <v>39989</v>
      </c>
      <c r="C7783" s="120" t="s">
        <v>4288</v>
      </c>
      <c r="D7783" s="33" t="s">
        <v>39779</v>
      </c>
      <c r="E7783" s="51" t="s">
        <v>1642</v>
      </c>
      <c r="F7783" s="121" t="s">
        <v>3009</v>
      </c>
      <c r="G7783" s="98" t="str">
        <f>HYPERLINK("http://mirror.ff7data.com.ar/ff7/data/battle/battle.lgp/njbl.png","View Picture")</f>
        <v>View Picture</v>
      </c>
    </row>
    <row r="7784">
      <c r="A7784" s="55"/>
      <c r="B7784" s="119" t="s">
        <v>39990</v>
      </c>
      <c r="C7784" s="120" t="s">
        <v>26381</v>
      </c>
      <c r="D7784" s="33" t="s">
        <v>39779</v>
      </c>
      <c r="E7784" s="51" t="s">
        <v>1642</v>
      </c>
      <c r="F7784" s="121" t="s">
        <v>3009</v>
      </c>
      <c r="G7784" s="98" t="str">
        <f>HYPERLINK("http://mirror.ff7data.com.ar/ff7/data/battle/battle.lgp/njbn.png","View Picture")</f>
        <v>View Picture</v>
      </c>
    </row>
    <row r="7785">
      <c r="A7785" s="55"/>
      <c r="B7785" s="119" t="s">
        <v>39991</v>
      </c>
      <c r="C7785" s="120" t="s">
        <v>26381</v>
      </c>
      <c r="D7785" s="33" t="s">
        <v>39779</v>
      </c>
      <c r="E7785" s="51" t="s">
        <v>1642</v>
      </c>
      <c r="F7785" s="121" t="s">
        <v>3009</v>
      </c>
      <c r="G7785" s="98" t="str">
        <f>HYPERLINK("http://mirror.ff7data.com.ar/ff7/data/battle/battle.lgp/njbp.png","View Picture")</f>
        <v>View Picture</v>
      </c>
    </row>
    <row r="7786">
      <c r="A7786" s="55"/>
      <c r="B7786" s="119" t="s">
        <v>39992</v>
      </c>
      <c r="C7786" s="120" t="s">
        <v>6010</v>
      </c>
      <c r="D7786" s="33" t="s">
        <v>39779</v>
      </c>
      <c r="E7786" s="51" t="s">
        <v>1642</v>
      </c>
      <c r="F7786" s="121" t="s">
        <v>3025</v>
      </c>
      <c r="H7786" s="46" t="s">
        <v>3002</v>
      </c>
    </row>
    <row r="7787">
      <c r="A7787" s="55"/>
      <c r="B7787" s="119" t="s">
        <v>39993</v>
      </c>
      <c r="C7787" s="120" t="s">
        <v>2989</v>
      </c>
      <c r="D7787" s="33" t="s">
        <v>39777</v>
      </c>
      <c r="E7787" s="51" t="s">
        <v>1644</v>
      </c>
      <c r="F7787" s="121" t="s">
        <v>2971</v>
      </c>
      <c r="G7787" s="98" t="str">
        <f>HYPERLINK("http://mirror.ff7data.com.ar/ff7/data/battle/battle.lgp/nkaa.png","View Picture")</f>
        <v>View Picture</v>
      </c>
      <c r="H7787" s="46" t="s">
        <v>39994</v>
      </c>
    </row>
    <row r="7788">
      <c r="A7788" s="55"/>
      <c r="B7788" s="119" t="s">
        <v>39995</v>
      </c>
      <c r="C7788" s="120" t="s">
        <v>20511</v>
      </c>
      <c r="D7788" s="33" t="s">
        <v>39779</v>
      </c>
      <c r="E7788" s="51" t="s">
        <v>1644</v>
      </c>
      <c r="F7788" s="121" t="s">
        <v>2993</v>
      </c>
      <c r="H7788" s="46" t="s">
        <v>3002</v>
      </c>
    </row>
    <row r="7789">
      <c r="A7789" s="55"/>
      <c r="B7789" s="119" t="s">
        <v>39996</v>
      </c>
      <c r="C7789" s="120" t="s">
        <v>4476</v>
      </c>
      <c r="D7789" s="33" t="s">
        <v>39779</v>
      </c>
      <c r="E7789" s="51" t="s">
        <v>1644</v>
      </c>
      <c r="F7789" s="121" t="s">
        <v>3009</v>
      </c>
      <c r="G7789" s="98" t="str">
        <f>HYPERLINK("http://mirror.ff7data.com.ar/ff7/data/battle/battle.lgp/nkam.png","View Picture")</f>
        <v>View Picture</v>
      </c>
    </row>
    <row r="7790">
      <c r="A7790" s="55"/>
      <c r="B7790" s="119" t="s">
        <v>39997</v>
      </c>
      <c r="C7790" s="120" t="s">
        <v>4719</v>
      </c>
      <c r="D7790" s="33" t="s">
        <v>39779</v>
      </c>
      <c r="E7790" s="51" t="s">
        <v>1644</v>
      </c>
      <c r="F7790" s="121" t="s">
        <v>3009</v>
      </c>
      <c r="G7790" s="98" t="str">
        <f>HYPERLINK("http://mirror.ff7data.com.ar/ff7/data/battle/battle.lgp/nkan.png","View Picture")</f>
        <v>View Picture</v>
      </c>
    </row>
    <row r="7791">
      <c r="A7791" s="55"/>
      <c r="B7791" s="119" t="s">
        <v>39998</v>
      </c>
      <c r="C7791" s="120" t="s">
        <v>3445</v>
      </c>
      <c r="D7791" s="33" t="s">
        <v>39779</v>
      </c>
      <c r="E7791" s="51" t="s">
        <v>1644</v>
      </c>
      <c r="F7791" s="121" t="s">
        <v>3009</v>
      </c>
      <c r="G7791" s="98" t="str">
        <f>HYPERLINK("http://mirror.ff7data.com.ar/ff7/data/battle/battle.lgp/nkao.png","View Picture")</f>
        <v>View Picture</v>
      </c>
    </row>
    <row r="7792">
      <c r="A7792" s="55"/>
      <c r="B7792" s="119" t="s">
        <v>39999</v>
      </c>
      <c r="C7792" s="120" t="s">
        <v>4185</v>
      </c>
      <c r="D7792" s="33" t="s">
        <v>39779</v>
      </c>
      <c r="E7792" s="51" t="s">
        <v>1644</v>
      </c>
      <c r="F7792" s="121" t="s">
        <v>3009</v>
      </c>
      <c r="G7792" s="98" t="str">
        <f>HYPERLINK("http://mirror.ff7data.com.ar/ff7/data/battle/battle.lgp/nkaq.png","View Picture")</f>
        <v>View Picture</v>
      </c>
    </row>
    <row r="7793">
      <c r="A7793" s="55"/>
      <c r="B7793" s="119" t="s">
        <v>40000</v>
      </c>
      <c r="C7793" s="120" t="s">
        <v>4439</v>
      </c>
      <c r="D7793" s="33" t="s">
        <v>39779</v>
      </c>
      <c r="E7793" s="51" t="s">
        <v>1644</v>
      </c>
      <c r="F7793" s="121" t="s">
        <v>3009</v>
      </c>
      <c r="G7793" s="98" t="str">
        <f>HYPERLINK("http://mirror.ff7data.com.ar/ff7/data/battle/battle.lgp/nkar.png","View Picture")</f>
        <v>View Picture</v>
      </c>
    </row>
    <row r="7794">
      <c r="A7794" s="55"/>
      <c r="B7794" s="119" t="s">
        <v>40001</v>
      </c>
      <c r="C7794" s="120" t="s">
        <v>4841</v>
      </c>
      <c r="D7794" s="33" t="s">
        <v>39779</v>
      </c>
      <c r="E7794" s="51" t="s">
        <v>1644</v>
      </c>
      <c r="F7794" s="121" t="s">
        <v>3009</v>
      </c>
      <c r="G7794" s="98" t="str">
        <f>HYPERLINK("http://mirror.ff7data.com.ar/ff7/data/battle/battle.lgp/nkas.png","View Picture")</f>
        <v>View Picture</v>
      </c>
    </row>
    <row r="7795">
      <c r="A7795" s="55"/>
      <c r="B7795" s="119" t="s">
        <v>40002</v>
      </c>
      <c r="C7795" s="120" t="s">
        <v>4476</v>
      </c>
      <c r="D7795" s="33" t="s">
        <v>39779</v>
      </c>
      <c r="E7795" s="51" t="s">
        <v>1644</v>
      </c>
      <c r="F7795" s="121" t="s">
        <v>3009</v>
      </c>
      <c r="G7795" s="98" t="str">
        <f>HYPERLINK("http://mirror.ff7data.com.ar/ff7/data/battle/battle.lgp/nkat.png","View Picture")</f>
        <v>View Picture</v>
      </c>
    </row>
    <row r="7796">
      <c r="A7796" s="55"/>
      <c r="B7796" s="119" t="s">
        <v>40003</v>
      </c>
      <c r="C7796" s="120" t="s">
        <v>4185</v>
      </c>
      <c r="D7796" s="33" t="s">
        <v>39779</v>
      </c>
      <c r="E7796" s="51" t="s">
        <v>1644</v>
      </c>
      <c r="F7796" s="121" t="s">
        <v>3009</v>
      </c>
      <c r="G7796" s="98" t="str">
        <f>HYPERLINK("http://mirror.ff7data.com.ar/ff7/data/battle/battle.lgp/nkav.png","View Picture")</f>
        <v>View Picture</v>
      </c>
    </row>
    <row r="7797">
      <c r="A7797" s="55"/>
      <c r="B7797" s="119" t="s">
        <v>40004</v>
      </c>
      <c r="C7797" s="120" t="s">
        <v>4372</v>
      </c>
      <c r="D7797" s="33" t="s">
        <v>39779</v>
      </c>
      <c r="E7797" s="51" t="s">
        <v>1644</v>
      </c>
      <c r="F7797" s="121" t="s">
        <v>3009</v>
      </c>
      <c r="G7797" s="98" t="str">
        <f>HYPERLINK("http://mirror.ff7data.com.ar/ff7/data/battle/battle.lgp/nkax.png","View Picture")</f>
        <v>View Picture</v>
      </c>
    </row>
    <row r="7798">
      <c r="A7798" s="55"/>
      <c r="B7798" s="119" t="s">
        <v>40005</v>
      </c>
      <c r="C7798" s="120" t="s">
        <v>4288</v>
      </c>
      <c r="D7798" s="33" t="s">
        <v>39779</v>
      </c>
      <c r="E7798" s="51" t="s">
        <v>1644</v>
      </c>
      <c r="F7798" s="121" t="s">
        <v>3009</v>
      </c>
      <c r="G7798" s="98" t="str">
        <f>HYPERLINK("http://mirror.ff7data.com.ar/ff7/data/battle/battle.lgp/nkay.png","View Picture")</f>
        <v>View Picture</v>
      </c>
    </row>
    <row r="7799">
      <c r="A7799" s="55"/>
      <c r="B7799" s="119" t="s">
        <v>40006</v>
      </c>
      <c r="C7799" s="120" t="s">
        <v>4185</v>
      </c>
      <c r="D7799" s="33" t="s">
        <v>39779</v>
      </c>
      <c r="E7799" s="51" t="s">
        <v>1644</v>
      </c>
      <c r="F7799" s="121" t="s">
        <v>3009</v>
      </c>
      <c r="G7799" s="98" t="str">
        <f>HYPERLINK("http://mirror.ff7data.com.ar/ff7/data/battle/battle.lgp/nkaz.png","View Picture")</f>
        <v>View Picture</v>
      </c>
    </row>
    <row r="7800">
      <c r="A7800" s="55"/>
      <c r="B7800" s="119" t="s">
        <v>40007</v>
      </c>
      <c r="C7800" s="120" t="s">
        <v>26381</v>
      </c>
      <c r="D7800" s="33" t="s">
        <v>39779</v>
      </c>
      <c r="E7800" s="51" t="s">
        <v>1644</v>
      </c>
      <c r="F7800" s="121" t="s">
        <v>3009</v>
      </c>
      <c r="G7800" s="98" t="str">
        <f>HYPERLINK("http://mirror.ff7data.com.ar/ff7/data/battle/battle.lgp/nkbb.png","View Picture")</f>
        <v>View Picture</v>
      </c>
    </row>
    <row r="7801">
      <c r="A7801" s="55"/>
      <c r="B7801" s="119" t="s">
        <v>40008</v>
      </c>
      <c r="C7801" s="120" t="s">
        <v>26381</v>
      </c>
      <c r="D7801" s="33" t="s">
        <v>39779</v>
      </c>
      <c r="E7801" s="51" t="s">
        <v>1644</v>
      </c>
      <c r="F7801" s="121" t="s">
        <v>3009</v>
      </c>
      <c r="G7801" s="98" t="str">
        <f>HYPERLINK("http://mirror.ff7data.com.ar/ff7/data/battle/battle.lgp/nkbd.png","View Picture")</f>
        <v>View Picture</v>
      </c>
    </row>
    <row r="7802">
      <c r="A7802" s="55"/>
      <c r="B7802" s="119" t="s">
        <v>40009</v>
      </c>
      <c r="C7802" s="120" t="s">
        <v>26381</v>
      </c>
      <c r="D7802" s="33" t="s">
        <v>39779</v>
      </c>
      <c r="E7802" s="51" t="s">
        <v>1644</v>
      </c>
      <c r="F7802" s="121" t="s">
        <v>3009</v>
      </c>
      <c r="G7802" s="98" t="str">
        <f>HYPERLINK("http://mirror.ff7data.com.ar/ff7/data/battle/battle.lgp/nkbf.png","View Picture")</f>
        <v>View Picture</v>
      </c>
    </row>
    <row r="7803">
      <c r="A7803" s="55"/>
      <c r="B7803" s="119" t="s">
        <v>40010</v>
      </c>
      <c r="C7803" s="120" t="s">
        <v>4372</v>
      </c>
      <c r="D7803" s="33" t="s">
        <v>39779</v>
      </c>
      <c r="E7803" s="51" t="s">
        <v>1644</v>
      </c>
      <c r="F7803" s="121" t="s">
        <v>3009</v>
      </c>
      <c r="G7803" s="98" t="str">
        <f>HYPERLINK("http://mirror.ff7data.com.ar/ff7/data/battle/battle.lgp/nkbh.png","View Picture")</f>
        <v>View Picture</v>
      </c>
    </row>
    <row r="7804">
      <c r="A7804" s="55"/>
      <c r="B7804" s="119" t="s">
        <v>40011</v>
      </c>
      <c r="C7804" s="120" t="s">
        <v>4288</v>
      </c>
      <c r="D7804" s="33" t="s">
        <v>39779</v>
      </c>
      <c r="E7804" s="51" t="s">
        <v>1644</v>
      </c>
      <c r="F7804" s="121" t="s">
        <v>3009</v>
      </c>
      <c r="G7804" s="98" t="str">
        <f>HYPERLINK("http://mirror.ff7data.com.ar/ff7/data/battle/battle.lgp/nkbi.png","View Picture")</f>
        <v>View Picture</v>
      </c>
    </row>
    <row r="7805">
      <c r="A7805" s="55"/>
      <c r="B7805" s="119" t="s">
        <v>40012</v>
      </c>
      <c r="C7805" s="120" t="s">
        <v>4185</v>
      </c>
      <c r="D7805" s="33" t="s">
        <v>39779</v>
      </c>
      <c r="E7805" s="51" t="s">
        <v>1644</v>
      </c>
      <c r="F7805" s="121" t="s">
        <v>3009</v>
      </c>
      <c r="G7805" s="98" t="str">
        <f>HYPERLINK("http://mirror.ff7data.com.ar/ff7/data/battle/battle.lgp/nkbj.png","View Picture")</f>
        <v>View Picture</v>
      </c>
    </row>
    <row r="7806">
      <c r="A7806" s="55"/>
      <c r="B7806" s="119" t="s">
        <v>40013</v>
      </c>
      <c r="C7806" s="120" t="s">
        <v>4288</v>
      </c>
      <c r="D7806" s="33" t="s">
        <v>39779</v>
      </c>
      <c r="E7806" s="51" t="s">
        <v>1644</v>
      </c>
      <c r="F7806" s="121" t="s">
        <v>3009</v>
      </c>
      <c r="G7806" s="98" t="str">
        <f>HYPERLINK("http://mirror.ff7data.com.ar/ff7/data/battle/battle.lgp/nkbl.png","View Picture")</f>
        <v>View Picture</v>
      </c>
    </row>
    <row r="7807">
      <c r="A7807" s="55"/>
      <c r="B7807" s="119" t="s">
        <v>40014</v>
      </c>
      <c r="C7807" s="120" t="s">
        <v>26381</v>
      </c>
      <c r="D7807" s="33" t="s">
        <v>39779</v>
      </c>
      <c r="E7807" s="51" t="s">
        <v>1644</v>
      </c>
      <c r="F7807" s="121" t="s">
        <v>3009</v>
      </c>
      <c r="G7807" s="98" t="str">
        <f>HYPERLINK("http://mirror.ff7data.com.ar/ff7/data/battle/battle.lgp/nkbn.png","View Picture")</f>
        <v>View Picture</v>
      </c>
    </row>
    <row r="7808">
      <c r="A7808" s="55"/>
      <c r="B7808" s="119" t="s">
        <v>40015</v>
      </c>
      <c r="C7808" s="120" t="s">
        <v>26381</v>
      </c>
      <c r="D7808" s="33" t="s">
        <v>39779</v>
      </c>
      <c r="E7808" s="51" t="s">
        <v>1644</v>
      </c>
      <c r="F7808" s="121" t="s">
        <v>3009</v>
      </c>
      <c r="G7808" s="98" t="str">
        <f>HYPERLINK("http://mirror.ff7data.com.ar/ff7/data/battle/battle.lgp/nkbp.png","View Picture")</f>
        <v>View Picture</v>
      </c>
    </row>
    <row r="7809">
      <c r="A7809" s="55"/>
      <c r="B7809" s="119" t="s">
        <v>40016</v>
      </c>
      <c r="C7809" s="120" t="s">
        <v>6010</v>
      </c>
      <c r="D7809" s="33" t="s">
        <v>39779</v>
      </c>
      <c r="E7809" s="51" t="s">
        <v>1644</v>
      </c>
      <c r="F7809" s="121" t="s">
        <v>3025</v>
      </c>
      <c r="H7809" s="46" t="s">
        <v>3002</v>
      </c>
    </row>
    <row r="7810">
      <c r="A7810" s="55"/>
      <c r="B7810" s="119" t="s">
        <v>40017</v>
      </c>
      <c r="C7810" s="120" t="s">
        <v>2989</v>
      </c>
      <c r="D7810" s="33" t="s">
        <v>39777</v>
      </c>
      <c r="E7810" s="51" t="s">
        <v>1648</v>
      </c>
      <c r="F7810" s="121" t="s">
        <v>2971</v>
      </c>
      <c r="G7810" s="98" t="str">
        <f>HYPERLINK("http://mirror.ff7data.com.ar/ff7/data/battle/battle.lgp/nlaa.png","View Picture")</f>
        <v>View Picture</v>
      </c>
      <c r="H7810" s="46" t="s">
        <v>40018</v>
      </c>
    </row>
    <row r="7811">
      <c r="A7811" s="55"/>
      <c r="B7811" s="119" t="s">
        <v>40019</v>
      </c>
      <c r="C7811" s="120" t="s">
        <v>20511</v>
      </c>
      <c r="D7811" s="33" t="s">
        <v>39779</v>
      </c>
      <c r="E7811" s="51" t="s">
        <v>1648</v>
      </c>
      <c r="F7811" s="121" t="s">
        <v>2993</v>
      </c>
      <c r="H7811" s="46" t="s">
        <v>3002</v>
      </c>
    </row>
    <row r="7812">
      <c r="A7812" s="55"/>
      <c r="B7812" s="119" t="s">
        <v>40020</v>
      </c>
      <c r="C7812" s="120" t="s">
        <v>4476</v>
      </c>
      <c r="D7812" s="33" t="s">
        <v>39779</v>
      </c>
      <c r="E7812" s="51" t="s">
        <v>1648</v>
      </c>
      <c r="F7812" s="121" t="s">
        <v>3009</v>
      </c>
      <c r="G7812" s="98" t="str">
        <f>HYPERLINK("http://mirror.ff7data.com.ar/ff7/data/battle/battle.lgp/nlam.png","View Picture")</f>
        <v>View Picture</v>
      </c>
    </row>
    <row r="7813">
      <c r="A7813" s="55"/>
      <c r="B7813" s="119" t="s">
        <v>40021</v>
      </c>
      <c r="C7813" s="120" t="s">
        <v>4719</v>
      </c>
      <c r="D7813" s="33" t="s">
        <v>39779</v>
      </c>
      <c r="E7813" s="51" t="s">
        <v>1648</v>
      </c>
      <c r="F7813" s="121" t="s">
        <v>3009</v>
      </c>
      <c r="G7813" s="98" t="str">
        <f>HYPERLINK("http://mirror.ff7data.com.ar/ff7/data/battle/battle.lgp/nlan.png","View Picture")</f>
        <v>View Picture</v>
      </c>
    </row>
    <row r="7814">
      <c r="A7814" s="55"/>
      <c r="B7814" s="119" t="s">
        <v>40022</v>
      </c>
      <c r="C7814" s="120" t="s">
        <v>3445</v>
      </c>
      <c r="D7814" s="33" t="s">
        <v>39779</v>
      </c>
      <c r="E7814" s="51" t="s">
        <v>1648</v>
      </c>
      <c r="F7814" s="121" t="s">
        <v>3009</v>
      </c>
      <c r="G7814" s="98" t="str">
        <f>HYPERLINK("http://mirror.ff7data.com.ar/ff7/data/battle/battle.lgp/nlao.png","View Picture")</f>
        <v>View Picture</v>
      </c>
    </row>
    <row r="7815">
      <c r="A7815" s="55"/>
      <c r="B7815" s="119" t="s">
        <v>40023</v>
      </c>
      <c r="C7815" s="120" t="s">
        <v>4185</v>
      </c>
      <c r="D7815" s="33" t="s">
        <v>39779</v>
      </c>
      <c r="E7815" s="51" t="s">
        <v>1648</v>
      </c>
      <c r="F7815" s="121" t="s">
        <v>3009</v>
      </c>
      <c r="G7815" s="98" t="str">
        <f>HYPERLINK("http://mirror.ff7data.com.ar/ff7/data/battle/battle.lgp/nlaq.png","View Picture")</f>
        <v>View Picture</v>
      </c>
    </row>
    <row r="7816">
      <c r="A7816" s="55"/>
      <c r="B7816" s="119" t="s">
        <v>40024</v>
      </c>
      <c r="C7816" s="120" t="s">
        <v>4439</v>
      </c>
      <c r="D7816" s="33" t="s">
        <v>39779</v>
      </c>
      <c r="E7816" s="51" t="s">
        <v>1648</v>
      </c>
      <c r="F7816" s="121" t="s">
        <v>3009</v>
      </c>
      <c r="G7816" s="98" t="str">
        <f>HYPERLINK("http://mirror.ff7data.com.ar/ff7/data/battle/battle.lgp/nlar.png","View Picture")</f>
        <v>View Picture</v>
      </c>
    </row>
    <row r="7817">
      <c r="A7817" s="55"/>
      <c r="B7817" s="119" t="s">
        <v>40025</v>
      </c>
      <c r="C7817" s="120" t="s">
        <v>4841</v>
      </c>
      <c r="D7817" s="33" t="s">
        <v>39779</v>
      </c>
      <c r="E7817" s="51" t="s">
        <v>1648</v>
      </c>
      <c r="F7817" s="121" t="s">
        <v>3009</v>
      </c>
      <c r="G7817" s="98" t="str">
        <f>HYPERLINK("http://mirror.ff7data.com.ar/ff7/data/battle/battle.lgp/nlas.png","View Picture")</f>
        <v>View Picture</v>
      </c>
    </row>
    <row r="7818">
      <c r="A7818" s="55"/>
      <c r="B7818" s="119" t="s">
        <v>40026</v>
      </c>
      <c r="C7818" s="120" t="s">
        <v>4476</v>
      </c>
      <c r="D7818" s="33" t="s">
        <v>39779</v>
      </c>
      <c r="E7818" s="51" t="s">
        <v>1648</v>
      </c>
      <c r="F7818" s="121" t="s">
        <v>3009</v>
      </c>
      <c r="G7818" s="98" t="str">
        <f>HYPERLINK("http://mirror.ff7data.com.ar/ff7/data/battle/battle.lgp/nlat.png","View Picture")</f>
        <v>View Picture</v>
      </c>
    </row>
    <row r="7819">
      <c r="A7819" s="55"/>
      <c r="B7819" s="119" t="s">
        <v>40027</v>
      </c>
      <c r="C7819" s="120" t="s">
        <v>4185</v>
      </c>
      <c r="D7819" s="33" t="s">
        <v>39779</v>
      </c>
      <c r="E7819" s="51" t="s">
        <v>1648</v>
      </c>
      <c r="F7819" s="121" t="s">
        <v>3009</v>
      </c>
      <c r="G7819" s="98" t="str">
        <f>HYPERLINK("http://mirror.ff7data.com.ar/ff7/data/battle/battle.lgp/nlav.png","View Picture")</f>
        <v>View Picture</v>
      </c>
    </row>
    <row r="7820">
      <c r="A7820" s="55"/>
      <c r="B7820" s="119" t="s">
        <v>40028</v>
      </c>
      <c r="C7820" s="120" t="s">
        <v>4372</v>
      </c>
      <c r="D7820" s="33" t="s">
        <v>39779</v>
      </c>
      <c r="E7820" s="51" t="s">
        <v>1648</v>
      </c>
      <c r="F7820" s="121" t="s">
        <v>3009</v>
      </c>
      <c r="G7820" s="98" t="str">
        <f>HYPERLINK("http://mirror.ff7data.com.ar/ff7/data/battle/battle.lgp/nlax.png","View Picture")</f>
        <v>View Picture</v>
      </c>
    </row>
    <row r="7821">
      <c r="A7821" s="55"/>
      <c r="B7821" s="119" t="s">
        <v>40029</v>
      </c>
      <c r="C7821" s="120" t="s">
        <v>4288</v>
      </c>
      <c r="D7821" s="33" t="s">
        <v>39779</v>
      </c>
      <c r="E7821" s="51" t="s">
        <v>1648</v>
      </c>
      <c r="F7821" s="121" t="s">
        <v>3009</v>
      </c>
      <c r="G7821" s="98" t="str">
        <f>HYPERLINK("http://mirror.ff7data.com.ar/ff7/data/battle/battle.lgp/nlay.png","View Picture")</f>
        <v>View Picture</v>
      </c>
    </row>
    <row r="7822">
      <c r="A7822" s="55"/>
      <c r="B7822" s="119" t="s">
        <v>40030</v>
      </c>
      <c r="C7822" s="120" t="s">
        <v>4185</v>
      </c>
      <c r="D7822" s="33" t="s">
        <v>39779</v>
      </c>
      <c r="E7822" s="51" t="s">
        <v>1648</v>
      </c>
      <c r="F7822" s="121" t="s">
        <v>3009</v>
      </c>
      <c r="G7822" s="98" t="str">
        <f>HYPERLINK("http://mirror.ff7data.com.ar/ff7/data/battle/battle.lgp/nlaz.png","View Picture")</f>
        <v>View Picture</v>
      </c>
    </row>
    <row r="7823">
      <c r="A7823" s="55"/>
      <c r="B7823" s="119" t="s">
        <v>40031</v>
      </c>
      <c r="C7823" s="120" t="s">
        <v>26381</v>
      </c>
      <c r="D7823" s="33" t="s">
        <v>39779</v>
      </c>
      <c r="E7823" s="51" t="s">
        <v>1648</v>
      </c>
      <c r="F7823" s="121" t="s">
        <v>3009</v>
      </c>
      <c r="G7823" s="98" t="str">
        <f>HYPERLINK("http://mirror.ff7data.com.ar/ff7/data/battle/battle.lgp/nlbb.png","View Picture")</f>
        <v>View Picture</v>
      </c>
    </row>
    <row r="7824">
      <c r="A7824" s="55"/>
      <c r="B7824" s="119" t="s">
        <v>40032</v>
      </c>
      <c r="C7824" s="120" t="s">
        <v>26381</v>
      </c>
      <c r="D7824" s="33" t="s">
        <v>39779</v>
      </c>
      <c r="E7824" s="51" t="s">
        <v>1648</v>
      </c>
      <c r="F7824" s="121" t="s">
        <v>3009</v>
      </c>
      <c r="G7824" s="98" t="str">
        <f>HYPERLINK("http://mirror.ff7data.com.ar/ff7/data/battle/battle.lgp/nlbd.png","View Picture")</f>
        <v>View Picture</v>
      </c>
    </row>
    <row r="7825">
      <c r="A7825" s="55"/>
      <c r="B7825" s="119" t="s">
        <v>40033</v>
      </c>
      <c r="C7825" s="120" t="s">
        <v>26381</v>
      </c>
      <c r="D7825" s="33" t="s">
        <v>39779</v>
      </c>
      <c r="E7825" s="51" t="s">
        <v>1648</v>
      </c>
      <c r="F7825" s="121" t="s">
        <v>3009</v>
      </c>
      <c r="G7825" s="98" t="str">
        <f>HYPERLINK("http://mirror.ff7data.com.ar/ff7/data/battle/battle.lgp/nlbf.png","View Picture")</f>
        <v>View Picture</v>
      </c>
    </row>
    <row r="7826">
      <c r="A7826" s="55"/>
      <c r="B7826" s="119" t="s">
        <v>40034</v>
      </c>
      <c r="C7826" s="120" t="s">
        <v>4372</v>
      </c>
      <c r="D7826" s="33" t="s">
        <v>39779</v>
      </c>
      <c r="E7826" s="51" t="s">
        <v>1648</v>
      </c>
      <c r="F7826" s="121" t="s">
        <v>3009</v>
      </c>
      <c r="G7826" s="98" t="str">
        <f>HYPERLINK("http://mirror.ff7data.com.ar/ff7/data/battle/battle.lgp/nlbh.png","View Picture")</f>
        <v>View Picture</v>
      </c>
    </row>
    <row r="7827">
      <c r="A7827" s="55"/>
      <c r="B7827" s="119" t="s">
        <v>40035</v>
      </c>
      <c r="C7827" s="120" t="s">
        <v>4288</v>
      </c>
      <c r="D7827" s="33" t="s">
        <v>39779</v>
      </c>
      <c r="E7827" s="51" t="s">
        <v>1648</v>
      </c>
      <c r="F7827" s="121" t="s">
        <v>3009</v>
      </c>
      <c r="G7827" s="98" t="str">
        <f>HYPERLINK("http://mirror.ff7data.com.ar/ff7/data/battle/battle.lgp/nlbi.png","View Picture")</f>
        <v>View Picture</v>
      </c>
    </row>
    <row r="7828">
      <c r="A7828" s="55"/>
      <c r="B7828" s="119" t="s">
        <v>40036</v>
      </c>
      <c r="C7828" s="120" t="s">
        <v>4185</v>
      </c>
      <c r="D7828" s="33" t="s">
        <v>39779</v>
      </c>
      <c r="E7828" s="51" t="s">
        <v>1648</v>
      </c>
      <c r="F7828" s="121" t="s">
        <v>3009</v>
      </c>
      <c r="G7828" s="98" t="str">
        <f>HYPERLINK("http://mirror.ff7data.com.ar/ff7/data/battle/battle.lgp/nlbj.png","View Picture")</f>
        <v>View Picture</v>
      </c>
    </row>
    <row r="7829">
      <c r="A7829" s="55"/>
      <c r="B7829" s="119" t="s">
        <v>40037</v>
      </c>
      <c r="C7829" s="120" t="s">
        <v>4288</v>
      </c>
      <c r="D7829" s="33" t="s">
        <v>39779</v>
      </c>
      <c r="E7829" s="51" t="s">
        <v>1648</v>
      </c>
      <c r="F7829" s="121" t="s">
        <v>3009</v>
      </c>
      <c r="G7829" s="98" t="str">
        <f>HYPERLINK("http://mirror.ff7data.com.ar/ff7/data/battle/battle.lgp/nlbl.png","View Picture")</f>
        <v>View Picture</v>
      </c>
    </row>
    <row r="7830">
      <c r="A7830" s="55"/>
      <c r="B7830" s="119" t="s">
        <v>40038</v>
      </c>
      <c r="C7830" s="120" t="s">
        <v>26381</v>
      </c>
      <c r="D7830" s="33" t="s">
        <v>39779</v>
      </c>
      <c r="E7830" s="51" t="s">
        <v>1648</v>
      </c>
      <c r="F7830" s="121" t="s">
        <v>3009</v>
      </c>
      <c r="G7830" s="98" t="str">
        <f>HYPERLINK("http://mirror.ff7data.com.ar/ff7/data/battle/battle.lgp/nlbn.png","View Picture")</f>
        <v>View Picture</v>
      </c>
    </row>
    <row r="7831">
      <c r="A7831" s="55"/>
      <c r="B7831" s="119" t="s">
        <v>40039</v>
      </c>
      <c r="C7831" s="120" t="s">
        <v>26381</v>
      </c>
      <c r="D7831" s="33" t="s">
        <v>39779</v>
      </c>
      <c r="E7831" s="51" t="s">
        <v>1648</v>
      </c>
      <c r="F7831" s="121" t="s">
        <v>3009</v>
      </c>
      <c r="G7831" s="98" t="str">
        <f>HYPERLINK("http://mirror.ff7data.com.ar/ff7/data/battle/battle.lgp/nlbp.png","View Picture")</f>
        <v>View Picture</v>
      </c>
    </row>
    <row r="7832">
      <c r="A7832" s="55"/>
      <c r="B7832" s="119" t="s">
        <v>40040</v>
      </c>
      <c r="C7832" s="120" t="s">
        <v>6010</v>
      </c>
      <c r="D7832" s="33" t="s">
        <v>39779</v>
      </c>
      <c r="E7832" s="51" t="s">
        <v>1648</v>
      </c>
      <c r="F7832" s="121" t="s">
        <v>3025</v>
      </c>
      <c r="H7832" s="46" t="s">
        <v>3002</v>
      </c>
    </row>
    <row r="7833">
      <c r="A7833" s="55"/>
      <c r="B7833" s="119" t="s">
        <v>40041</v>
      </c>
      <c r="C7833" s="120" t="s">
        <v>2989</v>
      </c>
      <c r="D7833" s="33" t="s">
        <v>39777</v>
      </c>
      <c r="E7833" s="51" t="s">
        <v>1651</v>
      </c>
      <c r="F7833" s="121" t="s">
        <v>2971</v>
      </c>
      <c r="G7833" s="98" t="str">
        <f>HYPERLINK("http://mirror.ff7data.com.ar/ff7/data/battle/battle.lgp/nmaa.png","View Picture")</f>
        <v>View Picture</v>
      </c>
      <c r="H7833" s="46" t="s">
        <v>40042</v>
      </c>
    </row>
    <row r="7834">
      <c r="A7834" s="55"/>
      <c r="B7834" s="119" t="s">
        <v>40043</v>
      </c>
      <c r="C7834" s="120" t="s">
        <v>20511</v>
      </c>
      <c r="D7834" s="33" t="s">
        <v>39779</v>
      </c>
      <c r="E7834" s="51" t="s">
        <v>1651</v>
      </c>
      <c r="F7834" s="121" t="s">
        <v>2993</v>
      </c>
      <c r="H7834" s="46" t="s">
        <v>3002</v>
      </c>
    </row>
    <row r="7835">
      <c r="A7835" s="55"/>
      <c r="B7835" s="119" t="s">
        <v>40044</v>
      </c>
      <c r="C7835" s="120" t="s">
        <v>4476</v>
      </c>
      <c r="D7835" s="33" t="s">
        <v>39779</v>
      </c>
      <c r="E7835" s="51" t="s">
        <v>1651</v>
      </c>
      <c r="F7835" s="121" t="s">
        <v>3009</v>
      </c>
      <c r="G7835" s="98" t="str">
        <f>HYPERLINK("http://mirror.ff7data.com.ar/ff7/data/battle/battle.lgp/nmam.png","View Picture")</f>
        <v>View Picture</v>
      </c>
    </row>
    <row r="7836">
      <c r="A7836" s="55"/>
      <c r="B7836" s="119" t="s">
        <v>40045</v>
      </c>
      <c r="C7836" s="120" t="s">
        <v>4719</v>
      </c>
      <c r="D7836" s="33" t="s">
        <v>39779</v>
      </c>
      <c r="E7836" s="51" t="s">
        <v>1651</v>
      </c>
      <c r="F7836" s="121" t="s">
        <v>3009</v>
      </c>
      <c r="G7836" s="98" t="str">
        <f>HYPERLINK("http://mirror.ff7data.com.ar/ff7/data/battle/battle.lgp/nman.png","View Picture")</f>
        <v>View Picture</v>
      </c>
    </row>
    <row r="7837">
      <c r="A7837" s="55"/>
      <c r="B7837" s="119" t="s">
        <v>40046</v>
      </c>
      <c r="C7837" s="120" t="s">
        <v>3445</v>
      </c>
      <c r="D7837" s="33" t="s">
        <v>39779</v>
      </c>
      <c r="E7837" s="51" t="s">
        <v>1651</v>
      </c>
      <c r="F7837" s="121" t="s">
        <v>3009</v>
      </c>
      <c r="G7837" s="98" t="str">
        <f>HYPERLINK("http://mirror.ff7data.com.ar/ff7/data/battle/battle.lgp/nmao.png","View Picture")</f>
        <v>View Picture</v>
      </c>
    </row>
    <row r="7838">
      <c r="A7838" s="55"/>
      <c r="B7838" s="119" t="s">
        <v>40047</v>
      </c>
      <c r="C7838" s="120" t="s">
        <v>4185</v>
      </c>
      <c r="D7838" s="33" t="s">
        <v>39779</v>
      </c>
      <c r="E7838" s="51" t="s">
        <v>1651</v>
      </c>
      <c r="F7838" s="121" t="s">
        <v>3009</v>
      </c>
      <c r="G7838" s="98" t="str">
        <f>HYPERLINK("http://mirror.ff7data.com.ar/ff7/data/battle/battle.lgp/nmaq.png","View Picture")</f>
        <v>View Picture</v>
      </c>
    </row>
    <row r="7839">
      <c r="A7839" s="55"/>
      <c r="B7839" s="119" t="s">
        <v>40048</v>
      </c>
      <c r="C7839" s="120" t="s">
        <v>4439</v>
      </c>
      <c r="D7839" s="33" t="s">
        <v>39779</v>
      </c>
      <c r="E7839" s="51" t="s">
        <v>1651</v>
      </c>
      <c r="F7839" s="121" t="s">
        <v>3009</v>
      </c>
      <c r="G7839" s="98" t="str">
        <f>HYPERLINK("http://mirror.ff7data.com.ar/ff7/data/battle/battle.lgp/nmar.png","View Picture")</f>
        <v>View Picture</v>
      </c>
    </row>
    <row r="7840">
      <c r="A7840" s="55"/>
      <c r="B7840" s="119" t="s">
        <v>40049</v>
      </c>
      <c r="C7840" s="120" t="s">
        <v>4841</v>
      </c>
      <c r="D7840" s="33" t="s">
        <v>39779</v>
      </c>
      <c r="E7840" s="51" t="s">
        <v>1651</v>
      </c>
      <c r="F7840" s="121" t="s">
        <v>3009</v>
      </c>
      <c r="G7840" s="98" t="str">
        <f>HYPERLINK("http://mirror.ff7data.com.ar/ff7/data/battle/battle.lgp/nmas.png","View Picture")</f>
        <v>View Picture</v>
      </c>
    </row>
    <row r="7841">
      <c r="A7841" s="55"/>
      <c r="B7841" s="119" t="s">
        <v>40050</v>
      </c>
      <c r="C7841" s="120" t="s">
        <v>4476</v>
      </c>
      <c r="D7841" s="33" t="s">
        <v>39779</v>
      </c>
      <c r="E7841" s="51" t="s">
        <v>1651</v>
      </c>
      <c r="F7841" s="121" t="s">
        <v>3009</v>
      </c>
      <c r="G7841" s="98" t="str">
        <f>HYPERLINK("http://mirror.ff7data.com.ar/ff7/data/battle/battle.lgp/nmat.png","View Picture")</f>
        <v>View Picture</v>
      </c>
    </row>
    <row r="7842">
      <c r="A7842" s="55"/>
      <c r="B7842" s="119" t="s">
        <v>40051</v>
      </c>
      <c r="C7842" s="120" t="s">
        <v>4185</v>
      </c>
      <c r="D7842" s="33" t="s">
        <v>39779</v>
      </c>
      <c r="E7842" s="51" t="s">
        <v>1651</v>
      </c>
      <c r="F7842" s="121" t="s">
        <v>3009</v>
      </c>
      <c r="G7842" s="98" t="str">
        <f>HYPERLINK("http://mirror.ff7data.com.ar/ff7/data/battle/battle.lgp/nmav.png","View Picture")</f>
        <v>View Picture</v>
      </c>
    </row>
    <row r="7843">
      <c r="A7843" s="55"/>
      <c r="B7843" s="119" t="s">
        <v>40052</v>
      </c>
      <c r="C7843" s="120" t="s">
        <v>4372</v>
      </c>
      <c r="D7843" s="33" t="s">
        <v>39779</v>
      </c>
      <c r="E7843" s="51" t="s">
        <v>1651</v>
      </c>
      <c r="F7843" s="121" t="s">
        <v>3009</v>
      </c>
      <c r="G7843" s="98" t="str">
        <f>HYPERLINK("http://mirror.ff7data.com.ar/ff7/data/battle/battle.lgp/nmax.png","View Picture")</f>
        <v>View Picture</v>
      </c>
    </row>
    <row r="7844">
      <c r="A7844" s="55"/>
      <c r="B7844" s="119" t="s">
        <v>40053</v>
      </c>
      <c r="C7844" s="120" t="s">
        <v>4288</v>
      </c>
      <c r="D7844" s="33" t="s">
        <v>39779</v>
      </c>
      <c r="E7844" s="51" t="s">
        <v>1651</v>
      </c>
      <c r="F7844" s="121" t="s">
        <v>3009</v>
      </c>
      <c r="G7844" s="98" t="str">
        <f>HYPERLINK("http://mirror.ff7data.com.ar/ff7/data/battle/battle.lgp/nmay.png","View Picture")</f>
        <v>View Picture</v>
      </c>
    </row>
    <row r="7845">
      <c r="A7845" s="55"/>
      <c r="B7845" s="119" t="s">
        <v>40054</v>
      </c>
      <c r="C7845" s="120" t="s">
        <v>4185</v>
      </c>
      <c r="D7845" s="33" t="s">
        <v>39779</v>
      </c>
      <c r="E7845" s="51" t="s">
        <v>1651</v>
      </c>
      <c r="F7845" s="121" t="s">
        <v>3009</v>
      </c>
      <c r="G7845" s="98" t="str">
        <f>HYPERLINK("http://mirror.ff7data.com.ar/ff7/data/battle/battle.lgp/nmaz.png","View Picture")</f>
        <v>View Picture</v>
      </c>
    </row>
    <row r="7846">
      <c r="A7846" s="55"/>
      <c r="B7846" s="119" t="s">
        <v>40055</v>
      </c>
      <c r="C7846" s="120" t="s">
        <v>26381</v>
      </c>
      <c r="D7846" s="33" t="s">
        <v>39779</v>
      </c>
      <c r="E7846" s="51" t="s">
        <v>1651</v>
      </c>
      <c r="F7846" s="121" t="s">
        <v>3009</v>
      </c>
      <c r="G7846" s="98" t="str">
        <f>HYPERLINK("http://mirror.ff7data.com.ar/ff7/data/battle/battle.lgp/nmbb.png","View Picture")</f>
        <v>View Picture</v>
      </c>
    </row>
    <row r="7847">
      <c r="A7847" s="55"/>
      <c r="B7847" s="119" t="s">
        <v>40056</v>
      </c>
      <c r="C7847" s="120" t="s">
        <v>26381</v>
      </c>
      <c r="D7847" s="33" t="s">
        <v>39779</v>
      </c>
      <c r="E7847" s="51" t="s">
        <v>1651</v>
      </c>
      <c r="F7847" s="121" t="s">
        <v>3009</v>
      </c>
      <c r="G7847" s="98" t="str">
        <f>HYPERLINK("http://mirror.ff7data.com.ar/ff7/data/battle/battle.lgp/nmbd.png","View Picture")</f>
        <v>View Picture</v>
      </c>
    </row>
    <row r="7848">
      <c r="A7848" s="55"/>
      <c r="B7848" s="119" t="s">
        <v>40057</v>
      </c>
      <c r="C7848" s="120" t="s">
        <v>26381</v>
      </c>
      <c r="D7848" s="33" t="s">
        <v>39779</v>
      </c>
      <c r="E7848" s="51" t="s">
        <v>1651</v>
      </c>
      <c r="F7848" s="121" t="s">
        <v>3009</v>
      </c>
      <c r="G7848" s="98" t="str">
        <f>HYPERLINK("http://mirror.ff7data.com.ar/ff7/data/battle/battle.lgp/nmbf.png","View Picture")</f>
        <v>View Picture</v>
      </c>
    </row>
    <row r="7849">
      <c r="A7849" s="55"/>
      <c r="B7849" s="119" t="s">
        <v>40058</v>
      </c>
      <c r="C7849" s="120" t="s">
        <v>4372</v>
      </c>
      <c r="D7849" s="33" t="s">
        <v>39779</v>
      </c>
      <c r="E7849" s="51" t="s">
        <v>1651</v>
      </c>
      <c r="F7849" s="121" t="s">
        <v>3009</v>
      </c>
      <c r="G7849" s="98" t="str">
        <f>HYPERLINK("http://mirror.ff7data.com.ar/ff7/data/battle/battle.lgp/nmbh.png","View Picture")</f>
        <v>View Picture</v>
      </c>
    </row>
    <row r="7850">
      <c r="A7850" s="55"/>
      <c r="B7850" s="119" t="s">
        <v>40059</v>
      </c>
      <c r="C7850" s="120" t="s">
        <v>4288</v>
      </c>
      <c r="D7850" s="33" t="s">
        <v>39779</v>
      </c>
      <c r="E7850" s="51" t="s">
        <v>1651</v>
      </c>
      <c r="F7850" s="121" t="s">
        <v>3009</v>
      </c>
      <c r="G7850" s="98" t="str">
        <f>HYPERLINK("http://mirror.ff7data.com.ar/ff7/data/battle/battle.lgp/nmbi.png","View Picture")</f>
        <v>View Picture</v>
      </c>
    </row>
    <row r="7851">
      <c r="A7851" s="55"/>
      <c r="B7851" s="119" t="s">
        <v>40060</v>
      </c>
      <c r="C7851" s="120" t="s">
        <v>4185</v>
      </c>
      <c r="D7851" s="33" t="s">
        <v>39779</v>
      </c>
      <c r="E7851" s="51" t="s">
        <v>1651</v>
      </c>
      <c r="F7851" s="121" t="s">
        <v>3009</v>
      </c>
      <c r="G7851" s="98" t="str">
        <f>HYPERLINK("http://mirror.ff7data.com.ar/ff7/data/battle/battle.lgp/nmbj.png","View Picture")</f>
        <v>View Picture</v>
      </c>
    </row>
    <row r="7852">
      <c r="A7852" s="55"/>
      <c r="B7852" s="119" t="s">
        <v>40061</v>
      </c>
      <c r="C7852" s="120" t="s">
        <v>4288</v>
      </c>
      <c r="D7852" s="33" t="s">
        <v>39779</v>
      </c>
      <c r="E7852" s="51" t="s">
        <v>1651</v>
      </c>
      <c r="F7852" s="121" t="s">
        <v>3009</v>
      </c>
      <c r="G7852" s="98" t="str">
        <f>HYPERLINK("http://mirror.ff7data.com.ar/ff7/data/battle/battle.lgp/nmbl.png","View Picture")</f>
        <v>View Picture</v>
      </c>
    </row>
    <row r="7853">
      <c r="A7853" s="55"/>
      <c r="B7853" s="119" t="s">
        <v>40062</v>
      </c>
      <c r="C7853" s="120" t="s">
        <v>26381</v>
      </c>
      <c r="D7853" s="33" t="s">
        <v>39779</v>
      </c>
      <c r="E7853" s="51" t="s">
        <v>1651</v>
      </c>
      <c r="F7853" s="121" t="s">
        <v>3009</v>
      </c>
      <c r="G7853" s="98" t="str">
        <f>HYPERLINK("http://mirror.ff7data.com.ar/ff7/data/battle/battle.lgp/nmbn.png","View Picture")</f>
        <v>View Picture</v>
      </c>
    </row>
    <row r="7854">
      <c r="A7854" s="55"/>
      <c r="B7854" s="119" t="s">
        <v>40063</v>
      </c>
      <c r="C7854" s="120" t="s">
        <v>26381</v>
      </c>
      <c r="D7854" s="33" t="s">
        <v>39779</v>
      </c>
      <c r="E7854" s="51" t="s">
        <v>1651</v>
      </c>
      <c r="F7854" s="121" t="s">
        <v>3009</v>
      </c>
      <c r="G7854" s="98" t="str">
        <f>HYPERLINK("http://mirror.ff7data.com.ar/ff7/data/battle/battle.lgp/nmbp.png","View Picture")</f>
        <v>View Picture</v>
      </c>
    </row>
    <row r="7855">
      <c r="A7855" s="55"/>
      <c r="B7855" s="119" t="s">
        <v>40064</v>
      </c>
      <c r="C7855" s="120" t="s">
        <v>6010</v>
      </c>
      <c r="D7855" s="33" t="s">
        <v>39779</v>
      </c>
      <c r="E7855" s="51" t="s">
        <v>1651</v>
      </c>
      <c r="F7855" s="121" t="s">
        <v>3025</v>
      </c>
      <c r="H7855" s="46" t="s">
        <v>3002</v>
      </c>
    </row>
    <row r="7856">
      <c r="A7856" s="55"/>
      <c r="B7856" s="119" t="s">
        <v>40065</v>
      </c>
      <c r="C7856" s="120" t="s">
        <v>2989</v>
      </c>
      <c r="D7856" s="33" t="s">
        <v>39777</v>
      </c>
      <c r="E7856" s="51" t="s">
        <v>1653</v>
      </c>
      <c r="F7856" s="121" t="s">
        <v>2971</v>
      </c>
      <c r="G7856" s="98" t="str">
        <f>HYPERLINK("http://mirror.ff7data.com.ar/ff7/data/battle/battle.lgp/nnaa.png","View Picture")</f>
        <v>View Picture</v>
      </c>
      <c r="H7856" s="46" t="s">
        <v>40066</v>
      </c>
    </row>
    <row r="7857">
      <c r="A7857" s="55"/>
      <c r="B7857" s="119" t="s">
        <v>40067</v>
      </c>
      <c r="C7857" s="120" t="s">
        <v>20511</v>
      </c>
      <c r="D7857" s="33" t="s">
        <v>39779</v>
      </c>
      <c r="E7857" s="51" t="s">
        <v>1653</v>
      </c>
      <c r="F7857" s="121" t="s">
        <v>2993</v>
      </c>
      <c r="H7857" s="46" t="s">
        <v>3002</v>
      </c>
    </row>
    <row r="7858">
      <c r="A7858" s="55"/>
      <c r="B7858" s="119" t="s">
        <v>40068</v>
      </c>
      <c r="C7858" s="120" t="s">
        <v>4476</v>
      </c>
      <c r="D7858" s="33" t="s">
        <v>39779</v>
      </c>
      <c r="E7858" s="51" t="s">
        <v>1653</v>
      </c>
      <c r="F7858" s="121" t="s">
        <v>3009</v>
      </c>
      <c r="G7858" s="98" t="str">
        <f>HYPERLINK("http://mirror.ff7data.com.ar/ff7/data/battle/battle.lgp/nnam.png","View Picture")</f>
        <v>View Picture</v>
      </c>
    </row>
    <row r="7859">
      <c r="A7859" s="55"/>
      <c r="B7859" s="119" t="s">
        <v>40069</v>
      </c>
      <c r="C7859" s="120" t="s">
        <v>4719</v>
      </c>
      <c r="D7859" s="33" t="s">
        <v>39779</v>
      </c>
      <c r="E7859" s="51" t="s">
        <v>1653</v>
      </c>
      <c r="F7859" s="121" t="s">
        <v>3009</v>
      </c>
      <c r="G7859" s="98" t="str">
        <f>HYPERLINK("http://mirror.ff7data.com.ar/ff7/data/battle/battle.lgp/nnan.png","View Picture")</f>
        <v>View Picture</v>
      </c>
    </row>
    <row r="7860">
      <c r="A7860" s="55"/>
      <c r="B7860" s="119" t="s">
        <v>40070</v>
      </c>
      <c r="C7860" s="120" t="s">
        <v>3445</v>
      </c>
      <c r="D7860" s="33" t="s">
        <v>39779</v>
      </c>
      <c r="E7860" s="51" t="s">
        <v>1653</v>
      </c>
      <c r="F7860" s="121" t="s">
        <v>3009</v>
      </c>
      <c r="G7860" s="98" t="str">
        <f>HYPERLINK("http://mirror.ff7data.com.ar/ff7/data/battle/battle.lgp/nnao.png","View Picture")</f>
        <v>View Picture</v>
      </c>
    </row>
    <row r="7861">
      <c r="A7861" s="55"/>
      <c r="B7861" s="119" t="s">
        <v>40071</v>
      </c>
      <c r="C7861" s="120" t="s">
        <v>4185</v>
      </c>
      <c r="D7861" s="33" t="s">
        <v>39779</v>
      </c>
      <c r="E7861" s="51" t="s">
        <v>1653</v>
      </c>
      <c r="F7861" s="121" t="s">
        <v>3009</v>
      </c>
      <c r="G7861" s="98" t="str">
        <f>HYPERLINK("http://mirror.ff7data.com.ar/ff7/data/battle/battle.lgp/nnaq.png","View Picture")</f>
        <v>View Picture</v>
      </c>
    </row>
    <row r="7862">
      <c r="A7862" s="55"/>
      <c r="B7862" s="119" t="s">
        <v>40072</v>
      </c>
      <c r="C7862" s="120" t="s">
        <v>4439</v>
      </c>
      <c r="D7862" s="33" t="s">
        <v>39779</v>
      </c>
      <c r="E7862" s="51" t="s">
        <v>1653</v>
      </c>
      <c r="F7862" s="121" t="s">
        <v>3009</v>
      </c>
      <c r="G7862" s="98" t="str">
        <f>HYPERLINK("http://mirror.ff7data.com.ar/ff7/data/battle/battle.lgp/nnar.png","View Picture")</f>
        <v>View Picture</v>
      </c>
    </row>
    <row r="7863">
      <c r="A7863" s="55"/>
      <c r="B7863" s="119" t="s">
        <v>40073</v>
      </c>
      <c r="C7863" s="120" t="s">
        <v>4841</v>
      </c>
      <c r="D7863" s="33" t="s">
        <v>39779</v>
      </c>
      <c r="E7863" s="51" t="s">
        <v>1653</v>
      </c>
      <c r="F7863" s="121" t="s">
        <v>3009</v>
      </c>
      <c r="G7863" s="98" t="str">
        <f>HYPERLINK("http://mirror.ff7data.com.ar/ff7/data/battle/battle.lgp/nnas.png","View Picture")</f>
        <v>View Picture</v>
      </c>
    </row>
    <row r="7864">
      <c r="A7864" s="55"/>
      <c r="B7864" s="119" t="s">
        <v>40074</v>
      </c>
      <c r="C7864" s="120" t="s">
        <v>4476</v>
      </c>
      <c r="D7864" s="33" t="s">
        <v>39779</v>
      </c>
      <c r="E7864" s="51" t="s">
        <v>1653</v>
      </c>
      <c r="F7864" s="121" t="s">
        <v>3009</v>
      </c>
      <c r="G7864" s="98" t="str">
        <f>HYPERLINK("http://mirror.ff7data.com.ar/ff7/data/battle/battle.lgp/nnat.png","View Picture")</f>
        <v>View Picture</v>
      </c>
    </row>
    <row r="7865">
      <c r="A7865" s="55"/>
      <c r="B7865" s="119" t="s">
        <v>40075</v>
      </c>
      <c r="C7865" s="120" t="s">
        <v>4185</v>
      </c>
      <c r="D7865" s="33" t="s">
        <v>39779</v>
      </c>
      <c r="E7865" s="51" t="s">
        <v>1653</v>
      </c>
      <c r="F7865" s="121" t="s">
        <v>3009</v>
      </c>
      <c r="G7865" s="98" t="str">
        <f>HYPERLINK("http://mirror.ff7data.com.ar/ff7/data/battle/battle.lgp/nnav.png","View Picture")</f>
        <v>View Picture</v>
      </c>
    </row>
    <row r="7866">
      <c r="A7866" s="55"/>
      <c r="B7866" s="119" t="s">
        <v>40076</v>
      </c>
      <c r="C7866" s="120" t="s">
        <v>4372</v>
      </c>
      <c r="D7866" s="33" t="s">
        <v>39779</v>
      </c>
      <c r="E7866" s="51" t="s">
        <v>1653</v>
      </c>
      <c r="F7866" s="121" t="s">
        <v>3009</v>
      </c>
      <c r="G7866" s="98" t="str">
        <f>HYPERLINK("http://mirror.ff7data.com.ar/ff7/data/battle/battle.lgp/nnax.png","View Picture")</f>
        <v>View Picture</v>
      </c>
    </row>
    <row r="7867">
      <c r="A7867" s="55"/>
      <c r="B7867" s="119" t="s">
        <v>40077</v>
      </c>
      <c r="C7867" s="120" t="s">
        <v>4288</v>
      </c>
      <c r="D7867" s="33" t="s">
        <v>39779</v>
      </c>
      <c r="E7867" s="51" t="s">
        <v>1653</v>
      </c>
      <c r="F7867" s="121" t="s">
        <v>3009</v>
      </c>
      <c r="G7867" s="98" t="str">
        <f>HYPERLINK("http://mirror.ff7data.com.ar/ff7/data/battle/battle.lgp/nnay.png","View Picture")</f>
        <v>View Picture</v>
      </c>
    </row>
    <row r="7868">
      <c r="A7868" s="55"/>
      <c r="B7868" s="119" t="s">
        <v>40078</v>
      </c>
      <c r="C7868" s="120" t="s">
        <v>4185</v>
      </c>
      <c r="D7868" s="33" t="s">
        <v>39779</v>
      </c>
      <c r="E7868" s="51" t="s">
        <v>1653</v>
      </c>
      <c r="F7868" s="121" t="s">
        <v>3009</v>
      </c>
      <c r="G7868" s="98" t="str">
        <f>HYPERLINK("http://mirror.ff7data.com.ar/ff7/data/battle/battle.lgp/nnaz.png","View Picture")</f>
        <v>View Picture</v>
      </c>
    </row>
    <row r="7869">
      <c r="A7869" s="55"/>
      <c r="B7869" s="119" t="s">
        <v>40079</v>
      </c>
      <c r="C7869" s="120" t="s">
        <v>26381</v>
      </c>
      <c r="D7869" s="33" t="s">
        <v>39779</v>
      </c>
      <c r="E7869" s="51" t="s">
        <v>1653</v>
      </c>
      <c r="F7869" s="121" t="s">
        <v>3009</v>
      </c>
      <c r="G7869" s="98" t="str">
        <f>HYPERLINK("http://mirror.ff7data.com.ar/ff7/data/battle/battle.lgp/nnbb.png","View Picture")</f>
        <v>View Picture</v>
      </c>
    </row>
    <row r="7870">
      <c r="A7870" s="55"/>
      <c r="B7870" s="119" t="s">
        <v>40080</v>
      </c>
      <c r="C7870" s="120" t="s">
        <v>26381</v>
      </c>
      <c r="D7870" s="33" t="s">
        <v>39779</v>
      </c>
      <c r="E7870" s="51" t="s">
        <v>1653</v>
      </c>
      <c r="F7870" s="121" t="s">
        <v>3009</v>
      </c>
      <c r="G7870" s="98" t="str">
        <f>HYPERLINK("http://mirror.ff7data.com.ar/ff7/data/battle/battle.lgp/nnbd.png","View Picture")</f>
        <v>View Picture</v>
      </c>
    </row>
    <row r="7871">
      <c r="A7871" s="55"/>
      <c r="B7871" s="119" t="s">
        <v>40081</v>
      </c>
      <c r="C7871" s="120" t="s">
        <v>26381</v>
      </c>
      <c r="D7871" s="33" t="s">
        <v>39779</v>
      </c>
      <c r="E7871" s="51" t="s">
        <v>1653</v>
      </c>
      <c r="F7871" s="121" t="s">
        <v>3009</v>
      </c>
      <c r="G7871" s="98" t="str">
        <f>HYPERLINK("http://mirror.ff7data.com.ar/ff7/data/battle/battle.lgp/nnbf.png","View Picture")</f>
        <v>View Picture</v>
      </c>
    </row>
    <row r="7872">
      <c r="A7872" s="55"/>
      <c r="B7872" s="119" t="s">
        <v>40082</v>
      </c>
      <c r="C7872" s="120" t="s">
        <v>4372</v>
      </c>
      <c r="D7872" s="33" t="s">
        <v>39779</v>
      </c>
      <c r="E7872" s="51" t="s">
        <v>1653</v>
      </c>
      <c r="F7872" s="121" t="s">
        <v>3009</v>
      </c>
      <c r="G7872" s="98" t="str">
        <f>HYPERLINK("http://mirror.ff7data.com.ar/ff7/data/battle/battle.lgp/nnbh.png","View Picture")</f>
        <v>View Picture</v>
      </c>
    </row>
    <row r="7873">
      <c r="A7873" s="55"/>
      <c r="B7873" s="119" t="s">
        <v>40083</v>
      </c>
      <c r="C7873" s="120" t="s">
        <v>4288</v>
      </c>
      <c r="D7873" s="33" t="s">
        <v>39779</v>
      </c>
      <c r="E7873" s="51" t="s">
        <v>1653</v>
      </c>
      <c r="F7873" s="121" t="s">
        <v>3009</v>
      </c>
      <c r="G7873" s="98" t="str">
        <f>HYPERLINK("http://mirror.ff7data.com.ar/ff7/data/battle/battle.lgp/nnbi.png","View Picture")</f>
        <v>View Picture</v>
      </c>
    </row>
    <row r="7874">
      <c r="A7874" s="55"/>
      <c r="B7874" s="119" t="s">
        <v>40084</v>
      </c>
      <c r="C7874" s="120" t="s">
        <v>4185</v>
      </c>
      <c r="D7874" s="33" t="s">
        <v>39779</v>
      </c>
      <c r="E7874" s="51" t="s">
        <v>1653</v>
      </c>
      <c r="F7874" s="121" t="s">
        <v>3009</v>
      </c>
      <c r="G7874" s="98" t="str">
        <f>HYPERLINK("http://mirror.ff7data.com.ar/ff7/data/battle/battle.lgp/nnbj.png","View Picture")</f>
        <v>View Picture</v>
      </c>
    </row>
    <row r="7875">
      <c r="A7875" s="55"/>
      <c r="B7875" s="119" t="s">
        <v>40085</v>
      </c>
      <c r="C7875" s="120" t="s">
        <v>4288</v>
      </c>
      <c r="D7875" s="33" t="s">
        <v>39779</v>
      </c>
      <c r="E7875" s="51" t="s">
        <v>1653</v>
      </c>
      <c r="F7875" s="121" t="s">
        <v>3009</v>
      </c>
      <c r="G7875" s="98" t="str">
        <f>HYPERLINK("http://mirror.ff7data.com.ar/ff7/data/battle/battle.lgp/nnbl.png","View Picture")</f>
        <v>View Picture</v>
      </c>
    </row>
    <row r="7876">
      <c r="A7876" s="55"/>
      <c r="B7876" s="119" t="s">
        <v>40086</v>
      </c>
      <c r="C7876" s="120" t="s">
        <v>26381</v>
      </c>
      <c r="D7876" s="33" t="s">
        <v>39779</v>
      </c>
      <c r="E7876" s="51" t="s">
        <v>1653</v>
      </c>
      <c r="F7876" s="121" t="s">
        <v>3009</v>
      </c>
      <c r="G7876" s="98" t="str">
        <f>HYPERLINK("http://mirror.ff7data.com.ar/ff7/data/battle/battle.lgp/nnbn.png","View Picture")</f>
        <v>View Picture</v>
      </c>
    </row>
    <row r="7877">
      <c r="A7877" s="55"/>
      <c r="B7877" s="119" t="s">
        <v>40087</v>
      </c>
      <c r="C7877" s="120" t="s">
        <v>26381</v>
      </c>
      <c r="D7877" s="33" t="s">
        <v>39779</v>
      </c>
      <c r="E7877" s="51" t="s">
        <v>1653</v>
      </c>
      <c r="F7877" s="121" t="s">
        <v>3009</v>
      </c>
      <c r="G7877" s="98" t="str">
        <f>HYPERLINK("http://mirror.ff7data.com.ar/ff7/data/battle/battle.lgp/nnbp.png","View Picture")</f>
        <v>View Picture</v>
      </c>
    </row>
    <row r="7878">
      <c r="A7878" s="55"/>
      <c r="B7878" s="119" t="s">
        <v>40088</v>
      </c>
      <c r="C7878" s="120" t="s">
        <v>6010</v>
      </c>
      <c r="D7878" s="33" t="s">
        <v>39779</v>
      </c>
      <c r="E7878" s="51" t="s">
        <v>1653</v>
      </c>
      <c r="F7878" s="121" t="s">
        <v>3025</v>
      </c>
      <c r="H7878" s="46" t="s">
        <v>3002</v>
      </c>
    </row>
    <row r="7879">
      <c r="A7879" s="55"/>
      <c r="B7879" s="119" t="s">
        <v>40089</v>
      </c>
      <c r="C7879" s="120" t="s">
        <v>2989</v>
      </c>
      <c r="D7879" s="33" t="s">
        <v>39777</v>
      </c>
      <c r="E7879" s="51" t="s">
        <v>1655</v>
      </c>
      <c r="F7879" s="121" t="s">
        <v>2971</v>
      </c>
      <c r="G7879" s="98" t="str">
        <f>HYPERLINK("http://mirror.ff7data.com.ar/ff7/data/battle/battle.lgp/noaa.png","View Picture")</f>
        <v>View Picture</v>
      </c>
      <c r="H7879" s="46" t="s">
        <v>40090</v>
      </c>
    </row>
    <row r="7880">
      <c r="A7880" s="55"/>
      <c r="B7880" s="119" t="s">
        <v>40091</v>
      </c>
      <c r="C7880" s="120" t="s">
        <v>20511</v>
      </c>
      <c r="D7880" s="33" t="s">
        <v>39779</v>
      </c>
      <c r="E7880" s="51" t="s">
        <v>1655</v>
      </c>
      <c r="F7880" s="121" t="s">
        <v>2993</v>
      </c>
      <c r="H7880" s="46" t="s">
        <v>3002</v>
      </c>
    </row>
    <row r="7881">
      <c r="A7881" s="55"/>
      <c r="B7881" s="119" t="s">
        <v>40092</v>
      </c>
      <c r="C7881" s="120" t="s">
        <v>4476</v>
      </c>
      <c r="D7881" s="33" t="s">
        <v>39779</v>
      </c>
      <c r="E7881" s="51" t="s">
        <v>1655</v>
      </c>
      <c r="F7881" s="121" t="s">
        <v>3009</v>
      </c>
      <c r="G7881" s="98" t="str">
        <f>HYPERLINK("http://mirror.ff7data.com.ar/ff7/data/battle/battle.lgp/noam.png","View Picture")</f>
        <v>View Picture</v>
      </c>
    </row>
    <row r="7882">
      <c r="A7882" s="55"/>
      <c r="B7882" s="119" t="s">
        <v>40093</v>
      </c>
      <c r="C7882" s="120" t="s">
        <v>4719</v>
      </c>
      <c r="D7882" s="33" t="s">
        <v>39779</v>
      </c>
      <c r="E7882" s="51" t="s">
        <v>1655</v>
      </c>
      <c r="F7882" s="121" t="s">
        <v>3009</v>
      </c>
      <c r="G7882" s="98" t="str">
        <f>HYPERLINK("http://mirror.ff7data.com.ar/ff7/data/battle/battle.lgp/noan.png","View Picture")</f>
        <v>View Picture</v>
      </c>
    </row>
    <row r="7883">
      <c r="A7883" s="55"/>
      <c r="B7883" s="119" t="s">
        <v>40094</v>
      </c>
      <c r="C7883" s="120" t="s">
        <v>3445</v>
      </c>
      <c r="D7883" s="33" t="s">
        <v>39779</v>
      </c>
      <c r="E7883" s="51" t="s">
        <v>1655</v>
      </c>
      <c r="F7883" s="121" t="s">
        <v>3009</v>
      </c>
      <c r="G7883" s="98" t="str">
        <f>HYPERLINK("http://mirror.ff7data.com.ar/ff7/data/battle/battle.lgp/noao.png","View Picture")</f>
        <v>View Picture</v>
      </c>
    </row>
    <row r="7884">
      <c r="A7884" s="55"/>
      <c r="B7884" s="119" t="s">
        <v>40095</v>
      </c>
      <c r="C7884" s="120" t="s">
        <v>4185</v>
      </c>
      <c r="D7884" s="33" t="s">
        <v>39779</v>
      </c>
      <c r="E7884" s="51" t="s">
        <v>1655</v>
      </c>
      <c r="F7884" s="121" t="s">
        <v>3009</v>
      </c>
      <c r="G7884" s="98" t="str">
        <f>HYPERLINK("http://mirror.ff7data.com.ar/ff7/data/battle/battle.lgp/noaq.png","View Picture")</f>
        <v>View Picture</v>
      </c>
    </row>
    <row r="7885">
      <c r="A7885" s="55"/>
      <c r="B7885" s="119" t="s">
        <v>40096</v>
      </c>
      <c r="C7885" s="120" t="s">
        <v>4439</v>
      </c>
      <c r="D7885" s="33" t="s">
        <v>39779</v>
      </c>
      <c r="E7885" s="51" t="s">
        <v>1655</v>
      </c>
      <c r="F7885" s="121" t="s">
        <v>3009</v>
      </c>
      <c r="G7885" s="98" t="str">
        <f>HYPERLINK("http://mirror.ff7data.com.ar/ff7/data/battle/battle.lgp/noar.png","View Picture")</f>
        <v>View Picture</v>
      </c>
    </row>
    <row r="7886">
      <c r="A7886" s="55"/>
      <c r="B7886" s="119" t="s">
        <v>40097</v>
      </c>
      <c r="C7886" s="120" t="s">
        <v>4841</v>
      </c>
      <c r="D7886" s="33" t="s">
        <v>39779</v>
      </c>
      <c r="E7886" s="51" t="s">
        <v>1655</v>
      </c>
      <c r="F7886" s="121" t="s">
        <v>3009</v>
      </c>
      <c r="G7886" s="98" t="str">
        <f>HYPERLINK("http://mirror.ff7data.com.ar/ff7/data/battle/battle.lgp/noas.png","View Picture")</f>
        <v>View Picture</v>
      </c>
    </row>
    <row r="7887">
      <c r="A7887" s="55"/>
      <c r="B7887" s="119" t="s">
        <v>40098</v>
      </c>
      <c r="C7887" s="120" t="s">
        <v>4476</v>
      </c>
      <c r="D7887" s="33" t="s">
        <v>39779</v>
      </c>
      <c r="E7887" s="51" t="s">
        <v>1655</v>
      </c>
      <c r="F7887" s="121" t="s">
        <v>3009</v>
      </c>
      <c r="G7887" s="98" t="str">
        <f>HYPERLINK("http://mirror.ff7data.com.ar/ff7/data/battle/battle.lgp/noat.png","View Picture")</f>
        <v>View Picture</v>
      </c>
    </row>
    <row r="7888">
      <c r="A7888" s="55"/>
      <c r="B7888" s="119" t="s">
        <v>40099</v>
      </c>
      <c r="C7888" s="120" t="s">
        <v>4185</v>
      </c>
      <c r="D7888" s="33" t="s">
        <v>39779</v>
      </c>
      <c r="E7888" s="51" t="s">
        <v>1655</v>
      </c>
      <c r="F7888" s="121" t="s">
        <v>3009</v>
      </c>
      <c r="G7888" s="98" t="str">
        <f>HYPERLINK("http://mirror.ff7data.com.ar/ff7/data/battle/battle.lgp/noav.png","View Picture")</f>
        <v>View Picture</v>
      </c>
    </row>
    <row r="7889">
      <c r="A7889" s="55"/>
      <c r="B7889" s="119" t="s">
        <v>40100</v>
      </c>
      <c r="C7889" s="120" t="s">
        <v>4372</v>
      </c>
      <c r="D7889" s="33" t="s">
        <v>39779</v>
      </c>
      <c r="E7889" s="51" t="s">
        <v>1655</v>
      </c>
      <c r="F7889" s="121" t="s">
        <v>3009</v>
      </c>
      <c r="G7889" s="98" t="str">
        <f>HYPERLINK("http://mirror.ff7data.com.ar/ff7/data/battle/battle.lgp/noax.png","View Picture")</f>
        <v>View Picture</v>
      </c>
    </row>
    <row r="7890">
      <c r="A7890" s="55"/>
      <c r="B7890" s="119" t="s">
        <v>40101</v>
      </c>
      <c r="C7890" s="120" t="s">
        <v>4288</v>
      </c>
      <c r="D7890" s="33" t="s">
        <v>39779</v>
      </c>
      <c r="E7890" s="51" t="s">
        <v>1655</v>
      </c>
      <c r="F7890" s="121" t="s">
        <v>3009</v>
      </c>
      <c r="G7890" s="98" t="str">
        <f>HYPERLINK("http://mirror.ff7data.com.ar/ff7/data/battle/battle.lgp/noay.png","View Picture")</f>
        <v>View Picture</v>
      </c>
    </row>
    <row r="7891">
      <c r="A7891" s="55"/>
      <c r="B7891" s="119" t="s">
        <v>40102</v>
      </c>
      <c r="C7891" s="120" t="s">
        <v>4185</v>
      </c>
      <c r="D7891" s="33" t="s">
        <v>39779</v>
      </c>
      <c r="E7891" s="51" t="s">
        <v>1655</v>
      </c>
      <c r="F7891" s="121" t="s">
        <v>3009</v>
      </c>
      <c r="G7891" s="98" t="str">
        <f>HYPERLINK("http://mirror.ff7data.com.ar/ff7/data/battle/battle.lgp/noaz.png","View Picture")</f>
        <v>View Picture</v>
      </c>
    </row>
    <row r="7892">
      <c r="A7892" s="55"/>
      <c r="B7892" s="119" t="s">
        <v>40103</v>
      </c>
      <c r="C7892" s="120" t="s">
        <v>26381</v>
      </c>
      <c r="D7892" s="33" t="s">
        <v>39779</v>
      </c>
      <c r="E7892" s="51" t="s">
        <v>1655</v>
      </c>
      <c r="F7892" s="121" t="s">
        <v>3009</v>
      </c>
      <c r="G7892" s="98" t="str">
        <f>HYPERLINK("http://mirror.ff7data.com.ar/ff7/data/battle/battle.lgp/nobb.png","View Picture")</f>
        <v>View Picture</v>
      </c>
    </row>
    <row r="7893">
      <c r="A7893" s="55"/>
      <c r="B7893" s="119" t="s">
        <v>40104</v>
      </c>
      <c r="C7893" s="120" t="s">
        <v>26381</v>
      </c>
      <c r="D7893" s="33" t="s">
        <v>39779</v>
      </c>
      <c r="E7893" s="51" t="s">
        <v>1655</v>
      </c>
      <c r="F7893" s="121" t="s">
        <v>3009</v>
      </c>
      <c r="G7893" s="98" t="str">
        <f>HYPERLINK("http://mirror.ff7data.com.ar/ff7/data/battle/battle.lgp/nobd.png","View Picture")</f>
        <v>View Picture</v>
      </c>
    </row>
    <row r="7894">
      <c r="A7894" s="55"/>
      <c r="B7894" s="119" t="s">
        <v>40105</v>
      </c>
      <c r="C7894" s="120" t="s">
        <v>26381</v>
      </c>
      <c r="D7894" s="33" t="s">
        <v>39779</v>
      </c>
      <c r="E7894" s="51" t="s">
        <v>1655</v>
      </c>
      <c r="F7894" s="121" t="s">
        <v>3009</v>
      </c>
      <c r="G7894" s="98" t="str">
        <f>HYPERLINK("http://mirror.ff7data.com.ar/ff7/data/battle/battle.lgp/nobf.png","View Picture")</f>
        <v>View Picture</v>
      </c>
    </row>
    <row r="7895">
      <c r="A7895" s="55"/>
      <c r="B7895" s="119" t="s">
        <v>40106</v>
      </c>
      <c r="C7895" s="120" t="s">
        <v>4372</v>
      </c>
      <c r="D7895" s="33" t="s">
        <v>39779</v>
      </c>
      <c r="E7895" s="51" t="s">
        <v>1655</v>
      </c>
      <c r="F7895" s="121" t="s">
        <v>3009</v>
      </c>
      <c r="G7895" s="98" t="str">
        <f>HYPERLINK("http://mirror.ff7data.com.ar/ff7/data/battle/battle.lgp/nobh.png","View Picture")</f>
        <v>View Picture</v>
      </c>
    </row>
    <row r="7896">
      <c r="A7896" s="55"/>
      <c r="B7896" s="119" t="s">
        <v>40107</v>
      </c>
      <c r="C7896" s="120" t="s">
        <v>4288</v>
      </c>
      <c r="D7896" s="33" t="s">
        <v>39779</v>
      </c>
      <c r="E7896" s="51" t="s">
        <v>1655</v>
      </c>
      <c r="F7896" s="121" t="s">
        <v>3009</v>
      </c>
      <c r="G7896" s="98" t="str">
        <f>HYPERLINK("http://mirror.ff7data.com.ar/ff7/data/battle/battle.lgp/nobi.png","View Picture")</f>
        <v>View Picture</v>
      </c>
    </row>
    <row r="7897">
      <c r="A7897" s="55"/>
      <c r="B7897" s="119" t="s">
        <v>40108</v>
      </c>
      <c r="C7897" s="120" t="s">
        <v>4185</v>
      </c>
      <c r="D7897" s="33" t="s">
        <v>39779</v>
      </c>
      <c r="E7897" s="51" t="s">
        <v>1655</v>
      </c>
      <c r="F7897" s="121" t="s">
        <v>3009</v>
      </c>
      <c r="G7897" s="98" t="str">
        <f>HYPERLINK("http://mirror.ff7data.com.ar/ff7/data/battle/battle.lgp/nobj.png","View Picture")</f>
        <v>View Picture</v>
      </c>
    </row>
    <row r="7898">
      <c r="A7898" s="55"/>
      <c r="B7898" s="119" t="s">
        <v>40109</v>
      </c>
      <c r="C7898" s="120" t="s">
        <v>4288</v>
      </c>
      <c r="D7898" s="33" t="s">
        <v>39779</v>
      </c>
      <c r="E7898" s="51" t="s">
        <v>1655</v>
      </c>
      <c r="F7898" s="121" t="s">
        <v>3009</v>
      </c>
      <c r="G7898" s="98" t="str">
        <f>HYPERLINK("http://mirror.ff7data.com.ar/ff7/data/battle/battle.lgp/nobl.png","View Picture")</f>
        <v>View Picture</v>
      </c>
    </row>
    <row r="7899">
      <c r="A7899" s="55"/>
      <c r="B7899" s="119" t="s">
        <v>40110</v>
      </c>
      <c r="C7899" s="120" t="s">
        <v>26381</v>
      </c>
      <c r="D7899" s="33" t="s">
        <v>39779</v>
      </c>
      <c r="E7899" s="51" t="s">
        <v>1655</v>
      </c>
      <c r="F7899" s="121" t="s">
        <v>3009</v>
      </c>
      <c r="G7899" s="98" t="str">
        <f>HYPERLINK("http://mirror.ff7data.com.ar/ff7/data/battle/battle.lgp/nobn.png","View Picture")</f>
        <v>View Picture</v>
      </c>
    </row>
    <row r="7900">
      <c r="A7900" s="55"/>
      <c r="B7900" s="119" t="s">
        <v>40111</v>
      </c>
      <c r="C7900" s="120" t="s">
        <v>26381</v>
      </c>
      <c r="D7900" s="33" t="s">
        <v>39779</v>
      </c>
      <c r="E7900" s="51" t="s">
        <v>1655</v>
      </c>
      <c r="F7900" s="121" t="s">
        <v>3009</v>
      </c>
      <c r="G7900" s="98" t="str">
        <f>HYPERLINK("http://mirror.ff7data.com.ar/ff7/data/battle/battle.lgp/nobp.png","View Picture")</f>
        <v>View Picture</v>
      </c>
    </row>
    <row r="7901">
      <c r="A7901" s="55"/>
      <c r="B7901" s="119" t="s">
        <v>40112</v>
      </c>
      <c r="C7901" s="120" t="s">
        <v>6010</v>
      </c>
      <c r="D7901" s="33" t="s">
        <v>39779</v>
      </c>
      <c r="E7901" s="51" t="s">
        <v>1655</v>
      </c>
      <c r="F7901" s="121" t="s">
        <v>3025</v>
      </c>
      <c r="H7901" s="46" t="s">
        <v>3002</v>
      </c>
    </row>
    <row r="7902">
      <c r="A7902" s="55"/>
      <c r="B7902" s="119" t="s">
        <v>40113</v>
      </c>
      <c r="C7902" s="120" t="s">
        <v>4209</v>
      </c>
      <c r="D7902" s="33" t="s">
        <v>40114</v>
      </c>
      <c r="E7902" s="51" t="s">
        <v>1660</v>
      </c>
      <c r="F7902" s="121" t="s">
        <v>2971</v>
      </c>
      <c r="G7902" s="98" t="str">
        <f>HYPERLINK("http://mirror.ff7data.com.ar/ff7/data/battle/battle.lgp/npaa.png","View Picture")</f>
        <v>View Picture</v>
      </c>
    </row>
    <row r="7903">
      <c r="A7903" s="55"/>
      <c r="B7903" s="119" t="s">
        <v>40115</v>
      </c>
      <c r="C7903" s="120" t="s">
        <v>5724</v>
      </c>
      <c r="D7903" s="33" t="s">
        <v>40116</v>
      </c>
      <c r="E7903" s="51" t="s">
        <v>1660</v>
      </c>
      <c r="F7903" s="121" t="s">
        <v>2993</v>
      </c>
      <c r="H7903" s="46" t="s">
        <v>3002</v>
      </c>
    </row>
    <row r="7904">
      <c r="A7904" s="55"/>
      <c r="B7904" s="119" t="s">
        <v>40117</v>
      </c>
      <c r="C7904" s="120" t="s">
        <v>3671</v>
      </c>
      <c r="D7904" s="33" t="s">
        <v>40118</v>
      </c>
      <c r="E7904" s="51" t="s">
        <v>1660</v>
      </c>
      <c r="F7904" s="121" t="s">
        <v>1348</v>
      </c>
      <c r="G7904" s="98" t="str">
        <f>HYPERLINK("http://mirror.ff7data.com.ar/ff7/data/battle/battle.lgp/npac.png","View Picture")</f>
        <v>View Picture</v>
      </c>
    </row>
    <row r="7905">
      <c r="A7905" s="55"/>
      <c r="B7905" s="119" t="s">
        <v>40119</v>
      </c>
      <c r="C7905" s="120" t="s">
        <v>7081</v>
      </c>
      <c r="D7905" s="33" t="s">
        <v>40116</v>
      </c>
      <c r="E7905" s="51" t="s">
        <v>1660</v>
      </c>
      <c r="F7905" s="121" t="s">
        <v>1348</v>
      </c>
      <c r="G7905" s="98" t="str">
        <f>HYPERLINK("http://mirror.ff7data.com.ar/ff7/data/battle/battle.lgp/npad.png","View Picture")</f>
        <v>View Picture</v>
      </c>
    </row>
    <row r="7906">
      <c r="A7906" s="55"/>
      <c r="B7906" s="119" t="s">
        <v>40120</v>
      </c>
      <c r="C7906" s="120" t="s">
        <v>7129</v>
      </c>
      <c r="D7906" s="33" t="s">
        <v>40116</v>
      </c>
      <c r="E7906" s="51" t="s">
        <v>1660</v>
      </c>
      <c r="F7906" s="121" t="s">
        <v>3009</v>
      </c>
      <c r="G7906" s="98" t="str">
        <f>HYPERLINK("http://mirror.ff7data.com.ar/ff7/data/battle/battle.lgp/npam.png","View Picture")</f>
        <v>View Picture</v>
      </c>
    </row>
    <row r="7907">
      <c r="A7907" s="55"/>
      <c r="B7907" s="119" t="s">
        <v>40121</v>
      </c>
      <c r="C7907" s="120" t="s">
        <v>14502</v>
      </c>
      <c r="D7907" s="33" t="s">
        <v>40116</v>
      </c>
      <c r="E7907" s="51" t="s">
        <v>1660</v>
      </c>
      <c r="F7907" s="121" t="s">
        <v>3009</v>
      </c>
      <c r="G7907" s="98" t="str">
        <f>HYPERLINK("http://mirror.ff7data.com.ar/ff7/data/battle/battle.lgp/npan.png","View Picture")</f>
        <v>View Picture</v>
      </c>
    </row>
    <row r="7908">
      <c r="A7908" s="55"/>
      <c r="B7908" s="119" t="s">
        <v>40122</v>
      </c>
      <c r="C7908" s="120" t="s">
        <v>4167</v>
      </c>
      <c r="D7908" s="33" t="s">
        <v>40116</v>
      </c>
      <c r="E7908" s="51" t="s">
        <v>1660</v>
      </c>
      <c r="F7908" s="121" t="s">
        <v>3009</v>
      </c>
      <c r="G7908" s="98" t="str">
        <f>HYPERLINK("http://mirror.ff7data.com.ar/ff7/data/battle/battle.lgp/npao.png","View Picture")</f>
        <v>View Picture</v>
      </c>
    </row>
    <row r="7909">
      <c r="A7909" s="55"/>
      <c r="B7909" s="119" t="s">
        <v>40123</v>
      </c>
      <c r="C7909" s="120" t="s">
        <v>4264</v>
      </c>
      <c r="D7909" s="33" t="s">
        <v>40116</v>
      </c>
      <c r="E7909" s="51" t="s">
        <v>1660</v>
      </c>
      <c r="F7909" s="121" t="s">
        <v>3009</v>
      </c>
      <c r="G7909" s="98" t="str">
        <f>HYPERLINK("http://mirror.ff7data.com.ar/ff7/data/battle/battle.lgp/npaq.png","View Picture")</f>
        <v>View Picture</v>
      </c>
    </row>
    <row r="7910">
      <c r="A7910" s="55"/>
      <c r="B7910" s="119" t="s">
        <v>40124</v>
      </c>
      <c r="C7910" s="120" t="s">
        <v>4264</v>
      </c>
      <c r="D7910" s="33" t="s">
        <v>40116</v>
      </c>
      <c r="E7910" s="51" t="s">
        <v>1660</v>
      </c>
      <c r="F7910" s="121" t="s">
        <v>3009</v>
      </c>
      <c r="G7910" s="98" t="str">
        <f>HYPERLINK("http://mirror.ff7data.com.ar/ff7/data/battle/battle.lgp/npar.png","View Picture")</f>
        <v>View Picture</v>
      </c>
    </row>
    <row r="7911">
      <c r="A7911" s="55"/>
      <c r="B7911" s="119" t="s">
        <v>40125</v>
      </c>
      <c r="C7911" s="120" t="s">
        <v>8376</v>
      </c>
      <c r="D7911" s="33" t="s">
        <v>40116</v>
      </c>
      <c r="E7911" s="51" t="s">
        <v>1660</v>
      </c>
      <c r="F7911" s="121" t="s">
        <v>3009</v>
      </c>
      <c r="G7911" s="98" t="str">
        <f>HYPERLINK("http://mirror.ff7data.com.ar/ff7/data/battle/battle.lgp/npau.png","View Picture")</f>
        <v>View Picture</v>
      </c>
    </row>
    <row r="7912">
      <c r="A7912" s="55"/>
      <c r="B7912" s="119" t="s">
        <v>40126</v>
      </c>
      <c r="C7912" s="120" t="s">
        <v>3648</v>
      </c>
      <c r="D7912" s="33" t="s">
        <v>40116</v>
      </c>
      <c r="E7912" s="51" t="s">
        <v>1660</v>
      </c>
      <c r="F7912" s="121" t="s">
        <v>3009</v>
      </c>
      <c r="G7912" s="98" t="str">
        <f>HYPERLINK("http://mirror.ff7data.com.ar/ff7/data/battle/battle.lgp/npav.png","View Picture")</f>
        <v>View Picture</v>
      </c>
    </row>
    <row r="7913">
      <c r="A7913" s="55"/>
      <c r="B7913" s="119" t="s">
        <v>40127</v>
      </c>
      <c r="C7913" s="120" t="s">
        <v>5891</v>
      </c>
      <c r="D7913" s="33" t="s">
        <v>40116</v>
      </c>
      <c r="E7913" s="51" t="s">
        <v>1660</v>
      </c>
      <c r="F7913" s="121" t="s">
        <v>3009</v>
      </c>
      <c r="G7913" s="98" t="str">
        <f>HYPERLINK("http://mirror.ff7data.com.ar/ff7/data/battle/battle.lgp/npaw.png","View Picture")</f>
        <v>View Picture</v>
      </c>
    </row>
    <row r="7914">
      <c r="A7914" s="55"/>
      <c r="B7914" s="119" t="s">
        <v>40128</v>
      </c>
      <c r="C7914" s="120" t="s">
        <v>10078</v>
      </c>
      <c r="D7914" s="33" t="s">
        <v>40116</v>
      </c>
      <c r="E7914" s="51" t="s">
        <v>1660</v>
      </c>
      <c r="F7914" s="121" t="s">
        <v>3009</v>
      </c>
      <c r="G7914" s="98" t="str">
        <f>HYPERLINK("http://mirror.ff7data.com.ar/ff7/data/battle/battle.lgp/npax.png","View Picture")</f>
        <v>View Picture</v>
      </c>
    </row>
    <row r="7915">
      <c r="A7915" s="55"/>
      <c r="B7915" s="119" t="s">
        <v>40129</v>
      </c>
      <c r="C7915" s="120" t="s">
        <v>29777</v>
      </c>
      <c r="D7915" s="33" t="s">
        <v>40116</v>
      </c>
      <c r="E7915" s="51" t="s">
        <v>1660</v>
      </c>
      <c r="F7915" s="121" t="s">
        <v>3009</v>
      </c>
      <c r="G7915" s="98" t="str">
        <f>HYPERLINK("http://mirror.ff7data.com.ar/ff7/data/battle/battle.lgp/npaz.png","View Picture")</f>
        <v>View Picture</v>
      </c>
    </row>
    <row r="7916">
      <c r="A7916" s="55"/>
      <c r="B7916" s="119" t="s">
        <v>40130</v>
      </c>
      <c r="C7916" s="120" t="s">
        <v>4719</v>
      </c>
      <c r="D7916" s="33" t="s">
        <v>40116</v>
      </c>
      <c r="E7916" s="51" t="s">
        <v>1660</v>
      </c>
      <c r="F7916" s="121" t="s">
        <v>3009</v>
      </c>
      <c r="G7916" s="98" t="str">
        <f>HYPERLINK("http://mirror.ff7data.com.ar/ff7/data/battle/battle.lgp/npbc.png","View Picture")</f>
        <v>View Picture</v>
      </c>
    </row>
    <row r="7917">
      <c r="A7917" s="55"/>
      <c r="B7917" s="119" t="s">
        <v>40131</v>
      </c>
      <c r="C7917" s="120" t="s">
        <v>6029</v>
      </c>
      <c r="D7917" s="33" t="s">
        <v>40116</v>
      </c>
      <c r="E7917" s="51" t="s">
        <v>1660</v>
      </c>
      <c r="F7917" s="121" t="s">
        <v>3009</v>
      </c>
      <c r="G7917" s="98" t="str">
        <f>HYPERLINK("http://mirror.ff7data.com.ar/ff7/data/battle/battle.lgp/npbd.png","View Picture")</f>
        <v>View Picture</v>
      </c>
    </row>
    <row r="7918">
      <c r="A7918" s="55"/>
      <c r="B7918" s="119" t="s">
        <v>40132</v>
      </c>
      <c r="C7918" s="120" t="s">
        <v>10078</v>
      </c>
      <c r="D7918" s="33" t="s">
        <v>40116</v>
      </c>
      <c r="E7918" s="51" t="s">
        <v>1660</v>
      </c>
      <c r="F7918" s="121" t="s">
        <v>3009</v>
      </c>
      <c r="G7918" s="98" t="str">
        <f>HYPERLINK("http://mirror.ff7data.com.ar/ff7/data/battle/battle.lgp/npbe.png","View Picture")</f>
        <v>View Picture</v>
      </c>
    </row>
    <row r="7919">
      <c r="A7919" s="55"/>
      <c r="B7919" s="119" t="s">
        <v>40133</v>
      </c>
      <c r="C7919" s="120" t="s">
        <v>5967</v>
      </c>
      <c r="D7919" s="33" t="s">
        <v>40116</v>
      </c>
      <c r="E7919" s="51" t="s">
        <v>1660</v>
      </c>
      <c r="F7919" s="121" t="s">
        <v>3009</v>
      </c>
      <c r="G7919" s="98" t="str">
        <f>HYPERLINK("http://mirror.ff7data.com.ar/ff7/data/battle/battle.lgp/npbg.png","View Picture")</f>
        <v>View Picture</v>
      </c>
    </row>
    <row r="7920">
      <c r="A7920" s="55"/>
      <c r="B7920" s="119" t="s">
        <v>40134</v>
      </c>
      <c r="C7920" s="120" t="s">
        <v>4217</v>
      </c>
      <c r="D7920" s="33" t="s">
        <v>40116</v>
      </c>
      <c r="E7920" s="51" t="s">
        <v>1660</v>
      </c>
      <c r="F7920" s="121" t="s">
        <v>3009</v>
      </c>
      <c r="G7920" s="98" t="str">
        <f>HYPERLINK("http://mirror.ff7data.com.ar/ff7/data/battle/battle.lgp/npbh.png","View Picture")</f>
        <v>View Picture</v>
      </c>
    </row>
    <row r="7921">
      <c r="A7921" s="55"/>
      <c r="B7921" s="119" t="s">
        <v>40135</v>
      </c>
      <c r="C7921" s="120" t="s">
        <v>4372</v>
      </c>
      <c r="D7921" s="33" t="s">
        <v>40116</v>
      </c>
      <c r="E7921" s="51" t="s">
        <v>1660</v>
      </c>
      <c r="F7921" s="121" t="s">
        <v>3009</v>
      </c>
      <c r="G7921" s="98" t="str">
        <f>HYPERLINK("http://mirror.ff7data.com.ar/ff7/data/battle/battle.lgp/npbi.png","View Picture")</f>
        <v>View Picture</v>
      </c>
    </row>
    <row r="7922">
      <c r="A7922" s="55"/>
      <c r="B7922" s="119" t="s">
        <v>40136</v>
      </c>
      <c r="C7922" s="120" t="s">
        <v>4439</v>
      </c>
      <c r="D7922" s="33" t="s">
        <v>40116</v>
      </c>
      <c r="E7922" s="51" t="s">
        <v>1660</v>
      </c>
      <c r="F7922" s="121" t="s">
        <v>3009</v>
      </c>
      <c r="G7922" s="98" t="str">
        <f>HYPERLINK("http://mirror.ff7data.com.ar/ff7/data/battle/battle.lgp/npbk.png","View Picture")</f>
        <v>View Picture</v>
      </c>
    </row>
    <row r="7923">
      <c r="A7923" s="55"/>
      <c r="B7923" s="119" t="s">
        <v>40137</v>
      </c>
      <c r="C7923" s="120" t="s">
        <v>3648</v>
      </c>
      <c r="D7923" s="33" t="s">
        <v>40116</v>
      </c>
      <c r="E7923" s="51" t="s">
        <v>1660</v>
      </c>
      <c r="F7923" s="121" t="s">
        <v>3009</v>
      </c>
      <c r="G7923" s="98" t="str">
        <f>HYPERLINK("http://mirror.ff7data.com.ar/ff7/data/battle/battle.lgp/npbm.png","View Picture")</f>
        <v>View Picture</v>
      </c>
    </row>
    <row r="7924">
      <c r="A7924" s="55"/>
      <c r="B7924" s="119" t="s">
        <v>40138</v>
      </c>
      <c r="C7924" s="120" t="s">
        <v>4252</v>
      </c>
      <c r="D7924" s="33" t="s">
        <v>40116</v>
      </c>
      <c r="E7924" s="51" t="s">
        <v>1660</v>
      </c>
      <c r="F7924" s="121" t="s">
        <v>3009</v>
      </c>
      <c r="G7924" s="98" t="str">
        <f>HYPERLINK("http://mirror.ff7data.com.ar/ff7/data/battle/battle.lgp/npbn.png","View Picture")</f>
        <v>View Picture</v>
      </c>
    </row>
    <row r="7925">
      <c r="A7925" s="55"/>
      <c r="B7925" s="119" t="s">
        <v>40139</v>
      </c>
      <c r="C7925" s="120" t="s">
        <v>4372</v>
      </c>
      <c r="D7925" s="33" t="s">
        <v>40116</v>
      </c>
      <c r="E7925" s="51" t="s">
        <v>1660</v>
      </c>
      <c r="F7925" s="121" t="s">
        <v>3009</v>
      </c>
      <c r="G7925" s="98" t="str">
        <f>HYPERLINK("http://mirror.ff7data.com.ar/ff7/data/battle/battle.lgp/npbo.png","View Picture")</f>
        <v>View Picture</v>
      </c>
    </row>
    <row r="7926">
      <c r="A7926" s="55"/>
      <c r="B7926" s="119" t="s">
        <v>40140</v>
      </c>
      <c r="C7926" s="120" t="s">
        <v>4439</v>
      </c>
      <c r="D7926" s="33" t="s">
        <v>40116</v>
      </c>
      <c r="E7926" s="51" t="s">
        <v>1660</v>
      </c>
      <c r="F7926" s="121" t="s">
        <v>3009</v>
      </c>
      <c r="G7926" s="98" t="str">
        <f>HYPERLINK("http://mirror.ff7data.com.ar/ff7/data/battle/battle.lgp/npbq.png","View Picture")</f>
        <v>View Picture</v>
      </c>
    </row>
    <row r="7927">
      <c r="A7927" s="55"/>
      <c r="B7927" s="119" t="s">
        <v>40141</v>
      </c>
      <c r="C7927" s="120" t="s">
        <v>5925</v>
      </c>
      <c r="D7927" s="33" t="s">
        <v>40116</v>
      </c>
      <c r="E7927" s="51" t="s">
        <v>1660</v>
      </c>
      <c r="F7927" s="121" t="s">
        <v>3009</v>
      </c>
      <c r="G7927" s="98" t="str">
        <f>HYPERLINK("http://mirror.ff7data.com.ar/ff7/data/battle/battle.lgp/npck.png","View Picture")</f>
        <v>View Picture</v>
      </c>
    </row>
    <row r="7928">
      <c r="A7928" s="55"/>
      <c r="B7928" s="119" t="s">
        <v>40142</v>
      </c>
      <c r="C7928" s="120" t="s">
        <v>36266</v>
      </c>
      <c r="D7928" s="33" t="s">
        <v>40116</v>
      </c>
      <c r="E7928" s="51" t="s">
        <v>1660</v>
      </c>
      <c r="F7928" s="121" t="s">
        <v>3025</v>
      </c>
      <c r="H7928" s="46" t="s">
        <v>3002</v>
      </c>
    </row>
    <row r="7929">
      <c r="A7929" s="55"/>
      <c r="B7929" s="119" t="s">
        <v>40143</v>
      </c>
      <c r="C7929" s="120" t="s">
        <v>4209</v>
      </c>
      <c r="D7929" s="33" t="s">
        <v>40144</v>
      </c>
      <c r="E7929" s="51" t="s">
        <v>1665</v>
      </c>
      <c r="F7929" s="121" t="s">
        <v>2971</v>
      </c>
      <c r="G7929" s="98" t="str">
        <f>HYPERLINK("http://mirror.ff7data.com.ar/ff7/data/battle/battle.lgp/nqaa.png","View Picture")</f>
        <v>View Picture</v>
      </c>
      <c r="H7929" s="46" t="s">
        <v>40145</v>
      </c>
    </row>
    <row r="7930">
      <c r="A7930" s="55"/>
      <c r="B7930" s="119" t="s">
        <v>40146</v>
      </c>
      <c r="C7930" s="120" t="s">
        <v>5724</v>
      </c>
      <c r="D7930" s="33" t="s">
        <v>40147</v>
      </c>
      <c r="E7930" s="51" t="s">
        <v>1665</v>
      </c>
      <c r="F7930" s="121" t="s">
        <v>2993</v>
      </c>
      <c r="H7930" s="46" t="s">
        <v>3002</v>
      </c>
    </row>
    <row r="7931">
      <c r="A7931" s="55"/>
      <c r="B7931" s="119" t="s">
        <v>40148</v>
      </c>
      <c r="C7931" s="120" t="s">
        <v>3671</v>
      </c>
      <c r="D7931" s="33" t="s">
        <v>40147</v>
      </c>
      <c r="E7931" s="51" t="s">
        <v>1665</v>
      </c>
      <c r="F7931" s="121" t="s">
        <v>1348</v>
      </c>
      <c r="G7931" s="98" t="str">
        <f>HYPERLINK("http://mirror.ff7data.com.ar/ff7/data/battle/battle.lgp/nqac.png","View Picture")</f>
        <v>View Picture</v>
      </c>
    </row>
    <row r="7932">
      <c r="A7932" s="55"/>
      <c r="B7932" s="119" t="s">
        <v>40149</v>
      </c>
      <c r="C7932" s="120" t="s">
        <v>7081</v>
      </c>
      <c r="D7932" s="33" t="s">
        <v>40147</v>
      </c>
      <c r="E7932" s="51" t="s">
        <v>1665</v>
      </c>
      <c r="F7932" s="121" t="s">
        <v>1348</v>
      </c>
      <c r="G7932" s="98" t="str">
        <f>HYPERLINK("http://mirror.ff7data.com.ar/ff7/data/battle/battle.lgp/nqad.png","View Picture")</f>
        <v>View Picture</v>
      </c>
    </row>
    <row r="7933">
      <c r="A7933" s="55"/>
      <c r="B7933" s="119" t="s">
        <v>40150</v>
      </c>
      <c r="C7933" s="120" t="s">
        <v>7129</v>
      </c>
      <c r="D7933" s="33" t="s">
        <v>40147</v>
      </c>
      <c r="E7933" s="51" t="s">
        <v>1665</v>
      </c>
      <c r="F7933" s="121" t="s">
        <v>3009</v>
      </c>
      <c r="G7933" s="98" t="str">
        <f>HYPERLINK("http://mirror.ff7data.com.ar/ff7/data/battle/battle.lgp/nqam.png","View Picture")</f>
        <v>View Picture</v>
      </c>
    </row>
    <row r="7934">
      <c r="A7934" s="55"/>
      <c r="B7934" s="119" t="s">
        <v>40151</v>
      </c>
      <c r="C7934" s="120" t="s">
        <v>14502</v>
      </c>
      <c r="D7934" s="33" t="s">
        <v>40147</v>
      </c>
      <c r="E7934" s="51" t="s">
        <v>1665</v>
      </c>
      <c r="F7934" s="121" t="s">
        <v>3009</v>
      </c>
      <c r="G7934" s="98" t="str">
        <f>HYPERLINK("http://mirror.ff7data.com.ar/ff7/data/battle/battle.lgp/nqan.png","View Picture")</f>
        <v>View Picture</v>
      </c>
    </row>
    <row r="7935">
      <c r="A7935" s="55"/>
      <c r="B7935" s="119" t="s">
        <v>40152</v>
      </c>
      <c r="C7935" s="120" t="s">
        <v>4167</v>
      </c>
      <c r="D7935" s="33" t="s">
        <v>40147</v>
      </c>
      <c r="E7935" s="51" t="s">
        <v>1665</v>
      </c>
      <c r="F7935" s="121" t="s">
        <v>3009</v>
      </c>
      <c r="G7935" s="98" t="str">
        <f>HYPERLINK("http://mirror.ff7data.com.ar/ff7/data/battle/battle.lgp/nqao.png","View Picture")</f>
        <v>View Picture</v>
      </c>
    </row>
    <row r="7936">
      <c r="A7936" s="55"/>
      <c r="B7936" s="119" t="s">
        <v>40153</v>
      </c>
      <c r="C7936" s="120" t="s">
        <v>4264</v>
      </c>
      <c r="D7936" s="33" t="s">
        <v>40147</v>
      </c>
      <c r="E7936" s="51" t="s">
        <v>1665</v>
      </c>
      <c r="F7936" s="121" t="s">
        <v>3009</v>
      </c>
      <c r="G7936" s="98" t="str">
        <f>HYPERLINK("http://mirror.ff7data.com.ar/ff7/data/battle/battle.lgp/nqaq.png","View Picture")</f>
        <v>View Picture</v>
      </c>
    </row>
    <row r="7937">
      <c r="A7937" s="55"/>
      <c r="B7937" s="119" t="s">
        <v>40154</v>
      </c>
      <c r="C7937" s="120" t="s">
        <v>4264</v>
      </c>
      <c r="D7937" s="33" t="s">
        <v>40147</v>
      </c>
      <c r="E7937" s="51" t="s">
        <v>1665</v>
      </c>
      <c r="F7937" s="121" t="s">
        <v>3009</v>
      </c>
      <c r="G7937" s="98" t="str">
        <f>HYPERLINK("http://mirror.ff7data.com.ar/ff7/data/battle/battle.lgp/nqar.png","View Picture")</f>
        <v>View Picture</v>
      </c>
    </row>
    <row r="7938">
      <c r="A7938" s="55"/>
      <c r="B7938" s="119" t="s">
        <v>40155</v>
      </c>
      <c r="C7938" s="120" t="s">
        <v>8376</v>
      </c>
      <c r="D7938" s="33" t="s">
        <v>40147</v>
      </c>
      <c r="E7938" s="51" t="s">
        <v>1665</v>
      </c>
      <c r="F7938" s="121" t="s">
        <v>3009</v>
      </c>
      <c r="G7938" s="98" t="str">
        <f>HYPERLINK("http://mirror.ff7data.com.ar/ff7/data/battle/battle.lgp/nqau.png","View Picture")</f>
        <v>View Picture</v>
      </c>
    </row>
    <row r="7939">
      <c r="A7939" s="55"/>
      <c r="B7939" s="119" t="s">
        <v>40156</v>
      </c>
      <c r="C7939" s="120" t="s">
        <v>3648</v>
      </c>
      <c r="D7939" s="33" t="s">
        <v>40147</v>
      </c>
      <c r="E7939" s="51" t="s">
        <v>1665</v>
      </c>
      <c r="F7939" s="121" t="s">
        <v>3009</v>
      </c>
      <c r="G7939" s="98" t="str">
        <f>HYPERLINK("http://mirror.ff7data.com.ar/ff7/data/battle/battle.lgp/nqav.png","View Picture")</f>
        <v>View Picture</v>
      </c>
    </row>
    <row r="7940">
      <c r="A7940" s="55"/>
      <c r="B7940" s="119" t="s">
        <v>40157</v>
      </c>
      <c r="C7940" s="120" t="s">
        <v>5891</v>
      </c>
      <c r="D7940" s="33" t="s">
        <v>40147</v>
      </c>
      <c r="E7940" s="51" t="s">
        <v>1665</v>
      </c>
      <c r="F7940" s="121" t="s">
        <v>3009</v>
      </c>
      <c r="G7940" s="98" t="str">
        <f>HYPERLINK("http://mirror.ff7data.com.ar/ff7/data/battle/battle.lgp/nqaw.png","View Picture")</f>
        <v>View Picture</v>
      </c>
    </row>
    <row r="7941">
      <c r="A7941" s="55"/>
      <c r="B7941" s="119" t="s">
        <v>40158</v>
      </c>
      <c r="C7941" s="120" t="s">
        <v>10078</v>
      </c>
      <c r="D7941" s="33" t="s">
        <v>40147</v>
      </c>
      <c r="E7941" s="51" t="s">
        <v>1665</v>
      </c>
      <c r="F7941" s="121" t="s">
        <v>3009</v>
      </c>
      <c r="G7941" s="98" t="str">
        <f>HYPERLINK("http://mirror.ff7data.com.ar/ff7/data/battle/battle.lgp/nqax.png","View Picture")</f>
        <v>View Picture</v>
      </c>
    </row>
    <row r="7942">
      <c r="A7942" s="55"/>
      <c r="B7942" s="119" t="s">
        <v>40159</v>
      </c>
      <c r="C7942" s="120" t="s">
        <v>29777</v>
      </c>
      <c r="D7942" s="33" t="s">
        <v>40147</v>
      </c>
      <c r="E7942" s="51" t="s">
        <v>1665</v>
      </c>
      <c r="F7942" s="121" t="s">
        <v>3009</v>
      </c>
      <c r="G7942" s="98" t="str">
        <f>HYPERLINK("http://mirror.ff7data.com.ar/ff7/data/battle/battle.lgp/nqaz.png","View Picture")</f>
        <v>View Picture</v>
      </c>
    </row>
    <row r="7943">
      <c r="A7943" s="55"/>
      <c r="B7943" s="119" t="s">
        <v>40160</v>
      </c>
      <c r="C7943" s="120" t="s">
        <v>4719</v>
      </c>
      <c r="D7943" s="33" t="s">
        <v>40147</v>
      </c>
      <c r="E7943" s="51" t="s">
        <v>1665</v>
      </c>
      <c r="F7943" s="121" t="s">
        <v>3009</v>
      </c>
      <c r="G7943" s="98" t="str">
        <f>HYPERLINK("http://mirror.ff7data.com.ar/ff7/data/battle/battle.lgp/nqbc.png","View Picture")</f>
        <v>View Picture</v>
      </c>
    </row>
    <row r="7944">
      <c r="A7944" s="55"/>
      <c r="B7944" s="119" t="s">
        <v>40161</v>
      </c>
      <c r="C7944" s="120" t="s">
        <v>6029</v>
      </c>
      <c r="D7944" s="33" t="s">
        <v>40147</v>
      </c>
      <c r="E7944" s="51" t="s">
        <v>1665</v>
      </c>
      <c r="F7944" s="121" t="s">
        <v>3009</v>
      </c>
      <c r="G7944" s="98" t="str">
        <f>HYPERLINK("http://mirror.ff7data.com.ar/ff7/data/battle/battle.lgp/nqbd.png","View Picture")</f>
        <v>View Picture</v>
      </c>
    </row>
    <row r="7945">
      <c r="A7945" s="55"/>
      <c r="B7945" s="119" t="s">
        <v>40162</v>
      </c>
      <c r="C7945" s="120" t="s">
        <v>10078</v>
      </c>
      <c r="D7945" s="33" t="s">
        <v>40147</v>
      </c>
      <c r="E7945" s="51" t="s">
        <v>1665</v>
      </c>
      <c r="F7945" s="121" t="s">
        <v>3009</v>
      </c>
      <c r="G7945" s="98" t="str">
        <f>HYPERLINK("http://mirror.ff7data.com.ar/ff7/data/battle/battle.lgp/nqbe.png","View Picture")</f>
        <v>View Picture</v>
      </c>
    </row>
    <row r="7946">
      <c r="A7946" s="55"/>
      <c r="B7946" s="119" t="s">
        <v>40163</v>
      </c>
      <c r="C7946" s="120" t="s">
        <v>5967</v>
      </c>
      <c r="D7946" s="33" t="s">
        <v>40147</v>
      </c>
      <c r="E7946" s="51" t="s">
        <v>1665</v>
      </c>
      <c r="F7946" s="121" t="s">
        <v>3009</v>
      </c>
      <c r="G7946" s="98" t="str">
        <f>HYPERLINK("http://mirror.ff7data.com.ar/ff7/data/battle/battle.lgp/nqbg.png","View Picture")</f>
        <v>View Picture</v>
      </c>
    </row>
    <row r="7947">
      <c r="A7947" s="55"/>
      <c r="B7947" s="119" t="s">
        <v>40164</v>
      </c>
      <c r="C7947" s="120" t="s">
        <v>4217</v>
      </c>
      <c r="D7947" s="33" t="s">
        <v>40147</v>
      </c>
      <c r="E7947" s="51" t="s">
        <v>1665</v>
      </c>
      <c r="F7947" s="121" t="s">
        <v>3009</v>
      </c>
      <c r="G7947" s="98" t="str">
        <f>HYPERLINK("http://mirror.ff7data.com.ar/ff7/data/battle/battle.lgp/nqbh.png","View Picture")</f>
        <v>View Picture</v>
      </c>
    </row>
    <row r="7948">
      <c r="A7948" s="55"/>
      <c r="B7948" s="119" t="s">
        <v>40165</v>
      </c>
      <c r="C7948" s="120" t="s">
        <v>4372</v>
      </c>
      <c r="D7948" s="33" t="s">
        <v>40147</v>
      </c>
      <c r="E7948" s="51" t="s">
        <v>1665</v>
      </c>
      <c r="F7948" s="121" t="s">
        <v>3009</v>
      </c>
      <c r="G7948" s="98" t="str">
        <f>HYPERLINK("http://mirror.ff7data.com.ar/ff7/data/battle/battle.lgp/nqbi.png","View Picture")</f>
        <v>View Picture</v>
      </c>
    </row>
    <row r="7949">
      <c r="A7949" s="55"/>
      <c r="B7949" s="119" t="s">
        <v>40166</v>
      </c>
      <c r="C7949" s="120" t="s">
        <v>4439</v>
      </c>
      <c r="D7949" s="33" t="s">
        <v>40147</v>
      </c>
      <c r="E7949" s="51" t="s">
        <v>1665</v>
      </c>
      <c r="F7949" s="121" t="s">
        <v>3009</v>
      </c>
      <c r="G7949" s="98" t="str">
        <f>HYPERLINK("http://mirror.ff7data.com.ar/ff7/data/battle/battle.lgp/nqbk.png","View Picture")</f>
        <v>View Picture</v>
      </c>
    </row>
    <row r="7950">
      <c r="A7950" s="55"/>
      <c r="B7950" s="119" t="s">
        <v>40167</v>
      </c>
      <c r="C7950" s="120" t="s">
        <v>3648</v>
      </c>
      <c r="D7950" s="33" t="s">
        <v>40147</v>
      </c>
      <c r="E7950" s="51" t="s">
        <v>1665</v>
      </c>
      <c r="F7950" s="121" t="s">
        <v>3009</v>
      </c>
      <c r="G7950" s="98" t="str">
        <f>HYPERLINK("http://mirror.ff7data.com.ar/ff7/data/battle/battle.lgp/nqbm.png","View Picture")</f>
        <v>View Picture</v>
      </c>
    </row>
    <row r="7951">
      <c r="A7951" s="55"/>
      <c r="B7951" s="119" t="s">
        <v>40168</v>
      </c>
      <c r="C7951" s="120" t="s">
        <v>4252</v>
      </c>
      <c r="D7951" s="33" t="s">
        <v>40147</v>
      </c>
      <c r="E7951" s="51" t="s">
        <v>1665</v>
      </c>
      <c r="F7951" s="121" t="s">
        <v>3009</v>
      </c>
      <c r="G7951" s="98" t="str">
        <f>HYPERLINK("http://mirror.ff7data.com.ar/ff7/data/battle/battle.lgp/nqbn.png","View Picture")</f>
        <v>View Picture</v>
      </c>
    </row>
    <row r="7952">
      <c r="A7952" s="55"/>
      <c r="B7952" s="119" t="s">
        <v>40169</v>
      </c>
      <c r="C7952" s="120" t="s">
        <v>4372</v>
      </c>
      <c r="D7952" s="33" t="s">
        <v>40147</v>
      </c>
      <c r="E7952" s="51" t="s">
        <v>1665</v>
      </c>
      <c r="F7952" s="121" t="s">
        <v>3009</v>
      </c>
      <c r="G7952" s="98" t="str">
        <f>HYPERLINK("http://mirror.ff7data.com.ar/ff7/data/battle/battle.lgp/nqbo.png","View Picture")</f>
        <v>View Picture</v>
      </c>
    </row>
    <row r="7953">
      <c r="A7953" s="55"/>
      <c r="B7953" s="119" t="s">
        <v>40170</v>
      </c>
      <c r="C7953" s="120" t="s">
        <v>4439</v>
      </c>
      <c r="D7953" s="33" t="s">
        <v>40147</v>
      </c>
      <c r="E7953" s="51" t="s">
        <v>1665</v>
      </c>
      <c r="F7953" s="121" t="s">
        <v>3009</v>
      </c>
      <c r="G7953" s="98" t="str">
        <f>HYPERLINK("http://mirror.ff7data.com.ar/ff7/data/battle/battle.lgp/nqbq.png","View Picture")</f>
        <v>View Picture</v>
      </c>
    </row>
    <row r="7954">
      <c r="A7954" s="55"/>
      <c r="B7954" s="119" t="s">
        <v>40171</v>
      </c>
      <c r="C7954" s="120" t="s">
        <v>5925</v>
      </c>
      <c r="D7954" s="33" t="s">
        <v>40147</v>
      </c>
      <c r="E7954" s="51" t="s">
        <v>1665</v>
      </c>
      <c r="F7954" s="121" t="s">
        <v>3009</v>
      </c>
      <c r="G7954" s="98" t="str">
        <f>HYPERLINK("http://mirror.ff7data.com.ar/ff7/data/battle/battle.lgp/nqck.png","View Picture")</f>
        <v>View Picture</v>
      </c>
    </row>
    <row r="7955">
      <c r="A7955" s="55"/>
      <c r="B7955" s="119" t="s">
        <v>40172</v>
      </c>
      <c r="C7955" s="120" t="s">
        <v>36266</v>
      </c>
      <c r="D7955" s="33" t="s">
        <v>40147</v>
      </c>
      <c r="E7955" s="51" t="s">
        <v>1665</v>
      </c>
      <c r="F7955" s="121" t="s">
        <v>3025</v>
      </c>
      <c r="H7955" s="46" t="s">
        <v>3002</v>
      </c>
    </row>
    <row r="7956">
      <c r="A7956" s="55"/>
      <c r="B7956" s="119" t="s">
        <v>40173</v>
      </c>
      <c r="C7956" s="120" t="s">
        <v>4209</v>
      </c>
      <c r="D7956" s="33" t="s">
        <v>40144</v>
      </c>
      <c r="E7956" s="51" t="s">
        <v>1671</v>
      </c>
      <c r="F7956" s="121" t="s">
        <v>2971</v>
      </c>
      <c r="G7956" s="98" t="str">
        <f>HYPERLINK("http://mirror.ff7data.com.ar/ff7/data/battle/battle.lgp/nraa.png","View Picture")</f>
        <v>View Picture</v>
      </c>
      <c r="H7956" s="46" t="s">
        <v>40174</v>
      </c>
    </row>
    <row r="7957">
      <c r="A7957" s="55"/>
      <c r="B7957" s="119" t="s">
        <v>40175</v>
      </c>
      <c r="C7957" s="120" t="s">
        <v>5724</v>
      </c>
      <c r="D7957" s="33" t="s">
        <v>40147</v>
      </c>
      <c r="E7957" s="51" t="s">
        <v>1671</v>
      </c>
      <c r="F7957" s="121" t="s">
        <v>2993</v>
      </c>
      <c r="H7957" s="46" t="s">
        <v>3002</v>
      </c>
    </row>
    <row r="7958">
      <c r="A7958" s="55"/>
      <c r="B7958" s="119" t="s">
        <v>40176</v>
      </c>
      <c r="C7958" s="120" t="s">
        <v>3671</v>
      </c>
      <c r="D7958" s="33" t="s">
        <v>40147</v>
      </c>
      <c r="E7958" s="51" t="s">
        <v>1671</v>
      </c>
      <c r="F7958" s="121" t="s">
        <v>1348</v>
      </c>
      <c r="G7958" s="98" t="str">
        <f>HYPERLINK("http://mirror.ff7data.com.ar/ff7/data/battle/battle.lgp/nrac.png","View Picture")</f>
        <v>View Picture</v>
      </c>
    </row>
    <row r="7959">
      <c r="A7959" s="55"/>
      <c r="B7959" s="119" t="s">
        <v>40177</v>
      </c>
      <c r="C7959" s="120" t="s">
        <v>7081</v>
      </c>
      <c r="D7959" s="33" t="s">
        <v>40147</v>
      </c>
      <c r="E7959" s="51" t="s">
        <v>1671</v>
      </c>
      <c r="F7959" s="121" t="s">
        <v>1348</v>
      </c>
      <c r="G7959" s="98" t="str">
        <f>HYPERLINK("http://mirror.ff7data.com.ar/ff7/data/battle/battle.lgp/nrad.png","View Picture")</f>
        <v>View Picture</v>
      </c>
    </row>
    <row r="7960">
      <c r="A7960" s="55"/>
      <c r="B7960" s="119" t="s">
        <v>40178</v>
      </c>
      <c r="C7960" s="120" t="s">
        <v>7129</v>
      </c>
      <c r="D7960" s="33" t="s">
        <v>40147</v>
      </c>
      <c r="E7960" s="51" t="s">
        <v>1671</v>
      </c>
      <c r="F7960" s="121" t="s">
        <v>3009</v>
      </c>
      <c r="G7960" s="98" t="str">
        <f>HYPERLINK("http://mirror.ff7data.com.ar/ff7/data/battle/battle.lgp/nram.png","View Picture")</f>
        <v>View Picture</v>
      </c>
    </row>
    <row r="7961">
      <c r="A7961" s="55"/>
      <c r="B7961" s="119" t="s">
        <v>40179</v>
      </c>
      <c r="C7961" s="120" t="s">
        <v>14502</v>
      </c>
      <c r="D7961" s="33" t="s">
        <v>40147</v>
      </c>
      <c r="E7961" s="51" t="s">
        <v>1671</v>
      </c>
      <c r="F7961" s="121" t="s">
        <v>3009</v>
      </c>
      <c r="G7961" s="98" t="str">
        <f>HYPERLINK("http://mirror.ff7data.com.ar/ff7/data/battle/battle.lgp/nran.png","View Picture")</f>
        <v>View Picture</v>
      </c>
    </row>
    <row r="7962">
      <c r="A7962" s="55"/>
      <c r="B7962" s="119" t="s">
        <v>40180</v>
      </c>
      <c r="C7962" s="120" t="s">
        <v>4167</v>
      </c>
      <c r="D7962" s="33" t="s">
        <v>40147</v>
      </c>
      <c r="E7962" s="51" t="s">
        <v>1671</v>
      </c>
      <c r="F7962" s="121" t="s">
        <v>3009</v>
      </c>
      <c r="G7962" s="98" t="str">
        <f>HYPERLINK("http://mirror.ff7data.com.ar/ff7/data/battle/battle.lgp/nrao.png","View Picture")</f>
        <v>View Picture</v>
      </c>
    </row>
    <row r="7963">
      <c r="A7963" s="55"/>
      <c r="B7963" s="119" t="s">
        <v>40181</v>
      </c>
      <c r="C7963" s="120" t="s">
        <v>4264</v>
      </c>
      <c r="D7963" s="33" t="s">
        <v>40147</v>
      </c>
      <c r="E7963" s="51" t="s">
        <v>1671</v>
      </c>
      <c r="F7963" s="121" t="s">
        <v>3009</v>
      </c>
      <c r="G7963" s="98" t="str">
        <f>HYPERLINK("http://mirror.ff7data.com.ar/ff7/data/battle/battle.lgp/nraq.png","View Picture")</f>
        <v>View Picture</v>
      </c>
    </row>
    <row r="7964">
      <c r="A7964" s="55"/>
      <c r="B7964" s="119" t="s">
        <v>40182</v>
      </c>
      <c r="C7964" s="120" t="s">
        <v>4264</v>
      </c>
      <c r="D7964" s="33" t="s">
        <v>40147</v>
      </c>
      <c r="E7964" s="51" t="s">
        <v>1671</v>
      </c>
      <c r="F7964" s="121" t="s">
        <v>3009</v>
      </c>
      <c r="G7964" s="98" t="str">
        <f>HYPERLINK("http://mirror.ff7data.com.ar/ff7/data/battle/battle.lgp/nrar.png","View Picture")</f>
        <v>View Picture</v>
      </c>
    </row>
    <row r="7965">
      <c r="A7965" s="55"/>
      <c r="B7965" s="119" t="s">
        <v>40183</v>
      </c>
      <c r="C7965" s="120" t="s">
        <v>8376</v>
      </c>
      <c r="D7965" s="33" t="s">
        <v>40147</v>
      </c>
      <c r="E7965" s="51" t="s">
        <v>1671</v>
      </c>
      <c r="F7965" s="121" t="s">
        <v>3009</v>
      </c>
      <c r="G7965" s="98" t="str">
        <f>HYPERLINK("http://mirror.ff7data.com.ar/ff7/data/battle/battle.lgp/nrau.png","View Picture")</f>
        <v>View Picture</v>
      </c>
    </row>
    <row r="7966">
      <c r="A7966" s="55"/>
      <c r="B7966" s="119" t="s">
        <v>40184</v>
      </c>
      <c r="C7966" s="120" t="s">
        <v>3648</v>
      </c>
      <c r="D7966" s="33" t="s">
        <v>40147</v>
      </c>
      <c r="E7966" s="51" t="s">
        <v>1671</v>
      </c>
      <c r="F7966" s="121" t="s">
        <v>3009</v>
      </c>
      <c r="G7966" s="98" t="str">
        <f>HYPERLINK("http://mirror.ff7data.com.ar/ff7/data/battle/battle.lgp/nrav.png","View Picture")</f>
        <v>View Picture</v>
      </c>
    </row>
    <row r="7967">
      <c r="A7967" s="55"/>
      <c r="B7967" s="119" t="s">
        <v>40185</v>
      </c>
      <c r="C7967" s="120" t="s">
        <v>5891</v>
      </c>
      <c r="D7967" s="33" t="s">
        <v>40147</v>
      </c>
      <c r="E7967" s="51" t="s">
        <v>1671</v>
      </c>
      <c r="F7967" s="121" t="s">
        <v>3009</v>
      </c>
      <c r="G7967" s="98" t="str">
        <f>HYPERLINK("http://mirror.ff7data.com.ar/ff7/data/battle/battle.lgp/nraw.png","View Picture")</f>
        <v>View Picture</v>
      </c>
    </row>
    <row r="7968">
      <c r="A7968" s="55"/>
      <c r="B7968" s="119" t="s">
        <v>40186</v>
      </c>
      <c r="C7968" s="120" t="s">
        <v>10078</v>
      </c>
      <c r="D7968" s="33" t="s">
        <v>40147</v>
      </c>
      <c r="E7968" s="51" t="s">
        <v>1671</v>
      </c>
      <c r="F7968" s="121" t="s">
        <v>3009</v>
      </c>
      <c r="G7968" s="98" t="str">
        <f>HYPERLINK("http://mirror.ff7data.com.ar/ff7/data/battle/battle.lgp/nrax.png","View Picture")</f>
        <v>View Picture</v>
      </c>
    </row>
    <row r="7969">
      <c r="A7969" s="55"/>
      <c r="B7969" s="119" t="s">
        <v>40187</v>
      </c>
      <c r="C7969" s="120" t="s">
        <v>29777</v>
      </c>
      <c r="D7969" s="33" t="s">
        <v>40147</v>
      </c>
      <c r="E7969" s="51" t="s">
        <v>1671</v>
      </c>
      <c r="F7969" s="121" t="s">
        <v>3009</v>
      </c>
      <c r="G7969" s="98" t="str">
        <f>HYPERLINK("http://mirror.ff7data.com.ar/ff7/data/battle/battle.lgp/nraz.png","View Picture")</f>
        <v>View Picture</v>
      </c>
    </row>
    <row r="7970">
      <c r="A7970" s="55"/>
      <c r="B7970" s="119" t="s">
        <v>40188</v>
      </c>
      <c r="C7970" s="120" t="s">
        <v>4719</v>
      </c>
      <c r="D7970" s="33" t="s">
        <v>40147</v>
      </c>
      <c r="E7970" s="51" t="s">
        <v>1671</v>
      </c>
      <c r="F7970" s="121" t="s">
        <v>3009</v>
      </c>
      <c r="G7970" s="98" t="str">
        <f>HYPERLINK("http://mirror.ff7data.com.ar/ff7/data/battle/battle.lgp/nrbc.png","View Picture")</f>
        <v>View Picture</v>
      </c>
    </row>
    <row r="7971">
      <c r="A7971" s="55"/>
      <c r="B7971" s="119" t="s">
        <v>40189</v>
      </c>
      <c r="C7971" s="120" t="s">
        <v>6029</v>
      </c>
      <c r="D7971" s="33" t="s">
        <v>40147</v>
      </c>
      <c r="E7971" s="51" t="s">
        <v>1671</v>
      </c>
      <c r="F7971" s="121" t="s">
        <v>3009</v>
      </c>
      <c r="G7971" s="98" t="str">
        <f>HYPERLINK("http://mirror.ff7data.com.ar/ff7/data/battle/battle.lgp/nrbd.png","View Picture")</f>
        <v>View Picture</v>
      </c>
    </row>
    <row r="7972">
      <c r="A7972" s="55"/>
      <c r="B7972" s="119" t="s">
        <v>40190</v>
      </c>
      <c r="C7972" s="120" t="s">
        <v>10078</v>
      </c>
      <c r="D7972" s="33" t="s">
        <v>40147</v>
      </c>
      <c r="E7972" s="51" t="s">
        <v>1671</v>
      </c>
      <c r="F7972" s="121" t="s">
        <v>3009</v>
      </c>
      <c r="G7972" s="98" t="str">
        <f>HYPERLINK("http://mirror.ff7data.com.ar/ff7/data/battle/battle.lgp/nrbe.png","View Picture")</f>
        <v>View Picture</v>
      </c>
    </row>
    <row r="7973">
      <c r="A7973" s="55"/>
      <c r="B7973" s="119" t="s">
        <v>40191</v>
      </c>
      <c r="C7973" s="120" t="s">
        <v>5967</v>
      </c>
      <c r="D7973" s="33" t="s">
        <v>40147</v>
      </c>
      <c r="E7973" s="51" t="s">
        <v>1671</v>
      </c>
      <c r="F7973" s="121" t="s">
        <v>3009</v>
      </c>
      <c r="G7973" s="98" t="str">
        <f>HYPERLINK("http://mirror.ff7data.com.ar/ff7/data/battle/battle.lgp/nrbg.png","View Picture")</f>
        <v>View Picture</v>
      </c>
    </row>
    <row r="7974">
      <c r="A7974" s="55"/>
      <c r="B7974" s="119" t="s">
        <v>40192</v>
      </c>
      <c r="C7974" s="120" t="s">
        <v>4217</v>
      </c>
      <c r="D7974" s="33" t="s">
        <v>40147</v>
      </c>
      <c r="E7974" s="51" t="s">
        <v>1671</v>
      </c>
      <c r="F7974" s="121" t="s">
        <v>3009</v>
      </c>
      <c r="G7974" s="98" t="str">
        <f>HYPERLINK("http://mirror.ff7data.com.ar/ff7/data/battle/battle.lgp/nrbh.png","View Picture")</f>
        <v>View Picture</v>
      </c>
    </row>
    <row r="7975">
      <c r="A7975" s="55"/>
      <c r="B7975" s="119" t="s">
        <v>40193</v>
      </c>
      <c r="C7975" s="120" t="s">
        <v>4372</v>
      </c>
      <c r="D7975" s="33" t="s">
        <v>40147</v>
      </c>
      <c r="E7975" s="51" t="s">
        <v>1671</v>
      </c>
      <c r="F7975" s="121" t="s">
        <v>3009</v>
      </c>
      <c r="G7975" s="98" t="str">
        <f>HYPERLINK("http://mirror.ff7data.com.ar/ff7/data/battle/battle.lgp/nrbi.png","View Picture")</f>
        <v>View Picture</v>
      </c>
    </row>
    <row r="7976">
      <c r="A7976" s="55"/>
      <c r="B7976" s="119" t="s">
        <v>40194</v>
      </c>
      <c r="C7976" s="120" t="s">
        <v>4439</v>
      </c>
      <c r="D7976" s="33" t="s">
        <v>40147</v>
      </c>
      <c r="E7976" s="51" t="s">
        <v>1671</v>
      </c>
      <c r="F7976" s="121" t="s">
        <v>3009</v>
      </c>
      <c r="G7976" s="98" t="str">
        <f>HYPERLINK("http://mirror.ff7data.com.ar/ff7/data/battle/battle.lgp/nrbk.png","View Picture")</f>
        <v>View Picture</v>
      </c>
    </row>
    <row r="7977">
      <c r="A7977" s="55"/>
      <c r="B7977" s="119" t="s">
        <v>40195</v>
      </c>
      <c r="C7977" s="120" t="s">
        <v>3648</v>
      </c>
      <c r="D7977" s="33" t="s">
        <v>40147</v>
      </c>
      <c r="E7977" s="51" t="s">
        <v>1671</v>
      </c>
      <c r="F7977" s="121" t="s">
        <v>3009</v>
      </c>
      <c r="G7977" s="98" t="str">
        <f>HYPERLINK("http://mirror.ff7data.com.ar/ff7/data/battle/battle.lgp/nrbm.png","View Picture")</f>
        <v>View Picture</v>
      </c>
    </row>
    <row r="7978">
      <c r="A7978" s="55"/>
      <c r="B7978" s="119" t="s">
        <v>40196</v>
      </c>
      <c r="C7978" s="120" t="s">
        <v>4252</v>
      </c>
      <c r="D7978" s="33" t="s">
        <v>40147</v>
      </c>
      <c r="E7978" s="51" t="s">
        <v>1671</v>
      </c>
      <c r="F7978" s="121" t="s">
        <v>3009</v>
      </c>
      <c r="G7978" s="98" t="str">
        <f>HYPERLINK("http://mirror.ff7data.com.ar/ff7/data/battle/battle.lgp/nrbn.png","View Picture")</f>
        <v>View Picture</v>
      </c>
    </row>
    <row r="7979">
      <c r="A7979" s="55"/>
      <c r="B7979" s="119" t="s">
        <v>40197</v>
      </c>
      <c r="C7979" s="120" t="s">
        <v>4372</v>
      </c>
      <c r="D7979" s="33" t="s">
        <v>40147</v>
      </c>
      <c r="E7979" s="51" t="s">
        <v>1671</v>
      </c>
      <c r="F7979" s="121" t="s">
        <v>3009</v>
      </c>
      <c r="G7979" s="98" t="str">
        <f>HYPERLINK("http://mirror.ff7data.com.ar/ff7/data/battle/battle.lgp/nrbo.png","View Picture")</f>
        <v>View Picture</v>
      </c>
    </row>
    <row r="7980">
      <c r="A7980" s="55"/>
      <c r="B7980" s="119" t="s">
        <v>40198</v>
      </c>
      <c r="C7980" s="120" t="s">
        <v>4439</v>
      </c>
      <c r="D7980" s="33" t="s">
        <v>40147</v>
      </c>
      <c r="E7980" s="51" t="s">
        <v>1671</v>
      </c>
      <c r="F7980" s="121" t="s">
        <v>3009</v>
      </c>
      <c r="G7980" s="98" t="str">
        <f>HYPERLINK("http://mirror.ff7data.com.ar/ff7/data/battle/battle.lgp/nrbq.png","View Picture")</f>
        <v>View Picture</v>
      </c>
    </row>
    <row r="7981">
      <c r="A7981" s="55"/>
      <c r="B7981" s="119" t="s">
        <v>40199</v>
      </c>
      <c r="C7981" s="120" t="s">
        <v>5925</v>
      </c>
      <c r="D7981" s="33" t="s">
        <v>40147</v>
      </c>
      <c r="E7981" s="51" t="s">
        <v>1671</v>
      </c>
      <c r="F7981" s="121" t="s">
        <v>3009</v>
      </c>
      <c r="G7981" s="98" t="str">
        <f>HYPERLINK("http://mirror.ff7data.com.ar/ff7/data/battle/battle.lgp/nrck.png","View Picture")</f>
        <v>View Picture</v>
      </c>
    </row>
    <row r="7982">
      <c r="A7982" s="55"/>
      <c r="B7982" s="119" t="s">
        <v>40200</v>
      </c>
      <c r="C7982" s="120" t="s">
        <v>36266</v>
      </c>
      <c r="D7982" s="33" t="s">
        <v>40147</v>
      </c>
      <c r="E7982" s="51" t="s">
        <v>1671</v>
      </c>
      <c r="F7982" s="121" t="s">
        <v>3025</v>
      </c>
      <c r="H7982" s="46" t="s">
        <v>3002</v>
      </c>
    </row>
    <row r="7983">
      <c r="A7983" s="55"/>
      <c r="B7983" s="119" t="s">
        <v>40201</v>
      </c>
      <c r="C7983" s="120" t="s">
        <v>4209</v>
      </c>
      <c r="D7983" s="33" t="s">
        <v>40144</v>
      </c>
      <c r="E7983" s="51" t="s">
        <v>1673</v>
      </c>
      <c r="F7983" s="121" t="s">
        <v>2971</v>
      </c>
      <c r="G7983" s="98" t="str">
        <f>HYPERLINK("http://mirror.ff7data.com.ar/ff7/data/battle/battle.lgp/nsaa.png","View Picture")</f>
        <v>View Picture</v>
      </c>
      <c r="H7983" s="46" t="s">
        <v>40202</v>
      </c>
    </row>
    <row r="7984">
      <c r="A7984" s="55"/>
      <c r="B7984" s="119" t="s">
        <v>40203</v>
      </c>
      <c r="C7984" s="120" t="s">
        <v>5724</v>
      </c>
      <c r="D7984" s="33" t="s">
        <v>40147</v>
      </c>
      <c r="E7984" s="51" t="s">
        <v>1673</v>
      </c>
      <c r="F7984" s="121" t="s">
        <v>2993</v>
      </c>
      <c r="H7984" s="46" t="s">
        <v>3002</v>
      </c>
    </row>
    <row r="7985">
      <c r="A7985" s="55"/>
      <c r="B7985" s="119" t="s">
        <v>40204</v>
      </c>
      <c r="C7985" s="120" t="s">
        <v>3671</v>
      </c>
      <c r="D7985" s="33" t="s">
        <v>40147</v>
      </c>
      <c r="E7985" s="51" t="s">
        <v>1673</v>
      </c>
      <c r="F7985" s="121" t="s">
        <v>1348</v>
      </c>
      <c r="G7985" s="98" t="str">
        <f>HYPERLINK("http://mirror.ff7data.com.ar/ff7/data/battle/battle.lgp/nsac.png","View Picture")</f>
        <v>View Picture</v>
      </c>
    </row>
    <row r="7986">
      <c r="A7986" s="55"/>
      <c r="B7986" s="119" t="s">
        <v>40205</v>
      </c>
      <c r="C7986" s="120" t="s">
        <v>7081</v>
      </c>
      <c r="D7986" s="33" t="s">
        <v>40147</v>
      </c>
      <c r="E7986" s="51" t="s">
        <v>1673</v>
      </c>
      <c r="F7986" s="121" t="s">
        <v>1348</v>
      </c>
      <c r="G7986" s="98" t="str">
        <f>HYPERLINK("http://mirror.ff7data.com.ar/ff7/data/battle/battle.lgp/nsad.png","View Picture")</f>
        <v>View Picture</v>
      </c>
    </row>
    <row r="7987">
      <c r="A7987" s="55"/>
      <c r="B7987" s="119" t="s">
        <v>40206</v>
      </c>
      <c r="C7987" s="120" t="s">
        <v>7129</v>
      </c>
      <c r="D7987" s="33" t="s">
        <v>40147</v>
      </c>
      <c r="E7987" s="51" t="s">
        <v>1673</v>
      </c>
      <c r="F7987" s="121" t="s">
        <v>3009</v>
      </c>
      <c r="G7987" s="98" t="str">
        <f>HYPERLINK("http://mirror.ff7data.com.ar/ff7/data/battle/battle.lgp/nsam.png","View Picture")</f>
        <v>View Picture</v>
      </c>
    </row>
    <row r="7988">
      <c r="A7988" s="55"/>
      <c r="B7988" s="119" t="s">
        <v>40207</v>
      </c>
      <c r="C7988" s="120" t="s">
        <v>14502</v>
      </c>
      <c r="D7988" s="33" t="s">
        <v>40147</v>
      </c>
      <c r="E7988" s="51" t="s">
        <v>1673</v>
      </c>
      <c r="F7988" s="121" t="s">
        <v>3009</v>
      </c>
      <c r="G7988" s="98" t="str">
        <f>HYPERLINK("http://mirror.ff7data.com.ar/ff7/data/battle/battle.lgp/nsan.png","View Picture")</f>
        <v>View Picture</v>
      </c>
    </row>
    <row r="7989">
      <c r="A7989" s="55"/>
      <c r="B7989" s="119" t="s">
        <v>40208</v>
      </c>
      <c r="C7989" s="120" t="s">
        <v>4167</v>
      </c>
      <c r="D7989" s="33" t="s">
        <v>40147</v>
      </c>
      <c r="E7989" s="51" t="s">
        <v>1673</v>
      </c>
      <c r="F7989" s="121" t="s">
        <v>3009</v>
      </c>
      <c r="G7989" s="98" t="str">
        <f>HYPERLINK("http://mirror.ff7data.com.ar/ff7/data/battle/battle.lgp/nsao.png","View Picture")</f>
        <v>View Picture</v>
      </c>
    </row>
    <row r="7990">
      <c r="A7990" s="55"/>
      <c r="B7990" s="119" t="s">
        <v>40209</v>
      </c>
      <c r="C7990" s="120" t="s">
        <v>4264</v>
      </c>
      <c r="D7990" s="33" t="s">
        <v>40147</v>
      </c>
      <c r="E7990" s="51" t="s">
        <v>1673</v>
      </c>
      <c r="F7990" s="121" t="s">
        <v>3009</v>
      </c>
      <c r="G7990" s="98" t="str">
        <f>HYPERLINK("http://mirror.ff7data.com.ar/ff7/data/battle/battle.lgp/nsaq.png","View Picture")</f>
        <v>View Picture</v>
      </c>
    </row>
    <row r="7991">
      <c r="A7991" s="55"/>
      <c r="B7991" s="119" t="s">
        <v>40210</v>
      </c>
      <c r="C7991" s="120" t="s">
        <v>4264</v>
      </c>
      <c r="D7991" s="33" t="s">
        <v>40147</v>
      </c>
      <c r="E7991" s="51" t="s">
        <v>1673</v>
      </c>
      <c r="F7991" s="121" t="s">
        <v>3009</v>
      </c>
      <c r="G7991" s="98" t="str">
        <f>HYPERLINK("http://mirror.ff7data.com.ar/ff7/data/battle/battle.lgp/nsar.png","View Picture")</f>
        <v>View Picture</v>
      </c>
    </row>
    <row r="7992">
      <c r="A7992" s="55"/>
      <c r="B7992" s="119" t="s">
        <v>40211</v>
      </c>
      <c r="C7992" s="120" t="s">
        <v>8376</v>
      </c>
      <c r="D7992" s="33" t="s">
        <v>40147</v>
      </c>
      <c r="E7992" s="51" t="s">
        <v>1673</v>
      </c>
      <c r="F7992" s="121" t="s">
        <v>3009</v>
      </c>
      <c r="G7992" s="98" t="str">
        <f>HYPERLINK("http://mirror.ff7data.com.ar/ff7/data/battle/battle.lgp/nsau.png","View Picture")</f>
        <v>View Picture</v>
      </c>
    </row>
    <row r="7993">
      <c r="A7993" s="55"/>
      <c r="B7993" s="119" t="s">
        <v>40212</v>
      </c>
      <c r="C7993" s="120" t="s">
        <v>3648</v>
      </c>
      <c r="D7993" s="33" t="s">
        <v>40147</v>
      </c>
      <c r="E7993" s="51" t="s">
        <v>1673</v>
      </c>
      <c r="F7993" s="121" t="s">
        <v>3009</v>
      </c>
      <c r="G7993" s="98" t="str">
        <f>HYPERLINK("http://mirror.ff7data.com.ar/ff7/data/battle/battle.lgp/nsav.png","View Picture")</f>
        <v>View Picture</v>
      </c>
    </row>
    <row r="7994">
      <c r="A7994" s="55"/>
      <c r="B7994" s="119" t="s">
        <v>40213</v>
      </c>
      <c r="C7994" s="120" t="s">
        <v>5891</v>
      </c>
      <c r="D7994" s="33" t="s">
        <v>40147</v>
      </c>
      <c r="E7994" s="51" t="s">
        <v>1673</v>
      </c>
      <c r="F7994" s="121" t="s">
        <v>3009</v>
      </c>
      <c r="G7994" s="98" t="str">
        <f>HYPERLINK("http://mirror.ff7data.com.ar/ff7/data/battle/battle.lgp/nsaw.png","View Picture")</f>
        <v>View Picture</v>
      </c>
    </row>
    <row r="7995">
      <c r="A7995" s="55"/>
      <c r="B7995" s="119" t="s">
        <v>40214</v>
      </c>
      <c r="C7995" s="120" t="s">
        <v>10078</v>
      </c>
      <c r="D7995" s="33" t="s">
        <v>40147</v>
      </c>
      <c r="E7995" s="51" t="s">
        <v>1673</v>
      </c>
      <c r="F7995" s="121" t="s">
        <v>3009</v>
      </c>
      <c r="G7995" s="98" t="str">
        <f>HYPERLINK("http://mirror.ff7data.com.ar/ff7/data/battle/battle.lgp/nsax.png","View Picture")</f>
        <v>View Picture</v>
      </c>
    </row>
    <row r="7996">
      <c r="A7996" s="55"/>
      <c r="B7996" s="119" t="s">
        <v>40215</v>
      </c>
      <c r="C7996" s="120" t="s">
        <v>29777</v>
      </c>
      <c r="D7996" s="33" t="s">
        <v>40147</v>
      </c>
      <c r="E7996" s="51" t="s">
        <v>1673</v>
      </c>
      <c r="F7996" s="121" t="s">
        <v>3009</v>
      </c>
      <c r="G7996" s="98" t="str">
        <f>HYPERLINK("http://mirror.ff7data.com.ar/ff7/data/battle/battle.lgp/nsaz.png","View Picture")</f>
        <v>View Picture</v>
      </c>
    </row>
    <row r="7997">
      <c r="A7997" s="55"/>
      <c r="B7997" s="119" t="s">
        <v>40216</v>
      </c>
      <c r="C7997" s="120" t="s">
        <v>4719</v>
      </c>
      <c r="D7997" s="33" t="s">
        <v>40147</v>
      </c>
      <c r="E7997" s="51" t="s">
        <v>1673</v>
      </c>
      <c r="F7997" s="121" t="s">
        <v>3009</v>
      </c>
      <c r="G7997" s="98" t="str">
        <f>HYPERLINK("http://mirror.ff7data.com.ar/ff7/data/battle/battle.lgp/nsbc.png","View Picture")</f>
        <v>View Picture</v>
      </c>
    </row>
    <row r="7998">
      <c r="A7998" s="55"/>
      <c r="B7998" s="119" t="s">
        <v>40217</v>
      </c>
      <c r="C7998" s="120" t="s">
        <v>6029</v>
      </c>
      <c r="D7998" s="33" t="s">
        <v>40147</v>
      </c>
      <c r="E7998" s="51" t="s">
        <v>1673</v>
      </c>
      <c r="F7998" s="121" t="s">
        <v>3009</v>
      </c>
      <c r="G7998" s="98" t="str">
        <f>HYPERLINK("http://mirror.ff7data.com.ar/ff7/data/battle/battle.lgp/nsbd.png","View Picture")</f>
        <v>View Picture</v>
      </c>
    </row>
    <row r="7999">
      <c r="A7999" s="55"/>
      <c r="B7999" s="119" t="s">
        <v>40218</v>
      </c>
      <c r="C7999" s="120" t="s">
        <v>10078</v>
      </c>
      <c r="D7999" s="33" t="s">
        <v>40147</v>
      </c>
      <c r="E7999" s="51" t="s">
        <v>1673</v>
      </c>
      <c r="F7999" s="121" t="s">
        <v>3009</v>
      </c>
      <c r="G7999" s="98" t="str">
        <f>HYPERLINK("http://mirror.ff7data.com.ar/ff7/data/battle/battle.lgp/nsbe.png","View Picture")</f>
        <v>View Picture</v>
      </c>
    </row>
    <row r="8000">
      <c r="A8000" s="55"/>
      <c r="B8000" s="119" t="s">
        <v>40219</v>
      </c>
      <c r="C8000" s="120" t="s">
        <v>5967</v>
      </c>
      <c r="D8000" s="33" t="s">
        <v>40147</v>
      </c>
      <c r="E8000" s="51" t="s">
        <v>1673</v>
      </c>
      <c r="F8000" s="121" t="s">
        <v>3009</v>
      </c>
      <c r="G8000" s="98" t="str">
        <f>HYPERLINK("http://mirror.ff7data.com.ar/ff7/data/battle/battle.lgp/nsbg.png","View Picture")</f>
        <v>View Picture</v>
      </c>
    </row>
    <row r="8001">
      <c r="A8001" s="55"/>
      <c r="B8001" s="119" t="s">
        <v>40220</v>
      </c>
      <c r="C8001" s="120" t="s">
        <v>4217</v>
      </c>
      <c r="D8001" s="33" t="s">
        <v>40147</v>
      </c>
      <c r="E8001" s="51" t="s">
        <v>1673</v>
      </c>
      <c r="F8001" s="121" t="s">
        <v>3009</v>
      </c>
      <c r="G8001" s="98" t="str">
        <f>HYPERLINK("http://mirror.ff7data.com.ar/ff7/data/battle/battle.lgp/nsbh.png","View Picture")</f>
        <v>View Picture</v>
      </c>
    </row>
    <row r="8002">
      <c r="A8002" s="55"/>
      <c r="B8002" s="119" t="s">
        <v>40221</v>
      </c>
      <c r="C8002" s="120" t="s">
        <v>4372</v>
      </c>
      <c r="D8002" s="33" t="s">
        <v>40147</v>
      </c>
      <c r="E8002" s="51" t="s">
        <v>1673</v>
      </c>
      <c r="F8002" s="121" t="s">
        <v>3009</v>
      </c>
      <c r="G8002" s="98" t="str">
        <f>HYPERLINK("http://mirror.ff7data.com.ar/ff7/data/battle/battle.lgp/nsbi.png","View Picture")</f>
        <v>View Picture</v>
      </c>
    </row>
    <row r="8003">
      <c r="A8003" s="55"/>
      <c r="B8003" s="119" t="s">
        <v>40222</v>
      </c>
      <c r="C8003" s="120" t="s">
        <v>4439</v>
      </c>
      <c r="D8003" s="33" t="s">
        <v>40147</v>
      </c>
      <c r="E8003" s="51" t="s">
        <v>1673</v>
      </c>
      <c r="F8003" s="121" t="s">
        <v>3009</v>
      </c>
      <c r="G8003" s="98" t="str">
        <f>HYPERLINK("http://mirror.ff7data.com.ar/ff7/data/battle/battle.lgp/nsbk.png","View Picture")</f>
        <v>View Picture</v>
      </c>
    </row>
    <row r="8004">
      <c r="A8004" s="55"/>
      <c r="B8004" s="119" t="s">
        <v>40223</v>
      </c>
      <c r="C8004" s="120" t="s">
        <v>3648</v>
      </c>
      <c r="D8004" s="33" t="s">
        <v>40147</v>
      </c>
      <c r="E8004" s="51" t="s">
        <v>1673</v>
      </c>
      <c r="F8004" s="121" t="s">
        <v>3009</v>
      </c>
      <c r="G8004" s="98" t="str">
        <f>HYPERLINK("http://mirror.ff7data.com.ar/ff7/data/battle/battle.lgp/nsbm.png","View Picture")</f>
        <v>View Picture</v>
      </c>
    </row>
    <row r="8005">
      <c r="A8005" s="55"/>
      <c r="B8005" s="119" t="s">
        <v>40224</v>
      </c>
      <c r="C8005" s="120" t="s">
        <v>4252</v>
      </c>
      <c r="D8005" s="33" t="s">
        <v>40147</v>
      </c>
      <c r="E8005" s="51" t="s">
        <v>1673</v>
      </c>
      <c r="F8005" s="121" t="s">
        <v>3009</v>
      </c>
      <c r="G8005" s="98" t="str">
        <f>HYPERLINK("http://mirror.ff7data.com.ar/ff7/data/battle/battle.lgp/nsbn.png","View Picture")</f>
        <v>View Picture</v>
      </c>
    </row>
    <row r="8006">
      <c r="A8006" s="55"/>
      <c r="B8006" s="119" t="s">
        <v>40225</v>
      </c>
      <c r="C8006" s="120" t="s">
        <v>4372</v>
      </c>
      <c r="D8006" s="33" t="s">
        <v>40147</v>
      </c>
      <c r="E8006" s="51" t="s">
        <v>1673</v>
      </c>
      <c r="F8006" s="121" t="s">
        <v>3009</v>
      </c>
      <c r="G8006" s="98" t="str">
        <f>HYPERLINK("http://mirror.ff7data.com.ar/ff7/data/battle/battle.lgp/nsbo.png","View Picture")</f>
        <v>View Picture</v>
      </c>
    </row>
    <row r="8007">
      <c r="A8007" s="55"/>
      <c r="B8007" s="119" t="s">
        <v>40226</v>
      </c>
      <c r="C8007" s="120" t="s">
        <v>4439</v>
      </c>
      <c r="D8007" s="33" t="s">
        <v>40147</v>
      </c>
      <c r="E8007" s="51" t="s">
        <v>1673</v>
      </c>
      <c r="F8007" s="121" t="s">
        <v>3009</v>
      </c>
      <c r="G8007" s="98" t="str">
        <f>HYPERLINK("http://mirror.ff7data.com.ar/ff7/data/battle/battle.lgp/nsbq.png","View Picture")</f>
        <v>View Picture</v>
      </c>
    </row>
    <row r="8008">
      <c r="A8008" s="55"/>
      <c r="B8008" s="119" t="s">
        <v>40227</v>
      </c>
      <c r="C8008" s="120" t="s">
        <v>5925</v>
      </c>
      <c r="D8008" s="33" t="s">
        <v>40147</v>
      </c>
      <c r="E8008" s="51" t="s">
        <v>1673</v>
      </c>
      <c r="F8008" s="121" t="s">
        <v>3009</v>
      </c>
      <c r="G8008" s="98" t="str">
        <f>HYPERLINK("http://mirror.ff7data.com.ar/ff7/data/battle/battle.lgp/nsck.png","View Picture")</f>
        <v>View Picture</v>
      </c>
    </row>
    <row r="8009">
      <c r="A8009" s="55"/>
      <c r="B8009" s="119" t="s">
        <v>40228</v>
      </c>
      <c r="C8009" s="120" t="s">
        <v>36266</v>
      </c>
      <c r="D8009" s="33" t="s">
        <v>40147</v>
      </c>
      <c r="E8009" s="51" t="s">
        <v>1673</v>
      </c>
      <c r="F8009" s="121" t="s">
        <v>3025</v>
      </c>
      <c r="H8009" s="46" t="s">
        <v>3002</v>
      </c>
    </row>
    <row r="8010">
      <c r="A8010" s="55"/>
      <c r="B8010" s="119" t="s">
        <v>40229</v>
      </c>
      <c r="C8010" s="120" t="s">
        <v>4209</v>
      </c>
      <c r="D8010" s="33" t="s">
        <v>40144</v>
      </c>
      <c r="E8010" s="51" t="s">
        <v>1675</v>
      </c>
      <c r="F8010" s="121" t="s">
        <v>2971</v>
      </c>
      <c r="G8010" s="98" t="str">
        <f>HYPERLINK("http://mirror.ff7data.com.ar/ff7/data/battle/battle.lgp/ntaa.png","View Picture")</f>
        <v>View Picture</v>
      </c>
      <c r="H8010" s="46" t="s">
        <v>40230</v>
      </c>
    </row>
    <row r="8011">
      <c r="A8011" s="55"/>
      <c r="B8011" s="119" t="s">
        <v>40231</v>
      </c>
      <c r="C8011" s="120" t="s">
        <v>5724</v>
      </c>
      <c r="D8011" s="33" t="s">
        <v>40147</v>
      </c>
      <c r="E8011" s="51" t="s">
        <v>1675</v>
      </c>
      <c r="F8011" s="121" t="s">
        <v>2993</v>
      </c>
      <c r="H8011" s="46" t="s">
        <v>3002</v>
      </c>
    </row>
    <row r="8012">
      <c r="A8012" s="55"/>
      <c r="B8012" s="119" t="s">
        <v>40232</v>
      </c>
      <c r="C8012" s="120" t="s">
        <v>3671</v>
      </c>
      <c r="D8012" s="33" t="s">
        <v>40147</v>
      </c>
      <c r="E8012" s="51" t="s">
        <v>1675</v>
      </c>
      <c r="F8012" s="121" t="s">
        <v>1348</v>
      </c>
      <c r="G8012" s="98" t="str">
        <f>HYPERLINK("http://mirror.ff7data.com.ar/ff7/data/battle/battle.lgp/ntac.png","View Picture")</f>
        <v>View Picture</v>
      </c>
    </row>
    <row r="8013">
      <c r="A8013" s="55"/>
      <c r="B8013" s="119" t="s">
        <v>40233</v>
      </c>
      <c r="C8013" s="120" t="s">
        <v>7081</v>
      </c>
      <c r="D8013" s="33" t="s">
        <v>40147</v>
      </c>
      <c r="E8013" s="51" t="s">
        <v>1675</v>
      </c>
      <c r="F8013" s="121" t="s">
        <v>1348</v>
      </c>
      <c r="G8013" s="98" t="str">
        <f>HYPERLINK("http://mirror.ff7data.com.ar/ff7/data/battle/battle.lgp/ntad.png","View Picture")</f>
        <v>View Picture</v>
      </c>
    </row>
    <row r="8014">
      <c r="A8014" s="55"/>
      <c r="B8014" s="119" t="s">
        <v>40234</v>
      </c>
      <c r="C8014" s="120" t="s">
        <v>7129</v>
      </c>
      <c r="D8014" s="33" t="s">
        <v>40147</v>
      </c>
      <c r="E8014" s="51" t="s">
        <v>1675</v>
      </c>
      <c r="F8014" s="121" t="s">
        <v>3009</v>
      </c>
      <c r="G8014" s="98" t="str">
        <f>HYPERLINK("http://mirror.ff7data.com.ar/ff7/data/battle/battle.lgp/ntam.png","View Picture")</f>
        <v>View Picture</v>
      </c>
    </row>
    <row r="8015">
      <c r="A8015" s="55"/>
      <c r="B8015" s="119" t="s">
        <v>40235</v>
      </c>
      <c r="C8015" s="120" t="s">
        <v>14502</v>
      </c>
      <c r="D8015" s="33" t="s">
        <v>40147</v>
      </c>
      <c r="E8015" s="51" t="s">
        <v>1675</v>
      </c>
      <c r="F8015" s="121" t="s">
        <v>3009</v>
      </c>
      <c r="G8015" s="98" t="str">
        <f>HYPERLINK("http://mirror.ff7data.com.ar/ff7/data/battle/battle.lgp/ntan.png","View Picture")</f>
        <v>View Picture</v>
      </c>
    </row>
    <row r="8016">
      <c r="A8016" s="55"/>
      <c r="B8016" s="119" t="s">
        <v>40236</v>
      </c>
      <c r="C8016" s="120" t="s">
        <v>4167</v>
      </c>
      <c r="D8016" s="33" t="s">
        <v>40147</v>
      </c>
      <c r="E8016" s="51" t="s">
        <v>1675</v>
      </c>
      <c r="F8016" s="121" t="s">
        <v>3009</v>
      </c>
      <c r="G8016" s="98" t="str">
        <f>HYPERLINK("http://mirror.ff7data.com.ar/ff7/data/battle/battle.lgp/ntao.png","View Picture")</f>
        <v>View Picture</v>
      </c>
    </row>
    <row r="8017">
      <c r="A8017" s="55"/>
      <c r="B8017" s="119" t="s">
        <v>40237</v>
      </c>
      <c r="C8017" s="120" t="s">
        <v>4264</v>
      </c>
      <c r="D8017" s="33" t="s">
        <v>40147</v>
      </c>
      <c r="E8017" s="51" t="s">
        <v>1675</v>
      </c>
      <c r="F8017" s="121" t="s">
        <v>3009</v>
      </c>
      <c r="G8017" s="98" t="str">
        <f>HYPERLINK("http://mirror.ff7data.com.ar/ff7/data/battle/battle.lgp/ntaq.png","View Picture")</f>
        <v>View Picture</v>
      </c>
    </row>
    <row r="8018">
      <c r="A8018" s="55"/>
      <c r="B8018" s="119" t="s">
        <v>40238</v>
      </c>
      <c r="C8018" s="120" t="s">
        <v>4264</v>
      </c>
      <c r="D8018" s="33" t="s">
        <v>40147</v>
      </c>
      <c r="E8018" s="51" t="s">
        <v>1675</v>
      </c>
      <c r="F8018" s="121" t="s">
        <v>3009</v>
      </c>
      <c r="G8018" s="98" t="str">
        <f>HYPERLINK("http://mirror.ff7data.com.ar/ff7/data/battle/battle.lgp/ntar.png","View Picture")</f>
        <v>View Picture</v>
      </c>
    </row>
    <row r="8019">
      <c r="A8019" s="55"/>
      <c r="B8019" s="119" t="s">
        <v>40239</v>
      </c>
      <c r="C8019" s="120" t="s">
        <v>8376</v>
      </c>
      <c r="D8019" s="33" t="s">
        <v>40147</v>
      </c>
      <c r="E8019" s="51" t="s">
        <v>1675</v>
      </c>
      <c r="F8019" s="121" t="s">
        <v>3009</v>
      </c>
      <c r="G8019" s="98" t="str">
        <f>HYPERLINK("http://mirror.ff7data.com.ar/ff7/data/battle/battle.lgp/ntau.png","View Picture")</f>
        <v>View Picture</v>
      </c>
    </row>
    <row r="8020">
      <c r="A8020" s="55"/>
      <c r="B8020" s="119" t="s">
        <v>40240</v>
      </c>
      <c r="C8020" s="120" t="s">
        <v>3648</v>
      </c>
      <c r="D8020" s="33" t="s">
        <v>40147</v>
      </c>
      <c r="E8020" s="51" t="s">
        <v>1675</v>
      </c>
      <c r="F8020" s="121" t="s">
        <v>3009</v>
      </c>
      <c r="G8020" s="98" t="str">
        <f>HYPERLINK("http://mirror.ff7data.com.ar/ff7/data/battle/battle.lgp/ntav.png","View Picture")</f>
        <v>View Picture</v>
      </c>
    </row>
    <row r="8021">
      <c r="A8021" s="55"/>
      <c r="B8021" s="119" t="s">
        <v>40241</v>
      </c>
      <c r="C8021" s="120" t="s">
        <v>5891</v>
      </c>
      <c r="D8021" s="33" t="s">
        <v>40147</v>
      </c>
      <c r="E8021" s="51" t="s">
        <v>1675</v>
      </c>
      <c r="F8021" s="121" t="s">
        <v>3009</v>
      </c>
      <c r="G8021" s="98" t="str">
        <f>HYPERLINK("http://mirror.ff7data.com.ar/ff7/data/battle/battle.lgp/ntaw.png","View Picture")</f>
        <v>View Picture</v>
      </c>
    </row>
    <row r="8022">
      <c r="A8022" s="55"/>
      <c r="B8022" s="119" t="s">
        <v>40242</v>
      </c>
      <c r="C8022" s="120" t="s">
        <v>10078</v>
      </c>
      <c r="D8022" s="33" t="s">
        <v>40147</v>
      </c>
      <c r="E8022" s="51" t="s">
        <v>1675</v>
      </c>
      <c r="F8022" s="121" t="s">
        <v>3009</v>
      </c>
      <c r="G8022" s="98" t="str">
        <f>HYPERLINK("http://mirror.ff7data.com.ar/ff7/data/battle/battle.lgp/ntax.png","View Picture")</f>
        <v>View Picture</v>
      </c>
    </row>
    <row r="8023">
      <c r="A8023" s="55"/>
      <c r="B8023" s="119" t="s">
        <v>40243</v>
      </c>
      <c r="C8023" s="120" t="s">
        <v>29777</v>
      </c>
      <c r="D8023" s="33" t="s">
        <v>40147</v>
      </c>
      <c r="E8023" s="51" t="s">
        <v>1675</v>
      </c>
      <c r="F8023" s="121" t="s">
        <v>3009</v>
      </c>
      <c r="G8023" s="98" t="str">
        <f>HYPERLINK("http://mirror.ff7data.com.ar/ff7/data/battle/battle.lgp/ntaz.png","View Picture")</f>
        <v>View Picture</v>
      </c>
    </row>
    <row r="8024">
      <c r="A8024" s="55"/>
      <c r="B8024" s="119" t="s">
        <v>40244</v>
      </c>
      <c r="C8024" s="120" t="s">
        <v>4719</v>
      </c>
      <c r="D8024" s="33" t="s">
        <v>40147</v>
      </c>
      <c r="E8024" s="51" t="s">
        <v>1675</v>
      </c>
      <c r="F8024" s="121" t="s">
        <v>3009</v>
      </c>
      <c r="G8024" s="98" t="str">
        <f>HYPERLINK("http://mirror.ff7data.com.ar/ff7/data/battle/battle.lgp/ntbc.png","View Picture")</f>
        <v>View Picture</v>
      </c>
    </row>
    <row r="8025">
      <c r="A8025" s="55"/>
      <c r="B8025" s="119" t="s">
        <v>40245</v>
      </c>
      <c r="C8025" s="120" t="s">
        <v>6029</v>
      </c>
      <c r="D8025" s="33" t="s">
        <v>40147</v>
      </c>
      <c r="E8025" s="51" t="s">
        <v>1675</v>
      </c>
      <c r="F8025" s="121" t="s">
        <v>3009</v>
      </c>
      <c r="G8025" s="98" t="str">
        <f>HYPERLINK("http://mirror.ff7data.com.ar/ff7/data/battle/battle.lgp/ntbd.png","View Picture")</f>
        <v>View Picture</v>
      </c>
    </row>
    <row r="8026">
      <c r="A8026" s="55"/>
      <c r="B8026" s="119" t="s">
        <v>40246</v>
      </c>
      <c r="C8026" s="120" t="s">
        <v>10078</v>
      </c>
      <c r="D8026" s="33" t="s">
        <v>40147</v>
      </c>
      <c r="E8026" s="51" t="s">
        <v>1675</v>
      </c>
      <c r="F8026" s="121" t="s">
        <v>3009</v>
      </c>
      <c r="G8026" s="98" t="str">
        <f>HYPERLINK("http://mirror.ff7data.com.ar/ff7/data/battle/battle.lgp/ntbe.png","View Picture")</f>
        <v>View Picture</v>
      </c>
    </row>
    <row r="8027">
      <c r="A8027" s="55"/>
      <c r="B8027" s="119" t="s">
        <v>40247</v>
      </c>
      <c r="C8027" s="120" t="s">
        <v>5967</v>
      </c>
      <c r="D8027" s="33" t="s">
        <v>40147</v>
      </c>
      <c r="E8027" s="51" t="s">
        <v>1675</v>
      </c>
      <c r="F8027" s="121" t="s">
        <v>3009</v>
      </c>
      <c r="G8027" s="98" t="str">
        <f>HYPERLINK("http://mirror.ff7data.com.ar/ff7/data/battle/battle.lgp/ntbg.png","View Picture")</f>
        <v>View Picture</v>
      </c>
    </row>
    <row r="8028">
      <c r="A8028" s="55"/>
      <c r="B8028" s="119" t="s">
        <v>40248</v>
      </c>
      <c r="C8028" s="120" t="s">
        <v>4217</v>
      </c>
      <c r="D8028" s="33" t="s">
        <v>40147</v>
      </c>
      <c r="E8028" s="51" t="s">
        <v>1675</v>
      </c>
      <c r="F8028" s="121" t="s">
        <v>3009</v>
      </c>
      <c r="G8028" s="98" t="str">
        <f>HYPERLINK("http://mirror.ff7data.com.ar/ff7/data/battle/battle.lgp/ntbh.png","View Picture")</f>
        <v>View Picture</v>
      </c>
    </row>
    <row r="8029">
      <c r="A8029" s="55"/>
      <c r="B8029" s="119" t="s">
        <v>40249</v>
      </c>
      <c r="C8029" s="120" t="s">
        <v>4372</v>
      </c>
      <c r="D8029" s="33" t="s">
        <v>40147</v>
      </c>
      <c r="E8029" s="51" t="s">
        <v>1675</v>
      </c>
      <c r="F8029" s="121" t="s">
        <v>3009</v>
      </c>
      <c r="G8029" s="98" t="str">
        <f>HYPERLINK("http://mirror.ff7data.com.ar/ff7/data/battle/battle.lgp/ntbi.png","View Picture")</f>
        <v>View Picture</v>
      </c>
    </row>
    <row r="8030">
      <c r="A8030" s="55"/>
      <c r="B8030" s="119" t="s">
        <v>40250</v>
      </c>
      <c r="C8030" s="120" t="s">
        <v>4439</v>
      </c>
      <c r="D8030" s="33" t="s">
        <v>40147</v>
      </c>
      <c r="E8030" s="51" t="s">
        <v>1675</v>
      </c>
      <c r="F8030" s="121" t="s">
        <v>3009</v>
      </c>
      <c r="G8030" s="98" t="str">
        <f>HYPERLINK("http://mirror.ff7data.com.ar/ff7/data/battle/battle.lgp/ntbk.png","View Picture")</f>
        <v>View Picture</v>
      </c>
    </row>
    <row r="8031">
      <c r="A8031" s="55"/>
      <c r="B8031" s="119" t="s">
        <v>40251</v>
      </c>
      <c r="C8031" s="120" t="s">
        <v>3648</v>
      </c>
      <c r="D8031" s="33" t="s">
        <v>40147</v>
      </c>
      <c r="E8031" s="51" t="s">
        <v>1675</v>
      </c>
      <c r="F8031" s="121" t="s">
        <v>3009</v>
      </c>
      <c r="G8031" s="98" t="str">
        <f>HYPERLINK("http://mirror.ff7data.com.ar/ff7/data/battle/battle.lgp/ntbm.png","View Picture")</f>
        <v>View Picture</v>
      </c>
    </row>
    <row r="8032">
      <c r="A8032" s="55"/>
      <c r="B8032" s="119" t="s">
        <v>40252</v>
      </c>
      <c r="C8032" s="120" t="s">
        <v>4252</v>
      </c>
      <c r="D8032" s="33" t="s">
        <v>40147</v>
      </c>
      <c r="E8032" s="51" t="s">
        <v>1675</v>
      </c>
      <c r="F8032" s="121" t="s">
        <v>3009</v>
      </c>
      <c r="G8032" s="98" t="str">
        <f>HYPERLINK("http://mirror.ff7data.com.ar/ff7/data/battle/battle.lgp/ntbn.png","View Picture")</f>
        <v>View Picture</v>
      </c>
    </row>
    <row r="8033">
      <c r="A8033" s="55"/>
      <c r="B8033" s="119" t="s">
        <v>40253</v>
      </c>
      <c r="C8033" s="120" t="s">
        <v>4372</v>
      </c>
      <c r="D8033" s="33" t="s">
        <v>40147</v>
      </c>
      <c r="E8033" s="51" t="s">
        <v>1675</v>
      </c>
      <c r="F8033" s="121" t="s">
        <v>3009</v>
      </c>
      <c r="G8033" s="98" t="str">
        <f>HYPERLINK("http://mirror.ff7data.com.ar/ff7/data/battle/battle.lgp/ntbo.png","View Picture")</f>
        <v>View Picture</v>
      </c>
    </row>
    <row r="8034">
      <c r="A8034" s="55"/>
      <c r="B8034" s="119" t="s">
        <v>40254</v>
      </c>
      <c r="C8034" s="120" t="s">
        <v>4439</v>
      </c>
      <c r="D8034" s="33" t="s">
        <v>40147</v>
      </c>
      <c r="E8034" s="51" t="s">
        <v>1675</v>
      </c>
      <c r="F8034" s="121" t="s">
        <v>3009</v>
      </c>
      <c r="G8034" s="98" t="str">
        <f>HYPERLINK("http://mirror.ff7data.com.ar/ff7/data/battle/battle.lgp/ntbq.png","View Picture")</f>
        <v>View Picture</v>
      </c>
    </row>
    <row r="8035">
      <c r="A8035" s="55"/>
      <c r="B8035" s="119" t="s">
        <v>40255</v>
      </c>
      <c r="C8035" s="120" t="s">
        <v>5925</v>
      </c>
      <c r="D8035" s="33" t="s">
        <v>40147</v>
      </c>
      <c r="E8035" s="51" t="s">
        <v>1675</v>
      </c>
      <c r="F8035" s="121" t="s">
        <v>3009</v>
      </c>
      <c r="G8035" s="98" t="str">
        <f>HYPERLINK("http://mirror.ff7data.com.ar/ff7/data/battle/battle.lgp/ntck.png","View Picture")</f>
        <v>View Picture</v>
      </c>
    </row>
    <row r="8036">
      <c r="A8036" s="55"/>
      <c r="B8036" s="119" t="s">
        <v>40256</v>
      </c>
      <c r="C8036" s="120" t="s">
        <v>36266</v>
      </c>
      <c r="D8036" s="33" t="s">
        <v>40147</v>
      </c>
      <c r="E8036" s="51" t="s">
        <v>1675</v>
      </c>
      <c r="F8036" s="121" t="s">
        <v>3025</v>
      </c>
      <c r="H8036" s="46" t="s">
        <v>3002</v>
      </c>
    </row>
    <row r="8037">
      <c r="A8037" s="55"/>
      <c r="B8037" s="119" t="s">
        <v>40257</v>
      </c>
      <c r="C8037" s="120" t="s">
        <v>4209</v>
      </c>
      <c r="D8037" s="33" t="s">
        <v>40144</v>
      </c>
      <c r="E8037" s="51" t="s">
        <v>1677</v>
      </c>
      <c r="F8037" s="121" t="s">
        <v>2971</v>
      </c>
      <c r="G8037" s="98" t="str">
        <f>HYPERLINK("http://mirror.ff7data.com.ar/ff7/data/battle/battle.lgp/nuaa.png","View Picture")</f>
        <v>View Picture</v>
      </c>
      <c r="H8037" s="46" t="s">
        <v>40258</v>
      </c>
    </row>
    <row r="8038">
      <c r="A8038" s="55"/>
      <c r="B8038" s="119" t="s">
        <v>40259</v>
      </c>
      <c r="C8038" s="120" t="s">
        <v>5724</v>
      </c>
      <c r="D8038" s="33" t="s">
        <v>40147</v>
      </c>
      <c r="E8038" s="51" t="s">
        <v>1677</v>
      </c>
      <c r="F8038" s="121" t="s">
        <v>2993</v>
      </c>
      <c r="H8038" s="46" t="s">
        <v>3002</v>
      </c>
    </row>
    <row r="8039">
      <c r="A8039" s="55"/>
      <c r="B8039" s="119" t="s">
        <v>40260</v>
      </c>
      <c r="C8039" s="120" t="s">
        <v>3671</v>
      </c>
      <c r="D8039" s="33" t="s">
        <v>40147</v>
      </c>
      <c r="E8039" s="51" t="s">
        <v>1677</v>
      </c>
      <c r="F8039" s="121" t="s">
        <v>1348</v>
      </c>
      <c r="G8039" s="98" t="str">
        <f>HYPERLINK("http://mirror.ff7data.com.ar/ff7/data/battle/battle.lgp/nuac.png","View Picture")</f>
        <v>View Picture</v>
      </c>
    </row>
    <row r="8040">
      <c r="A8040" s="55"/>
      <c r="B8040" s="119" t="s">
        <v>40261</v>
      </c>
      <c r="C8040" s="120" t="s">
        <v>7081</v>
      </c>
      <c r="D8040" s="33" t="s">
        <v>40147</v>
      </c>
      <c r="E8040" s="51" t="s">
        <v>1677</v>
      </c>
      <c r="F8040" s="121" t="s">
        <v>1348</v>
      </c>
      <c r="G8040" s="98" t="str">
        <f>HYPERLINK("http://mirror.ff7data.com.ar/ff7/data/battle/battle.lgp/nuad.png","View Picture")</f>
        <v>View Picture</v>
      </c>
    </row>
    <row r="8041">
      <c r="A8041" s="55"/>
      <c r="B8041" s="119" t="s">
        <v>40262</v>
      </c>
      <c r="C8041" s="120" t="s">
        <v>7129</v>
      </c>
      <c r="D8041" s="33" t="s">
        <v>40147</v>
      </c>
      <c r="E8041" s="51" t="s">
        <v>1677</v>
      </c>
      <c r="F8041" s="121" t="s">
        <v>3009</v>
      </c>
      <c r="G8041" s="98" t="str">
        <f>HYPERLINK("http://mirror.ff7data.com.ar/ff7/data/battle/battle.lgp/nuam.png","View Picture")</f>
        <v>View Picture</v>
      </c>
    </row>
    <row r="8042">
      <c r="A8042" s="55"/>
      <c r="B8042" s="119" t="s">
        <v>40263</v>
      </c>
      <c r="C8042" s="120" t="s">
        <v>14502</v>
      </c>
      <c r="D8042" s="33" t="s">
        <v>40147</v>
      </c>
      <c r="E8042" s="51" t="s">
        <v>1677</v>
      </c>
      <c r="F8042" s="121" t="s">
        <v>3009</v>
      </c>
      <c r="G8042" s="98" t="str">
        <f>HYPERLINK("http://mirror.ff7data.com.ar/ff7/data/battle/battle.lgp/nuan.png","View Picture")</f>
        <v>View Picture</v>
      </c>
    </row>
    <row r="8043">
      <c r="A8043" s="55"/>
      <c r="B8043" s="119" t="s">
        <v>40264</v>
      </c>
      <c r="C8043" s="120" t="s">
        <v>4167</v>
      </c>
      <c r="D8043" s="33" t="s">
        <v>40147</v>
      </c>
      <c r="E8043" s="51" t="s">
        <v>1677</v>
      </c>
      <c r="F8043" s="121" t="s">
        <v>3009</v>
      </c>
      <c r="G8043" s="98" t="str">
        <f>HYPERLINK("http://mirror.ff7data.com.ar/ff7/data/battle/battle.lgp/nuao.png","View Picture")</f>
        <v>View Picture</v>
      </c>
    </row>
    <row r="8044">
      <c r="A8044" s="55"/>
      <c r="B8044" s="119" t="s">
        <v>40265</v>
      </c>
      <c r="C8044" s="120" t="s">
        <v>4264</v>
      </c>
      <c r="D8044" s="33" t="s">
        <v>40147</v>
      </c>
      <c r="E8044" s="51" t="s">
        <v>1677</v>
      </c>
      <c r="F8044" s="121" t="s">
        <v>3009</v>
      </c>
      <c r="G8044" s="98" t="str">
        <f>HYPERLINK("http://mirror.ff7data.com.ar/ff7/data/battle/battle.lgp/nuaq.png","View Picture")</f>
        <v>View Picture</v>
      </c>
    </row>
    <row r="8045">
      <c r="A8045" s="55"/>
      <c r="B8045" s="119" t="s">
        <v>40266</v>
      </c>
      <c r="C8045" s="120" t="s">
        <v>4264</v>
      </c>
      <c r="D8045" s="33" t="s">
        <v>40147</v>
      </c>
      <c r="E8045" s="51" t="s">
        <v>1677</v>
      </c>
      <c r="F8045" s="121" t="s">
        <v>3009</v>
      </c>
      <c r="G8045" s="98" t="str">
        <f>HYPERLINK("http://mirror.ff7data.com.ar/ff7/data/battle/battle.lgp/nuar.png","View Picture")</f>
        <v>View Picture</v>
      </c>
    </row>
    <row r="8046">
      <c r="A8046" s="55"/>
      <c r="B8046" s="119" t="s">
        <v>40267</v>
      </c>
      <c r="C8046" s="120" t="s">
        <v>8376</v>
      </c>
      <c r="D8046" s="33" t="s">
        <v>40147</v>
      </c>
      <c r="E8046" s="51" t="s">
        <v>1677</v>
      </c>
      <c r="F8046" s="121" t="s">
        <v>3009</v>
      </c>
      <c r="G8046" s="98" t="str">
        <f>HYPERLINK("http://mirror.ff7data.com.ar/ff7/data/battle/battle.lgp/nuau.png","View Picture")</f>
        <v>View Picture</v>
      </c>
    </row>
    <row r="8047">
      <c r="A8047" s="55"/>
      <c r="B8047" s="119" t="s">
        <v>40268</v>
      </c>
      <c r="C8047" s="120" t="s">
        <v>3648</v>
      </c>
      <c r="D8047" s="33" t="s">
        <v>40147</v>
      </c>
      <c r="E8047" s="51" t="s">
        <v>1677</v>
      </c>
      <c r="F8047" s="121" t="s">
        <v>3009</v>
      </c>
      <c r="G8047" s="98" t="str">
        <f>HYPERLINK("http://mirror.ff7data.com.ar/ff7/data/battle/battle.lgp/nuav.png","View Picture")</f>
        <v>View Picture</v>
      </c>
    </row>
    <row r="8048">
      <c r="A8048" s="55"/>
      <c r="B8048" s="119" t="s">
        <v>40269</v>
      </c>
      <c r="C8048" s="120" t="s">
        <v>5891</v>
      </c>
      <c r="D8048" s="33" t="s">
        <v>40147</v>
      </c>
      <c r="E8048" s="51" t="s">
        <v>1677</v>
      </c>
      <c r="F8048" s="121" t="s">
        <v>3009</v>
      </c>
      <c r="G8048" s="98" t="str">
        <f>HYPERLINK("http://mirror.ff7data.com.ar/ff7/data/battle/battle.lgp/nuaw.png","View Picture")</f>
        <v>View Picture</v>
      </c>
    </row>
    <row r="8049">
      <c r="A8049" s="55"/>
      <c r="B8049" s="119" t="s">
        <v>40270</v>
      </c>
      <c r="C8049" s="120" t="s">
        <v>10078</v>
      </c>
      <c r="D8049" s="33" t="s">
        <v>40147</v>
      </c>
      <c r="E8049" s="51" t="s">
        <v>1677</v>
      </c>
      <c r="F8049" s="121" t="s">
        <v>3009</v>
      </c>
      <c r="G8049" s="98" t="str">
        <f>HYPERLINK("http://mirror.ff7data.com.ar/ff7/data/battle/battle.lgp/nuax.png","View Picture")</f>
        <v>View Picture</v>
      </c>
    </row>
    <row r="8050">
      <c r="A8050" s="55"/>
      <c r="B8050" s="119" t="s">
        <v>40271</v>
      </c>
      <c r="C8050" s="120" t="s">
        <v>29777</v>
      </c>
      <c r="D8050" s="33" t="s">
        <v>40147</v>
      </c>
      <c r="E8050" s="51" t="s">
        <v>1677</v>
      </c>
      <c r="F8050" s="121" t="s">
        <v>3009</v>
      </c>
      <c r="G8050" s="98" t="str">
        <f>HYPERLINK("http://mirror.ff7data.com.ar/ff7/data/battle/battle.lgp/nuaz.png","View Picture")</f>
        <v>View Picture</v>
      </c>
    </row>
    <row r="8051">
      <c r="A8051" s="55"/>
      <c r="B8051" s="119" t="s">
        <v>40272</v>
      </c>
      <c r="C8051" s="120" t="s">
        <v>4719</v>
      </c>
      <c r="D8051" s="33" t="s">
        <v>40147</v>
      </c>
      <c r="E8051" s="51" t="s">
        <v>1677</v>
      </c>
      <c r="F8051" s="121" t="s">
        <v>3009</v>
      </c>
      <c r="G8051" s="98" t="str">
        <f>HYPERLINK("http://mirror.ff7data.com.ar/ff7/data/battle/battle.lgp/nubc.png","View Picture")</f>
        <v>View Picture</v>
      </c>
    </row>
    <row r="8052">
      <c r="A8052" s="55"/>
      <c r="B8052" s="119" t="s">
        <v>40273</v>
      </c>
      <c r="C8052" s="120" t="s">
        <v>6029</v>
      </c>
      <c r="D8052" s="33" t="s">
        <v>40147</v>
      </c>
      <c r="E8052" s="51" t="s">
        <v>1677</v>
      </c>
      <c r="F8052" s="121" t="s">
        <v>3009</v>
      </c>
      <c r="G8052" s="98" t="str">
        <f>HYPERLINK("http://mirror.ff7data.com.ar/ff7/data/battle/battle.lgp/nubd.png","View Picture")</f>
        <v>View Picture</v>
      </c>
    </row>
    <row r="8053">
      <c r="A8053" s="55"/>
      <c r="B8053" s="119" t="s">
        <v>40274</v>
      </c>
      <c r="C8053" s="120" t="s">
        <v>10078</v>
      </c>
      <c r="D8053" s="33" t="s">
        <v>40147</v>
      </c>
      <c r="E8053" s="51" t="s">
        <v>1677</v>
      </c>
      <c r="F8053" s="121" t="s">
        <v>3009</v>
      </c>
      <c r="G8053" s="98" t="str">
        <f>HYPERLINK("http://mirror.ff7data.com.ar/ff7/data/battle/battle.lgp/nube.png","View Picture")</f>
        <v>View Picture</v>
      </c>
    </row>
    <row r="8054">
      <c r="A8054" s="55"/>
      <c r="B8054" s="119" t="s">
        <v>40275</v>
      </c>
      <c r="C8054" s="120" t="s">
        <v>5967</v>
      </c>
      <c r="D8054" s="33" t="s">
        <v>40147</v>
      </c>
      <c r="E8054" s="51" t="s">
        <v>1677</v>
      </c>
      <c r="F8054" s="121" t="s">
        <v>3009</v>
      </c>
      <c r="G8054" s="98" t="str">
        <f>HYPERLINK("http://mirror.ff7data.com.ar/ff7/data/battle/battle.lgp/nubg.png","View Picture")</f>
        <v>View Picture</v>
      </c>
    </row>
    <row r="8055">
      <c r="A8055" s="55"/>
      <c r="B8055" s="119" t="s">
        <v>40276</v>
      </c>
      <c r="C8055" s="120" t="s">
        <v>4217</v>
      </c>
      <c r="D8055" s="33" t="s">
        <v>40147</v>
      </c>
      <c r="E8055" s="51" t="s">
        <v>1677</v>
      </c>
      <c r="F8055" s="121" t="s">
        <v>3009</v>
      </c>
      <c r="G8055" s="98" t="str">
        <f>HYPERLINK("http://mirror.ff7data.com.ar/ff7/data/battle/battle.lgp/nubh.png","View Picture")</f>
        <v>View Picture</v>
      </c>
    </row>
    <row r="8056">
      <c r="A8056" s="55"/>
      <c r="B8056" s="119" t="s">
        <v>40277</v>
      </c>
      <c r="C8056" s="120" t="s">
        <v>4372</v>
      </c>
      <c r="D8056" s="33" t="s">
        <v>40147</v>
      </c>
      <c r="E8056" s="51" t="s">
        <v>1677</v>
      </c>
      <c r="F8056" s="121" t="s">
        <v>3009</v>
      </c>
      <c r="G8056" s="98" t="str">
        <f>HYPERLINK("http://mirror.ff7data.com.ar/ff7/data/battle/battle.lgp/nubi.png","View Picture")</f>
        <v>View Picture</v>
      </c>
    </row>
    <row r="8057">
      <c r="A8057" s="55"/>
      <c r="B8057" s="119" t="s">
        <v>40278</v>
      </c>
      <c r="C8057" s="120" t="s">
        <v>4439</v>
      </c>
      <c r="D8057" s="33" t="s">
        <v>40147</v>
      </c>
      <c r="E8057" s="51" t="s">
        <v>1677</v>
      </c>
      <c r="F8057" s="121" t="s">
        <v>3009</v>
      </c>
      <c r="G8057" s="98" t="str">
        <f>HYPERLINK("http://mirror.ff7data.com.ar/ff7/data/battle/battle.lgp/nubk.png","View Picture")</f>
        <v>View Picture</v>
      </c>
    </row>
    <row r="8058">
      <c r="A8058" s="55"/>
      <c r="B8058" s="119" t="s">
        <v>40279</v>
      </c>
      <c r="C8058" s="120" t="s">
        <v>3648</v>
      </c>
      <c r="D8058" s="33" t="s">
        <v>40147</v>
      </c>
      <c r="E8058" s="51" t="s">
        <v>1677</v>
      </c>
      <c r="F8058" s="121" t="s">
        <v>3009</v>
      </c>
      <c r="G8058" s="98" t="str">
        <f>HYPERLINK("http://mirror.ff7data.com.ar/ff7/data/battle/battle.lgp/nubm.png","View Picture")</f>
        <v>View Picture</v>
      </c>
    </row>
    <row r="8059">
      <c r="A8059" s="55"/>
      <c r="B8059" s="119" t="s">
        <v>40280</v>
      </c>
      <c r="C8059" s="120" t="s">
        <v>4252</v>
      </c>
      <c r="D8059" s="33" t="s">
        <v>40147</v>
      </c>
      <c r="E8059" s="51" t="s">
        <v>1677</v>
      </c>
      <c r="F8059" s="121" t="s">
        <v>3009</v>
      </c>
      <c r="G8059" s="98" t="str">
        <f>HYPERLINK("http://mirror.ff7data.com.ar/ff7/data/battle/battle.lgp/nubn.png","View Picture")</f>
        <v>View Picture</v>
      </c>
    </row>
    <row r="8060">
      <c r="A8060" s="55"/>
      <c r="B8060" s="119" t="s">
        <v>40281</v>
      </c>
      <c r="C8060" s="120" t="s">
        <v>4372</v>
      </c>
      <c r="D8060" s="33" t="s">
        <v>40147</v>
      </c>
      <c r="E8060" s="51" t="s">
        <v>1677</v>
      </c>
      <c r="F8060" s="121" t="s">
        <v>3009</v>
      </c>
      <c r="G8060" s="98" t="str">
        <f>HYPERLINK("http://mirror.ff7data.com.ar/ff7/data/battle/battle.lgp/nubo.png","View Picture")</f>
        <v>View Picture</v>
      </c>
    </row>
    <row r="8061">
      <c r="A8061" s="55"/>
      <c r="B8061" s="119" t="s">
        <v>40282</v>
      </c>
      <c r="C8061" s="120" t="s">
        <v>4439</v>
      </c>
      <c r="D8061" s="33" t="s">
        <v>40147</v>
      </c>
      <c r="E8061" s="51" t="s">
        <v>1677</v>
      </c>
      <c r="F8061" s="121" t="s">
        <v>3009</v>
      </c>
      <c r="G8061" s="98" t="str">
        <f>HYPERLINK("http://mirror.ff7data.com.ar/ff7/data/battle/battle.lgp/nubq.png","View Picture")</f>
        <v>View Picture</v>
      </c>
    </row>
    <row r="8062">
      <c r="A8062" s="55"/>
      <c r="B8062" s="119" t="s">
        <v>40283</v>
      </c>
      <c r="C8062" s="120" t="s">
        <v>5925</v>
      </c>
      <c r="D8062" s="33" t="s">
        <v>40147</v>
      </c>
      <c r="E8062" s="51" t="s">
        <v>1677</v>
      </c>
      <c r="F8062" s="121" t="s">
        <v>3009</v>
      </c>
      <c r="G8062" s="98" t="str">
        <f>HYPERLINK("http://mirror.ff7data.com.ar/ff7/data/battle/battle.lgp/nuck.png","View Picture")</f>
        <v>View Picture</v>
      </c>
    </row>
    <row r="8063">
      <c r="A8063" s="55"/>
      <c r="B8063" s="119" t="s">
        <v>40284</v>
      </c>
      <c r="C8063" s="120" t="s">
        <v>36266</v>
      </c>
      <c r="D8063" s="33" t="s">
        <v>40147</v>
      </c>
      <c r="E8063" s="51" t="s">
        <v>1677</v>
      </c>
      <c r="F8063" s="121" t="s">
        <v>3025</v>
      </c>
      <c r="H8063" s="46" t="s">
        <v>3002</v>
      </c>
    </row>
    <row r="8064">
      <c r="A8064" s="55"/>
      <c r="B8064" s="119" t="s">
        <v>40285</v>
      </c>
      <c r="C8064" s="120" t="s">
        <v>8241</v>
      </c>
      <c r="D8064" s="33" t="s">
        <v>40286</v>
      </c>
      <c r="E8064" s="51" t="s">
        <v>1679</v>
      </c>
      <c r="F8064" s="121" t="s">
        <v>2971</v>
      </c>
      <c r="G8064" s="98" t="str">
        <f>HYPERLINK("http://mirror.ff7data.com.ar/ff7/data/battle/battle.lgp/nvaa.png","View Picture")</f>
        <v>View Picture</v>
      </c>
      <c r="H8064" s="46" t="s">
        <v>40287</v>
      </c>
    </row>
    <row r="8065">
      <c r="A8065" s="55"/>
      <c r="B8065" s="119" t="s">
        <v>40288</v>
      </c>
      <c r="C8065" s="120" t="s">
        <v>4209</v>
      </c>
      <c r="D8065" s="33" t="s">
        <v>40289</v>
      </c>
      <c r="E8065" s="51" t="s">
        <v>1679</v>
      </c>
      <c r="F8065" s="121" t="s">
        <v>2993</v>
      </c>
      <c r="H8065" s="46" t="s">
        <v>3002</v>
      </c>
    </row>
    <row r="8066">
      <c r="A8066" s="55"/>
      <c r="B8066" s="119" t="s">
        <v>40290</v>
      </c>
      <c r="C8066" s="120" t="s">
        <v>7871</v>
      </c>
      <c r="D8066" s="33" t="s">
        <v>40289</v>
      </c>
      <c r="E8066" s="51" t="s">
        <v>1679</v>
      </c>
      <c r="F8066" s="121" t="s">
        <v>3009</v>
      </c>
      <c r="G8066" s="98" t="str">
        <f>HYPERLINK("http://mirror.ff7data.com.ar/ff7/data/battle/battle.lgp/nvam.png","View Picture")</f>
        <v>View Picture</v>
      </c>
    </row>
    <row r="8067">
      <c r="A8067" s="55"/>
      <c r="B8067" s="119" t="s">
        <v>40291</v>
      </c>
      <c r="C8067" s="120" t="s">
        <v>8261</v>
      </c>
      <c r="D8067" s="33" t="s">
        <v>40289</v>
      </c>
      <c r="E8067" s="51" t="s">
        <v>1679</v>
      </c>
      <c r="F8067" s="121" t="s">
        <v>3009</v>
      </c>
      <c r="G8067" s="98" t="str">
        <f>HYPERLINK("http://mirror.ff7data.com.ar/ff7/data/battle/battle.lgp/nvan.png","View Picture")</f>
        <v>View Picture</v>
      </c>
    </row>
    <row r="8068">
      <c r="A8068" s="55"/>
      <c r="B8068" s="119" t="s">
        <v>40292</v>
      </c>
      <c r="C8068" s="120" t="s">
        <v>4228</v>
      </c>
      <c r="D8068" s="33" t="s">
        <v>40289</v>
      </c>
      <c r="E8068" s="51" t="s">
        <v>1679</v>
      </c>
      <c r="F8068" s="121" t="s">
        <v>3009</v>
      </c>
      <c r="G8068" s="98" t="str">
        <f>HYPERLINK("http://mirror.ff7data.com.ar/ff7/data/battle/battle.lgp/nvao.png","View Picture")</f>
        <v>View Picture</v>
      </c>
    </row>
    <row r="8069">
      <c r="A8069" s="55"/>
      <c r="B8069" s="119" t="s">
        <v>40293</v>
      </c>
      <c r="C8069" s="120" t="s">
        <v>4719</v>
      </c>
      <c r="D8069" s="33" t="s">
        <v>40289</v>
      </c>
      <c r="E8069" s="51" t="s">
        <v>1679</v>
      </c>
      <c r="F8069" s="121" t="s">
        <v>3009</v>
      </c>
      <c r="G8069" s="98" t="str">
        <f>HYPERLINK("http://mirror.ff7data.com.ar/ff7/data/battle/battle.lgp/nvar.png","View Picture")</f>
        <v>View Picture</v>
      </c>
    </row>
    <row r="8070">
      <c r="A8070" s="55"/>
      <c r="B8070" s="119" t="s">
        <v>40294</v>
      </c>
      <c r="C8070" s="120" t="s">
        <v>4476</v>
      </c>
      <c r="D8070" s="33" t="s">
        <v>40289</v>
      </c>
      <c r="E8070" s="51" t="s">
        <v>1679</v>
      </c>
      <c r="F8070" s="121" t="s">
        <v>3009</v>
      </c>
      <c r="G8070" s="98" t="str">
        <f>HYPERLINK("http://mirror.ff7data.com.ar/ff7/data/battle/battle.lgp/nvas.png","View Picture")</f>
        <v>View Picture</v>
      </c>
    </row>
    <row r="8071">
      <c r="A8071" s="55"/>
      <c r="B8071" s="119" t="s">
        <v>40295</v>
      </c>
      <c r="C8071" s="120" t="s">
        <v>3648</v>
      </c>
      <c r="D8071" s="33" t="s">
        <v>40289</v>
      </c>
      <c r="E8071" s="51" t="s">
        <v>1679</v>
      </c>
      <c r="F8071" s="121" t="s">
        <v>3009</v>
      </c>
      <c r="G8071" s="98" t="str">
        <f>HYPERLINK("http://mirror.ff7data.com.ar/ff7/data/battle/battle.lgp/nvat.png","View Picture")</f>
        <v>View Picture</v>
      </c>
    </row>
    <row r="8072">
      <c r="A8072" s="55"/>
      <c r="B8072" s="119" t="s">
        <v>40296</v>
      </c>
      <c r="C8072" s="120" t="s">
        <v>4719</v>
      </c>
      <c r="D8072" s="33" t="s">
        <v>40289</v>
      </c>
      <c r="E8072" s="51" t="s">
        <v>1679</v>
      </c>
      <c r="F8072" s="121" t="s">
        <v>3009</v>
      </c>
      <c r="G8072" s="98" t="str">
        <f>HYPERLINK("http://mirror.ff7data.com.ar/ff7/data/battle/battle.lgp/nvaw.png","View Picture")</f>
        <v>View Picture</v>
      </c>
    </row>
    <row r="8073">
      <c r="A8073" s="55"/>
      <c r="B8073" s="119" t="s">
        <v>40297</v>
      </c>
      <c r="C8073" s="120" t="s">
        <v>4476</v>
      </c>
      <c r="D8073" s="33" t="s">
        <v>40289</v>
      </c>
      <c r="E8073" s="51" t="s">
        <v>1679</v>
      </c>
      <c r="F8073" s="121" t="s">
        <v>3009</v>
      </c>
      <c r="G8073" s="98" t="str">
        <f>HYPERLINK("http://mirror.ff7data.com.ar/ff7/data/battle/battle.lgp/nvax.png","View Picture")</f>
        <v>View Picture</v>
      </c>
    </row>
    <row r="8074">
      <c r="A8074" s="55"/>
      <c r="B8074" s="119" t="s">
        <v>40298</v>
      </c>
      <c r="C8074" s="120" t="s">
        <v>3648</v>
      </c>
      <c r="D8074" s="33" t="s">
        <v>40289</v>
      </c>
      <c r="E8074" s="51" t="s">
        <v>1679</v>
      </c>
      <c r="F8074" s="121" t="s">
        <v>3009</v>
      </c>
      <c r="G8074" s="98" t="str">
        <f>HYPERLINK("http://mirror.ff7data.com.ar/ff7/data/battle/battle.lgp/nvay.png","View Picture")</f>
        <v>View Picture</v>
      </c>
    </row>
    <row r="8075">
      <c r="A8075" s="55"/>
      <c r="B8075" s="119" t="s">
        <v>40299</v>
      </c>
      <c r="C8075" s="120" t="s">
        <v>3614</v>
      </c>
      <c r="D8075" s="33" t="s">
        <v>40289</v>
      </c>
      <c r="E8075" s="51" t="s">
        <v>1679</v>
      </c>
      <c r="F8075" s="121" t="s">
        <v>3009</v>
      </c>
      <c r="G8075" s="98" t="str">
        <f>HYPERLINK("http://mirror.ff7data.com.ar/ff7/data/battle/battle.lgp/nvaz.png","View Picture")</f>
        <v>View Picture</v>
      </c>
    </row>
    <row r="8076">
      <c r="A8076" s="55"/>
      <c r="B8076" s="119" t="s">
        <v>40300</v>
      </c>
      <c r="C8076" s="120" t="s">
        <v>4439</v>
      </c>
      <c r="D8076" s="33" t="s">
        <v>40289</v>
      </c>
      <c r="E8076" s="51" t="s">
        <v>1679</v>
      </c>
      <c r="F8076" s="121" t="s">
        <v>3009</v>
      </c>
      <c r="G8076" s="98" t="str">
        <f>HYPERLINK("http://mirror.ff7data.com.ar/ff7/data/battle/battle.lgp/nvbd.png","View Picture")</f>
        <v>View Picture</v>
      </c>
    </row>
    <row r="8077">
      <c r="A8077" s="55"/>
      <c r="B8077" s="119" t="s">
        <v>40301</v>
      </c>
      <c r="C8077" s="120" t="s">
        <v>4185</v>
      </c>
      <c r="D8077" s="33" t="s">
        <v>40289</v>
      </c>
      <c r="E8077" s="51" t="s">
        <v>1679</v>
      </c>
      <c r="F8077" s="121" t="s">
        <v>3009</v>
      </c>
      <c r="G8077" s="98" t="str">
        <f>HYPERLINK("http://mirror.ff7data.com.ar/ff7/data/battle/battle.lgp/nvbe.png","View Picture")</f>
        <v>View Picture</v>
      </c>
    </row>
    <row r="8078">
      <c r="A8078" s="55"/>
      <c r="B8078" s="119" t="s">
        <v>40302</v>
      </c>
      <c r="C8078" s="120" t="s">
        <v>6029</v>
      </c>
      <c r="D8078" s="33" t="s">
        <v>40289</v>
      </c>
      <c r="E8078" s="51" t="s">
        <v>1679</v>
      </c>
      <c r="F8078" s="121" t="s">
        <v>3009</v>
      </c>
      <c r="G8078" s="98" t="str">
        <f>HYPERLINK("http://mirror.ff7data.com.ar/ff7/data/battle/battle.lgp/nvbf.png","View Picture")</f>
        <v>View Picture</v>
      </c>
    </row>
    <row r="8079">
      <c r="A8079" s="55"/>
      <c r="B8079" s="119" t="s">
        <v>40303</v>
      </c>
      <c r="C8079" s="120" t="s">
        <v>4476</v>
      </c>
      <c r="D8079" s="33" t="s">
        <v>40289</v>
      </c>
      <c r="E8079" s="51" t="s">
        <v>1679</v>
      </c>
      <c r="F8079" s="121" t="s">
        <v>3009</v>
      </c>
      <c r="G8079" s="98" t="str">
        <f>HYPERLINK("http://mirror.ff7data.com.ar/ff7/data/battle/battle.lgp/nvbg.png","View Picture")</f>
        <v>View Picture</v>
      </c>
    </row>
    <row r="8080">
      <c r="A8080" s="55"/>
      <c r="B8080" s="119" t="s">
        <v>40304</v>
      </c>
      <c r="C8080" s="120" t="s">
        <v>4185</v>
      </c>
      <c r="D8080" s="33" t="s">
        <v>40289</v>
      </c>
      <c r="E8080" s="51" t="s">
        <v>1679</v>
      </c>
      <c r="F8080" s="121" t="s">
        <v>3009</v>
      </c>
      <c r="G8080" s="98" t="str">
        <f>HYPERLINK("http://mirror.ff7data.com.ar/ff7/data/battle/battle.lgp/nvbi.png","View Picture")</f>
        <v>View Picture</v>
      </c>
    </row>
    <row r="8081">
      <c r="A8081" s="55"/>
      <c r="B8081" s="119" t="s">
        <v>40305</v>
      </c>
      <c r="C8081" s="120" t="s">
        <v>4185</v>
      </c>
      <c r="D8081" s="33" t="s">
        <v>40289</v>
      </c>
      <c r="E8081" s="51" t="s">
        <v>1679</v>
      </c>
      <c r="F8081" s="121" t="s">
        <v>3009</v>
      </c>
      <c r="G8081" s="98" t="str">
        <f>HYPERLINK("http://mirror.ff7data.com.ar/ff7/data/battle/battle.lgp/nvbj.png","View Picture")</f>
        <v>View Picture</v>
      </c>
    </row>
    <row r="8082">
      <c r="A8082" s="55"/>
      <c r="B8082" s="119" t="s">
        <v>40306</v>
      </c>
      <c r="C8082" s="120" t="s">
        <v>6029</v>
      </c>
      <c r="D8082" s="33" t="s">
        <v>40289</v>
      </c>
      <c r="E8082" s="51" t="s">
        <v>1679</v>
      </c>
      <c r="F8082" s="121" t="s">
        <v>3009</v>
      </c>
      <c r="G8082" s="98" t="str">
        <f>HYPERLINK("http://mirror.ff7data.com.ar/ff7/data/battle/battle.lgp/nvbk.png","View Picture")</f>
        <v>View Picture</v>
      </c>
    </row>
    <row r="8083">
      <c r="A8083" s="55"/>
      <c r="B8083" s="119" t="s">
        <v>40307</v>
      </c>
      <c r="C8083" s="120" t="s">
        <v>4185</v>
      </c>
      <c r="D8083" s="33" t="s">
        <v>40289</v>
      </c>
      <c r="E8083" s="51" t="s">
        <v>1679</v>
      </c>
      <c r="F8083" s="121" t="s">
        <v>3009</v>
      </c>
      <c r="G8083" s="98" t="str">
        <f>HYPERLINK("http://mirror.ff7data.com.ar/ff7/data/battle/battle.lgp/nvbl.png","View Picture")</f>
        <v>View Picture</v>
      </c>
    </row>
    <row r="8084">
      <c r="A8084" s="55"/>
      <c r="B8084" s="119" t="s">
        <v>40308</v>
      </c>
      <c r="C8084" s="120" t="s">
        <v>8376</v>
      </c>
      <c r="D8084" s="33" t="s">
        <v>40289</v>
      </c>
      <c r="E8084" s="51" t="s">
        <v>1679</v>
      </c>
      <c r="F8084" s="121" t="s">
        <v>3025</v>
      </c>
      <c r="H8084" s="46" t="s">
        <v>3002</v>
      </c>
    </row>
    <row r="8085">
      <c r="A8085" s="55"/>
      <c r="B8085" s="119" t="s">
        <v>40309</v>
      </c>
      <c r="C8085" s="120" t="s">
        <v>8241</v>
      </c>
      <c r="D8085" s="33" t="s">
        <v>40286</v>
      </c>
      <c r="E8085" s="51" t="s">
        <v>1682</v>
      </c>
      <c r="F8085" s="121" t="s">
        <v>2971</v>
      </c>
      <c r="G8085" s="98" t="str">
        <f>HYPERLINK("http://mirror.ff7data.com.ar/ff7/data/battle/battle.lgp/nwaa.png","View Picture")</f>
        <v>View Picture</v>
      </c>
      <c r="H8085" s="46" t="s">
        <v>40310</v>
      </c>
    </row>
    <row r="8086">
      <c r="A8086" s="55"/>
      <c r="B8086" s="119" t="s">
        <v>40311</v>
      </c>
      <c r="C8086" s="120" t="s">
        <v>4209</v>
      </c>
      <c r="D8086" s="33" t="s">
        <v>40289</v>
      </c>
      <c r="E8086" s="51" t="s">
        <v>1682</v>
      </c>
      <c r="F8086" s="121" t="s">
        <v>2993</v>
      </c>
      <c r="H8086" s="46" t="s">
        <v>3002</v>
      </c>
    </row>
    <row r="8087">
      <c r="A8087" s="55"/>
      <c r="B8087" s="119" t="s">
        <v>40312</v>
      </c>
      <c r="C8087" s="120" t="s">
        <v>7871</v>
      </c>
      <c r="D8087" s="33" t="s">
        <v>40289</v>
      </c>
      <c r="E8087" s="51" t="s">
        <v>1682</v>
      </c>
      <c r="F8087" s="121" t="s">
        <v>3009</v>
      </c>
      <c r="G8087" s="98" t="str">
        <f>HYPERLINK("http://mirror.ff7data.com.ar/ff7/data/battle/battle.lgp/nwam.png","View Picture")</f>
        <v>View Picture</v>
      </c>
    </row>
    <row r="8088">
      <c r="A8088" s="55"/>
      <c r="B8088" s="119" t="s">
        <v>40313</v>
      </c>
      <c r="C8088" s="120" t="s">
        <v>8261</v>
      </c>
      <c r="D8088" s="33" t="s">
        <v>40289</v>
      </c>
      <c r="E8088" s="51" t="s">
        <v>1682</v>
      </c>
      <c r="F8088" s="121" t="s">
        <v>3009</v>
      </c>
      <c r="G8088" s="98" t="str">
        <f>HYPERLINK("http://mirror.ff7data.com.ar/ff7/data/battle/battle.lgp/nwan.png","View Picture")</f>
        <v>View Picture</v>
      </c>
    </row>
    <row r="8089">
      <c r="A8089" s="55"/>
      <c r="B8089" s="119" t="s">
        <v>40314</v>
      </c>
      <c r="C8089" s="120" t="s">
        <v>4228</v>
      </c>
      <c r="D8089" s="33" t="s">
        <v>40289</v>
      </c>
      <c r="E8089" s="51" t="s">
        <v>1682</v>
      </c>
      <c r="F8089" s="121" t="s">
        <v>3009</v>
      </c>
      <c r="G8089" s="98" t="str">
        <f>HYPERLINK("http://mirror.ff7data.com.ar/ff7/data/battle/battle.lgp/nwao.png","View Picture")</f>
        <v>View Picture</v>
      </c>
    </row>
    <row r="8090">
      <c r="A8090" s="55"/>
      <c r="B8090" s="119" t="s">
        <v>40315</v>
      </c>
      <c r="C8090" s="120" t="s">
        <v>4719</v>
      </c>
      <c r="D8090" s="33" t="s">
        <v>40289</v>
      </c>
      <c r="E8090" s="51" t="s">
        <v>1682</v>
      </c>
      <c r="F8090" s="121" t="s">
        <v>3009</v>
      </c>
      <c r="G8090" s="98" t="str">
        <f>HYPERLINK("http://mirror.ff7data.com.ar/ff7/data/battle/battle.lgp/nwar.png","View Picture")</f>
        <v>View Picture</v>
      </c>
    </row>
    <row r="8091">
      <c r="A8091" s="55"/>
      <c r="B8091" s="119" t="s">
        <v>40316</v>
      </c>
      <c r="C8091" s="120" t="s">
        <v>4476</v>
      </c>
      <c r="D8091" s="33" t="s">
        <v>40289</v>
      </c>
      <c r="E8091" s="51" t="s">
        <v>1682</v>
      </c>
      <c r="F8091" s="121" t="s">
        <v>3009</v>
      </c>
      <c r="G8091" s="98" t="str">
        <f>HYPERLINK("http://mirror.ff7data.com.ar/ff7/data/battle/battle.lgp/nwas.png","View Picture")</f>
        <v>View Picture</v>
      </c>
    </row>
    <row r="8092">
      <c r="A8092" s="55"/>
      <c r="B8092" s="119" t="s">
        <v>40317</v>
      </c>
      <c r="C8092" s="120" t="s">
        <v>3648</v>
      </c>
      <c r="D8092" s="33" t="s">
        <v>40289</v>
      </c>
      <c r="E8092" s="51" t="s">
        <v>1682</v>
      </c>
      <c r="F8092" s="121" t="s">
        <v>3009</v>
      </c>
      <c r="G8092" s="98" t="str">
        <f>HYPERLINK("http://mirror.ff7data.com.ar/ff7/data/battle/battle.lgp/nwat.png","View Picture")</f>
        <v>View Picture</v>
      </c>
    </row>
    <row r="8093">
      <c r="A8093" s="55"/>
      <c r="B8093" s="119" t="s">
        <v>40318</v>
      </c>
      <c r="C8093" s="120" t="s">
        <v>4719</v>
      </c>
      <c r="D8093" s="33" t="s">
        <v>40289</v>
      </c>
      <c r="E8093" s="51" t="s">
        <v>1682</v>
      </c>
      <c r="F8093" s="121" t="s">
        <v>3009</v>
      </c>
      <c r="G8093" s="98" t="str">
        <f>HYPERLINK("http://mirror.ff7data.com.ar/ff7/data/battle/battle.lgp/nwaw.png","View Picture")</f>
        <v>View Picture</v>
      </c>
    </row>
    <row r="8094">
      <c r="A8094" s="55"/>
      <c r="B8094" s="119" t="s">
        <v>40319</v>
      </c>
      <c r="C8094" s="120" t="s">
        <v>4476</v>
      </c>
      <c r="D8094" s="33" t="s">
        <v>40289</v>
      </c>
      <c r="E8094" s="51" t="s">
        <v>1682</v>
      </c>
      <c r="F8094" s="121" t="s">
        <v>3009</v>
      </c>
      <c r="G8094" s="98" t="str">
        <f>HYPERLINK("http://mirror.ff7data.com.ar/ff7/data/battle/battle.lgp/nwax.png","View Picture")</f>
        <v>View Picture</v>
      </c>
    </row>
    <row r="8095">
      <c r="A8095" s="55"/>
      <c r="B8095" s="119" t="s">
        <v>40320</v>
      </c>
      <c r="C8095" s="120" t="s">
        <v>3648</v>
      </c>
      <c r="D8095" s="33" t="s">
        <v>40289</v>
      </c>
      <c r="E8095" s="51" t="s">
        <v>1682</v>
      </c>
      <c r="F8095" s="121" t="s">
        <v>3009</v>
      </c>
      <c r="G8095" s="98" t="str">
        <f>HYPERLINK("http://mirror.ff7data.com.ar/ff7/data/battle/battle.lgp/nway.png","View Picture")</f>
        <v>View Picture</v>
      </c>
    </row>
    <row r="8096">
      <c r="A8096" s="55"/>
      <c r="B8096" s="119" t="s">
        <v>40321</v>
      </c>
      <c r="C8096" s="120" t="s">
        <v>3614</v>
      </c>
      <c r="D8096" s="33" t="s">
        <v>40289</v>
      </c>
      <c r="E8096" s="51" t="s">
        <v>1682</v>
      </c>
      <c r="F8096" s="121" t="s">
        <v>3009</v>
      </c>
      <c r="G8096" s="98" t="str">
        <f>HYPERLINK("http://mirror.ff7data.com.ar/ff7/data/battle/battle.lgp/nwaz.png","View Picture")</f>
        <v>View Picture</v>
      </c>
    </row>
    <row r="8097">
      <c r="A8097" s="55"/>
      <c r="B8097" s="119" t="s">
        <v>40322</v>
      </c>
      <c r="C8097" s="120" t="s">
        <v>4439</v>
      </c>
      <c r="D8097" s="33" t="s">
        <v>40289</v>
      </c>
      <c r="E8097" s="51" t="s">
        <v>1682</v>
      </c>
      <c r="F8097" s="121" t="s">
        <v>3009</v>
      </c>
      <c r="G8097" s="98" t="str">
        <f>HYPERLINK("http://mirror.ff7data.com.ar/ff7/data/battle/battle.lgp/nwbd.png","View Picture")</f>
        <v>View Picture</v>
      </c>
    </row>
    <row r="8098">
      <c r="A8098" s="55"/>
      <c r="B8098" s="119" t="s">
        <v>40323</v>
      </c>
      <c r="C8098" s="120" t="s">
        <v>4185</v>
      </c>
      <c r="D8098" s="33" t="s">
        <v>40289</v>
      </c>
      <c r="E8098" s="51" t="s">
        <v>1682</v>
      </c>
      <c r="F8098" s="121" t="s">
        <v>3009</v>
      </c>
      <c r="G8098" s="98" t="str">
        <f>HYPERLINK("http://mirror.ff7data.com.ar/ff7/data/battle/battle.lgp/nwbe.png","View Picture")</f>
        <v>View Picture</v>
      </c>
    </row>
    <row r="8099">
      <c r="A8099" s="55"/>
      <c r="B8099" s="119" t="s">
        <v>40324</v>
      </c>
      <c r="C8099" s="120" t="s">
        <v>6029</v>
      </c>
      <c r="D8099" s="33" t="s">
        <v>40289</v>
      </c>
      <c r="E8099" s="51" t="s">
        <v>1682</v>
      </c>
      <c r="F8099" s="121" t="s">
        <v>3009</v>
      </c>
      <c r="G8099" s="98" t="str">
        <f>HYPERLINK("http://mirror.ff7data.com.ar/ff7/data/battle/battle.lgp/nwbf.png","View Picture")</f>
        <v>View Picture</v>
      </c>
    </row>
    <row r="8100">
      <c r="A8100" s="55"/>
      <c r="B8100" s="119" t="s">
        <v>40325</v>
      </c>
      <c r="C8100" s="120" t="s">
        <v>4476</v>
      </c>
      <c r="D8100" s="33" t="s">
        <v>40289</v>
      </c>
      <c r="E8100" s="51" t="s">
        <v>1682</v>
      </c>
      <c r="F8100" s="121" t="s">
        <v>3009</v>
      </c>
      <c r="G8100" s="98" t="str">
        <f>HYPERLINK("http://mirror.ff7data.com.ar/ff7/data/battle/battle.lgp/nwbg.png","View Picture")</f>
        <v>View Picture</v>
      </c>
    </row>
    <row r="8101">
      <c r="A8101" s="55"/>
      <c r="B8101" s="119" t="s">
        <v>40326</v>
      </c>
      <c r="C8101" s="120" t="s">
        <v>4185</v>
      </c>
      <c r="D8101" s="33" t="s">
        <v>40289</v>
      </c>
      <c r="E8101" s="51" t="s">
        <v>1682</v>
      </c>
      <c r="F8101" s="121" t="s">
        <v>3009</v>
      </c>
      <c r="G8101" s="98" t="str">
        <f>HYPERLINK("http://mirror.ff7data.com.ar/ff7/data/battle/battle.lgp/nwbi.png","View Picture")</f>
        <v>View Picture</v>
      </c>
    </row>
    <row r="8102">
      <c r="A8102" s="55"/>
      <c r="B8102" s="119" t="s">
        <v>40327</v>
      </c>
      <c r="C8102" s="120" t="s">
        <v>4185</v>
      </c>
      <c r="D8102" s="33" t="s">
        <v>40289</v>
      </c>
      <c r="E8102" s="51" t="s">
        <v>1682</v>
      </c>
      <c r="F8102" s="121" t="s">
        <v>3009</v>
      </c>
      <c r="G8102" s="98" t="str">
        <f>HYPERLINK("http://mirror.ff7data.com.ar/ff7/data/battle/battle.lgp/nwbj.png","View Picture")</f>
        <v>View Picture</v>
      </c>
    </row>
    <row r="8103">
      <c r="A8103" s="55"/>
      <c r="B8103" s="119" t="s">
        <v>40328</v>
      </c>
      <c r="C8103" s="120" t="s">
        <v>6029</v>
      </c>
      <c r="D8103" s="33" t="s">
        <v>40289</v>
      </c>
      <c r="E8103" s="51" t="s">
        <v>1682</v>
      </c>
      <c r="F8103" s="121" t="s">
        <v>3009</v>
      </c>
      <c r="G8103" s="98" t="str">
        <f>HYPERLINK("http://mirror.ff7data.com.ar/ff7/data/battle/battle.lgp/nwbk.png","View Picture")</f>
        <v>View Picture</v>
      </c>
    </row>
    <row r="8104">
      <c r="A8104" s="55"/>
      <c r="B8104" s="119" t="s">
        <v>40329</v>
      </c>
      <c r="C8104" s="120" t="s">
        <v>4185</v>
      </c>
      <c r="D8104" s="33" t="s">
        <v>40289</v>
      </c>
      <c r="E8104" s="51" t="s">
        <v>1682</v>
      </c>
      <c r="F8104" s="121" t="s">
        <v>3009</v>
      </c>
      <c r="G8104" s="98" t="str">
        <f>HYPERLINK("http://mirror.ff7data.com.ar/ff7/data/battle/battle.lgp/nwbl.png","View Picture")</f>
        <v>View Picture</v>
      </c>
    </row>
    <row r="8105">
      <c r="A8105" s="55"/>
      <c r="B8105" s="119" t="s">
        <v>40330</v>
      </c>
      <c r="C8105" s="120" t="s">
        <v>8376</v>
      </c>
      <c r="D8105" s="33" t="s">
        <v>40289</v>
      </c>
      <c r="E8105" s="51" t="s">
        <v>1682</v>
      </c>
      <c r="F8105" s="121" t="s">
        <v>3025</v>
      </c>
      <c r="H8105" s="46" t="s">
        <v>3002</v>
      </c>
    </row>
    <row r="8106">
      <c r="A8106" s="55"/>
      <c r="B8106" s="119" t="s">
        <v>40331</v>
      </c>
      <c r="C8106" s="120" t="s">
        <v>8241</v>
      </c>
      <c r="D8106" s="33" t="s">
        <v>40286</v>
      </c>
      <c r="E8106" s="51" t="s">
        <v>1686</v>
      </c>
      <c r="F8106" s="121" t="s">
        <v>2971</v>
      </c>
      <c r="G8106" s="98" t="str">
        <f>HYPERLINK("http://mirror.ff7data.com.ar/ff7/data/battle/battle.lgp/nxaa.png","View Picture")</f>
        <v>View Picture</v>
      </c>
      <c r="H8106" s="46" t="s">
        <v>40332</v>
      </c>
    </row>
    <row r="8107">
      <c r="A8107" s="55"/>
      <c r="B8107" s="119" t="s">
        <v>40333</v>
      </c>
      <c r="C8107" s="120" t="s">
        <v>4209</v>
      </c>
      <c r="D8107" s="33" t="s">
        <v>40289</v>
      </c>
      <c r="E8107" s="51" t="s">
        <v>1686</v>
      </c>
      <c r="F8107" s="121" t="s">
        <v>2993</v>
      </c>
      <c r="H8107" s="46" t="s">
        <v>3002</v>
      </c>
    </row>
    <row r="8108">
      <c r="A8108" s="55"/>
      <c r="B8108" s="119" t="s">
        <v>40334</v>
      </c>
      <c r="C8108" s="120" t="s">
        <v>7871</v>
      </c>
      <c r="D8108" s="33" t="s">
        <v>40289</v>
      </c>
      <c r="E8108" s="51" t="s">
        <v>1686</v>
      </c>
      <c r="F8108" s="121" t="s">
        <v>3009</v>
      </c>
      <c r="G8108" s="98" t="str">
        <f>HYPERLINK("http://mirror.ff7data.com.ar/ff7/data/battle/battle.lgp/nxam.png","View Picture")</f>
        <v>View Picture</v>
      </c>
    </row>
    <row r="8109">
      <c r="A8109" s="55"/>
      <c r="B8109" s="119" t="s">
        <v>40335</v>
      </c>
      <c r="C8109" s="120" t="s">
        <v>8261</v>
      </c>
      <c r="D8109" s="33" t="s">
        <v>40289</v>
      </c>
      <c r="E8109" s="51" t="s">
        <v>1686</v>
      </c>
      <c r="F8109" s="121" t="s">
        <v>3009</v>
      </c>
      <c r="G8109" s="98" t="str">
        <f>HYPERLINK("http://mirror.ff7data.com.ar/ff7/data/battle/battle.lgp/nxan.png","View Picture")</f>
        <v>View Picture</v>
      </c>
    </row>
    <row r="8110">
      <c r="A8110" s="55"/>
      <c r="B8110" s="119" t="s">
        <v>40336</v>
      </c>
      <c r="C8110" s="120" t="s">
        <v>4228</v>
      </c>
      <c r="D8110" s="33" t="s">
        <v>40289</v>
      </c>
      <c r="E8110" s="51" t="s">
        <v>1686</v>
      </c>
      <c r="F8110" s="121" t="s">
        <v>3009</v>
      </c>
      <c r="G8110" s="98" t="str">
        <f>HYPERLINK("http://mirror.ff7data.com.ar/ff7/data/battle/battle.lgp/nxao.png","View Picture")</f>
        <v>View Picture</v>
      </c>
    </row>
    <row r="8111">
      <c r="A8111" s="55"/>
      <c r="B8111" s="119" t="s">
        <v>40337</v>
      </c>
      <c r="C8111" s="120" t="s">
        <v>4719</v>
      </c>
      <c r="D8111" s="33" t="s">
        <v>40289</v>
      </c>
      <c r="E8111" s="51" t="s">
        <v>1686</v>
      </c>
      <c r="F8111" s="121" t="s">
        <v>3009</v>
      </c>
      <c r="G8111" s="98" t="str">
        <f>HYPERLINK("http://mirror.ff7data.com.ar/ff7/data/battle/battle.lgp/nxar.png","View Picture")</f>
        <v>View Picture</v>
      </c>
    </row>
    <row r="8112">
      <c r="A8112" s="55"/>
      <c r="B8112" s="119" t="s">
        <v>40338</v>
      </c>
      <c r="C8112" s="120" t="s">
        <v>4476</v>
      </c>
      <c r="D8112" s="33" t="s">
        <v>40289</v>
      </c>
      <c r="E8112" s="51" t="s">
        <v>1686</v>
      </c>
      <c r="F8112" s="121" t="s">
        <v>3009</v>
      </c>
      <c r="G8112" s="98" t="str">
        <f>HYPERLINK("http://mirror.ff7data.com.ar/ff7/data/battle/battle.lgp/nxas.png","View Picture")</f>
        <v>View Picture</v>
      </c>
    </row>
    <row r="8113">
      <c r="A8113" s="55"/>
      <c r="B8113" s="119" t="s">
        <v>40339</v>
      </c>
      <c r="C8113" s="120" t="s">
        <v>3648</v>
      </c>
      <c r="D8113" s="33" t="s">
        <v>40289</v>
      </c>
      <c r="E8113" s="51" t="s">
        <v>1686</v>
      </c>
      <c r="F8113" s="121" t="s">
        <v>3009</v>
      </c>
      <c r="G8113" s="98" t="str">
        <f>HYPERLINK("http://mirror.ff7data.com.ar/ff7/data/battle/battle.lgp/nxat.png","View Picture")</f>
        <v>View Picture</v>
      </c>
    </row>
    <row r="8114">
      <c r="A8114" s="55"/>
      <c r="B8114" s="119" t="s">
        <v>40340</v>
      </c>
      <c r="C8114" s="120" t="s">
        <v>4719</v>
      </c>
      <c r="D8114" s="33" t="s">
        <v>40289</v>
      </c>
      <c r="E8114" s="51" t="s">
        <v>1686</v>
      </c>
      <c r="F8114" s="121" t="s">
        <v>3009</v>
      </c>
      <c r="G8114" s="98" t="str">
        <f>HYPERLINK("http://mirror.ff7data.com.ar/ff7/data/battle/battle.lgp/nxaw.png","View Picture")</f>
        <v>View Picture</v>
      </c>
    </row>
    <row r="8115">
      <c r="A8115" s="55"/>
      <c r="B8115" s="119" t="s">
        <v>40341</v>
      </c>
      <c r="C8115" s="120" t="s">
        <v>4476</v>
      </c>
      <c r="D8115" s="33" t="s">
        <v>40289</v>
      </c>
      <c r="E8115" s="51" t="s">
        <v>1686</v>
      </c>
      <c r="F8115" s="121" t="s">
        <v>3009</v>
      </c>
      <c r="G8115" s="98" t="str">
        <f>HYPERLINK("http://mirror.ff7data.com.ar/ff7/data/battle/battle.lgp/nxax.png","View Picture")</f>
        <v>View Picture</v>
      </c>
    </row>
    <row r="8116">
      <c r="A8116" s="55"/>
      <c r="B8116" s="119" t="s">
        <v>40342</v>
      </c>
      <c r="C8116" s="120" t="s">
        <v>3648</v>
      </c>
      <c r="D8116" s="33" t="s">
        <v>40289</v>
      </c>
      <c r="E8116" s="51" t="s">
        <v>1686</v>
      </c>
      <c r="F8116" s="121" t="s">
        <v>3009</v>
      </c>
      <c r="G8116" s="98" t="str">
        <f>HYPERLINK("http://mirror.ff7data.com.ar/ff7/data/battle/battle.lgp/nxay.png","View Picture")</f>
        <v>View Picture</v>
      </c>
    </row>
    <row r="8117">
      <c r="A8117" s="55"/>
      <c r="B8117" s="119" t="s">
        <v>40343</v>
      </c>
      <c r="C8117" s="120" t="s">
        <v>3614</v>
      </c>
      <c r="D8117" s="33" t="s">
        <v>40289</v>
      </c>
      <c r="E8117" s="51" t="s">
        <v>1686</v>
      </c>
      <c r="F8117" s="121" t="s">
        <v>3009</v>
      </c>
      <c r="G8117" s="98" t="str">
        <f>HYPERLINK("http://mirror.ff7data.com.ar/ff7/data/battle/battle.lgp/nxaz.png","View Picture")</f>
        <v>View Picture</v>
      </c>
    </row>
    <row r="8118">
      <c r="A8118" s="55"/>
      <c r="B8118" s="119" t="s">
        <v>40344</v>
      </c>
      <c r="C8118" s="120" t="s">
        <v>4439</v>
      </c>
      <c r="D8118" s="33" t="s">
        <v>40289</v>
      </c>
      <c r="E8118" s="51" t="s">
        <v>1686</v>
      </c>
      <c r="F8118" s="121" t="s">
        <v>3009</v>
      </c>
      <c r="G8118" s="98" t="str">
        <f>HYPERLINK("http://mirror.ff7data.com.ar/ff7/data/battle/battle.lgp/nxbd.png","View Picture")</f>
        <v>View Picture</v>
      </c>
    </row>
    <row r="8119">
      <c r="A8119" s="55"/>
      <c r="B8119" s="119" t="s">
        <v>40345</v>
      </c>
      <c r="C8119" s="120" t="s">
        <v>4185</v>
      </c>
      <c r="D8119" s="33" t="s">
        <v>40289</v>
      </c>
      <c r="E8119" s="51" t="s">
        <v>1686</v>
      </c>
      <c r="F8119" s="121" t="s">
        <v>3009</v>
      </c>
      <c r="G8119" s="98" t="str">
        <f>HYPERLINK("http://mirror.ff7data.com.ar/ff7/data/battle/battle.lgp/nxbe.png","View Picture")</f>
        <v>View Picture</v>
      </c>
    </row>
    <row r="8120">
      <c r="A8120" s="55"/>
      <c r="B8120" s="119" t="s">
        <v>40346</v>
      </c>
      <c r="C8120" s="120" t="s">
        <v>6029</v>
      </c>
      <c r="D8120" s="33" t="s">
        <v>40289</v>
      </c>
      <c r="E8120" s="51" t="s">
        <v>1686</v>
      </c>
      <c r="F8120" s="121" t="s">
        <v>3009</v>
      </c>
      <c r="G8120" s="98" t="str">
        <f>HYPERLINK("http://mirror.ff7data.com.ar/ff7/data/battle/battle.lgp/nxbf.png","View Picture")</f>
        <v>View Picture</v>
      </c>
    </row>
    <row r="8121">
      <c r="A8121" s="55"/>
      <c r="B8121" s="119" t="s">
        <v>40347</v>
      </c>
      <c r="C8121" s="120" t="s">
        <v>4476</v>
      </c>
      <c r="D8121" s="33" t="s">
        <v>40289</v>
      </c>
      <c r="E8121" s="51" t="s">
        <v>1686</v>
      </c>
      <c r="F8121" s="121" t="s">
        <v>3009</v>
      </c>
      <c r="G8121" s="98" t="str">
        <f>HYPERLINK("http://mirror.ff7data.com.ar/ff7/data/battle/battle.lgp/nxbg.png","View Picture")</f>
        <v>View Picture</v>
      </c>
    </row>
    <row r="8122">
      <c r="A8122" s="55"/>
      <c r="B8122" s="119" t="s">
        <v>40348</v>
      </c>
      <c r="C8122" s="120" t="s">
        <v>4185</v>
      </c>
      <c r="D8122" s="33" t="s">
        <v>40289</v>
      </c>
      <c r="E8122" s="51" t="s">
        <v>1686</v>
      </c>
      <c r="F8122" s="121" t="s">
        <v>3009</v>
      </c>
      <c r="G8122" s="98" t="str">
        <f>HYPERLINK("http://mirror.ff7data.com.ar/ff7/data/battle/battle.lgp/nxbi.png","View Picture")</f>
        <v>View Picture</v>
      </c>
    </row>
    <row r="8123">
      <c r="A8123" s="55"/>
      <c r="B8123" s="119" t="s">
        <v>40349</v>
      </c>
      <c r="C8123" s="120" t="s">
        <v>4185</v>
      </c>
      <c r="D8123" s="33" t="s">
        <v>40289</v>
      </c>
      <c r="E8123" s="51" t="s">
        <v>1686</v>
      </c>
      <c r="F8123" s="121" t="s">
        <v>3009</v>
      </c>
      <c r="G8123" s="98" t="str">
        <f>HYPERLINK("http://mirror.ff7data.com.ar/ff7/data/battle/battle.lgp/nxbj.png","View Picture")</f>
        <v>View Picture</v>
      </c>
    </row>
    <row r="8124">
      <c r="A8124" s="55"/>
      <c r="B8124" s="119" t="s">
        <v>40350</v>
      </c>
      <c r="C8124" s="120" t="s">
        <v>6029</v>
      </c>
      <c r="D8124" s="33" t="s">
        <v>40289</v>
      </c>
      <c r="E8124" s="51" t="s">
        <v>1686</v>
      </c>
      <c r="F8124" s="121" t="s">
        <v>3009</v>
      </c>
      <c r="G8124" s="98" t="str">
        <f>HYPERLINK("http://mirror.ff7data.com.ar/ff7/data/battle/battle.lgp/nxbk.png","View Picture")</f>
        <v>View Picture</v>
      </c>
    </row>
    <row r="8125">
      <c r="A8125" s="55"/>
      <c r="B8125" s="119" t="s">
        <v>40351</v>
      </c>
      <c r="C8125" s="120" t="s">
        <v>4185</v>
      </c>
      <c r="D8125" s="33" t="s">
        <v>40289</v>
      </c>
      <c r="E8125" s="51" t="s">
        <v>1686</v>
      </c>
      <c r="F8125" s="121" t="s">
        <v>3009</v>
      </c>
      <c r="G8125" s="98" t="str">
        <f>HYPERLINK("http://mirror.ff7data.com.ar/ff7/data/battle/battle.lgp/nxbl.png","View Picture")</f>
        <v>View Picture</v>
      </c>
    </row>
    <row r="8126">
      <c r="A8126" s="55"/>
      <c r="B8126" s="119" t="s">
        <v>40352</v>
      </c>
      <c r="C8126" s="120" t="s">
        <v>8376</v>
      </c>
      <c r="D8126" s="33" t="s">
        <v>40289</v>
      </c>
      <c r="E8126" s="51" t="s">
        <v>1686</v>
      </c>
      <c r="F8126" s="121" t="s">
        <v>40353</v>
      </c>
      <c r="H8126" s="46" t="s">
        <v>3002</v>
      </c>
    </row>
    <row r="8127">
      <c r="A8127" s="55"/>
      <c r="B8127" s="119" t="s">
        <v>40354</v>
      </c>
      <c r="C8127" s="120" t="s">
        <v>4468</v>
      </c>
      <c r="D8127" s="33" t="s">
        <v>40355</v>
      </c>
      <c r="E8127" s="51" t="s">
        <v>1690</v>
      </c>
      <c r="F8127" s="121" t="s">
        <v>2971</v>
      </c>
      <c r="G8127" s="98" t="str">
        <f>HYPERLINK("http://mirror.ff7data.com.ar/ff7/data/battle/battle.lgp/nyaa.png","View Picture")</f>
        <v>View Picture</v>
      </c>
      <c r="H8127" s="46" t="s">
        <v>40356</v>
      </c>
    </row>
    <row r="8128">
      <c r="A8128" s="55"/>
      <c r="B8128" s="119" t="s">
        <v>40357</v>
      </c>
      <c r="C8128" s="120" t="s">
        <v>5724</v>
      </c>
      <c r="D8128" s="33" t="s">
        <v>40358</v>
      </c>
      <c r="E8128" s="51" t="s">
        <v>1690</v>
      </c>
      <c r="F8128" s="121" t="s">
        <v>2993</v>
      </c>
      <c r="H8128" s="46" t="s">
        <v>3002</v>
      </c>
    </row>
    <row r="8129">
      <c r="A8129" s="55"/>
      <c r="B8129" s="119" t="s">
        <v>40359</v>
      </c>
      <c r="C8129" s="120" t="s">
        <v>4046</v>
      </c>
      <c r="D8129" s="33" t="s">
        <v>40358</v>
      </c>
      <c r="E8129" s="51" t="s">
        <v>1690</v>
      </c>
      <c r="F8129" s="121" t="s">
        <v>3009</v>
      </c>
      <c r="G8129" s="98" t="str">
        <f>HYPERLINK("http://mirror.ff7data.com.ar/ff7/data/battle/battle.lgp/nyam.png","View Picture")</f>
        <v>View Picture</v>
      </c>
    </row>
    <row r="8130">
      <c r="A8130" s="55"/>
      <c r="B8130" s="119" t="s">
        <v>40360</v>
      </c>
      <c r="C8130" s="120" t="s">
        <v>3853</v>
      </c>
      <c r="D8130" s="33" t="s">
        <v>40358</v>
      </c>
      <c r="E8130" s="51" t="s">
        <v>1690</v>
      </c>
      <c r="F8130" s="121" t="s">
        <v>3009</v>
      </c>
      <c r="G8130" s="98" t="str">
        <f>HYPERLINK("http://mirror.ff7data.com.ar/ff7/data/battle/battle.lgp/nyan.png","View Picture")</f>
        <v>View Picture</v>
      </c>
    </row>
    <row r="8131">
      <c r="A8131" s="55"/>
      <c r="B8131" s="119" t="s">
        <v>40361</v>
      </c>
      <c r="C8131" s="120" t="s">
        <v>4707</v>
      </c>
      <c r="D8131" s="33" t="s">
        <v>40358</v>
      </c>
      <c r="E8131" s="51" t="s">
        <v>1690</v>
      </c>
      <c r="F8131" s="121" t="s">
        <v>3009</v>
      </c>
      <c r="G8131" s="98" t="str">
        <f>HYPERLINK("http://mirror.ff7data.com.ar/ff7/data/battle/battle.lgp/nyar.png","View Picture")</f>
        <v>View Picture</v>
      </c>
    </row>
    <row r="8132">
      <c r="A8132" s="55"/>
      <c r="B8132" s="119" t="s">
        <v>40362</v>
      </c>
      <c r="C8132" s="120" t="s">
        <v>4288</v>
      </c>
      <c r="D8132" s="33" t="s">
        <v>40358</v>
      </c>
      <c r="E8132" s="51" t="s">
        <v>1690</v>
      </c>
      <c r="F8132" s="121" t="s">
        <v>3009</v>
      </c>
      <c r="G8132" s="98" t="str">
        <f>HYPERLINK("http://mirror.ff7data.com.ar/ff7/data/battle/battle.lgp/nyat.png","View Picture")</f>
        <v>View Picture</v>
      </c>
    </row>
    <row r="8133">
      <c r="A8133" s="55"/>
      <c r="B8133" s="119" t="s">
        <v>40363</v>
      </c>
      <c r="C8133" s="120" t="s">
        <v>17230</v>
      </c>
      <c r="D8133" s="33" t="s">
        <v>40358</v>
      </c>
      <c r="E8133" s="51" t="s">
        <v>1690</v>
      </c>
      <c r="F8133" s="121" t="s">
        <v>3009</v>
      </c>
      <c r="G8133" s="98" t="str">
        <f>HYPERLINK("http://mirror.ff7data.com.ar/ff7/data/battle/battle.lgp/nyau.png","View Picture")</f>
        <v>View Picture</v>
      </c>
    </row>
    <row r="8134">
      <c r="A8134" s="55"/>
      <c r="B8134" s="119" t="s">
        <v>40364</v>
      </c>
      <c r="C8134" s="120" t="s">
        <v>5356</v>
      </c>
      <c r="D8134" s="33" t="s">
        <v>40358</v>
      </c>
      <c r="E8134" s="51" t="s">
        <v>1690</v>
      </c>
      <c r="F8134" s="121" t="s">
        <v>3009</v>
      </c>
      <c r="G8134" s="98" t="str">
        <f>HYPERLINK("http://mirror.ff7data.com.ar/ff7/data/battle/battle.lgp/nyav.png","View Picture")</f>
        <v>View Picture</v>
      </c>
    </row>
    <row r="8135">
      <c r="A8135" s="55"/>
      <c r="B8135" s="119" t="s">
        <v>40365</v>
      </c>
      <c r="C8135" s="120" t="s">
        <v>4288</v>
      </c>
      <c r="D8135" s="33" t="s">
        <v>40358</v>
      </c>
      <c r="E8135" s="51" t="s">
        <v>1690</v>
      </c>
      <c r="F8135" s="121" t="s">
        <v>3009</v>
      </c>
      <c r="G8135" s="98" t="str">
        <f>HYPERLINK("http://mirror.ff7data.com.ar/ff7/data/battle/battle.lgp/nyaw.png","View Picture")</f>
        <v>View Picture</v>
      </c>
    </row>
    <row r="8136">
      <c r="A8136" s="55"/>
      <c r="B8136" s="119" t="s">
        <v>40366</v>
      </c>
      <c r="C8136" s="120" t="s">
        <v>26336</v>
      </c>
      <c r="D8136" s="33" t="s">
        <v>40358</v>
      </c>
      <c r="E8136" s="51" t="s">
        <v>1690</v>
      </c>
      <c r="F8136" s="121" t="s">
        <v>3009</v>
      </c>
      <c r="G8136" s="98" t="str">
        <f>HYPERLINK("http://mirror.ff7data.com.ar/ff7/data/battle/battle.lgp/nyax.png","View Picture")</f>
        <v>View Picture</v>
      </c>
    </row>
    <row r="8137">
      <c r="A8137" s="55"/>
      <c r="B8137" s="119" t="s">
        <v>40367</v>
      </c>
      <c r="C8137" s="120" t="s">
        <v>5356</v>
      </c>
      <c r="D8137" s="33" t="s">
        <v>40358</v>
      </c>
      <c r="E8137" s="51" t="s">
        <v>1690</v>
      </c>
      <c r="F8137" s="121" t="s">
        <v>3009</v>
      </c>
      <c r="G8137" s="98" t="str">
        <f>HYPERLINK("http://mirror.ff7data.com.ar/ff7/data/battle/battle.lgp/nyay.png","View Picture")</f>
        <v>View Picture</v>
      </c>
    </row>
    <row r="8138">
      <c r="A8138" s="55"/>
      <c r="B8138" s="119" t="s">
        <v>40368</v>
      </c>
      <c r="C8138" s="120" t="s">
        <v>4646</v>
      </c>
      <c r="D8138" s="33" t="s">
        <v>40358</v>
      </c>
      <c r="E8138" s="51" t="s">
        <v>1690</v>
      </c>
      <c r="F8138" s="121" t="s">
        <v>3009</v>
      </c>
      <c r="G8138" s="98" t="str">
        <f>HYPERLINK("http://mirror.ff7data.com.ar/ff7/data/battle/battle.lgp/nyaz.png","View Picture")</f>
        <v>View Picture</v>
      </c>
    </row>
    <row r="8139">
      <c r="A8139" s="55"/>
      <c r="B8139" s="119" t="s">
        <v>40369</v>
      </c>
      <c r="C8139" s="120" t="s">
        <v>3991</v>
      </c>
      <c r="D8139" s="33" t="s">
        <v>40358</v>
      </c>
      <c r="E8139" s="51" t="s">
        <v>1690</v>
      </c>
      <c r="F8139" s="121" t="s">
        <v>3009</v>
      </c>
      <c r="G8139" s="98" t="str">
        <f>HYPERLINK("http://mirror.ff7data.com.ar/ff7/data/battle/battle.lgp/nyba.png","View Picture")</f>
        <v>View Picture</v>
      </c>
    </row>
    <row r="8140">
      <c r="A8140" s="55"/>
      <c r="B8140" s="119" t="s">
        <v>40370</v>
      </c>
      <c r="C8140" s="120" t="s">
        <v>3007</v>
      </c>
      <c r="D8140" s="33" t="s">
        <v>40358</v>
      </c>
      <c r="E8140" s="51" t="s">
        <v>1690</v>
      </c>
      <c r="F8140" s="121" t="s">
        <v>3009</v>
      </c>
      <c r="G8140" s="98" t="str">
        <f>HYPERLINK("http://mirror.ff7data.com.ar/ff7/data/battle/battle.lgp/nybb.png","View Picture")</f>
        <v>View Picture</v>
      </c>
    </row>
    <row r="8141">
      <c r="A8141" s="55"/>
      <c r="B8141" s="119" t="s">
        <v>40371</v>
      </c>
      <c r="C8141" s="120" t="s">
        <v>4646</v>
      </c>
      <c r="D8141" s="33" t="s">
        <v>40358</v>
      </c>
      <c r="E8141" s="51" t="s">
        <v>1690</v>
      </c>
      <c r="F8141" s="121" t="s">
        <v>3009</v>
      </c>
      <c r="G8141" s="98" t="str">
        <f>HYPERLINK("http://mirror.ff7data.com.ar/ff7/data/battle/battle.lgp/nybc.png","View Picture")</f>
        <v>View Picture</v>
      </c>
    </row>
    <row r="8142">
      <c r="A8142" s="55"/>
      <c r="B8142" s="119" t="s">
        <v>40372</v>
      </c>
      <c r="C8142" s="120" t="s">
        <v>4288</v>
      </c>
      <c r="D8142" s="33" t="s">
        <v>40358</v>
      </c>
      <c r="E8142" s="51" t="s">
        <v>1690</v>
      </c>
      <c r="F8142" s="121" t="s">
        <v>3009</v>
      </c>
      <c r="G8142" s="98" t="str">
        <f>HYPERLINK("http://mirror.ff7data.com.ar/ff7/data/battle/battle.lgp/nybe.png","View Picture")</f>
        <v>View Picture</v>
      </c>
    </row>
    <row r="8143">
      <c r="A8143" s="55"/>
      <c r="B8143" s="119" t="s">
        <v>40373</v>
      </c>
      <c r="C8143" s="120" t="s">
        <v>20391</v>
      </c>
      <c r="D8143" s="33" t="s">
        <v>40358</v>
      </c>
      <c r="E8143" s="51" t="s">
        <v>1690</v>
      </c>
      <c r="F8143" s="121" t="s">
        <v>3009</v>
      </c>
      <c r="G8143" s="98" t="str">
        <f>HYPERLINK("http://mirror.ff7data.com.ar/ff7/data/battle/battle.lgp/nybf.png","View Picture")</f>
        <v>View Picture</v>
      </c>
    </row>
    <row r="8144">
      <c r="A8144" s="55"/>
      <c r="B8144" s="119" t="s">
        <v>40374</v>
      </c>
      <c r="C8144" s="120" t="s">
        <v>5356</v>
      </c>
      <c r="D8144" s="33" t="s">
        <v>40358</v>
      </c>
      <c r="E8144" s="51" t="s">
        <v>1690</v>
      </c>
      <c r="F8144" s="121" t="s">
        <v>3009</v>
      </c>
      <c r="G8144" s="98" t="str">
        <f>HYPERLINK("http://mirror.ff7data.com.ar/ff7/data/battle/battle.lgp/nybg.png","View Picture")</f>
        <v>View Picture</v>
      </c>
    </row>
    <row r="8145">
      <c r="A8145" s="55"/>
      <c r="B8145" s="119" t="s">
        <v>40375</v>
      </c>
      <c r="C8145" s="120" t="s">
        <v>4288</v>
      </c>
      <c r="D8145" s="33" t="s">
        <v>40358</v>
      </c>
      <c r="E8145" s="51" t="s">
        <v>1690</v>
      </c>
      <c r="F8145" s="121" t="s">
        <v>3009</v>
      </c>
      <c r="G8145" s="98" t="str">
        <f>HYPERLINK("http://mirror.ff7data.com.ar/ff7/data/battle/battle.lgp/nybh.png","View Picture")</f>
        <v>View Picture</v>
      </c>
    </row>
    <row r="8146">
      <c r="A8146" s="55"/>
      <c r="B8146" s="119" t="s">
        <v>40376</v>
      </c>
      <c r="C8146" s="120" t="s">
        <v>6769</v>
      </c>
      <c r="D8146" s="33" t="s">
        <v>40358</v>
      </c>
      <c r="E8146" s="51" t="s">
        <v>1690</v>
      </c>
      <c r="F8146" s="121" t="s">
        <v>3009</v>
      </c>
      <c r="G8146" s="98" t="str">
        <f>HYPERLINK("http://mirror.ff7data.com.ar/ff7/data/battle/battle.lgp/nybi.png","View Picture")</f>
        <v>View Picture</v>
      </c>
    </row>
    <row r="8147">
      <c r="A8147" s="55"/>
      <c r="B8147" s="119" t="s">
        <v>40377</v>
      </c>
      <c r="C8147" s="120" t="s">
        <v>37922</v>
      </c>
      <c r="D8147" s="33" t="s">
        <v>40358</v>
      </c>
      <c r="E8147" s="51" t="s">
        <v>1690</v>
      </c>
      <c r="F8147" s="121" t="s">
        <v>3009</v>
      </c>
      <c r="G8147" s="98" t="str">
        <f>HYPERLINK("http://mirror.ff7data.com.ar/ff7/data/battle/battle.lgp/nybj.png","View Picture")</f>
        <v>View Picture</v>
      </c>
    </row>
    <row r="8148">
      <c r="A8148" s="55"/>
      <c r="B8148" s="119" t="s">
        <v>40378</v>
      </c>
      <c r="C8148" s="120" t="s">
        <v>4696</v>
      </c>
      <c r="D8148" s="33" t="s">
        <v>40358</v>
      </c>
      <c r="E8148" s="51" t="s">
        <v>1690</v>
      </c>
      <c r="F8148" s="121" t="s">
        <v>3009</v>
      </c>
      <c r="G8148" s="98" t="str">
        <f>HYPERLINK("http://mirror.ff7data.com.ar/ff7/data/battle/battle.lgp/nybk.png","View Picture")</f>
        <v>View Picture</v>
      </c>
    </row>
    <row r="8149">
      <c r="A8149" s="55"/>
      <c r="B8149" s="119" t="s">
        <v>40379</v>
      </c>
      <c r="C8149" s="120" t="s">
        <v>3007</v>
      </c>
      <c r="D8149" s="33" t="s">
        <v>40358</v>
      </c>
      <c r="E8149" s="51" t="s">
        <v>1690</v>
      </c>
      <c r="F8149" s="121" t="s">
        <v>3009</v>
      </c>
      <c r="G8149" s="98" t="str">
        <f>HYPERLINK("http://mirror.ff7data.com.ar/ff7/data/battle/battle.lgp/nybl.png","View Picture")</f>
        <v>View Picture</v>
      </c>
    </row>
    <row r="8150">
      <c r="A8150" s="55"/>
      <c r="B8150" s="119" t="s">
        <v>40380</v>
      </c>
      <c r="C8150" s="120" t="s">
        <v>3007</v>
      </c>
      <c r="D8150" s="33" t="s">
        <v>40358</v>
      </c>
      <c r="E8150" s="51" t="s">
        <v>1690</v>
      </c>
      <c r="F8150" s="121" t="s">
        <v>3009</v>
      </c>
      <c r="G8150" s="98" t="str">
        <f>HYPERLINK("http://mirror.ff7data.com.ar/ff7/data/battle/battle.lgp/nybm.png","View Picture")</f>
        <v>View Picture</v>
      </c>
    </row>
    <row r="8151">
      <c r="A8151" s="55"/>
      <c r="B8151" s="119" t="s">
        <v>40381</v>
      </c>
      <c r="C8151" s="120" t="s">
        <v>4646</v>
      </c>
      <c r="D8151" s="33" t="s">
        <v>40358</v>
      </c>
      <c r="E8151" s="51" t="s">
        <v>1690</v>
      </c>
      <c r="F8151" s="121" t="s">
        <v>3009</v>
      </c>
      <c r="G8151" s="98" t="str">
        <f>HYPERLINK("http://mirror.ff7data.com.ar/ff7/data/battle/battle.lgp/nybn.png","View Picture")</f>
        <v>View Picture</v>
      </c>
    </row>
    <row r="8152">
      <c r="A8152" s="55"/>
      <c r="B8152" s="119" t="s">
        <v>40382</v>
      </c>
      <c r="C8152" s="120" t="s">
        <v>4707</v>
      </c>
      <c r="D8152" s="33" t="s">
        <v>40358</v>
      </c>
      <c r="E8152" s="51" t="s">
        <v>1690</v>
      </c>
      <c r="F8152" s="121" t="s">
        <v>3009</v>
      </c>
      <c r="G8152" s="98" t="str">
        <f>HYPERLINK("http://mirror.ff7data.com.ar/ff7/data/battle/battle.lgp/nybp.png","View Picture")</f>
        <v>View Picture</v>
      </c>
    </row>
    <row r="8153">
      <c r="A8153" s="55"/>
      <c r="B8153" s="119" t="s">
        <v>40383</v>
      </c>
      <c r="C8153" s="120" t="s">
        <v>4658</v>
      </c>
      <c r="D8153" s="33" t="s">
        <v>40358</v>
      </c>
      <c r="E8153" s="51" t="s">
        <v>1690</v>
      </c>
      <c r="F8153" s="121" t="s">
        <v>3009</v>
      </c>
      <c r="G8153" s="98" t="str">
        <f>HYPERLINK("http://mirror.ff7data.com.ar/ff7/data/battle/battle.lgp/nybr.png","View Picture")</f>
        <v>View Picture</v>
      </c>
    </row>
    <row r="8154">
      <c r="A8154" s="55"/>
      <c r="B8154" s="119" t="s">
        <v>40384</v>
      </c>
      <c r="C8154" s="120" t="s">
        <v>4707</v>
      </c>
      <c r="D8154" s="33" t="s">
        <v>40358</v>
      </c>
      <c r="E8154" s="51" t="s">
        <v>1690</v>
      </c>
      <c r="F8154" s="121" t="s">
        <v>3009</v>
      </c>
      <c r="G8154" s="98" t="str">
        <f>HYPERLINK("http://mirror.ff7data.com.ar/ff7/data/battle/battle.lgp/nybt.png","View Picture")</f>
        <v>View Picture</v>
      </c>
    </row>
    <row r="8155">
      <c r="A8155" s="55"/>
      <c r="B8155" s="119" t="s">
        <v>40385</v>
      </c>
      <c r="C8155" s="120" t="s">
        <v>4707</v>
      </c>
      <c r="D8155" s="33" t="s">
        <v>40358</v>
      </c>
      <c r="E8155" s="51" t="s">
        <v>1690</v>
      </c>
      <c r="F8155" s="121" t="s">
        <v>3009</v>
      </c>
      <c r="G8155" s="98" t="str">
        <f>HYPERLINK("http://mirror.ff7data.com.ar/ff7/data/battle/battle.lgp/nybv.png","View Picture")</f>
        <v>View Picture</v>
      </c>
    </row>
    <row r="8156">
      <c r="A8156" s="55"/>
      <c r="B8156" s="119" t="s">
        <v>40386</v>
      </c>
      <c r="C8156" s="120" t="s">
        <v>4030</v>
      </c>
      <c r="D8156" s="33" t="s">
        <v>40358</v>
      </c>
      <c r="E8156" s="51" t="s">
        <v>1690</v>
      </c>
      <c r="F8156" s="121" t="s">
        <v>3025</v>
      </c>
      <c r="H8156" s="46" t="s">
        <v>3002</v>
      </c>
    </row>
    <row r="8157">
      <c r="A8157" s="55"/>
      <c r="B8157" s="119" t="s">
        <v>40387</v>
      </c>
      <c r="C8157" s="120" t="s">
        <v>2989</v>
      </c>
      <c r="D8157" s="33" t="s">
        <v>40388</v>
      </c>
      <c r="E8157" s="51" t="s">
        <v>1696</v>
      </c>
      <c r="F8157" s="121" t="s">
        <v>2971</v>
      </c>
      <c r="G8157" s="98" t="str">
        <f>HYPERLINK("http://mirror.ff7data.com.ar/ff7/data/battle/battle.lgp/nzaa.png","View Picture")</f>
        <v>View Picture</v>
      </c>
      <c r="H8157" s="46" t="s">
        <v>40389</v>
      </c>
    </row>
    <row r="8158">
      <c r="A8158" s="55"/>
      <c r="B8158" s="119" t="s">
        <v>40390</v>
      </c>
      <c r="C8158" s="120" t="s">
        <v>9790</v>
      </c>
      <c r="D8158" s="33" t="s">
        <v>40391</v>
      </c>
      <c r="E8158" s="51" t="s">
        <v>1696</v>
      </c>
      <c r="F8158" s="121" t="s">
        <v>2993</v>
      </c>
      <c r="H8158" s="46" t="s">
        <v>3002</v>
      </c>
    </row>
    <row r="8159">
      <c r="A8159" s="55"/>
      <c r="B8159" s="119" t="s">
        <v>40392</v>
      </c>
      <c r="C8159" s="120" t="s">
        <v>4732</v>
      </c>
      <c r="D8159" s="33" t="s">
        <v>40391</v>
      </c>
      <c r="E8159" s="51" t="s">
        <v>1696</v>
      </c>
      <c r="F8159" s="121" t="s">
        <v>3009</v>
      </c>
      <c r="G8159" s="98" t="str">
        <f>HYPERLINK("http://mirror.ff7data.com.ar/ff7/data/battle/battle.lgp/nzam.png","View Picture")</f>
        <v>View Picture</v>
      </c>
    </row>
    <row r="8160">
      <c r="A8160" s="55"/>
      <c r="B8160" s="119" t="s">
        <v>40393</v>
      </c>
      <c r="C8160" s="120" t="s">
        <v>3343</v>
      </c>
      <c r="D8160" s="33" t="s">
        <v>40391</v>
      </c>
      <c r="E8160" s="51" t="s">
        <v>1696</v>
      </c>
      <c r="F8160" s="121" t="s">
        <v>3009</v>
      </c>
      <c r="G8160" s="98" t="str">
        <f>HYPERLINK("http://mirror.ff7data.com.ar/ff7/data/battle/battle.lgp/nzan.png","View Picture")</f>
        <v>View Picture</v>
      </c>
    </row>
    <row r="8161">
      <c r="A8161" s="55"/>
      <c r="B8161" s="119" t="s">
        <v>40394</v>
      </c>
      <c r="C8161" s="120" t="s">
        <v>4288</v>
      </c>
      <c r="D8161" s="33" t="s">
        <v>40391</v>
      </c>
      <c r="E8161" s="51" t="s">
        <v>1696</v>
      </c>
      <c r="F8161" s="121" t="s">
        <v>3009</v>
      </c>
      <c r="G8161" s="98" t="str">
        <f>HYPERLINK("http://mirror.ff7data.com.ar/ff7/data/battle/battle.lgp/nzao.png","View Picture")</f>
        <v>View Picture</v>
      </c>
    </row>
    <row r="8162">
      <c r="A8162" s="55"/>
      <c r="B8162" s="119" t="s">
        <v>40395</v>
      </c>
      <c r="C8162" s="120" t="s">
        <v>4288</v>
      </c>
      <c r="D8162" s="33" t="s">
        <v>40391</v>
      </c>
      <c r="E8162" s="51" t="s">
        <v>1696</v>
      </c>
      <c r="F8162" s="121" t="s">
        <v>3009</v>
      </c>
      <c r="G8162" s="98" t="str">
        <f>HYPERLINK("http://mirror.ff7data.com.ar/ff7/data/battle/battle.lgp/nzap.png","View Picture")</f>
        <v>View Picture</v>
      </c>
    </row>
    <row r="8163">
      <c r="A8163" s="55"/>
      <c r="B8163" s="119" t="s">
        <v>40396</v>
      </c>
      <c r="C8163" s="120" t="s">
        <v>4288</v>
      </c>
      <c r="D8163" s="33" t="s">
        <v>40391</v>
      </c>
      <c r="E8163" s="51" t="s">
        <v>1696</v>
      </c>
      <c r="F8163" s="121" t="s">
        <v>3009</v>
      </c>
      <c r="G8163" s="98" t="str">
        <f>HYPERLINK("http://mirror.ff7data.com.ar/ff7/data/battle/battle.lgp/nzaq.png","View Picture")</f>
        <v>View Picture</v>
      </c>
    </row>
    <row r="8164">
      <c r="A8164" s="55"/>
      <c r="B8164" s="119" t="s">
        <v>40397</v>
      </c>
      <c r="C8164" s="120" t="s">
        <v>4288</v>
      </c>
      <c r="D8164" s="33" t="s">
        <v>40391</v>
      </c>
      <c r="E8164" s="51" t="s">
        <v>1696</v>
      </c>
      <c r="F8164" s="121" t="s">
        <v>3009</v>
      </c>
      <c r="G8164" s="98" t="str">
        <f>HYPERLINK("http://mirror.ff7data.com.ar/ff7/data/battle/battle.lgp/nzar.png","View Picture")</f>
        <v>View Picture</v>
      </c>
    </row>
    <row r="8165">
      <c r="A8165" s="55"/>
      <c r="B8165" s="119" t="s">
        <v>40398</v>
      </c>
      <c r="C8165" s="120" t="s">
        <v>4288</v>
      </c>
      <c r="D8165" s="33" t="s">
        <v>40391</v>
      </c>
      <c r="E8165" s="51" t="s">
        <v>1696</v>
      </c>
      <c r="F8165" s="121" t="s">
        <v>3009</v>
      </c>
      <c r="G8165" s="98" t="str">
        <f>HYPERLINK("http://mirror.ff7data.com.ar/ff7/data/battle/battle.lgp/nzat.png","View Picture")</f>
        <v>View Picture</v>
      </c>
    </row>
    <row r="8166">
      <c r="A8166" s="55"/>
      <c r="B8166" s="119" t="s">
        <v>40399</v>
      </c>
      <c r="C8166" s="120" t="s">
        <v>4288</v>
      </c>
      <c r="D8166" s="33" t="s">
        <v>40391</v>
      </c>
      <c r="E8166" s="51" t="s">
        <v>1696</v>
      </c>
      <c r="F8166" s="121" t="s">
        <v>3009</v>
      </c>
      <c r="G8166" s="98" t="str">
        <f>HYPERLINK("http://mirror.ff7data.com.ar/ff7/data/battle/battle.lgp/nzau.png","View Picture")</f>
        <v>View Picture</v>
      </c>
    </row>
    <row r="8167">
      <c r="A8167" s="55"/>
      <c r="B8167" s="119" t="s">
        <v>40400</v>
      </c>
      <c r="C8167" s="120" t="s">
        <v>21725</v>
      </c>
      <c r="D8167" s="33" t="s">
        <v>40391</v>
      </c>
      <c r="E8167" s="51" t="s">
        <v>1696</v>
      </c>
      <c r="F8167" s="121" t="s">
        <v>3009</v>
      </c>
      <c r="G8167" s="98" t="str">
        <f>HYPERLINK("http://mirror.ff7data.com.ar/ff7/data/battle/battle.lgp/nzav.png","View Picture")</f>
        <v>View Picture</v>
      </c>
    </row>
    <row r="8168">
      <c r="A8168" s="55"/>
      <c r="B8168" s="119" t="s">
        <v>40401</v>
      </c>
      <c r="C8168" s="120" t="s">
        <v>4288</v>
      </c>
      <c r="D8168" s="33" t="s">
        <v>40391</v>
      </c>
      <c r="E8168" s="51" t="s">
        <v>1696</v>
      </c>
      <c r="F8168" s="121" t="s">
        <v>3009</v>
      </c>
      <c r="G8168" s="98" t="str">
        <f>HYPERLINK("http://mirror.ff7data.com.ar/ff7/data/battle/battle.lgp/nzaw.png","View Picture")</f>
        <v>View Picture</v>
      </c>
    </row>
    <row r="8169">
      <c r="A8169" s="55"/>
      <c r="B8169" s="119" t="s">
        <v>40402</v>
      </c>
      <c r="C8169" s="120" t="s">
        <v>21725</v>
      </c>
      <c r="D8169" s="33" t="s">
        <v>40391</v>
      </c>
      <c r="E8169" s="51" t="s">
        <v>1696</v>
      </c>
      <c r="F8169" s="121" t="s">
        <v>3009</v>
      </c>
      <c r="G8169" s="98" t="str">
        <f>HYPERLINK("http://mirror.ff7data.com.ar/ff7/data/battle/battle.lgp/nzay.png","View Picture")</f>
        <v>View Picture</v>
      </c>
    </row>
    <row r="8170">
      <c r="A8170" s="55"/>
      <c r="B8170" s="119" t="s">
        <v>40403</v>
      </c>
      <c r="C8170" s="120" t="s">
        <v>4288</v>
      </c>
      <c r="D8170" s="33" t="s">
        <v>40391</v>
      </c>
      <c r="E8170" s="51" t="s">
        <v>1696</v>
      </c>
      <c r="F8170" s="121" t="s">
        <v>3009</v>
      </c>
      <c r="G8170" s="98" t="str">
        <f>HYPERLINK("http://mirror.ff7data.com.ar/ff7/data/battle/battle.lgp/nzaz.png","View Picture")</f>
        <v>View Picture</v>
      </c>
    </row>
    <row r="8171">
      <c r="A8171" s="55"/>
      <c r="B8171" s="119" t="s">
        <v>40404</v>
      </c>
      <c r="C8171" s="120" t="s">
        <v>4288</v>
      </c>
      <c r="D8171" s="33" t="s">
        <v>40391</v>
      </c>
      <c r="E8171" s="51" t="s">
        <v>1696</v>
      </c>
      <c r="F8171" s="121" t="s">
        <v>3009</v>
      </c>
      <c r="G8171" s="98" t="str">
        <f>HYPERLINK("http://mirror.ff7data.com.ar/ff7/data/battle/battle.lgp/nzba.png","View Picture")</f>
        <v>View Picture</v>
      </c>
    </row>
    <row r="8172">
      <c r="A8172" s="55"/>
      <c r="B8172" s="119" t="s">
        <v>40405</v>
      </c>
      <c r="C8172" s="120" t="s">
        <v>4288</v>
      </c>
      <c r="D8172" s="33" t="s">
        <v>40391</v>
      </c>
      <c r="E8172" s="51" t="s">
        <v>1696</v>
      </c>
      <c r="F8172" s="121" t="s">
        <v>3009</v>
      </c>
      <c r="G8172" s="98" t="str">
        <f>HYPERLINK("http://mirror.ff7data.com.ar/ff7/data/battle/battle.lgp/nzbb.png","View Picture")</f>
        <v>View Picture</v>
      </c>
    </row>
    <row r="8173">
      <c r="A8173" s="55"/>
      <c r="B8173" s="119" t="s">
        <v>40406</v>
      </c>
      <c r="C8173" s="120" t="s">
        <v>7501</v>
      </c>
      <c r="D8173" s="33" t="s">
        <v>40391</v>
      </c>
      <c r="E8173" s="51" t="s">
        <v>1696</v>
      </c>
      <c r="F8173" s="121" t="s">
        <v>3009</v>
      </c>
      <c r="G8173" s="98" t="str">
        <f>HYPERLINK("http://mirror.ff7data.com.ar/ff7/data/battle/battle.lgp/nzbc.png","View Picture")</f>
        <v>View Picture</v>
      </c>
    </row>
    <row r="8174">
      <c r="A8174" s="55"/>
      <c r="B8174" s="119" t="s">
        <v>40407</v>
      </c>
      <c r="C8174" s="120" t="s">
        <v>7270</v>
      </c>
      <c r="D8174" s="33" t="s">
        <v>40391</v>
      </c>
      <c r="E8174" s="51" t="s">
        <v>1696</v>
      </c>
      <c r="F8174" s="121" t="s">
        <v>3009</v>
      </c>
      <c r="G8174" s="98" t="str">
        <f>HYPERLINK("http://mirror.ff7data.com.ar/ff7/data/battle/battle.lgp/nzbd.png","View Picture")</f>
        <v>View Picture</v>
      </c>
    </row>
    <row r="8175">
      <c r="A8175" s="55"/>
      <c r="B8175" s="119" t="s">
        <v>40408</v>
      </c>
      <c r="C8175" s="120" t="s">
        <v>4240</v>
      </c>
      <c r="D8175" s="33" t="s">
        <v>40391</v>
      </c>
      <c r="E8175" s="51" t="s">
        <v>1696</v>
      </c>
      <c r="F8175" s="121" t="s">
        <v>3009</v>
      </c>
      <c r="G8175" s="98" t="str">
        <f>HYPERLINK("http://mirror.ff7data.com.ar/ff7/data/battle/battle.lgp/nzbe.png","View Picture")</f>
        <v>View Picture</v>
      </c>
    </row>
    <row r="8176">
      <c r="A8176" s="55"/>
      <c r="B8176" s="119" t="s">
        <v>40409</v>
      </c>
      <c r="C8176" s="120" t="s">
        <v>19043</v>
      </c>
      <c r="D8176" s="33" t="s">
        <v>40391</v>
      </c>
      <c r="E8176" s="51" t="s">
        <v>1696</v>
      </c>
      <c r="F8176" s="121" t="s">
        <v>3009</v>
      </c>
      <c r="G8176" s="98" t="str">
        <f>HYPERLINK("http://mirror.ff7data.com.ar/ff7/data/battle/battle.lgp/nzbf.png","View Picture")</f>
        <v>View Picture</v>
      </c>
    </row>
    <row r="8177">
      <c r="A8177" s="55"/>
      <c r="B8177" s="119" t="s">
        <v>40410</v>
      </c>
      <c r="C8177" s="120" t="s">
        <v>3007</v>
      </c>
      <c r="D8177" s="33" t="s">
        <v>40391</v>
      </c>
      <c r="E8177" s="51" t="s">
        <v>1696</v>
      </c>
      <c r="F8177" s="121" t="s">
        <v>3009</v>
      </c>
      <c r="G8177" s="98" t="str">
        <f>HYPERLINK("http://mirror.ff7data.com.ar/ff7/data/battle/battle.lgp/nzbh.png","View Picture")</f>
        <v>View Picture</v>
      </c>
    </row>
    <row r="8178">
      <c r="A8178" s="55"/>
      <c r="B8178" s="119" t="s">
        <v>40411</v>
      </c>
      <c r="C8178" s="120" t="s">
        <v>3007</v>
      </c>
      <c r="D8178" s="33" t="s">
        <v>40391</v>
      </c>
      <c r="E8178" s="51" t="s">
        <v>1696</v>
      </c>
      <c r="F8178" s="121" t="s">
        <v>3009</v>
      </c>
      <c r="G8178" s="98" t="str">
        <f>HYPERLINK("http://mirror.ff7data.com.ar/ff7/data/battle/battle.lgp/nzbj.png","View Picture")</f>
        <v>View Picture</v>
      </c>
    </row>
    <row r="8179">
      <c r="A8179" s="55"/>
      <c r="B8179" s="119" t="s">
        <v>40412</v>
      </c>
      <c r="C8179" s="120" t="s">
        <v>3007</v>
      </c>
      <c r="D8179" s="33" t="s">
        <v>40391</v>
      </c>
      <c r="E8179" s="51" t="s">
        <v>1696</v>
      </c>
      <c r="F8179" s="121" t="s">
        <v>3009</v>
      </c>
      <c r="G8179" s="98" t="str">
        <f>HYPERLINK("http://mirror.ff7data.com.ar/ff7/data/battle/battle.lgp/nzbl.png","View Picture")</f>
        <v>View Picture</v>
      </c>
    </row>
    <row r="8180">
      <c r="A8180" s="55"/>
      <c r="B8180" s="119" t="s">
        <v>40413</v>
      </c>
      <c r="C8180" s="120" t="s">
        <v>3991</v>
      </c>
      <c r="D8180" s="33" t="s">
        <v>40391</v>
      </c>
      <c r="E8180" s="51" t="s">
        <v>1696</v>
      </c>
      <c r="F8180" s="121" t="s">
        <v>3009</v>
      </c>
      <c r="G8180" s="98" t="str">
        <f>HYPERLINK("http://mirror.ff7data.com.ar/ff7/data/battle/battle.lgp/nzbn.png","View Picture")</f>
        <v>View Picture</v>
      </c>
    </row>
    <row r="8181">
      <c r="A8181" s="55"/>
      <c r="B8181" s="119" t="s">
        <v>40414</v>
      </c>
      <c r="C8181" s="120" t="s">
        <v>3991</v>
      </c>
      <c r="D8181" s="33" t="s">
        <v>40391</v>
      </c>
      <c r="E8181" s="51" t="s">
        <v>1696</v>
      </c>
      <c r="F8181" s="121" t="s">
        <v>3009</v>
      </c>
      <c r="G8181" s="98" t="str">
        <f>HYPERLINK("http://mirror.ff7data.com.ar/ff7/data/battle/battle.lgp/nzbp.png","View Picture")</f>
        <v>View Picture</v>
      </c>
    </row>
    <row r="8182">
      <c r="A8182" s="55"/>
      <c r="B8182" s="119" t="s">
        <v>40415</v>
      </c>
      <c r="C8182" s="120" t="s">
        <v>5762</v>
      </c>
      <c r="D8182" s="33" t="s">
        <v>40391</v>
      </c>
      <c r="E8182" s="51" t="s">
        <v>1696</v>
      </c>
      <c r="F8182" s="121" t="s">
        <v>3025</v>
      </c>
      <c r="H8182" s="46" t="s">
        <v>3002</v>
      </c>
    </row>
    <row r="8183">
      <c r="A8183" s="55"/>
      <c r="B8183" s="119" t="s">
        <v>40416</v>
      </c>
      <c r="C8183" s="120" t="s">
        <v>11208</v>
      </c>
      <c r="D8183" s="33" t="s">
        <v>40417</v>
      </c>
      <c r="E8183" s="51" t="s">
        <v>1701</v>
      </c>
      <c r="F8183" s="121" t="s">
        <v>2971</v>
      </c>
      <c r="G8183" s="98" t="str">
        <f>HYPERLINK("http://mirror.ff7data.com.ar/ff7/data/battle/battle.lgp/oaaa.png","View Picture")</f>
        <v>View Picture</v>
      </c>
      <c r="H8183" s="46" t="s">
        <v>40418</v>
      </c>
    </row>
    <row r="8184">
      <c r="A8184" s="55"/>
      <c r="B8184" s="119" t="s">
        <v>40419</v>
      </c>
      <c r="C8184" s="120" t="s">
        <v>4846</v>
      </c>
      <c r="D8184" s="33" t="s">
        <v>40420</v>
      </c>
      <c r="E8184" s="51" t="s">
        <v>1701</v>
      </c>
      <c r="F8184" s="121" t="s">
        <v>2993</v>
      </c>
      <c r="H8184" s="46" t="s">
        <v>3002</v>
      </c>
    </row>
    <row r="8185">
      <c r="A8185" s="55"/>
      <c r="B8185" s="119" t="s">
        <v>40421</v>
      </c>
      <c r="C8185" s="120" t="s">
        <v>10078</v>
      </c>
      <c r="D8185" s="33" t="s">
        <v>40420</v>
      </c>
      <c r="E8185" s="51" t="s">
        <v>1701</v>
      </c>
      <c r="F8185" s="121" t="s">
        <v>3009</v>
      </c>
      <c r="G8185" s="98" t="str">
        <f>HYPERLINK("http://mirror.ff7data.com.ar/ff7/data/battle/battle.lgp/oaam.png","View Picture")</f>
        <v>View Picture</v>
      </c>
    </row>
    <row r="8186">
      <c r="A8186" s="55"/>
      <c r="B8186" s="119" t="s">
        <v>40422</v>
      </c>
      <c r="C8186" s="120" t="s">
        <v>7258</v>
      </c>
      <c r="D8186" s="33" t="s">
        <v>40420</v>
      </c>
      <c r="E8186" s="51" t="s">
        <v>1701</v>
      </c>
      <c r="F8186" s="121" t="s">
        <v>3009</v>
      </c>
      <c r="G8186" s="98" t="str">
        <f>HYPERLINK("http://mirror.ff7data.com.ar/ff7/data/battle/battle.lgp/oaan.png","View Picture")</f>
        <v>View Picture</v>
      </c>
    </row>
    <row r="8187">
      <c r="A8187" s="55"/>
      <c r="B8187" s="119" t="s">
        <v>40423</v>
      </c>
      <c r="C8187" s="120" t="s">
        <v>3648</v>
      </c>
      <c r="D8187" s="33" t="s">
        <v>40420</v>
      </c>
      <c r="E8187" s="51" t="s">
        <v>1701</v>
      </c>
      <c r="F8187" s="121" t="s">
        <v>3009</v>
      </c>
      <c r="G8187" s="98" t="str">
        <f>HYPERLINK("http://mirror.ff7data.com.ar/ff7/data/battle/battle.lgp/oaap.png","View Picture")</f>
        <v>View Picture</v>
      </c>
    </row>
    <row r="8188">
      <c r="A8188" s="55"/>
      <c r="B8188" s="119" t="s">
        <v>40424</v>
      </c>
      <c r="C8188" s="120" t="s">
        <v>3648</v>
      </c>
      <c r="D8188" s="33" t="s">
        <v>40420</v>
      </c>
      <c r="E8188" s="51" t="s">
        <v>1701</v>
      </c>
      <c r="F8188" s="121" t="s">
        <v>3009</v>
      </c>
      <c r="G8188" s="98" t="str">
        <f>HYPERLINK("http://mirror.ff7data.com.ar/ff7/data/battle/battle.lgp/oaaq.png","View Picture")</f>
        <v>View Picture</v>
      </c>
    </row>
    <row r="8189">
      <c r="A8189" s="55"/>
      <c r="B8189" s="119" t="s">
        <v>40425</v>
      </c>
      <c r="C8189" s="120" t="s">
        <v>3648</v>
      </c>
      <c r="D8189" s="33" t="s">
        <v>40420</v>
      </c>
      <c r="E8189" s="51" t="s">
        <v>1701</v>
      </c>
      <c r="F8189" s="121" t="s">
        <v>3009</v>
      </c>
      <c r="G8189" s="98" t="str">
        <f>HYPERLINK("http://mirror.ff7data.com.ar/ff7/data/battle/battle.lgp/oaat.png","View Picture")</f>
        <v>View Picture</v>
      </c>
    </row>
    <row r="8190">
      <c r="A8190" s="55"/>
      <c r="B8190" s="119" t="s">
        <v>40426</v>
      </c>
      <c r="C8190" s="120" t="s">
        <v>3648</v>
      </c>
      <c r="D8190" s="33" t="s">
        <v>40420</v>
      </c>
      <c r="E8190" s="51" t="s">
        <v>1701</v>
      </c>
      <c r="F8190" s="121" t="s">
        <v>3009</v>
      </c>
      <c r="G8190" s="98" t="str">
        <f>HYPERLINK("http://mirror.ff7data.com.ar/ff7/data/battle/battle.lgp/oaau.png","View Picture")</f>
        <v>View Picture</v>
      </c>
    </row>
    <row r="8191">
      <c r="A8191" s="55"/>
      <c r="B8191" s="119" t="s">
        <v>40427</v>
      </c>
      <c r="C8191" s="120" t="s">
        <v>3648</v>
      </c>
      <c r="D8191" s="33" t="s">
        <v>40420</v>
      </c>
      <c r="E8191" s="51" t="s">
        <v>1701</v>
      </c>
      <c r="F8191" s="121" t="s">
        <v>3009</v>
      </c>
      <c r="G8191" s="98" t="str">
        <f>HYPERLINK("http://mirror.ff7data.com.ar/ff7/data/battle/battle.lgp/oaaw.png","View Picture")</f>
        <v>View Picture</v>
      </c>
    </row>
    <row r="8192">
      <c r="A8192" s="55"/>
      <c r="B8192" s="119" t="s">
        <v>40428</v>
      </c>
      <c r="C8192" s="120" t="s">
        <v>3648</v>
      </c>
      <c r="D8192" s="33" t="s">
        <v>40420</v>
      </c>
      <c r="E8192" s="51" t="s">
        <v>1701</v>
      </c>
      <c r="F8192" s="121" t="s">
        <v>3009</v>
      </c>
      <c r="G8192" s="98" t="str">
        <f>HYPERLINK("http://mirror.ff7data.com.ar/ff7/data/battle/battle.lgp/oaax.png","View Picture")</f>
        <v>View Picture</v>
      </c>
    </row>
    <row r="8193">
      <c r="A8193" s="55"/>
      <c r="B8193" s="119" t="s">
        <v>40429</v>
      </c>
      <c r="C8193" s="120" t="s">
        <v>3648</v>
      </c>
      <c r="D8193" s="33" t="s">
        <v>40420</v>
      </c>
      <c r="E8193" s="51" t="s">
        <v>1701</v>
      </c>
      <c r="F8193" s="121" t="s">
        <v>3009</v>
      </c>
      <c r="G8193" s="98" t="str">
        <f>HYPERLINK("http://mirror.ff7data.com.ar/ff7/data/battle/battle.lgp/oaaz.png","View Picture")</f>
        <v>View Picture</v>
      </c>
    </row>
    <row r="8194">
      <c r="A8194" s="55"/>
      <c r="B8194" s="119" t="s">
        <v>40430</v>
      </c>
      <c r="C8194" s="120" t="s">
        <v>3648</v>
      </c>
      <c r="D8194" s="33" t="s">
        <v>40420</v>
      </c>
      <c r="E8194" s="51" t="s">
        <v>1701</v>
      </c>
      <c r="F8194" s="121" t="s">
        <v>3009</v>
      </c>
      <c r="G8194" s="98" t="str">
        <f>HYPERLINK("http://mirror.ff7data.com.ar/ff7/data/battle/battle.lgp/oaba.png","View Picture")</f>
        <v>View Picture</v>
      </c>
    </row>
    <row r="8195">
      <c r="A8195" s="55"/>
      <c r="B8195" s="119" t="s">
        <v>40431</v>
      </c>
      <c r="C8195" s="120" t="s">
        <v>4396</v>
      </c>
      <c r="D8195" s="33" t="s">
        <v>40420</v>
      </c>
      <c r="E8195" s="51" t="s">
        <v>1701</v>
      </c>
      <c r="F8195" s="121" t="s">
        <v>3025</v>
      </c>
      <c r="H8195" s="46" t="s">
        <v>3002</v>
      </c>
    </row>
    <row r="8196">
      <c r="A8196" s="55"/>
      <c r="B8196" s="119" t="s">
        <v>40432</v>
      </c>
      <c r="C8196" s="120" t="s">
        <v>4196</v>
      </c>
      <c r="D8196" s="33" t="s">
        <v>40433</v>
      </c>
      <c r="E8196" s="51" t="s">
        <v>1708</v>
      </c>
      <c r="F8196" s="121" t="s">
        <v>2971</v>
      </c>
      <c r="G8196" s="98" t="str">
        <f>HYPERLINK("http://mirror.ff7data.com.ar/ff7/data/battle/battle.lgp/obaa.png","View Picture")</f>
        <v>View Picture</v>
      </c>
      <c r="H8196" s="46" t="s">
        <v>40434</v>
      </c>
    </row>
    <row r="8197">
      <c r="A8197" s="55"/>
      <c r="B8197" s="119" t="s">
        <v>40435</v>
      </c>
      <c r="C8197" s="120" t="s">
        <v>40436</v>
      </c>
      <c r="D8197" s="33" t="s">
        <v>40437</v>
      </c>
      <c r="E8197" s="51" t="s">
        <v>1708</v>
      </c>
      <c r="F8197" s="121" t="s">
        <v>3025</v>
      </c>
      <c r="H8197" s="46" t="s">
        <v>3002</v>
      </c>
    </row>
    <row r="8198">
      <c r="A8198" s="55"/>
      <c r="B8198" s="119" t="s">
        <v>40438</v>
      </c>
      <c r="C8198" s="120" t="s">
        <v>4396</v>
      </c>
      <c r="D8198" s="33" t="s">
        <v>40437</v>
      </c>
      <c r="E8198" s="51" t="s">
        <v>1708</v>
      </c>
      <c r="F8198" s="121" t="s">
        <v>3009</v>
      </c>
      <c r="G8198" s="98" t="str">
        <f>HYPERLINK("http://mirror.ff7data.com.ar/ff7/data/battle/battle.lgp/obam.png","View Picture")</f>
        <v>View Picture</v>
      </c>
    </row>
    <row r="8199">
      <c r="A8199" s="55"/>
      <c r="B8199" s="119" t="s">
        <v>40439</v>
      </c>
      <c r="C8199" s="120" t="s">
        <v>4228</v>
      </c>
      <c r="D8199" s="33" t="s">
        <v>40437</v>
      </c>
      <c r="E8199" s="51" t="s">
        <v>1708</v>
      </c>
      <c r="F8199" s="121" t="s">
        <v>3009</v>
      </c>
      <c r="G8199" s="98" t="str">
        <f>HYPERLINK("http://mirror.ff7data.com.ar/ff7/data/battle/battle.lgp/oban.png","View Picture")</f>
        <v>View Picture</v>
      </c>
    </row>
    <row r="8200">
      <c r="A8200" s="55"/>
      <c r="B8200" s="119" t="s">
        <v>40440</v>
      </c>
      <c r="C8200" s="120" t="s">
        <v>7062</v>
      </c>
      <c r="D8200" s="33" t="s">
        <v>40437</v>
      </c>
      <c r="E8200" s="51" t="s">
        <v>1708</v>
      </c>
      <c r="F8200" s="121" t="s">
        <v>3009</v>
      </c>
      <c r="G8200" s="98" t="str">
        <f>HYPERLINK("http://mirror.ff7data.com.ar/ff7/data/battle/battle.lgp/obao.png","View Picture")</f>
        <v>View Picture</v>
      </c>
    </row>
    <row r="8201">
      <c r="A8201" s="55"/>
      <c r="B8201" s="119" t="s">
        <v>40441</v>
      </c>
      <c r="C8201" s="120" t="s">
        <v>10078</v>
      </c>
      <c r="D8201" s="33" t="s">
        <v>40437</v>
      </c>
      <c r="E8201" s="51" t="s">
        <v>1708</v>
      </c>
      <c r="F8201" s="121" t="s">
        <v>3009</v>
      </c>
      <c r="G8201" s="98" t="str">
        <f>HYPERLINK("http://mirror.ff7data.com.ar/ff7/data/battle/battle.lgp/obar.png","View Picture")</f>
        <v>View Picture</v>
      </c>
    </row>
    <row r="8202">
      <c r="A8202" s="55"/>
      <c r="B8202" s="119" t="s">
        <v>40442</v>
      </c>
      <c r="C8202" s="120" t="s">
        <v>4264</v>
      </c>
      <c r="D8202" s="33" t="s">
        <v>40437</v>
      </c>
      <c r="E8202" s="51" t="s">
        <v>1708</v>
      </c>
      <c r="F8202" s="121" t="s">
        <v>3009</v>
      </c>
      <c r="G8202" s="98" t="str">
        <f>HYPERLINK("http://mirror.ff7data.com.ar/ff7/data/battle/battle.lgp/obas.png","View Picture")</f>
        <v>View Picture</v>
      </c>
    </row>
    <row r="8203">
      <c r="A8203" s="55"/>
      <c r="B8203" s="119" t="s">
        <v>40443</v>
      </c>
      <c r="C8203" s="120" t="s">
        <v>4167</v>
      </c>
      <c r="D8203" s="33" t="s">
        <v>40437</v>
      </c>
      <c r="E8203" s="51" t="s">
        <v>1708</v>
      </c>
      <c r="F8203" s="121" t="s">
        <v>3009</v>
      </c>
      <c r="G8203" s="98" t="str">
        <f>HYPERLINK("http://mirror.ff7data.com.ar/ff7/data/battle/battle.lgp/obat.png","View Picture")</f>
        <v>View Picture</v>
      </c>
    </row>
    <row r="8204">
      <c r="A8204" s="55"/>
      <c r="B8204" s="119" t="s">
        <v>40444</v>
      </c>
      <c r="C8204" s="120" t="s">
        <v>4288</v>
      </c>
      <c r="D8204" s="33" t="s">
        <v>40437</v>
      </c>
      <c r="E8204" s="51" t="s">
        <v>1708</v>
      </c>
      <c r="F8204" s="121" t="s">
        <v>3009</v>
      </c>
      <c r="G8204" s="98" t="str">
        <f>HYPERLINK("http://mirror.ff7data.com.ar/ff7/data/battle/battle.lgp/obav.png","View Picture")</f>
        <v>View Picture</v>
      </c>
    </row>
    <row r="8205">
      <c r="A8205" s="55"/>
      <c r="B8205" s="119" t="s">
        <v>40445</v>
      </c>
      <c r="C8205" s="120" t="s">
        <v>4217</v>
      </c>
      <c r="D8205" s="33" t="s">
        <v>40437</v>
      </c>
      <c r="E8205" s="51" t="s">
        <v>1708</v>
      </c>
      <c r="F8205" s="121" t="s">
        <v>3009</v>
      </c>
      <c r="G8205" s="98" t="str">
        <f>HYPERLINK("http://mirror.ff7data.com.ar/ff7/data/battle/battle.lgp/obay.png","View Picture")</f>
        <v>View Picture</v>
      </c>
    </row>
    <row r="8206">
      <c r="A8206" s="55"/>
      <c r="B8206" s="119" t="s">
        <v>40446</v>
      </c>
      <c r="C8206" s="120" t="s">
        <v>4264</v>
      </c>
      <c r="D8206" s="33" t="s">
        <v>40437</v>
      </c>
      <c r="E8206" s="51" t="s">
        <v>1708</v>
      </c>
      <c r="F8206" s="121" t="s">
        <v>3009</v>
      </c>
      <c r="G8206" s="98" t="str">
        <f>HYPERLINK("http://mirror.ff7data.com.ar/ff7/data/battle/battle.lgp/obaz.png","View Picture")</f>
        <v>View Picture</v>
      </c>
    </row>
    <row r="8207">
      <c r="A8207" s="55"/>
      <c r="B8207" s="119" t="s">
        <v>40447</v>
      </c>
      <c r="C8207" s="120" t="s">
        <v>4217</v>
      </c>
      <c r="D8207" s="33" t="s">
        <v>40437</v>
      </c>
      <c r="E8207" s="51" t="s">
        <v>1708</v>
      </c>
      <c r="F8207" s="121" t="s">
        <v>3009</v>
      </c>
      <c r="G8207" s="98" t="str">
        <f>HYPERLINK("http://mirror.ff7data.com.ar/ff7/data/battle/battle.lgp/obba.png","View Picture")</f>
        <v>View Picture</v>
      </c>
    </row>
    <row r="8208">
      <c r="A8208" s="55"/>
      <c r="B8208" s="119" t="s">
        <v>40448</v>
      </c>
      <c r="C8208" s="120" t="s">
        <v>3749</v>
      </c>
      <c r="D8208" s="33" t="s">
        <v>40437</v>
      </c>
      <c r="E8208" s="51" t="s">
        <v>1708</v>
      </c>
      <c r="F8208" s="121" t="s">
        <v>3009</v>
      </c>
      <c r="G8208" s="98" t="str">
        <f>HYPERLINK("http://mirror.ff7data.com.ar/ff7/data/battle/battle.lgp/obbc.png","View Picture")</f>
        <v>View Picture</v>
      </c>
    </row>
    <row r="8209">
      <c r="A8209" s="55"/>
      <c r="B8209" s="119" t="s">
        <v>40449</v>
      </c>
      <c r="C8209" s="120" t="s">
        <v>4357</v>
      </c>
      <c r="D8209" s="33" t="s">
        <v>40437</v>
      </c>
      <c r="E8209" s="51" t="s">
        <v>1708</v>
      </c>
      <c r="F8209" s="121" t="s">
        <v>3009</v>
      </c>
      <c r="G8209" s="98" t="str">
        <f>HYPERLINK("http://mirror.ff7data.com.ar/ff7/data/battle/battle.lgp/obbd.png","View Picture")</f>
        <v>View Picture</v>
      </c>
    </row>
    <row r="8210">
      <c r="A8210" s="55"/>
      <c r="B8210" s="119" t="s">
        <v>40450</v>
      </c>
      <c r="C8210" s="120" t="s">
        <v>4372</v>
      </c>
      <c r="D8210" s="33" t="s">
        <v>40437</v>
      </c>
      <c r="E8210" s="51" t="s">
        <v>1708</v>
      </c>
      <c r="F8210" s="121" t="s">
        <v>3009</v>
      </c>
      <c r="G8210" s="98" t="str">
        <f>HYPERLINK("http://mirror.ff7data.com.ar/ff7/data/battle/battle.lgp/obbe.png","View Picture")</f>
        <v>View Picture</v>
      </c>
    </row>
    <row r="8211">
      <c r="A8211" s="55"/>
      <c r="B8211" s="119" t="s">
        <v>40451</v>
      </c>
      <c r="C8211" s="120" t="s">
        <v>4372</v>
      </c>
      <c r="D8211" s="33" t="s">
        <v>40437</v>
      </c>
      <c r="E8211" s="51" t="s">
        <v>1708</v>
      </c>
      <c r="F8211" s="121" t="s">
        <v>3009</v>
      </c>
      <c r="G8211" s="98" t="str">
        <f>HYPERLINK("http://mirror.ff7data.com.ar/ff7/data/battle/battle.lgp/obbf.png","View Picture")</f>
        <v>View Picture</v>
      </c>
    </row>
    <row r="8212">
      <c r="A8212" s="55"/>
      <c r="B8212" s="119" t="s">
        <v>40452</v>
      </c>
      <c r="C8212" s="120" t="s">
        <v>3648</v>
      </c>
      <c r="D8212" s="33" t="s">
        <v>40437</v>
      </c>
      <c r="E8212" s="51" t="s">
        <v>1708</v>
      </c>
      <c r="F8212" s="121" t="s">
        <v>3009</v>
      </c>
      <c r="G8212" s="98" t="str">
        <f>HYPERLINK("http://mirror.ff7data.com.ar/ff7/data/battle/battle.lgp/obbh.png","View Picture")</f>
        <v>View Picture</v>
      </c>
    </row>
    <row r="8213">
      <c r="A8213" s="55"/>
      <c r="B8213" s="119" t="s">
        <v>40453</v>
      </c>
      <c r="C8213" s="120" t="s">
        <v>7165</v>
      </c>
      <c r="D8213" s="33" t="s">
        <v>40437</v>
      </c>
      <c r="E8213" s="51" t="s">
        <v>1708</v>
      </c>
      <c r="F8213" s="121" t="s">
        <v>3009</v>
      </c>
      <c r="G8213" s="98" t="str">
        <f>HYPERLINK("http://mirror.ff7data.com.ar/ff7/data/battle/battle.lgp/obbi.png","View Picture")</f>
        <v>View Picture</v>
      </c>
    </row>
    <row r="8214">
      <c r="A8214" s="55"/>
      <c r="B8214" s="119" t="s">
        <v>40454</v>
      </c>
      <c r="C8214" s="120" t="s">
        <v>4372</v>
      </c>
      <c r="D8214" s="33" t="s">
        <v>40437</v>
      </c>
      <c r="E8214" s="51" t="s">
        <v>1708</v>
      </c>
      <c r="F8214" s="121" t="s">
        <v>3009</v>
      </c>
      <c r="G8214" s="98" t="str">
        <f>HYPERLINK("http://mirror.ff7data.com.ar/ff7/data/battle/battle.lgp/obbj.png","View Picture")</f>
        <v>View Picture</v>
      </c>
    </row>
    <row r="8215">
      <c r="A8215" s="55"/>
      <c r="B8215" s="119" t="s">
        <v>40455</v>
      </c>
      <c r="C8215" s="120" t="s">
        <v>4372</v>
      </c>
      <c r="D8215" s="33" t="s">
        <v>40437</v>
      </c>
      <c r="E8215" s="51" t="s">
        <v>1708</v>
      </c>
      <c r="F8215" s="121" t="s">
        <v>3009</v>
      </c>
      <c r="G8215" s="98" t="str">
        <f>HYPERLINK("http://mirror.ff7data.com.ar/ff7/data/battle/battle.lgp/obbk.png","View Picture")</f>
        <v>View Picture</v>
      </c>
    </row>
    <row r="8216">
      <c r="A8216" s="55"/>
      <c r="B8216" s="119" t="s">
        <v>40456</v>
      </c>
      <c r="C8216" s="120" t="s">
        <v>4439</v>
      </c>
      <c r="D8216" s="33" t="s">
        <v>40437</v>
      </c>
      <c r="E8216" s="51" t="s">
        <v>1708</v>
      </c>
      <c r="F8216" s="121" t="s">
        <v>3009</v>
      </c>
      <c r="G8216" s="98" t="str">
        <f>HYPERLINK("http://mirror.ff7data.com.ar/ff7/data/battle/battle.lgp/obbm.png","View Picture")</f>
        <v>View Picture</v>
      </c>
    </row>
    <row r="8217">
      <c r="A8217" s="55"/>
      <c r="B8217" s="119" t="s">
        <v>40457</v>
      </c>
      <c r="C8217" s="120" t="s">
        <v>4288</v>
      </c>
      <c r="D8217" s="33" t="s">
        <v>40437</v>
      </c>
      <c r="E8217" s="51" t="s">
        <v>1708</v>
      </c>
      <c r="F8217" s="121" t="s">
        <v>3009</v>
      </c>
      <c r="G8217" s="98" t="str">
        <f>HYPERLINK("http://mirror.ff7data.com.ar/ff7/data/battle/battle.lgp/obck.png","View Picture")</f>
        <v>View Picture</v>
      </c>
    </row>
    <row r="8218">
      <c r="A8218" s="55"/>
      <c r="B8218" s="119" t="s">
        <v>40458</v>
      </c>
      <c r="C8218" s="120" t="s">
        <v>5925</v>
      </c>
      <c r="D8218" s="33" t="s">
        <v>40437</v>
      </c>
      <c r="E8218" s="51" t="s">
        <v>1708</v>
      </c>
      <c r="F8218" s="121" t="s">
        <v>3025</v>
      </c>
      <c r="H8218" s="46" t="s">
        <v>3002</v>
      </c>
    </row>
    <row r="8219">
      <c r="A8219" s="55"/>
      <c r="B8219" s="119" t="s">
        <v>40459</v>
      </c>
      <c r="C8219" s="120" t="s">
        <v>4196</v>
      </c>
      <c r="D8219" s="33" t="s">
        <v>40433</v>
      </c>
      <c r="E8219" s="51" t="s">
        <v>1716</v>
      </c>
      <c r="F8219" s="121" t="s">
        <v>2971</v>
      </c>
      <c r="G8219" s="98" t="str">
        <f>HYPERLINK("http://mirror.ff7data.com.ar/ff7/data/battle/battle.lgp/ocaa.png","View Picture")</f>
        <v>View Picture</v>
      </c>
      <c r="H8219" s="46" t="s">
        <v>40460</v>
      </c>
    </row>
    <row r="8220">
      <c r="A8220" s="55"/>
      <c r="B8220" s="119" t="s">
        <v>40461</v>
      </c>
      <c r="C8220" s="120" t="s">
        <v>40436</v>
      </c>
      <c r="D8220" s="33" t="s">
        <v>40437</v>
      </c>
      <c r="E8220" s="51" t="s">
        <v>1716</v>
      </c>
      <c r="F8220" s="121" t="s">
        <v>2993</v>
      </c>
      <c r="H8220" s="46" t="s">
        <v>3002</v>
      </c>
    </row>
    <row r="8221">
      <c r="A8221" s="55"/>
      <c r="B8221" s="119" t="s">
        <v>40462</v>
      </c>
      <c r="C8221" s="120" t="s">
        <v>4396</v>
      </c>
      <c r="D8221" s="33" t="s">
        <v>40437</v>
      </c>
      <c r="E8221" s="51" t="s">
        <v>1716</v>
      </c>
      <c r="F8221" s="121" t="s">
        <v>3009</v>
      </c>
      <c r="G8221" s="98" t="str">
        <f>HYPERLINK("http://mirror.ff7data.com.ar/ff7/data/battle/battle.lgp/ocam.png","View Picture")</f>
        <v>View Picture</v>
      </c>
    </row>
    <row r="8222">
      <c r="A8222" s="55"/>
      <c r="B8222" s="119" t="s">
        <v>40463</v>
      </c>
      <c r="C8222" s="120" t="s">
        <v>4228</v>
      </c>
      <c r="D8222" s="33" t="s">
        <v>40437</v>
      </c>
      <c r="E8222" s="51" t="s">
        <v>1716</v>
      </c>
      <c r="F8222" s="121" t="s">
        <v>3009</v>
      </c>
      <c r="G8222" s="98" t="str">
        <f>HYPERLINK("http://mirror.ff7data.com.ar/ff7/data/battle/battle.lgp/ocan.png","View Picture")</f>
        <v>View Picture</v>
      </c>
    </row>
    <row r="8223">
      <c r="A8223" s="55"/>
      <c r="B8223" s="119" t="s">
        <v>40464</v>
      </c>
      <c r="C8223" s="120" t="s">
        <v>7062</v>
      </c>
      <c r="D8223" s="33" t="s">
        <v>40437</v>
      </c>
      <c r="E8223" s="51" t="s">
        <v>1716</v>
      </c>
      <c r="F8223" s="121" t="s">
        <v>3009</v>
      </c>
      <c r="G8223" s="98" t="str">
        <f>HYPERLINK("http://mirror.ff7data.com.ar/ff7/data/battle/battle.lgp/ocao.png","View Picture")</f>
        <v>View Picture</v>
      </c>
    </row>
    <row r="8224">
      <c r="A8224" s="55"/>
      <c r="B8224" s="119" t="s">
        <v>40465</v>
      </c>
      <c r="C8224" s="120" t="s">
        <v>10078</v>
      </c>
      <c r="D8224" s="33" t="s">
        <v>40437</v>
      </c>
      <c r="E8224" s="51" t="s">
        <v>1716</v>
      </c>
      <c r="F8224" s="121" t="s">
        <v>3009</v>
      </c>
      <c r="G8224" s="98" t="str">
        <f>HYPERLINK("http://mirror.ff7data.com.ar/ff7/data/battle/battle.lgp/ocar.png","View Picture")</f>
        <v>View Picture</v>
      </c>
    </row>
    <row r="8225">
      <c r="A8225" s="55"/>
      <c r="B8225" s="119" t="s">
        <v>40466</v>
      </c>
      <c r="C8225" s="120" t="s">
        <v>4264</v>
      </c>
      <c r="D8225" s="33" t="s">
        <v>40437</v>
      </c>
      <c r="E8225" s="51" t="s">
        <v>1716</v>
      </c>
      <c r="F8225" s="121" t="s">
        <v>3009</v>
      </c>
      <c r="G8225" s="98" t="str">
        <f>HYPERLINK("http://mirror.ff7data.com.ar/ff7/data/battle/battle.lgp/ocas.png","View Picture")</f>
        <v>View Picture</v>
      </c>
    </row>
    <row r="8226">
      <c r="A8226" s="55"/>
      <c r="B8226" s="119" t="s">
        <v>40467</v>
      </c>
      <c r="C8226" s="120" t="s">
        <v>4167</v>
      </c>
      <c r="D8226" s="33" t="s">
        <v>40437</v>
      </c>
      <c r="E8226" s="51" t="s">
        <v>1716</v>
      </c>
      <c r="F8226" s="121" t="s">
        <v>3009</v>
      </c>
      <c r="G8226" s="98" t="str">
        <f>HYPERLINK("http://mirror.ff7data.com.ar/ff7/data/battle/battle.lgp/ocat.png","View Picture")</f>
        <v>View Picture</v>
      </c>
    </row>
    <row r="8227">
      <c r="A8227" s="55"/>
      <c r="B8227" s="119" t="s">
        <v>40468</v>
      </c>
      <c r="C8227" s="120" t="s">
        <v>4288</v>
      </c>
      <c r="D8227" s="33" t="s">
        <v>40437</v>
      </c>
      <c r="E8227" s="51" t="s">
        <v>1716</v>
      </c>
      <c r="F8227" s="121" t="s">
        <v>3009</v>
      </c>
      <c r="G8227" s="98" t="str">
        <f>HYPERLINK("http://mirror.ff7data.com.ar/ff7/data/battle/battle.lgp/ocav.png","View Picture")</f>
        <v>View Picture</v>
      </c>
    </row>
    <row r="8228">
      <c r="A8228" s="55"/>
      <c r="B8228" s="119" t="s">
        <v>40469</v>
      </c>
      <c r="C8228" s="120" t="s">
        <v>4217</v>
      </c>
      <c r="D8228" s="33" t="s">
        <v>40437</v>
      </c>
      <c r="E8228" s="51" t="s">
        <v>1716</v>
      </c>
      <c r="F8228" s="121" t="s">
        <v>3009</v>
      </c>
      <c r="G8228" s="98" t="str">
        <f>HYPERLINK("http://mirror.ff7data.com.ar/ff7/data/battle/battle.lgp/ocay.png","View Picture")</f>
        <v>View Picture</v>
      </c>
    </row>
    <row r="8229">
      <c r="A8229" s="55"/>
      <c r="B8229" s="119" t="s">
        <v>40470</v>
      </c>
      <c r="C8229" s="120" t="s">
        <v>4264</v>
      </c>
      <c r="D8229" s="33" t="s">
        <v>40437</v>
      </c>
      <c r="E8229" s="51" t="s">
        <v>1716</v>
      </c>
      <c r="F8229" s="121" t="s">
        <v>3009</v>
      </c>
      <c r="G8229" s="98" t="str">
        <f>HYPERLINK("http://mirror.ff7data.com.ar/ff7/data/battle/battle.lgp/ocaz.png","View Picture")</f>
        <v>View Picture</v>
      </c>
    </row>
    <row r="8230">
      <c r="A8230" s="55"/>
      <c r="B8230" s="119" t="s">
        <v>40471</v>
      </c>
      <c r="C8230" s="120" t="s">
        <v>4217</v>
      </c>
      <c r="D8230" s="33" t="s">
        <v>40437</v>
      </c>
      <c r="E8230" s="51" t="s">
        <v>1716</v>
      </c>
      <c r="F8230" s="121" t="s">
        <v>3009</v>
      </c>
      <c r="G8230" s="98" t="str">
        <f>HYPERLINK("http://mirror.ff7data.com.ar/ff7/data/battle/battle.lgp/ocba.png","View Picture")</f>
        <v>View Picture</v>
      </c>
    </row>
    <row r="8231">
      <c r="A8231" s="55"/>
      <c r="B8231" s="119" t="s">
        <v>40472</v>
      </c>
      <c r="C8231" s="120" t="s">
        <v>3749</v>
      </c>
      <c r="D8231" s="33" t="s">
        <v>40437</v>
      </c>
      <c r="E8231" s="51" t="s">
        <v>1716</v>
      </c>
      <c r="F8231" s="121" t="s">
        <v>3009</v>
      </c>
      <c r="G8231" s="98" t="str">
        <f>HYPERLINK("http://mirror.ff7data.com.ar/ff7/data/battle/battle.lgp/ocbc.png","View Picture")</f>
        <v>View Picture</v>
      </c>
    </row>
    <row r="8232">
      <c r="A8232" s="55"/>
      <c r="B8232" s="119" t="s">
        <v>40473</v>
      </c>
      <c r="C8232" s="120" t="s">
        <v>4357</v>
      </c>
      <c r="D8232" s="33" t="s">
        <v>40437</v>
      </c>
      <c r="E8232" s="51" t="s">
        <v>1716</v>
      </c>
      <c r="F8232" s="121" t="s">
        <v>3009</v>
      </c>
      <c r="G8232" s="98" t="str">
        <f>HYPERLINK("http://mirror.ff7data.com.ar/ff7/data/battle/battle.lgp/ocbd.png","View Picture")</f>
        <v>View Picture</v>
      </c>
    </row>
    <row r="8233">
      <c r="A8233" s="55"/>
      <c r="B8233" s="119" t="s">
        <v>40474</v>
      </c>
      <c r="C8233" s="120" t="s">
        <v>4372</v>
      </c>
      <c r="D8233" s="33" t="s">
        <v>40437</v>
      </c>
      <c r="E8233" s="51" t="s">
        <v>1716</v>
      </c>
      <c r="F8233" s="121" t="s">
        <v>3009</v>
      </c>
      <c r="G8233" s="98" t="str">
        <f>HYPERLINK("http://mirror.ff7data.com.ar/ff7/data/battle/battle.lgp/ocbe.png","View Picture")</f>
        <v>View Picture</v>
      </c>
    </row>
    <row r="8234">
      <c r="A8234" s="55"/>
      <c r="B8234" s="119" t="s">
        <v>40475</v>
      </c>
      <c r="C8234" s="120" t="s">
        <v>4372</v>
      </c>
      <c r="D8234" s="33" t="s">
        <v>40437</v>
      </c>
      <c r="E8234" s="51" t="s">
        <v>1716</v>
      </c>
      <c r="F8234" s="121" t="s">
        <v>3009</v>
      </c>
      <c r="G8234" s="98" t="str">
        <f>HYPERLINK("http://mirror.ff7data.com.ar/ff7/data/battle/battle.lgp/ocbf.png","View Picture")</f>
        <v>View Picture</v>
      </c>
    </row>
    <row r="8235">
      <c r="A8235" s="55"/>
      <c r="B8235" s="119" t="s">
        <v>40476</v>
      </c>
      <c r="C8235" s="120" t="s">
        <v>3648</v>
      </c>
      <c r="D8235" s="33" t="s">
        <v>40437</v>
      </c>
      <c r="E8235" s="51" t="s">
        <v>1716</v>
      </c>
      <c r="F8235" s="121" t="s">
        <v>3009</v>
      </c>
      <c r="G8235" s="98" t="str">
        <f>HYPERLINK("http://mirror.ff7data.com.ar/ff7/data/battle/battle.lgp/ocbh.png","View Picture")</f>
        <v>View Picture</v>
      </c>
    </row>
    <row r="8236">
      <c r="A8236" s="55"/>
      <c r="B8236" s="119" t="s">
        <v>40477</v>
      </c>
      <c r="C8236" s="120" t="s">
        <v>7165</v>
      </c>
      <c r="D8236" s="33" t="s">
        <v>40437</v>
      </c>
      <c r="E8236" s="51" t="s">
        <v>1716</v>
      </c>
      <c r="F8236" s="121" t="s">
        <v>3009</v>
      </c>
      <c r="G8236" s="98" t="str">
        <f>HYPERLINK("http://mirror.ff7data.com.ar/ff7/data/battle/battle.lgp/ocbi.png","View Picture")</f>
        <v>View Picture</v>
      </c>
    </row>
    <row r="8237">
      <c r="A8237" s="55"/>
      <c r="B8237" s="119" t="s">
        <v>40478</v>
      </c>
      <c r="C8237" s="120" t="s">
        <v>4372</v>
      </c>
      <c r="D8237" s="33" t="s">
        <v>40437</v>
      </c>
      <c r="E8237" s="51" t="s">
        <v>1716</v>
      </c>
      <c r="F8237" s="121" t="s">
        <v>3009</v>
      </c>
      <c r="G8237" s="98" t="str">
        <f>HYPERLINK("http://mirror.ff7data.com.ar/ff7/data/battle/battle.lgp/ocbj.png","View Picture")</f>
        <v>View Picture</v>
      </c>
    </row>
    <row r="8238">
      <c r="A8238" s="55"/>
      <c r="B8238" s="119" t="s">
        <v>40479</v>
      </c>
      <c r="C8238" s="120" t="s">
        <v>4372</v>
      </c>
      <c r="D8238" s="33" t="s">
        <v>40437</v>
      </c>
      <c r="E8238" s="51" t="s">
        <v>1716</v>
      </c>
      <c r="F8238" s="121" t="s">
        <v>3009</v>
      </c>
      <c r="G8238" s="98" t="str">
        <f>HYPERLINK("http://mirror.ff7data.com.ar/ff7/data/battle/battle.lgp/ocbk.png","View Picture")</f>
        <v>View Picture</v>
      </c>
    </row>
    <row r="8239">
      <c r="A8239" s="55"/>
      <c r="B8239" s="119" t="s">
        <v>40480</v>
      </c>
      <c r="C8239" s="120" t="s">
        <v>4439</v>
      </c>
      <c r="D8239" s="33" t="s">
        <v>40437</v>
      </c>
      <c r="E8239" s="51" t="s">
        <v>1716</v>
      </c>
      <c r="F8239" s="121" t="s">
        <v>3009</v>
      </c>
      <c r="G8239" s="98" t="str">
        <f>HYPERLINK("http://mirror.ff7data.com.ar/ff7/data/battle/battle.lgp/ocbm.png","View Picture")</f>
        <v>View Picture</v>
      </c>
    </row>
    <row r="8240">
      <c r="A8240" s="55"/>
      <c r="B8240" s="119" t="s">
        <v>40481</v>
      </c>
      <c r="C8240" s="120" t="s">
        <v>4288</v>
      </c>
      <c r="D8240" s="33" t="s">
        <v>40437</v>
      </c>
      <c r="E8240" s="51" t="s">
        <v>1716</v>
      </c>
      <c r="F8240" s="121" t="s">
        <v>3009</v>
      </c>
      <c r="G8240" s="98" t="str">
        <f>HYPERLINK("http://mirror.ff7data.com.ar/ff7/data/battle/battle.lgp/occk.png","View Picture")</f>
        <v>View Picture</v>
      </c>
    </row>
    <row r="8241">
      <c r="A8241" s="55"/>
      <c r="B8241" s="119" t="s">
        <v>40482</v>
      </c>
      <c r="C8241" s="120" t="s">
        <v>5925</v>
      </c>
      <c r="D8241" s="33" t="s">
        <v>40437</v>
      </c>
      <c r="E8241" s="51" t="s">
        <v>1716</v>
      </c>
      <c r="F8241" s="121" t="s">
        <v>3025</v>
      </c>
      <c r="H8241" s="46" t="s">
        <v>3002</v>
      </c>
    </row>
    <row r="8242">
      <c r="A8242" s="55"/>
      <c r="B8242" s="119" t="s">
        <v>40483</v>
      </c>
      <c r="C8242" s="120" t="s">
        <v>4196</v>
      </c>
      <c r="D8242" s="33" t="s">
        <v>40433</v>
      </c>
      <c r="E8242" s="51" t="s">
        <v>1720</v>
      </c>
      <c r="F8242" s="121" t="s">
        <v>2971</v>
      </c>
      <c r="G8242" s="98" t="str">
        <f>HYPERLINK("http://mirror.ff7data.com.ar/ff7/data/battle/battle.lgp/odaa.png","View Picture")</f>
        <v>View Picture</v>
      </c>
      <c r="H8242" s="46" t="s">
        <v>40460</v>
      </c>
    </row>
    <row r="8243">
      <c r="A8243" s="55"/>
      <c r="B8243" s="119" t="s">
        <v>40484</v>
      </c>
      <c r="C8243" s="120" t="s">
        <v>40436</v>
      </c>
      <c r="D8243" s="33" t="s">
        <v>40437</v>
      </c>
      <c r="E8243" s="51" t="s">
        <v>1720</v>
      </c>
      <c r="F8243" s="121" t="s">
        <v>2993</v>
      </c>
      <c r="H8243" s="46" t="s">
        <v>3002</v>
      </c>
    </row>
    <row r="8244">
      <c r="A8244" s="55"/>
      <c r="B8244" s="119" t="s">
        <v>40485</v>
      </c>
      <c r="C8244" s="120" t="s">
        <v>4396</v>
      </c>
      <c r="D8244" s="33" t="s">
        <v>40437</v>
      </c>
      <c r="E8244" s="51" t="s">
        <v>1720</v>
      </c>
      <c r="F8244" s="121" t="s">
        <v>3009</v>
      </c>
      <c r="G8244" s="98" t="str">
        <f>HYPERLINK("http://mirror.ff7data.com.ar/ff7/data/battle/battle.lgp/odam.png","View Picture")</f>
        <v>View Picture</v>
      </c>
    </row>
    <row r="8245">
      <c r="A8245" s="55"/>
      <c r="B8245" s="119" t="s">
        <v>40486</v>
      </c>
      <c r="C8245" s="120" t="s">
        <v>4228</v>
      </c>
      <c r="D8245" s="33" t="s">
        <v>40437</v>
      </c>
      <c r="E8245" s="51" t="s">
        <v>1720</v>
      </c>
      <c r="F8245" s="121" t="s">
        <v>3009</v>
      </c>
      <c r="G8245" s="98" t="str">
        <f>HYPERLINK("http://mirror.ff7data.com.ar/ff7/data/battle/battle.lgp/odan.png","View Picture")</f>
        <v>View Picture</v>
      </c>
    </row>
    <row r="8246">
      <c r="A8246" s="55"/>
      <c r="B8246" s="119" t="s">
        <v>40487</v>
      </c>
      <c r="C8246" s="120" t="s">
        <v>7062</v>
      </c>
      <c r="D8246" s="33" t="s">
        <v>40437</v>
      </c>
      <c r="E8246" s="51" t="s">
        <v>1720</v>
      </c>
      <c r="F8246" s="121" t="s">
        <v>3009</v>
      </c>
      <c r="G8246" s="98" t="str">
        <f>HYPERLINK("http://mirror.ff7data.com.ar/ff7/data/battle/battle.lgp/odao.png","View Picture")</f>
        <v>View Picture</v>
      </c>
    </row>
    <row r="8247">
      <c r="A8247" s="55"/>
      <c r="B8247" s="119" t="s">
        <v>40488</v>
      </c>
      <c r="C8247" s="120" t="s">
        <v>10078</v>
      </c>
      <c r="D8247" s="33" t="s">
        <v>40437</v>
      </c>
      <c r="E8247" s="51" t="s">
        <v>1720</v>
      </c>
      <c r="F8247" s="121" t="s">
        <v>3009</v>
      </c>
      <c r="G8247" s="98" t="str">
        <f>HYPERLINK("http://mirror.ff7data.com.ar/ff7/data/battle/battle.lgp/odar.png","View Picture")</f>
        <v>View Picture</v>
      </c>
    </row>
    <row r="8248">
      <c r="A8248" s="55"/>
      <c r="B8248" s="119" t="s">
        <v>40489</v>
      </c>
      <c r="C8248" s="120" t="s">
        <v>4264</v>
      </c>
      <c r="D8248" s="33" t="s">
        <v>40437</v>
      </c>
      <c r="E8248" s="51" t="s">
        <v>1720</v>
      </c>
      <c r="F8248" s="121" t="s">
        <v>3009</v>
      </c>
      <c r="G8248" s="98" t="str">
        <f>HYPERLINK("http://mirror.ff7data.com.ar/ff7/data/battle/battle.lgp/odas.png","View Picture")</f>
        <v>View Picture</v>
      </c>
    </row>
    <row r="8249">
      <c r="A8249" s="55"/>
      <c r="B8249" s="119" t="s">
        <v>40490</v>
      </c>
      <c r="C8249" s="120" t="s">
        <v>4167</v>
      </c>
      <c r="D8249" s="33" t="s">
        <v>40437</v>
      </c>
      <c r="E8249" s="51" t="s">
        <v>1720</v>
      </c>
      <c r="F8249" s="121" t="s">
        <v>3009</v>
      </c>
      <c r="G8249" s="98" t="str">
        <f>HYPERLINK("http://mirror.ff7data.com.ar/ff7/data/battle/battle.lgp/odat.png","View Picture")</f>
        <v>View Picture</v>
      </c>
    </row>
    <row r="8250">
      <c r="A8250" s="55"/>
      <c r="B8250" s="119" t="s">
        <v>40491</v>
      </c>
      <c r="C8250" s="120" t="s">
        <v>4288</v>
      </c>
      <c r="D8250" s="33" t="s">
        <v>40437</v>
      </c>
      <c r="E8250" s="51" t="s">
        <v>1720</v>
      </c>
      <c r="F8250" s="121" t="s">
        <v>3009</v>
      </c>
      <c r="G8250" s="98" t="str">
        <f>HYPERLINK("http://mirror.ff7data.com.ar/ff7/data/battle/battle.lgp/odav.png","View Picture")</f>
        <v>View Picture</v>
      </c>
    </row>
    <row r="8251">
      <c r="A8251" s="55"/>
      <c r="B8251" s="119" t="s">
        <v>40492</v>
      </c>
      <c r="C8251" s="120" t="s">
        <v>4217</v>
      </c>
      <c r="D8251" s="33" t="s">
        <v>40437</v>
      </c>
      <c r="E8251" s="51" t="s">
        <v>1720</v>
      </c>
      <c r="F8251" s="121" t="s">
        <v>3009</v>
      </c>
      <c r="G8251" s="98" t="str">
        <f>HYPERLINK("http://mirror.ff7data.com.ar/ff7/data/battle/battle.lgp/oday.png","View Picture")</f>
        <v>View Picture</v>
      </c>
    </row>
    <row r="8252">
      <c r="A8252" s="55"/>
      <c r="B8252" s="119" t="s">
        <v>40493</v>
      </c>
      <c r="C8252" s="120" t="s">
        <v>4264</v>
      </c>
      <c r="D8252" s="33" t="s">
        <v>40437</v>
      </c>
      <c r="E8252" s="51" t="s">
        <v>1720</v>
      </c>
      <c r="F8252" s="121" t="s">
        <v>3009</v>
      </c>
      <c r="G8252" s="98" t="str">
        <f>HYPERLINK("http://mirror.ff7data.com.ar/ff7/data/battle/battle.lgp/odaz.png","View Picture")</f>
        <v>View Picture</v>
      </c>
    </row>
    <row r="8253">
      <c r="A8253" s="55"/>
      <c r="B8253" s="119" t="s">
        <v>40494</v>
      </c>
      <c r="C8253" s="120" t="s">
        <v>4217</v>
      </c>
      <c r="D8253" s="33" t="s">
        <v>40437</v>
      </c>
      <c r="E8253" s="51" t="s">
        <v>1720</v>
      </c>
      <c r="F8253" s="121" t="s">
        <v>3009</v>
      </c>
      <c r="G8253" s="98" t="str">
        <f>HYPERLINK("http://mirror.ff7data.com.ar/ff7/data/battle/battle.lgp/odba.png","View Picture")</f>
        <v>View Picture</v>
      </c>
    </row>
    <row r="8254">
      <c r="A8254" s="55"/>
      <c r="B8254" s="119" t="s">
        <v>40495</v>
      </c>
      <c r="C8254" s="120" t="s">
        <v>3749</v>
      </c>
      <c r="D8254" s="33" t="s">
        <v>40437</v>
      </c>
      <c r="E8254" s="51" t="s">
        <v>1720</v>
      </c>
      <c r="F8254" s="121" t="s">
        <v>3009</v>
      </c>
      <c r="G8254" s="98" t="str">
        <f>HYPERLINK("http://mirror.ff7data.com.ar/ff7/data/battle/battle.lgp/odbc.png","View Picture")</f>
        <v>View Picture</v>
      </c>
    </row>
    <row r="8255">
      <c r="A8255" s="55"/>
      <c r="B8255" s="119" t="s">
        <v>40496</v>
      </c>
      <c r="C8255" s="120" t="s">
        <v>4357</v>
      </c>
      <c r="D8255" s="33" t="s">
        <v>40437</v>
      </c>
      <c r="E8255" s="51" t="s">
        <v>1720</v>
      </c>
      <c r="F8255" s="121" t="s">
        <v>3009</v>
      </c>
      <c r="G8255" s="98" t="str">
        <f>HYPERLINK("http://mirror.ff7data.com.ar/ff7/data/battle/battle.lgp/odbd.png","View Picture")</f>
        <v>View Picture</v>
      </c>
    </row>
    <row r="8256">
      <c r="A8256" s="55"/>
      <c r="B8256" s="119" t="s">
        <v>40497</v>
      </c>
      <c r="C8256" s="120" t="s">
        <v>4372</v>
      </c>
      <c r="D8256" s="33" t="s">
        <v>40437</v>
      </c>
      <c r="E8256" s="51" t="s">
        <v>1720</v>
      </c>
      <c r="F8256" s="121" t="s">
        <v>3009</v>
      </c>
      <c r="G8256" s="98" t="str">
        <f>HYPERLINK("http://mirror.ff7data.com.ar/ff7/data/battle/battle.lgp/odbe.png","View Picture")</f>
        <v>View Picture</v>
      </c>
    </row>
    <row r="8257">
      <c r="A8257" s="55"/>
      <c r="B8257" s="119" t="s">
        <v>40498</v>
      </c>
      <c r="C8257" s="120" t="s">
        <v>4372</v>
      </c>
      <c r="D8257" s="33" t="s">
        <v>40437</v>
      </c>
      <c r="E8257" s="51" t="s">
        <v>1720</v>
      </c>
      <c r="F8257" s="121" t="s">
        <v>3009</v>
      </c>
      <c r="G8257" s="98" t="str">
        <f>HYPERLINK("http://mirror.ff7data.com.ar/ff7/data/battle/battle.lgp/odbf.png","View Picture")</f>
        <v>View Picture</v>
      </c>
    </row>
    <row r="8258">
      <c r="A8258" s="55"/>
      <c r="B8258" s="119" t="s">
        <v>40499</v>
      </c>
      <c r="C8258" s="120" t="s">
        <v>3648</v>
      </c>
      <c r="D8258" s="33" t="s">
        <v>40437</v>
      </c>
      <c r="E8258" s="51" t="s">
        <v>1720</v>
      </c>
      <c r="F8258" s="121" t="s">
        <v>3009</v>
      </c>
      <c r="G8258" s="98" t="str">
        <f>HYPERLINK("http://mirror.ff7data.com.ar/ff7/data/battle/battle.lgp/odbh.png","View Picture")</f>
        <v>View Picture</v>
      </c>
    </row>
    <row r="8259">
      <c r="A8259" s="55"/>
      <c r="B8259" s="119" t="s">
        <v>40500</v>
      </c>
      <c r="C8259" s="120" t="s">
        <v>7165</v>
      </c>
      <c r="D8259" s="33" t="s">
        <v>40437</v>
      </c>
      <c r="E8259" s="51" t="s">
        <v>1720</v>
      </c>
      <c r="F8259" s="121" t="s">
        <v>3009</v>
      </c>
      <c r="G8259" s="98" t="str">
        <f>HYPERLINK("http://mirror.ff7data.com.ar/ff7/data/battle/battle.lgp/odbi.png","View Picture")</f>
        <v>View Picture</v>
      </c>
    </row>
    <row r="8260">
      <c r="A8260" s="55"/>
      <c r="B8260" s="119" t="s">
        <v>40501</v>
      </c>
      <c r="C8260" s="120" t="s">
        <v>4372</v>
      </c>
      <c r="D8260" s="33" t="s">
        <v>40437</v>
      </c>
      <c r="E8260" s="51" t="s">
        <v>1720</v>
      </c>
      <c r="F8260" s="121" t="s">
        <v>3009</v>
      </c>
      <c r="G8260" s="98" t="str">
        <f>HYPERLINK("http://mirror.ff7data.com.ar/ff7/data/battle/battle.lgp/odbj.png","View Picture")</f>
        <v>View Picture</v>
      </c>
    </row>
    <row r="8261">
      <c r="A8261" s="55"/>
      <c r="B8261" s="119" t="s">
        <v>40502</v>
      </c>
      <c r="C8261" s="120" t="s">
        <v>4372</v>
      </c>
      <c r="D8261" s="33" t="s">
        <v>40437</v>
      </c>
      <c r="E8261" s="51" t="s">
        <v>1720</v>
      </c>
      <c r="F8261" s="121" t="s">
        <v>3009</v>
      </c>
      <c r="G8261" s="98" t="str">
        <f>HYPERLINK("http://mirror.ff7data.com.ar/ff7/data/battle/battle.lgp/odbk.png","View Picture")</f>
        <v>View Picture</v>
      </c>
    </row>
    <row r="8262">
      <c r="A8262" s="55"/>
      <c r="B8262" s="119" t="s">
        <v>40503</v>
      </c>
      <c r="C8262" s="120" t="s">
        <v>4439</v>
      </c>
      <c r="D8262" s="33" t="s">
        <v>40437</v>
      </c>
      <c r="E8262" s="51" t="s">
        <v>1720</v>
      </c>
      <c r="F8262" s="121" t="s">
        <v>3009</v>
      </c>
      <c r="G8262" s="98" t="str">
        <f>HYPERLINK("http://mirror.ff7data.com.ar/ff7/data/battle/battle.lgp/odbm.png","View Picture")</f>
        <v>View Picture</v>
      </c>
    </row>
    <row r="8263">
      <c r="A8263" s="55"/>
      <c r="B8263" s="119" t="s">
        <v>40504</v>
      </c>
      <c r="C8263" s="120" t="s">
        <v>4288</v>
      </c>
      <c r="D8263" s="33" t="s">
        <v>40437</v>
      </c>
      <c r="E8263" s="51" t="s">
        <v>1720</v>
      </c>
      <c r="F8263" s="121" t="s">
        <v>3009</v>
      </c>
      <c r="G8263" s="98" t="str">
        <f>HYPERLINK("http://mirror.ff7data.com.ar/ff7/data/battle/battle.lgp/odck.png","View Picture")</f>
        <v>View Picture</v>
      </c>
    </row>
    <row r="8264">
      <c r="A8264" s="55"/>
      <c r="B8264" s="119" t="s">
        <v>40505</v>
      </c>
      <c r="C8264" s="120" t="s">
        <v>5925</v>
      </c>
      <c r="D8264" s="33" t="s">
        <v>40437</v>
      </c>
      <c r="E8264" s="51" t="s">
        <v>1720</v>
      </c>
      <c r="F8264" s="121" t="s">
        <v>3025</v>
      </c>
      <c r="H8264" s="46" t="s">
        <v>3002</v>
      </c>
    </row>
    <row r="8265">
      <c r="A8265" s="55"/>
      <c r="B8265" s="119" t="s">
        <v>40506</v>
      </c>
      <c r="C8265" s="120" t="s">
        <v>4196</v>
      </c>
      <c r="D8265" s="33" t="s">
        <v>40433</v>
      </c>
      <c r="E8265" s="51" t="s">
        <v>1725</v>
      </c>
      <c r="F8265" s="121" t="s">
        <v>2971</v>
      </c>
      <c r="G8265" s="98" t="str">
        <f>HYPERLINK("http://mirror.ff7data.com.ar/ff7/data/battle/battle.lgp/oeaa.png","View Picture")</f>
        <v>View Picture</v>
      </c>
      <c r="H8265" s="46" t="s">
        <v>40460</v>
      </c>
    </row>
    <row r="8266">
      <c r="A8266" s="55"/>
      <c r="B8266" s="119" t="s">
        <v>40507</v>
      </c>
      <c r="C8266" s="120" t="s">
        <v>40436</v>
      </c>
      <c r="D8266" s="33" t="s">
        <v>40437</v>
      </c>
      <c r="E8266" s="51" t="s">
        <v>1725</v>
      </c>
      <c r="F8266" s="121" t="s">
        <v>2993</v>
      </c>
      <c r="H8266" s="46" t="s">
        <v>3002</v>
      </c>
    </row>
    <row r="8267">
      <c r="A8267" s="55"/>
      <c r="B8267" s="119" t="s">
        <v>40508</v>
      </c>
      <c r="C8267" s="120" t="s">
        <v>4396</v>
      </c>
      <c r="D8267" s="33" t="s">
        <v>40437</v>
      </c>
      <c r="E8267" s="51" t="s">
        <v>1725</v>
      </c>
      <c r="F8267" s="121" t="s">
        <v>3009</v>
      </c>
      <c r="G8267" s="98" t="str">
        <f>HYPERLINK("http://mirror.ff7data.com.ar/ff7/data/battle/battle.lgp/oeam.png","View Picture")</f>
        <v>View Picture</v>
      </c>
    </row>
    <row r="8268">
      <c r="A8268" s="55"/>
      <c r="B8268" s="119" t="s">
        <v>40509</v>
      </c>
      <c r="C8268" s="120" t="s">
        <v>4228</v>
      </c>
      <c r="D8268" s="33" t="s">
        <v>40437</v>
      </c>
      <c r="E8268" s="51" t="s">
        <v>1725</v>
      </c>
      <c r="F8268" s="121" t="s">
        <v>3009</v>
      </c>
      <c r="G8268" s="98" t="str">
        <f>HYPERLINK("http://mirror.ff7data.com.ar/ff7/data/battle/battle.lgp/oean.png","View Picture")</f>
        <v>View Picture</v>
      </c>
    </row>
    <row r="8269">
      <c r="A8269" s="55"/>
      <c r="B8269" s="119" t="s">
        <v>40510</v>
      </c>
      <c r="C8269" s="120" t="s">
        <v>7062</v>
      </c>
      <c r="D8269" s="33" t="s">
        <v>40437</v>
      </c>
      <c r="E8269" s="51" t="s">
        <v>1725</v>
      </c>
      <c r="F8269" s="121" t="s">
        <v>3009</v>
      </c>
      <c r="G8269" s="98" t="str">
        <f>HYPERLINK("http://mirror.ff7data.com.ar/ff7/data/battle/battle.lgp/oeao.png","View Picture")</f>
        <v>View Picture</v>
      </c>
    </row>
    <row r="8270">
      <c r="A8270" s="55"/>
      <c r="B8270" s="119" t="s">
        <v>40511</v>
      </c>
      <c r="C8270" s="120" t="s">
        <v>10078</v>
      </c>
      <c r="D8270" s="33" t="s">
        <v>40437</v>
      </c>
      <c r="E8270" s="51" t="s">
        <v>1725</v>
      </c>
      <c r="F8270" s="121" t="s">
        <v>3009</v>
      </c>
      <c r="G8270" s="98" t="str">
        <f>HYPERLINK("http://mirror.ff7data.com.ar/ff7/data/battle/battle.lgp/oear.png","View Picture")</f>
        <v>View Picture</v>
      </c>
    </row>
    <row r="8271">
      <c r="A8271" s="55"/>
      <c r="B8271" s="119" t="s">
        <v>40512</v>
      </c>
      <c r="C8271" s="120" t="s">
        <v>4264</v>
      </c>
      <c r="D8271" s="33" t="s">
        <v>40437</v>
      </c>
      <c r="E8271" s="51" t="s">
        <v>1725</v>
      </c>
      <c r="F8271" s="121" t="s">
        <v>3009</v>
      </c>
      <c r="G8271" s="98" t="str">
        <f>HYPERLINK("http://mirror.ff7data.com.ar/ff7/data/battle/battle.lgp/oeas.png","View Picture")</f>
        <v>View Picture</v>
      </c>
    </row>
    <row r="8272">
      <c r="A8272" s="55"/>
      <c r="B8272" s="119" t="s">
        <v>40513</v>
      </c>
      <c r="C8272" s="120" t="s">
        <v>4167</v>
      </c>
      <c r="D8272" s="33" t="s">
        <v>40437</v>
      </c>
      <c r="E8272" s="51" t="s">
        <v>1725</v>
      </c>
      <c r="F8272" s="121" t="s">
        <v>3009</v>
      </c>
      <c r="G8272" s="98" t="str">
        <f>HYPERLINK("http://mirror.ff7data.com.ar/ff7/data/battle/battle.lgp/oeat.png","View Picture")</f>
        <v>View Picture</v>
      </c>
    </row>
    <row r="8273">
      <c r="A8273" s="55"/>
      <c r="B8273" s="119" t="s">
        <v>40514</v>
      </c>
      <c r="C8273" s="120" t="s">
        <v>4288</v>
      </c>
      <c r="D8273" s="33" t="s">
        <v>40437</v>
      </c>
      <c r="E8273" s="51" t="s">
        <v>1725</v>
      </c>
      <c r="F8273" s="121" t="s">
        <v>3009</v>
      </c>
      <c r="G8273" s="98" t="str">
        <f>HYPERLINK("http://mirror.ff7data.com.ar/ff7/data/battle/battle.lgp/oeav.png","View Picture")</f>
        <v>View Picture</v>
      </c>
    </row>
    <row r="8274">
      <c r="A8274" s="55"/>
      <c r="B8274" s="119" t="s">
        <v>40515</v>
      </c>
      <c r="C8274" s="120" t="s">
        <v>4217</v>
      </c>
      <c r="D8274" s="33" t="s">
        <v>40437</v>
      </c>
      <c r="E8274" s="51" t="s">
        <v>1725</v>
      </c>
      <c r="F8274" s="121" t="s">
        <v>3009</v>
      </c>
      <c r="G8274" s="98" t="str">
        <f>HYPERLINK("http://mirror.ff7data.com.ar/ff7/data/battle/battle.lgp/oeay.png","View Picture")</f>
        <v>View Picture</v>
      </c>
    </row>
    <row r="8275">
      <c r="A8275" s="55"/>
      <c r="B8275" s="119" t="s">
        <v>40516</v>
      </c>
      <c r="C8275" s="120" t="s">
        <v>4264</v>
      </c>
      <c r="D8275" s="33" t="s">
        <v>40437</v>
      </c>
      <c r="E8275" s="51" t="s">
        <v>1725</v>
      </c>
      <c r="F8275" s="121" t="s">
        <v>3009</v>
      </c>
      <c r="G8275" s="98" t="str">
        <f>HYPERLINK("http://mirror.ff7data.com.ar/ff7/data/battle/battle.lgp/oeaz.png","View Picture")</f>
        <v>View Picture</v>
      </c>
    </row>
    <row r="8276">
      <c r="A8276" s="55"/>
      <c r="B8276" s="119" t="s">
        <v>40517</v>
      </c>
      <c r="C8276" s="120" t="s">
        <v>4217</v>
      </c>
      <c r="D8276" s="33" t="s">
        <v>40437</v>
      </c>
      <c r="E8276" s="51" t="s">
        <v>1725</v>
      </c>
      <c r="F8276" s="121" t="s">
        <v>3009</v>
      </c>
      <c r="G8276" s="98" t="str">
        <f>HYPERLINK("http://mirror.ff7data.com.ar/ff7/data/battle/battle.lgp/oeba.png","View Picture")</f>
        <v>View Picture</v>
      </c>
    </row>
    <row r="8277">
      <c r="A8277" s="55"/>
      <c r="B8277" s="119" t="s">
        <v>40518</v>
      </c>
      <c r="C8277" s="120" t="s">
        <v>3749</v>
      </c>
      <c r="D8277" s="33" t="s">
        <v>40437</v>
      </c>
      <c r="E8277" s="51" t="s">
        <v>1725</v>
      </c>
      <c r="F8277" s="121" t="s">
        <v>3009</v>
      </c>
      <c r="G8277" s="98" t="str">
        <f>HYPERLINK("http://mirror.ff7data.com.ar/ff7/data/battle/battle.lgp/oebc.png","View Picture")</f>
        <v>View Picture</v>
      </c>
    </row>
    <row r="8278">
      <c r="A8278" s="55"/>
      <c r="B8278" s="119" t="s">
        <v>40519</v>
      </c>
      <c r="C8278" s="120" t="s">
        <v>4357</v>
      </c>
      <c r="D8278" s="33" t="s">
        <v>40437</v>
      </c>
      <c r="E8278" s="51" t="s">
        <v>1725</v>
      </c>
      <c r="F8278" s="121" t="s">
        <v>3009</v>
      </c>
      <c r="G8278" s="98" t="str">
        <f>HYPERLINK("http://mirror.ff7data.com.ar/ff7/data/battle/battle.lgp/oebd.png","View Picture")</f>
        <v>View Picture</v>
      </c>
    </row>
    <row r="8279">
      <c r="A8279" s="55"/>
      <c r="B8279" s="119" t="s">
        <v>40520</v>
      </c>
      <c r="C8279" s="120" t="s">
        <v>4372</v>
      </c>
      <c r="D8279" s="33" t="s">
        <v>40437</v>
      </c>
      <c r="E8279" s="51" t="s">
        <v>1725</v>
      </c>
      <c r="F8279" s="121" t="s">
        <v>3009</v>
      </c>
      <c r="G8279" s="98" t="str">
        <f>HYPERLINK("http://mirror.ff7data.com.ar/ff7/data/battle/battle.lgp/oebe.png","View Picture")</f>
        <v>View Picture</v>
      </c>
    </row>
    <row r="8280">
      <c r="A8280" s="55"/>
      <c r="B8280" s="119" t="s">
        <v>40521</v>
      </c>
      <c r="C8280" s="120" t="s">
        <v>4372</v>
      </c>
      <c r="D8280" s="33" t="s">
        <v>40437</v>
      </c>
      <c r="E8280" s="51" t="s">
        <v>1725</v>
      </c>
      <c r="F8280" s="121" t="s">
        <v>3009</v>
      </c>
      <c r="G8280" s="98" t="str">
        <f>HYPERLINK("http://mirror.ff7data.com.ar/ff7/data/battle/battle.lgp/oebf.png","View Picture")</f>
        <v>View Picture</v>
      </c>
    </row>
    <row r="8281">
      <c r="A8281" s="55"/>
      <c r="B8281" s="119" t="s">
        <v>40522</v>
      </c>
      <c r="C8281" s="120" t="s">
        <v>3648</v>
      </c>
      <c r="D8281" s="33" t="s">
        <v>40437</v>
      </c>
      <c r="E8281" s="51" t="s">
        <v>1725</v>
      </c>
      <c r="F8281" s="121" t="s">
        <v>3009</v>
      </c>
      <c r="G8281" s="98" t="str">
        <f>HYPERLINK("http://mirror.ff7data.com.ar/ff7/data/battle/battle.lgp/oebh.png","View Picture")</f>
        <v>View Picture</v>
      </c>
    </row>
    <row r="8282">
      <c r="A8282" s="55"/>
      <c r="B8282" s="119" t="s">
        <v>40523</v>
      </c>
      <c r="C8282" s="120" t="s">
        <v>7165</v>
      </c>
      <c r="D8282" s="33" t="s">
        <v>40437</v>
      </c>
      <c r="E8282" s="51" t="s">
        <v>1725</v>
      </c>
      <c r="F8282" s="121" t="s">
        <v>3009</v>
      </c>
      <c r="G8282" s="98" t="str">
        <f>HYPERLINK("http://mirror.ff7data.com.ar/ff7/data/battle/battle.lgp/oebi.png","View Picture")</f>
        <v>View Picture</v>
      </c>
    </row>
    <row r="8283">
      <c r="A8283" s="55"/>
      <c r="B8283" s="119" t="s">
        <v>40524</v>
      </c>
      <c r="C8283" s="120" t="s">
        <v>4372</v>
      </c>
      <c r="D8283" s="33" t="s">
        <v>40437</v>
      </c>
      <c r="E8283" s="51" t="s">
        <v>1725</v>
      </c>
      <c r="F8283" s="121" t="s">
        <v>3009</v>
      </c>
      <c r="G8283" s="98" t="str">
        <f>HYPERLINK("http://mirror.ff7data.com.ar/ff7/data/battle/battle.lgp/oebj.png","View Picture")</f>
        <v>View Picture</v>
      </c>
    </row>
    <row r="8284">
      <c r="A8284" s="55"/>
      <c r="B8284" s="119" t="s">
        <v>40525</v>
      </c>
      <c r="C8284" s="120" t="s">
        <v>4372</v>
      </c>
      <c r="D8284" s="33" t="s">
        <v>40437</v>
      </c>
      <c r="E8284" s="51" t="s">
        <v>1725</v>
      </c>
      <c r="F8284" s="121" t="s">
        <v>3009</v>
      </c>
      <c r="G8284" s="98" t="str">
        <f>HYPERLINK("http://mirror.ff7data.com.ar/ff7/data/battle/battle.lgp/oebk.png","View Picture")</f>
        <v>View Picture</v>
      </c>
    </row>
    <row r="8285">
      <c r="A8285" s="55"/>
      <c r="B8285" s="119" t="s">
        <v>40526</v>
      </c>
      <c r="C8285" s="120" t="s">
        <v>4439</v>
      </c>
      <c r="D8285" s="33" t="s">
        <v>40437</v>
      </c>
      <c r="E8285" s="51" t="s">
        <v>1725</v>
      </c>
      <c r="F8285" s="121" t="s">
        <v>3009</v>
      </c>
      <c r="G8285" s="98" t="str">
        <f>HYPERLINK("http://mirror.ff7data.com.ar/ff7/data/battle/battle.lgp/oebm.png","View Picture")</f>
        <v>View Picture</v>
      </c>
    </row>
    <row r="8286">
      <c r="A8286" s="55"/>
      <c r="B8286" s="119" t="s">
        <v>40527</v>
      </c>
      <c r="C8286" s="120" t="s">
        <v>4288</v>
      </c>
      <c r="D8286" s="33" t="s">
        <v>40437</v>
      </c>
      <c r="E8286" s="51" t="s">
        <v>1725</v>
      </c>
      <c r="F8286" s="121" t="s">
        <v>3009</v>
      </c>
      <c r="G8286" s="98" t="str">
        <f>HYPERLINK("http://mirror.ff7data.com.ar/ff7/data/battle/battle.lgp/oeck.png","View Picture")</f>
        <v>View Picture</v>
      </c>
    </row>
    <row r="8287">
      <c r="A8287" s="55"/>
      <c r="B8287" s="119" t="s">
        <v>40528</v>
      </c>
      <c r="C8287" s="120" t="s">
        <v>5925</v>
      </c>
      <c r="D8287" s="33" t="s">
        <v>40437</v>
      </c>
      <c r="E8287" s="51" t="s">
        <v>1725</v>
      </c>
      <c r="F8287" s="121" t="s">
        <v>3025</v>
      </c>
      <c r="H8287" s="46" t="s">
        <v>3002</v>
      </c>
    </row>
    <row r="8288">
      <c r="A8288" s="55"/>
      <c r="B8288" s="119" t="s">
        <v>40529</v>
      </c>
      <c r="C8288" s="120" t="s">
        <v>4196</v>
      </c>
      <c r="D8288" s="33" t="s">
        <v>40433</v>
      </c>
      <c r="E8288" s="51" t="s">
        <v>1730</v>
      </c>
      <c r="F8288" s="121" t="s">
        <v>2971</v>
      </c>
      <c r="G8288" s="98" t="str">
        <f>HYPERLINK("http://mirror.ff7data.com.ar/ff7/data/battle/battle.lgp/ofaa.png","View Picture")</f>
        <v>View Picture</v>
      </c>
      <c r="H8288" s="46" t="s">
        <v>40460</v>
      </c>
    </row>
    <row r="8289">
      <c r="A8289" s="55"/>
      <c r="B8289" s="119" t="s">
        <v>40530</v>
      </c>
      <c r="C8289" s="120" t="s">
        <v>40436</v>
      </c>
      <c r="D8289" s="33" t="s">
        <v>40437</v>
      </c>
      <c r="E8289" s="51" t="s">
        <v>1730</v>
      </c>
      <c r="F8289" s="121" t="s">
        <v>2993</v>
      </c>
      <c r="H8289" s="46" t="s">
        <v>3002</v>
      </c>
    </row>
    <row r="8290">
      <c r="A8290" s="55"/>
      <c r="B8290" s="119" t="s">
        <v>40531</v>
      </c>
      <c r="C8290" s="120" t="s">
        <v>4396</v>
      </c>
      <c r="D8290" s="33" t="s">
        <v>40437</v>
      </c>
      <c r="E8290" s="51" t="s">
        <v>1730</v>
      </c>
      <c r="F8290" s="121" t="s">
        <v>3009</v>
      </c>
      <c r="G8290" s="98" t="str">
        <f>HYPERLINK("http://mirror.ff7data.com.ar/ff7/data/battle/battle.lgp/ofam.png","View Picture")</f>
        <v>View Picture</v>
      </c>
    </row>
    <row r="8291">
      <c r="A8291" s="55"/>
      <c r="B8291" s="119" t="s">
        <v>40532</v>
      </c>
      <c r="C8291" s="120" t="s">
        <v>4228</v>
      </c>
      <c r="D8291" s="33" t="s">
        <v>40437</v>
      </c>
      <c r="E8291" s="51" t="s">
        <v>1730</v>
      </c>
      <c r="F8291" s="121" t="s">
        <v>3009</v>
      </c>
      <c r="G8291" s="98" t="str">
        <f>HYPERLINK("http://mirror.ff7data.com.ar/ff7/data/battle/battle.lgp/ofan.png","View Picture")</f>
        <v>View Picture</v>
      </c>
    </row>
    <row r="8292">
      <c r="A8292" s="55"/>
      <c r="B8292" s="119" t="s">
        <v>40533</v>
      </c>
      <c r="C8292" s="120" t="s">
        <v>7062</v>
      </c>
      <c r="D8292" s="33" t="s">
        <v>40437</v>
      </c>
      <c r="E8292" s="51" t="s">
        <v>1730</v>
      </c>
      <c r="F8292" s="121" t="s">
        <v>3009</v>
      </c>
      <c r="G8292" s="98" t="str">
        <f>HYPERLINK("http://mirror.ff7data.com.ar/ff7/data/battle/battle.lgp/ofao.png","View Picture")</f>
        <v>View Picture</v>
      </c>
    </row>
    <row r="8293">
      <c r="A8293" s="55"/>
      <c r="B8293" s="119" t="s">
        <v>40534</v>
      </c>
      <c r="C8293" s="120" t="s">
        <v>10078</v>
      </c>
      <c r="D8293" s="33" t="s">
        <v>40437</v>
      </c>
      <c r="E8293" s="51" t="s">
        <v>1730</v>
      </c>
      <c r="F8293" s="121" t="s">
        <v>3009</v>
      </c>
      <c r="G8293" s="98" t="str">
        <f>HYPERLINK("http://mirror.ff7data.com.ar/ff7/data/battle/battle.lgp/ofar.png","View Picture")</f>
        <v>View Picture</v>
      </c>
    </row>
    <row r="8294">
      <c r="A8294" s="55"/>
      <c r="B8294" s="119" t="s">
        <v>40535</v>
      </c>
      <c r="C8294" s="120" t="s">
        <v>4264</v>
      </c>
      <c r="D8294" s="33" t="s">
        <v>40437</v>
      </c>
      <c r="E8294" s="51" t="s">
        <v>1730</v>
      </c>
      <c r="F8294" s="121" t="s">
        <v>3009</v>
      </c>
      <c r="G8294" s="98" t="str">
        <f>HYPERLINK("http://mirror.ff7data.com.ar/ff7/data/battle/battle.lgp/ofas.png","View Picture")</f>
        <v>View Picture</v>
      </c>
    </row>
    <row r="8295">
      <c r="A8295" s="55"/>
      <c r="B8295" s="119" t="s">
        <v>40536</v>
      </c>
      <c r="C8295" s="120" t="s">
        <v>4167</v>
      </c>
      <c r="D8295" s="33" t="s">
        <v>40437</v>
      </c>
      <c r="E8295" s="51" t="s">
        <v>1730</v>
      </c>
      <c r="F8295" s="121" t="s">
        <v>3009</v>
      </c>
      <c r="G8295" s="98" t="str">
        <f>HYPERLINK("http://mirror.ff7data.com.ar/ff7/data/battle/battle.lgp/ofat.png","View Picture")</f>
        <v>View Picture</v>
      </c>
    </row>
    <row r="8296">
      <c r="A8296" s="55"/>
      <c r="B8296" s="119" t="s">
        <v>40537</v>
      </c>
      <c r="C8296" s="120" t="s">
        <v>4288</v>
      </c>
      <c r="D8296" s="33" t="s">
        <v>40437</v>
      </c>
      <c r="E8296" s="51" t="s">
        <v>1730</v>
      </c>
      <c r="F8296" s="121" t="s">
        <v>3009</v>
      </c>
      <c r="G8296" s="98" t="str">
        <f>HYPERLINK("http://mirror.ff7data.com.ar/ff7/data/battle/battle.lgp/ofav.png","View Picture")</f>
        <v>View Picture</v>
      </c>
    </row>
    <row r="8297">
      <c r="A8297" s="55"/>
      <c r="B8297" s="119" t="s">
        <v>40538</v>
      </c>
      <c r="C8297" s="120" t="s">
        <v>4217</v>
      </c>
      <c r="D8297" s="33" t="s">
        <v>40437</v>
      </c>
      <c r="E8297" s="51" t="s">
        <v>1730</v>
      </c>
      <c r="F8297" s="121" t="s">
        <v>3009</v>
      </c>
      <c r="G8297" s="98" t="str">
        <f>HYPERLINK("http://mirror.ff7data.com.ar/ff7/data/battle/battle.lgp/ofay.png","View Picture")</f>
        <v>View Picture</v>
      </c>
    </row>
    <row r="8298">
      <c r="A8298" s="55"/>
      <c r="B8298" s="119" t="s">
        <v>40539</v>
      </c>
      <c r="C8298" s="120" t="s">
        <v>4264</v>
      </c>
      <c r="D8298" s="33" t="s">
        <v>40437</v>
      </c>
      <c r="E8298" s="51" t="s">
        <v>1730</v>
      </c>
      <c r="F8298" s="121" t="s">
        <v>3009</v>
      </c>
      <c r="G8298" s="98" t="str">
        <f>HYPERLINK("http://mirror.ff7data.com.ar/ff7/data/battle/battle.lgp/ofaz.png","View Picture")</f>
        <v>View Picture</v>
      </c>
    </row>
    <row r="8299">
      <c r="A8299" s="55"/>
      <c r="B8299" s="119" t="s">
        <v>40540</v>
      </c>
      <c r="C8299" s="120" t="s">
        <v>4217</v>
      </c>
      <c r="D8299" s="33" t="s">
        <v>40437</v>
      </c>
      <c r="E8299" s="51" t="s">
        <v>1730</v>
      </c>
      <c r="F8299" s="121" t="s">
        <v>3009</v>
      </c>
      <c r="G8299" s="98" t="str">
        <f>HYPERLINK("http://mirror.ff7data.com.ar/ff7/data/battle/battle.lgp/ofba.png","View Picture")</f>
        <v>View Picture</v>
      </c>
    </row>
    <row r="8300">
      <c r="A8300" s="55"/>
      <c r="B8300" s="119" t="s">
        <v>40541</v>
      </c>
      <c r="C8300" s="120" t="s">
        <v>3749</v>
      </c>
      <c r="D8300" s="33" t="s">
        <v>40437</v>
      </c>
      <c r="E8300" s="51" t="s">
        <v>1730</v>
      </c>
      <c r="F8300" s="121" t="s">
        <v>3009</v>
      </c>
      <c r="G8300" s="98" t="str">
        <f>HYPERLINK("http://mirror.ff7data.com.ar/ff7/data/battle/battle.lgp/ofbc.png","View Picture")</f>
        <v>View Picture</v>
      </c>
    </row>
    <row r="8301">
      <c r="A8301" s="55"/>
      <c r="B8301" s="119" t="s">
        <v>40542</v>
      </c>
      <c r="C8301" s="120" t="s">
        <v>4357</v>
      </c>
      <c r="D8301" s="33" t="s">
        <v>40437</v>
      </c>
      <c r="E8301" s="51" t="s">
        <v>1730</v>
      </c>
      <c r="F8301" s="121" t="s">
        <v>3009</v>
      </c>
      <c r="G8301" s="98" t="str">
        <f>HYPERLINK("http://mirror.ff7data.com.ar/ff7/data/battle/battle.lgp/ofbd.png","View Picture")</f>
        <v>View Picture</v>
      </c>
    </row>
    <row r="8302">
      <c r="A8302" s="55"/>
      <c r="B8302" s="119" t="s">
        <v>40543</v>
      </c>
      <c r="C8302" s="120" t="s">
        <v>4372</v>
      </c>
      <c r="D8302" s="33" t="s">
        <v>40437</v>
      </c>
      <c r="E8302" s="51" t="s">
        <v>1730</v>
      </c>
      <c r="F8302" s="121" t="s">
        <v>3009</v>
      </c>
      <c r="G8302" s="98" t="str">
        <f>HYPERLINK("http://mirror.ff7data.com.ar/ff7/data/battle/battle.lgp/ofbe.png","View Picture")</f>
        <v>View Picture</v>
      </c>
    </row>
    <row r="8303">
      <c r="A8303" s="55"/>
      <c r="B8303" s="119" t="s">
        <v>40544</v>
      </c>
      <c r="C8303" s="120" t="s">
        <v>4372</v>
      </c>
      <c r="D8303" s="33" t="s">
        <v>40437</v>
      </c>
      <c r="E8303" s="51" t="s">
        <v>1730</v>
      </c>
      <c r="F8303" s="121" t="s">
        <v>3009</v>
      </c>
      <c r="G8303" s="98" t="str">
        <f>HYPERLINK("http://mirror.ff7data.com.ar/ff7/data/battle/battle.lgp/ofbf.png","View Picture")</f>
        <v>View Picture</v>
      </c>
    </row>
    <row r="8304">
      <c r="A8304" s="55"/>
      <c r="B8304" s="119" t="s">
        <v>40545</v>
      </c>
      <c r="C8304" s="120" t="s">
        <v>3648</v>
      </c>
      <c r="D8304" s="33" t="s">
        <v>40437</v>
      </c>
      <c r="E8304" s="51" t="s">
        <v>1730</v>
      </c>
      <c r="F8304" s="121" t="s">
        <v>3009</v>
      </c>
      <c r="G8304" s="98" t="str">
        <f>HYPERLINK("http://mirror.ff7data.com.ar/ff7/data/battle/battle.lgp/ofbh.png","View Picture")</f>
        <v>View Picture</v>
      </c>
    </row>
    <row r="8305">
      <c r="A8305" s="55"/>
      <c r="B8305" s="119" t="s">
        <v>40546</v>
      </c>
      <c r="C8305" s="120" t="s">
        <v>7165</v>
      </c>
      <c r="D8305" s="33" t="s">
        <v>40437</v>
      </c>
      <c r="E8305" s="51" t="s">
        <v>1730</v>
      </c>
      <c r="F8305" s="121" t="s">
        <v>3009</v>
      </c>
      <c r="G8305" s="98" t="str">
        <f>HYPERLINK("http://mirror.ff7data.com.ar/ff7/data/battle/battle.lgp/ofbi.png","View Picture")</f>
        <v>View Picture</v>
      </c>
    </row>
    <row r="8306">
      <c r="A8306" s="55"/>
      <c r="B8306" s="119" t="s">
        <v>40547</v>
      </c>
      <c r="C8306" s="120" t="s">
        <v>4372</v>
      </c>
      <c r="D8306" s="33" t="s">
        <v>40437</v>
      </c>
      <c r="E8306" s="51" t="s">
        <v>1730</v>
      </c>
      <c r="F8306" s="121" t="s">
        <v>3009</v>
      </c>
      <c r="G8306" s="98" t="str">
        <f>HYPERLINK("http://mirror.ff7data.com.ar/ff7/data/battle/battle.lgp/ofbj.png","View Picture")</f>
        <v>View Picture</v>
      </c>
    </row>
    <row r="8307">
      <c r="A8307" s="55"/>
      <c r="B8307" s="119" t="s">
        <v>40548</v>
      </c>
      <c r="C8307" s="120" t="s">
        <v>4372</v>
      </c>
      <c r="D8307" s="33" t="s">
        <v>40437</v>
      </c>
      <c r="E8307" s="51" t="s">
        <v>1730</v>
      </c>
      <c r="F8307" s="121" t="s">
        <v>3009</v>
      </c>
      <c r="G8307" s="98" t="str">
        <f>HYPERLINK("http://mirror.ff7data.com.ar/ff7/data/battle/battle.lgp/ofbk.png","View Picture")</f>
        <v>View Picture</v>
      </c>
    </row>
    <row r="8308">
      <c r="A8308" s="55"/>
      <c r="B8308" s="119" t="s">
        <v>40549</v>
      </c>
      <c r="C8308" s="120" t="s">
        <v>4439</v>
      </c>
      <c r="D8308" s="33" t="s">
        <v>40437</v>
      </c>
      <c r="E8308" s="51" t="s">
        <v>1730</v>
      </c>
      <c r="F8308" s="121" t="s">
        <v>3009</v>
      </c>
      <c r="G8308" s="98" t="str">
        <f>HYPERLINK("http://mirror.ff7data.com.ar/ff7/data/battle/battle.lgp/ofbm.png","View Picture")</f>
        <v>View Picture</v>
      </c>
    </row>
    <row r="8309">
      <c r="A8309" s="55"/>
      <c r="B8309" s="119" t="s">
        <v>40550</v>
      </c>
      <c r="C8309" s="120" t="s">
        <v>4288</v>
      </c>
      <c r="D8309" s="33" t="s">
        <v>40437</v>
      </c>
      <c r="E8309" s="51" t="s">
        <v>1730</v>
      </c>
      <c r="F8309" s="121" t="s">
        <v>3009</v>
      </c>
      <c r="G8309" s="98" t="str">
        <f>HYPERLINK("http://mirror.ff7data.com.ar/ff7/data/battle/battle.lgp/ofck.png","View Picture")</f>
        <v>View Picture</v>
      </c>
    </row>
    <row r="8310">
      <c r="A8310" s="55"/>
      <c r="B8310" s="119" t="s">
        <v>40551</v>
      </c>
      <c r="C8310" s="120" t="s">
        <v>5925</v>
      </c>
      <c r="D8310" s="33" t="s">
        <v>40437</v>
      </c>
      <c r="E8310" s="51" t="s">
        <v>1730</v>
      </c>
      <c r="F8310" s="121" t="s">
        <v>3025</v>
      </c>
      <c r="H8310" s="46" t="s">
        <v>3002</v>
      </c>
    </row>
    <row r="8311">
      <c r="A8311" s="79"/>
      <c r="B8311" s="119" t="s">
        <v>40552</v>
      </c>
      <c r="C8311" s="120" t="s">
        <v>40553</v>
      </c>
      <c r="D8311" s="33" t="s">
        <v>40554</v>
      </c>
      <c r="F8311" s="121" t="s">
        <v>2971</v>
      </c>
      <c r="G8311" s="98" t="str">
        <f>HYPERLINK("http://mirror.ff7data.com.ar/ff7/data/battle/battle.lgp/ogaa.png","View Picture")</f>
        <v>View Picture</v>
      </c>
    </row>
    <row r="8312">
      <c r="A8312" s="55"/>
      <c r="B8312" s="119" t="s">
        <v>40555</v>
      </c>
      <c r="C8312" s="120" t="s">
        <v>40556</v>
      </c>
      <c r="D8312" s="31"/>
      <c r="F8312" s="121" t="s">
        <v>2993</v>
      </c>
      <c r="H8312" s="46" t="s">
        <v>3002</v>
      </c>
    </row>
    <row r="8313">
      <c r="A8313" s="55"/>
      <c r="B8313" s="119" t="s">
        <v>40557</v>
      </c>
      <c r="C8313" s="120" t="s">
        <v>4732</v>
      </c>
      <c r="D8313" s="31"/>
      <c r="F8313" s="121" t="s">
        <v>1348</v>
      </c>
      <c r="G8313" s="98" t="str">
        <f>HYPERLINK("http://mirror.ff7data.com.ar/ff7/data/battle/battle.lgp/ogac.png","View Picture")</f>
        <v>View Picture</v>
      </c>
      <c r="H8313" s="46" t="s">
        <v>40558</v>
      </c>
    </row>
    <row r="8314">
      <c r="A8314" s="55"/>
      <c r="B8314" s="119" t="s">
        <v>40559</v>
      </c>
      <c r="C8314" s="120" t="s">
        <v>3961</v>
      </c>
      <c r="D8314" s="31"/>
      <c r="F8314" s="121" t="s">
        <v>3009</v>
      </c>
      <c r="G8314" s="98" t="str">
        <f>HYPERLINK("http://mirror.ff7data.com.ar/ff7/data/battle/battle.lgp/ogam.png","View Picture")</f>
        <v>View Picture</v>
      </c>
    </row>
    <row r="8315">
      <c r="A8315" s="55"/>
      <c r="B8315" s="119" t="s">
        <v>40560</v>
      </c>
      <c r="C8315" s="120" t="s">
        <v>4846</v>
      </c>
      <c r="D8315" s="31"/>
      <c r="F8315" s="121" t="s">
        <v>3009</v>
      </c>
      <c r="G8315" s="98" t="str">
        <f>HYPERLINK("http://mirror.ff7data.com.ar/ff7/data/battle/battle.lgp/ogan.png","View Picture")</f>
        <v>View Picture</v>
      </c>
      <c r="H8315" s="46" t="s">
        <v>40561</v>
      </c>
    </row>
    <row r="8316">
      <c r="A8316" s="55"/>
      <c r="B8316" s="119" t="s">
        <v>40562</v>
      </c>
      <c r="C8316" s="120" t="s">
        <v>4846</v>
      </c>
      <c r="D8316" s="31"/>
      <c r="F8316" s="121" t="s">
        <v>3009</v>
      </c>
      <c r="G8316" s="98" t="str">
        <f>HYPERLINK("http://mirror.ff7data.com.ar/ff7/data/battle/battle.lgp/ogao.png","View Picture")</f>
        <v>View Picture</v>
      </c>
    </row>
    <row r="8317">
      <c r="A8317" s="55"/>
      <c r="B8317" s="119" t="s">
        <v>40563</v>
      </c>
      <c r="C8317" s="120" t="s">
        <v>4846</v>
      </c>
      <c r="D8317" s="31"/>
      <c r="F8317" s="121" t="s">
        <v>3009</v>
      </c>
      <c r="G8317" s="98" t="str">
        <f>HYPERLINK("http://mirror.ff7data.com.ar/ff7/data/battle/battle.lgp/ogap.png","View Picture")</f>
        <v>View Picture</v>
      </c>
    </row>
    <row r="8318">
      <c r="A8318" s="79"/>
      <c r="B8318" s="119" t="s">
        <v>40564</v>
      </c>
      <c r="C8318" s="120" t="s">
        <v>40553</v>
      </c>
      <c r="D8318" s="33" t="s">
        <v>40565</v>
      </c>
      <c r="F8318" s="121" t="s">
        <v>2756</v>
      </c>
      <c r="G8318" s="98" t="str">
        <f>HYPERLINK("http://mirror.ff7data.com.ar/ff7/data/battle/battle.lgp/ohaa.png","View Picture")</f>
        <v>View Picture</v>
      </c>
    </row>
    <row r="8319">
      <c r="A8319" s="55"/>
      <c r="B8319" s="119" t="s">
        <v>40566</v>
      </c>
      <c r="C8319" s="120" t="s">
        <v>40556</v>
      </c>
      <c r="D8319" s="31"/>
      <c r="F8319" s="121" t="s">
        <v>2993</v>
      </c>
      <c r="H8319" s="46" t="s">
        <v>3002</v>
      </c>
    </row>
    <row r="8320">
      <c r="A8320" s="55"/>
      <c r="B8320" s="119" t="s">
        <v>40567</v>
      </c>
      <c r="C8320" s="120" t="s">
        <v>26095</v>
      </c>
      <c r="D8320" s="31"/>
      <c r="F8320" s="121" t="s">
        <v>1348</v>
      </c>
      <c r="G8320" s="98" t="str">
        <f>HYPERLINK("http://mirror.ff7data.com.ar/ff7/data/battle/battle.lgp/ohac.png","View Picture")</f>
        <v>View Picture</v>
      </c>
    </row>
    <row r="8321">
      <c r="A8321" s="55"/>
      <c r="B8321" s="119" t="s">
        <v>40568</v>
      </c>
      <c r="C8321" s="120" t="s">
        <v>26095</v>
      </c>
      <c r="D8321" s="31"/>
      <c r="F8321" s="121" t="s">
        <v>1348</v>
      </c>
      <c r="G8321" s="98" t="str">
        <f>HYPERLINK("http://mirror.ff7data.com.ar/ff7/data/battle/battle.lgp/ohad.png","View Picture")</f>
        <v>View Picture</v>
      </c>
    </row>
    <row r="8322">
      <c r="A8322" s="55"/>
      <c r="B8322" s="119" t="s">
        <v>40569</v>
      </c>
      <c r="C8322" s="120" t="s">
        <v>6018</v>
      </c>
      <c r="D8322" s="31"/>
      <c r="F8322" s="121" t="s">
        <v>1348</v>
      </c>
      <c r="G8322" s="98" t="str">
        <f>HYPERLINK("http://mirror.ff7data.com.ar/ff7/data/battle/battle.lgp/ohae.png","View Picture")</f>
        <v>View Picture</v>
      </c>
    </row>
    <row r="8323">
      <c r="A8323" s="55"/>
      <c r="B8323" s="119" t="s">
        <v>40570</v>
      </c>
      <c r="C8323" s="120" t="s">
        <v>6018</v>
      </c>
      <c r="D8323" s="31"/>
      <c r="F8323" s="121" t="s">
        <v>1348</v>
      </c>
      <c r="G8323" s="98" t="str">
        <f>HYPERLINK("http://mirror.ff7data.com.ar/ff7/data/battle/battle.lgp/ohaf.png","View Picture")</f>
        <v>View Picture</v>
      </c>
    </row>
    <row r="8324">
      <c r="A8324" s="55"/>
      <c r="B8324" s="119" t="s">
        <v>40571</v>
      </c>
      <c r="C8324" s="120" t="s">
        <v>26104</v>
      </c>
      <c r="D8324" s="31"/>
      <c r="F8324" s="121" t="s">
        <v>1348</v>
      </c>
      <c r="G8324" s="98" t="str">
        <f>HYPERLINK("http://mirror.ff7data.com.ar/ff7/data/battle/battle.lgp/ohag.png","View Picture")</f>
        <v>View Picture</v>
      </c>
    </row>
    <row r="8325">
      <c r="A8325" s="55"/>
      <c r="B8325" s="119" t="s">
        <v>40572</v>
      </c>
      <c r="C8325" s="120" t="s">
        <v>26104</v>
      </c>
      <c r="D8325" s="31"/>
      <c r="F8325" s="121" t="s">
        <v>1348</v>
      </c>
      <c r="G8325" s="98" t="str">
        <f>HYPERLINK("http://mirror.ff7data.com.ar/ff7/data/battle/battle.lgp/ohah.png","View Picture")</f>
        <v>View Picture</v>
      </c>
    </row>
    <row r="8326">
      <c r="A8326" s="55"/>
      <c r="B8326" s="119" t="s">
        <v>40573</v>
      </c>
      <c r="C8326" s="120" t="s">
        <v>26095</v>
      </c>
      <c r="D8326" s="31"/>
      <c r="F8326" s="121" t="s">
        <v>1348</v>
      </c>
      <c r="G8326" s="98" t="str">
        <f>HYPERLINK("http://mirror.ff7data.com.ar/ff7/data/battle/battle.lgp/ohai.png","View Picture")</f>
        <v>View Picture</v>
      </c>
    </row>
    <row r="8327">
      <c r="A8327" s="55"/>
      <c r="B8327" s="119" t="s">
        <v>40574</v>
      </c>
      <c r="C8327" s="120" t="s">
        <v>3671</v>
      </c>
      <c r="D8327" s="31"/>
      <c r="F8327" s="121" t="s">
        <v>3009</v>
      </c>
      <c r="G8327" s="98" t="str">
        <f>HYPERLINK("http://mirror.ff7data.com.ar/ff7/data/battle/battle.lgp/oham.png","View Picture")</f>
        <v>View Picture</v>
      </c>
    </row>
    <row r="8328">
      <c r="A8328" s="55"/>
      <c r="B8328" s="119" t="s">
        <v>40575</v>
      </c>
      <c r="C8328" s="120" t="s">
        <v>4846</v>
      </c>
      <c r="D8328" s="31"/>
      <c r="F8328" s="121" t="s">
        <v>3009</v>
      </c>
      <c r="G8328" s="98" t="str">
        <f>HYPERLINK("http://mirror.ff7data.com.ar/ff7/data/battle/battle.lgp/ohan.png","View Picture")</f>
        <v>View Picture</v>
      </c>
    </row>
    <row r="8329">
      <c r="A8329" s="55"/>
      <c r="B8329" s="119" t="s">
        <v>40576</v>
      </c>
      <c r="C8329" s="120" t="s">
        <v>4846</v>
      </c>
      <c r="D8329" s="31"/>
      <c r="F8329" s="121" t="s">
        <v>3009</v>
      </c>
      <c r="G8329" s="98" t="str">
        <f>HYPERLINK("http://mirror.ff7data.com.ar/ff7/data/battle/battle.lgp/ohao.png","View Picture")</f>
        <v>View Picture</v>
      </c>
    </row>
    <row r="8330">
      <c r="A8330" s="55"/>
      <c r="B8330" s="119" t="s">
        <v>40577</v>
      </c>
      <c r="C8330" s="120" t="s">
        <v>4846</v>
      </c>
      <c r="D8330" s="31"/>
      <c r="F8330" s="121" t="s">
        <v>3009</v>
      </c>
      <c r="G8330" s="98" t="str">
        <f>HYPERLINK("http://mirror.ff7data.com.ar/ff7/data/battle/battle.lgp/ohap.png","View Picture")</f>
        <v>View Picture</v>
      </c>
    </row>
    <row r="8331">
      <c r="A8331" s="55"/>
      <c r="B8331" s="119" t="s">
        <v>40578</v>
      </c>
      <c r="C8331" s="120" t="s">
        <v>7301</v>
      </c>
      <c r="D8331" s="31"/>
      <c r="F8331" s="121" t="s">
        <v>3009</v>
      </c>
      <c r="G8331" s="98" t="str">
        <f>HYPERLINK("http://mirror.ff7data.com.ar/ff7/data/battle/battle.lgp/ohaq.png","View Picture")</f>
        <v>View Picture</v>
      </c>
    </row>
    <row r="8332">
      <c r="A8332" s="55"/>
      <c r="B8332" s="119" t="s">
        <v>40579</v>
      </c>
      <c r="C8332" s="120" t="s">
        <v>5203</v>
      </c>
      <c r="D8332" s="31"/>
      <c r="F8332" s="121" t="s">
        <v>3009</v>
      </c>
      <c r="G8332" s="98" t="str">
        <f>HYPERLINK("http://mirror.ff7data.com.ar/ff7/data/battle/battle.lgp/ohar.png","View Picture")</f>
        <v>View Picture</v>
      </c>
    </row>
    <row r="8333">
      <c r="A8333" s="55"/>
      <c r="B8333" s="119" t="s">
        <v>40580</v>
      </c>
      <c r="C8333" s="120" t="s">
        <v>4396</v>
      </c>
      <c r="D8333" s="31"/>
      <c r="F8333" s="121" t="s">
        <v>3009</v>
      </c>
      <c r="G8333" s="98" t="str">
        <f>HYPERLINK("http://mirror.ff7data.com.ar/ff7/data/battle/battle.lgp/ohas.png","View Picture")</f>
        <v>View Picture</v>
      </c>
    </row>
    <row r="8334">
      <c r="A8334" s="55"/>
      <c r="B8334" s="119" t="s">
        <v>40581</v>
      </c>
      <c r="C8334" s="120" t="s">
        <v>10078</v>
      </c>
      <c r="D8334" s="31"/>
      <c r="F8334" s="121" t="s">
        <v>3009</v>
      </c>
      <c r="G8334" s="98" t="str">
        <f>HYPERLINK("http://mirror.ff7data.com.ar/ff7/data/battle/battle.lgp/ohat.png","View Picture")</f>
        <v>View Picture</v>
      </c>
    </row>
    <row r="8335">
      <c r="A8335" s="55"/>
      <c r="B8335" s="119" t="s">
        <v>40582</v>
      </c>
      <c r="C8335" s="120" t="s">
        <v>3749</v>
      </c>
      <c r="D8335" s="31"/>
      <c r="F8335" s="121" t="s">
        <v>3009</v>
      </c>
      <c r="G8335" s="98" t="str">
        <f>HYPERLINK("http://mirror.ff7data.com.ar/ff7/data/battle/battle.lgp/ohau.png","View Picture")</f>
        <v>View Picture</v>
      </c>
    </row>
    <row r="8336">
      <c r="A8336" s="55"/>
      <c r="B8336" s="119" t="s">
        <v>40583</v>
      </c>
      <c r="C8336" s="120" t="s">
        <v>3343</v>
      </c>
      <c r="D8336" s="31"/>
      <c r="F8336" s="121" t="s">
        <v>3009</v>
      </c>
      <c r="G8336" s="98" t="str">
        <f>HYPERLINK("http://mirror.ff7data.com.ar/ff7/data/battle/battle.lgp/ohav.png","View Picture")</f>
        <v>View Picture</v>
      </c>
    </row>
    <row r="8337">
      <c r="A8337" s="55"/>
      <c r="B8337" s="119" t="s">
        <v>40584</v>
      </c>
      <c r="C8337" s="120" t="s">
        <v>4476</v>
      </c>
      <c r="D8337" s="31"/>
      <c r="F8337" s="121" t="s">
        <v>3009</v>
      </c>
      <c r="G8337" s="98" t="str">
        <f>HYPERLINK("http://mirror.ff7data.com.ar/ff7/data/battle/battle.lgp/ohaw.png","View Picture")</f>
        <v>View Picture</v>
      </c>
    </row>
    <row r="8338">
      <c r="A8338" s="55"/>
      <c r="B8338" s="119" t="s">
        <v>40585</v>
      </c>
      <c r="C8338" s="120" t="s">
        <v>7165</v>
      </c>
      <c r="D8338" s="31"/>
      <c r="F8338" s="121" t="s">
        <v>3009</v>
      </c>
      <c r="G8338" s="98" t="str">
        <f>HYPERLINK("http://mirror.ff7data.com.ar/ff7/data/battle/battle.lgp/ohax.png","View Picture")</f>
        <v>View Picture</v>
      </c>
    </row>
    <row r="8339">
      <c r="A8339" s="55"/>
      <c r="B8339" s="119" t="s">
        <v>40586</v>
      </c>
      <c r="C8339" s="120" t="s">
        <v>7165</v>
      </c>
      <c r="D8339" s="31"/>
      <c r="F8339" s="121" t="s">
        <v>3009</v>
      </c>
      <c r="G8339" s="98" t="str">
        <f>HYPERLINK("http://mirror.ff7data.com.ar/ff7/data/battle/battle.lgp/ohay.png","View Picture")</f>
        <v>View Picture</v>
      </c>
    </row>
    <row r="8340">
      <c r="A8340" s="55"/>
      <c r="B8340" s="119" t="s">
        <v>40587</v>
      </c>
      <c r="C8340" s="120" t="s">
        <v>7871</v>
      </c>
      <c r="D8340" s="31"/>
      <c r="F8340" s="121" t="s">
        <v>3009</v>
      </c>
      <c r="G8340" s="98" t="str">
        <f>HYPERLINK("http://mirror.ff7data.com.ar/ff7/data/battle/battle.lgp/ohaz.png","View Picture")</f>
        <v>View Picture</v>
      </c>
    </row>
    <row r="8341">
      <c r="A8341" s="55"/>
      <c r="B8341" s="119" t="s">
        <v>40588</v>
      </c>
      <c r="C8341" s="120" t="s">
        <v>7165</v>
      </c>
      <c r="D8341" s="31"/>
      <c r="F8341" s="121" t="s">
        <v>3009</v>
      </c>
      <c r="G8341" s="98" t="str">
        <f>HYPERLINK("http://mirror.ff7data.com.ar/ff7/data/battle/battle.lgp/ohba.png","View Picture")</f>
        <v>View Picture</v>
      </c>
    </row>
    <row r="8342">
      <c r="A8342" s="55"/>
      <c r="B8342" s="119" t="s">
        <v>40589</v>
      </c>
      <c r="C8342" s="120" t="s">
        <v>7165</v>
      </c>
      <c r="D8342" s="31"/>
      <c r="F8342" s="121" t="s">
        <v>3009</v>
      </c>
      <c r="G8342" s="98" t="str">
        <f>HYPERLINK("http://mirror.ff7data.com.ar/ff7/data/battle/battle.lgp/ohbb.png","View Picture")</f>
        <v>View Picture</v>
      </c>
    </row>
    <row r="8343">
      <c r="A8343" s="55"/>
      <c r="B8343" s="119" t="s">
        <v>40590</v>
      </c>
      <c r="C8343" s="120" t="s">
        <v>4439</v>
      </c>
      <c r="D8343" s="31"/>
      <c r="F8343" s="121" t="s">
        <v>3009</v>
      </c>
      <c r="G8343" s="98" t="str">
        <f>HYPERLINK("http://mirror.ff7data.com.ar/ff7/data/battle/battle.lgp/ohbc.png","View Picture")</f>
        <v>View Picture</v>
      </c>
    </row>
    <row r="8344">
      <c r="A8344" s="55"/>
      <c r="B8344" s="119" t="s">
        <v>40591</v>
      </c>
      <c r="C8344" s="120" t="s">
        <v>26336</v>
      </c>
      <c r="D8344" s="31"/>
      <c r="F8344" s="121" t="s">
        <v>3009</v>
      </c>
      <c r="G8344" s="98" t="str">
        <f>HYPERLINK("http://mirror.ff7data.com.ar/ff7/data/battle/battle.lgp/ohbd.png","View Picture")</f>
        <v>View Picture</v>
      </c>
    </row>
    <row r="8345">
      <c r="A8345" s="55"/>
      <c r="B8345" s="119" t="s">
        <v>40592</v>
      </c>
      <c r="C8345" s="120" t="s">
        <v>26336</v>
      </c>
      <c r="D8345" s="31"/>
      <c r="F8345" s="121" t="s">
        <v>3009</v>
      </c>
      <c r="G8345" s="98" t="str">
        <f>HYPERLINK("http://mirror.ff7data.com.ar/ff7/data/battle/battle.lgp/ohbe.png","View Picture")</f>
        <v>View Picture</v>
      </c>
    </row>
    <row r="8346">
      <c r="A8346" s="55"/>
      <c r="B8346" s="119" t="s">
        <v>40593</v>
      </c>
      <c r="C8346" s="120" t="s">
        <v>3481</v>
      </c>
      <c r="D8346" s="31"/>
      <c r="F8346" s="121" t="s">
        <v>3009</v>
      </c>
      <c r="G8346" s="98" t="str">
        <f>HYPERLINK("http://mirror.ff7data.com.ar/ff7/data/battle/battle.lgp/ohbf.png","View Picture")</f>
        <v>View Picture</v>
      </c>
    </row>
    <row r="8347">
      <c r="A8347" s="55"/>
      <c r="B8347" s="119" t="s">
        <v>40594</v>
      </c>
      <c r="C8347" s="120" t="s">
        <v>7871</v>
      </c>
      <c r="D8347" s="31"/>
      <c r="F8347" s="121" t="s">
        <v>3009</v>
      </c>
      <c r="G8347" s="98" t="str">
        <f>HYPERLINK("http://mirror.ff7data.com.ar/ff7/data/battle/battle.lgp/ohbg.png","View Picture")</f>
        <v>View Picture</v>
      </c>
    </row>
    <row r="8348">
      <c r="A8348" s="79"/>
      <c r="B8348" s="119" t="s">
        <v>40595</v>
      </c>
      <c r="C8348" s="120" t="s">
        <v>40553</v>
      </c>
      <c r="D8348" s="33" t="s">
        <v>40596</v>
      </c>
      <c r="F8348" s="121" t="s">
        <v>2756</v>
      </c>
      <c r="G8348" s="98" t="str">
        <f>HYPERLINK("http://mirror.ff7data.com.ar/ff7/data/battle/battle.lgp/oiaa.png","View Picture")</f>
        <v>View Picture</v>
      </c>
      <c r="H8348" s="46" t="s">
        <v>40597</v>
      </c>
    </row>
    <row r="8349">
      <c r="A8349" s="55"/>
      <c r="B8349" s="119" t="s">
        <v>40598</v>
      </c>
      <c r="C8349" s="120" t="s">
        <v>40556</v>
      </c>
      <c r="D8349" s="31"/>
      <c r="F8349" s="121" t="s">
        <v>2993</v>
      </c>
      <c r="H8349" s="46" t="s">
        <v>3002</v>
      </c>
    </row>
    <row r="8350">
      <c r="A8350" s="55"/>
      <c r="B8350" s="119" t="s">
        <v>40599</v>
      </c>
      <c r="C8350" s="120" t="s">
        <v>26095</v>
      </c>
      <c r="D8350" s="31"/>
      <c r="F8350" s="121" t="s">
        <v>1348</v>
      </c>
      <c r="G8350" s="98" t="str">
        <f>HYPERLINK("http://mirror.ff7data.com.ar/ff7/data/battle/battle.lgp/oiac.png","View Picture")</f>
        <v>View Picture</v>
      </c>
    </row>
    <row r="8351">
      <c r="A8351" s="55"/>
      <c r="B8351" s="119" t="s">
        <v>40600</v>
      </c>
      <c r="C8351" s="120" t="s">
        <v>26104</v>
      </c>
      <c r="D8351" s="31"/>
      <c r="F8351" s="121" t="s">
        <v>1348</v>
      </c>
      <c r="G8351" s="98" t="str">
        <f>HYPERLINK("http://mirror.ff7data.com.ar/ff7/data/battle/battle.lgp/oiad.png","View Picture")</f>
        <v>View Picture</v>
      </c>
    </row>
    <row r="8352">
      <c r="A8352" s="55"/>
      <c r="B8352" s="119" t="s">
        <v>40601</v>
      </c>
      <c r="C8352" s="120" t="s">
        <v>26095</v>
      </c>
      <c r="D8352" s="31"/>
      <c r="F8352" s="121" t="s">
        <v>1348</v>
      </c>
      <c r="G8352" s="98" t="str">
        <f>HYPERLINK("http://mirror.ff7data.com.ar/ff7/data/battle/battle.lgp/oiae.png","View Picture")</f>
        <v>View Picture</v>
      </c>
    </row>
    <row r="8353">
      <c r="A8353" s="55"/>
      <c r="B8353" s="119" t="s">
        <v>40602</v>
      </c>
      <c r="C8353" s="120" t="s">
        <v>26095</v>
      </c>
      <c r="D8353" s="31"/>
      <c r="F8353" s="121" t="s">
        <v>1348</v>
      </c>
      <c r="G8353" s="98" t="str">
        <f>HYPERLINK("http://mirror.ff7data.com.ar/ff7/data/battle/battle.lgp/oiaf.png","View Picture")</f>
        <v>View Picture</v>
      </c>
    </row>
    <row r="8354">
      <c r="A8354" s="55"/>
      <c r="B8354" s="119" t="s">
        <v>40603</v>
      </c>
      <c r="C8354" s="120" t="s">
        <v>26095</v>
      </c>
      <c r="D8354" s="31"/>
      <c r="F8354" s="121" t="s">
        <v>1348</v>
      </c>
      <c r="G8354" s="98" t="str">
        <f>HYPERLINK("http://mirror.ff7data.com.ar/ff7/data/battle/battle.lgp/oiag.png","View Picture")</f>
        <v>View Picture</v>
      </c>
    </row>
    <row r="8355">
      <c r="A8355" s="55"/>
      <c r="B8355" s="119" t="s">
        <v>40604</v>
      </c>
      <c r="C8355" s="120" t="s">
        <v>26095</v>
      </c>
      <c r="D8355" s="31"/>
      <c r="F8355" s="121" t="s">
        <v>1348</v>
      </c>
      <c r="G8355" s="98" t="str">
        <f>HYPERLINK("http://mirror.ff7data.com.ar/ff7/data/battle/battle.lgp/oiah.png","View Picture")</f>
        <v>View Picture</v>
      </c>
    </row>
    <row r="8356">
      <c r="A8356" s="55"/>
      <c r="B8356" s="119" t="s">
        <v>40605</v>
      </c>
      <c r="C8356" s="120" t="s">
        <v>3318</v>
      </c>
      <c r="D8356" s="31"/>
      <c r="F8356" s="121" t="s">
        <v>3009</v>
      </c>
      <c r="G8356" s="98" t="str">
        <f>HYPERLINK("http://mirror.ff7data.com.ar/ff7/data/battle/battle.lgp/oiam.png","View Picture")</f>
        <v>View Picture</v>
      </c>
    </row>
    <row r="8357">
      <c r="A8357" s="55"/>
      <c r="B8357" s="119" t="s">
        <v>40606</v>
      </c>
      <c r="C8357" s="120" t="s">
        <v>3768</v>
      </c>
      <c r="D8357" s="31"/>
      <c r="F8357" s="121" t="s">
        <v>3009</v>
      </c>
      <c r="G8357" s="98" t="str">
        <f>HYPERLINK("http://mirror.ff7data.com.ar/ff7/data/battle/battle.lgp/oian.png","View Picture")</f>
        <v>View Picture</v>
      </c>
    </row>
    <row r="8358">
      <c r="A8358" s="55"/>
      <c r="B8358" s="119" t="s">
        <v>40607</v>
      </c>
      <c r="C8358" s="120" t="s">
        <v>3842</v>
      </c>
      <c r="D8358" s="31"/>
      <c r="F8358" s="121" t="s">
        <v>3009</v>
      </c>
      <c r="G8358" s="98" t="str">
        <f>HYPERLINK("http://mirror.ff7data.com.ar/ff7/data/battle/battle.lgp/oiao.png","View Picture")</f>
        <v>View Picture</v>
      </c>
    </row>
    <row r="8359">
      <c r="A8359" s="55"/>
      <c r="B8359" s="119" t="s">
        <v>40608</v>
      </c>
      <c r="C8359" s="120" t="s">
        <v>4476</v>
      </c>
      <c r="D8359" s="31"/>
      <c r="F8359" s="121" t="s">
        <v>3009</v>
      </c>
      <c r="G8359" s="98" t="str">
        <f>HYPERLINK("http://mirror.ff7data.com.ar/ff7/data/battle/battle.lgp/oiap.png","View Picture")</f>
        <v>View Picture</v>
      </c>
    </row>
    <row r="8360">
      <c r="A8360" s="55"/>
      <c r="B8360" s="119" t="s">
        <v>40609</v>
      </c>
      <c r="C8360" s="120" t="s">
        <v>4252</v>
      </c>
      <c r="D8360" s="31"/>
      <c r="F8360" s="121" t="s">
        <v>3009</v>
      </c>
      <c r="G8360" s="98" t="str">
        <f>HYPERLINK("http://mirror.ff7data.com.ar/ff7/data/battle/battle.lgp/oiaq.png","View Picture")</f>
        <v>View Picture</v>
      </c>
    </row>
    <row r="8361">
      <c r="A8361" s="55"/>
      <c r="B8361" s="119" t="s">
        <v>40610</v>
      </c>
      <c r="C8361" s="120" t="s">
        <v>3768</v>
      </c>
      <c r="D8361" s="31"/>
      <c r="F8361" s="121" t="s">
        <v>3009</v>
      </c>
      <c r="G8361" s="98" t="str">
        <f>HYPERLINK("http://mirror.ff7data.com.ar/ff7/data/battle/battle.lgp/oiar.png","View Picture")</f>
        <v>View Picture</v>
      </c>
    </row>
    <row r="8362">
      <c r="A8362" s="55"/>
      <c r="B8362" s="119" t="s">
        <v>40611</v>
      </c>
      <c r="C8362" s="120" t="s">
        <v>3768</v>
      </c>
      <c r="D8362" s="31"/>
      <c r="F8362" s="121" t="s">
        <v>3009</v>
      </c>
      <c r="G8362" s="98" t="str">
        <f>HYPERLINK("http://mirror.ff7data.com.ar/ff7/data/battle/battle.lgp/oias.png","View Picture")</f>
        <v>View Picture</v>
      </c>
    </row>
    <row r="8363">
      <c r="A8363" s="55"/>
      <c r="B8363" s="119" t="s">
        <v>40612</v>
      </c>
      <c r="C8363" s="120" t="s">
        <v>3671</v>
      </c>
      <c r="D8363" s="31"/>
      <c r="F8363" s="121" t="s">
        <v>3009</v>
      </c>
      <c r="G8363" s="98" t="str">
        <f>HYPERLINK("http://mirror.ff7data.com.ar/ff7/data/battle/battle.lgp/oiat.png","View Picture")</f>
        <v>View Picture</v>
      </c>
    </row>
    <row r="8364">
      <c r="A8364" s="55"/>
      <c r="B8364" s="119" t="s">
        <v>40613</v>
      </c>
      <c r="C8364" s="120" t="s">
        <v>3768</v>
      </c>
      <c r="D8364" s="31"/>
      <c r="F8364" s="121" t="s">
        <v>3009</v>
      </c>
      <c r="G8364" s="98" t="str">
        <f>HYPERLINK("http://mirror.ff7data.com.ar/ff7/data/battle/battle.lgp/oiau.png","View Picture")</f>
        <v>View Picture</v>
      </c>
    </row>
    <row r="8365">
      <c r="A8365" s="55"/>
      <c r="B8365" s="119" t="s">
        <v>40614</v>
      </c>
      <c r="C8365" s="120" t="s">
        <v>3768</v>
      </c>
      <c r="D8365" s="31"/>
      <c r="F8365" s="121" t="s">
        <v>3009</v>
      </c>
      <c r="G8365" s="98" t="str">
        <f>HYPERLINK("http://mirror.ff7data.com.ar/ff7/data/battle/battle.lgp/oiav.png","View Picture")</f>
        <v>View Picture</v>
      </c>
    </row>
    <row r="8366">
      <c r="A8366" s="79"/>
      <c r="B8366" s="119" t="s">
        <v>40615</v>
      </c>
      <c r="C8366" s="120" t="s">
        <v>40553</v>
      </c>
      <c r="D8366" s="33" t="s">
        <v>40616</v>
      </c>
      <c r="F8366" s="121" t="s">
        <v>2756</v>
      </c>
      <c r="G8366" s="98" t="str">
        <f>HYPERLINK("http://mirror.ff7data.com.ar/ff7/data/battle/battle.lgp/ojaa.png","View Picture")</f>
        <v>View Picture</v>
      </c>
      <c r="H8366" s="46" t="s">
        <v>40597</v>
      </c>
    </row>
    <row r="8367">
      <c r="A8367" s="55"/>
      <c r="B8367" s="119" t="s">
        <v>40617</v>
      </c>
      <c r="C8367" s="120" t="s">
        <v>40556</v>
      </c>
      <c r="D8367" s="31"/>
      <c r="F8367" s="121" t="s">
        <v>2993</v>
      </c>
    </row>
    <row r="8368">
      <c r="A8368" s="55"/>
      <c r="B8368" s="119" t="s">
        <v>40618</v>
      </c>
      <c r="C8368" s="120" t="s">
        <v>26104</v>
      </c>
      <c r="D8368" s="31"/>
      <c r="F8368" s="121" t="s">
        <v>3009</v>
      </c>
      <c r="G8368" s="98" t="str">
        <f>HYPERLINK("http://mirror.ff7data.com.ar/ff7/data/battle/battle.lgp/ojac.png","View Picture")</f>
        <v>View Picture</v>
      </c>
    </row>
    <row r="8369">
      <c r="A8369" s="55"/>
      <c r="B8369" s="119" t="s">
        <v>40619</v>
      </c>
      <c r="C8369" s="120" t="s">
        <v>26095</v>
      </c>
      <c r="D8369" s="31"/>
      <c r="F8369" s="121" t="s">
        <v>3009</v>
      </c>
      <c r="G8369" s="98" t="str">
        <f>HYPERLINK("http://mirror.ff7data.com.ar/ff7/data/battle/battle.lgp/ojad.png","View Picture")</f>
        <v>View Picture</v>
      </c>
    </row>
    <row r="8370">
      <c r="A8370" s="55"/>
      <c r="B8370" s="119" t="s">
        <v>40620</v>
      </c>
      <c r="C8370" s="120" t="s">
        <v>6018</v>
      </c>
      <c r="D8370" s="31"/>
      <c r="F8370" s="121" t="s">
        <v>3009</v>
      </c>
      <c r="G8370" s="98" t="str">
        <f>HYPERLINK("http://mirror.ff7data.com.ar/ff7/data/battle/battle.lgp/ojae.png","View Picture")</f>
        <v>View Picture</v>
      </c>
    </row>
    <row r="8371">
      <c r="A8371" s="55"/>
      <c r="B8371" s="119" t="s">
        <v>40621</v>
      </c>
      <c r="C8371" s="120" t="s">
        <v>26095</v>
      </c>
      <c r="D8371" s="31"/>
      <c r="F8371" s="121" t="s">
        <v>3009</v>
      </c>
      <c r="G8371" s="98" t="str">
        <f>HYPERLINK("http://mirror.ff7data.com.ar/ff7/data/battle/battle.lgp/ojaf.png","View Picture")</f>
        <v>View Picture</v>
      </c>
    </row>
    <row r="8372">
      <c r="A8372" s="55"/>
      <c r="B8372" s="119" t="s">
        <v>40622</v>
      </c>
      <c r="C8372" s="120" t="s">
        <v>6018</v>
      </c>
      <c r="D8372" s="31"/>
      <c r="F8372" s="121" t="s">
        <v>3009</v>
      </c>
      <c r="G8372" s="98" t="str">
        <f>HYPERLINK("http://mirror.ff7data.com.ar/ff7/data/battle/battle.lgp/ojag.png","View Picture")</f>
        <v>View Picture</v>
      </c>
    </row>
    <row r="8373">
      <c r="A8373" s="55"/>
      <c r="B8373" s="119" t="s">
        <v>40623</v>
      </c>
      <c r="C8373" s="120" t="s">
        <v>6018</v>
      </c>
      <c r="D8373" s="31"/>
      <c r="F8373" s="121" t="s">
        <v>3009</v>
      </c>
      <c r="G8373" s="98" t="str">
        <f>HYPERLINK("http://mirror.ff7data.com.ar/ff7/data/battle/battle.lgp/ojah.png","View Picture")</f>
        <v>View Picture</v>
      </c>
    </row>
    <row r="8374">
      <c r="A8374" s="55"/>
      <c r="B8374" s="119" t="s">
        <v>40624</v>
      </c>
      <c r="C8374" s="120" t="s">
        <v>6018</v>
      </c>
      <c r="D8374" s="31"/>
      <c r="F8374" s="121" t="s">
        <v>3009</v>
      </c>
      <c r="G8374" s="98" t="str">
        <f>HYPERLINK("http://mirror.ff7data.com.ar/ff7/data/battle/battle.lgp/ojai.png","View Picture")</f>
        <v>View Picture</v>
      </c>
    </row>
    <row r="8375">
      <c r="A8375" s="55"/>
      <c r="B8375" s="119" t="s">
        <v>40625</v>
      </c>
      <c r="C8375" s="120" t="s">
        <v>6018</v>
      </c>
      <c r="D8375" s="31"/>
      <c r="F8375" s="121" t="s">
        <v>3009</v>
      </c>
      <c r="G8375" s="98" t="str">
        <f>HYPERLINK("http://mirror.ff7data.com.ar/ff7/data/battle/battle.lgp/ojaj.png","View Picture")</f>
        <v>View Picture</v>
      </c>
    </row>
    <row r="8376">
      <c r="A8376" s="55"/>
      <c r="B8376" s="119" t="s">
        <v>40626</v>
      </c>
      <c r="C8376" s="120" t="s">
        <v>15152</v>
      </c>
      <c r="D8376" s="31"/>
      <c r="F8376" s="121" t="s">
        <v>3009</v>
      </c>
      <c r="G8376" s="98" t="str">
        <f>HYPERLINK("http://mirror.ff7data.com.ar/ff7/data/battle/battle.lgp/ojam.png","View Picture")</f>
        <v>View Picture</v>
      </c>
    </row>
    <row r="8377">
      <c r="A8377" s="55"/>
      <c r="B8377" s="119" t="s">
        <v>40627</v>
      </c>
      <c r="C8377" s="120" t="s">
        <v>3768</v>
      </c>
      <c r="D8377" s="31"/>
      <c r="F8377" s="121" t="s">
        <v>3009</v>
      </c>
      <c r="G8377" s="98" t="str">
        <f>HYPERLINK("http://mirror.ff7data.com.ar/ff7/data/battle/battle.lgp/ojan.png","View Picture")</f>
        <v>View Picture</v>
      </c>
    </row>
    <row r="8378">
      <c r="A8378" s="55"/>
      <c r="B8378" s="119" t="s">
        <v>40628</v>
      </c>
      <c r="C8378" s="120" t="s">
        <v>7270</v>
      </c>
      <c r="D8378" s="31"/>
      <c r="F8378" s="121" t="s">
        <v>3009</v>
      </c>
      <c r="G8378" s="98" t="str">
        <f>HYPERLINK("http://mirror.ff7data.com.ar/ff7/data/battle/battle.lgp/ojao.png","View Picture")</f>
        <v>View Picture</v>
      </c>
    </row>
    <row r="8379">
      <c r="A8379" s="55"/>
      <c r="B8379" s="119" t="s">
        <v>40629</v>
      </c>
      <c r="C8379" s="120" t="s">
        <v>4846</v>
      </c>
      <c r="D8379" s="31"/>
      <c r="F8379" s="121" t="s">
        <v>3009</v>
      </c>
      <c r="G8379" s="98" t="str">
        <f>HYPERLINK("http://mirror.ff7data.com.ar/ff7/data/battle/battle.lgp/ojap.png","View Picture")</f>
        <v>View Picture</v>
      </c>
    </row>
    <row r="8380">
      <c r="A8380" s="55"/>
      <c r="B8380" s="119" t="s">
        <v>40630</v>
      </c>
      <c r="C8380" s="120" t="s">
        <v>7270</v>
      </c>
      <c r="D8380" s="31"/>
      <c r="F8380" s="121" t="s">
        <v>3009</v>
      </c>
      <c r="G8380" s="98" t="str">
        <f>HYPERLINK("http://mirror.ff7data.com.ar/ff7/data/battle/battle.lgp/ojaq.png","View Picture")</f>
        <v>View Picture</v>
      </c>
    </row>
    <row r="8381">
      <c r="A8381" s="55"/>
      <c r="B8381" s="119" t="s">
        <v>40631</v>
      </c>
      <c r="C8381" s="120" t="s">
        <v>4372</v>
      </c>
      <c r="D8381" s="31"/>
      <c r="F8381" s="121" t="s">
        <v>3009</v>
      </c>
      <c r="G8381" s="98" t="str">
        <f>HYPERLINK("http://mirror.ff7data.com.ar/ff7/data/battle/battle.lgp/ojar.png","View Picture")</f>
        <v>View Picture</v>
      </c>
    </row>
    <row r="8382">
      <c r="A8382" s="55"/>
      <c r="B8382" s="119" t="s">
        <v>40632</v>
      </c>
      <c r="C8382" s="120" t="s">
        <v>3412</v>
      </c>
      <c r="D8382" s="31"/>
      <c r="F8382" s="121" t="s">
        <v>3009</v>
      </c>
      <c r="G8382" s="98" t="str">
        <f>HYPERLINK("http://mirror.ff7data.com.ar/ff7/data/battle/battle.lgp/ojas.png","View Picture")</f>
        <v>View Picture</v>
      </c>
    </row>
    <row r="8383">
      <c r="A8383" s="55"/>
      <c r="B8383" s="119" t="s">
        <v>40633</v>
      </c>
      <c r="C8383" s="120" t="s">
        <v>5419</v>
      </c>
      <c r="D8383" s="31"/>
      <c r="F8383" s="121" t="s">
        <v>3009</v>
      </c>
      <c r="G8383" s="98" t="str">
        <f>HYPERLINK("http://mirror.ff7data.com.ar/ff7/data/battle/battle.lgp/ojat.png","View Picture")</f>
        <v>View Picture</v>
      </c>
    </row>
    <row r="8384">
      <c r="A8384" s="55"/>
      <c r="B8384" s="119" t="s">
        <v>40634</v>
      </c>
      <c r="C8384" s="120" t="s">
        <v>5925</v>
      </c>
      <c r="D8384" s="31"/>
      <c r="F8384" s="121" t="s">
        <v>3009</v>
      </c>
      <c r="G8384" s="98" t="str">
        <f>HYPERLINK("http://mirror.ff7data.com.ar/ff7/data/battle/battle.lgp/ojau.png","View Picture")</f>
        <v>View Picture</v>
      </c>
    </row>
    <row r="8385">
      <c r="A8385" s="55"/>
      <c r="B8385" s="119" t="s">
        <v>40635</v>
      </c>
      <c r="C8385" s="120" t="s">
        <v>9290</v>
      </c>
      <c r="D8385" s="31"/>
      <c r="F8385" s="121" t="s">
        <v>3009</v>
      </c>
      <c r="G8385" s="98" t="str">
        <f>HYPERLINK("http://mirror.ff7data.com.ar/ff7/data/battle/battle.lgp/ojav.png","View Picture")</f>
        <v>View Picture</v>
      </c>
    </row>
    <row r="8386">
      <c r="A8386" s="55"/>
      <c r="B8386" s="119" t="s">
        <v>40636</v>
      </c>
      <c r="C8386" s="120" t="s">
        <v>4372</v>
      </c>
      <c r="D8386" s="31"/>
      <c r="F8386" s="121" t="s">
        <v>3009</v>
      </c>
      <c r="G8386" s="98" t="str">
        <f>HYPERLINK("http://mirror.ff7data.com.ar/ff7/data/battle/battle.lgp/ojaw.png","View Picture")</f>
        <v>View Picture</v>
      </c>
    </row>
    <row r="8387">
      <c r="A8387" s="55"/>
      <c r="B8387" s="119" t="s">
        <v>40637</v>
      </c>
      <c r="C8387" s="120" t="s">
        <v>4372</v>
      </c>
      <c r="D8387" s="31"/>
      <c r="F8387" s="121" t="s">
        <v>3009</v>
      </c>
      <c r="G8387" s="98" t="str">
        <f>HYPERLINK("http://mirror.ff7data.com.ar/ff7/data/battle/battle.lgp/ojax.png","View Picture")</f>
        <v>View Picture</v>
      </c>
    </row>
    <row r="8388">
      <c r="A8388" s="55"/>
      <c r="B8388" s="119" t="s">
        <v>40638</v>
      </c>
      <c r="C8388" s="120" t="s">
        <v>4658</v>
      </c>
      <c r="D8388" s="31"/>
      <c r="F8388" s="121" t="s">
        <v>3009</v>
      </c>
      <c r="G8388" s="98" t="str">
        <f>HYPERLINK("http://mirror.ff7data.com.ar/ff7/data/battle/battle.lgp/ojay.png","View Picture")</f>
        <v>View Picture</v>
      </c>
    </row>
    <row r="8389">
      <c r="A8389" s="55"/>
      <c r="B8389" s="119" t="s">
        <v>40639</v>
      </c>
      <c r="C8389" s="120" t="s">
        <v>4565</v>
      </c>
      <c r="D8389" s="31"/>
      <c r="F8389" s="121" t="s">
        <v>3009</v>
      </c>
      <c r="G8389" s="98" t="str">
        <f>HYPERLINK("http://mirror.ff7data.com.ar/ff7/data/battle/battle.lgp/ojaz.png","View Picture")</f>
        <v>View Picture</v>
      </c>
    </row>
    <row r="8390">
      <c r="A8390" s="55"/>
      <c r="B8390" s="119" t="s">
        <v>40640</v>
      </c>
      <c r="C8390" s="120" t="s">
        <v>3658</v>
      </c>
      <c r="D8390" s="31"/>
      <c r="F8390" s="121" t="s">
        <v>3009</v>
      </c>
      <c r="G8390" s="98" t="str">
        <f>HYPERLINK("http://mirror.ff7data.com.ar/ff7/data/battle/battle.lgp/ojba.png","View Picture")</f>
        <v>View Picture</v>
      </c>
    </row>
    <row r="8391">
      <c r="A8391" s="55"/>
      <c r="B8391" s="119" t="s">
        <v>40641</v>
      </c>
      <c r="C8391" s="120" t="s">
        <v>7165</v>
      </c>
      <c r="D8391" s="31"/>
      <c r="F8391" s="121" t="s">
        <v>3009</v>
      </c>
      <c r="G8391" s="98" t="str">
        <f>HYPERLINK("http://mirror.ff7data.com.ar/ff7/data/battle/battle.lgp/ojbb.png","View Picture")</f>
        <v>View Picture</v>
      </c>
    </row>
    <row r="8392">
      <c r="A8392" s="79"/>
      <c r="B8392" s="119" t="s">
        <v>40642</v>
      </c>
      <c r="C8392" s="120" t="s">
        <v>40553</v>
      </c>
      <c r="D8392" s="33" t="s">
        <v>40643</v>
      </c>
      <c r="F8392" s="121" t="s">
        <v>2756</v>
      </c>
      <c r="G8392" s="98" t="str">
        <f>HYPERLINK("http://mirror.ff7data.com.ar/ff7/data/battle/battle.lgp/okaa.png","View Picture")</f>
        <v>View Picture</v>
      </c>
      <c r="H8392" s="46" t="s">
        <v>40597</v>
      </c>
    </row>
    <row r="8393">
      <c r="A8393" s="55"/>
      <c r="B8393" s="119" t="s">
        <v>40644</v>
      </c>
      <c r="C8393" s="120" t="s">
        <v>40556</v>
      </c>
      <c r="D8393" s="31"/>
      <c r="F8393" s="166" t="s">
        <v>2993</v>
      </c>
      <c r="H8393" s="46" t="s">
        <v>3002</v>
      </c>
    </row>
    <row r="8394">
      <c r="A8394" s="55"/>
      <c r="B8394" s="119" t="s">
        <v>40645</v>
      </c>
      <c r="C8394" s="120" t="s">
        <v>26104</v>
      </c>
      <c r="D8394" s="31"/>
      <c r="F8394" s="121" t="s">
        <v>1348</v>
      </c>
      <c r="G8394" s="98" t="str">
        <f>HYPERLINK("http://mirror.ff7data.com.ar/ff7/data/battle/battle.lgp/okac.png","View Picture")</f>
        <v>View Picture</v>
      </c>
    </row>
    <row r="8395">
      <c r="A8395" s="55"/>
      <c r="B8395" s="119" t="s">
        <v>40646</v>
      </c>
      <c r="C8395" s="120" t="s">
        <v>26095</v>
      </c>
      <c r="D8395" s="31"/>
      <c r="F8395" s="121" t="s">
        <v>1348</v>
      </c>
      <c r="G8395" s="98" t="str">
        <f>HYPERLINK("http://mirror.ff7data.com.ar/ff7/data/battle/battle.lgp/okad.png","View Picture")</f>
        <v>View Picture</v>
      </c>
    </row>
    <row r="8396">
      <c r="A8396" s="55"/>
      <c r="B8396" s="119" t="s">
        <v>40647</v>
      </c>
      <c r="C8396" s="120" t="s">
        <v>6018</v>
      </c>
      <c r="D8396" s="31"/>
      <c r="F8396" s="121" t="s">
        <v>1348</v>
      </c>
      <c r="G8396" s="98" t="str">
        <f>HYPERLINK("http://mirror.ff7data.com.ar/ff7/data/battle/battle.lgp/okae.png","View Picture")</f>
        <v>View Picture</v>
      </c>
    </row>
    <row r="8397">
      <c r="A8397" s="55"/>
      <c r="B8397" s="119" t="s">
        <v>40648</v>
      </c>
      <c r="C8397" s="120" t="s">
        <v>26095</v>
      </c>
      <c r="D8397" s="31"/>
      <c r="F8397" s="121" t="s">
        <v>1348</v>
      </c>
      <c r="G8397" s="98" t="str">
        <f>HYPERLINK("http://mirror.ff7data.com.ar/ff7/data/battle/battle.lgp/okaf.png","View Picture")</f>
        <v>View Picture</v>
      </c>
    </row>
    <row r="8398">
      <c r="A8398" s="55"/>
      <c r="B8398" s="119" t="s">
        <v>40649</v>
      </c>
      <c r="C8398" s="120" t="s">
        <v>26095</v>
      </c>
      <c r="D8398" s="31"/>
      <c r="F8398" s="121" t="s">
        <v>1348</v>
      </c>
      <c r="G8398" s="98" t="str">
        <f>HYPERLINK("http://mirror.ff7data.com.ar/ff7/data/battle/battle.lgp/okag.png","View Picture")</f>
        <v>View Picture</v>
      </c>
    </row>
    <row r="8399">
      <c r="A8399" s="55"/>
      <c r="B8399" s="119" t="s">
        <v>40650</v>
      </c>
      <c r="C8399" s="120" t="s">
        <v>26095</v>
      </c>
      <c r="D8399" s="31"/>
      <c r="F8399" s="121" t="s">
        <v>1348</v>
      </c>
      <c r="G8399" s="98" t="str">
        <f>HYPERLINK("http://mirror.ff7data.com.ar/ff7/data/battle/battle.lgp/okah.png","View Picture")</f>
        <v>View Picture</v>
      </c>
    </row>
    <row r="8400">
      <c r="A8400" s="55"/>
      <c r="B8400" s="119" t="s">
        <v>40651</v>
      </c>
      <c r="C8400" s="120" t="s">
        <v>26104</v>
      </c>
      <c r="D8400" s="31"/>
      <c r="F8400" s="121" t="s">
        <v>1348</v>
      </c>
      <c r="G8400" s="98" t="str">
        <f>HYPERLINK("http://mirror.ff7data.com.ar/ff7/data/battle/battle.lgp/okai.png","View Picture")</f>
        <v>View Picture</v>
      </c>
    </row>
    <row r="8401">
      <c r="A8401" s="55"/>
      <c r="B8401" s="119" t="s">
        <v>40652</v>
      </c>
      <c r="C8401" s="120" t="s">
        <v>26095</v>
      </c>
      <c r="D8401" s="31"/>
      <c r="F8401" s="121" t="s">
        <v>1348</v>
      </c>
      <c r="G8401" s="98" t="str">
        <f>HYPERLINK("http://mirror.ff7data.com.ar/ff7/data/battle/battle.lgp/okaj.png","View Picture")</f>
        <v>View Picture</v>
      </c>
    </row>
    <row r="8402">
      <c r="A8402" s="55"/>
      <c r="B8402" s="119" t="s">
        <v>40653</v>
      </c>
      <c r="C8402" s="120" t="s">
        <v>4046</v>
      </c>
      <c r="D8402" s="31"/>
      <c r="F8402" s="121" t="s">
        <v>3009</v>
      </c>
      <c r="G8402" s="98" t="str">
        <f>HYPERLINK("http://mirror.ff7data.com.ar/ff7/data/battle/battle.lgp/okam.png","View Picture")</f>
        <v>View Picture</v>
      </c>
    </row>
    <row r="8403">
      <c r="A8403" s="55"/>
      <c r="B8403" s="119" t="s">
        <v>40654</v>
      </c>
      <c r="C8403" s="120" t="s">
        <v>3768</v>
      </c>
      <c r="D8403" s="31"/>
      <c r="F8403" s="121" t="s">
        <v>3009</v>
      </c>
      <c r="G8403" s="98" t="str">
        <f>HYPERLINK("http://mirror.ff7data.com.ar/ff7/data/battle/battle.lgp/okan.png","View Picture")</f>
        <v>View Picture</v>
      </c>
    </row>
    <row r="8404">
      <c r="A8404" s="55"/>
      <c r="B8404" s="119" t="s">
        <v>40655</v>
      </c>
      <c r="C8404" s="120" t="s">
        <v>7270</v>
      </c>
      <c r="D8404" s="31"/>
      <c r="F8404" s="121" t="s">
        <v>3009</v>
      </c>
      <c r="G8404" s="98" t="str">
        <f>HYPERLINK("http://mirror.ff7data.com.ar/ff7/data/battle/battle.lgp/okao.png","View Picture")</f>
        <v>View Picture</v>
      </c>
    </row>
    <row r="8405">
      <c r="A8405" s="55"/>
      <c r="B8405" s="119" t="s">
        <v>40656</v>
      </c>
      <c r="C8405" s="120" t="s">
        <v>4846</v>
      </c>
      <c r="D8405" s="31"/>
      <c r="F8405" s="121" t="s">
        <v>3009</v>
      </c>
      <c r="G8405" s="98" t="str">
        <f>HYPERLINK("http://mirror.ff7data.com.ar/ff7/data/battle/battle.lgp/okap.png","View Picture")</f>
        <v>View Picture</v>
      </c>
    </row>
    <row r="8406">
      <c r="A8406" s="55"/>
      <c r="B8406" s="119" t="s">
        <v>40657</v>
      </c>
      <c r="C8406" s="120" t="s">
        <v>4185</v>
      </c>
      <c r="D8406" s="31"/>
      <c r="F8406" s="121" t="s">
        <v>3009</v>
      </c>
      <c r="G8406" s="98" t="str">
        <f>HYPERLINK("http://mirror.ff7data.com.ar/ff7/data/battle/battle.lgp/okaq.png","View Picture")</f>
        <v>View Picture</v>
      </c>
    </row>
    <row r="8407">
      <c r="A8407" s="55"/>
      <c r="B8407" s="119" t="s">
        <v>40658</v>
      </c>
      <c r="C8407" s="120" t="s">
        <v>3343</v>
      </c>
      <c r="D8407" s="31"/>
      <c r="F8407" s="121" t="s">
        <v>3009</v>
      </c>
      <c r="G8407" s="98" t="str">
        <f>HYPERLINK("http://mirror.ff7data.com.ar/ff7/data/battle/battle.lgp/okar.png","View Picture")</f>
        <v>View Picture</v>
      </c>
    </row>
    <row r="8408">
      <c r="A8408" s="55"/>
      <c r="B8408" s="119" t="s">
        <v>40659</v>
      </c>
      <c r="C8408" s="120" t="s">
        <v>5925</v>
      </c>
      <c r="D8408" s="31"/>
      <c r="F8408" s="121" t="s">
        <v>3009</v>
      </c>
      <c r="G8408" s="98" t="str">
        <f>HYPERLINK("http://mirror.ff7data.com.ar/ff7/data/battle/battle.lgp/okas.png","View Picture")</f>
        <v>View Picture</v>
      </c>
    </row>
    <row r="8409">
      <c r="A8409" s="55"/>
      <c r="B8409" s="119" t="s">
        <v>40660</v>
      </c>
      <c r="C8409" s="120" t="s">
        <v>5904</v>
      </c>
      <c r="D8409" s="31"/>
      <c r="F8409" s="121" t="s">
        <v>3009</v>
      </c>
      <c r="G8409" s="98" t="str">
        <f>HYPERLINK("http://mirror.ff7data.com.ar/ff7/data/battle/battle.lgp/okat.png","View Picture")</f>
        <v>View Picture</v>
      </c>
    </row>
    <row r="8410">
      <c r="A8410" s="55"/>
      <c r="B8410" s="119" t="s">
        <v>40661</v>
      </c>
      <c r="C8410" s="120" t="s">
        <v>3481</v>
      </c>
      <c r="D8410" s="31"/>
      <c r="F8410" s="121" t="s">
        <v>3009</v>
      </c>
      <c r="G8410" s="98" t="str">
        <f>HYPERLINK("http://mirror.ff7data.com.ar/ff7/data/battle/battle.lgp/okau.png","View Picture")</f>
        <v>View Picture</v>
      </c>
    </row>
    <row r="8411">
      <c r="A8411" s="55"/>
      <c r="B8411" s="119" t="s">
        <v>40662</v>
      </c>
      <c r="C8411" s="120" t="s">
        <v>7871</v>
      </c>
      <c r="D8411" s="31"/>
      <c r="F8411" s="121" t="s">
        <v>3009</v>
      </c>
      <c r="G8411" s="98" t="str">
        <f>HYPERLINK("http://mirror.ff7data.com.ar/ff7/data/battle/battle.lgp/okav.png","View Picture")</f>
        <v>View Picture</v>
      </c>
    </row>
    <row r="8412">
      <c r="A8412" s="55"/>
      <c r="B8412" s="119" t="s">
        <v>40663</v>
      </c>
      <c r="C8412" s="120" t="s">
        <v>7871</v>
      </c>
      <c r="D8412" s="31"/>
      <c r="F8412" s="121" t="s">
        <v>3009</v>
      </c>
      <c r="G8412" s="98" t="str">
        <f>HYPERLINK("http://mirror.ff7data.com.ar/ff7/data/battle/battle.lgp/okaw.png","View Picture")</f>
        <v>View Picture</v>
      </c>
    </row>
    <row r="8413">
      <c r="A8413" s="55"/>
      <c r="B8413" s="119" t="s">
        <v>40664</v>
      </c>
      <c r="C8413" s="120" t="s">
        <v>7871</v>
      </c>
      <c r="D8413" s="31"/>
      <c r="F8413" s="121" t="s">
        <v>3009</v>
      </c>
      <c r="G8413" s="98" t="str">
        <f>HYPERLINK("http://mirror.ff7data.com.ar/ff7/data/battle/battle.lgp/okax.png","View Picture")</f>
        <v>View Picture</v>
      </c>
    </row>
    <row r="8414">
      <c r="A8414" s="55"/>
      <c r="B8414" s="119" t="s">
        <v>40665</v>
      </c>
      <c r="C8414" s="120" t="s">
        <v>3355</v>
      </c>
      <c r="D8414" s="31"/>
      <c r="F8414" s="121" t="s">
        <v>3009</v>
      </c>
      <c r="G8414" s="98" t="str">
        <f>HYPERLINK("http://mirror.ff7data.com.ar/ff7/data/battle/battle.lgp/okay.png","View Picture")</f>
        <v>View Picture</v>
      </c>
    </row>
    <row r="8415">
      <c r="A8415" s="55"/>
      <c r="B8415" s="119" t="s">
        <v>40666</v>
      </c>
      <c r="C8415" s="120" t="s">
        <v>3355</v>
      </c>
      <c r="D8415" s="31"/>
      <c r="F8415" s="121" t="s">
        <v>3009</v>
      </c>
      <c r="G8415" s="98" t="str">
        <f>HYPERLINK("http://mirror.ff7data.com.ar/ff7/data/battle/battle.lgp/okaz.png","View Picture")</f>
        <v>View Picture</v>
      </c>
    </row>
    <row r="8416">
      <c r="A8416" s="55"/>
      <c r="B8416" s="119" t="s">
        <v>40667</v>
      </c>
      <c r="C8416" s="120" t="s">
        <v>4057</v>
      </c>
      <c r="D8416" s="31"/>
      <c r="F8416" s="121" t="s">
        <v>3009</v>
      </c>
      <c r="G8416" s="98" t="str">
        <f>HYPERLINK("http://mirror.ff7data.com.ar/ff7/data/battle/battle.lgp/okba.png","View Picture")</f>
        <v>View Picture</v>
      </c>
    </row>
    <row r="8417">
      <c r="A8417" s="55"/>
      <c r="B8417" s="119" t="s">
        <v>40668</v>
      </c>
      <c r="C8417" s="120" t="s">
        <v>4057</v>
      </c>
      <c r="D8417" s="31"/>
      <c r="F8417" s="121" t="s">
        <v>3009</v>
      </c>
      <c r="G8417" s="98" t="str">
        <f>HYPERLINK("http://mirror.ff7data.com.ar/ff7/data/battle/battle.lgp/okbb.png","View Picture")</f>
        <v>View Picture</v>
      </c>
    </row>
    <row r="8418">
      <c r="A8418" s="55"/>
      <c r="B8418" s="119" t="s">
        <v>40669</v>
      </c>
      <c r="C8418" s="120" t="s">
        <v>4057</v>
      </c>
      <c r="D8418" s="31"/>
      <c r="F8418" s="121" t="s">
        <v>3009</v>
      </c>
      <c r="G8418" s="98" t="str">
        <f>HYPERLINK("http://mirror.ff7data.com.ar/ff7/data/battle/battle.lgp/okbc.png","View Picture")</f>
        <v>View Picture</v>
      </c>
    </row>
    <row r="8419">
      <c r="A8419" s="55"/>
      <c r="B8419" s="119" t="s">
        <v>40670</v>
      </c>
      <c r="C8419" s="120" t="s">
        <v>4185</v>
      </c>
      <c r="D8419" s="31"/>
      <c r="F8419" s="121" t="s">
        <v>3009</v>
      </c>
      <c r="G8419" s="98" t="str">
        <f>HYPERLINK("http://mirror.ff7data.com.ar/ff7/data/battle/battle.lgp/okbd.png","View Picture")</f>
        <v>View Picture</v>
      </c>
    </row>
    <row r="8420">
      <c r="A8420" s="55"/>
      <c r="B8420" s="119" t="s">
        <v>40671</v>
      </c>
      <c r="C8420" s="120" t="s">
        <v>4185</v>
      </c>
      <c r="D8420" s="31"/>
      <c r="F8420" s="121" t="s">
        <v>3009</v>
      </c>
      <c r="G8420" s="98" t="str">
        <f>HYPERLINK("http://mirror.ff7data.com.ar/ff7/data/battle/battle.lgp/okbe.png","View Picture")</f>
        <v>View Picture</v>
      </c>
    </row>
    <row r="8421">
      <c r="A8421" s="55"/>
      <c r="B8421" s="119" t="s">
        <v>40672</v>
      </c>
      <c r="C8421" s="120" t="s">
        <v>4357</v>
      </c>
      <c r="D8421" s="31"/>
      <c r="F8421" s="121" t="s">
        <v>3009</v>
      </c>
      <c r="G8421" s="98" t="str">
        <f>HYPERLINK("http://mirror.ff7data.com.ar/ff7/data/battle/battle.lgp/okbf.png","View Picture")</f>
        <v>View Picture</v>
      </c>
    </row>
    <row r="8422">
      <c r="A8422" s="79"/>
      <c r="B8422" s="119" t="s">
        <v>40673</v>
      </c>
      <c r="C8422" s="120" t="s">
        <v>40553</v>
      </c>
      <c r="D8422" s="33" t="s">
        <v>40674</v>
      </c>
      <c r="F8422" s="121" t="s">
        <v>2756</v>
      </c>
      <c r="G8422" s="98" t="str">
        <f>HYPERLINK("http://mirror.ff7data.com.ar/ff7/data/battle/battle.lgp/olaa.png","View Picture")</f>
        <v>View Picture</v>
      </c>
    </row>
    <row r="8423">
      <c r="A8423" s="55"/>
      <c r="B8423" s="119" t="s">
        <v>40675</v>
      </c>
      <c r="C8423" s="120" t="s">
        <v>40556</v>
      </c>
      <c r="D8423" s="31"/>
      <c r="F8423" s="121" t="s">
        <v>2993</v>
      </c>
      <c r="H8423" s="46" t="s">
        <v>3002</v>
      </c>
    </row>
    <row r="8424">
      <c r="A8424" s="55"/>
      <c r="B8424" s="119" t="s">
        <v>40676</v>
      </c>
      <c r="C8424" s="120" t="s">
        <v>26104</v>
      </c>
      <c r="D8424" s="31"/>
      <c r="F8424" s="121" t="s">
        <v>1348</v>
      </c>
      <c r="G8424" s="98" t="str">
        <f>HYPERLINK("http://mirror.ff7data.com.ar/ff7/data/battle/battle.lgp/olac.png","View Picture")</f>
        <v>View Picture</v>
      </c>
    </row>
    <row r="8425">
      <c r="A8425" s="55"/>
      <c r="B8425" s="119" t="s">
        <v>40677</v>
      </c>
      <c r="C8425" s="120" t="s">
        <v>26104</v>
      </c>
      <c r="D8425" s="31"/>
      <c r="F8425" s="121" t="s">
        <v>1348</v>
      </c>
      <c r="G8425" s="98" t="str">
        <f>HYPERLINK("http://mirror.ff7data.com.ar/ff7/data/battle/battle.lgp/olad.png","View Picture")</f>
        <v>View Picture</v>
      </c>
    </row>
    <row r="8426">
      <c r="A8426" s="55"/>
      <c r="B8426" s="119" t="s">
        <v>40678</v>
      </c>
      <c r="C8426" s="120" t="s">
        <v>26095</v>
      </c>
      <c r="D8426" s="31"/>
      <c r="F8426" s="121" t="s">
        <v>1348</v>
      </c>
      <c r="G8426" s="98" t="str">
        <f>HYPERLINK("http://mirror.ff7data.com.ar/ff7/data/battle/battle.lgp/olae.png","View Picture")</f>
        <v>View Picture</v>
      </c>
    </row>
    <row r="8427">
      <c r="A8427" s="55"/>
      <c r="B8427" s="119" t="s">
        <v>40679</v>
      </c>
      <c r="C8427" s="120" t="s">
        <v>6018</v>
      </c>
      <c r="D8427" s="31"/>
      <c r="F8427" s="121" t="s">
        <v>1348</v>
      </c>
      <c r="G8427" s="98" t="str">
        <f>HYPERLINK("http://mirror.ff7data.com.ar/ff7/data/battle/battle.lgp/olaf.png","View Picture")</f>
        <v>View Picture</v>
      </c>
    </row>
    <row r="8428">
      <c r="A8428" s="55"/>
      <c r="B8428" s="119" t="s">
        <v>40680</v>
      </c>
      <c r="C8428" s="120" t="s">
        <v>6018</v>
      </c>
      <c r="D8428" s="31"/>
      <c r="F8428" s="121" t="s">
        <v>1348</v>
      </c>
      <c r="G8428" s="98" t="str">
        <f>HYPERLINK("http://mirror.ff7data.com.ar/ff7/data/battle/battle.lgp/olag.png","View Picture")</f>
        <v>View Picture</v>
      </c>
    </row>
    <row r="8429">
      <c r="A8429" s="55"/>
      <c r="B8429" s="119" t="s">
        <v>40681</v>
      </c>
      <c r="C8429" s="120" t="s">
        <v>26095</v>
      </c>
      <c r="D8429" s="31"/>
      <c r="F8429" s="121" t="s">
        <v>1348</v>
      </c>
      <c r="G8429" s="98" t="str">
        <f>HYPERLINK("http://mirror.ff7data.com.ar/ff7/data/battle/battle.lgp/olah.png","View Picture")</f>
        <v>View Picture</v>
      </c>
    </row>
    <row r="8430">
      <c r="A8430" s="55"/>
      <c r="B8430" s="119" t="s">
        <v>40682</v>
      </c>
      <c r="C8430" s="120" t="s">
        <v>40683</v>
      </c>
      <c r="D8430" s="31"/>
      <c r="F8430" s="121" t="s">
        <v>3009</v>
      </c>
      <c r="G8430" s="98" t="str">
        <f>HYPERLINK("http://mirror.ff7data.com.ar/ff7/data/battle/battle.lgp/olam.png","View Picture")</f>
        <v>View Picture</v>
      </c>
    </row>
    <row r="8431">
      <c r="A8431" s="55"/>
      <c r="B8431" s="119" t="s">
        <v>40684</v>
      </c>
      <c r="C8431" s="120" t="s">
        <v>3768</v>
      </c>
      <c r="D8431" s="31"/>
      <c r="F8431" s="121" t="s">
        <v>3009</v>
      </c>
      <c r="G8431" s="98" t="str">
        <f>HYPERLINK("http://mirror.ff7data.com.ar/ff7/data/battle/battle.lgp/olan.png","View Picture")</f>
        <v>View Picture</v>
      </c>
    </row>
    <row r="8432">
      <c r="A8432" s="55"/>
      <c r="B8432" s="119" t="s">
        <v>40685</v>
      </c>
      <c r="C8432" s="120" t="s">
        <v>3842</v>
      </c>
      <c r="D8432" s="31"/>
      <c r="F8432" s="121" t="s">
        <v>3009</v>
      </c>
      <c r="G8432" s="98" t="str">
        <f>HYPERLINK("http://mirror.ff7data.com.ar/ff7/data/battle/battle.lgp/olao.png","View Picture")</f>
        <v>View Picture</v>
      </c>
    </row>
    <row r="8433">
      <c r="A8433" s="55"/>
      <c r="B8433" s="119" t="s">
        <v>40686</v>
      </c>
      <c r="C8433" s="120" t="s">
        <v>4476</v>
      </c>
      <c r="D8433" s="31"/>
      <c r="F8433" s="121" t="s">
        <v>3009</v>
      </c>
      <c r="G8433" s="98" t="str">
        <f>HYPERLINK("http://mirror.ff7data.com.ar/ff7/data/battle/battle.lgp/olap.png","View Picture")</f>
        <v>View Picture</v>
      </c>
    </row>
    <row r="8434">
      <c r="A8434" s="55"/>
      <c r="B8434" s="119" t="s">
        <v>40687</v>
      </c>
      <c r="C8434" s="120" t="s">
        <v>4357</v>
      </c>
      <c r="D8434" s="31"/>
      <c r="F8434" s="121" t="s">
        <v>3009</v>
      </c>
      <c r="G8434" s="98" t="str">
        <f>HYPERLINK("http://mirror.ff7data.com.ar/ff7/data/battle/battle.lgp/olaq.png","View Picture")</f>
        <v>View Picture</v>
      </c>
    </row>
    <row r="8435">
      <c r="A8435" s="55"/>
      <c r="B8435" s="119" t="s">
        <v>40688</v>
      </c>
      <c r="C8435" s="120" t="s">
        <v>3481</v>
      </c>
      <c r="D8435" s="31"/>
      <c r="F8435" s="121" t="s">
        <v>3009</v>
      </c>
      <c r="G8435" s="98" t="str">
        <f>HYPERLINK("http://mirror.ff7data.com.ar/ff7/data/battle/battle.lgp/olar.png","View Picture")</f>
        <v>View Picture</v>
      </c>
    </row>
    <row r="8436">
      <c r="A8436" s="55"/>
      <c r="B8436" s="119" t="s">
        <v>40689</v>
      </c>
      <c r="C8436" s="120" t="s">
        <v>3343</v>
      </c>
      <c r="D8436" s="31"/>
      <c r="F8436" s="121" t="s">
        <v>3009</v>
      </c>
      <c r="G8436" s="98" t="str">
        <f>HYPERLINK("http://mirror.ff7data.com.ar/ff7/data/battle/battle.lgp/olas.png","View Picture")</f>
        <v>View Picture</v>
      </c>
    </row>
    <row r="8437">
      <c r="A8437" s="55"/>
      <c r="B8437" s="119" t="s">
        <v>40690</v>
      </c>
      <c r="C8437" s="120" t="s">
        <v>3465</v>
      </c>
      <c r="D8437" s="31"/>
      <c r="F8437" s="121" t="s">
        <v>3009</v>
      </c>
      <c r="G8437" s="98" t="str">
        <f>HYPERLINK("http://mirror.ff7data.com.ar/ff7/data/battle/battle.lgp/olat.png","View Picture")</f>
        <v>View Picture</v>
      </c>
    </row>
    <row r="8438">
      <c r="A8438" s="55"/>
      <c r="B8438" s="119" t="s">
        <v>40691</v>
      </c>
      <c r="C8438" s="120" t="s">
        <v>7129</v>
      </c>
      <c r="D8438" s="31"/>
      <c r="F8438" s="121" t="s">
        <v>3009</v>
      </c>
      <c r="G8438" s="98" t="str">
        <f>HYPERLINK("http://mirror.ff7data.com.ar/ff7/data/battle/battle.lgp/olau.png","View Picture")</f>
        <v>View Picture</v>
      </c>
    </row>
    <row r="8439">
      <c r="A8439" s="55"/>
      <c r="B8439" s="119" t="s">
        <v>40692</v>
      </c>
      <c r="C8439" s="120" t="s">
        <v>4357</v>
      </c>
      <c r="D8439" s="31"/>
      <c r="F8439" s="121" t="s">
        <v>3009</v>
      </c>
      <c r="G8439" s="98" t="str">
        <f>HYPERLINK("http://mirror.ff7data.com.ar/ff7/data/battle/battle.lgp/olav.png","View Picture")</f>
        <v>View Picture</v>
      </c>
    </row>
    <row r="8440">
      <c r="A8440" s="55"/>
      <c r="B8440" s="119" t="s">
        <v>40693</v>
      </c>
      <c r="C8440" s="120" t="s">
        <v>4264</v>
      </c>
      <c r="D8440" s="31"/>
      <c r="F8440" s="121" t="s">
        <v>3009</v>
      </c>
      <c r="G8440" s="98" t="str">
        <f>HYPERLINK("http://mirror.ff7data.com.ar/ff7/data/battle/battle.lgp/olaw.png","View Picture")</f>
        <v>View Picture</v>
      </c>
    </row>
    <row r="8441">
      <c r="A8441" s="79"/>
      <c r="B8441" s="119" t="s">
        <v>40694</v>
      </c>
      <c r="C8441" s="120" t="s">
        <v>40553</v>
      </c>
      <c r="D8441" s="33" t="s">
        <v>40695</v>
      </c>
      <c r="F8441" s="121" t="s">
        <v>2756</v>
      </c>
      <c r="G8441" s="98" t="str">
        <f>HYPERLINK("http://mirror.ff7data.com.ar/ff7/data/battle/battle.lgp/omaa.png","View Picture")</f>
        <v>View Picture</v>
      </c>
    </row>
    <row r="8442">
      <c r="A8442" s="55"/>
      <c r="B8442" s="119" t="s">
        <v>40696</v>
      </c>
      <c r="C8442" s="120" t="s">
        <v>40556</v>
      </c>
      <c r="D8442" s="31"/>
      <c r="F8442" s="121" t="s">
        <v>2993</v>
      </c>
      <c r="H8442" s="46" t="s">
        <v>3002</v>
      </c>
    </row>
    <row r="8443">
      <c r="A8443" s="55"/>
      <c r="B8443" s="119" t="s">
        <v>40697</v>
      </c>
      <c r="C8443" s="120" t="s">
        <v>26104</v>
      </c>
      <c r="D8443" s="31"/>
      <c r="F8443" s="121" t="s">
        <v>1348</v>
      </c>
      <c r="G8443" s="98" t="str">
        <f>HYPERLINK("http://mirror.ff7data.com.ar/ff7/data/battle/battle.lgp/omac.png","View Picture")</f>
        <v>View Picture</v>
      </c>
    </row>
    <row r="8444">
      <c r="A8444" s="55"/>
      <c r="B8444" s="119" t="s">
        <v>40698</v>
      </c>
      <c r="C8444" s="120" t="s">
        <v>26104</v>
      </c>
      <c r="D8444" s="31"/>
      <c r="F8444" s="121" t="s">
        <v>1348</v>
      </c>
      <c r="G8444" s="98" t="str">
        <f>HYPERLINK("http://mirror.ff7data.com.ar/ff7/data/battle/battle.lgp/omad.png","View Picture")</f>
        <v>View Picture</v>
      </c>
    </row>
    <row r="8445">
      <c r="A8445" s="55"/>
      <c r="B8445" s="119" t="s">
        <v>40699</v>
      </c>
      <c r="C8445" s="120" t="s">
        <v>26095</v>
      </c>
      <c r="D8445" s="31"/>
      <c r="F8445" s="121" t="s">
        <v>1348</v>
      </c>
      <c r="G8445" s="98" t="str">
        <f>HYPERLINK("http://mirror.ff7data.com.ar/ff7/data/battle/battle.lgp/omae.png","View Picture")</f>
        <v>View Picture</v>
      </c>
    </row>
    <row r="8446">
      <c r="A8446" s="55"/>
      <c r="B8446" s="119" t="s">
        <v>40700</v>
      </c>
      <c r="C8446" s="120" t="s">
        <v>6018</v>
      </c>
      <c r="D8446" s="31"/>
      <c r="F8446" s="121" t="s">
        <v>1348</v>
      </c>
      <c r="G8446" s="98" t="str">
        <f>HYPERLINK("http://mirror.ff7data.com.ar/ff7/data/battle/battle.lgp/omaf.png","View Picture")</f>
        <v>View Picture</v>
      </c>
    </row>
    <row r="8447">
      <c r="A8447" s="55"/>
      <c r="B8447" s="119" t="s">
        <v>40701</v>
      </c>
      <c r="C8447" s="120" t="s">
        <v>8550</v>
      </c>
      <c r="D8447" s="31"/>
      <c r="F8447" s="121" t="s">
        <v>3009</v>
      </c>
      <c r="G8447" s="98" t="str">
        <f>HYPERLINK("http://mirror.ff7data.com.ar/ff7/data/battle/battle.lgp/omam.png","View Picture")</f>
        <v>View Picture</v>
      </c>
    </row>
    <row r="8448">
      <c r="A8448" s="55"/>
      <c r="B8448" s="119" t="s">
        <v>40702</v>
      </c>
      <c r="C8448" s="120" t="s">
        <v>3768</v>
      </c>
      <c r="D8448" s="31"/>
      <c r="F8448" s="121" t="s">
        <v>3009</v>
      </c>
      <c r="G8448" s="98" t="str">
        <f>HYPERLINK("http://mirror.ff7data.com.ar/ff7/data/battle/battle.lgp/oman.png","View Picture")</f>
        <v>View Picture</v>
      </c>
    </row>
    <row r="8449">
      <c r="A8449" s="55"/>
      <c r="B8449" s="119" t="s">
        <v>40703</v>
      </c>
      <c r="C8449" s="120" t="s">
        <v>3842</v>
      </c>
      <c r="D8449" s="31"/>
      <c r="F8449" s="121" t="s">
        <v>3009</v>
      </c>
      <c r="G8449" s="98" t="str">
        <f>HYPERLINK("http://mirror.ff7data.com.ar/ff7/data/battle/battle.lgp/omao.png","View Picture")</f>
        <v>View Picture</v>
      </c>
    </row>
    <row r="8450">
      <c r="A8450" s="55"/>
      <c r="B8450" s="119" t="s">
        <v>40704</v>
      </c>
      <c r="C8450" s="120" t="s">
        <v>4476</v>
      </c>
      <c r="D8450" s="31"/>
      <c r="F8450" s="121" t="s">
        <v>3009</v>
      </c>
      <c r="G8450" s="98" t="str">
        <f>HYPERLINK("http://mirror.ff7data.com.ar/ff7/data/battle/battle.lgp/omap.png","View Picture")</f>
        <v>View Picture</v>
      </c>
    </row>
    <row r="8451">
      <c r="A8451" s="55"/>
      <c r="B8451" s="119" t="s">
        <v>40705</v>
      </c>
      <c r="C8451" s="120" t="s">
        <v>3465</v>
      </c>
      <c r="D8451" s="31"/>
      <c r="F8451" s="121" t="s">
        <v>3009</v>
      </c>
      <c r="G8451" s="98" t="str">
        <f>HYPERLINK("http://mirror.ff7data.com.ar/ff7/data/battle/battle.lgp/omaq.png","View Picture")</f>
        <v>View Picture</v>
      </c>
    </row>
    <row r="8452">
      <c r="A8452" s="55"/>
      <c r="B8452" s="119" t="s">
        <v>40706</v>
      </c>
      <c r="C8452" s="120" t="s">
        <v>4046</v>
      </c>
      <c r="D8452" s="31"/>
      <c r="F8452" s="121" t="s">
        <v>3009</v>
      </c>
      <c r="G8452" s="98" t="str">
        <f>HYPERLINK("http://mirror.ff7data.com.ar/ff7/data/battle/battle.lgp/omar.png","View Picture")</f>
        <v>View Picture</v>
      </c>
    </row>
    <row r="8453">
      <c r="A8453" s="79"/>
      <c r="B8453" s="119" t="s">
        <v>40707</v>
      </c>
      <c r="C8453" s="120" t="s">
        <v>40553</v>
      </c>
      <c r="D8453" s="33" t="s">
        <v>40708</v>
      </c>
      <c r="F8453" s="121" t="s">
        <v>2756</v>
      </c>
      <c r="G8453" s="98" t="str">
        <f>HYPERLINK("http://mirror.ff7data.com.ar/ff7/data/battle/battle.lgp/onaa.png","View Picture")</f>
        <v>View Picture</v>
      </c>
      <c r="H8453" s="46" t="s">
        <v>40597</v>
      </c>
    </row>
    <row r="8454">
      <c r="A8454" s="55"/>
      <c r="B8454" s="119" t="s">
        <v>40709</v>
      </c>
      <c r="C8454" s="120" t="s">
        <v>40556</v>
      </c>
      <c r="D8454" s="31"/>
      <c r="F8454" s="121" t="s">
        <v>2993</v>
      </c>
      <c r="H8454" s="46" t="s">
        <v>40710</v>
      </c>
    </row>
    <row r="8455">
      <c r="A8455" s="55"/>
      <c r="B8455" s="119" t="s">
        <v>40711</v>
      </c>
      <c r="C8455" s="120" t="s">
        <v>26104</v>
      </c>
      <c r="D8455" s="31"/>
      <c r="F8455" s="121" t="s">
        <v>1348</v>
      </c>
      <c r="G8455" s="98" t="str">
        <f>HYPERLINK("http://mirror.ff7data.com.ar/ff7/data/battle/battle.lgp/onac.png","View Picture")</f>
        <v>View Picture</v>
      </c>
    </row>
    <row r="8456">
      <c r="A8456" s="55"/>
      <c r="B8456" s="119" t="s">
        <v>40712</v>
      </c>
      <c r="C8456" s="120" t="s">
        <v>26104</v>
      </c>
      <c r="D8456" s="31"/>
      <c r="F8456" s="121" t="s">
        <v>1348</v>
      </c>
      <c r="G8456" s="98" t="str">
        <f>HYPERLINK("http://mirror.ff7data.com.ar/ff7/data/battle/battle.lgp/onad.png","View Picture")</f>
        <v>View Picture</v>
      </c>
    </row>
    <row r="8457">
      <c r="A8457" s="55"/>
      <c r="B8457" s="119" t="s">
        <v>40713</v>
      </c>
      <c r="C8457" s="120" t="s">
        <v>26095</v>
      </c>
      <c r="D8457" s="31"/>
      <c r="F8457" s="121" t="s">
        <v>1348</v>
      </c>
      <c r="G8457" s="98" t="str">
        <f>HYPERLINK("http://mirror.ff7data.com.ar/ff7/data/battle/battle.lgp/onae.png","View Picture")</f>
        <v>View Picture</v>
      </c>
    </row>
    <row r="8458">
      <c r="A8458" s="55"/>
      <c r="B8458" s="119" t="s">
        <v>40714</v>
      </c>
      <c r="C8458" s="120" t="s">
        <v>6018</v>
      </c>
      <c r="D8458" s="31"/>
      <c r="F8458" s="121" t="s">
        <v>1348</v>
      </c>
      <c r="G8458" s="98" t="str">
        <f>HYPERLINK("http://mirror.ff7data.com.ar/ff7/data/battle/battle.lgp/onaf.png","View Picture")</f>
        <v>View Picture</v>
      </c>
    </row>
    <row r="8459">
      <c r="A8459" s="55"/>
      <c r="B8459" s="119" t="s">
        <v>40715</v>
      </c>
      <c r="C8459" s="120" t="s">
        <v>26095</v>
      </c>
      <c r="D8459" s="31"/>
      <c r="F8459" s="121" t="s">
        <v>1348</v>
      </c>
      <c r="G8459" s="98" t="str">
        <f>HYPERLINK("http://mirror.ff7data.com.ar/ff7/data/battle/battle.lgp/onag.png","View Picture")</f>
        <v>View Picture</v>
      </c>
    </row>
    <row r="8460">
      <c r="A8460" s="55"/>
      <c r="B8460" s="119" t="s">
        <v>40716</v>
      </c>
      <c r="C8460" s="120" t="s">
        <v>26095</v>
      </c>
      <c r="D8460" s="31"/>
      <c r="F8460" s="121" t="s">
        <v>1348</v>
      </c>
      <c r="G8460" s="98" t="str">
        <f>HYPERLINK("http://mirror.ff7data.com.ar/ff7/data/battle/battle.lgp/onah.png","View Picture")</f>
        <v>View Picture</v>
      </c>
    </row>
    <row r="8461">
      <c r="A8461" s="55"/>
      <c r="B8461" s="119" t="s">
        <v>40717</v>
      </c>
      <c r="C8461" s="120" t="s">
        <v>6010</v>
      </c>
      <c r="D8461" s="31"/>
      <c r="F8461" s="121" t="s">
        <v>3009</v>
      </c>
      <c r="G8461" s="98" t="str">
        <f>HYPERLINK("http://mirror.ff7data.com.ar/ff7/data/battle/battle.lgp/onam.png","View Picture")</f>
        <v>View Picture</v>
      </c>
    </row>
    <row r="8462">
      <c r="A8462" s="55"/>
      <c r="B8462" s="119" t="s">
        <v>40718</v>
      </c>
      <c r="C8462" s="120" t="s">
        <v>3768</v>
      </c>
      <c r="D8462" s="31"/>
      <c r="F8462" s="121" t="s">
        <v>3009</v>
      </c>
      <c r="G8462" s="98" t="str">
        <f>HYPERLINK("http://mirror.ff7data.com.ar/ff7/data/battle/battle.lgp/onan.png","View Picture")</f>
        <v>View Picture</v>
      </c>
    </row>
    <row r="8463">
      <c r="A8463" s="55"/>
      <c r="B8463" s="119" t="s">
        <v>40719</v>
      </c>
      <c r="C8463" s="120" t="s">
        <v>3842</v>
      </c>
      <c r="D8463" s="31"/>
      <c r="F8463" s="121" t="s">
        <v>3009</v>
      </c>
      <c r="G8463" s="98" t="str">
        <f>HYPERLINK("http://mirror.ff7data.com.ar/ff7/data/battle/battle.lgp/onao.png","View Picture")</f>
        <v>View Picture</v>
      </c>
    </row>
    <row r="8464">
      <c r="A8464" s="55"/>
      <c r="B8464" s="119" t="s">
        <v>40720</v>
      </c>
      <c r="C8464" s="120" t="s">
        <v>4476</v>
      </c>
      <c r="D8464" s="31"/>
      <c r="F8464" s="121" t="s">
        <v>3009</v>
      </c>
      <c r="G8464" s="98" t="str">
        <f>HYPERLINK("http://mirror.ff7data.com.ar/ff7/data/battle/battle.lgp/onap.png","View Picture")</f>
        <v>View Picture</v>
      </c>
    </row>
    <row r="8465">
      <c r="A8465" s="55"/>
      <c r="B8465" s="119" t="s">
        <v>40721</v>
      </c>
      <c r="C8465" s="120" t="s">
        <v>3505</v>
      </c>
      <c r="D8465" s="31"/>
      <c r="F8465" s="121" t="s">
        <v>3009</v>
      </c>
      <c r="G8465" s="98" t="str">
        <f>HYPERLINK("http://mirror.ff7data.com.ar/ff7/data/battle/battle.lgp/onaq.png","View Picture")</f>
        <v>View Picture</v>
      </c>
    </row>
    <row r="8466">
      <c r="A8466" s="55"/>
      <c r="B8466" s="119" t="s">
        <v>40722</v>
      </c>
      <c r="C8466" s="120" t="s">
        <v>4841</v>
      </c>
      <c r="D8466" s="31"/>
      <c r="F8466" s="121" t="s">
        <v>3009</v>
      </c>
      <c r="G8466" s="98" t="str">
        <f>HYPERLINK("http://mirror.ff7data.com.ar/ff7/data/battle/battle.lgp/onar.png","View Picture")</f>
        <v>View Picture</v>
      </c>
    </row>
    <row r="8467">
      <c r="A8467" s="55"/>
      <c r="B8467" s="119" t="s">
        <v>40723</v>
      </c>
      <c r="C8467" s="120" t="s">
        <v>3842</v>
      </c>
      <c r="D8467" s="31"/>
      <c r="F8467" s="121" t="s">
        <v>3009</v>
      </c>
      <c r="G8467" s="98" t="str">
        <f>HYPERLINK("http://mirror.ff7data.com.ar/ff7/data/battle/battle.lgp/onas.png","View Picture")</f>
        <v>View Picture</v>
      </c>
    </row>
    <row r="8468">
      <c r="A8468" s="55"/>
      <c r="B8468" s="119" t="s">
        <v>40724</v>
      </c>
      <c r="C8468" s="120" t="s">
        <v>3343</v>
      </c>
      <c r="D8468" s="31"/>
      <c r="F8468" s="121" t="s">
        <v>3009</v>
      </c>
      <c r="G8468" s="98" t="str">
        <f>HYPERLINK("http://mirror.ff7data.com.ar/ff7/data/battle/battle.lgp/onat.png","View Picture")</f>
        <v>View Picture</v>
      </c>
    </row>
    <row r="8469">
      <c r="A8469" s="55"/>
      <c r="B8469" s="119" t="s">
        <v>40725</v>
      </c>
      <c r="C8469" s="120" t="s">
        <v>3842</v>
      </c>
      <c r="D8469" s="31"/>
      <c r="F8469" s="121" t="s">
        <v>3009</v>
      </c>
      <c r="G8469" s="98" t="str">
        <f>HYPERLINK("http://mirror.ff7data.com.ar/ff7/data/battle/battle.lgp/onau.png","View Picture")</f>
        <v>View Picture</v>
      </c>
    </row>
    <row r="8470">
      <c r="A8470" s="55"/>
      <c r="B8470" s="119" t="s">
        <v>40726</v>
      </c>
      <c r="C8470" s="120" t="s">
        <v>3370</v>
      </c>
      <c r="D8470" s="31"/>
      <c r="F8470" s="121" t="s">
        <v>3009</v>
      </c>
      <c r="G8470" s="98" t="str">
        <f>HYPERLINK("http://mirror.ff7data.com.ar/ff7/data/battle/battle.lgp/onav.png","View Picture")</f>
        <v>View Picture</v>
      </c>
    </row>
    <row r="8471">
      <c r="A8471" s="55"/>
      <c r="B8471" s="119" t="s">
        <v>40727</v>
      </c>
      <c r="C8471" s="120" t="s">
        <v>4057</v>
      </c>
      <c r="D8471" s="31"/>
      <c r="F8471" s="121" t="s">
        <v>3009</v>
      </c>
      <c r="G8471" s="98" t="str">
        <f>HYPERLINK("http://mirror.ff7data.com.ar/ff7/data/battle/battle.lgp/onaw.png","View Picture")</f>
        <v>View Picture</v>
      </c>
    </row>
    <row r="8472">
      <c r="A8472" s="79"/>
      <c r="B8472" s="119" t="s">
        <v>40728</v>
      </c>
      <c r="C8472" s="120" t="s">
        <v>40553</v>
      </c>
      <c r="D8472" s="33" t="s">
        <v>40729</v>
      </c>
      <c r="F8472" s="121" t="s">
        <v>2756</v>
      </c>
      <c r="G8472" s="98" t="str">
        <f>HYPERLINK("http://mirror.ff7data.com.ar/ff7/data/battle/battle.lgp/ooaa.png","View Picture")</f>
        <v>View Picture</v>
      </c>
      <c r="H8472" s="46" t="s">
        <v>40597</v>
      </c>
    </row>
    <row r="8473">
      <c r="A8473" s="55"/>
      <c r="B8473" s="119" t="s">
        <v>40730</v>
      </c>
      <c r="C8473" s="120" t="s">
        <v>40556</v>
      </c>
      <c r="D8473" s="31"/>
      <c r="F8473" s="166" t="s">
        <v>2993</v>
      </c>
      <c r="H8473" s="46" t="s">
        <v>3002</v>
      </c>
    </row>
    <row r="8474">
      <c r="A8474" s="55"/>
      <c r="B8474" s="119" t="s">
        <v>40731</v>
      </c>
      <c r="C8474" s="120" t="s">
        <v>26104</v>
      </c>
      <c r="D8474" s="31"/>
      <c r="F8474" s="121" t="s">
        <v>1348</v>
      </c>
      <c r="G8474" s="98" t="str">
        <f>HYPERLINK("http://mirror.ff7data.com.ar/ff7/data/battle/battle.lgp/ooac.png","View Picture")</f>
        <v>View Picture</v>
      </c>
    </row>
    <row r="8475">
      <c r="A8475" s="55"/>
      <c r="B8475" s="119" t="s">
        <v>40732</v>
      </c>
      <c r="C8475" s="120" t="s">
        <v>26104</v>
      </c>
      <c r="D8475" s="31"/>
      <c r="F8475" s="121" t="s">
        <v>1348</v>
      </c>
      <c r="G8475" s="98" t="str">
        <f>HYPERLINK("http://mirror.ff7data.com.ar/ff7/data/battle/battle.lgp/ooad.png","View Picture")</f>
        <v>View Picture</v>
      </c>
    </row>
    <row r="8476">
      <c r="A8476" s="55"/>
      <c r="B8476" s="119" t="s">
        <v>40733</v>
      </c>
      <c r="C8476" s="120" t="s">
        <v>26095</v>
      </c>
      <c r="D8476" s="31"/>
      <c r="F8476" s="121" t="s">
        <v>1348</v>
      </c>
      <c r="G8476" s="98" t="str">
        <f>HYPERLINK("http://mirror.ff7data.com.ar/ff7/data/battle/battle.lgp/ooae.png","View Picture")</f>
        <v>View Picture</v>
      </c>
    </row>
    <row r="8477">
      <c r="A8477" s="55"/>
      <c r="B8477" s="119" t="s">
        <v>40734</v>
      </c>
      <c r="C8477" s="120" t="s">
        <v>26104</v>
      </c>
      <c r="D8477" s="31"/>
      <c r="F8477" s="121" t="s">
        <v>3009</v>
      </c>
      <c r="G8477" s="98" t="str">
        <f>HYPERLINK("http://mirror.ff7data.com.ar/ff7/data/battle/battle.lgp/ooaf.png","View Picture")</f>
        <v>View Picture</v>
      </c>
    </row>
    <row r="8478">
      <c r="A8478" s="55"/>
      <c r="B8478" s="119" t="s">
        <v>40735</v>
      </c>
      <c r="C8478" s="120" t="s">
        <v>4046</v>
      </c>
      <c r="D8478" s="31"/>
      <c r="F8478" s="121" t="s">
        <v>3009</v>
      </c>
      <c r="G8478" s="98" t="str">
        <f>HYPERLINK("http://mirror.ff7data.com.ar/ff7/data/battle/battle.lgp/ooam.png","View Picture")</f>
        <v>View Picture</v>
      </c>
    </row>
    <row r="8479">
      <c r="A8479" s="55"/>
      <c r="B8479" s="119" t="s">
        <v>40736</v>
      </c>
      <c r="C8479" s="120" t="s">
        <v>3768</v>
      </c>
      <c r="D8479" s="31"/>
      <c r="F8479" s="121" t="s">
        <v>3009</v>
      </c>
      <c r="G8479" s="98" t="str">
        <f>HYPERLINK("http://mirror.ff7data.com.ar/ff7/data/battle/battle.lgp/ooan.png","View Picture")</f>
        <v>View Picture</v>
      </c>
    </row>
    <row r="8480">
      <c r="A8480" s="55"/>
      <c r="B8480" s="119" t="s">
        <v>40737</v>
      </c>
      <c r="C8480" s="120" t="s">
        <v>3842</v>
      </c>
      <c r="D8480" s="31"/>
      <c r="F8480" s="121" t="s">
        <v>3009</v>
      </c>
      <c r="G8480" s="98" t="str">
        <f>HYPERLINK("http://mirror.ff7data.com.ar/ff7/data/battle/battle.lgp/ooao.png","View Picture")</f>
        <v>View Picture</v>
      </c>
    </row>
    <row r="8481">
      <c r="A8481" s="55"/>
      <c r="B8481" s="119" t="s">
        <v>40738</v>
      </c>
      <c r="C8481" s="120" t="s">
        <v>4476</v>
      </c>
      <c r="D8481" s="31"/>
      <c r="F8481" s="121" t="s">
        <v>3009</v>
      </c>
      <c r="G8481" s="98" t="str">
        <f>HYPERLINK("http://mirror.ff7data.com.ar/ff7/data/battle/battle.lgp/ooap.png","View Picture")</f>
        <v>View Picture</v>
      </c>
    </row>
    <row r="8482">
      <c r="A8482" s="55"/>
      <c r="B8482" s="119" t="s">
        <v>40739</v>
      </c>
      <c r="C8482" s="120" t="s">
        <v>4841</v>
      </c>
      <c r="D8482" s="31"/>
      <c r="F8482" s="121" t="s">
        <v>3009</v>
      </c>
      <c r="G8482" s="98" t="str">
        <f>HYPERLINK("http://mirror.ff7data.com.ar/ff7/data/battle/battle.lgp/ooaq.png","View Picture")</f>
        <v>View Picture</v>
      </c>
    </row>
    <row r="8483">
      <c r="A8483" s="79"/>
      <c r="B8483" s="119" t="s">
        <v>40740</v>
      </c>
      <c r="C8483" s="120" t="s">
        <v>40553</v>
      </c>
      <c r="D8483" s="33" t="s">
        <v>40741</v>
      </c>
      <c r="F8483" s="121" t="s">
        <v>2756</v>
      </c>
      <c r="G8483" s="98" t="str">
        <f>HYPERLINK("http://mirror.ff7data.com.ar/ff7/data/battle/battle.lgp/opaa.png","View Picture")</f>
        <v>View Picture</v>
      </c>
      <c r="H8483" s="46" t="s">
        <v>40742</v>
      </c>
    </row>
    <row r="8484">
      <c r="A8484" s="55"/>
      <c r="B8484" s="119" t="s">
        <v>40743</v>
      </c>
      <c r="C8484" s="120" t="s">
        <v>40556</v>
      </c>
      <c r="D8484" s="31"/>
      <c r="F8484" s="121" t="s">
        <v>2993</v>
      </c>
      <c r="H8484" s="46" t="s">
        <v>3002</v>
      </c>
    </row>
    <row r="8485">
      <c r="A8485" s="55"/>
      <c r="B8485" s="119" t="s">
        <v>40744</v>
      </c>
      <c r="C8485" s="120" t="s">
        <v>26104</v>
      </c>
      <c r="D8485" s="33" t="s">
        <v>40745</v>
      </c>
      <c r="F8485" s="121" t="s">
        <v>1348</v>
      </c>
      <c r="G8485" s="98" t="str">
        <f>HYPERLINK("http://mirror.ff7data.com.ar/ff7/data/battle/battle.lgp/opac.png","View Picture")</f>
        <v>View Picture</v>
      </c>
    </row>
    <row r="8486">
      <c r="A8486" s="55"/>
      <c r="B8486" s="119" t="s">
        <v>40746</v>
      </c>
      <c r="C8486" s="120" t="s">
        <v>5203</v>
      </c>
      <c r="D8486" s="31"/>
      <c r="F8486" s="121" t="s">
        <v>1348</v>
      </c>
      <c r="G8486" s="98" t="str">
        <f>HYPERLINK("http://mirror.ff7data.com.ar/ff7/data/battle/battle.lgp/opad.png","View Picture")</f>
        <v>View Picture</v>
      </c>
    </row>
    <row r="8487">
      <c r="A8487" s="55"/>
      <c r="B8487" s="119" t="s">
        <v>40747</v>
      </c>
      <c r="C8487" s="120" t="s">
        <v>26104</v>
      </c>
      <c r="D8487" s="31"/>
      <c r="F8487" s="121" t="s">
        <v>1348</v>
      </c>
      <c r="G8487" s="98" t="str">
        <f>HYPERLINK("http://mirror.ff7data.com.ar/ff7/data/battle/battle.lgp/opae.png","View Picture")</f>
        <v>View Picture</v>
      </c>
    </row>
    <row r="8488">
      <c r="A8488" s="55"/>
      <c r="B8488" s="119" t="s">
        <v>40748</v>
      </c>
      <c r="C8488" s="120" t="s">
        <v>26095</v>
      </c>
      <c r="D8488" s="31"/>
      <c r="F8488" s="121" t="s">
        <v>1348</v>
      </c>
      <c r="G8488" s="98" t="str">
        <f>HYPERLINK("http://mirror.ff7data.com.ar/ff7/data/battle/battle.lgp/opaf.png","View Picture")</f>
        <v>View Picture</v>
      </c>
    </row>
    <row r="8489">
      <c r="A8489" s="55"/>
      <c r="B8489" s="119" t="s">
        <v>40749</v>
      </c>
      <c r="C8489" s="120" t="s">
        <v>26095</v>
      </c>
      <c r="D8489" s="31"/>
      <c r="F8489" s="121" t="s">
        <v>1348</v>
      </c>
      <c r="G8489" s="98" t="str">
        <f>HYPERLINK("http://mirror.ff7data.com.ar/ff7/data/battle/battle.lgp/opag.png","View Picture")</f>
        <v>View Picture</v>
      </c>
    </row>
    <row r="8490">
      <c r="A8490" s="55"/>
      <c r="B8490" s="119" t="s">
        <v>40750</v>
      </c>
      <c r="C8490" s="120" t="s">
        <v>26095</v>
      </c>
      <c r="D8490" s="31"/>
      <c r="F8490" s="121" t="s">
        <v>1348</v>
      </c>
      <c r="G8490" s="98" t="str">
        <f>HYPERLINK("http://mirror.ff7data.com.ar/ff7/data/battle/battle.lgp/opah.png","View Picture")</f>
        <v>View Picture</v>
      </c>
    </row>
    <row r="8491">
      <c r="A8491" s="55"/>
      <c r="B8491" s="119" t="s">
        <v>40751</v>
      </c>
      <c r="C8491" s="120" t="s">
        <v>7471</v>
      </c>
      <c r="D8491" s="31"/>
      <c r="F8491" s="121" t="s">
        <v>1348</v>
      </c>
      <c r="G8491" s="98" t="str">
        <f>HYPERLINK("http://mirror.ff7data.com.ar/ff7/data/battle/battle.lgp/opai.png","View Picture")</f>
        <v>View Picture</v>
      </c>
    </row>
    <row r="8492">
      <c r="A8492" s="55"/>
      <c r="B8492" s="119" t="s">
        <v>40752</v>
      </c>
      <c r="C8492" s="120" t="s">
        <v>6010</v>
      </c>
      <c r="D8492" s="31"/>
      <c r="F8492" s="121" t="s">
        <v>3009</v>
      </c>
      <c r="G8492" s="98" t="str">
        <f>HYPERLINK("http://mirror.ff7data.com.ar/ff7/data/battle/battle.lgp/opam.png","View Picture")</f>
        <v>View Picture</v>
      </c>
    </row>
    <row r="8493">
      <c r="A8493" s="55"/>
      <c r="B8493" s="119" t="s">
        <v>40753</v>
      </c>
      <c r="C8493" s="120" t="s">
        <v>4846</v>
      </c>
      <c r="D8493" s="31"/>
      <c r="F8493" s="121" t="s">
        <v>3009</v>
      </c>
      <c r="G8493" s="98" t="str">
        <f>HYPERLINK("http://mirror.ff7data.com.ar/ff7/data/battle/battle.lgp/opan.png","View Picture")</f>
        <v>View Picture</v>
      </c>
    </row>
    <row r="8494">
      <c r="A8494" s="55"/>
      <c r="B8494" s="119" t="s">
        <v>40754</v>
      </c>
      <c r="C8494" s="120" t="s">
        <v>7270</v>
      </c>
      <c r="D8494" s="31"/>
      <c r="F8494" s="121" t="s">
        <v>3009</v>
      </c>
      <c r="G8494" s="98" t="str">
        <f>HYPERLINK("http://mirror.ff7data.com.ar/ff7/data/battle/battle.lgp/opao.png","View Picture")</f>
        <v>View Picture</v>
      </c>
    </row>
    <row r="8495">
      <c r="A8495" s="55"/>
      <c r="B8495" s="119" t="s">
        <v>40755</v>
      </c>
      <c r="C8495" s="120" t="s">
        <v>4846</v>
      </c>
      <c r="D8495" s="31"/>
      <c r="F8495" s="121" t="s">
        <v>3009</v>
      </c>
      <c r="G8495" s="98" t="str">
        <f>HYPERLINK("http://mirror.ff7data.com.ar/ff7/data/battle/battle.lgp/opap.png","View Picture")</f>
        <v>View Picture</v>
      </c>
    </row>
    <row r="8496">
      <c r="A8496" s="55"/>
      <c r="B8496" s="119" t="s">
        <v>40756</v>
      </c>
      <c r="C8496" s="120" t="s">
        <v>3552</v>
      </c>
      <c r="D8496" s="31"/>
      <c r="F8496" s="121" t="s">
        <v>3009</v>
      </c>
      <c r="G8496" s="98" t="str">
        <f>HYPERLINK("http://mirror.ff7data.com.ar/ff7/data/battle/battle.lgp/opaq.png","View Picture")</f>
        <v>View Picture</v>
      </c>
    </row>
    <row r="8497">
      <c r="A8497" s="79"/>
      <c r="B8497" s="119" t="s">
        <v>40757</v>
      </c>
      <c r="C8497" s="120" t="s">
        <v>40553</v>
      </c>
      <c r="D8497" s="33" t="s">
        <v>40758</v>
      </c>
      <c r="F8497" s="121" t="s">
        <v>2756</v>
      </c>
      <c r="G8497" s="98" t="str">
        <f>HYPERLINK("http://mirror.ff7data.com.ar/ff7/data/battle/battle.lgp/oqaa.png","View Picture")</f>
        <v>View Picture</v>
      </c>
    </row>
    <row r="8498">
      <c r="A8498" s="55"/>
      <c r="B8498" s="119" t="s">
        <v>40759</v>
      </c>
      <c r="C8498" s="120" t="s">
        <v>40556</v>
      </c>
      <c r="D8498" s="31"/>
      <c r="F8498" s="121" t="s">
        <v>2993</v>
      </c>
      <c r="H8498" s="46" t="s">
        <v>3002</v>
      </c>
    </row>
    <row r="8499">
      <c r="A8499" s="55"/>
      <c r="B8499" s="119" t="s">
        <v>40760</v>
      </c>
      <c r="C8499" s="120" t="s">
        <v>26104</v>
      </c>
      <c r="D8499" s="31"/>
      <c r="F8499" s="121" t="s">
        <v>1348</v>
      </c>
      <c r="G8499" s="98" t="str">
        <f>HYPERLINK("http://mirror.ff7data.com.ar/ff7/data/battle/battle.lgp/oqac.png","View Picture")</f>
        <v>View Picture</v>
      </c>
    </row>
    <row r="8500">
      <c r="A8500" s="55"/>
      <c r="B8500" s="119" t="s">
        <v>40761</v>
      </c>
      <c r="C8500" s="120" t="s">
        <v>26095</v>
      </c>
      <c r="D8500" s="31"/>
      <c r="F8500" s="121" t="s">
        <v>1348</v>
      </c>
      <c r="G8500" s="98" t="str">
        <f>HYPERLINK("http://mirror.ff7data.com.ar/ff7/data/battle/battle.lgp/oqad.png","View Picture")</f>
        <v>View Picture</v>
      </c>
    </row>
    <row r="8501">
      <c r="A8501" s="55"/>
      <c r="B8501" s="119" t="s">
        <v>40762</v>
      </c>
      <c r="C8501" s="120" t="s">
        <v>26095</v>
      </c>
      <c r="D8501" s="31"/>
      <c r="F8501" s="121" t="s">
        <v>1348</v>
      </c>
      <c r="G8501" s="98" t="str">
        <f>HYPERLINK("http://mirror.ff7data.com.ar/ff7/data/battle/battle.lgp/oqae.png","View Picture")</f>
        <v>View Picture</v>
      </c>
    </row>
    <row r="8502">
      <c r="A8502" s="55"/>
      <c r="B8502" s="119" t="s">
        <v>40763</v>
      </c>
      <c r="C8502" s="120" t="s">
        <v>26104</v>
      </c>
      <c r="D8502" s="31"/>
      <c r="F8502" s="121" t="s">
        <v>1348</v>
      </c>
      <c r="G8502" s="98" t="str">
        <f>HYPERLINK("http://mirror.ff7data.com.ar/ff7/data/battle/battle.lgp/oqaf.png","View Picture")</f>
        <v>View Picture</v>
      </c>
    </row>
    <row r="8503">
      <c r="A8503" s="55"/>
      <c r="B8503" s="119" t="s">
        <v>40764</v>
      </c>
      <c r="C8503" s="120" t="s">
        <v>26095</v>
      </c>
      <c r="D8503" s="31"/>
      <c r="F8503" s="121" t="s">
        <v>1348</v>
      </c>
      <c r="G8503" s="98" t="str">
        <f>HYPERLINK("http://mirror.ff7data.com.ar/ff7/data/battle/battle.lgp/oqag.png","View Picture")</f>
        <v>View Picture</v>
      </c>
    </row>
    <row r="8504">
      <c r="A8504" s="55"/>
      <c r="B8504" s="119" t="s">
        <v>40765</v>
      </c>
      <c r="C8504" s="120" t="s">
        <v>40766</v>
      </c>
      <c r="D8504" s="31"/>
      <c r="F8504" s="121" t="s">
        <v>3009</v>
      </c>
      <c r="G8504" s="98" t="str">
        <f>HYPERLINK("http://mirror.ff7data.com.ar/ff7/data/battle/battle.lgp/oqam.png","View Picture")</f>
        <v>View Picture</v>
      </c>
    </row>
    <row r="8505">
      <c r="A8505" s="55"/>
      <c r="B8505" s="119" t="s">
        <v>40767</v>
      </c>
      <c r="C8505" s="120" t="s">
        <v>4846</v>
      </c>
      <c r="D8505" s="31"/>
      <c r="F8505" s="121" t="s">
        <v>3009</v>
      </c>
      <c r="G8505" s="98" t="str">
        <f>HYPERLINK("http://mirror.ff7data.com.ar/ff7/data/battle/battle.lgp/oqan.png","View Picture")</f>
        <v>View Picture</v>
      </c>
    </row>
    <row r="8506">
      <c r="A8506" s="55"/>
      <c r="B8506" s="119" t="s">
        <v>40768</v>
      </c>
      <c r="C8506" s="120" t="s">
        <v>4846</v>
      </c>
      <c r="D8506" s="31"/>
      <c r="F8506" s="121" t="s">
        <v>3009</v>
      </c>
      <c r="G8506" s="98" t="str">
        <f>HYPERLINK("http://mirror.ff7data.com.ar/ff7/data/battle/battle.lgp/oqao.png","View Picture")</f>
        <v>View Picture</v>
      </c>
    </row>
    <row r="8507">
      <c r="A8507" s="55"/>
      <c r="B8507" s="119" t="s">
        <v>40769</v>
      </c>
      <c r="C8507" s="120" t="s">
        <v>4846</v>
      </c>
      <c r="D8507" s="31"/>
      <c r="F8507" s="121" t="s">
        <v>3009</v>
      </c>
      <c r="G8507" s="98" t="str">
        <f>HYPERLINK("http://mirror.ff7data.com.ar/ff7/data/battle/battle.lgp/oqap.png","View Picture")</f>
        <v>View Picture</v>
      </c>
    </row>
    <row r="8508">
      <c r="A8508" s="55"/>
      <c r="B8508" s="119" t="s">
        <v>40770</v>
      </c>
      <c r="C8508" s="120" t="s">
        <v>26336</v>
      </c>
      <c r="D8508" s="31"/>
      <c r="F8508" s="121" t="s">
        <v>3009</v>
      </c>
      <c r="G8508" s="98" t="str">
        <f>HYPERLINK("http://mirror.ff7data.com.ar/ff7/data/battle/battle.lgp/oqaq.png","View Picture")</f>
        <v>View Picture</v>
      </c>
    </row>
    <row r="8509">
      <c r="A8509" s="55"/>
      <c r="B8509" s="119" t="s">
        <v>40771</v>
      </c>
      <c r="C8509" s="120" t="s">
        <v>4288</v>
      </c>
      <c r="D8509" s="31"/>
      <c r="F8509" s="121" t="s">
        <v>3009</v>
      </c>
      <c r="G8509" s="98" t="str">
        <f>HYPERLINK("http://mirror.ff7data.com.ar/ff7/data/battle/battle.lgp/oqar.png","View Picture")</f>
        <v>View Picture</v>
      </c>
    </row>
    <row r="8510">
      <c r="A8510" s="55"/>
      <c r="B8510" s="119" t="s">
        <v>40772</v>
      </c>
      <c r="C8510" s="120" t="s">
        <v>4732</v>
      </c>
      <c r="D8510" s="31"/>
      <c r="F8510" s="121" t="s">
        <v>3009</v>
      </c>
      <c r="G8510" s="98" t="str">
        <f>HYPERLINK("http://mirror.ff7data.com.ar/ff7/data/battle/battle.lgp/oqas.png","View Picture")</f>
        <v>View Picture</v>
      </c>
    </row>
    <row r="8511">
      <c r="A8511" s="55"/>
      <c r="B8511" s="119" t="s">
        <v>40773</v>
      </c>
      <c r="C8511" s="120" t="s">
        <v>4372</v>
      </c>
      <c r="D8511" s="31"/>
      <c r="F8511" s="121" t="s">
        <v>3009</v>
      </c>
      <c r="G8511" s="98" t="str">
        <f>HYPERLINK("http://mirror.ff7data.com.ar/ff7/data/battle/battle.lgp/oqat.png","View Picture")</f>
        <v>View Picture</v>
      </c>
    </row>
    <row r="8512">
      <c r="A8512" s="55"/>
      <c r="B8512" s="119" t="s">
        <v>40774</v>
      </c>
      <c r="C8512" s="120" t="s">
        <v>7270</v>
      </c>
      <c r="D8512" s="31"/>
      <c r="F8512" s="121" t="s">
        <v>3009</v>
      </c>
      <c r="G8512" s="98" t="str">
        <f>HYPERLINK("http://mirror.ff7data.com.ar/ff7/data/battle/battle.lgp/oqau.png","View Picture")</f>
        <v>View Picture</v>
      </c>
    </row>
    <row r="8513">
      <c r="A8513" s="55"/>
      <c r="B8513" s="119" t="s">
        <v>40775</v>
      </c>
      <c r="C8513" s="120" t="s">
        <v>5891</v>
      </c>
      <c r="D8513" s="31"/>
      <c r="F8513" s="121" t="s">
        <v>3009</v>
      </c>
      <c r="G8513" s="98" t="str">
        <f>HYPERLINK("http://mirror.ff7data.com.ar/ff7/data/battle/battle.lgp/oqav.png","View Picture")</f>
        <v>View Picture</v>
      </c>
    </row>
    <row r="8514">
      <c r="A8514" s="55"/>
      <c r="B8514" s="119" t="s">
        <v>40776</v>
      </c>
      <c r="C8514" s="120" t="s">
        <v>5891</v>
      </c>
      <c r="D8514" s="31"/>
      <c r="F8514" s="121" t="s">
        <v>3009</v>
      </c>
      <c r="G8514" s="98" t="str">
        <f>HYPERLINK("http://mirror.ff7data.com.ar/ff7/data/battle/battle.lgp/oqaw.png","View Picture")</f>
        <v>View Picture</v>
      </c>
    </row>
    <row r="8515">
      <c r="A8515" s="55"/>
      <c r="B8515" s="119" t="s">
        <v>40777</v>
      </c>
      <c r="C8515" s="120" t="s">
        <v>3494</v>
      </c>
      <c r="D8515" s="31"/>
      <c r="F8515" s="121" t="s">
        <v>3009</v>
      </c>
      <c r="G8515" s="98" t="str">
        <f>HYPERLINK("http://mirror.ff7data.com.ar/ff7/data/battle/battle.lgp/oqax.png","View Picture")</f>
        <v>View Picture</v>
      </c>
    </row>
    <row r="8516">
      <c r="A8516" s="55"/>
      <c r="B8516" s="119" t="s">
        <v>40778</v>
      </c>
      <c r="C8516" s="120" t="s">
        <v>3318</v>
      </c>
      <c r="D8516" s="31"/>
      <c r="F8516" s="121" t="s">
        <v>3009</v>
      </c>
      <c r="G8516" s="98" t="str">
        <f>HYPERLINK("http://mirror.ff7data.com.ar/ff7/data/battle/battle.lgp/oqay.png","View Picture")</f>
        <v>View Picture</v>
      </c>
    </row>
    <row r="8517">
      <c r="A8517" s="55"/>
      <c r="B8517" s="119" t="s">
        <v>40779</v>
      </c>
      <c r="C8517" s="120" t="s">
        <v>14030</v>
      </c>
      <c r="D8517" s="31"/>
      <c r="F8517" s="121" t="s">
        <v>3009</v>
      </c>
      <c r="G8517" s="98" t="str">
        <f>HYPERLINK("http://mirror.ff7data.com.ar/ff7/data/battle/battle.lgp/oqaz.png","View Picture")</f>
        <v>View Picture</v>
      </c>
    </row>
    <row r="8518">
      <c r="A8518" s="55"/>
      <c r="B8518" s="119" t="s">
        <v>40780</v>
      </c>
      <c r="C8518" s="120" t="s">
        <v>5891</v>
      </c>
      <c r="D8518" s="31"/>
      <c r="F8518" s="121" t="s">
        <v>3009</v>
      </c>
      <c r="G8518" s="98" t="str">
        <f>HYPERLINK("http://mirror.ff7data.com.ar/ff7/data/battle/battle.lgp/oqba.png","View Picture")</f>
        <v>View Picture</v>
      </c>
    </row>
    <row r="8519">
      <c r="A8519" s="55"/>
      <c r="B8519" s="119" t="s">
        <v>40781</v>
      </c>
      <c r="C8519" s="120" t="s">
        <v>3875</v>
      </c>
      <c r="D8519" s="31"/>
      <c r="F8519" s="121" t="s">
        <v>3009</v>
      </c>
      <c r="G8519" s="98" t="str">
        <f>HYPERLINK("http://mirror.ff7data.com.ar/ff7/data/battle/battle.lgp/oqbb.png","View Picture")</f>
        <v>View Picture</v>
      </c>
    </row>
    <row r="8520">
      <c r="A8520" s="55"/>
      <c r="B8520" s="119" t="s">
        <v>40782</v>
      </c>
      <c r="C8520" s="120" t="s">
        <v>19628</v>
      </c>
      <c r="D8520" s="31"/>
      <c r="F8520" s="121" t="s">
        <v>3009</v>
      </c>
      <c r="G8520" s="98" t="str">
        <f>HYPERLINK("http://mirror.ff7data.com.ar/ff7/data/battle/battle.lgp/oqbc.png","View Picture")</f>
        <v>View Picture</v>
      </c>
    </row>
    <row r="8521">
      <c r="A8521" s="55"/>
      <c r="B8521" s="119" t="s">
        <v>40783</v>
      </c>
      <c r="C8521" s="120" t="s">
        <v>5891</v>
      </c>
      <c r="D8521" s="31"/>
      <c r="F8521" s="121" t="s">
        <v>3009</v>
      </c>
      <c r="G8521" s="98" t="str">
        <f>HYPERLINK("http://mirror.ff7data.com.ar/ff7/data/battle/battle.lgp/oqbd.png","View Picture")</f>
        <v>View Picture</v>
      </c>
    </row>
    <row r="8522">
      <c r="A8522" s="55"/>
      <c r="B8522" s="119" t="s">
        <v>40784</v>
      </c>
      <c r="C8522" s="120" t="s">
        <v>3723</v>
      </c>
      <c r="D8522" s="31"/>
      <c r="F8522" s="121" t="s">
        <v>3009</v>
      </c>
      <c r="G8522" s="98" t="str">
        <f>HYPERLINK("http://mirror.ff7data.com.ar/ff7/data/battle/battle.lgp/oqbe.png","View Picture")</f>
        <v>View Picture</v>
      </c>
    </row>
    <row r="8523">
      <c r="A8523" s="55"/>
      <c r="B8523" s="119" t="s">
        <v>40785</v>
      </c>
      <c r="C8523" s="120" t="s">
        <v>4372</v>
      </c>
      <c r="D8523" s="31"/>
      <c r="F8523" s="121" t="s">
        <v>3009</v>
      </c>
      <c r="G8523" s="98" t="str">
        <f>HYPERLINK("http://mirror.ff7data.com.ar/ff7/data/battle/battle.lgp/oqbf.png","View Picture")</f>
        <v>View Picture</v>
      </c>
    </row>
    <row r="8524">
      <c r="A8524" s="55"/>
      <c r="B8524" s="119" t="s">
        <v>40786</v>
      </c>
      <c r="C8524" s="120" t="s">
        <v>4057</v>
      </c>
      <c r="D8524" s="31"/>
      <c r="F8524" s="121" t="s">
        <v>3009</v>
      </c>
      <c r="G8524" s="98" t="str">
        <f>HYPERLINK("http://mirror.ff7data.com.ar/ff7/data/battle/battle.lgp/oqbg.png","View Picture")</f>
        <v>View Picture</v>
      </c>
    </row>
    <row r="8525">
      <c r="A8525" s="55"/>
      <c r="B8525" s="119" t="s">
        <v>40787</v>
      </c>
      <c r="C8525" s="120" t="s">
        <v>3961</v>
      </c>
      <c r="D8525" s="31"/>
      <c r="F8525" s="121" t="s">
        <v>3009</v>
      </c>
      <c r="G8525" s="98" t="str">
        <f>HYPERLINK("http://mirror.ff7data.com.ar/ff7/data/battle/battle.lgp/oqbh.png","View Picture")</f>
        <v>View Picture</v>
      </c>
    </row>
    <row r="8526">
      <c r="A8526" s="55"/>
      <c r="B8526" s="119" t="s">
        <v>40788</v>
      </c>
      <c r="C8526" s="120" t="s">
        <v>3658</v>
      </c>
      <c r="D8526" s="31"/>
      <c r="F8526" s="121" t="s">
        <v>3009</v>
      </c>
      <c r="G8526" s="98" t="str">
        <f>HYPERLINK("http://mirror.ff7data.com.ar/ff7/data/battle/battle.lgp/oqbi.png","View Picture")</f>
        <v>View Picture</v>
      </c>
    </row>
    <row r="8527">
      <c r="A8527" s="55"/>
      <c r="B8527" s="119" t="s">
        <v>40789</v>
      </c>
      <c r="C8527" s="120" t="s">
        <v>4185</v>
      </c>
      <c r="D8527" s="31"/>
      <c r="F8527" s="121" t="s">
        <v>3009</v>
      </c>
      <c r="G8527" s="98" t="str">
        <f>HYPERLINK("http://mirror.ff7data.com.ar/ff7/data/battle/battle.lgp/oqbj.png","View Picture")</f>
        <v>View Picture</v>
      </c>
    </row>
    <row r="8528">
      <c r="A8528" s="79"/>
      <c r="B8528" s="119" t="s">
        <v>40790</v>
      </c>
      <c r="C8528" s="120" t="s">
        <v>40553</v>
      </c>
      <c r="D8528" s="52" t="s">
        <v>40791</v>
      </c>
      <c r="F8528" s="121" t="s">
        <v>2756</v>
      </c>
      <c r="G8528" s="98" t="str">
        <f>HYPERLINK("http://mirror.ff7data.com.ar/ff7/data/battle/battle.lgp/oraa.png","View Picture")</f>
        <v>View Picture</v>
      </c>
    </row>
    <row r="8529">
      <c r="A8529" s="55"/>
      <c r="B8529" s="119" t="s">
        <v>40792</v>
      </c>
      <c r="C8529" s="120" t="s">
        <v>40556</v>
      </c>
      <c r="D8529" s="31"/>
      <c r="F8529" s="121" t="s">
        <v>2993</v>
      </c>
      <c r="H8529" s="46" t="s">
        <v>3002</v>
      </c>
    </row>
    <row r="8530">
      <c r="A8530" s="55"/>
      <c r="B8530" s="119" t="s">
        <v>40793</v>
      </c>
      <c r="C8530" s="120" t="s">
        <v>26104</v>
      </c>
      <c r="D8530" s="31"/>
      <c r="F8530" s="121" t="s">
        <v>1348</v>
      </c>
      <c r="G8530" s="98" t="str">
        <f>HYPERLINK("http://mirror.ff7data.com.ar/ff7/data/battle/battle.lgp/orac.png","View Picture")</f>
        <v>View Picture</v>
      </c>
    </row>
    <row r="8531">
      <c r="A8531" s="55"/>
      <c r="B8531" s="119" t="s">
        <v>40794</v>
      </c>
      <c r="C8531" s="120" t="s">
        <v>6018</v>
      </c>
      <c r="D8531" s="31"/>
      <c r="F8531" s="121" t="s">
        <v>1348</v>
      </c>
      <c r="G8531" s="98" t="str">
        <f>HYPERLINK("http://mirror.ff7data.com.ar/ff7/data/battle/battle.lgp/orad.png","View Picture")</f>
        <v>View Picture</v>
      </c>
    </row>
    <row r="8532">
      <c r="A8532" s="55"/>
      <c r="B8532" s="119" t="s">
        <v>40795</v>
      </c>
      <c r="C8532" s="120" t="s">
        <v>26095</v>
      </c>
      <c r="D8532" s="31"/>
      <c r="F8532" s="121" t="s">
        <v>1348</v>
      </c>
      <c r="G8532" s="98" t="str">
        <f>HYPERLINK("http://mirror.ff7data.com.ar/ff7/data/battle/battle.lgp/orae.png","View Picture")</f>
        <v>View Picture</v>
      </c>
    </row>
    <row r="8533">
      <c r="A8533" s="55"/>
      <c r="B8533" s="119" t="s">
        <v>40796</v>
      </c>
      <c r="C8533" s="120" t="s">
        <v>26104</v>
      </c>
      <c r="D8533" s="31"/>
      <c r="F8533" s="121" t="s">
        <v>1348</v>
      </c>
      <c r="G8533" s="98" t="str">
        <f>HYPERLINK("http://mirror.ff7data.com.ar/ff7/data/battle/battle.lgp/oraf.png","View Picture")</f>
        <v>View Picture</v>
      </c>
    </row>
    <row r="8534">
      <c r="A8534" s="55"/>
      <c r="B8534" s="119" t="s">
        <v>40797</v>
      </c>
      <c r="C8534" s="120" t="s">
        <v>26095</v>
      </c>
      <c r="D8534" s="31"/>
      <c r="F8534" s="121" t="s">
        <v>1348</v>
      </c>
      <c r="G8534" s="98" t="str">
        <f>HYPERLINK("http://mirror.ff7data.com.ar/ff7/data/battle/battle.lgp/orag.png","View Picture")</f>
        <v>View Picture</v>
      </c>
    </row>
    <row r="8535">
      <c r="A8535" s="55"/>
      <c r="B8535" s="119" t="s">
        <v>40798</v>
      </c>
      <c r="C8535" s="120" t="s">
        <v>3584</v>
      </c>
      <c r="D8535" s="31"/>
      <c r="F8535" s="121" t="s">
        <v>3009</v>
      </c>
      <c r="G8535" s="98" t="str">
        <f>HYPERLINK("http://mirror.ff7data.com.ar/ff7/data/battle/battle.lgp/oram.png","View Picture")</f>
        <v>View Picture</v>
      </c>
    </row>
    <row r="8536">
      <c r="A8536" s="55"/>
      <c r="B8536" s="119" t="s">
        <v>40799</v>
      </c>
      <c r="C8536" s="120" t="s">
        <v>4846</v>
      </c>
      <c r="D8536" s="31"/>
      <c r="F8536" s="121" t="s">
        <v>3009</v>
      </c>
      <c r="G8536" s="98" t="str">
        <f>HYPERLINK("http://mirror.ff7data.com.ar/ff7/data/battle/battle.lgp/oran.png","View Picture")</f>
        <v>View Picture</v>
      </c>
    </row>
    <row r="8537">
      <c r="A8537" s="55"/>
      <c r="B8537" s="119" t="s">
        <v>40800</v>
      </c>
      <c r="C8537" s="120" t="s">
        <v>4846</v>
      </c>
      <c r="D8537" s="31"/>
      <c r="F8537" s="121" t="s">
        <v>3009</v>
      </c>
      <c r="G8537" s="98" t="str">
        <f>HYPERLINK("http://mirror.ff7data.com.ar/ff7/data/battle/battle.lgp/orao.png","View Picture")</f>
        <v>View Picture</v>
      </c>
    </row>
    <row r="8538">
      <c r="A8538" s="55"/>
      <c r="B8538" s="119" t="s">
        <v>40801</v>
      </c>
      <c r="C8538" s="120" t="s">
        <v>4846</v>
      </c>
      <c r="D8538" s="31"/>
      <c r="F8538" s="121" t="s">
        <v>3009</v>
      </c>
      <c r="G8538" s="98" t="str">
        <f>HYPERLINK("http://mirror.ff7data.com.ar/ff7/data/battle/battle.lgp/orap.png","View Picture")</f>
        <v>View Picture</v>
      </c>
    </row>
    <row r="8539">
      <c r="A8539" s="55"/>
      <c r="B8539" s="119" t="s">
        <v>40802</v>
      </c>
      <c r="C8539" s="120" t="s">
        <v>3343</v>
      </c>
      <c r="D8539" s="31"/>
      <c r="F8539" s="121" t="s">
        <v>3009</v>
      </c>
      <c r="G8539" s="98" t="str">
        <f>HYPERLINK("http://mirror.ff7data.com.ar/ff7/data/battle/battle.lgp/oraq.png","View Picture")</f>
        <v>View Picture</v>
      </c>
    </row>
    <row r="8540">
      <c r="A8540" s="55"/>
      <c r="B8540" s="119" t="s">
        <v>40803</v>
      </c>
      <c r="C8540" s="120" t="s">
        <v>3355</v>
      </c>
      <c r="D8540" s="31"/>
      <c r="F8540" s="121" t="s">
        <v>3009</v>
      </c>
      <c r="G8540" s="98" t="str">
        <f>HYPERLINK("http://mirror.ff7data.com.ar/ff7/data/battle/battle.lgp/orar.png","View Picture")</f>
        <v>View Picture</v>
      </c>
    </row>
    <row r="8541">
      <c r="A8541" s="55"/>
      <c r="B8541" s="119" t="s">
        <v>40804</v>
      </c>
      <c r="C8541" s="120" t="s">
        <v>4146</v>
      </c>
      <c r="D8541" s="31"/>
      <c r="F8541" s="121" t="s">
        <v>3009</v>
      </c>
      <c r="G8541" s="98" t="str">
        <f>HYPERLINK("http://mirror.ff7data.com.ar/ff7/data/battle/battle.lgp/oras.png","View Picture")</f>
        <v>View Picture</v>
      </c>
    </row>
    <row r="8542">
      <c r="A8542" s="55"/>
      <c r="B8542" s="119" t="s">
        <v>40805</v>
      </c>
      <c r="C8542" s="120" t="s">
        <v>5891</v>
      </c>
      <c r="D8542" s="31"/>
      <c r="F8542" s="121" t="s">
        <v>3009</v>
      </c>
      <c r="G8542" s="98" t="str">
        <f>HYPERLINK("http://mirror.ff7data.com.ar/ff7/data/battle/battle.lgp/orat.png","View Picture")</f>
        <v>View Picture</v>
      </c>
    </row>
    <row r="8543">
      <c r="A8543" s="55"/>
      <c r="B8543" s="119" t="s">
        <v>40806</v>
      </c>
      <c r="C8543" s="120" t="s">
        <v>4185</v>
      </c>
      <c r="D8543" s="31"/>
      <c r="F8543" s="121" t="s">
        <v>3009</v>
      </c>
      <c r="G8543" s="98" t="str">
        <f>HYPERLINK("http://mirror.ff7data.com.ar/ff7/data/battle/battle.lgp/orau.png","View Picture")</f>
        <v>View Picture</v>
      </c>
    </row>
    <row r="8544">
      <c r="A8544" s="55"/>
      <c r="B8544" s="119" t="s">
        <v>40807</v>
      </c>
      <c r="C8544" s="120" t="s">
        <v>4288</v>
      </c>
      <c r="D8544" s="31"/>
      <c r="F8544" s="121" t="s">
        <v>3009</v>
      </c>
      <c r="G8544" s="98" t="str">
        <f>HYPERLINK("http://mirror.ff7data.com.ar/ff7/data/battle/battle.lgp/orav.png","View Picture")</f>
        <v>View Picture</v>
      </c>
    </row>
    <row r="8545">
      <c r="A8545" s="55"/>
      <c r="B8545" s="119" t="s">
        <v>40808</v>
      </c>
      <c r="C8545" s="120" t="s">
        <v>4228</v>
      </c>
      <c r="D8545" s="31"/>
      <c r="F8545" s="121" t="s">
        <v>3009</v>
      </c>
      <c r="G8545" s="98" t="str">
        <f>HYPERLINK("http://mirror.ff7data.com.ar/ff7/data/battle/battle.lgp/oraw.png","View Picture")</f>
        <v>View Picture</v>
      </c>
    </row>
    <row r="8546">
      <c r="A8546" s="55"/>
      <c r="B8546" s="119" t="s">
        <v>40809</v>
      </c>
      <c r="C8546" s="120" t="s">
        <v>26149</v>
      </c>
      <c r="D8546" s="31"/>
      <c r="F8546" s="121" t="s">
        <v>3009</v>
      </c>
      <c r="G8546" s="98" t="str">
        <f>HYPERLINK("http://mirror.ff7data.com.ar/ff7/data/battle/battle.lgp/orax.png","View Picture")</f>
        <v>View Picture</v>
      </c>
    </row>
    <row r="8547">
      <c r="A8547" s="55"/>
      <c r="B8547" s="119" t="s">
        <v>40810</v>
      </c>
      <c r="C8547" s="120" t="s">
        <v>3749</v>
      </c>
      <c r="D8547" s="31"/>
      <c r="F8547" s="121" t="s">
        <v>3009</v>
      </c>
      <c r="G8547" s="98" t="str">
        <f>HYPERLINK("http://mirror.ff7data.com.ar/ff7/data/battle/battle.lgp/oray.png","View Picture")</f>
        <v>View Picture</v>
      </c>
    </row>
    <row r="8548">
      <c r="A8548" s="55"/>
      <c r="B8548" s="119" t="s">
        <v>40811</v>
      </c>
      <c r="C8548" s="120" t="s">
        <v>3445</v>
      </c>
      <c r="D8548" s="31"/>
      <c r="F8548" s="121" t="s">
        <v>3009</v>
      </c>
      <c r="G8548" s="98" t="str">
        <f>HYPERLINK("http://mirror.ff7data.com.ar/ff7/data/battle/battle.lgp/oraz.png","View Picture")</f>
        <v>View Picture</v>
      </c>
    </row>
    <row r="8549">
      <c r="A8549" s="55"/>
      <c r="B8549" s="119" t="s">
        <v>40812</v>
      </c>
      <c r="C8549" s="120" t="s">
        <v>12399</v>
      </c>
      <c r="D8549" s="31"/>
      <c r="F8549" s="121" t="s">
        <v>3009</v>
      </c>
      <c r="G8549" s="98" t="str">
        <f>HYPERLINK("http://mirror.ff7data.com.ar/ff7/data/battle/battle.lgp/orba.png","View Picture")</f>
        <v>View Picture</v>
      </c>
    </row>
    <row r="8550">
      <c r="A8550" s="55"/>
      <c r="B8550" s="119" t="s">
        <v>40813</v>
      </c>
      <c r="C8550" s="120" t="s">
        <v>3658</v>
      </c>
      <c r="D8550" s="31"/>
      <c r="F8550" s="121" t="s">
        <v>3009</v>
      </c>
      <c r="G8550" s="98" t="str">
        <f>HYPERLINK("http://mirror.ff7data.com.ar/ff7/data/battle/battle.lgp/orbb.png","View Picture")</f>
        <v>View Picture</v>
      </c>
    </row>
    <row r="8551">
      <c r="A8551" s="55"/>
      <c r="B8551" s="119" t="s">
        <v>40814</v>
      </c>
      <c r="C8551" s="120" t="s">
        <v>10078</v>
      </c>
      <c r="D8551" s="31"/>
      <c r="F8551" s="121" t="s">
        <v>3009</v>
      </c>
      <c r="G8551" s="98" t="str">
        <f>HYPERLINK("http://mirror.ff7data.com.ar/ff7/data/battle/battle.lgp/orbc.png","View Picture")</f>
        <v>View Picture</v>
      </c>
    </row>
    <row r="8552">
      <c r="A8552" s="79"/>
      <c r="B8552" s="119" t="s">
        <v>40815</v>
      </c>
      <c r="C8552" s="120" t="s">
        <v>40553</v>
      </c>
      <c r="D8552" s="33" t="s">
        <v>40816</v>
      </c>
      <c r="F8552" s="121" t="s">
        <v>2756</v>
      </c>
      <c r="G8552" s="98" t="str">
        <f>HYPERLINK("http://mirror.ff7data.com.ar/ff7/data/battle/battle.lgp/osaa.png","View Picture")</f>
        <v>View Picture</v>
      </c>
    </row>
    <row r="8553">
      <c r="A8553" s="55"/>
      <c r="B8553" s="119" t="s">
        <v>40817</v>
      </c>
      <c r="C8553" s="120" t="s">
        <v>40556</v>
      </c>
      <c r="D8553" s="31"/>
      <c r="F8553" s="121" t="s">
        <v>2993</v>
      </c>
      <c r="H8553" s="46" t="s">
        <v>3002</v>
      </c>
    </row>
    <row r="8554">
      <c r="A8554" s="55"/>
      <c r="B8554" s="119" t="s">
        <v>40818</v>
      </c>
      <c r="C8554" s="120" t="s">
        <v>26104</v>
      </c>
      <c r="D8554" s="31"/>
      <c r="F8554" s="121" t="s">
        <v>1348</v>
      </c>
      <c r="G8554" s="98" t="str">
        <f>HYPERLINK("http://mirror.ff7data.com.ar/ff7/data/battle/battle.lgp/osac.png","View Picture")</f>
        <v>View Picture</v>
      </c>
    </row>
    <row r="8555">
      <c r="A8555" s="55"/>
      <c r="B8555" s="119" t="s">
        <v>40819</v>
      </c>
      <c r="C8555" s="120" t="s">
        <v>26104</v>
      </c>
      <c r="D8555" s="31"/>
      <c r="F8555" s="121" t="s">
        <v>1348</v>
      </c>
      <c r="G8555" s="98" t="str">
        <f>HYPERLINK("http://mirror.ff7data.com.ar/ff7/data/battle/battle.lgp/osad.png","View Picture")</f>
        <v>View Picture</v>
      </c>
    </row>
    <row r="8556">
      <c r="A8556" s="55"/>
      <c r="B8556" s="119" t="s">
        <v>40820</v>
      </c>
      <c r="C8556" s="120" t="s">
        <v>7471</v>
      </c>
      <c r="D8556" s="31"/>
      <c r="F8556" s="121" t="s">
        <v>1348</v>
      </c>
      <c r="G8556" s="98" t="str">
        <f>HYPERLINK("http://mirror.ff7data.com.ar/ff7/data/battle/battle.lgp/osae.png","View Picture")</f>
        <v>View Picture</v>
      </c>
    </row>
    <row r="8557">
      <c r="A8557" s="55"/>
      <c r="B8557" s="119" t="s">
        <v>40821</v>
      </c>
      <c r="C8557" s="120" t="s">
        <v>26104</v>
      </c>
      <c r="D8557" s="31"/>
      <c r="F8557" s="121" t="s">
        <v>1348</v>
      </c>
      <c r="G8557" s="98" t="str">
        <f>HYPERLINK("http://mirror.ff7data.com.ar/ff7/data/battle/battle.lgp/osaf.png","View Picture")</f>
        <v>View Picture</v>
      </c>
    </row>
    <row r="8558">
      <c r="A8558" s="55"/>
      <c r="B8558" s="119" t="s">
        <v>40822</v>
      </c>
      <c r="C8558" s="120" t="s">
        <v>26104</v>
      </c>
      <c r="D8558" s="31"/>
      <c r="F8558" s="121" t="s">
        <v>1348</v>
      </c>
      <c r="G8558" s="98" t="str">
        <f>HYPERLINK("http://mirror.ff7data.com.ar/ff7/data/battle/battle.lgp/osag.png","View Picture")</f>
        <v>View Picture</v>
      </c>
    </row>
    <row r="8559">
      <c r="A8559" s="55"/>
      <c r="B8559" s="119" t="s">
        <v>40823</v>
      </c>
      <c r="C8559" s="120" t="s">
        <v>26120</v>
      </c>
      <c r="D8559" s="31"/>
      <c r="F8559" s="121" t="s">
        <v>3009</v>
      </c>
      <c r="G8559" s="98" t="str">
        <f>HYPERLINK("http://mirror.ff7data.com.ar/ff7/data/battle/battle.lgp/osam.png","View Picture")</f>
        <v>View Picture</v>
      </c>
    </row>
    <row r="8560">
      <c r="A8560" s="55"/>
      <c r="B8560" s="119" t="s">
        <v>40824</v>
      </c>
      <c r="C8560" s="120" t="s">
        <v>4846</v>
      </c>
      <c r="D8560" s="31"/>
      <c r="F8560" s="121" t="s">
        <v>3009</v>
      </c>
      <c r="G8560" s="98" t="str">
        <f>HYPERLINK("http://mirror.ff7data.com.ar/ff7/data/battle/battle.lgp/osan.png","View Picture")</f>
        <v>View Picture</v>
      </c>
    </row>
    <row r="8561">
      <c r="A8561" s="55"/>
      <c r="B8561" s="119" t="s">
        <v>40825</v>
      </c>
      <c r="C8561" s="120" t="s">
        <v>4846</v>
      </c>
      <c r="D8561" s="31"/>
      <c r="F8561" s="121" t="s">
        <v>3009</v>
      </c>
      <c r="G8561" s="98" t="str">
        <f>HYPERLINK("http://mirror.ff7data.com.ar/ff7/data/battle/battle.lgp/osao.png","View Picture")</f>
        <v>View Picture</v>
      </c>
    </row>
    <row r="8562">
      <c r="A8562" s="55"/>
      <c r="B8562" s="119" t="s">
        <v>40826</v>
      </c>
      <c r="C8562" s="120" t="s">
        <v>4846</v>
      </c>
      <c r="D8562" s="31"/>
      <c r="F8562" s="121" t="s">
        <v>3009</v>
      </c>
      <c r="G8562" s="98" t="str">
        <f>HYPERLINK("http://mirror.ff7data.com.ar/ff7/data/battle/battle.lgp/osap.png","View Picture")</f>
        <v>View Picture</v>
      </c>
    </row>
    <row r="8563">
      <c r="A8563" s="55"/>
      <c r="B8563" s="119" t="s">
        <v>40827</v>
      </c>
      <c r="C8563" s="120" t="s">
        <v>3853</v>
      </c>
      <c r="D8563" s="31"/>
      <c r="F8563" s="121" t="s">
        <v>3009</v>
      </c>
      <c r="G8563" s="98" t="str">
        <f>HYPERLINK("http://mirror.ff7data.com.ar/ff7/data/battle/battle.lgp/osaq.png","View Picture")</f>
        <v>View Picture</v>
      </c>
    </row>
    <row r="8564">
      <c r="A8564" s="55"/>
      <c r="B8564" s="119" t="s">
        <v>40828</v>
      </c>
      <c r="C8564" s="120" t="s">
        <v>4167</v>
      </c>
      <c r="D8564" s="31"/>
      <c r="F8564" s="121" t="s">
        <v>3009</v>
      </c>
      <c r="G8564" s="98" t="str">
        <f>HYPERLINK("http://mirror.ff7data.com.ar/ff7/data/battle/battle.lgp/osar.png","View Picture")</f>
        <v>View Picture</v>
      </c>
    </row>
    <row r="8565">
      <c r="A8565" s="55"/>
      <c r="B8565" s="119" t="s">
        <v>40829</v>
      </c>
      <c r="C8565" s="120" t="s">
        <v>4396</v>
      </c>
      <c r="D8565" s="31"/>
      <c r="F8565" s="121" t="s">
        <v>3009</v>
      </c>
      <c r="G8565" s="98" t="str">
        <f>HYPERLINK("http://mirror.ff7data.com.ar/ff7/data/battle/battle.lgp/osas.png","View Picture")</f>
        <v>View Picture</v>
      </c>
    </row>
    <row r="8566">
      <c r="A8566" s="55"/>
      <c r="B8566" s="119" t="s">
        <v>40830</v>
      </c>
      <c r="C8566" s="120" t="s">
        <v>4228</v>
      </c>
      <c r="D8566" s="31"/>
      <c r="F8566" s="121" t="s">
        <v>3009</v>
      </c>
      <c r="G8566" s="98" t="str">
        <f>HYPERLINK("http://mirror.ff7data.com.ar/ff7/data/battle/battle.lgp/osat.png","View Picture")</f>
        <v>View Picture</v>
      </c>
    </row>
    <row r="8567">
      <c r="A8567" s="55"/>
      <c r="B8567" s="119" t="s">
        <v>40831</v>
      </c>
      <c r="C8567" s="120" t="s">
        <v>13844</v>
      </c>
      <c r="D8567" s="31"/>
      <c r="F8567" s="121" t="s">
        <v>3009</v>
      </c>
      <c r="G8567" s="98" t="str">
        <f>HYPERLINK("http://mirror.ff7data.com.ar/ff7/data/battle/battle.lgp/osau.png","View Picture")</f>
        <v>View Picture</v>
      </c>
    </row>
    <row r="8568">
      <c r="A8568" s="79"/>
      <c r="B8568" s="119" t="s">
        <v>40832</v>
      </c>
      <c r="C8568" s="120" t="s">
        <v>40553</v>
      </c>
      <c r="D8568" s="33" t="s">
        <v>40833</v>
      </c>
      <c r="F8568" s="121" t="s">
        <v>2756</v>
      </c>
      <c r="G8568" s="98" t="str">
        <f>HYPERLINK("http://mirror.ff7data.com.ar/ff7/data/battle/battle.lgp/otaa.png","View Picture")</f>
        <v>View Picture</v>
      </c>
    </row>
    <row r="8569">
      <c r="A8569" s="55"/>
      <c r="B8569" s="119" t="s">
        <v>40834</v>
      </c>
      <c r="C8569" s="120" t="s">
        <v>40556</v>
      </c>
      <c r="D8569" s="31"/>
      <c r="F8569" s="121" t="s">
        <v>2993</v>
      </c>
      <c r="H8569" s="46" t="s">
        <v>3002</v>
      </c>
    </row>
    <row r="8570">
      <c r="A8570" s="55"/>
      <c r="B8570" s="119" t="s">
        <v>40835</v>
      </c>
      <c r="C8570" s="120" t="s">
        <v>26104</v>
      </c>
      <c r="D8570" s="31"/>
      <c r="F8570" s="121" t="s">
        <v>1348</v>
      </c>
      <c r="G8570" s="98" t="str">
        <f>HYPERLINK("http://mirror.ff7data.com.ar/ff7/data/battle/battle.lgp/otac.png","View Picture")</f>
        <v>View Picture</v>
      </c>
    </row>
    <row r="8571">
      <c r="A8571" s="55"/>
      <c r="B8571" s="119" t="s">
        <v>40836</v>
      </c>
      <c r="C8571" s="120" t="s">
        <v>6018</v>
      </c>
      <c r="D8571" s="31"/>
      <c r="F8571" s="121" t="s">
        <v>1348</v>
      </c>
      <c r="G8571" s="98" t="str">
        <f>HYPERLINK("http://mirror.ff7data.com.ar/ff7/data/battle/battle.lgp/otad.png","View Picture")</f>
        <v>View Picture</v>
      </c>
    </row>
    <row r="8572">
      <c r="A8572" s="55"/>
      <c r="B8572" s="119" t="s">
        <v>40837</v>
      </c>
      <c r="C8572" s="120" t="s">
        <v>26095</v>
      </c>
      <c r="D8572" s="31"/>
      <c r="F8572" s="121" t="s">
        <v>1348</v>
      </c>
      <c r="G8572" s="98" t="str">
        <f>HYPERLINK("http://mirror.ff7data.com.ar/ff7/data/battle/battle.lgp/otae.png","View Picture")</f>
        <v>View Picture</v>
      </c>
    </row>
    <row r="8573">
      <c r="A8573" s="55"/>
      <c r="B8573" s="119" t="s">
        <v>40838</v>
      </c>
      <c r="C8573" s="120" t="s">
        <v>26095</v>
      </c>
      <c r="D8573" s="31"/>
      <c r="F8573" s="121" t="s">
        <v>1348</v>
      </c>
      <c r="G8573" s="98" t="str">
        <f>HYPERLINK("http://mirror.ff7data.com.ar/ff7/data/battle/battle.lgp/otaf.png","View Picture")</f>
        <v>View Picture</v>
      </c>
    </row>
    <row r="8574">
      <c r="A8574" s="55"/>
      <c r="B8574" s="119" t="s">
        <v>40839</v>
      </c>
      <c r="C8574" s="120" t="s">
        <v>6018</v>
      </c>
      <c r="D8574" s="31"/>
      <c r="F8574" s="121" t="s">
        <v>1348</v>
      </c>
      <c r="G8574" s="98" t="str">
        <f>HYPERLINK("http://mirror.ff7data.com.ar/ff7/data/battle/battle.lgp/otag.png","View Picture")</f>
        <v>View Picture</v>
      </c>
    </row>
    <row r="8575">
      <c r="A8575" s="55"/>
      <c r="B8575" s="119" t="s">
        <v>40840</v>
      </c>
      <c r="C8575" s="120" t="s">
        <v>26095</v>
      </c>
      <c r="D8575" s="31"/>
      <c r="F8575" s="121" t="s">
        <v>1348</v>
      </c>
      <c r="G8575" s="98" t="str">
        <f>HYPERLINK("http://mirror.ff7data.com.ar/ff7/data/battle/battle.lgp/otah.png","View Picture")</f>
        <v>View Picture</v>
      </c>
    </row>
    <row r="8576">
      <c r="A8576" s="55"/>
      <c r="B8576" s="119" t="s">
        <v>40841</v>
      </c>
      <c r="C8576" s="120" t="s">
        <v>26095</v>
      </c>
      <c r="D8576" s="31"/>
      <c r="F8576" s="121" t="s">
        <v>1348</v>
      </c>
      <c r="G8576" s="98" t="str">
        <f>HYPERLINK("http://mirror.ff7data.com.ar/ff7/data/battle/battle.lgp/otai.png","View Picture")</f>
        <v>View Picture</v>
      </c>
    </row>
    <row r="8577">
      <c r="A8577" s="55"/>
      <c r="B8577" s="119" t="s">
        <v>40842</v>
      </c>
      <c r="C8577" s="120" t="s">
        <v>11918</v>
      </c>
      <c r="D8577" s="31"/>
      <c r="F8577" s="121" t="s">
        <v>3009</v>
      </c>
      <c r="G8577" s="98" t="str">
        <f>HYPERLINK("http://mirror.ff7data.com.ar/ff7/data/battle/battle.lgp/otam.png","View Picture")</f>
        <v>View Picture</v>
      </c>
    </row>
    <row r="8578">
      <c r="A8578" s="55"/>
      <c r="B8578" s="119" t="s">
        <v>40843</v>
      </c>
      <c r="C8578" s="120" t="s">
        <v>4846</v>
      </c>
      <c r="D8578" s="31"/>
      <c r="F8578" s="121" t="s">
        <v>3009</v>
      </c>
      <c r="G8578" s="98" t="str">
        <f>HYPERLINK("http://mirror.ff7data.com.ar/ff7/data/battle/battle.lgp/otan.png","View Picture")</f>
        <v>View Picture</v>
      </c>
    </row>
    <row r="8579">
      <c r="A8579" s="55"/>
      <c r="B8579" s="119" t="s">
        <v>40844</v>
      </c>
      <c r="C8579" s="120" t="s">
        <v>4846</v>
      </c>
      <c r="D8579" s="31"/>
      <c r="F8579" s="121" t="s">
        <v>3009</v>
      </c>
      <c r="G8579" s="98" t="str">
        <f>HYPERLINK("http://mirror.ff7data.com.ar/ff7/data/battle/battle.lgp/otao.png","View Picture")</f>
        <v>View Picture</v>
      </c>
    </row>
    <row r="8580">
      <c r="A8580" s="55"/>
      <c r="B8580" s="119" t="s">
        <v>40845</v>
      </c>
      <c r="C8580" s="120" t="s">
        <v>4846</v>
      </c>
      <c r="D8580" s="31"/>
      <c r="F8580" s="121" t="s">
        <v>3009</v>
      </c>
      <c r="G8580" s="98" t="str">
        <f>HYPERLINK("http://mirror.ff7data.com.ar/ff7/data/battle/battle.lgp/otap.png","View Picture")</f>
        <v>View Picture</v>
      </c>
    </row>
    <row r="8581">
      <c r="A8581" s="55"/>
      <c r="B8581" s="119" t="s">
        <v>40846</v>
      </c>
      <c r="C8581" s="120" t="s">
        <v>5891</v>
      </c>
      <c r="D8581" s="31"/>
      <c r="F8581" s="121" t="s">
        <v>3009</v>
      </c>
      <c r="G8581" s="98" t="str">
        <f>HYPERLINK("http://mirror.ff7data.com.ar/ff7/data/battle/battle.lgp/otaq.png","View Picture")</f>
        <v>View Picture</v>
      </c>
    </row>
    <row r="8582">
      <c r="A8582" s="55"/>
      <c r="B8582" s="119" t="s">
        <v>40847</v>
      </c>
      <c r="C8582" s="120" t="s">
        <v>4288</v>
      </c>
      <c r="D8582" s="31"/>
      <c r="F8582" s="121" t="s">
        <v>3009</v>
      </c>
      <c r="G8582" s="98" t="str">
        <f>HYPERLINK("http://mirror.ff7data.com.ar/ff7/data/battle/battle.lgp/otar.png","View Picture")</f>
        <v>View Picture</v>
      </c>
    </row>
    <row r="8583">
      <c r="A8583" s="55"/>
      <c r="B8583" s="119" t="s">
        <v>40848</v>
      </c>
      <c r="C8583" s="120" t="s">
        <v>4372</v>
      </c>
      <c r="D8583" s="31"/>
      <c r="F8583" s="121" t="s">
        <v>3009</v>
      </c>
      <c r="G8583" s="98" t="str">
        <f>HYPERLINK("http://mirror.ff7data.com.ar/ff7/data/battle/battle.lgp/otas.png","View Picture")</f>
        <v>View Picture</v>
      </c>
    </row>
    <row r="8584">
      <c r="A8584" s="55"/>
      <c r="B8584" s="119" t="s">
        <v>40849</v>
      </c>
      <c r="C8584" s="120" t="s">
        <v>3343</v>
      </c>
      <c r="D8584" s="31"/>
      <c r="F8584" s="121" t="s">
        <v>3009</v>
      </c>
      <c r="G8584" s="98" t="str">
        <f>HYPERLINK("http://mirror.ff7data.com.ar/ff7/data/battle/battle.lgp/otat.png","View Picture")</f>
        <v>View Picture</v>
      </c>
    </row>
    <row r="8585">
      <c r="A8585" s="55"/>
      <c r="B8585" s="119" t="s">
        <v>40850</v>
      </c>
      <c r="C8585" s="120" t="s">
        <v>4167</v>
      </c>
      <c r="D8585" s="31"/>
      <c r="F8585" s="121" t="s">
        <v>3009</v>
      </c>
      <c r="G8585" s="98" t="str">
        <f>HYPERLINK("http://mirror.ff7data.com.ar/ff7/data/battle/battle.lgp/otau.png","View Picture")</f>
        <v>View Picture</v>
      </c>
    </row>
    <row r="8586">
      <c r="A8586" s="55"/>
      <c r="B8586" s="119" t="s">
        <v>40851</v>
      </c>
      <c r="C8586" s="120" t="s">
        <v>3318</v>
      </c>
      <c r="D8586" s="31"/>
      <c r="F8586" s="121" t="s">
        <v>3009</v>
      </c>
      <c r="G8586" s="98" t="str">
        <f>HYPERLINK("http://mirror.ff7data.com.ar/ff7/data/battle/battle.lgp/otav.png","View Picture")</f>
        <v>View Picture</v>
      </c>
    </row>
    <row r="8587">
      <c r="A8587" s="82"/>
      <c r="B8587" s="119" t="s">
        <v>40852</v>
      </c>
      <c r="C8587" s="120" t="s">
        <v>40553</v>
      </c>
      <c r="D8587" s="44" t="s">
        <v>40853</v>
      </c>
      <c r="F8587" s="121" t="s">
        <v>2756</v>
      </c>
      <c r="G8587" s="98" t="str">
        <f>HYPERLINK("http://mirror.ff7data.com.ar/ff7/data/battle/battle.lgp/ouaa.png","View Picture")</f>
        <v>View Picture</v>
      </c>
    </row>
    <row r="8588">
      <c r="A8588" s="55"/>
      <c r="B8588" s="119" t="s">
        <v>40854</v>
      </c>
      <c r="C8588" s="120" t="s">
        <v>40556</v>
      </c>
      <c r="D8588" s="31"/>
      <c r="F8588" s="121" t="s">
        <v>2993</v>
      </c>
      <c r="H8588" s="46" t="s">
        <v>3002</v>
      </c>
    </row>
    <row r="8589">
      <c r="A8589" s="55"/>
      <c r="B8589" s="119" t="s">
        <v>40855</v>
      </c>
      <c r="C8589" s="120" t="s">
        <v>26104</v>
      </c>
      <c r="D8589" s="31"/>
      <c r="F8589" s="121" t="s">
        <v>1348</v>
      </c>
      <c r="G8589" s="98" t="str">
        <f>HYPERLINK("http://mirror.ff7data.com.ar/ff7/data/battle/battle.lgp/ouac.png","View Picture")</f>
        <v>View Picture</v>
      </c>
    </row>
    <row r="8590">
      <c r="A8590" s="55"/>
      <c r="B8590" s="119" t="s">
        <v>40856</v>
      </c>
      <c r="C8590" s="120" t="s">
        <v>7471</v>
      </c>
      <c r="D8590" s="31"/>
      <c r="F8590" s="121" t="s">
        <v>1348</v>
      </c>
      <c r="G8590" s="98" t="str">
        <f>HYPERLINK("http://mirror.ff7data.com.ar/ff7/data/battle/battle.lgp/ouad.png","View Picture")</f>
        <v>View Picture</v>
      </c>
    </row>
    <row r="8591">
      <c r="A8591" s="55"/>
      <c r="B8591" s="119" t="s">
        <v>40857</v>
      </c>
      <c r="C8591" s="120" t="s">
        <v>26095</v>
      </c>
      <c r="D8591" s="31"/>
      <c r="F8591" s="121" t="s">
        <v>1348</v>
      </c>
      <c r="G8591" s="98" t="str">
        <f>HYPERLINK("http://mirror.ff7data.com.ar/ff7/data/battle/battle.lgp/ouae.png","View Picture")</f>
        <v>View Picture</v>
      </c>
    </row>
    <row r="8592">
      <c r="A8592" s="55"/>
      <c r="B8592" s="119" t="s">
        <v>40858</v>
      </c>
      <c r="C8592" s="120" t="s">
        <v>6018</v>
      </c>
      <c r="D8592" s="31"/>
      <c r="F8592" s="121" t="s">
        <v>1348</v>
      </c>
      <c r="G8592" s="98" t="str">
        <f>HYPERLINK("http://mirror.ff7data.com.ar/ff7/data/battle/battle.lgp/ouaf.png","View Picture")</f>
        <v>View Picture</v>
      </c>
    </row>
    <row r="8593">
      <c r="A8593" s="55"/>
      <c r="B8593" s="119" t="s">
        <v>40859</v>
      </c>
      <c r="C8593" s="120" t="s">
        <v>26104</v>
      </c>
      <c r="D8593" s="31"/>
      <c r="F8593" s="121" t="s">
        <v>1348</v>
      </c>
      <c r="G8593" s="98" t="str">
        <f>HYPERLINK("http://mirror.ff7data.com.ar/ff7/data/battle/battle.lgp/ouag.png","View Picture")</f>
        <v>View Picture</v>
      </c>
    </row>
    <row r="8594">
      <c r="A8594" s="55"/>
      <c r="B8594" s="119" t="s">
        <v>40860</v>
      </c>
      <c r="C8594" s="120" t="s">
        <v>26095</v>
      </c>
      <c r="D8594" s="31"/>
      <c r="F8594" s="121" t="s">
        <v>1348</v>
      </c>
      <c r="G8594" s="98" t="str">
        <f>HYPERLINK("http://mirror.ff7data.com.ar/ff7/data/battle/battle.lgp/ouah.png","View Picture")</f>
        <v>View Picture</v>
      </c>
    </row>
    <row r="8595">
      <c r="A8595" s="55"/>
      <c r="B8595" s="119" t="s">
        <v>40861</v>
      </c>
      <c r="C8595" s="120" t="s">
        <v>6018</v>
      </c>
      <c r="D8595" s="31"/>
      <c r="F8595" s="121" t="s">
        <v>3009</v>
      </c>
      <c r="G8595" s="98" t="str">
        <f>HYPERLINK("http://mirror.ff7data.com.ar/ff7/data/battle/battle.lgp/ouam.png","View Picture")</f>
        <v>View Picture</v>
      </c>
    </row>
    <row r="8596">
      <c r="A8596" s="55"/>
      <c r="B8596" s="119" t="s">
        <v>40862</v>
      </c>
      <c r="C8596" s="120" t="s">
        <v>4846</v>
      </c>
      <c r="D8596" s="31"/>
      <c r="F8596" s="121" t="s">
        <v>3009</v>
      </c>
      <c r="G8596" s="98" t="str">
        <f>HYPERLINK("http://mirror.ff7data.com.ar/ff7/data/battle/battle.lgp/ouan.png","View Picture")</f>
        <v>View Picture</v>
      </c>
    </row>
    <row r="8597">
      <c r="A8597" s="55"/>
      <c r="B8597" s="119" t="s">
        <v>40863</v>
      </c>
      <c r="C8597" s="120" t="s">
        <v>4846</v>
      </c>
      <c r="D8597" s="31"/>
      <c r="F8597" s="121" t="s">
        <v>3009</v>
      </c>
      <c r="G8597" s="98" t="str">
        <f>HYPERLINK("http://mirror.ff7data.com.ar/ff7/data/battle/battle.lgp/ouao.png","View Picture")</f>
        <v>View Picture</v>
      </c>
    </row>
    <row r="8598">
      <c r="A8598" s="55"/>
      <c r="B8598" s="119" t="s">
        <v>40864</v>
      </c>
      <c r="C8598" s="120" t="s">
        <v>4846</v>
      </c>
      <c r="D8598" s="31"/>
      <c r="F8598" s="121" t="s">
        <v>3009</v>
      </c>
      <c r="G8598" s="98" t="str">
        <f>HYPERLINK("http://mirror.ff7data.com.ar/ff7/data/battle/battle.lgp/ouap.png","View Picture")</f>
        <v>View Picture</v>
      </c>
    </row>
    <row r="8599">
      <c r="A8599" s="55"/>
      <c r="B8599" s="119" t="s">
        <v>40865</v>
      </c>
      <c r="C8599" s="120" t="s">
        <v>6010</v>
      </c>
      <c r="D8599" s="31"/>
      <c r="F8599" s="121" t="s">
        <v>3009</v>
      </c>
      <c r="G8599" s="98" t="str">
        <f>HYPERLINK("http://mirror.ff7data.com.ar/ff7/data/battle/battle.lgp/ouaq.png","View Picture")</f>
        <v>View Picture</v>
      </c>
    </row>
    <row r="8600">
      <c r="A8600" s="55"/>
      <c r="B8600" s="119" t="s">
        <v>40866</v>
      </c>
      <c r="C8600" s="120" t="s">
        <v>7129</v>
      </c>
      <c r="D8600" s="31"/>
      <c r="F8600" s="121" t="s">
        <v>3009</v>
      </c>
      <c r="G8600" s="98" t="str">
        <f>HYPERLINK("http://mirror.ff7data.com.ar/ff7/data/battle/battle.lgp/ouar.png","View Picture")</f>
        <v>View Picture</v>
      </c>
    </row>
    <row r="8601">
      <c r="A8601" s="55"/>
      <c r="B8601" s="119" t="s">
        <v>40867</v>
      </c>
      <c r="C8601" s="120" t="s">
        <v>3355</v>
      </c>
      <c r="D8601" s="31"/>
      <c r="F8601" s="121" t="s">
        <v>3009</v>
      </c>
      <c r="G8601" s="98" t="str">
        <f>HYPERLINK("http://mirror.ff7data.com.ar/ff7/data/battle/battle.lgp/ouas.png","View Picture")</f>
        <v>View Picture</v>
      </c>
    </row>
    <row r="8602">
      <c r="A8602" s="55"/>
      <c r="B8602" s="119" t="s">
        <v>40868</v>
      </c>
      <c r="C8602" s="120" t="s">
        <v>6010</v>
      </c>
      <c r="D8602" s="31"/>
      <c r="F8602" s="121" t="s">
        <v>3009</v>
      </c>
      <c r="G8602" s="98" t="str">
        <f>HYPERLINK("http://mirror.ff7data.com.ar/ff7/data/battle/battle.lgp/ouat.png","View Picture")</f>
        <v>View Picture</v>
      </c>
    </row>
    <row r="8603">
      <c r="A8603" s="55"/>
      <c r="B8603" s="119" t="s">
        <v>40869</v>
      </c>
      <c r="C8603" s="120" t="s">
        <v>4240</v>
      </c>
      <c r="D8603" s="31"/>
      <c r="F8603" s="121" t="s">
        <v>3009</v>
      </c>
      <c r="G8603" s="98" t="str">
        <f>HYPERLINK("http://mirror.ff7data.com.ar/ff7/data/battle/battle.lgp/ouau.png","View Picture")</f>
        <v>View Picture</v>
      </c>
    </row>
    <row r="8604">
      <c r="A8604" s="55"/>
      <c r="B8604" s="119" t="s">
        <v>40870</v>
      </c>
      <c r="C8604" s="120" t="s">
        <v>4228</v>
      </c>
      <c r="D8604" s="31"/>
      <c r="F8604" s="121" t="s">
        <v>3009</v>
      </c>
      <c r="G8604" s="98" t="str">
        <f>HYPERLINK("http://mirror.ff7data.com.ar/ff7/data/battle/battle.lgp/ouav.png","View Picture")</f>
        <v>View Picture</v>
      </c>
    </row>
    <row r="8605">
      <c r="A8605" s="79"/>
      <c r="B8605" s="119" t="s">
        <v>40871</v>
      </c>
      <c r="C8605" s="120" t="s">
        <v>40553</v>
      </c>
      <c r="D8605" s="33" t="s">
        <v>40872</v>
      </c>
      <c r="F8605" s="121" t="s">
        <v>2756</v>
      </c>
      <c r="G8605" s="98" t="str">
        <f>HYPERLINK("http://mirror.ff7data.com.ar/ff7/data/battle/battle.lgp/ovaa.png","View Picture")</f>
        <v>View Picture</v>
      </c>
    </row>
    <row r="8606">
      <c r="A8606" s="55"/>
      <c r="B8606" s="119" t="s">
        <v>40873</v>
      </c>
      <c r="C8606" s="120" t="s">
        <v>40556</v>
      </c>
      <c r="D8606" s="31"/>
      <c r="F8606" s="121" t="s">
        <v>2993</v>
      </c>
      <c r="H8606" s="46" t="s">
        <v>3002</v>
      </c>
    </row>
    <row r="8607">
      <c r="A8607" s="55"/>
      <c r="B8607" s="119" t="s">
        <v>40874</v>
      </c>
      <c r="C8607" s="120" t="s">
        <v>26104</v>
      </c>
      <c r="D8607" s="31"/>
      <c r="F8607" s="121" t="s">
        <v>1348</v>
      </c>
      <c r="G8607" s="98" t="str">
        <f>HYPERLINK("http://mirror.ff7data.com.ar/ff7/data/battle/battle.lgp/ovac.png","View Picture")</f>
        <v>View Picture</v>
      </c>
    </row>
    <row r="8608">
      <c r="A8608" s="55"/>
      <c r="B8608" s="119" t="s">
        <v>40875</v>
      </c>
      <c r="C8608" s="120" t="s">
        <v>5203</v>
      </c>
      <c r="D8608" s="31"/>
      <c r="F8608" s="121" t="s">
        <v>1348</v>
      </c>
      <c r="G8608" s="98" t="str">
        <f>HYPERLINK("http://mirror.ff7data.com.ar/ff7/data/battle/battle.lgp/ovad.png","View Picture")</f>
        <v>View Picture</v>
      </c>
    </row>
    <row r="8609">
      <c r="A8609" s="55"/>
      <c r="B8609" s="119" t="s">
        <v>40876</v>
      </c>
      <c r="C8609" s="120" t="s">
        <v>7471</v>
      </c>
      <c r="D8609" s="31"/>
      <c r="F8609" s="121" t="s">
        <v>1348</v>
      </c>
      <c r="G8609" s="98" t="str">
        <f>HYPERLINK("http://mirror.ff7data.com.ar/ff7/data/battle/battle.lgp/ovae.png","View Picture")</f>
        <v>View Picture</v>
      </c>
    </row>
    <row r="8610">
      <c r="A8610" s="55"/>
      <c r="B8610" s="119" t="s">
        <v>40877</v>
      </c>
      <c r="C8610" s="120" t="s">
        <v>26095</v>
      </c>
      <c r="D8610" s="31"/>
      <c r="F8610" s="121" t="s">
        <v>1348</v>
      </c>
      <c r="G8610" s="98" t="str">
        <f>HYPERLINK("http://mirror.ff7data.com.ar/ff7/data/battle/battle.lgp/ovaf.png","View Picture")</f>
        <v>View Picture</v>
      </c>
    </row>
    <row r="8611">
      <c r="A8611" s="55"/>
      <c r="B8611" s="119" t="s">
        <v>40878</v>
      </c>
      <c r="C8611" s="120" t="s">
        <v>26095</v>
      </c>
      <c r="D8611" s="31"/>
      <c r="F8611" s="121" t="s">
        <v>1348</v>
      </c>
      <c r="G8611" s="98" t="str">
        <f>HYPERLINK("http://mirror.ff7data.com.ar/ff7/data/battle/battle.lgp/ovag.png","View Picture")</f>
        <v>View Picture</v>
      </c>
    </row>
    <row r="8612">
      <c r="A8612" s="55"/>
      <c r="B8612" s="119" t="s">
        <v>40879</v>
      </c>
      <c r="C8612" s="120" t="s">
        <v>6018</v>
      </c>
      <c r="D8612" s="31"/>
      <c r="F8612" s="121" t="s">
        <v>1348</v>
      </c>
      <c r="G8612" s="98" t="str">
        <f>HYPERLINK("http://mirror.ff7data.com.ar/ff7/data/battle/battle.lgp/ovah.png","View Picture")</f>
        <v>View Picture</v>
      </c>
    </row>
    <row r="8613">
      <c r="A8613" s="55"/>
      <c r="B8613" s="119" t="s">
        <v>40880</v>
      </c>
      <c r="C8613" s="120" t="s">
        <v>6018</v>
      </c>
      <c r="D8613" s="31"/>
      <c r="F8613" s="121" t="s">
        <v>3009</v>
      </c>
      <c r="G8613" s="98" t="str">
        <f>HYPERLINK("http://mirror.ff7data.com.ar/ff7/data/battle/battle.lgp/ovam.png","View Picture")</f>
        <v>View Picture</v>
      </c>
    </row>
    <row r="8614">
      <c r="A8614" s="55"/>
      <c r="B8614" s="119" t="s">
        <v>40881</v>
      </c>
      <c r="C8614" s="120" t="s">
        <v>4846</v>
      </c>
      <c r="D8614" s="31"/>
      <c r="F8614" s="121" t="s">
        <v>3009</v>
      </c>
      <c r="G8614" s="98" t="str">
        <f>HYPERLINK("http://mirror.ff7data.com.ar/ff7/data/battle/battle.lgp/ovan.png","View Picture")</f>
        <v>View Picture</v>
      </c>
    </row>
    <row r="8615">
      <c r="A8615" s="55"/>
      <c r="B8615" s="119" t="s">
        <v>40882</v>
      </c>
      <c r="C8615" s="120" t="s">
        <v>4846</v>
      </c>
      <c r="D8615" s="31"/>
      <c r="F8615" s="121" t="s">
        <v>3009</v>
      </c>
      <c r="G8615" s="98" t="str">
        <f>HYPERLINK("http://mirror.ff7data.com.ar/ff7/data/battle/battle.lgp/ovao.png","View Picture")</f>
        <v>View Picture</v>
      </c>
    </row>
    <row r="8616">
      <c r="A8616" s="55"/>
      <c r="B8616" s="119" t="s">
        <v>40883</v>
      </c>
      <c r="C8616" s="120" t="s">
        <v>4846</v>
      </c>
      <c r="D8616" s="31"/>
      <c r="F8616" s="121" t="s">
        <v>3009</v>
      </c>
      <c r="G8616" s="98" t="str">
        <f>HYPERLINK("http://mirror.ff7data.com.ar/ff7/data/battle/battle.lgp/ovap.png","View Picture")</f>
        <v>View Picture</v>
      </c>
    </row>
    <row r="8617">
      <c r="A8617" s="55"/>
      <c r="B8617" s="119" t="s">
        <v>40884</v>
      </c>
      <c r="C8617" s="120" t="s">
        <v>10078</v>
      </c>
      <c r="D8617" s="31"/>
      <c r="F8617" s="121" t="s">
        <v>3009</v>
      </c>
      <c r="G8617" s="98" t="str">
        <f>HYPERLINK("http://mirror.ff7data.com.ar/ff7/data/battle/battle.lgp/ovaq.png","View Picture")</f>
        <v>View Picture</v>
      </c>
    </row>
    <row r="8618">
      <c r="A8618" s="55"/>
      <c r="B8618" s="119" t="s">
        <v>40885</v>
      </c>
      <c r="C8618" s="120" t="s">
        <v>6029</v>
      </c>
      <c r="D8618" s="31"/>
      <c r="F8618" s="121" t="s">
        <v>3009</v>
      </c>
      <c r="G8618" s="98" t="str">
        <f>HYPERLINK("http://mirror.ff7data.com.ar/ff7/data/battle/battle.lgp/ovar.png","View Picture")</f>
        <v>View Picture</v>
      </c>
    </row>
    <row r="8619">
      <c r="A8619" s="55"/>
      <c r="B8619" s="119" t="s">
        <v>40886</v>
      </c>
      <c r="C8619" s="120" t="s">
        <v>3434</v>
      </c>
      <c r="D8619" s="31"/>
      <c r="F8619" s="121" t="s">
        <v>3009</v>
      </c>
      <c r="G8619" s="98" t="str">
        <f>HYPERLINK("http://mirror.ff7data.com.ar/ff7/data/battle/battle.lgp/ovas.png","View Picture")</f>
        <v>View Picture</v>
      </c>
    </row>
    <row r="8620">
      <c r="A8620" s="55"/>
      <c r="B8620" s="119" t="s">
        <v>40887</v>
      </c>
      <c r="C8620" s="120" t="s">
        <v>18406</v>
      </c>
      <c r="D8620" s="31"/>
      <c r="F8620" s="121" t="s">
        <v>3009</v>
      </c>
      <c r="G8620" s="98" t="str">
        <f>HYPERLINK("http://mirror.ff7data.com.ar/ff7/data/battle/battle.lgp/ovat.png","View Picture")</f>
        <v>View Picture</v>
      </c>
    </row>
    <row r="8621">
      <c r="A8621" s="55"/>
      <c r="B8621" s="119" t="s">
        <v>40888</v>
      </c>
      <c r="C8621" s="120" t="s">
        <v>7081</v>
      </c>
      <c r="D8621" s="31"/>
      <c r="F8621" s="121" t="s">
        <v>3009</v>
      </c>
      <c r="G8621" s="98" t="str">
        <f>HYPERLINK("http://mirror.ff7data.com.ar/ff7/data/battle/battle.lgp/ovau.png","View Picture")</f>
        <v>View Picture</v>
      </c>
    </row>
    <row r="8622">
      <c r="A8622" s="55"/>
      <c r="B8622" s="119" t="s">
        <v>40889</v>
      </c>
      <c r="C8622" s="120" t="s">
        <v>4841</v>
      </c>
      <c r="D8622" s="31"/>
      <c r="F8622" s="121" t="s">
        <v>3009</v>
      </c>
      <c r="G8622" s="98" t="str">
        <f>HYPERLINK("http://mirror.ff7data.com.ar/ff7/data/battle/battle.lgp/ovav.png","View Picture")</f>
        <v>View Picture</v>
      </c>
    </row>
    <row r="8623">
      <c r="A8623" s="55"/>
      <c r="B8623" s="119" t="s">
        <v>40890</v>
      </c>
      <c r="C8623" s="120" t="s">
        <v>5967</v>
      </c>
      <c r="D8623" s="31"/>
      <c r="F8623" s="121" t="s">
        <v>3009</v>
      </c>
      <c r="G8623" s="98" t="str">
        <f>HYPERLINK("http://mirror.ff7data.com.ar/ff7/data/battle/battle.lgp/ovaw.png","View Picture")</f>
        <v>View Picture</v>
      </c>
    </row>
    <row r="8624">
      <c r="A8624" s="79"/>
      <c r="B8624" s="119" t="s">
        <v>40891</v>
      </c>
      <c r="C8624" s="120" t="s">
        <v>40553</v>
      </c>
      <c r="D8624" s="33" t="s">
        <v>40892</v>
      </c>
      <c r="F8624" s="121" t="s">
        <v>2756</v>
      </c>
      <c r="G8624" s="98" t="str">
        <f>HYPERLINK("http://mirror.ff7data.com.ar/ff7/data/battle/battle.lgp/owaa.png","View Picture")</f>
        <v>View Picture</v>
      </c>
    </row>
    <row r="8625">
      <c r="A8625" s="55"/>
      <c r="B8625" s="119" t="s">
        <v>40893</v>
      </c>
      <c r="C8625" s="120" t="s">
        <v>40556</v>
      </c>
      <c r="D8625" s="31"/>
      <c r="F8625" s="121" t="s">
        <v>2993</v>
      </c>
      <c r="H8625" s="46" t="s">
        <v>3002</v>
      </c>
    </row>
    <row r="8626">
      <c r="A8626" s="55"/>
      <c r="B8626" s="119" t="s">
        <v>40894</v>
      </c>
      <c r="C8626" s="120" t="s">
        <v>26104</v>
      </c>
      <c r="D8626" s="31"/>
      <c r="F8626" s="121" t="s">
        <v>1348</v>
      </c>
      <c r="G8626" s="98" t="str">
        <f>HYPERLINK("http://mirror.ff7data.com.ar/ff7/data/battle/battle.lgp/owac.png","View Picture")</f>
        <v>View Picture</v>
      </c>
    </row>
    <row r="8627">
      <c r="A8627" s="55"/>
      <c r="B8627" s="119" t="s">
        <v>40895</v>
      </c>
      <c r="C8627" s="120" t="s">
        <v>6018</v>
      </c>
      <c r="D8627" s="31"/>
      <c r="F8627" s="121" t="s">
        <v>1348</v>
      </c>
      <c r="G8627" s="98" t="str">
        <f>HYPERLINK("http://mirror.ff7data.com.ar/ff7/data/battle/battle.lgp/owad.png","View Picture")</f>
        <v>View Picture</v>
      </c>
    </row>
    <row r="8628">
      <c r="A8628" s="55"/>
      <c r="B8628" s="119" t="s">
        <v>40896</v>
      </c>
      <c r="C8628" s="120" t="s">
        <v>26095</v>
      </c>
      <c r="D8628" s="31"/>
      <c r="F8628" s="121" t="s">
        <v>1348</v>
      </c>
      <c r="G8628" s="98" t="str">
        <f>HYPERLINK("http://mirror.ff7data.com.ar/ff7/data/battle/battle.lgp/owae.png","View Picture")</f>
        <v>View Picture</v>
      </c>
    </row>
    <row r="8629">
      <c r="A8629" s="55"/>
      <c r="B8629" s="119" t="s">
        <v>40897</v>
      </c>
      <c r="C8629" s="120" t="s">
        <v>26095</v>
      </c>
      <c r="D8629" s="31"/>
      <c r="F8629" s="121" t="s">
        <v>1348</v>
      </c>
      <c r="G8629" s="98" t="str">
        <f>HYPERLINK("http://mirror.ff7data.com.ar/ff7/data/battle/battle.lgp/owaf.png","View Picture")</f>
        <v>View Picture</v>
      </c>
    </row>
    <row r="8630">
      <c r="A8630" s="55"/>
      <c r="B8630" s="119" t="s">
        <v>40898</v>
      </c>
      <c r="C8630" s="120" t="s">
        <v>26095</v>
      </c>
      <c r="D8630" s="31"/>
      <c r="F8630" s="121" t="s">
        <v>1348</v>
      </c>
      <c r="G8630" s="98" t="str">
        <f>HYPERLINK("http://mirror.ff7data.com.ar/ff7/data/battle/battle.lgp/owag.png","View Picture")</f>
        <v>View Picture</v>
      </c>
    </row>
    <row r="8631">
      <c r="A8631" s="55"/>
      <c r="B8631" s="119" t="s">
        <v>40899</v>
      </c>
      <c r="C8631" s="120" t="s">
        <v>26095</v>
      </c>
      <c r="D8631" s="31"/>
      <c r="F8631" s="121" t="s">
        <v>1348</v>
      </c>
      <c r="G8631" s="98" t="str">
        <f>HYPERLINK("http://mirror.ff7data.com.ar/ff7/data/battle/battle.lgp/owah.png","View Picture")</f>
        <v>View Picture</v>
      </c>
    </row>
    <row r="8632">
      <c r="A8632" s="55"/>
      <c r="B8632" s="119" t="s">
        <v>40900</v>
      </c>
      <c r="C8632" s="120" t="s">
        <v>37143</v>
      </c>
      <c r="D8632" s="31"/>
      <c r="F8632" s="121" t="s">
        <v>3009</v>
      </c>
      <c r="G8632" s="98" t="str">
        <f>HYPERLINK("http://mirror.ff7data.com.ar/ff7/data/battle/battle.lgp/owam.png","View Picture")</f>
        <v>View Picture</v>
      </c>
    </row>
    <row r="8633">
      <c r="A8633" s="55"/>
      <c r="B8633" s="119" t="s">
        <v>40901</v>
      </c>
      <c r="C8633" s="120" t="s">
        <v>4846</v>
      </c>
      <c r="D8633" s="31"/>
      <c r="F8633" s="121" t="s">
        <v>3009</v>
      </c>
      <c r="G8633" s="98" t="str">
        <f>HYPERLINK("http://mirror.ff7data.com.ar/ff7/data/battle/battle.lgp/owan.png","View Picture")</f>
        <v>View Picture</v>
      </c>
    </row>
    <row r="8634">
      <c r="A8634" s="55"/>
      <c r="B8634" s="119" t="s">
        <v>40902</v>
      </c>
      <c r="C8634" s="120" t="s">
        <v>4846</v>
      </c>
      <c r="D8634" s="31"/>
      <c r="F8634" s="121" t="s">
        <v>3009</v>
      </c>
      <c r="G8634" s="98" t="str">
        <f>HYPERLINK("http://mirror.ff7data.com.ar/ff7/data/battle/battle.lgp/owao.png","View Picture")</f>
        <v>View Picture</v>
      </c>
    </row>
    <row r="8635">
      <c r="A8635" s="55"/>
      <c r="B8635" s="119" t="s">
        <v>40903</v>
      </c>
      <c r="C8635" s="120" t="s">
        <v>4846</v>
      </c>
      <c r="D8635" s="31"/>
      <c r="F8635" s="121" t="s">
        <v>3009</v>
      </c>
      <c r="G8635" s="98" t="str">
        <f>HYPERLINK("http://mirror.ff7data.com.ar/ff7/data/battle/battle.lgp/owap.png","View Picture")</f>
        <v>View Picture</v>
      </c>
    </row>
    <row r="8636">
      <c r="A8636" s="55"/>
      <c r="B8636" s="119" t="s">
        <v>40904</v>
      </c>
      <c r="C8636" s="120" t="s">
        <v>4288</v>
      </c>
      <c r="D8636" s="31"/>
      <c r="F8636" s="121" t="s">
        <v>3009</v>
      </c>
      <c r="G8636" s="98" t="str">
        <f>HYPERLINK("http://mirror.ff7data.com.ar/ff7/data/battle/battle.lgp/owaq.png","View Picture")</f>
        <v>View Picture</v>
      </c>
    </row>
    <row r="8637">
      <c r="A8637" s="55"/>
      <c r="B8637" s="119" t="s">
        <v>40905</v>
      </c>
      <c r="C8637" s="120" t="s">
        <v>4372</v>
      </c>
      <c r="D8637" s="31"/>
      <c r="F8637" s="121" t="s">
        <v>3009</v>
      </c>
      <c r="G8637" s="98" t="str">
        <f>HYPERLINK("http://mirror.ff7data.com.ar/ff7/data/battle/battle.lgp/owar.png","View Picture")</f>
        <v>View Picture</v>
      </c>
    </row>
    <row r="8638">
      <c r="A8638" s="55"/>
      <c r="B8638" s="119" t="s">
        <v>40906</v>
      </c>
      <c r="C8638" s="120" t="s">
        <v>3343</v>
      </c>
      <c r="D8638" s="31"/>
      <c r="F8638" s="121" t="s">
        <v>3009</v>
      </c>
      <c r="G8638" s="98" t="str">
        <f>HYPERLINK("http://mirror.ff7data.com.ar/ff7/data/battle/battle.lgp/owas.png","View Picture")</f>
        <v>View Picture</v>
      </c>
    </row>
    <row r="8639">
      <c r="A8639" s="55"/>
      <c r="B8639" s="119" t="s">
        <v>40907</v>
      </c>
      <c r="C8639" s="120" t="s">
        <v>4167</v>
      </c>
      <c r="D8639" s="31"/>
      <c r="F8639" s="121" t="s">
        <v>3009</v>
      </c>
      <c r="G8639" s="98" t="str">
        <f>HYPERLINK("http://mirror.ff7data.com.ar/ff7/data/battle/battle.lgp/owat.png","View Picture")</f>
        <v>View Picture</v>
      </c>
    </row>
    <row r="8640">
      <c r="A8640" s="55"/>
      <c r="B8640" s="119" t="s">
        <v>40908</v>
      </c>
      <c r="C8640" s="120" t="s">
        <v>3318</v>
      </c>
      <c r="D8640" s="31"/>
      <c r="F8640" s="121" t="s">
        <v>3009</v>
      </c>
      <c r="G8640" s="98" t="str">
        <f>HYPERLINK("http://mirror.ff7data.com.ar/ff7/data/battle/battle.lgp/owau.png","View Picture")</f>
        <v>View Picture</v>
      </c>
    </row>
    <row r="8641">
      <c r="A8641" s="79"/>
      <c r="B8641" s="119" t="s">
        <v>40909</v>
      </c>
      <c r="C8641" s="120" t="s">
        <v>40553</v>
      </c>
      <c r="D8641" s="33" t="s">
        <v>40910</v>
      </c>
      <c r="F8641" s="121" t="s">
        <v>2756</v>
      </c>
      <c r="G8641" s="98" t="str">
        <f>HYPERLINK("http://mirror.ff7data.com.ar/ff7/data/battle/battle.lgp/oxaa.png","View Picture")</f>
        <v>View Picture</v>
      </c>
    </row>
    <row r="8642">
      <c r="A8642" s="55"/>
      <c r="B8642" s="119" t="s">
        <v>40911</v>
      </c>
      <c r="C8642" s="120" t="s">
        <v>40556</v>
      </c>
      <c r="D8642" s="31"/>
      <c r="F8642" s="121" t="s">
        <v>2993</v>
      </c>
      <c r="H8642" s="46" t="s">
        <v>3002</v>
      </c>
    </row>
    <row r="8643">
      <c r="A8643" s="55"/>
      <c r="B8643" s="119" t="s">
        <v>40912</v>
      </c>
      <c r="C8643" s="120" t="s">
        <v>26104</v>
      </c>
      <c r="D8643" s="31"/>
      <c r="F8643" s="121" t="s">
        <v>1348</v>
      </c>
      <c r="G8643" s="98" t="str">
        <f>HYPERLINK("http://mirror.ff7data.com.ar/ff7/data/battle/battle.lgp/oxac.png","View Picture")</f>
        <v>View Picture</v>
      </c>
    </row>
    <row r="8644">
      <c r="A8644" s="55"/>
      <c r="B8644" s="119" t="s">
        <v>40913</v>
      </c>
      <c r="C8644" s="120" t="s">
        <v>26095</v>
      </c>
      <c r="D8644" s="31"/>
      <c r="F8644" s="121" t="s">
        <v>1348</v>
      </c>
      <c r="G8644" s="98" t="str">
        <f>HYPERLINK("http://mirror.ff7data.com.ar/ff7/data/battle/battle.lgp/oxad.png","View Picture")</f>
        <v>View Picture</v>
      </c>
    </row>
    <row r="8645">
      <c r="A8645" s="55"/>
      <c r="B8645" s="119" t="s">
        <v>40914</v>
      </c>
      <c r="C8645" s="120" t="s">
        <v>26104</v>
      </c>
      <c r="D8645" s="31"/>
      <c r="F8645" s="121" t="s">
        <v>1348</v>
      </c>
      <c r="G8645" s="98" t="str">
        <f>HYPERLINK("http://mirror.ff7data.com.ar/ff7/data/battle/battle.lgp/oxae.png","View Picture")</f>
        <v>View Picture</v>
      </c>
    </row>
    <row r="8646">
      <c r="A8646" s="55"/>
      <c r="B8646" s="119" t="s">
        <v>40915</v>
      </c>
      <c r="C8646" s="120" t="s">
        <v>6018</v>
      </c>
      <c r="D8646" s="31"/>
      <c r="F8646" s="121" t="s">
        <v>1348</v>
      </c>
      <c r="G8646" s="98" t="str">
        <f>HYPERLINK("http://mirror.ff7data.com.ar/ff7/data/battle/battle.lgp/oxaf.png","View Picture")</f>
        <v>View Picture</v>
      </c>
    </row>
    <row r="8647">
      <c r="A8647" s="55"/>
      <c r="B8647" s="119" t="s">
        <v>40916</v>
      </c>
      <c r="C8647" s="120" t="s">
        <v>6018</v>
      </c>
      <c r="D8647" s="31"/>
      <c r="F8647" s="121" t="s">
        <v>1348</v>
      </c>
      <c r="G8647" s="98" t="str">
        <f>HYPERLINK("http://mirror.ff7data.com.ar/ff7/data/battle/battle.lgp/oxag.png","View Picture")</f>
        <v>View Picture</v>
      </c>
    </row>
    <row r="8648">
      <c r="A8648" s="55"/>
      <c r="B8648" s="119" t="s">
        <v>40917</v>
      </c>
      <c r="C8648" s="120" t="s">
        <v>5203</v>
      </c>
      <c r="D8648" s="31"/>
      <c r="F8648" s="121" t="s">
        <v>1348</v>
      </c>
      <c r="G8648" s="98" t="str">
        <f>HYPERLINK("http://mirror.ff7data.com.ar/ff7/data/battle/battle.lgp/oxah.png","View Picture")</f>
        <v>View Picture</v>
      </c>
    </row>
    <row r="8649">
      <c r="A8649" s="55"/>
      <c r="B8649" s="119" t="s">
        <v>40918</v>
      </c>
      <c r="C8649" s="120" t="s">
        <v>26095</v>
      </c>
      <c r="D8649" s="31"/>
      <c r="F8649" s="121" t="s">
        <v>1348</v>
      </c>
      <c r="G8649" s="98" t="str">
        <f>HYPERLINK("http://mirror.ff7data.com.ar/ff7/data/battle/battle.lgp/oxai.png","View Picture")</f>
        <v>View Picture</v>
      </c>
    </row>
    <row r="8650">
      <c r="A8650" s="55"/>
      <c r="B8650" s="119" t="s">
        <v>40919</v>
      </c>
      <c r="C8650" s="120" t="s">
        <v>26095</v>
      </c>
      <c r="D8650" s="31"/>
      <c r="F8650" s="121" t="s">
        <v>1348</v>
      </c>
      <c r="G8650" s="98" t="str">
        <f>HYPERLINK("http://mirror.ff7data.com.ar/ff7/data/battle/battle.lgp/oxaj.png","View Picture")</f>
        <v>View Picture</v>
      </c>
    </row>
    <row r="8651">
      <c r="A8651" s="55"/>
      <c r="B8651" s="119" t="s">
        <v>40920</v>
      </c>
      <c r="C8651" s="120" t="s">
        <v>5859</v>
      </c>
      <c r="D8651" s="31"/>
      <c r="F8651" s="121" t="s">
        <v>3009</v>
      </c>
      <c r="G8651" s="98" t="str">
        <f>HYPERLINK("http://mirror.ff7data.com.ar/ff7/data/battle/battle.lgp/oxam.png","View Picture")</f>
        <v>View Picture</v>
      </c>
    </row>
    <row r="8652">
      <c r="A8652" s="55"/>
      <c r="B8652" s="119" t="s">
        <v>40921</v>
      </c>
      <c r="C8652" s="120" t="s">
        <v>4846</v>
      </c>
      <c r="D8652" s="31"/>
      <c r="F8652" s="121" t="s">
        <v>3009</v>
      </c>
      <c r="G8652" s="98" t="str">
        <f>HYPERLINK("http://mirror.ff7data.com.ar/ff7/data/battle/battle.lgp/oxan.png","View Picture")</f>
        <v>View Picture</v>
      </c>
    </row>
    <row r="8653">
      <c r="A8653" s="55"/>
      <c r="B8653" s="119" t="s">
        <v>40922</v>
      </c>
      <c r="C8653" s="120" t="s">
        <v>4846</v>
      </c>
      <c r="D8653" s="31"/>
      <c r="F8653" s="121" t="s">
        <v>3009</v>
      </c>
      <c r="G8653" s="98" t="str">
        <f>HYPERLINK("http://mirror.ff7data.com.ar/ff7/data/battle/battle.lgp/oxao.png","View Picture")</f>
        <v>View Picture</v>
      </c>
    </row>
    <row r="8654">
      <c r="A8654" s="55"/>
      <c r="B8654" s="119" t="s">
        <v>40923</v>
      </c>
      <c r="C8654" s="120" t="s">
        <v>4846</v>
      </c>
      <c r="D8654" s="31"/>
      <c r="F8654" s="121" t="s">
        <v>3009</v>
      </c>
      <c r="G8654" s="98" t="str">
        <f>HYPERLINK("http://mirror.ff7data.com.ar/ff7/data/battle/battle.lgp/oxap.png","View Picture")</f>
        <v>View Picture</v>
      </c>
    </row>
    <row r="8655">
      <c r="A8655" s="55"/>
      <c r="B8655" s="119" t="s">
        <v>40924</v>
      </c>
      <c r="C8655" s="120" t="s">
        <v>4167</v>
      </c>
      <c r="D8655" s="31"/>
      <c r="F8655" s="121" t="s">
        <v>3009</v>
      </c>
      <c r="G8655" s="98" t="str">
        <f>HYPERLINK("http://mirror.ff7data.com.ar/ff7/data/battle/battle.lgp/oxaq.png","View Picture")</f>
        <v>View Picture</v>
      </c>
    </row>
    <row r="8656">
      <c r="A8656" s="55"/>
      <c r="B8656" s="119" t="s">
        <v>40925</v>
      </c>
      <c r="C8656" s="120" t="s">
        <v>4240</v>
      </c>
      <c r="D8656" s="31"/>
      <c r="F8656" s="121" t="s">
        <v>3009</v>
      </c>
      <c r="G8656" s="98" t="str">
        <f>HYPERLINK("http://mirror.ff7data.com.ar/ff7/data/battle/battle.lgp/oxar.png","View Picture")</f>
        <v>View Picture</v>
      </c>
    </row>
    <row r="8657">
      <c r="A8657" s="55"/>
      <c r="B8657" s="119" t="s">
        <v>40926</v>
      </c>
      <c r="C8657" s="120" t="s">
        <v>7270</v>
      </c>
      <c r="D8657" s="31"/>
      <c r="F8657" s="121" t="s">
        <v>3009</v>
      </c>
      <c r="G8657" s="98" t="str">
        <f>HYPERLINK("http://mirror.ff7data.com.ar/ff7/data/battle/battle.lgp/oxas.png","View Picture")</f>
        <v>View Picture</v>
      </c>
    </row>
    <row r="8658">
      <c r="A8658" s="55"/>
      <c r="B8658" s="119" t="s">
        <v>40927</v>
      </c>
      <c r="C8658" s="120" t="s">
        <v>4719</v>
      </c>
      <c r="D8658" s="31"/>
      <c r="F8658" s="121" t="s">
        <v>3009</v>
      </c>
      <c r="G8658" s="98" t="str">
        <f>HYPERLINK("http://mirror.ff7data.com.ar/ff7/data/battle/battle.lgp/oxat.png","View Picture")</f>
        <v>View Picture</v>
      </c>
    </row>
    <row r="8659">
      <c r="A8659" s="55"/>
      <c r="B8659" s="119" t="s">
        <v>40928</v>
      </c>
      <c r="C8659" s="120" t="s">
        <v>4372</v>
      </c>
      <c r="D8659" s="31"/>
      <c r="F8659" s="121" t="s">
        <v>3009</v>
      </c>
      <c r="G8659" s="98" t="str">
        <f>HYPERLINK("http://mirror.ff7data.com.ar/ff7/data/battle/battle.lgp/oxau.png","View Picture")</f>
        <v>View Picture</v>
      </c>
    </row>
    <row r="8660">
      <c r="A8660" s="55"/>
      <c r="B8660" s="119" t="s">
        <v>40929</v>
      </c>
      <c r="C8660" s="120" t="s">
        <v>26336</v>
      </c>
      <c r="D8660" s="31"/>
      <c r="F8660" s="121" t="s">
        <v>3009</v>
      </c>
      <c r="G8660" s="98" t="str">
        <f>HYPERLINK("http://mirror.ff7data.com.ar/ff7/data/battle/battle.lgp/oxav.png","View Picture")</f>
        <v>View Picture</v>
      </c>
    </row>
    <row r="8661">
      <c r="A8661" s="55"/>
      <c r="B8661" s="119" t="s">
        <v>40930</v>
      </c>
      <c r="C8661" s="120" t="s">
        <v>9041</v>
      </c>
      <c r="D8661" s="31"/>
      <c r="F8661" s="121" t="s">
        <v>3009</v>
      </c>
      <c r="G8661" s="98" t="str">
        <f>HYPERLINK("http://mirror.ff7data.com.ar/ff7/data/battle/battle.lgp/oxaw.png","View Picture")</f>
        <v>View Picture</v>
      </c>
    </row>
    <row r="8662">
      <c r="A8662" s="55"/>
      <c r="B8662" s="119" t="s">
        <v>40931</v>
      </c>
      <c r="C8662" s="120" t="s">
        <v>7165</v>
      </c>
      <c r="D8662" s="31"/>
      <c r="F8662" s="121" t="s">
        <v>3009</v>
      </c>
      <c r="G8662" s="98" t="str">
        <f>HYPERLINK("http://mirror.ff7data.com.ar/ff7/data/battle/battle.lgp/oxax.png","View Picture")</f>
        <v>View Picture</v>
      </c>
    </row>
    <row r="8663">
      <c r="A8663" s="55"/>
      <c r="B8663" s="119" t="s">
        <v>40932</v>
      </c>
      <c r="C8663" s="120" t="s">
        <v>9041</v>
      </c>
      <c r="D8663" s="31"/>
      <c r="F8663" s="121" t="s">
        <v>3009</v>
      </c>
      <c r="G8663" s="98" t="str">
        <f>HYPERLINK("http://mirror.ff7data.com.ar/ff7/data/battle/battle.lgp/oxay.png","View Picture")</f>
        <v>View Picture</v>
      </c>
    </row>
    <row r="8664">
      <c r="A8664" s="55"/>
      <c r="B8664" s="119" t="s">
        <v>40933</v>
      </c>
      <c r="C8664" s="120" t="s">
        <v>9041</v>
      </c>
      <c r="D8664" s="31"/>
      <c r="F8664" s="121" t="s">
        <v>3009</v>
      </c>
      <c r="G8664" s="98" t="str">
        <f>HYPERLINK("http://mirror.ff7data.com.ar/ff7/data/battle/battle.lgp/oxaz.png","View Picture")</f>
        <v>View Picture</v>
      </c>
    </row>
    <row r="8665">
      <c r="A8665" s="55"/>
      <c r="B8665" s="119" t="s">
        <v>40934</v>
      </c>
      <c r="C8665" s="120" t="s">
        <v>3343</v>
      </c>
      <c r="D8665" s="31"/>
      <c r="F8665" s="121" t="s">
        <v>3009</v>
      </c>
      <c r="G8665" s="98" t="str">
        <f>HYPERLINK("http://mirror.ff7data.com.ar/ff7/data/battle/battle.lgp/oxba.png","View Picture")</f>
        <v>View Picture</v>
      </c>
    </row>
    <row r="8666">
      <c r="A8666" s="55"/>
      <c r="B8666" s="119" t="s">
        <v>40935</v>
      </c>
      <c r="C8666" s="120" t="s">
        <v>4217</v>
      </c>
      <c r="D8666" s="31"/>
      <c r="F8666" s="121" t="s">
        <v>3009</v>
      </c>
      <c r="G8666" s="98" t="str">
        <f>HYPERLINK("http://mirror.ff7data.com.ar/ff7/data/battle/battle.lgp/oxbb.png","View Picture")</f>
        <v>View Picture</v>
      </c>
    </row>
    <row r="8667">
      <c r="A8667" s="55"/>
      <c r="B8667" s="119" t="s">
        <v>40936</v>
      </c>
      <c r="C8667" s="120" t="s">
        <v>3768</v>
      </c>
      <c r="D8667" s="31"/>
      <c r="F8667" s="121" t="s">
        <v>3009</v>
      </c>
      <c r="G8667" s="98" t="str">
        <f>HYPERLINK("http://mirror.ff7data.com.ar/ff7/data/battle/battle.lgp/oxbc.png","View Picture")</f>
        <v>View Picture</v>
      </c>
    </row>
    <row r="8668">
      <c r="A8668" s="55"/>
      <c r="B8668" s="119" t="s">
        <v>40937</v>
      </c>
      <c r="C8668" s="120" t="s">
        <v>7301</v>
      </c>
      <c r="D8668" s="31"/>
      <c r="F8668" s="121" t="s">
        <v>3009</v>
      </c>
      <c r="G8668" s="98" t="str">
        <f>HYPERLINK("http://mirror.ff7data.com.ar/ff7/data/battle/battle.lgp/oxbd.png","View Picture")</f>
        <v>View Picture</v>
      </c>
    </row>
    <row r="8669">
      <c r="A8669" s="79"/>
      <c r="B8669" s="119" t="s">
        <v>40938</v>
      </c>
      <c r="C8669" s="120" t="s">
        <v>40553</v>
      </c>
      <c r="D8669" s="33" t="s">
        <v>40939</v>
      </c>
      <c r="F8669" s="121" t="s">
        <v>2756</v>
      </c>
      <c r="G8669" s="98" t="str">
        <f>HYPERLINK("http://mirror.ff7data.com.ar/ff7/data/battle/battle.lgp/oyaa.png","View Picture")</f>
        <v>View Picture</v>
      </c>
    </row>
    <row r="8670">
      <c r="A8670" s="55"/>
      <c r="B8670" s="119" t="s">
        <v>40940</v>
      </c>
      <c r="C8670" s="120" t="s">
        <v>40556</v>
      </c>
      <c r="D8670" s="31"/>
      <c r="F8670" s="121" t="s">
        <v>2993</v>
      </c>
      <c r="H8670" s="46" t="s">
        <v>40710</v>
      </c>
    </row>
    <row r="8671">
      <c r="A8671" s="55"/>
      <c r="B8671" s="119" t="s">
        <v>40941</v>
      </c>
      <c r="C8671" s="120" t="s">
        <v>26104</v>
      </c>
      <c r="D8671" s="31"/>
      <c r="F8671" s="121" t="s">
        <v>1348</v>
      </c>
      <c r="G8671" s="98" t="str">
        <f>HYPERLINK("http://mirror.ff7data.com.ar/ff7/data/battle/battle.lgp/oyac.png","View Picture")</f>
        <v>View Picture</v>
      </c>
    </row>
    <row r="8672">
      <c r="A8672" s="55"/>
      <c r="B8672" s="119" t="s">
        <v>40942</v>
      </c>
      <c r="C8672" s="120" t="s">
        <v>5203</v>
      </c>
      <c r="D8672" s="31"/>
      <c r="F8672" s="121" t="s">
        <v>1348</v>
      </c>
      <c r="G8672" s="98" t="str">
        <f>HYPERLINK("http://mirror.ff7data.com.ar/ff7/data/battle/battle.lgp/oyad.png","View Picture")</f>
        <v>View Picture</v>
      </c>
    </row>
    <row r="8673">
      <c r="A8673" s="55"/>
      <c r="B8673" s="119" t="s">
        <v>40943</v>
      </c>
      <c r="C8673" s="120" t="s">
        <v>26104</v>
      </c>
      <c r="D8673" s="31"/>
      <c r="F8673" s="121" t="s">
        <v>1348</v>
      </c>
      <c r="G8673" s="98" t="str">
        <f>HYPERLINK("http://mirror.ff7data.com.ar/ff7/data/battle/battle.lgp/oyae.png","View Picture")</f>
        <v>View Picture</v>
      </c>
    </row>
    <row r="8674">
      <c r="A8674" s="55"/>
      <c r="B8674" s="119" t="s">
        <v>40944</v>
      </c>
      <c r="C8674" s="120" t="s">
        <v>26104</v>
      </c>
      <c r="D8674" s="31"/>
      <c r="F8674" s="121" t="s">
        <v>1348</v>
      </c>
      <c r="G8674" s="98" t="str">
        <f>HYPERLINK("http://mirror.ff7data.com.ar/ff7/data/battle/battle.lgp/oyaf.png","View Picture")</f>
        <v>View Picture</v>
      </c>
    </row>
    <row r="8675">
      <c r="A8675" s="55"/>
      <c r="B8675" s="119" t="s">
        <v>40945</v>
      </c>
      <c r="C8675" s="120" t="s">
        <v>5203</v>
      </c>
      <c r="D8675" s="31"/>
      <c r="F8675" s="121" t="s">
        <v>1348</v>
      </c>
      <c r="G8675" s="98" t="str">
        <f>HYPERLINK("http://mirror.ff7data.com.ar/ff7/data/battle/battle.lgp/oyag.png","View Picture")</f>
        <v>View Picture</v>
      </c>
    </row>
    <row r="8676">
      <c r="A8676" s="55"/>
      <c r="B8676" s="119" t="s">
        <v>40946</v>
      </c>
      <c r="C8676" s="120" t="s">
        <v>7471</v>
      </c>
      <c r="D8676" s="31"/>
      <c r="F8676" s="121" t="s">
        <v>1348</v>
      </c>
      <c r="G8676" s="98" t="str">
        <f>HYPERLINK("http://mirror.ff7data.com.ar/ff7/data/battle/battle.lgp/oyah.png","View Picture")</f>
        <v>View Picture</v>
      </c>
    </row>
    <row r="8677">
      <c r="A8677" s="55"/>
      <c r="B8677" s="119" t="s">
        <v>40947</v>
      </c>
      <c r="C8677" s="120" t="s">
        <v>3355</v>
      </c>
      <c r="D8677" s="31"/>
      <c r="F8677" s="121" t="s">
        <v>3009</v>
      </c>
      <c r="G8677" s="98" t="str">
        <f>HYPERLINK("http://mirror.ff7data.com.ar/ff7/data/battle/battle.lgp/oyam.png","View Picture")</f>
        <v>View Picture</v>
      </c>
    </row>
    <row r="8678">
      <c r="A8678" s="55"/>
      <c r="B8678" s="119" t="s">
        <v>40948</v>
      </c>
      <c r="C8678" s="120" t="s">
        <v>3355</v>
      </c>
      <c r="D8678" s="31"/>
      <c r="F8678" s="121" t="s">
        <v>3009</v>
      </c>
      <c r="G8678" s="98" t="str">
        <f>HYPERLINK("http://mirror.ff7data.com.ar/ff7/data/battle/battle.lgp/oyan.png","View Picture")</f>
        <v>View Picture</v>
      </c>
    </row>
    <row r="8679">
      <c r="A8679" s="55"/>
      <c r="B8679" s="119" t="s">
        <v>40949</v>
      </c>
      <c r="C8679" s="120" t="s">
        <v>7129</v>
      </c>
      <c r="D8679" s="31"/>
      <c r="F8679" s="121" t="s">
        <v>3009</v>
      </c>
      <c r="G8679" s="98" t="str">
        <f>HYPERLINK("http://mirror.ff7data.com.ar/ff7/data/battle/battle.lgp/oyao.png","View Picture")</f>
        <v>View Picture</v>
      </c>
    </row>
    <row r="8680">
      <c r="A8680" s="55"/>
      <c r="B8680" s="119" t="s">
        <v>40950</v>
      </c>
      <c r="C8680" s="120" t="s">
        <v>7129</v>
      </c>
      <c r="D8680" s="31"/>
      <c r="F8680" s="121" t="s">
        <v>3009</v>
      </c>
      <c r="G8680" s="98" t="str">
        <f>HYPERLINK("http://mirror.ff7data.com.ar/ff7/data/battle/battle.lgp/oyap.png","View Picture")</f>
        <v>View Picture</v>
      </c>
    </row>
    <row r="8681">
      <c r="A8681" s="55"/>
      <c r="B8681" s="119" t="s">
        <v>40951</v>
      </c>
      <c r="C8681" s="120" t="s">
        <v>4396</v>
      </c>
      <c r="D8681" s="31"/>
      <c r="F8681" s="121" t="s">
        <v>3009</v>
      </c>
      <c r="G8681" s="98" t="str">
        <f>HYPERLINK("http://mirror.ff7data.com.ar/ff7/data/battle/battle.lgp/oyaq.png","View Picture")</f>
        <v>View Picture</v>
      </c>
    </row>
    <row r="8682">
      <c r="A8682" s="55"/>
      <c r="B8682" s="119" t="s">
        <v>40952</v>
      </c>
      <c r="C8682" s="120" t="s">
        <v>9041</v>
      </c>
      <c r="D8682" s="31"/>
      <c r="F8682" s="121" t="s">
        <v>3009</v>
      </c>
      <c r="G8682" s="98" t="str">
        <f>HYPERLINK("http://mirror.ff7data.com.ar/ff7/data/battle/battle.lgp/oyar.png","View Picture")</f>
        <v>View Picture</v>
      </c>
    </row>
    <row r="8683">
      <c r="A8683" s="55"/>
      <c r="B8683" s="119" t="s">
        <v>40953</v>
      </c>
      <c r="C8683" s="120" t="s">
        <v>7270</v>
      </c>
      <c r="D8683" s="31"/>
      <c r="F8683" s="121" t="s">
        <v>3009</v>
      </c>
      <c r="G8683" s="98" t="str">
        <f>HYPERLINK("http://mirror.ff7data.com.ar/ff7/data/battle/battle.lgp/oyas.png","View Picture")</f>
        <v>View Picture</v>
      </c>
    </row>
    <row r="8684">
      <c r="A8684" s="55"/>
      <c r="B8684" s="119" t="s">
        <v>40954</v>
      </c>
      <c r="C8684" s="120" t="s">
        <v>7270</v>
      </c>
      <c r="D8684" s="31"/>
      <c r="F8684" s="121" t="s">
        <v>3009</v>
      </c>
      <c r="G8684" s="98" t="str">
        <f>HYPERLINK("http://mirror.ff7data.com.ar/ff7/data/battle/battle.lgp/oyat.png","View Picture")</f>
        <v>View Picture</v>
      </c>
    </row>
    <row r="8685">
      <c r="A8685" s="55"/>
      <c r="B8685" s="119" t="s">
        <v>40955</v>
      </c>
      <c r="C8685" s="120" t="s">
        <v>13844</v>
      </c>
      <c r="D8685" s="31"/>
      <c r="F8685" s="121" t="s">
        <v>3009</v>
      </c>
      <c r="G8685" s="98" t="str">
        <f>HYPERLINK("http://mirror.ff7data.com.ar/ff7/data/battle/battle.lgp/oyau.png","View Picture")</f>
        <v>View Picture</v>
      </c>
    </row>
    <row r="8686">
      <c r="A8686" s="55"/>
      <c r="B8686" s="119" t="s">
        <v>40956</v>
      </c>
      <c r="C8686" s="120" t="s">
        <v>13844</v>
      </c>
      <c r="D8686" s="31"/>
      <c r="F8686" s="121" t="s">
        <v>3009</v>
      </c>
      <c r="G8686" s="98" t="str">
        <f>HYPERLINK("http://mirror.ff7data.com.ar/ff7/data/battle/battle.lgp/oyav.png","View Picture")</f>
        <v>View Picture</v>
      </c>
    </row>
    <row r="8687">
      <c r="A8687" s="79"/>
      <c r="B8687" s="119" t="s">
        <v>40957</v>
      </c>
      <c r="C8687" s="120" t="s">
        <v>40553</v>
      </c>
      <c r="D8687" s="33" t="s">
        <v>40958</v>
      </c>
      <c r="F8687" s="121" t="s">
        <v>2756</v>
      </c>
      <c r="G8687" s="98" t="str">
        <f>HYPERLINK("http://mirror.ff7data.com.ar/ff7/data/battle/battle.lgp/ozaa.png","View Picture")</f>
        <v>View Picture</v>
      </c>
    </row>
    <row r="8688">
      <c r="A8688" s="55"/>
      <c r="B8688" s="119" t="s">
        <v>40959</v>
      </c>
      <c r="C8688" s="120" t="s">
        <v>40556</v>
      </c>
      <c r="D8688" s="31"/>
      <c r="F8688" s="121" t="s">
        <v>2993</v>
      </c>
      <c r="H8688" s="46" t="s">
        <v>3002</v>
      </c>
    </row>
    <row r="8689">
      <c r="A8689" s="55"/>
      <c r="B8689" s="119" t="s">
        <v>40960</v>
      </c>
      <c r="C8689" s="120" t="s">
        <v>26104</v>
      </c>
      <c r="D8689" s="31"/>
      <c r="F8689" s="121" t="s">
        <v>1348</v>
      </c>
      <c r="G8689" s="98" t="str">
        <f>HYPERLINK("http://mirror.ff7data.com.ar/ff7/data/battle/battle.lgp/ozac.png","View Picture")</f>
        <v>View Picture</v>
      </c>
    </row>
    <row r="8690">
      <c r="A8690" s="55"/>
      <c r="B8690" s="119" t="s">
        <v>40961</v>
      </c>
      <c r="C8690" s="120" t="s">
        <v>6018</v>
      </c>
      <c r="D8690" s="31"/>
      <c r="F8690" s="121" t="s">
        <v>1348</v>
      </c>
      <c r="G8690" s="98" t="str">
        <f>HYPERLINK("http://mirror.ff7data.com.ar/ff7/data/battle/battle.lgp/ozad.png","View Picture")</f>
        <v>View Picture</v>
      </c>
    </row>
    <row r="8691">
      <c r="A8691" s="55"/>
      <c r="B8691" s="119" t="s">
        <v>40962</v>
      </c>
      <c r="C8691" s="120" t="s">
        <v>26095</v>
      </c>
      <c r="D8691" s="31"/>
      <c r="F8691" s="121" t="s">
        <v>1348</v>
      </c>
      <c r="G8691" s="98" t="str">
        <f>HYPERLINK("http://mirror.ff7data.com.ar/ff7/data/battle/battle.lgp/ozae.png","View Picture")</f>
        <v>View Picture</v>
      </c>
    </row>
    <row r="8692">
      <c r="A8692" s="55"/>
      <c r="B8692" s="119" t="s">
        <v>40963</v>
      </c>
      <c r="C8692" s="120" t="s">
        <v>6018</v>
      </c>
      <c r="D8692" s="31"/>
      <c r="F8692" s="121" t="s">
        <v>1348</v>
      </c>
      <c r="G8692" s="98" t="str">
        <f>HYPERLINK("http://mirror.ff7data.com.ar/ff7/data/battle/battle.lgp/ozaf.png","View Picture")</f>
        <v>View Picture</v>
      </c>
    </row>
    <row r="8693">
      <c r="A8693" s="55"/>
      <c r="B8693" s="119" t="s">
        <v>40964</v>
      </c>
      <c r="C8693" s="120" t="s">
        <v>26095</v>
      </c>
      <c r="D8693" s="31"/>
      <c r="F8693" s="121" t="s">
        <v>1348</v>
      </c>
      <c r="G8693" s="98" t="str">
        <f>HYPERLINK("http://mirror.ff7data.com.ar/ff7/data/battle/battle.lgp/ozag.png","View Picture")</f>
        <v>View Picture</v>
      </c>
    </row>
    <row r="8694">
      <c r="A8694" s="55"/>
      <c r="B8694" s="119" t="s">
        <v>40965</v>
      </c>
      <c r="C8694" s="120" t="s">
        <v>26104</v>
      </c>
      <c r="D8694" s="31"/>
      <c r="F8694" s="121" t="s">
        <v>1348</v>
      </c>
      <c r="G8694" s="98" t="str">
        <f>HYPERLINK("http://mirror.ff7data.com.ar/ff7/data/battle/battle.lgp/ozah.png","View Picture")</f>
        <v>View Picture</v>
      </c>
    </row>
    <row r="8695">
      <c r="A8695" s="55"/>
      <c r="B8695" s="119" t="s">
        <v>40966</v>
      </c>
      <c r="C8695" s="120" t="s">
        <v>6018</v>
      </c>
      <c r="D8695" s="31"/>
      <c r="F8695" s="121" t="s">
        <v>1348</v>
      </c>
      <c r="G8695" s="98" t="str">
        <f>HYPERLINK("http://mirror.ff7data.com.ar/ff7/data/battle/battle.lgp/ozai.png","View Picture")</f>
        <v>View Picture</v>
      </c>
    </row>
    <row r="8696">
      <c r="A8696" s="55"/>
      <c r="B8696" s="119" t="s">
        <v>40967</v>
      </c>
      <c r="C8696" s="120" t="s">
        <v>6018</v>
      </c>
      <c r="D8696" s="31"/>
      <c r="F8696" s="121" t="s">
        <v>1348</v>
      </c>
      <c r="G8696" s="98" t="str">
        <f>HYPERLINK("http://mirror.ff7data.com.ar/ff7/data/battle/battle.lgp/ozaj.png","View Picture")</f>
        <v>View Picture</v>
      </c>
    </row>
    <row r="8697">
      <c r="A8697" s="55"/>
      <c r="B8697" s="119" t="s">
        <v>40968</v>
      </c>
      <c r="C8697" s="120" t="s">
        <v>26433</v>
      </c>
      <c r="D8697" s="31"/>
      <c r="F8697" s="121" t="s">
        <v>3009</v>
      </c>
      <c r="G8697" s="98" t="str">
        <f>HYPERLINK("http://mirror.ff7data.com.ar/ff7/data/battle/battle.lgp/ozam.png","View Picture")</f>
        <v>View Picture</v>
      </c>
    </row>
    <row r="8698">
      <c r="A8698" s="55"/>
      <c r="B8698" s="119" t="s">
        <v>40969</v>
      </c>
      <c r="C8698" s="120" t="s">
        <v>4846</v>
      </c>
      <c r="D8698" s="31"/>
      <c r="F8698" s="121" t="s">
        <v>3009</v>
      </c>
      <c r="G8698" s="98" t="str">
        <f>HYPERLINK("http://mirror.ff7data.com.ar/ff7/data/battle/battle.lgp/ozan.png","View Picture")</f>
        <v>View Picture</v>
      </c>
    </row>
    <row r="8699">
      <c r="A8699" s="55"/>
      <c r="B8699" s="119" t="s">
        <v>40970</v>
      </c>
      <c r="C8699" s="120" t="s">
        <v>3842</v>
      </c>
      <c r="D8699" s="31"/>
      <c r="F8699" s="121" t="s">
        <v>3009</v>
      </c>
      <c r="G8699" s="98" t="str">
        <f>HYPERLINK("http://mirror.ff7data.com.ar/ff7/data/battle/battle.lgp/ozao.png","View Picture")</f>
        <v>View Picture</v>
      </c>
    </row>
    <row r="8700">
      <c r="A8700" s="55"/>
      <c r="B8700" s="119" t="s">
        <v>40971</v>
      </c>
      <c r="C8700" s="120" t="s">
        <v>4476</v>
      </c>
      <c r="D8700" s="31"/>
      <c r="F8700" s="121" t="s">
        <v>3009</v>
      </c>
      <c r="G8700" s="98" t="str">
        <f>HYPERLINK("http://mirror.ff7data.com.ar/ff7/data/battle/battle.lgp/ozap.png","View Picture")</f>
        <v>View Picture</v>
      </c>
    </row>
    <row r="8701">
      <c r="A8701" s="55"/>
      <c r="B8701" s="119" t="s">
        <v>40972</v>
      </c>
      <c r="C8701" s="120" t="s">
        <v>3614</v>
      </c>
      <c r="D8701" s="31"/>
      <c r="F8701" s="121" t="s">
        <v>3009</v>
      </c>
      <c r="G8701" s="98" t="str">
        <f>HYPERLINK("http://mirror.ff7data.com.ar/ff7/data/battle/battle.lgp/ozaq.png","View Picture")</f>
        <v>View Picture</v>
      </c>
    </row>
    <row r="8702">
      <c r="A8702" s="55"/>
      <c r="B8702" s="119" t="s">
        <v>40973</v>
      </c>
      <c r="C8702" s="120" t="s">
        <v>3614</v>
      </c>
      <c r="D8702" s="31"/>
      <c r="F8702" s="121" t="s">
        <v>3009</v>
      </c>
      <c r="G8702" s="98" t="str">
        <f>HYPERLINK("http://mirror.ff7data.com.ar/ff7/data/battle/battle.lgp/ozar.png","View Picture")</f>
        <v>View Picture</v>
      </c>
    </row>
    <row r="8703">
      <c r="A8703" s="55"/>
      <c r="B8703" s="119" t="s">
        <v>40974</v>
      </c>
      <c r="C8703" s="120" t="s">
        <v>4228</v>
      </c>
      <c r="D8703" s="31"/>
      <c r="F8703" s="121" t="s">
        <v>3009</v>
      </c>
      <c r="G8703" s="98" t="str">
        <f>HYPERLINK("http://mirror.ff7data.com.ar/ff7/data/battle/battle.lgp/ozas.png","View Picture")</f>
        <v>View Picture</v>
      </c>
    </row>
    <row r="8704">
      <c r="A8704" s="55"/>
      <c r="B8704" s="119" t="s">
        <v>40975</v>
      </c>
      <c r="C8704" s="120" t="s">
        <v>7165</v>
      </c>
      <c r="D8704" s="31"/>
      <c r="F8704" s="121" t="s">
        <v>3009</v>
      </c>
      <c r="G8704" s="98" t="str">
        <f>HYPERLINK("http://mirror.ff7data.com.ar/ff7/data/battle/battle.lgp/ozat.png","View Picture")</f>
        <v>View Picture</v>
      </c>
    </row>
    <row r="8705">
      <c r="A8705" s="55"/>
      <c r="B8705" s="119" t="s">
        <v>40976</v>
      </c>
      <c r="C8705" s="120" t="s">
        <v>5419</v>
      </c>
      <c r="D8705" s="31"/>
      <c r="F8705" s="121" t="s">
        <v>3009</v>
      </c>
      <c r="G8705" s="98" t="str">
        <f>HYPERLINK("http://mirror.ff7data.com.ar/ff7/data/battle/battle.lgp/ozau.png","View Picture")</f>
        <v>View Picture</v>
      </c>
    </row>
    <row r="8706">
      <c r="A8706" s="55"/>
      <c r="B8706" s="119" t="s">
        <v>40977</v>
      </c>
      <c r="C8706" s="120" t="s">
        <v>6789</v>
      </c>
      <c r="D8706" s="31"/>
      <c r="F8706" s="121" t="s">
        <v>3009</v>
      </c>
      <c r="G8706" s="98" t="str">
        <f>HYPERLINK("http://mirror.ff7data.com.ar/ff7/data/battle/battle.lgp/ozav.png","View Picture")</f>
        <v>View Picture</v>
      </c>
    </row>
    <row r="8707">
      <c r="A8707" s="55"/>
      <c r="B8707" s="119" t="s">
        <v>40978</v>
      </c>
      <c r="C8707" s="120" t="s">
        <v>3481</v>
      </c>
      <c r="D8707" s="31"/>
      <c r="F8707" s="121" t="s">
        <v>3009</v>
      </c>
      <c r="G8707" s="98" t="str">
        <f>HYPERLINK("http://mirror.ff7data.com.ar/ff7/data/battle/battle.lgp/ozaw.png","View Picture")</f>
        <v>View Picture</v>
      </c>
    </row>
    <row r="8708">
      <c r="A8708" s="79"/>
      <c r="B8708" s="119" t="s">
        <v>40979</v>
      </c>
      <c r="C8708" s="120" t="s">
        <v>40553</v>
      </c>
      <c r="D8708" s="33" t="s">
        <v>40980</v>
      </c>
      <c r="F8708" s="121" t="s">
        <v>2756</v>
      </c>
      <c r="G8708" s="98" t="str">
        <f>HYPERLINK("http://mirror.ff7data.com.ar/ff7/data/battle/battle.lgp/paaa.png","View Picture")</f>
        <v>View Picture</v>
      </c>
      <c r="H8708" s="46" t="s">
        <v>40597</v>
      </c>
    </row>
    <row r="8709">
      <c r="A8709" s="55"/>
      <c r="B8709" s="119" t="s">
        <v>40981</v>
      </c>
      <c r="C8709" s="120" t="s">
        <v>40556</v>
      </c>
      <c r="D8709" s="31"/>
      <c r="F8709" s="121" t="s">
        <v>2993</v>
      </c>
      <c r="H8709" s="46" t="s">
        <v>3002</v>
      </c>
    </row>
    <row r="8710">
      <c r="A8710" s="55"/>
      <c r="B8710" s="119" t="s">
        <v>40982</v>
      </c>
      <c r="C8710" s="120" t="s">
        <v>26104</v>
      </c>
      <c r="D8710" s="31"/>
      <c r="F8710" s="121" t="s">
        <v>1348</v>
      </c>
      <c r="G8710" s="98" t="str">
        <f>HYPERLINK("http://mirror.ff7data.com.ar/ff7/data/battle/battle.lgp/paac.png","View Picture")</f>
        <v>View Picture</v>
      </c>
    </row>
    <row r="8711">
      <c r="A8711" s="55"/>
      <c r="B8711" s="119" t="s">
        <v>40983</v>
      </c>
      <c r="C8711" s="120" t="s">
        <v>26104</v>
      </c>
      <c r="D8711" s="31"/>
      <c r="F8711" s="121" t="s">
        <v>1348</v>
      </c>
      <c r="G8711" s="98" t="str">
        <f>HYPERLINK("http://mirror.ff7data.com.ar/ff7/data/battle/battle.lgp/paad.png","View Picture")</f>
        <v>View Picture</v>
      </c>
    </row>
    <row r="8712">
      <c r="A8712" s="55"/>
      <c r="B8712" s="119" t="s">
        <v>40984</v>
      </c>
      <c r="C8712" s="120" t="s">
        <v>26095</v>
      </c>
      <c r="D8712" s="31"/>
      <c r="F8712" s="121" t="s">
        <v>1348</v>
      </c>
      <c r="G8712" s="98" t="str">
        <f>HYPERLINK("http://mirror.ff7data.com.ar/ff7/data/battle/battle.lgp/paae.png","View Picture")</f>
        <v>View Picture</v>
      </c>
    </row>
    <row r="8713">
      <c r="A8713" s="55"/>
      <c r="B8713" s="119" t="s">
        <v>40985</v>
      </c>
      <c r="C8713" s="120" t="s">
        <v>6018</v>
      </c>
      <c r="D8713" s="31"/>
      <c r="F8713" s="121" t="s">
        <v>1348</v>
      </c>
      <c r="G8713" s="98" t="str">
        <f>HYPERLINK("http://mirror.ff7data.com.ar/ff7/data/battle/battle.lgp/paaf.png","View Picture")</f>
        <v>View Picture</v>
      </c>
    </row>
    <row r="8714">
      <c r="A8714" s="55"/>
      <c r="B8714" s="119" t="s">
        <v>40986</v>
      </c>
      <c r="C8714" s="120" t="s">
        <v>6018</v>
      </c>
      <c r="D8714" s="31"/>
      <c r="F8714" s="121" t="s">
        <v>1348</v>
      </c>
      <c r="G8714" s="98" t="str">
        <f>HYPERLINK("http://mirror.ff7data.com.ar/ff7/data/battle/battle.lgp/paag.png","View Picture")</f>
        <v>View Picture</v>
      </c>
    </row>
    <row r="8715">
      <c r="A8715" s="55"/>
      <c r="B8715" s="119" t="s">
        <v>40987</v>
      </c>
      <c r="C8715" s="120" t="s">
        <v>6018</v>
      </c>
      <c r="D8715" s="31"/>
      <c r="F8715" s="121" t="s">
        <v>1348</v>
      </c>
      <c r="G8715" s="98" t="str">
        <f>HYPERLINK("http://mirror.ff7data.com.ar/ff7/data/battle/battle.lgp/paah.png","View Picture")</f>
        <v>View Picture</v>
      </c>
    </row>
    <row r="8716">
      <c r="A8716" s="55"/>
      <c r="B8716" s="119" t="s">
        <v>40988</v>
      </c>
      <c r="C8716" s="120" t="s">
        <v>3399</v>
      </c>
      <c r="D8716" s="31"/>
      <c r="F8716" s="121" t="s">
        <v>3009</v>
      </c>
      <c r="G8716" s="98" t="str">
        <f>HYPERLINK("http://mirror.ff7data.com.ar/ff7/data/battle/battle.lgp/paam.png","View Picture")</f>
        <v>View Picture</v>
      </c>
    </row>
    <row r="8717">
      <c r="A8717" s="55"/>
      <c r="B8717" s="119" t="s">
        <v>40989</v>
      </c>
      <c r="C8717" s="120" t="s">
        <v>3768</v>
      </c>
      <c r="D8717" s="31"/>
      <c r="F8717" s="121" t="s">
        <v>3009</v>
      </c>
      <c r="G8717" s="98" t="str">
        <f>HYPERLINK("http://mirror.ff7data.com.ar/ff7/data/battle/battle.lgp/paan.png","View Picture")</f>
        <v>View Picture</v>
      </c>
    </row>
    <row r="8718">
      <c r="A8718" s="55"/>
      <c r="B8718" s="119" t="s">
        <v>40990</v>
      </c>
      <c r="C8718" s="120" t="s">
        <v>9041</v>
      </c>
      <c r="D8718" s="31"/>
      <c r="F8718" s="121" t="s">
        <v>3009</v>
      </c>
      <c r="G8718" s="98" t="str">
        <f>HYPERLINK("http://mirror.ff7data.com.ar/ff7/data/battle/battle.lgp/paao.png","View Picture")</f>
        <v>View Picture</v>
      </c>
    </row>
    <row r="8719">
      <c r="A8719" s="55"/>
      <c r="B8719" s="119" t="s">
        <v>40991</v>
      </c>
      <c r="C8719" s="120" t="s">
        <v>3648</v>
      </c>
      <c r="D8719" s="31"/>
      <c r="F8719" s="121" t="s">
        <v>3009</v>
      </c>
      <c r="G8719" s="98" t="str">
        <f>HYPERLINK("http://mirror.ff7data.com.ar/ff7/data/battle/battle.lgp/paap.png","View Picture")</f>
        <v>View Picture</v>
      </c>
    </row>
    <row r="8720">
      <c r="A8720" s="55"/>
      <c r="B8720" s="119" t="s">
        <v>40992</v>
      </c>
      <c r="C8720" s="120" t="s">
        <v>7062</v>
      </c>
      <c r="D8720" s="31"/>
      <c r="F8720" s="121" t="s">
        <v>3009</v>
      </c>
      <c r="G8720" s="98" t="str">
        <f>HYPERLINK("http://mirror.ff7data.com.ar/ff7/data/battle/battle.lgp/paaq.png","View Picture")</f>
        <v>View Picture</v>
      </c>
    </row>
    <row r="8721">
      <c r="A8721" s="55"/>
      <c r="B8721" s="119" t="s">
        <v>40993</v>
      </c>
      <c r="C8721" s="120" t="s">
        <v>4228</v>
      </c>
      <c r="D8721" s="31"/>
      <c r="F8721" s="121" t="s">
        <v>3009</v>
      </c>
      <c r="G8721" s="98" t="str">
        <f>HYPERLINK("http://mirror.ff7data.com.ar/ff7/data/battle/battle.lgp/paar.png","View Picture")</f>
        <v>View Picture</v>
      </c>
    </row>
    <row r="8722">
      <c r="A8722" s="55"/>
      <c r="B8722" s="119" t="s">
        <v>40994</v>
      </c>
      <c r="C8722" s="120" t="s">
        <v>3343</v>
      </c>
      <c r="D8722" s="31"/>
      <c r="F8722" s="121" t="s">
        <v>3009</v>
      </c>
      <c r="G8722" s="98" t="str">
        <f>HYPERLINK("http://mirror.ff7data.com.ar/ff7/data/battle/battle.lgp/paas.png","View Picture")</f>
        <v>View Picture</v>
      </c>
    </row>
    <row r="8723">
      <c r="A8723" s="55"/>
      <c r="B8723" s="119" t="s">
        <v>40995</v>
      </c>
      <c r="C8723" s="120" t="s">
        <v>4732</v>
      </c>
      <c r="D8723" s="31"/>
      <c r="F8723" s="121" t="s">
        <v>3009</v>
      </c>
      <c r="G8723" s="98" t="str">
        <f>HYPERLINK("http://mirror.ff7data.com.ar/ff7/data/battle/battle.lgp/paat.png","View Picture")</f>
        <v>View Picture</v>
      </c>
    </row>
    <row r="8724">
      <c r="A8724" s="55"/>
      <c r="B8724" s="119" t="s">
        <v>40996</v>
      </c>
      <c r="C8724" s="120" t="s">
        <v>4167</v>
      </c>
      <c r="D8724" s="31"/>
      <c r="F8724" s="121" t="s">
        <v>3009</v>
      </c>
      <c r="G8724" s="98" t="str">
        <f>HYPERLINK("http://mirror.ff7data.com.ar/ff7/data/battle/battle.lgp/paau.png","View Picture")</f>
        <v>View Picture</v>
      </c>
    </row>
    <row r="8725">
      <c r="A8725" s="79"/>
      <c r="B8725" s="119" t="s">
        <v>40997</v>
      </c>
      <c r="C8725" s="120" t="s">
        <v>40553</v>
      </c>
      <c r="D8725" s="49" t="s">
        <v>40998</v>
      </c>
      <c r="F8725" s="121" t="s">
        <v>2756</v>
      </c>
      <c r="G8725" s="98" t="str">
        <f>HYPERLINK("http://mirror.ff7data.com.ar/ff7/data/battle/battle.lgp/pbaa.png","View Picture")</f>
        <v>View Picture</v>
      </c>
      <c r="H8725" s="46" t="s">
        <v>40597</v>
      </c>
    </row>
    <row r="8726">
      <c r="A8726" s="55"/>
      <c r="B8726" s="119" t="s">
        <v>40999</v>
      </c>
      <c r="C8726" s="120" t="s">
        <v>40556</v>
      </c>
      <c r="D8726" s="31"/>
      <c r="F8726" s="121" t="s">
        <v>2993</v>
      </c>
      <c r="H8726" s="46" t="s">
        <v>3002</v>
      </c>
    </row>
    <row r="8727">
      <c r="A8727" s="55"/>
      <c r="B8727" s="119" t="s">
        <v>41000</v>
      </c>
      <c r="C8727" s="120" t="s">
        <v>26104</v>
      </c>
      <c r="D8727" s="31"/>
      <c r="F8727" s="121" t="s">
        <v>1348</v>
      </c>
      <c r="G8727" s="98" t="str">
        <f>HYPERLINK("http://mirror.ff7data.com.ar/ff7/data/battle/battle.lgp/pbac.png","View Picture")</f>
        <v>View Picture</v>
      </c>
    </row>
    <row r="8728">
      <c r="A8728" s="55"/>
      <c r="B8728" s="119" t="s">
        <v>41001</v>
      </c>
      <c r="C8728" s="120" t="s">
        <v>6018</v>
      </c>
      <c r="D8728" s="31"/>
      <c r="F8728" s="121" t="s">
        <v>1348</v>
      </c>
      <c r="G8728" s="98" t="str">
        <f>HYPERLINK("http://mirror.ff7data.com.ar/ff7/data/battle/battle.lgp/pbad.png","View Picture")</f>
        <v>View Picture</v>
      </c>
    </row>
    <row r="8729">
      <c r="A8729" s="55"/>
      <c r="B8729" s="119" t="s">
        <v>41002</v>
      </c>
      <c r="C8729" s="120" t="s">
        <v>26095</v>
      </c>
      <c r="D8729" s="31"/>
      <c r="F8729" s="121" t="s">
        <v>1348</v>
      </c>
      <c r="G8729" s="98" t="str">
        <f>HYPERLINK("http://mirror.ff7data.com.ar/ff7/data/battle/battle.lgp/pbae.png","View Picture")</f>
        <v>View Picture</v>
      </c>
    </row>
    <row r="8730">
      <c r="A8730" s="55"/>
      <c r="B8730" s="119" t="s">
        <v>41003</v>
      </c>
      <c r="C8730" s="120" t="s">
        <v>26095</v>
      </c>
      <c r="D8730" s="31"/>
      <c r="F8730" s="121" t="s">
        <v>1348</v>
      </c>
      <c r="G8730" s="98" t="str">
        <f>HYPERLINK("http://mirror.ff7data.com.ar/ff7/data/battle/battle.lgp/pbaf.png","View Picture")</f>
        <v>View Picture</v>
      </c>
    </row>
    <row r="8731">
      <c r="A8731" s="55"/>
      <c r="B8731" s="119" t="s">
        <v>41004</v>
      </c>
      <c r="C8731" s="120" t="s">
        <v>26095</v>
      </c>
      <c r="D8731" s="31"/>
      <c r="F8731" s="121" t="s">
        <v>1348</v>
      </c>
      <c r="G8731" s="98" t="str">
        <f>HYPERLINK("http://mirror.ff7data.com.ar/ff7/data/battle/battle.lgp/pbag.png","View Picture")</f>
        <v>View Picture</v>
      </c>
    </row>
    <row r="8732">
      <c r="A8732" s="55"/>
      <c r="B8732" s="119" t="s">
        <v>41005</v>
      </c>
      <c r="C8732" s="120" t="s">
        <v>6018</v>
      </c>
      <c r="D8732" s="31"/>
      <c r="F8732" s="121" t="s">
        <v>1348</v>
      </c>
      <c r="G8732" s="98" t="str">
        <f>HYPERLINK("http://mirror.ff7data.com.ar/ff7/data/battle/battle.lgp/pbah.png","View Picture")</f>
        <v>View Picture</v>
      </c>
    </row>
    <row r="8733">
      <c r="A8733" s="55"/>
      <c r="B8733" s="119" t="s">
        <v>41006</v>
      </c>
      <c r="C8733" s="120" t="s">
        <v>6018</v>
      </c>
      <c r="D8733" s="31"/>
      <c r="F8733" s="121" t="s">
        <v>1348</v>
      </c>
      <c r="G8733" s="98" t="str">
        <f>HYPERLINK("http://mirror.ff7data.com.ar/ff7/data/battle/battle.lgp/pbai.png","View Picture")</f>
        <v>View Picture</v>
      </c>
    </row>
    <row r="8734">
      <c r="A8734" s="55"/>
      <c r="B8734" s="119" t="s">
        <v>41007</v>
      </c>
      <c r="C8734" s="120" t="s">
        <v>6018</v>
      </c>
      <c r="D8734" s="31"/>
      <c r="F8734" s="121" t="s">
        <v>1348</v>
      </c>
      <c r="G8734" s="98" t="str">
        <f>HYPERLINK("http://mirror.ff7data.com.ar/ff7/data/battle/battle.lgp/pbaj.png","View Picture")</f>
        <v>View Picture</v>
      </c>
    </row>
    <row r="8735">
      <c r="A8735" s="55"/>
      <c r="B8735" s="119" t="s">
        <v>41008</v>
      </c>
      <c r="C8735" s="120" t="s">
        <v>3552</v>
      </c>
      <c r="D8735" s="31"/>
      <c r="F8735" s="121" t="s">
        <v>3009</v>
      </c>
      <c r="G8735" s="98" t="str">
        <f>HYPERLINK("http://mirror.ff7data.com.ar/ff7/data/battle/battle.lgp/pbam.png","View Picture")</f>
        <v>View Picture</v>
      </c>
    </row>
    <row r="8736">
      <c r="A8736" s="55"/>
      <c r="B8736" s="119" t="s">
        <v>41009</v>
      </c>
      <c r="C8736" s="120" t="s">
        <v>4846</v>
      </c>
      <c r="D8736" s="31"/>
      <c r="F8736" s="121" t="s">
        <v>3009</v>
      </c>
      <c r="G8736" s="98" t="str">
        <f>HYPERLINK("http://mirror.ff7data.com.ar/ff7/data/battle/battle.lgp/pban.png","View Picture")</f>
        <v>View Picture</v>
      </c>
    </row>
    <row r="8737">
      <c r="A8737" s="55"/>
      <c r="B8737" s="119" t="s">
        <v>41010</v>
      </c>
      <c r="C8737" s="120" t="s">
        <v>4846</v>
      </c>
      <c r="D8737" s="31"/>
      <c r="F8737" s="121" t="s">
        <v>3009</v>
      </c>
      <c r="G8737" s="98" t="str">
        <f>HYPERLINK("http://mirror.ff7data.com.ar/ff7/data/battle/battle.lgp/pbao.png","View Picture")</f>
        <v>View Picture</v>
      </c>
    </row>
    <row r="8738">
      <c r="A8738" s="55"/>
      <c r="B8738" s="119" t="s">
        <v>41011</v>
      </c>
      <c r="C8738" s="120" t="s">
        <v>4846</v>
      </c>
      <c r="D8738" s="31"/>
      <c r="F8738" s="121" t="s">
        <v>3009</v>
      </c>
      <c r="G8738" s="98" t="str">
        <f>HYPERLINK("http://mirror.ff7data.com.ar/ff7/data/battle/battle.lgp/pbap.png","View Picture")</f>
        <v>View Picture</v>
      </c>
    </row>
    <row r="8739">
      <c r="A8739" s="55"/>
      <c r="B8739" s="119" t="s">
        <v>41012</v>
      </c>
      <c r="C8739" s="120" t="s">
        <v>7270</v>
      </c>
      <c r="D8739" s="31"/>
      <c r="F8739" s="121" t="s">
        <v>3009</v>
      </c>
      <c r="G8739" s="98" t="str">
        <f>HYPERLINK("http://mirror.ff7data.com.ar/ff7/data/battle/battle.lgp/pbaq.png","View Picture")</f>
        <v>View Picture</v>
      </c>
    </row>
    <row r="8740">
      <c r="A8740" s="55"/>
      <c r="B8740" s="119" t="s">
        <v>41013</v>
      </c>
      <c r="C8740" s="120" t="s">
        <v>4252</v>
      </c>
      <c r="D8740" s="31"/>
      <c r="F8740" s="121" t="s">
        <v>3009</v>
      </c>
      <c r="G8740" s="98" t="str">
        <f>HYPERLINK("http://mirror.ff7data.com.ar/ff7/data/battle/battle.lgp/pbar.png","View Picture")</f>
        <v>View Picture</v>
      </c>
    </row>
    <row r="8741">
      <c r="A8741" s="55"/>
      <c r="B8741" s="119" t="s">
        <v>41014</v>
      </c>
      <c r="C8741" s="120" t="s">
        <v>4396</v>
      </c>
      <c r="D8741" s="31"/>
      <c r="F8741" s="121" t="s">
        <v>3009</v>
      </c>
      <c r="G8741" s="98" t="str">
        <f>HYPERLINK("http://mirror.ff7data.com.ar/ff7/data/battle/battle.lgp/pbas.png","View Picture")</f>
        <v>View Picture</v>
      </c>
    </row>
    <row r="8742">
      <c r="A8742" s="55"/>
      <c r="B8742" s="119" t="s">
        <v>41015</v>
      </c>
      <c r="C8742" s="120" t="s">
        <v>4288</v>
      </c>
      <c r="D8742" s="31"/>
      <c r="F8742" s="121" t="s">
        <v>3009</v>
      </c>
      <c r="G8742" s="98" t="str">
        <f>HYPERLINK("http://mirror.ff7data.com.ar/ff7/data/battle/battle.lgp/pbat.png","View Picture")</f>
        <v>View Picture</v>
      </c>
    </row>
    <row r="8743">
      <c r="A8743" s="55"/>
      <c r="B8743" s="119" t="s">
        <v>41016</v>
      </c>
      <c r="C8743" s="120" t="s">
        <v>5891</v>
      </c>
      <c r="D8743" s="31"/>
      <c r="F8743" s="121" t="s">
        <v>3009</v>
      </c>
      <c r="G8743" s="98" t="str">
        <f>HYPERLINK("http://mirror.ff7data.com.ar/ff7/data/battle/battle.lgp/pbau.png","View Picture")</f>
        <v>View Picture</v>
      </c>
    </row>
    <row r="8744">
      <c r="A8744" s="55"/>
      <c r="B8744" s="119" t="s">
        <v>41017</v>
      </c>
      <c r="C8744" s="120" t="s">
        <v>9041</v>
      </c>
      <c r="D8744" s="31"/>
      <c r="F8744" s="121" t="s">
        <v>3009</v>
      </c>
      <c r="G8744" s="98" t="str">
        <f>HYPERLINK("http://mirror.ff7data.com.ar/ff7/data/battle/battle.lgp/pbav.png","View Picture")</f>
        <v>View Picture</v>
      </c>
    </row>
    <row r="8745">
      <c r="A8745" s="55"/>
      <c r="B8745" s="119" t="s">
        <v>41018</v>
      </c>
      <c r="C8745" s="120" t="s">
        <v>6010</v>
      </c>
      <c r="D8745" s="31"/>
      <c r="F8745" s="121" t="s">
        <v>3009</v>
      </c>
      <c r="G8745" s="98" t="str">
        <f>HYPERLINK("http://mirror.ff7data.com.ar/ff7/data/battle/battle.lgp/pbaw.png","View Picture")</f>
        <v>View Picture</v>
      </c>
    </row>
    <row r="8746">
      <c r="A8746" s="55"/>
      <c r="B8746" s="119" t="s">
        <v>41019</v>
      </c>
      <c r="C8746" s="120" t="s">
        <v>4288</v>
      </c>
      <c r="D8746" s="31"/>
      <c r="F8746" s="121" t="s">
        <v>3009</v>
      </c>
      <c r="G8746" s="98" t="str">
        <f>HYPERLINK("http://mirror.ff7data.com.ar/ff7/data/battle/battle.lgp/pbax.png","View Picture")</f>
        <v>View Picture</v>
      </c>
    </row>
    <row r="8747">
      <c r="A8747" s="79"/>
      <c r="B8747" s="119" t="s">
        <v>41020</v>
      </c>
      <c r="C8747" s="120" t="s">
        <v>40553</v>
      </c>
      <c r="D8747" s="33" t="s">
        <v>41021</v>
      </c>
      <c r="F8747" s="121" t="s">
        <v>2756</v>
      </c>
      <c r="G8747" s="98" t="str">
        <f>HYPERLINK("http://mirror.ff7data.com.ar/ff7/data/battle/battle.lgp/pcaa.png","View Picture")</f>
        <v>View Picture</v>
      </c>
      <c r="H8747" s="46" t="s">
        <v>1426</v>
      </c>
    </row>
    <row r="8748">
      <c r="A8748" s="55"/>
      <c r="B8748" s="119" t="s">
        <v>41022</v>
      </c>
      <c r="C8748" s="120" t="s">
        <v>40556</v>
      </c>
      <c r="D8748" s="31"/>
      <c r="F8748" s="121" t="s">
        <v>2993</v>
      </c>
      <c r="H8748" s="46" t="s">
        <v>41023</v>
      </c>
    </row>
    <row r="8749">
      <c r="A8749" s="55"/>
      <c r="B8749" s="119" t="s">
        <v>41024</v>
      </c>
      <c r="C8749" s="120" t="s">
        <v>26104</v>
      </c>
      <c r="D8749" s="31"/>
      <c r="F8749" s="121" t="s">
        <v>1348</v>
      </c>
      <c r="G8749" s="98" t="str">
        <f>HYPERLINK("http://mirror.ff7data.com.ar/ff7/data/battle/battle.lgp/pcac.png","View Picture")</f>
        <v>View Picture</v>
      </c>
    </row>
    <row r="8750">
      <c r="A8750" s="55"/>
      <c r="B8750" s="119" t="s">
        <v>41025</v>
      </c>
      <c r="C8750" s="120" t="s">
        <v>6018</v>
      </c>
      <c r="D8750" s="31"/>
      <c r="F8750" s="121" t="s">
        <v>1348</v>
      </c>
      <c r="G8750" s="98" t="str">
        <f>HYPERLINK("http://mirror.ff7data.com.ar/ff7/data/battle/battle.lgp/pcad.png","View Picture")</f>
        <v>View Picture</v>
      </c>
    </row>
    <row r="8751">
      <c r="A8751" s="55"/>
      <c r="B8751" s="119" t="s">
        <v>41026</v>
      </c>
      <c r="C8751" s="120" t="s">
        <v>26095</v>
      </c>
      <c r="D8751" s="31"/>
      <c r="F8751" s="121" t="s">
        <v>1348</v>
      </c>
      <c r="G8751" s="98" t="str">
        <f>HYPERLINK("http://mirror.ff7data.com.ar/ff7/data/battle/battle.lgp/pcae.png","View Picture")</f>
        <v>View Picture</v>
      </c>
    </row>
    <row r="8752">
      <c r="A8752" s="55"/>
      <c r="B8752" s="119" t="s">
        <v>41027</v>
      </c>
      <c r="C8752" s="120" t="s">
        <v>26095</v>
      </c>
      <c r="D8752" s="31"/>
      <c r="F8752" s="121" t="s">
        <v>1348</v>
      </c>
      <c r="G8752" s="98" t="str">
        <f>HYPERLINK("http://mirror.ff7data.com.ar/ff7/data/battle/battle.lgp/pcaf.png","View Picture")</f>
        <v>View Picture</v>
      </c>
    </row>
    <row r="8753">
      <c r="A8753" s="55"/>
      <c r="B8753" s="119" t="s">
        <v>41028</v>
      </c>
      <c r="C8753" s="120" t="s">
        <v>26095</v>
      </c>
      <c r="D8753" s="31"/>
      <c r="F8753" s="121" t="s">
        <v>1348</v>
      </c>
      <c r="G8753" s="98" t="str">
        <f>HYPERLINK("http://mirror.ff7data.com.ar/ff7/data/battle/battle.lgp/pcag.png","View Picture")</f>
        <v>View Picture</v>
      </c>
    </row>
    <row r="8754">
      <c r="A8754" s="55"/>
      <c r="B8754" s="119" t="s">
        <v>41029</v>
      </c>
      <c r="C8754" s="120" t="s">
        <v>6018</v>
      </c>
      <c r="D8754" s="31"/>
      <c r="F8754" s="121" t="s">
        <v>1348</v>
      </c>
      <c r="G8754" s="98" t="str">
        <f>HYPERLINK("http://mirror.ff7data.com.ar/ff7/data/battle/battle.lgp/pcah.png","View Picture")</f>
        <v>View Picture</v>
      </c>
    </row>
    <row r="8755">
      <c r="A8755" s="55"/>
      <c r="B8755" s="119" t="s">
        <v>41030</v>
      </c>
      <c r="C8755" s="120" t="s">
        <v>6018</v>
      </c>
      <c r="D8755" s="31"/>
      <c r="F8755" s="121" t="s">
        <v>1348</v>
      </c>
      <c r="G8755" s="98" t="str">
        <f>HYPERLINK("http://mirror.ff7data.com.ar/ff7/data/battle/battle.lgp/pcai.png","View Picture")</f>
        <v>View Picture</v>
      </c>
    </row>
    <row r="8756">
      <c r="A8756" s="55"/>
      <c r="B8756" s="119" t="s">
        <v>41031</v>
      </c>
      <c r="C8756" s="120" t="s">
        <v>40766</v>
      </c>
      <c r="D8756" s="31"/>
      <c r="F8756" s="121" t="s">
        <v>3009</v>
      </c>
      <c r="G8756" s="98" t="str">
        <f>HYPERLINK("http://mirror.ff7data.com.ar/ff7/data/battle/battle.lgp/pcam.png","View Picture")</f>
        <v>View Picture</v>
      </c>
    </row>
    <row r="8757">
      <c r="A8757" s="55"/>
      <c r="B8757" s="119" t="s">
        <v>41032</v>
      </c>
      <c r="C8757" s="120" t="s">
        <v>4846</v>
      </c>
      <c r="D8757" s="31"/>
      <c r="F8757" s="121" t="s">
        <v>3009</v>
      </c>
      <c r="G8757" s="98" t="str">
        <f>HYPERLINK("http://mirror.ff7data.com.ar/ff7/data/battle/battle.lgp/pcan.png","View Picture")</f>
        <v>View Picture</v>
      </c>
    </row>
    <row r="8758">
      <c r="A8758" s="55"/>
      <c r="B8758" s="119" t="s">
        <v>41033</v>
      </c>
      <c r="C8758" s="120" t="s">
        <v>4846</v>
      </c>
      <c r="D8758" s="31"/>
      <c r="F8758" s="121" t="s">
        <v>3009</v>
      </c>
      <c r="G8758" s="98" t="str">
        <f>HYPERLINK("http://mirror.ff7data.com.ar/ff7/data/battle/battle.lgp/pcao.png","View Picture")</f>
        <v>View Picture</v>
      </c>
    </row>
    <row r="8759">
      <c r="A8759" s="55"/>
      <c r="B8759" s="119" t="s">
        <v>41034</v>
      </c>
      <c r="C8759" s="120" t="s">
        <v>4846</v>
      </c>
      <c r="D8759" s="31"/>
      <c r="F8759" s="121" t="s">
        <v>3009</v>
      </c>
      <c r="G8759" s="98" t="str">
        <f>HYPERLINK("http://mirror.ff7data.com.ar/ff7/data/battle/battle.lgp/pcap.png","View Picture")</f>
        <v>View Picture</v>
      </c>
    </row>
    <row r="8760">
      <c r="A8760" s="55"/>
      <c r="B8760" s="119" t="s">
        <v>41035</v>
      </c>
      <c r="C8760" s="120" t="s">
        <v>8376</v>
      </c>
      <c r="D8760" s="31"/>
      <c r="F8760" s="121" t="s">
        <v>3009</v>
      </c>
      <c r="G8760" s="98" t="str">
        <f>HYPERLINK("http://mirror.ff7data.com.ar/ff7/data/battle/battle.lgp/pcaq.png","View Picture")</f>
        <v>View Picture</v>
      </c>
    </row>
    <row r="8761">
      <c r="A8761" s="55"/>
      <c r="B8761" s="119" t="s">
        <v>41036</v>
      </c>
      <c r="C8761" s="120" t="s">
        <v>4396</v>
      </c>
      <c r="D8761" s="31"/>
      <c r="F8761" s="121" t="s">
        <v>3009</v>
      </c>
      <c r="G8761" s="98" t="str">
        <f>HYPERLINK("http://mirror.ff7data.com.ar/ff7/data/battle/battle.lgp/pcar.png","View Picture")</f>
        <v>View Picture</v>
      </c>
    </row>
    <row r="8762">
      <c r="A8762" s="55"/>
      <c r="B8762" s="119" t="s">
        <v>41037</v>
      </c>
      <c r="C8762" s="120" t="s">
        <v>4185</v>
      </c>
      <c r="D8762" s="31"/>
      <c r="F8762" s="121" t="s">
        <v>3009</v>
      </c>
      <c r="G8762" s="98" t="str">
        <f>HYPERLINK("http://mirror.ff7data.com.ar/ff7/data/battle/battle.lgp/pcas.png","View Picture")</f>
        <v>View Picture</v>
      </c>
    </row>
    <row r="8763">
      <c r="A8763" s="55"/>
      <c r="B8763" s="119" t="s">
        <v>41038</v>
      </c>
      <c r="C8763" s="120" t="s">
        <v>4185</v>
      </c>
      <c r="D8763" s="31"/>
      <c r="F8763" s="121" t="s">
        <v>3009</v>
      </c>
      <c r="G8763" s="98" t="str">
        <f>HYPERLINK("http://mirror.ff7data.com.ar/ff7/data/battle/battle.lgp/pcat.png","View Picture")</f>
        <v>View Picture</v>
      </c>
    </row>
    <row r="8764">
      <c r="A8764" s="55"/>
      <c r="B8764" s="119" t="s">
        <v>41039</v>
      </c>
      <c r="C8764" s="120" t="s">
        <v>26336</v>
      </c>
      <c r="D8764" s="31"/>
      <c r="F8764" s="121" t="s">
        <v>3009</v>
      </c>
      <c r="G8764" s="98" t="str">
        <f>HYPERLINK("http://mirror.ff7data.com.ar/ff7/data/battle/battle.lgp/pcau.png","View Picture")</f>
        <v>View Picture</v>
      </c>
    </row>
    <row r="8765">
      <c r="A8765" s="55"/>
      <c r="B8765" s="119" t="s">
        <v>41040</v>
      </c>
      <c r="C8765" s="120" t="s">
        <v>9571</v>
      </c>
      <c r="D8765" s="31"/>
      <c r="F8765" s="121" t="s">
        <v>3009</v>
      </c>
      <c r="G8765" s="98" t="str">
        <f>HYPERLINK("http://mirror.ff7data.com.ar/ff7/data/battle/battle.lgp/pcav.png","View Picture")</f>
        <v>View Picture</v>
      </c>
    </row>
    <row r="8766">
      <c r="A8766" s="55"/>
      <c r="B8766" s="119" t="s">
        <v>41041</v>
      </c>
      <c r="C8766" s="120" t="s">
        <v>7129</v>
      </c>
      <c r="D8766" s="31"/>
      <c r="F8766" s="121" t="s">
        <v>3009</v>
      </c>
      <c r="G8766" s="98" t="str">
        <f>HYPERLINK("http://mirror.ff7data.com.ar/ff7/data/battle/battle.lgp/pcaw.png","View Picture")</f>
        <v>View Picture</v>
      </c>
    </row>
    <row r="8767">
      <c r="A8767" s="55"/>
      <c r="B8767" s="119" t="s">
        <v>41042</v>
      </c>
      <c r="C8767" s="120" t="s">
        <v>4372</v>
      </c>
      <c r="D8767" s="31"/>
      <c r="F8767" s="121" t="s">
        <v>3009</v>
      </c>
      <c r="G8767" s="98" t="str">
        <f>HYPERLINK("http://mirror.ff7data.com.ar/ff7/data/battle/battle.lgp/pcax.png","View Picture")</f>
        <v>View Picture</v>
      </c>
    </row>
    <row r="8768">
      <c r="A8768" s="55"/>
      <c r="B8768" s="119" t="s">
        <v>41043</v>
      </c>
      <c r="C8768" s="120" t="s">
        <v>4288</v>
      </c>
      <c r="D8768" s="31"/>
      <c r="F8768" s="121" t="s">
        <v>3009</v>
      </c>
      <c r="G8768" s="98" t="str">
        <f>HYPERLINK("http://mirror.ff7data.com.ar/ff7/data/battle/battle.lgp/pcay.png","View Picture")</f>
        <v>View Picture</v>
      </c>
    </row>
    <row r="8769">
      <c r="A8769" s="55"/>
      <c r="B8769" s="119" t="s">
        <v>41044</v>
      </c>
      <c r="C8769" s="120" t="s">
        <v>4396</v>
      </c>
      <c r="D8769" s="31"/>
      <c r="F8769" s="121" t="s">
        <v>3009</v>
      </c>
      <c r="G8769" s="98" t="str">
        <f>HYPERLINK("http://mirror.ff7data.com.ar/ff7/data/battle/battle.lgp/pcaz.png","View Picture")</f>
        <v>View Picture</v>
      </c>
    </row>
    <row r="8770">
      <c r="A8770" s="55"/>
      <c r="B8770" s="119" t="s">
        <v>41045</v>
      </c>
      <c r="C8770" s="120" t="s">
        <v>9571</v>
      </c>
      <c r="D8770" s="31"/>
      <c r="F8770" s="121" t="s">
        <v>3009</v>
      </c>
      <c r="G8770" s="98" t="str">
        <f>HYPERLINK("http://mirror.ff7data.com.ar/ff7/data/battle/battle.lgp/pcba.png","View Picture")</f>
        <v>View Picture</v>
      </c>
    </row>
    <row r="8771">
      <c r="A8771" s="55"/>
      <c r="B8771" s="119" t="s">
        <v>41046</v>
      </c>
      <c r="C8771" s="120" t="s">
        <v>7129</v>
      </c>
      <c r="D8771" s="31"/>
      <c r="F8771" s="121" t="s">
        <v>3009</v>
      </c>
      <c r="G8771" s="98" t="str">
        <f>HYPERLINK("http://mirror.ff7data.com.ar/ff7/data/battle/battle.lgp/pcbb.png","View Picture")</f>
        <v>View Picture</v>
      </c>
    </row>
    <row r="8772">
      <c r="A8772" s="55"/>
      <c r="B8772" s="119" t="s">
        <v>41047</v>
      </c>
      <c r="C8772" s="120" t="s">
        <v>4288</v>
      </c>
      <c r="D8772" s="31"/>
      <c r="F8772" s="121" t="s">
        <v>3009</v>
      </c>
      <c r="G8772" s="98" t="str">
        <f>HYPERLINK("http://mirror.ff7data.com.ar/ff7/data/battle/battle.lgp/pcbc.png","View Picture")</f>
        <v>View Picture</v>
      </c>
    </row>
    <row r="8773">
      <c r="A8773" s="55"/>
      <c r="B8773" s="119" t="s">
        <v>41048</v>
      </c>
      <c r="C8773" s="120" t="s">
        <v>4372</v>
      </c>
      <c r="D8773" s="31"/>
      <c r="F8773" s="121" t="s">
        <v>3009</v>
      </c>
      <c r="G8773" s="98" t="str">
        <f>HYPERLINK("http://mirror.ff7data.com.ar/ff7/data/battle/battle.lgp/pcbd.png","View Picture")</f>
        <v>View Picture</v>
      </c>
    </row>
    <row r="8774">
      <c r="A8774" s="79"/>
      <c r="B8774" s="119" t="s">
        <v>41049</v>
      </c>
      <c r="C8774" s="120" t="s">
        <v>40553</v>
      </c>
      <c r="D8774" s="33" t="s">
        <v>41050</v>
      </c>
      <c r="F8774" s="121" t="s">
        <v>2756</v>
      </c>
      <c r="G8774" s="98" t="str">
        <f>HYPERLINK("http://mirror.ff7data.com.ar/ff7/data/battle/battle.lgp/pdaa.png","View Picture")</f>
        <v>View Picture</v>
      </c>
    </row>
    <row r="8775">
      <c r="A8775" s="55"/>
      <c r="B8775" s="119" t="s">
        <v>41051</v>
      </c>
      <c r="C8775" s="120" t="s">
        <v>40556</v>
      </c>
      <c r="D8775" s="31"/>
      <c r="F8775" s="121" t="s">
        <v>2993</v>
      </c>
      <c r="H8775" s="46" t="s">
        <v>3002</v>
      </c>
    </row>
    <row r="8776">
      <c r="A8776" s="55"/>
      <c r="B8776" s="119" t="s">
        <v>41052</v>
      </c>
      <c r="C8776" s="120" t="s">
        <v>26104</v>
      </c>
      <c r="D8776" s="31"/>
      <c r="F8776" s="121" t="s">
        <v>1348</v>
      </c>
      <c r="G8776" s="98" t="str">
        <f>HYPERLINK("http://mirror.ff7data.com.ar/ff7/data/battle/battle.lgp/pdac.png","View Picture")</f>
        <v>View Picture</v>
      </c>
    </row>
    <row r="8777">
      <c r="A8777" s="55"/>
      <c r="B8777" s="119" t="s">
        <v>41053</v>
      </c>
      <c r="C8777" s="120" t="s">
        <v>26104</v>
      </c>
      <c r="D8777" s="31"/>
      <c r="F8777" s="121" t="s">
        <v>1348</v>
      </c>
      <c r="G8777" s="98" t="str">
        <f>HYPERLINK("http://mirror.ff7data.com.ar/ff7/data/battle/battle.lgp/pdad.png","View Picture")</f>
        <v>View Picture</v>
      </c>
    </row>
    <row r="8778">
      <c r="A8778" s="55"/>
      <c r="B8778" s="119" t="s">
        <v>41054</v>
      </c>
      <c r="C8778" s="120" t="s">
        <v>26095</v>
      </c>
      <c r="D8778" s="31"/>
      <c r="F8778" s="121" t="s">
        <v>1348</v>
      </c>
      <c r="G8778" s="98" t="str">
        <f>HYPERLINK("http://mirror.ff7data.com.ar/ff7/data/battle/battle.lgp/pdae.png","View Picture")</f>
        <v>View Picture</v>
      </c>
    </row>
    <row r="8779">
      <c r="A8779" s="55"/>
      <c r="B8779" s="119" t="s">
        <v>41055</v>
      </c>
      <c r="C8779" s="120" t="s">
        <v>26104</v>
      </c>
      <c r="D8779" s="31"/>
      <c r="F8779" s="121" t="s">
        <v>1348</v>
      </c>
      <c r="G8779" s="98" t="str">
        <f>HYPERLINK("http://mirror.ff7data.com.ar/ff7/data/battle/battle.lgp/pdaf.png","View Picture")</f>
        <v>View Picture</v>
      </c>
    </row>
    <row r="8780">
      <c r="A8780" s="55"/>
      <c r="B8780" s="119" t="s">
        <v>41056</v>
      </c>
      <c r="C8780" s="120" t="s">
        <v>26095</v>
      </c>
      <c r="D8780" s="31"/>
      <c r="F8780" s="121" t="s">
        <v>1348</v>
      </c>
      <c r="G8780" s="98" t="str">
        <f>HYPERLINK("http://mirror.ff7data.com.ar/ff7/data/battle/battle.lgp/pdag.png","View Picture")</f>
        <v>View Picture</v>
      </c>
    </row>
    <row r="8781">
      <c r="A8781" s="55"/>
      <c r="B8781" s="119" t="s">
        <v>41057</v>
      </c>
      <c r="C8781" s="120" t="s">
        <v>26095</v>
      </c>
      <c r="D8781" s="31"/>
      <c r="F8781" s="121" t="s">
        <v>1348</v>
      </c>
      <c r="G8781" s="98" t="str">
        <f>HYPERLINK("http://mirror.ff7data.com.ar/ff7/data/battle/battle.lgp/pdah.png","View Picture")</f>
        <v>View Picture</v>
      </c>
    </row>
    <row r="8782">
      <c r="A8782" s="55"/>
      <c r="B8782" s="119" t="s">
        <v>41058</v>
      </c>
      <c r="C8782" s="120" t="s">
        <v>5203</v>
      </c>
      <c r="D8782" s="31"/>
      <c r="F8782" s="121" t="s">
        <v>1348</v>
      </c>
      <c r="G8782" s="98" t="str">
        <f>HYPERLINK("http://mirror.ff7data.com.ar/ff7/data/battle/battle.lgp/pdai.png","View Picture")</f>
        <v>View Picture</v>
      </c>
    </row>
    <row r="8783">
      <c r="A8783" s="55"/>
      <c r="B8783" s="119" t="s">
        <v>41059</v>
      </c>
      <c r="C8783" s="120" t="s">
        <v>4012</v>
      </c>
      <c r="D8783" s="31"/>
      <c r="F8783" s="121" t="s">
        <v>3009</v>
      </c>
      <c r="G8783" s="98" t="str">
        <f>HYPERLINK("http://mirror.ff7data.com.ar/ff7/data/battle/battle.lgp/pdam.png","View Picture")</f>
        <v>View Picture</v>
      </c>
    </row>
    <row r="8784">
      <c r="A8784" s="55"/>
      <c r="B8784" s="119" t="s">
        <v>41060</v>
      </c>
      <c r="C8784" s="120" t="s">
        <v>3768</v>
      </c>
      <c r="D8784" s="31"/>
      <c r="F8784" s="121" t="s">
        <v>3009</v>
      </c>
      <c r="G8784" s="98" t="str">
        <f>HYPERLINK("http://mirror.ff7data.com.ar/ff7/data/battle/battle.lgp/pdan.png","View Picture")</f>
        <v>View Picture</v>
      </c>
    </row>
    <row r="8785">
      <c r="A8785" s="55"/>
      <c r="B8785" s="119" t="s">
        <v>41061</v>
      </c>
      <c r="C8785" s="120" t="s">
        <v>3842</v>
      </c>
      <c r="D8785" s="31"/>
      <c r="F8785" s="121" t="s">
        <v>3009</v>
      </c>
      <c r="G8785" s="98" t="str">
        <f>HYPERLINK("http://mirror.ff7data.com.ar/ff7/data/battle/battle.lgp/pdao.png","View Picture")</f>
        <v>View Picture</v>
      </c>
    </row>
    <row r="8786">
      <c r="A8786" s="55"/>
      <c r="B8786" s="119" t="s">
        <v>41062</v>
      </c>
      <c r="C8786" s="120" t="s">
        <v>4476</v>
      </c>
      <c r="D8786" s="31"/>
      <c r="F8786" s="121" t="s">
        <v>3009</v>
      </c>
      <c r="G8786" s="98" t="str">
        <f>HYPERLINK("http://mirror.ff7data.com.ar/ff7/data/battle/battle.lgp/pdap.png","View Picture")</f>
        <v>View Picture</v>
      </c>
    </row>
    <row r="8787">
      <c r="A8787" s="55"/>
      <c r="B8787" s="119" t="s">
        <v>41063</v>
      </c>
      <c r="C8787" s="120" t="s">
        <v>19628</v>
      </c>
      <c r="D8787" s="31"/>
      <c r="F8787" s="121" t="s">
        <v>3009</v>
      </c>
      <c r="G8787" s="98" t="str">
        <f>HYPERLINK("http://mirror.ff7data.com.ar/ff7/data/battle/battle.lgp/pdaq.png","View Picture")</f>
        <v>View Picture</v>
      </c>
    </row>
    <row r="8788">
      <c r="A8788" s="55"/>
      <c r="B8788" s="119" t="s">
        <v>41064</v>
      </c>
      <c r="C8788" s="120" t="s">
        <v>5203</v>
      </c>
      <c r="D8788" s="31"/>
      <c r="F8788" s="121" t="s">
        <v>3009</v>
      </c>
      <c r="G8788" s="98" t="str">
        <f>HYPERLINK("http://mirror.ff7data.com.ar/ff7/data/battle/battle.lgp/pdar.png","View Picture")</f>
        <v>View Picture</v>
      </c>
    </row>
    <row r="8789">
      <c r="A8789" s="55"/>
      <c r="B8789" s="119" t="s">
        <v>41065</v>
      </c>
      <c r="C8789" s="120" t="s">
        <v>4167</v>
      </c>
      <c r="D8789" s="31"/>
      <c r="F8789" s="121" t="s">
        <v>3009</v>
      </c>
      <c r="G8789" s="98" t="str">
        <f>HYPERLINK("http://mirror.ff7data.com.ar/ff7/data/battle/battle.lgp/pdas.png","View Picture")</f>
        <v>View Picture</v>
      </c>
    </row>
    <row r="8790">
      <c r="A8790" s="55"/>
      <c r="B8790" s="119" t="s">
        <v>41066</v>
      </c>
      <c r="C8790" s="120" t="s">
        <v>4372</v>
      </c>
      <c r="D8790" s="31"/>
      <c r="F8790" s="121" t="s">
        <v>3009</v>
      </c>
      <c r="G8790" s="98" t="str">
        <f>HYPERLINK("http://mirror.ff7data.com.ar/ff7/data/battle/battle.lgp/pdat.png","View Picture")</f>
        <v>View Picture</v>
      </c>
    </row>
    <row r="8791">
      <c r="A8791" s="55"/>
      <c r="B8791" s="119" t="s">
        <v>41067</v>
      </c>
      <c r="C8791" s="120" t="s">
        <v>4372</v>
      </c>
      <c r="D8791" s="31"/>
      <c r="F8791" s="121" t="s">
        <v>3009</v>
      </c>
      <c r="G8791" s="98" t="str">
        <f>HYPERLINK("http://mirror.ff7data.com.ar/ff7/data/battle/battle.lgp/pdau.png","View Picture")</f>
        <v>View Picture</v>
      </c>
    </row>
    <row r="8792">
      <c r="A8792" s="55"/>
      <c r="B8792" s="119" t="s">
        <v>41068</v>
      </c>
      <c r="C8792" s="120" t="s">
        <v>4372</v>
      </c>
      <c r="D8792" s="31"/>
      <c r="F8792" s="121" t="s">
        <v>3009</v>
      </c>
      <c r="G8792" s="98" t="str">
        <f>HYPERLINK("http://mirror.ff7data.com.ar/ff7/data/battle/battle.lgp/pdav.png","View Picture")</f>
        <v>View Picture</v>
      </c>
    </row>
    <row r="8793">
      <c r="A8793" s="55"/>
      <c r="B8793" s="119" t="s">
        <v>41069</v>
      </c>
      <c r="C8793" s="120" t="s">
        <v>13844</v>
      </c>
      <c r="D8793" s="31"/>
      <c r="F8793" s="121" t="s">
        <v>3009</v>
      </c>
      <c r="G8793" s="98" t="str">
        <f>HYPERLINK("http://mirror.ff7data.com.ar/ff7/data/battle/battle.lgp/pdaw.png","View Picture")</f>
        <v>View Picture</v>
      </c>
    </row>
    <row r="8794">
      <c r="A8794" s="79"/>
      <c r="B8794" s="119" t="s">
        <v>41070</v>
      </c>
      <c r="C8794" s="120" t="s">
        <v>40553</v>
      </c>
      <c r="D8794" s="33" t="s">
        <v>41071</v>
      </c>
      <c r="F8794" s="121" t="s">
        <v>2756</v>
      </c>
      <c r="G8794" s="98" t="str">
        <f>HYPERLINK("http://mirror.ff7data.com.ar/ff7/data/battle/battle.lgp/peaa.png","View Picture")</f>
        <v>View Picture</v>
      </c>
    </row>
    <row r="8795">
      <c r="A8795" s="55"/>
      <c r="B8795" s="119" t="s">
        <v>41072</v>
      </c>
      <c r="C8795" s="120" t="s">
        <v>40556</v>
      </c>
      <c r="D8795" s="31"/>
      <c r="F8795" s="121" t="s">
        <v>2993</v>
      </c>
      <c r="H8795" s="46" t="s">
        <v>3002</v>
      </c>
    </row>
    <row r="8796">
      <c r="A8796" s="55"/>
      <c r="B8796" s="119" t="s">
        <v>41073</v>
      </c>
      <c r="C8796" s="120" t="s">
        <v>26104</v>
      </c>
      <c r="D8796" s="31"/>
      <c r="F8796" s="121" t="s">
        <v>1348</v>
      </c>
      <c r="G8796" s="98" t="str">
        <f>HYPERLINK("http://mirror.ff7data.com.ar/ff7/data/battle/battle.lgp/peac.png","View Picture")</f>
        <v>View Picture</v>
      </c>
    </row>
    <row r="8797">
      <c r="A8797" s="55"/>
      <c r="B8797" s="119" t="s">
        <v>41074</v>
      </c>
      <c r="C8797" s="120" t="s">
        <v>6018</v>
      </c>
      <c r="D8797" s="31"/>
      <c r="F8797" s="121" t="s">
        <v>1348</v>
      </c>
      <c r="G8797" s="98" t="str">
        <f>HYPERLINK("http://mirror.ff7data.com.ar/ff7/data/battle/battle.lgp/pead.png","View Picture")</f>
        <v>View Picture</v>
      </c>
    </row>
    <row r="8798">
      <c r="A8798" s="55"/>
      <c r="B8798" s="119" t="s">
        <v>41075</v>
      </c>
      <c r="C8798" s="120" t="s">
        <v>26095</v>
      </c>
      <c r="D8798" s="31"/>
      <c r="F8798" s="121" t="s">
        <v>1348</v>
      </c>
      <c r="G8798" s="98" t="str">
        <f>HYPERLINK("http://mirror.ff7data.com.ar/ff7/data/battle/battle.lgp/peae.png","View Picture")</f>
        <v>View Picture</v>
      </c>
    </row>
    <row r="8799">
      <c r="A8799" s="55"/>
      <c r="B8799" s="119" t="s">
        <v>41076</v>
      </c>
      <c r="C8799" s="120" t="s">
        <v>6018</v>
      </c>
      <c r="D8799" s="31"/>
      <c r="F8799" s="121" t="s">
        <v>1348</v>
      </c>
      <c r="G8799" s="98" t="str">
        <f>HYPERLINK("http://mirror.ff7data.com.ar/ff7/data/battle/battle.lgp/peaf.png","View Picture")</f>
        <v>View Picture</v>
      </c>
    </row>
    <row r="8800">
      <c r="A8800" s="55"/>
      <c r="B8800" s="119" t="s">
        <v>41077</v>
      </c>
      <c r="C8800" s="120" t="s">
        <v>6018</v>
      </c>
      <c r="D8800" s="31"/>
      <c r="F8800" s="121" t="s">
        <v>1348</v>
      </c>
      <c r="G8800" s="98" t="str">
        <f>HYPERLINK("http://mirror.ff7data.com.ar/ff7/data/battle/battle.lgp/peag.png","View Picture")</f>
        <v>View Picture</v>
      </c>
    </row>
    <row r="8801">
      <c r="A8801" s="55"/>
      <c r="B8801" s="119" t="s">
        <v>41078</v>
      </c>
      <c r="C8801" s="120" t="s">
        <v>26095</v>
      </c>
      <c r="D8801" s="31"/>
      <c r="F8801" s="121" t="s">
        <v>1348</v>
      </c>
      <c r="G8801" s="98" t="str">
        <f>HYPERLINK("http://mirror.ff7data.com.ar/ff7/data/battle/battle.lgp/peah.png","View Picture")</f>
        <v>View Picture</v>
      </c>
    </row>
    <row r="8802">
      <c r="A8802" s="55"/>
      <c r="B8802" s="119" t="s">
        <v>41079</v>
      </c>
      <c r="C8802" s="120" t="s">
        <v>7471</v>
      </c>
      <c r="D8802" s="31"/>
      <c r="F8802" s="121" t="s">
        <v>1348</v>
      </c>
      <c r="G8802" s="98" t="str">
        <f>HYPERLINK("http://mirror.ff7data.com.ar/ff7/data/battle/battle.lgp/peai.png","View Picture")</f>
        <v>View Picture</v>
      </c>
    </row>
    <row r="8803">
      <c r="A8803" s="55"/>
      <c r="B8803" s="119" t="s">
        <v>41080</v>
      </c>
      <c r="C8803" s="120" t="s">
        <v>15152</v>
      </c>
      <c r="D8803" s="31"/>
      <c r="F8803" s="121" t="s">
        <v>3009</v>
      </c>
      <c r="G8803" s="98" t="str">
        <f>HYPERLINK("http://mirror.ff7data.com.ar/ff7/data/battle/battle.lgp/peam.png","View Picture")</f>
        <v>View Picture</v>
      </c>
    </row>
    <row r="8804">
      <c r="A8804" s="55"/>
      <c r="B8804" s="119" t="s">
        <v>41081</v>
      </c>
      <c r="C8804" s="120" t="s">
        <v>4846</v>
      </c>
      <c r="D8804" s="31"/>
      <c r="F8804" s="121" t="s">
        <v>3009</v>
      </c>
      <c r="G8804" s="98" t="str">
        <f>HYPERLINK("http://mirror.ff7data.com.ar/ff7/data/battle/battle.lgp/pean.png","View Picture")</f>
        <v>View Picture</v>
      </c>
    </row>
    <row r="8805">
      <c r="A8805" s="55"/>
      <c r="B8805" s="119" t="s">
        <v>41082</v>
      </c>
      <c r="C8805" s="120" t="s">
        <v>4846</v>
      </c>
      <c r="D8805" s="31"/>
      <c r="F8805" s="121" t="s">
        <v>3009</v>
      </c>
      <c r="G8805" s="98" t="str">
        <f>HYPERLINK("http://mirror.ff7data.com.ar/ff7/data/battle/battle.lgp/peao.png","View Picture")</f>
        <v>View Picture</v>
      </c>
    </row>
    <row r="8806">
      <c r="A8806" s="55"/>
      <c r="B8806" s="119" t="s">
        <v>41083</v>
      </c>
      <c r="C8806" s="120" t="s">
        <v>4846</v>
      </c>
      <c r="D8806" s="31"/>
      <c r="F8806" s="121" t="s">
        <v>3009</v>
      </c>
      <c r="G8806" s="98" t="str">
        <f>HYPERLINK("http://mirror.ff7data.com.ar/ff7/data/battle/battle.lgp/peap.png","View Picture")</f>
        <v>View Picture</v>
      </c>
    </row>
    <row r="8807">
      <c r="A8807" s="55"/>
      <c r="B8807" s="119" t="s">
        <v>41084</v>
      </c>
      <c r="C8807" s="120" t="s">
        <v>3494</v>
      </c>
      <c r="D8807" s="31"/>
      <c r="F8807" s="121" t="s">
        <v>3009</v>
      </c>
      <c r="G8807" s="98" t="str">
        <f>HYPERLINK("http://mirror.ff7data.com.ar/ff7/data/battle/battle.lgp/peaq.png","View Picture")</f>
        <v>View Picture</v>
      </c>
    </row>
    <row r="8808">
      <c r="A8808" s="55"/>
      <c r="B8808" s="119" t="s">
        <v>41085</v>
      </c>
      <c r="C8808" s="120" t="s">
        <v>4732</v>
      </c>
      <c r="D8808" s="31"/>
      <c r="F8808" s="121" t="s">
        <v>3009</v>
      </c>
      <c r="G8808" s="98" t="str">
        <f>HYPERLINK("http://mirror.ff7data.com.ar/ff7/data/battle/battle.lgp/pear.png","View Picture")</f>
        <v>View Picture</v>
      </c>
    </row>
    <row r="8809">
      <c r="A8809" s="55"/>
      <c r="B8809" s="119" t="s">
        <v>41086</v>
      </c>
      <c r="C8809" s="120" t="s">
        <v>4732</v>
      </c>
      <c r="D8809" s="31"/>
      <c r="F8809" s="121" t="s">
        <v>3009</v>
      </c>
      <c r="G8809" s="98" t="str">
        <f>HYPERLINK("http://mirror.ff7data.com.ar/ff7/data/battle/battle.lgp/peas.png","View Picture")</f>
        <v>View Picture</v>
      </c>
    </row>
    <row r="8810">
      <c r="A8810" s="55"/>
      <c r="B8810" s="119" t="s">
        <v>41087</v>
      </c>
      <c r="C8810" s="120" t="s">
        <v>4732</v>
      </c>
      <c r="D8810" s="31"/>
      <c r="F8810" s="121" t="s">
        <v>3009</v>
      </c>
      <c r="G8810" s="98" t="str">
        <f>HYPERLINK("http://mirror.ff7data.com.ar/ff7/data/battle/battle.lgp/peat.png","View Picture")</f>
        <v>View Picture</v>
      </c>
    </row>
    <row r="8811">
      <c r="A8811" s="55"/>
      <c r="B8811" s="119" t="s">
        <v>41088</v>
      </c>
      <c r="C8811" s="120" t="s">
        <v>5925</v>
      </c>
      <c r="D8811" s="31"/>
      <c r="F8811" s="121" t="s">
        <v>3009</v>
      </c>
      <c r="G8811" s="98" t="str">
        <f>HYPERLINK("http://mirror.ff7data.com.ar/ff7/data/battle/battle.lgp/peau.png","View Picture")</f>
        <v>View Picture</v>
      </c>
    </row>
    <row r="8812">
      <c r="A8812" s="55"/>
      <c r="B8812" s="119" t="s">
        <v>41089</v>
      </c>
      <c r="C8812" s="120" t="s">
        <v>6029</v>
      </c>
      <c r="D8812" s="31"/>
      <c r="F8812" s="121" t="s">
        <v>3009</v>
      </c>
      <c r="G8812" s="98" t="str">
        <f>HYPERLINK("http://mirror.ff7data.com.ar/ff7/data/battle/battle.lgp/peav.png","View Picture")</f>
        <v>View Picture</v>
      </c>
    </row>
    <row r="8813">
      <c r="A8813" s="55"/>
      <c r="B8813" s="119" t="s">
        <v>41090</v>
      </c>
      <c r="C8813" s="120" t="s">
        <v>4185</v>
      </c>
      <c r="D8813" s="31"/>
      <c r="F8813" s="121" t="s">
        <v>3009</v>
      </c>
      <c r="G8813" s="98" t="str">
        <f>HYPERLINK("http://mirror.ff7data.com.ar/ff7/data/battle/battle.lgp/peaw.png","View Picture")</f>
        <v>View Picture</v>
      </c>
    </row>
    <row r="8814">
      <c r="A8814" s="55"/>
      <c r="B8814" s="119" t="s">
        <v>41091</v>
      </c>
      <c r="C8814" s="120" t="s">
        <v>4185</v>
      </c>
      <c r="D8814" s="31"/>
      <c r="F8814" s="121" t="s">
        <v>3009</v>
      </c>
      <c r="G8814" s="98" t="str">
        <f>HYPERLINK("http://mirror.ff7data.com.ar/ff7/data/battle/battle.lgp/peax.png","View Picture")</f>
        <v>View Picture</v>
      </c>
    </row>
    <row r="8815">
      <c r="A8815" s="55"/>
      <c r="B8815" s="119" t="s">
        <v>41092</v>
      </c>
      <c r="C8815" s="120" t="s">
        <v>4264</v>
      </c>
      <c r="D8815" s="31"/>
      <c r="F8815" s="121" t="s">
        <v>3009</v>
      </c>
      <c r="G8815" s="98" t="str">
        <f>HYPERLINK("http://mirror.ff7data.com.ar/ff7/data/battle/battle.lgp/peay.png","View Picture")</f>
        <v>View Picture</v>
      </c>
    </row>
    <row r="8816">
      <c r="A8816" s="55"/>
      <c r="B8816" s="119" t="s">
        <v>41093</v>
      </c>
      <c r="C8816" s="120" t="s">
        <v>26336</v>
      </c>
      <c r="D8816" s="31"/>
      <c r="F8816" s="121" t="s">
        <v>3009</v>
      </c>
      <c r="G8816" s="98" t="str">
        <f>HYPERLINK("http://mirror.ff7data.com.ar/ff7/data/battle/battle.lgp/peaz.png","View Picture")</f>
        <v>View Picture</v>
      </c>
    </row>
    <row r="8817">
      <c r="A8817" s="55"/>
      <c r="B8817" s="119" t="s">
        <v>41094</v>
      </c>
      <c r="C8817" s="120" t="s">
        <v>3842</v>
      </c>
      <c r="D8817" s="31"/>
      <c r="F8817" s="121" t="s">
        <v>3009</v>
      </c>
      <c r="G8817" s="98" t="str">
        <f>HYPERLINK("http://mirror.ff7data.com.ar/ff7/data/battle/battle.lgp/peba.png","View Picture")</f>
        <v>View Picture</v>
      </c>
    </row>
    <row r="8818">
      <c r="A8818" s="82"/>
      <c r="B8818" s="119" t="s">
        <v>41095</v>
      </c>
      <c r="C8818" s="120" t="s">
        <v>40553</v>
      </c>
      <c r="D8818" s="33" t="s">
        <v>41096</v>
      </c>
      <c r="F8818" s="121" t="s">
        <v>2756</v>
      </c>
      <c r="G8818" s="98" t="str">
        <f>HYPERLINK("http://mirror.ff7data.com.ar/ff7/data/battle/battle.lgp/pfaa.png","View Picture")</f>
        <v>View Picture</v>
      </c>
    </row>
    <row r="8819">
      <c r="A8819" s="55"/>
      <c r="B8819" s="119" t="s">
        <v>41097</v>
      </c>
      <c r="C8819" s="120" t="s">
        <v>40556</v>
      </c>
      <c r="D8819" s="31"/>
      <c r="F8819" s="121" t="s">
        <v>2993</v>
      </c>
      <c r="H8819" s="46" t="s">
        <v>3002</v>
      </c>
    </row>
    <row r="8820">
      <c r="A8820" s="55"/>
      <c r="B8820" s="119" t="s">
        <v>41098</v>
      </c>
      <c r="C8820" s="120" t="s">
        <v>26104</v>
      </c>
      <c r="D8820" s="31"/>
      <c r="F8820" s="121" t="s">
        <v>1348</v>
      </c>
      <c r="G8820" s="98" t="str">
        <f>HYPERLINK("http://mirror.ff7data.com.ar/ff7/data/battle/battle.lgp/pfac.png","View Picture")</f>
        <v>View Picture</v>
      </c>
    </row>
    <row r="8821">
      <c r="A8821" s="55"/>
      <c r="B8821" s="119" t="s">
        <v>41099</v>
      </c>
      <c r="C8821" s="120" t="s">
        <v>6018</v>
      </c>
      <c r="D8821" s="31"/>
      <c r="F8821" s="121" t="s">
        <v>1348</v>
      </c>
      <c r="G8821" s="98" t="str">
        <f>HYPERLINK("http://mirror.ff7data.com.ar/ff7/data/battle/battle.lgp/pfad.png","View Picture")</f>
        <v>View Picture</v>
      </c>
    </row>
    <row r="8822">
      <c r="A8822" s="55"/>
      <c r="B8822" s="119" t="s">
        <v>41100</v>
      </c>
      <c r="C8822" s="120" t="s">
        <v>6018</v>
      </c>
      <c r="D8822" s="31"/>
      <c r="F8822" s="121" t="s">
        <v>1348</v>
      </c>
      <c r="G8822" s="98" t="str">
        <f>HYPERLINK("http://mirror.ff7data.com.ar/ff7/data/battle/battle.lgp/pfae.png","View Picture")</f>
        <v>View Picture</v>
      </c>
    </row>
    <row r="8823">
      <c r="A8823" s="55"/>
      <c r="B8823" s="119" t="s">
        <v>41101</v>
      </c>
      <c r="C8823" s="120" t="s">
        <v>6018</v>
      </c>
      <c r="D8823" s="31"/>
      <c r="F8823" s="121" t="s">
        <v>1348</v>
      </c>
      <c r="G8823" s="98" t="str">
        <f>HYPERLINK("http://mirror.ff7data.com.ar/ff7/data/battle/battle.lgp/pfaf.png","View Picture")</f>
        <v>View Picture</v>
      </c>
    </row>
    <row r="8824">
      <c r="A8824" s="55"/>
      <c r="B8824" s="119" t="s">
        <v>41102</v>
      </c>
      <c r="C8824" s="120" t="s">
        <v>26104</v>
      </c>
      <c r="D8824" s="31"/>
      <c r="F8824" s="121" t="s">
        <v>1348</v>
      </c>
      <c r="G8824" s="98" t="str">
        <f>HYPERLINK("http://mirror.ff7data.com.ar/ff7/data/battle/battle.lgp/pfag.png","View Picture")</f>
        <v>View Picture</v>
      </c>
    </row>
    <row r="8825">
      <c r="A8825" s="55"/>
      <c r="B8825" s="119" t="s">
        <v>41103</v>
      </c>
      <c r="C8825" s="120" t="s">
        <v>6018</v>
      </c>
      <c r="D8825" s="31"/>
      <c r="F8825" s="121" t="s">
        <v>1348</v>
      </c>
      <c r="G8825" s="98" t="str">
        <f>HYPERLINK("http://mirror.ff7data.com.ar/ff7/data/battle/battle.lgp/pfah.png","View Picture")</f>
        <v>View Picture</v>
      </c>
    </row>
    <row r="8826">
      <c r="A8826" s="55"/>
      <c r="B8826" s="119" t="s">
        <v>41104</v>
      </c>
      <c r="C8826" s="120" t="s">
        <v>3552</v>
      </c>
      <c r="D8826" s="31"/>
      <c r="F8826" s="121" t="s">
        <v>3009</v>
      </c>
      <c r="G8826" s="98" t="str">
        <f>HYPERLINK("http://mirror.ff7data.com.ar/ff7/data/battle/battle.lgp/pfam.png","View Picture")</f>
        <v>View Picture</v>
      </c>
    </row>
    <row r="8827">
      <c r="A8827" s="55"/>
      <c r="B8827" s="119" t="s">
        <v>41105</v>
      </c>
      <c r="C8827" s="120" t="s">
        <v>4846</v>
      </c>
      <c r="D8827" s="31"/>
      <c r="F8827" s="121" t="s">
        <v>3009</v>
      </c>
      <c r="G8827" s="98" t="str">
        <f>HYPERLINK("http://mirror.ff7data.com.ar/ff7/data/battle/battle.lgp/pfan.png","View Picture")</f>
        <v>View Picture</v>
      </c>
    </row>
    <row r="8828">
      <c r="A8828" s="55"/>
      <c r="B8828" s="119" t="s">
        <v>41106</v>
      </c>
      <c r="C8828" s="120" t="s">
        <v>4846</v>
      </c>
      <c r="D8828" s="31"/>
      <c r="F8828" s="121" t="s">
        <v>3009</v>
      </c>
      <c r="G8828" s="98" t="str">
        <f>HYPERLINK("http://mirror.ff7data.com.ar/ff7/data/battle/battle.lgp/pfao.png","View Picture")</f>
        <v>View Picture</v>
      </c>
    </row>
    <row r="8829">
      <c r="A8829" s="55"/>
      <c r="B8829" s="119" t="s">
        <v>41107</v>
      </c>
      <c r="C8829" s="120" t="s">
        <v>4846</v>
      </c>
      <c r="D8829" s="31"/>
      <c r="F8829" s="121" t="s">
        <v>3009</v>
      </c>
      <c r="G8829" s="98" t="str">
        <f>HYPERLINK("http://mirror.ff7data.com.ar/ff7/data/battle/battle.lgp/pfap.png","View Picture")</f>
        <v>View Picture</v>
      </c>
    </row>
    <row r="8830">
      <c r="A8830" s="55"/>
      <c r="B8830" s="119" t="s">
        <v>41108</v>
      </c>
      <c r="C8830" s="120" t="s">
        <v>7322</v>
      </c>
      <c r="D8830" s="31"/>
      <c r="F8830" s="121" t="s">
        <v>3009</v>
      </c>
      <c r="G8830" s="98" t="str">
        <f>HYPERLINK("http://mirror.ff7data.com.ar/ff7/data/battle/battle.lgp/pfaq.png","View Picture")</f>
        <v>View Picture</v>
      </c>
    </row>
    <row r="8831">
      <c r="A8831" s="55"/>
      <c r="B8831" s="119" t="s">
        <v>41109</v>
      </c>
      <c r="C8831" s="120" t="s">
        <v>26336</v>
      </c>
      <c r="D8831" s="31"/>
      <c r="F8831" s="121" t="s">
        <v>3009</v>
      </c>
      <c r="G8831" s="98" t="str">
        <f>HYPERLINK("http://mirror.ff7data.com.ar/ff7/data/battle/battle.lgp/pfar.png","View Picture")</f>
        <v>View Picture</v>
      </c>
    </row>
    <row r="8832">
      <c r="A8832" s="55"/>
      <c r="B8832" s="119" t="s">
        <v>41110</v>
      </c>
      <c r="C8832" s="120" t="s">
        <v>4288</v>
      </c>
      <c r="D8832" s="31"/>
      <c r="F8832" s="121" t="s">
        <v>3009</v>
      </c>
      <c r="G8832" s="98" t="str">
        <f>HYPERLINK("http://mirror.ff7data.com.ar/ff7/data/battle/battle.lgp/pfas.png","View Picture")</f>
        <v>View Picture</v>
      </c>
    </row>
    <row r="8833">
      <c r="A8833" s="55"/>
      <c r="B8833" s="119" t="s">
        <v>41111</v>
      </c>
      <c r="C8833" s="120" t="s">
        <v>3961</v>
      </c>
      <c r="D8833" s="31"/>
      <c r="F8833" s="121" t="s">
        <v>3009</v>
      </c>
      <c r="G8833" s="98" t="str">
        <f>HYPERLINK("http://mirror.ff7data.com.ar/ff7/data/battle/battle.lgp/pfat.png","View Picture")</f>
        <v>View Picture</v>
      </c>
    </row>
    <row r="8834">
      <c r="A8834" s="55"/>
      <c r="B8834" s="119" t="s">
        <v>41112</v>
      </c>
      <c r="C8834" s="120" t="s">
        <v>3961</v>
      </c>
      <c r="D8834" s="31"/>
      <c r="F8834" s="121" t="s">
        <v>3009</v>
      </c>
      <c r="G8834" s="98" t="str">
        <f>HYPERLINK("http://mirror.ff7data.com.ar/ff7/data/battle/battle.lgp/pfau.png","View Picture")</f>
        <v>View Picture</v>
      </c>
    </row>
    <row r="8835">
      <c r="A8835" s="55"/>
      <c r="B8835" s="119" t="s">
        <v>41113</v>
      </c>
      <c r="C8835" s="120" t="s">
        <v>3961</v>
      </c>
      <c r="D8835" s="31"/>
      <c r="F8835" s="121" t="s">
        <v>3009</v>
      </c>
      <c r="G8835" s="98" t="str">
        <f>HYPERLINK("http://mirror.ff7data.com.ar/ff7/data/battle/battle.lgp/pfav.png","View Picture")</f>
        <v>View Picture</v>
      </c>
    </row>
    <row r="8836">
      <c r="A8836" s="55"/>
      <c r="B8836" s="119" t="s">
        <v>41114</v>
      </c>
      <c r="C8836" s="120" t="s">
        <v>3961</v>
      </c>
      <c r="D8836" s="31"/>
      <c r="F8836" s="121" t="s">
        <v>3009</v>
      </c>
      <c r="G8836" s="98" t="str">
        <f>HYPERLINK("http://mirror.ff7data.com.ar/ff7/data/battle/battle.lgp/pfaw.png","View Picture")</f>
        <v>View Picture</v>
      </c>
    </row>
    <row r="8837">
      <c r="A8837" s="55"/>
      <c r="B8837" s="119" t="s">
        <v>41115</v>
      </c>
      <c r="C8837" s="120" t="s">
        <v>3465</v>
      </c>
      <c r="D8837" s="31"/>
      <c r="F8837" s="121" t="s">
        <v>3009</v>
      </c>
      <c r="G8837" s="98" t="str">
        <f>HYPERLINK("http://mirror.ff7data.com.ar/ff7/data/battle/battle.lgp/pfax.png","View Picture")</f>
        <v>View Picture</v>
      </c>
    </row>
    <row r="8838">
      <c r="A8838" s="55"/>
      <c r="B8838" s="119" t="s">
        <v>41116</v>
      </c>
      <c r="C8838" s="120" t="s">
        <v>7501</v>
      </c>
      <c r="D8838" s="31"/>
      <c r="F8838" s="121" t="s">
        <v>3009</v>
      </c>
      <c r="G8838" s="98" t="str">
        <f>HYPERLINK("http://mirror.ff7data.com.ar/ff7/data/battle/battle.lgp/pfay.png","View Picture")</f>
        <v>View Picture</v>
      </c>
    </row>
    <row r="8839">
      <c r="A8839" s="55"/>
      <c r="B8839" s="119" t="s">
        <v>41117</v>
      </c>
      <c r="C8839" s="120" t="s">
        <v>3434</v>
      </c>
      <c r="D8839" s="31"/>
      <c r="F8839" s="121" t="s">
        <v>3009</v>
      </c>
      <c r="G8839" s="98" t="str">
        <f>HYPERLINK("http://mirror.ff7data.com.ar/ff7/data/battle/battle.lgp/pfaz.png","View Picture")</f>
        <v>View Picture</v>
      </c>
    </row>
    <row r="8840">
      <c r="A8840" s="55"/>
      <c r="B8840" s="119" t="s">
        <v>41118</v>
      </c>
      <c r="C8840" s="120" t="s">
        <v>11261</v>
      </c>
      <c r="D8840" s="31"/>
      <c r="F8840" s="121" t="s">
        <v>3009</v>
      </c>
      <c r="G8840" s="98" t="str">
        <f>HYPERLINK("http://mirror.ff7data.com.ar/ff7/data/battle/battle.lgp/pfba.png","View Picture")</f>
        <v>View Picture</v>
      </c>
    </row>
    <row r="8841">
      <c r="A8841" s="55"/>
      <c r="B8841" s="119" t="s">
        <v>41119</v>
      </c>
      <c r="C8841" s="120" t="s">
        <v>3445</v>
      </c>
      <c r="D8841" s="31"/>
      <c r="F8841" s="121" t="s">
        <v>3009</v>
      </c>
      <c r="G8841" s="98" t="str">
        <f>HYPERLINK("http://mirror.ff7data.com.ar/ff7/data/battle/battle.lgp/pfbb.png","View Picture")</f>
        <v>View Picture</v>
      </c>
    </row>
    <row r="8842">
      <c r="A8842" s="55"/>
      <c r="B8842" s="119" t="s">
        <v>41120</v>
      </c>
      <c r="C8842" s="120" t="s">
        <v>4185</v>
      </c>
      <c r="D8842" s="31"/>
      <c r="F8842" s="121" t="s">
        <v>3009</v>
      </c>
      <c r="G8842" s="98" t="str">
        <f>HYPERLINK("http://mirror.ff7data.com.ar/ff7/data/battle/battle.lgp/pfbc.png","View Picture")</f>
        <v>View Picture</v>
      </c>
    </row>
    <row r="8843">
      <c r="A8843" s="82"/>
      <c r="B8843" s="119" t="s">
        <v>41121</v>
      </c>
      <c r="C8843" s="120" t="s">
        <v>40553</v>
      </c>
      <c r="D8843" s="33" t="s">
        <v>41122</v>
      </c>
      <c r="F8843" s="121" t="s">
        <v>2756</v>
      </c>
      <c r="G8843" s="98" t="str">
        <f>HYPERLINK("http://mirror.ff7data.com.ar/ff7/data/battle/battle.lgp/pgaa.png","View Picture")</f>
        <v>View Picture</v>
      </c>
    </row>
    <row r="8844">
      <c r="A8844" s="55"/>
      <c r="B8844" s="119" t="s">
        <v>41123</v>
      </c>
      <c r="C8844" s="120" t="s">
        <v>40556</v>
      </c>
      <c r="D8844" s="31"/>
      <c r="F8844" s="121" t="s">
        <v>2993</v>
      </c>
      <c r="H8844" s="46" t="s">
        <v>3002</v>
      </c>
    </row>
    <row r="8845">
      <c r="A8845" s="55"/>
      <c r="B8845" s="119" t="s">
        <v>41124</v>
      </c>
      <c r="C8845" s="120" t="s">
        <v>26104</v>
      </c>
      <c r="D8845" s="31"/>
      <c r="F8845" s="121" t="s">
        <v>1348</v>
      </c>
      <c r="G8845" s="98" t="str">
        <f>HYPERLINK("http://mirror.ff7data.com.ar/ff7/data/battle/battle.lgp/pgac.png","View Picture")</f>
        <v>View Picture</v>
      </c>
    </row>
    <row r="8846">
      <c r="A8846" s="55"/>
      <c r="B8846" s="119" t="s">
        <v>41125</v>
      </c>
      <c r="C8846" s="120" t="s">
        <v>6018</v>
      </c>
      <c r="D8846" s="31"/>
      <c r="F8846" s="121" t="s">
        <v>1348</v>
      </c>
      <c r="G8846" s="98" t="str">
        <f>HYPERLINK("http://mirror.ff7data.com.ar/ff7/data/battle/battle.lgp/pgad.png","View Picture")</f>
        <v>View Picture</v>
      </c>
    </row>
    <row r="8847">
      <c r="A8847" s="55"/>
      <c r="B8847" s="119" t="s">
        <v>41126</v>
      </c>
      <c r="C8847" s="120" t="s">
        <v>26095</v>
      </c>
      <c r="D8847" s="31"/>
      <c r="F8847" s="121" t="s">
        <v>1348</v>
      </c>
      <c r="G8847" s="98" t="str">
        <f>HYPERLINK("http://mirror.ff7data.com.ar/ff7/data/battle/battle.lgp/pgae.png","View Picture")</f>
        <v>View Picture</v>
      </c>
    </row>
    <row r="8848">
      <c r="A8848" s="55"/>
      <c r="B8848" s="119" t="s">
        <v>41127</v>
      </c>
      <c r="C8848" s="120" t="s">
        <v>6018</v>
      </c>
      <c r="D8848" s="31"/>
      <c r="F8848" s="121" t="s">
        <v>1348</v>
      </c>
      <c r="G8848" s="98" t="str">
        <f>HYPERLINK("http://mirror.ff7data.com.ar/ff7/data/battle/battle.lgp/pgaf.png","View Picture")</f>
        <v>View Picture</v>
      </c>
    </row>
    <row r="8849">
      <c r="A8849" s="55"/>
      <c r="B8849" s="119" t="s">
        <v>41128</v>
      </c>
      <c r="C8849" s="120" t="s">
        <v>6018</v>
      </c>
      <c r="D8849" s="31"/>
      <c r="F8849" s="121" t="s">
        <v>1348</v>
      </c>
      <c r="G8849" s="98" t="str">
        <f>HYPERLINK("http://mirror.ff7data.com.ar/ff7/data/battle/battle.lgp/pgag.png","View Picture")</f>
        <v>View Picture</v>
      </c>
    </row>
    <row r="8850">
      <c r="A8850" s="55"/>
      <c r="B8850" s="119" t="s">
        <v>41129</v>
      </c>
      <c r="C8850" s="120" t="s">
        <v>6018</v>
      </c>
      <c r="D8850" s="31"/>
      <c r="F8850" s="121" t="s">
        <v>1348</v>
      </c>
      <c r="G8850" s="98" t="str">
        <f>HYPERLINK("http://mirror.ff7data.com.ar/ff7/data/battle/battle.lgp/pgah.png","View Picture")</f>
        <v>View Picture</v>
      </c>
    </row>
    <row r="8851">
      <c r="A8851" s="55"/>
      <c r="B8851" s="119" t="s">
        <v>41130</v>
      </c>
      <c r="C8851" s="120" t="s">
        <v>26104</v>
      </c>
      <c r="D8851" s="31"/>
      <c r="F8851" s="121" t="s">
        <v>1348</v>
      </c>
      <c r="G8851" s="98" t="str">
        <f>HYPERLINK("http://mirror.ff7data.com.ar/ff7/data/battle/battle.lgp/pgai.png","View Picture")</f>
        <v>View Picture</v>
      </c>
    </row>
    <row r="8852">
      <c r="A8852" s="55"/>
      <c r="B8852" s="119" t="s">
        <v>41131</v>
      </c>
      <c r="C8852" s="120" t="s">
        <v>4191</v>
      </c>
      <c r="D8852" s="31"/>
      <c r="F8852" s="121" t="s">
        <v>3009</v>
      </c>
      <c r="G8852" s="98" t="str">
        <f>HYPERLINK("http://mirror.ff7data.com.ar/ff7/data/battle/battle.lgp/pgam.png","View Picture")</f>
        <v>View Picture</v>
      </c>
    </row>
    <row r="8853">
      <c r="A8853" s="55"/>
      <c r="B8853" s="119" t="s">
        <v>41132</v>
      </c>
      <c r="C8853" s="120" t="s">
        <v>4846</v>
      </c>
      <c r="D8853" s="31"/>
      <c r="F8853" s="121" t="s">
        <v>3009</v>
      </c>
      <c r="G8853" s="98" t="str">
        <f>HYPERLINK("http://mirror.ff7data.com.ar/ff7/data/battle/battle.lgp/pgan.png","View Picture")</f>
        <v>View Picture</v>
      </c>
    </row>
    <row r="8854">
      <c r="A8854" s="55"/>
      <c r="B8854" s="119" t="s">
        <v>41133</v>
      </c>
      <c r="C8854" s="120" t="s">
        <v>4846</v>
      </c>
      <c r="D8854" s="31"/>
      <c r="F8854" s="121" t="s">
        <v>3009</v>
      </c>
      <c r="G8854" s="98" t="str">
        <f>HYPERLINK("http://mirror.ff7data.com.ar/ff7/data/battle/battle.lgp/pgao.png","View Picture")</f>
        <v>View Picture</v>
      </c>
    </row>
    <row r="8855">
      <c r="A8855" s="55"/>
      <c r="B8855" s="119" t="s">
        <v>41134</v>
      </c>
      <c r="C8855" s="120" t="s">
        <v>4846</v>
      </c>
      <c r="D8855" s="31"/>
      <c r="F8855" s="121" t="s">
        <v>3009</v>
      </c>
      <c r="G8855" s="98" t="str">
        <f>HYPERLINK("http://mirror.ff7data.com.ar/ff7/data/battle/battle.lgp/pgap.png","View Picture")</f>
        <v>View Picture</v>
      </c>
    </row>
    <row r="8856">
      <c r="A8856" s="55"/>
      <c r="B8856" s="119" t="s">
        <v>41135</v>
      </c>
      <c r="C8856" s="120" t="s">
        <v>3481</v>
      </c>
      <c r="D8856" s="31"/>
      <c r="F8856" s="121" t="s">
        <v>3009</v>
      </c>
      <c r="G8856" s="98" t="str">
        <f>HYPERLINK("http://mirror.ff7data.com.ar/ff7/data/battle/battle.lgp/pgaq.png","View Picture")</f>
        <v>View Picture</v>
      </c>
    </row>
    <row r="8857">
      <c r="A8857" s="55"/>
      <c r="B8857" s="119" t="s">
        <v>41136</v>
      </c>
      <c r="C8857" s="120" t="s">
        <v>3519</v>
      </c>
      <c r="D8857" s="31"/>
      <c r="F8857" s="121" t="s">
        <v>3009</v>
      </c>
      <c r="G8857" s="98" t="str">
        <f>HYPERLINK("http://mirror.ff7data.com.ar/ff7/data/battle/battle.lgp/pgar.png","View Picture")</f>
        <v>View Picture</v>
      </c>
    </row>
    <row r="8858">
      <c r="A8858" s="55"/>
      <c r="B8858" s="119" t="s">
        <v>41137</v>
      </c>
      <c r="C8858" s="120" t="s">
        <v>6830</v>
      </c>
      <c r="D8858" s="31"/>
      <c r="F8858" s="121" t="s">
        <v>3009</v>
      </c>
      <c r="G8858" s="98" t="str">
        <f>HYPERLINK("http://mirror.ff7data.com.ar/ff7/data/battle/battle.lgp/pgas.png","View Picture")</f>
        <v>View Picture</v>
      </c>
    </row>
    <row r="8859">
      <c r="A8859" s="55"/>
      <c r="B8859" s="119" t="s">
        <v>41138</v>
      </c>
      <c r="C8859" s="120" t="s">
        <v>4372</v>
      </c>
      <c r="D8859" s="31"/>
      <c r="F8859" s="121" t="s">
        <v>3009</v>
      </c>
      <c r="G8859" s="98" t="str">
        <f>HYPERLINK("http://mirror.ff7data.com.ar/ff7/data/battle/battle.lgp/pgat.png","View Picture")</f>
        <v>View Picture</v>
      </c>
    </row>
    <row r="8860">
      <c r="A8860" s="55"/>
      <c r="B8860" s="119" t="s">
        <v>41139</v>
      </c>
      <c r="C8860" s="120" t="s">
        <v>3842</v>
      </c>
      <c r="D8860" s="31"/>
      <c r="F8860" s="121" t="s">
        <v>3009</v>
      </c>
      <c r="G8860" s="98" t="str">
        <f>HYPERLINK("http://mirror.ff7data.com.ar/ff7/data/battle/battle.lgp/pgau.png","View Picture")</f>
        <v>View Picture</v>
      </c>
    </row>
    <row r="8861">
      <c r="A8861" s="55"/>
      <c r="B8861" s="119" t="s">
        <v>41140</v>
      </c>
      <c r="C8861" s="120" t="s">
        <v>4372</v>
      </c>
      <c r="D8861" s="31"/>
      <c r="F8861" s="121" t="s">
        <v>3009</v>
      </c>
      <c r="G8861" s="98" t="str">
        <f>HYPERLINK("http://mirror.ff7data.com.ar/ff7/data/battle/battle.lgp/pgav.png","View Picture")</f>
        <v>View Picture</v>
      </c>
    </row>
    <row r="8862">
      <c r="A8862" s="55"/>
      <c r="B8862" s="119" t="s">
        <v>41141</v>
      </c>
      <c r="C8862" s="120" t="s">
        <v>4372</v>
      </c>
      <c r="D8862" s="31"/>
      <c r="F8862" s="121" t="s">
        <v>3009</v>
      </c>
      <c r="G8862" s="98" t="str">
        <f>HYPERLINK("http://mirror.ff7data.com.ar/ff7/data/battle/battle.lgp/pgaw.png","View Picture")</f>
        <v>View Picture</v>
      </c>
    </row>
    <row r="8863">
      <c r="A8863" s="55"/>
      <c r="B8863" s="119" t="s">
        <v>41142</v>
      </c>
      <c r="C8863" s="120" t="s">
        <v>3658</v>
      </c>
      <c r="D8863" s="31"/>
      <c r="F8863" s="121" t="s">
        <v>3009</v>
      </c>
      <c r="G8863" s="98" t="str">
        <f>HYPERLINK("http://mirror.ff7data.com.ar/ff7/data/battle/battle.lgp/pgax.png","View Picture")</f>
        <v>View Picture</v>
      </c>
    </row>
    <row r="8864">
      <c r="A8864" s="55"/>
      <c r="B8864" s="119" t="s">
        <v>41143</v>
      </c>
      <c r="C8864" s="120" t="s">
        <v>4217</v>
      </c>
      <c r="D8864" s="31"/>
      <c r="F8864" s="121" t="s">
        <v>3009</v>
      </c>
      <c r="G8864" s="98" t="str">
        <f>HYPERLINK("http://mirror.ff7data.com.ar/ff7/data/battle/battle.lgp/pgay.png","View Picture")</f>
        <v>View Picture</v>
      </c>
    </row>
    <row r="8865">
      <c r="A8865" s="55"/>
      <c r="B8865" s="119" t="s">
        <v>41144</v>
      </c>
      <c r="C8865" s="120" t="s">
        <v>4185</v>
      </c>
      <c r="D8865" s="31"/>
      <c r="F8865" s="121" t="s">
        <v>3009</v>
      </c>
      <c r="G8865" s="98" t="str">
        <f>HYPERLINK("http://mirror.ff7data.com.ar/ff7/data/battle/battle.lgp/pgaz.png","View Picture")</f>
        <v>View Picture</v>
      </c>
    </row>
    <row r="8866">
      <c r="A8866" s="55"/>
      <c r="B8866" s="119" t="s">
        <v>41145</v>
      </c>
      <c r="C8866" s="120" t="s">
        <v>3318</v>
      </c>
      <c r="D8866" s="31"/>
      <c r="F8866" s="121" t="s">
        <v>3009</v>
      </c>
      <c r="G8866" s="98" t="str">
        <f>HYPERLINK("http://mirror.ff7data.com.ar/ff7/data/battle/battle.lgp/pgba.png","View Picture")</f>
        <v>View Picture</v>
      </c>
    </row>
    <row r="8867">
      <c r="A8867" s="55"/>
      <c r="B8867" s="119" t="s">
        <v>41146</v>
      </c>
      <c r="C8867" s="120" t="s">
        <v>3343</v>
      </c>
      <c r="D8867" s="31"/>
      <c r="F8867" s="121" t="s">
        <v>3009</v>
      </c>
      <c r="G8867" s="98" t="str">
        <f>HYPERLINK("http://mirror.ff7data.com.ar/ff7/data/battle/battle.lgp/pgbb.png","View Picture")</f>
        <v>View Picture</v>
      </c>
    </row>
    <row r="8868">
      <c r="A8868" s="55"/>
      <c r="B8868" s="119" t="s">
        <v>41147</v>
      </c>
      <c r="C8868" s="120" t="s">
        <v>26336</v>
      </c>
      <c r="D8868" s="31"/>
      <c r="F8868" s="121" t="s">
        <v>3009</v>
      </c>
      <c r="G8868" s="98" t="str">
        <f>HYPERLINK("http://mirror.ff7data.com.ar/ff7/data/battle/battle.lgp/pgbc.png","View Picture")</f>
        <v>View Picture</v>
      </c>
    </row>
    <row r="8869">
      <c r="A8869" s="79"/>
      <c r="B8869" s="119" t="s">
        <v>41148</v>
      </c>
      <c r="C8869" s="120" t="s">
        <v>40553</v>
      </c>
      <c r="D8869" s="33" t="s">
        <v>41149</v>
      </c>
      <c r="F8869" s="121" t="s">
        <v>2756</v>
      </c>
      <c r="G8869" s="98" t="str">
        <f>HYPERLINK("http://mirror.ff7data.com.ar/ff7/data/battle/battle.lgp/phaa.png","View Picture")</f>
        <v>View Picture</v>
      </c>
    </row>
    <row r="8870">
      <c r="A8870" s="55"/>
      <c r="B8870" s="119" t="s">
        <v>41150</v>
      </c>
      <c r="C8870" s="120" t="s">
        <v>40556</v>
      </c>
      <c r="D8870" s="31"/>
      <c r="F8870" s="121" t="s">
        <v>2993</v>
      </c>
      <c r="H8870" s="46" t="s">
        <v>3002</v>
      </c>
    </row>
    <row r="8871">
      <c r="A8871" s="55"/>
      <c r="B8871" s="119" t="s">
        <v>41151</v>
      </c>
      <c r="C8871" s="120" t="s">
        <v>26104</v>
      </c>
      <c r="D8871" s="31"/>
      <c r="F8871" s="121" t="s">
        <v>1348</v>
      </c>
      <c r="G8871" s="98" t="str">
        <f>HYPERLINK("http://mirror.ff7data.com.ar/ff7/data/battle/battle.lgp/phac.png","View Picture")</f>
        <v>View Picture</v>
      </c>
    </row>
    <row r="8872">
      <c r="A8872" s="55"/>
      <c r="B8872" s="119" t="s">
        <v>41152</v>
      </c>
      <c r="C8872" s="120" t="s">
        <v>6018</v>
      </c>
      <c r="D8872" s="31"/>
      <c r="F8872" s="121" t="s">
        <v>1348</v>
      </c>
      <c r="G8872" s="98" t="str">
        <f>HYPERLINK("http://mirror.ff7data.com.ar/ff7/data/battle/battle.lgp/phad.png","View Picture")</f>
        <v>View Picture</v>
      </c>
    </row>
    <row r="8873">
      <c r="A8873" s="55"/>
      <c r="B8873" s="119" t="s">
        <v>41153</v>
      </c>
      <c r="C8873" s="120" t="s">
        <v>6018</v>
      </c>
      <c r="D8873" s="31"/>
      <c r="F8873" s="121" t="s">
        <v>1348</v>
      </c>
      <c r="G8873" s="98" t="str">
        <f>HYPERLINK("http://mirror.ff7data.com.ar/ff7/data/battle/battle.lgp/phae.png","View Picture")</f>
        <v>View Picture</v>
      </c>
    </row>
    <row r="8874">
      <c r="A8874" s="55"/>
      <c r="B8874" s="119" t="s">
        <v>41154</v>
      </c>
      <c r="C8874" s="120" t="s">
        <v>26104</v>
      </c>
      <c r="D8874" s="31"/>
      <c r="F8874" s="121" t="s">
        <v>1348</v>
      </c>
      <c r="G8874" s="98" t="str">
        <f>HYPERLINK("http://mirror.ff7data.com.ar/ff7/data/battle/battle.lgp/phaf.png","View Picture")</f>
        <v>View Picture</v>
      </c>
    </row>
    <row r="8875">
      <c r="A8875" s="55"/>
      <c r="B8875" s="119" t="s">
        <v>41155</v>
      </c>
      <c r="C8875" s="120" t="s">
        <v>7471</v>
      </c>
      <c r="D8875" s="31"/>
      <c r="F8875" s="121" t="s">
        <v>1348</v>
      </c>
      <c r="G8875" s="98" t="str">
        <f>HYPERLINK("http://mirror.ff7data.com.ar/ff7/data/battle/battle.lgp/phag.png","View Picture")</f>
        <v>View Picture</v>
      </c>
    </row>
    <row r="8876">
      <c r="A8876" s="55"/>
      <c r="B8876" s="119" t="s">
        <v>41156</v>
      </c>
      <c r="C8876" s="120" t="s">
        <v>26095</v>
      </c>
      <c r="D8876" s="31"/>
      <c r="F8876" s="121" t="s">
        <v>1348</v>
      </c>
      <c r="G8876" s="98" t="str">
        <f>HYPERLINK("http://mirror.ff7data.com.ar/ff7/data/battle/battle.lgp/phah.png","View Picture")</f>
        <v>View Picture</v>
      </c>
    </row>
    <row r="8877">
      <c r="A8877" s="55"/>
      <c r="B8877" s="119" t="s">
        <v>41157</v>
      </c>
      <c r="C8877" s="120" t="s">
        <v>7471</v>
      </c>
      <c r="D8877" s="31"/>
      <c r="F8877" s="121" t="s">
        <v>1348</v>
      </c>
      <c r="G8877" s="98" t="str">
        <f>HYPERLINK("http://mirror.ff7data.com.ar/ff7/data/battle/battle.lgp/phai.png","View Picture")</f>
        <v>View Picture</v>
      </c>
    </row>
    <row r="8878">
      <c r="A8878" s="55"/>
      <c r="B8878" s="119" t="s">
        <v>41158</v>
      </c>
      <c r="C8878" s="120" t="s">
        <v>6018</v>
      </c>
      <c r="D8878" s="31"/>
      <c r="F8878" s="121" t="s">
        <v>1348</v>
      </c>
      <c r="G8878" s="98" t="str">
        <f>HYPERLINK("http://mirror.ff7data.com.ar/ff7/data/battle/battle.lgp/phaj.png","View Picture")</f>
        <v>View Picture</v>
      </c>
    </row>
    <row r="8879">
      <c r="A8879" s="55"/>
      <c r="B8879" s="119" t="s">
        <v>41159</v>
      </c>
      <c r="C8879" s="120" t="s">
        <v>40683</v>
      </c>
      <c r="D8879" s="31"/>
      <c r="F8879" s="121" t="s">
        <v>3009</v>
      </c>
      <c r="G8879" s="98" t="str">
        <f>HYPERLINK("http://mirror.ff7data.com.ar/ff7/data/battle/battle.lgp/pham.png","View Picture")</f>
        <v>View Picture</v>
      </c>
    </row>
    <row r="8880">
      <c r="A8880" s="55"/>
      <c r="B8880" s="119" t="s">
        <v>41160</v>
      </c>
      <c r="C8880" s="120" t="s">
        <v>4846</v>
      </c>
      <c r="D8880" s="31"/>
      <c r="F8880" s="121" t="s">
        <v>3009</v>
      </c>
      <c r="G8880" s="98" t="str">
        <f>HYPERLINK("http://mirror.ff7data.com.ar/ff7/data/battle/battle.lgp/phan.png","View Picture")</f>
        <v>View Picture</v>
      </c>
    </row>
    <row r="8881">
      <c r="A8881" s="55"/>
      <c r="B8881" s="119" t="s">
        <v>41161</v>
      </c>
      <c r="C8881" s="120" t="s">
        <v>4846</v>
      </c>
      <c r="D8881" s="31"/>
      <c r="F8881" s="121" t="s">
        <v>3009</v>
      </c>
      <c r="G8881" s="98" t="str">
        <f>HYPERLINK("http://mirror.ff7data.com.ar/ff7/data/battle/battle.lgp/phao.png","View Picture")</f>
        <v>View Picture</v>
      </c>
    </row>
    <row r="8882">
      <c r="A8882" s="55"/>
      <c r="B8882" s="119" t="s">
        <v>41162</v>
      </c>
      <c r="C8882" s="120" t="s">
        <v>4846</v>
      </c>
      <c r="D8882" s="31"/>
      <c r="F8882" s="121" t="s">
        <v>3009</v>
      </c>
      <c r="G8882" s="98" t="str">
        <f>HYPERLINK("http://mirror.ff7data.com.ar/ff7/data/battle/battle.lgp/phap.png","View Picture")</f>
        <v>View Picture</v>
      </c>
    </row>
    <row r="8883">
      <c r="A8883" s="55"/>
      <c r="B8883" s="119" t="s">
        <v>41163</v>
      </c>
      <c r="C8883" s="120" t="s">
        <v>41164</v>
      </c>
      <c r="D8883" s="31"/>
      <c r="F8883" s="121" t="s">
        <v>3009</v>
      </c>
      <c r="G8883" s="98" t="str">
        <f>HYPERLINK("http://mirror.ff7data.com.ar/ff7/data/battle/battle.lgp/phaq.png","View Picture")</f>
        <v>View Picture</v>
      </c>
    </row>
    <row r="8884">
      <c r="A8884" s="55"/>
      <c r="B8884" s="119" t="s">
        <v>41165</v>
      </c>
      <c r="C8884" s="120" t="s">
        <v>5419</v>
      </c>
      <c r="D8884" s="31"/>
      <c r="F8884" s="121" t="s">
        <v>3009</v>
      </c>
      <c r="G8884" s="98" t="str">
        <f>HYPERLINK("http://mirror.ff7data.com.ar/ff7/data/battle/battle.lgp/phar.png","View Picture")</f>
        <v>View Picture</v>
      </c>
    </row>
    <row r="8885">
      <c r="A8885" s="55"/>
      <c r="B8885" s="119" t="s">
        <v>41166</v>
      </c>
      <c r="C8885" s="120" t="s">
        <v>8923</v>
      </c>
      <c r="D8885" s="31"/>
      <c r="F8885" s="121" t="s">
        <v>3009</v>
      </c>
      <c r="G8885" s="98" t="str">
        <f>HYPERLINK("http://mirror.ff7data.com.ar/ff7/data/battle/battle.lgp/phas.png","View Picture")</f>
        <v>View Picture</v>
      </c>
    </row>
    <row r="8886">
      <c r="A8886" s="55"/>
      <c r="B8886" s="119" t="s">
        <v>41167</v>
      </c>
      <c r="C8886" s="120" t="s">
        <v>5419</v>
      </c>
      <c r="D8886" s="31"/>
      <c r="F8886" s="121" t="s">
        <v>3009</v>
      </c>
      <c r="G8886" s="98" t="str">
        <f>HYPERLINK("http://mirror.ff7data.com.ar/ff7/data/battle/battle.lgp/phat.png","View Picture")</f>
        <v>View Picture</v>
      </c>
    </row>
    <row r="8887">
      <c r="A8887" s="55"/>
      <c r="B8887" s="119" t="s">
        <v>41168</v>
      </c>
      <c r="C8887" s="120" t="s">
        <v>4439</v>
      </c>
      <c r="D8887" s="31"/>
      <c r="F8887" s="121" t="s">
        <v>3009</v>
      </c>
      <c r="G8887" s="98" t="str">
        <f>HYPERLINK("http://mirror.ff7data.com.ar/ff7/data/battle/battle.lgp/phau.png","View Picture")</f>
        <v>View Picture</v>
      </c>
    </row>
    <row r="8888">
      <c r="A8888" s="55"/>
      <c r="B8888" s="119" t="s">
        <v>41169</v>
      </c>
      <c r="C8888" s="120" t="s">
        <v>13957</v>
      </c>
      <c r="D8888" s="31"/>
      <c r="F8888" s="121" t="s">
        <v>3009</v>
      </c>
      <c r="G8888" s="98" t="str">
        <f>HYPERLINK("http://mirror.ff7data.com.ar/ff7/data/battle/battle.lgp/phav.png","View Picture")</f>
        <v>View Picture</v>
      </c>
    </row>
    <row r="8889">
      <c r="A8889" s="55"/>
      <c r="B8889" s="119" t="s">
        <v>41170</v>
      </c>
      <c r="C8889" s="120" t="s">
        <v>3465</v>
      </c>
      <c r="D8889" s="31"/>
      <c r="F8889" s="121" t="s">
        <v>3009</v>
      </c>
      <c r="G8889" s="98" t="str">
        <f>HYPERLINK("http://mirror.ff7data.com.ar/ff7/data/battle/battle.lgp/phaw.png","View Picture")</f>
        <v>View Picture</v>
      </c>
    </row>
    <row r="8890">
      <c r="A8890" s="55"/>
      <c r="B8890" s="119" t="s">
        <v>41171</v>
      </c>
      <c r="C8890" s="120" t="s">
        <v>9290</v>
      </c>
      <c r="D8890" s="31"/>
      <c r="F8890" s="121" t="s">
        <v>3009</v>
      </c>
      <c r="G8890" s="98" t="str">
        <f>HYPERLINK("http://mirror.ff7data.com.ar/ff7/data/battle/battle.lgp/phax.png","View Picture")</f>
        <v>View Picture</v>
      </c>
    </row>
    <row r="8891">
      <c r="A8891" s="55"/>
      <c r="B8891" s="119" t="s">
        <v>41172</v>
      </c>
      <c r="C8891" s="120" t="s">
        <v>3768</v>
      </c>
      <c r="D8891" s="31"/>
      <c r="F8891" s="121" t="s">
        <v>3009</v>
      </c>
      <c r="G8891" s="98" t="str">
        <f>HYPERLINK("http://mirror.ff7data.com.ar/ff7/data/battle/battle.lgp/phay.png","View Picture")</f>
        <v>View Picture</v>
      </c>
    </row>
    <row r="8892">
      <c r="A8892" s="55"/>
      <c r="B8892" s="119" t="s">
        <v>41173</v>
      </c>
      <c r="C8892" s="120" t="s">
        <v>9041</v>
      </c>
      <c r="D8892" s="31"/>
      <c r="F8892" s="121" t="s">
        <v>3009</v>
      </c>
      <c r="G8892" s="98" t="str">
        <f>HYPERLINK("http://mirror.ff7data.com.ar/ff7/data/battle/battle.lgp/phaz.png","View Picture")</f>
        <v>View Picture</v>
      </c>
    </row>
    <row r="8893">
      <c r="A8893" s="55"/>
      <c r="B8893" s="119" t="s">
        <v>41174</v>
      </c>
      <c r="C8893" s="120" t="s">
        <v>3842</v>
      </c>
      <c r="D8893" s="31"/>
      <c r="F8893" s="121" t="s">
        <v>3009</v>
      </c>
      <c r="G8893" s="98" t="str">
        <f>HYPERLINK("http://mirror.ff7data.com.ar/ff7/data/battle/battle.lgp/phba.png","View Picture")</f>
        <v>View Picture</v>
      </c>
    </row>
    <row r="8894">
      <c r="A8894" s="55"/>
      <c r="B8894" s="119" t="s">
        <v>41175</v>
      </c>
      <c r="C8894" s="120" t="s">
        <v>4372</v>
      </c>
      <c r="D8894" s="31"/>
      <c r="F8894" s="121" t="s">
        <v>3009</v>
      </c>
      <c r="G8894" s="98" t="str">
        <f>HYPERLINK("http://mirror.ff7data.com.ar/ff7/data/battle/battle.lgp/phbb.png","View Picture")</f>
        <v>View Picture</v>
      </c>
    </row>
    <row r="8895">
      <c r="A8895" s="55"/>
      <c r="B8895" s="119" t="s">
        <v>41176</v>
      </c>
      <c r="C8895" s="120" t="s">
        <v>7301</v>
      </c>
      <c r="D8895" s="31"/>
      <c r="F8895" s="121" t="s">
        <v>3009</v>
      </c>
      <c r="G8895" s="98" t="str">
        <f>HYPERLINK("http://mirror.ff7data.com.ar/ff7/data/battle/battle.lgp/phbc.png","View Picture")</f>
        <v>View Picture</v>
      </c>
    </row>
    <row r="8896">
      <c r="A8896" s="55"/>
      <c r="B8896" s="119" t="s">
        <v>41177</v>
      </c>
      <c r="C8896" s="120" t="s">
        <v>6029</v>
      </c>
      <c r="D8896" s="31"/>
      <c r="F8896" s="121" t="s">
        <v>3009</v>
      </c>
      <c r="G8896" s="98" t="str">
        <f>HYPERLINK("http://mirror.ff7data.com.ar/ff7/data/battle/battle.lgp/phbd.png","View Picture")</f>
        <v>View Picture</v>
      </c>
    </row>
    <row r="8897">
      <c r="A8897" s="55"/>
      <c r="B8897" s="119" t="s">
        <v>41178</v>
      </c>
      <c r="C8897" s="120" t="s">
        <v>4372</v>
      </c>
      <c r="D8897" s="31"/>
      <c r="F8897" s="121" t="s">
        <v>3009</v>
      </c>
      <c r="G8897" s="98" t="str">
        <f>HYPERLINK("http://mirror.ff7data.com.ar/ff7/data/battle/battle.lgp/phbe.png","View Picture")</f>
        <v>View Picture</v>
      </c>
    </row>
    <row r="8898">
      <c r="A8898" s="55"/>
      <c r="B8898" s="119" t="s">
        <v>41179</v>
      </c>
      <c r="C8898" s="120" t="s">
        <v>10078</v>
      </c>
      <c r="D8898" s="31"/>
      <c r="F8898" s="121" t="s">
        <v>3009</v>
      </c>
      <c r="G8898" s="98" t="str">
        <f>HYPERLINK("http://mirror.ff7data.com.ar/ff7/data/battle/battle.lgp/phbf.png","View Picture")</f>
        <v>View Picture</v>
      </c>
    </row>
    <row r="8899">
      <c r="A8899" s="55"/>
      <c r="B8899" s="119" t="s">
        <v>41180</v>
      </c>
      <c r="C8899" s="120" t="s">
        <v>7165</v>
      </c>
      <c r="D8899" s="31"/>
      <c r="F8899" s="121" t="s">
        <v>3009</v>
      </c>
      <c r="G8899" s="98" t="str">
        <f>HYPERLINK("http://mirror.ff7data.com.ar/ff7/data/battle/battle.lgp/phbg.png","View Picture")</f>
        <v>View Picture</v>
      </c>
    </row>
    <row r="8900">
      <c r="A8900" s="55"/>
      <c r="B8900" s="119" t="s">
        <v>41181</v>
      </c>
      <c r="C8900" s="120" t="s">
        <v>4396</v>
      </c>
      <c r="D8900" s="31"/>
      <c r="F8900" s="121" t="s">
        <v>3009</v>
      </c>
      <c r="G8900" s="98" t="str">
        <f>HYPERLINK("http://mirror.ff7data.com.ar/ff7/data/battle/battle.lgp/phbh.png","View Picture")</f>
        <v>View Picture</v>
      </c>
    </row>
    <row r="8901">
      <c r="A8901" s="79"/>
      <c r="B8901" s="119" t="s">
        <v>41182</v>
      </c>
      <c r="C8901" s="120" t="s">
        <v>40553</v>
      </c>
      <c r="D8901" s="33" t="s">
        <v>41183</v>
      </c>
      <c r="F8901" s="121" t="s">
        <v>2756</v>
      </c>
      <c r="G8901" s="98" t="str">
        <f>HYPERLINK("http://mirror.ff7data.com.ar/ff7/data/battle/battle.lgp/piaa.png","View Picture")</f>
        <v>View Picture</v>
      </c>
    </row>
    <row r="8902">
      <c r="A8902" s="55"/>
      <c r="B8902" s="119" t="s">
        <v>41184</v>
      </c>
      <c r="C8902" s="120" t="s">
        <v>40556</v>
      </c>
      <c r="D8902" s="31"/>
      <c r="F8902" s="121" t="s">
        <v>2993</v>
      </c>
      <c r="H8902" s="46" t="s">
        <v>40710</v>
      </c>
    </row>
    <row r="8903">
      <c r="A8903" s="55"/>
      <c r="B8903" s="119" t="s">
        <v>41185</v>
      </c>
      <c r="C8903" s="120" t="s">
        <v>26104</v>
      </c>
      <c r="D8903" s="31"/>
      <c r="F8903" s="121" t="s">
        <v>1348</v>
      </c>
      <c r="G8903" s="98" t="str">
        <f>HYPERLINK("http://mirror.ff7data.com.ar/ff7/data/battle/battle.lgp/piac.png","View Picture")</f>
        <v>View Picture</v>
      </c>
    </row>
    <row r="8904">
      <c r="A8904" s="55"/>
      <c r="B8904" s="119" t="s">
        <v>41186</v>
      </c>
      <c r="C8904" s="120" t="s">
        <v>6018</v>
      </c>
      <c r="D8904" s="31"/>
      <c r="F8904" s="121" t="s">
        <v>1348</v>
      </c>
      <c r="G8904" s="98" t="str">
        <f>HYPERLINK("http://mirror.ff7data.com.ar/ff7/data/battle/battle.lgp/piad.png","View Picture")</f>
        <v>View Picture</v>
      </c>
    </row>
    <row r="8905">
      <c r="A8905" s="55"/>
      <c r="B8905" s="119" t="s">
        <v>41187</v>
      </c>
      <c r="C8905" s="120" t="s">
        <v>6018</v>
      </c>
      <c r="D8905" s="31"/>
      <c r="F8905" s="121" t="s">
        <v>1348</v>
      </c>
      <c r="G8905" s="98" t="str">
        <f>HYPERLINK("http://mirror.ff7data.com.ar/ff7/data/battle/battle.lgp/piae.png","View Picture")</f>
        <v>View Picture</v>
      </c>
    </row>
    <row r="8906">
      <c r="A8906" s="55"/>
      <c r="B8906" s="119" t="s">
        <v>41188</v>
      </c>
      <c r="C8906" s="120" t="s">
        <v>26104</v>
      </c>
      <c r="D8906" s="31"/>
      <c r="F8906" s="121" t="s">
        <v>1348</v>
      </c>
      <c r="G8906" s="98" t="str">
        <f>HYPERLINK("http://mirror.ff7data.com.ar/ff7/data/battle/battle.lgp/piaf.png","View Picture")</f>
        <v>View Picture</v>
      </c>
    </row>
    <row r="8907">
      <c r="A8907" s="55"/>
      <c r="B8907" s="119" t="s">
        <v>41189</v>
      </c>
      <c r="C8907" s="120" t="s">
        <v>26104</v>
      </c>
      <c r="D8907" s="31"/>
      <c r="F8907" s="121" t="s">
        <v>1348</v>
      </c>
      <c r="G8907" s="98" t="str">
        <f>HYPERLINK("http://mirror.ff7data.com.ar/ff7/data/battle/battle.lgp/piag.png","View Picture")</f>
        <v>View Picture</v>
      </c>
    </row>
    <row r="8908">
      <c r="A8908" s="55"/>
      <c r="B8908" s="119" t="s">
        <v>41190</v>
      </c>
      <c r="C8908" s="120" t="s">
        <v>6018</v>
      </c>
      <c r="D8908" s="31"/>
      <c r="F8908" s="121" t="s">
        <v>1348</v>
      </c>
      <c r="G8908" s="98" t="str">
        <f>HYPERLINK("http://mirror.ff7data.com.ar/ff7/data/battle/battle.lgp/piah.png","View Picture")</f>
        <v>View Picture</v>
      </c>
    </row>
    <row r="8909">
      <c r="A8909" s="55"/>
      <c r="B8909" s="119" t="s">
        <v>41191</v>
      </c>
      <c r="C8909" s="120" t="s">
        <v>6018</v>
      </c>
      <c r="D8909" s="31"/>
      <c r="F8909" s="121" t="s">
        <v>1348</v>
      </c>
      <c r="G8909" s="98" t="str">
        <f>HYPERLINK("http://mirror.ff7data.com.ar/ff7/data/battle/battle.lgp/piai.png","View Picture")</f>
        <v>View Picture</v>
      </c>
    </row>
    <row r="8910">
      <c r="A8910" s="55"/>
      <c r="B8910" s="119" t="s">
        <v>41192</v>
      </c>
      <c r="C8910" s="120" t="s">
        <v>36113</v>
      </c>
      <c r="D8910" s="31"/>
      <c r="F8910" s="121" t="s">
        <v>3009</v>
      </c>
      <c r="G8910" s="98" t="str">
        <f>HYPERLINK("http://mirror.ff7data.com.ar/ff7/data/battle/battle.lgp/piam.png","View Picture")</f>
        <v>View Picture</v>
      </c>
    </row>
    <row r="8911">
      <c r="A8911" s="55"/>
      <c r="B8911" s="119" t="s">
        <v>41193</v>
      </c>
      <c r="C8911" s="120" t="s">
        <v>4846</v>
      </c>
      <c r="D8911" s="31"/>
      <c r="F8911" s="121" t="s">
        <v>3009</v>
      </c>
      <c r="G8911" s="98" t="str">
        <f>HYPERLINK("http://mirror.ff7data.com.ar/ff7/data/battle/battle.lgp/pian.png","View Picture")</f>
        <v>View Picture</v>
      </c>
    </row>
    <row r="8912">
      <c r="A8912" s="55"/>
      <c r="B8912" s="119" t="s">
        <v>41194</v>
      </c>
      <c r="C8912" s="120" t="s">
        <v>4846</v>
      </c>
      <c r="D8912" s="31"/>
      <c r="F8912" s="121" t="s">
        <v>3009</v>
      </c>
      <c r="G8912" s="98" t="str">
        <f>HYPERLINK("http://mirror.ff7data.com.ar/ff7/data/battle/battle.lgp/piao.png","View Picture")</f>
        <v>View Picture</v>
      </c>
    </row>
    <row r="8913">
      <c r="A8913" s="55"/>
      <c r="B8913" s="119" t="s">
        <v>41195</v>
      </c>
      <c r="C8913" s="120" t="s">
        <v>4846</v>
      </c>
      <c r="D8913" s="31"/>
      <c r="F8913" s="121" t="s">
        <v>3009</v>
      </c>
      <c r="G8913" s="98" t="str">
        <f>HYPERLINK("http://mirror.ff7data.com.ar/ff7/data/battle/battle.lgp/piap.png","View Picture")</f>
        <v>View Picture</v>
      </c>
    </row>
    <row r="8914">
      <c r="A8914" s="55"/>
      <c r="B8914" s="119" t="s">
        <v>41196</v>
      </c>
      <c r="C8914" s="120" t="s">
        <v>7871</v>
      </c>
      <c r="D8914" s="31"/>
      <c r="F8914" s="121" t="s">
        <v>3009</v>
      </c>
      <c r="G8914" s="98" t="str">
        <f>HYPERLINK("http://mirror.ff7data.com.ar/ff7/data/battle/battle.lgp/piaq.png","View Picture")</f>
        <v>View Picture</v>
      </c>
    </row>
    <row r="8915">
      <c r="A8915" s="55"/>
      <c r="B8915" s="119" t="s">
        <v>41197</v>
      </c>
      <c r="C8915" s="120" t="s">
        <v>41164</v>
      </c>
      <c r="D8915" s="31"/>
      <c r="F8915" s="121" t="s">
        <v>3009</v>
      </c>
      <c r="G8915" s="98" t="str">
        <f>HYPERLINK("http://mirror.ff7data.com.ar/ff7/data/battle/battle.lgp/piar.png","View Picture")</f>
        <v>View Picture</v>
      </c>
    </row>
    <row r="8916">
      <c r="A8916" s="55"/>
      <c r="B8916" s="119" t="s">
        <v>41198</v>
      </c>
      <c r="C8916" s="120" t="s">
        <v>5419</v>
      </c>
      <c r="D8916" s="31"/>
      <c r="F8916" s="121" t="s">
        <v>3009</v>
      </c>
      <c r="G8916" s="98" t="str">
        <f>HYPERLINK("http://mirror.ff7data.com.ar/ff7/data/battle/battle.lgp/pias.png","View Picture")</f>
        <v>View Picture</v>
      </c>
    </row>
    <row r="8917">
      <c r="A8917" s="55"/>
      <c r="B8917" s="119" t="s">
        <v>41199</v>
      </c>
      <c r="C8917" s="120" t="s">
        <v>8376</v>
      </c>
      <c r="D8917" s="31"/>
      <c r="F8917" s="121" t="s">
        <v>3009</v>
      </c>
      <c r="G8917" s="98" t="str">
        <f>HYPERLINK("http://mirror.ff7data.com.ar/ff7/data/battle/battle.lgp/piat.png","View Picture")</f>
        <v>View Picture</v>
      </c>
    </row>
    <row r="8918">
      <c r="A8918" s="55"/>
      <c r="B8918" s="119" t="s">
        <v>41200</v>
      </c>
      <c r="C8918" s="120" t="s">
        <v>3519</v>
      </c>
      <c r="D8918" s="31"/>
      <c r="F8918" s="121" t="s">
        <v>3009</v>
      </c>
      <c r="G8918" s="98" t="str">
        <f>HYPERLINK("http://mirror.ff7data.com.ar/ff7/data/battle/battle.lgp/piau.png","View Picture")</f>
        <v>View Picture</v>
      </c>
    </row>
    <row r="8919">
      <c r="A8919" s="55"/>
      <c r="B8919" s="119" t="s">
        <v>41201</v>
      </c>
      <c r="C8919" s="120" t="s">
        <v>3412</v>
      </c>
      <c r="D8919" s="31"/>
      <c r="F8919" s="121" t="s">
        <v>3009</v>
      </c>
      <c r="G8919" s="98" t="str">
        <f>HYPERLINK("http://mirror.ff7data.com.ar/ff7/data/battle/battle.lgp/piav.png","View Picture")</f>
        <v>View Picture</v>
      </c>
    </row>
    <row r="8920">
      <c r="A8920" s="55"/>
      <c r="B8920" s="119" t="s">
        <v>41202</v>
      </c>
      <c r="C8920" s="120" t="s">
        <v>9290</v>
      </c>
      <c r="D8920" s="31"/>
      <c r="F8920" s="121" t="s">
        <v>3009</v>
      </c>
      <c r="G8920" s="98" t="str">
        <f>HYPERLINK("http://mirror.ff7data.com.ar/ff7/data/battle/battle.lgp/piaw.png","View Picture")</f>
        <v>View Picture</v>
      </c>
    </row>
    <row r="8921">
      <c r="A8921" s="55"/>
      <c r="B8921" s="119" t="s">
        <v>41203</v>
      </c>
      <c r="C8921" s="120" t="s">
        <v>4046</v>
      </c>
      <c r="D8921" s="31"/>
      <c r="F8921" s="121" t="s">
        <v>3009</v>
      </c>
      <c r="G8921" s="98" t="str">
        <f>HYPERLINK("http://mirror.ff7data.com.ar/ff7/data/battle/battle.lgp/piax.png","View Picture")</f>
        <v>View Picture</v>
      </c>
    </row>
    <row r="8922">
      <c r="A8922" s="55"/>
      <c r="B8922" s="119" t="s">
        <v>41204</v>
      </c>
      <c r="C8922" s="120" t="s">
        <v>11261</v>
      </c>
      <c r="D8922" s="31"/>
      <c r="F8922" s="121" t="s">
        <v>3009</v>
      </c>
      <c r="G8922" s="98" t="str">
        <f>HYPERLINK("http://mirror.ff7data.com.ar/ff7/data/battle/battle.lgp/piay.png","View Picture")</f>
        <v>View Picture</v>
      </c>
    </row>
    <row r="8923">
      <c r="A8923" s="55"/>
      <c r="B8923" s="119" t="s">
        <v>41205</v>
      </c>
      <c r="C8923" s="120" t="s">
        <v>7165</v>
      </c>
      <c r="D8923" s="31"/>
      <c r="F8923" s="121" t="s">
        <v>3009</v>
      </c>
      <c r="G8923" s="98" t="str">
        <f>HYPERLINK("http://mirror.ff7data.com.ar/ff7/data/battle/battle.lgp/piaz.png","View Picture")</f>
        <v>View Picture</v>
      </c>
    </row>
    <row r="8924">
      <c r="A8924" s="55"/>
      <c r="B8924" s="119" t="s">
        <v>41206</v>
      </c>
      <c r="C8924" s="120" t="s">
        <v>4396</v>
      </c>
      <c r="D8924" s="31"/>
      <c r="F8924" s="121" t="s">
        <v>3009</v>
      </c>
      <c r="G8924" s="98" t="str">
        <f>HYPERLINK("http://mirror.ff7data.com.ar/ff7/data/battle/battle.lgp/piba.png","View Picture")</f>
        <v>View Picture</v>
      </c>
    </row>
    <row r="8925">
      <c r="A8925" s="79"/>
      <c r="B8925" s="119" t="s">
        <v>41207</v>
      </c>
      <c r="C8925" s="120" t="s">
        <v>40553</v>
      </c>
      <c r="D8925" s="33" t="s">
        <v>19969</v>
      </c>
      <c r="F8925" s="121" t="s">
        <v>2756</v>
      </c>
      <c r="G8925" s="98" t="str">
        <f>HYPERLINK("http://mirror.ff7data.com.ar/ff7/data/battle/battle.lgp/pjaa.png","View Picture")</f>
        <v>View Picture</v>
      </c>
    </row>
    <row r="8926">
      <c r="A8926" s="55"/>
      <c r="B8926" s="119" t="s">
        <v>41208</v>
      </c>
      <c r="C8926" s="120" t="s">
        <v>40556</v>
      </c>
      <c r="D8926" s="31"/>
      <c r="F8926" s="121" t="s">
        <v>2993</v>
      </c>
      <c r="H8926" s="46" t="s">
        <v>40710</v>
      </c>
    </row>
    <row r="8927">
      <c r="A8927" s="55"/>
      <c r="B8927" s="119" t="s">
        <v>41209</v>
      </c>
      <c r="C8927" s="120" t="s">
        <v>26104</v>
      </c>
      <c r="D8927" s="31"/>
      <c r="F8927" s="121" t="s">
        <v>1348</v>
      </c>
      <c r="G8927" s="98" t="str">
        <f>HYPERLINK("http://mirror.ff7data.com.ar/ff7/data/battle/battle.lgp/pjac.png","View Picture")</f>
        <v>View Picture</v>
      </c>
    </row>
    <row r="8928">
      <c r="A8928" s="55"/>
      <c r="B8928" s="119" t="s">
        <v>41210</v>
      </c>
      <c r="C8928" s="120" t="s">
        <v>7471</v>
      </c>
      <c r="D8928" s="31"/>
      <c r="F8928" s="121" t="s">
        <v>1348</v>
      </c>
      <c r="G8928" s="98" t="str">
        <f>HYPERLINK("http://mirror.ff7data.com.ar/ff7/data/battle/battle.lgp/pjad.png","View Picture")</f>
        <v>View Picture</v>
      </c>
    </row>
    <row r="8929">
      <c r="A8929" s="55"/>
      <c r="B8929" s="119" t="s">
        <v>41211</v>
      </c>
      <c r="C8929" s="120" t="s">
        <v>26104</v>
      </c>
      <c r="D8929" s="31"/>
      <c r="F8929" s="121" t="s">
        <v>1348</v>
      </c>
      <c r="G8929" s="98" t="str">
        <f>HYPERLINK("http://mirror.ff7data.com.ar/ff7/data/battle/battle.lgp/pjae.png","View Picture")</f>
        <v>View Picture</v>
      </c>
    </row>
    <row r="8930">
      <c r="A8930" s="55"/>
      <c r="B8930" s="119" t="s">
        <v>41212</v>
      </c>
      <c r="C8930" s="120" t="s">
        <v>26095</v>
      </c>
      <c r="D8930" s="31"/>
      <c r="F8930" s="121" t="s">
        <v>1348</v>
      </c>
      <c r="G8930" s="98" t="str">
        <f>HYPERLINK("http://mirror.ff7data.com.ar/ff7/data/battle/battle.lgp/pjaf.png","View Picture")</f>
        <v>View Picture</v>
      </c>
    </row>
    <row r="8931">
      <c r="A8931" s="55"/>
      <c r="B8931" s="119" t="s">
        <v>41213</v>
      </c>
      <c r="C8931" s="120" t="s">
        <v>26095</v>
      </c>
      <c r="D8931" s="31"/>
      <c r="F8931" s="121" t="s">
        <v>1348</v>
      </c>
      <c r="G8931" s="98" t="str">
        <f>HYPERLINK("http://mirror.ff7data.com.ar/ff7/data/battle/battle.lgp/pjag.png","View Picture")</f>
        <v>View Picture</v>
      </c>
    </row>
    <row r="8932">
      <c r="A8932" s="55"/>
      <c r="B8932" s="119" t="s">
        <v>41214</v>
      </c>
      <c r="C8932" s="120" t="s">
        <v>26095</v>
      </c>
      <c r="D8932" s="31"/>
      <c r="F8932" s="121" t="s">
        <v>1348</v>
      </c>
      <c r="G8932" s="98" t="str">
        <f>HYPERLINK("http://mirror.ff7data.com.ar/ff7/data/battle/battle.lgp/pjah.png","View Picture")</f>
        <v>View Picture</v>
      </c>
    </row>
    <row r="8933">
      <c r="A8933" s="55"/>
      <c r="B8933" s="119" t="s">
        <v>41215</v>
      </c>
      <c r="C8933" s="120" t="s">
        <v>37143</v>
      </c>
      <c r="D8933" s="31"/>
      <c r="F8933" s="121" t="s">
        <v>3009</v>
      </c>
      <c r="G8933" s="98" t="str">
        <f>HYPERLINK("http://mirror.ff7data.com.ar/ff7/data/battle/battle.lgp/pjam.png","View Picture")</f>
        <v>View Picture</v>
      </c>
    </row>
    <row r="8934">
      <c r="A8934" s="55"/>
      <c r="B8934" s="119" t="s">
        <v>41216</v>
      </c>
      <c r="C8934" s="120" t="s">
        <v>4846</v>
      </c>
      <c r="D8934" s="31"/>
      <c r="F8934" s="121" t="s">
        <v>3009</v>
      </c>
      <c r="G8934" s="98" t="str">
        <f>HYPERLINK("http://mirror.ff7data.com.ar/ff7/data/battle/battle.lgp/pjan.png","View Picture")</f>
        <v>View Picture</v>
      </c>
    </row>
    <row r="8935">
      <c r="A8935" s="55"/>
      <c r="B8935" s="119" t="s">
        <v>41217</v>
      </c>
      <c r="C8935" s="120" t="s">
        <v>7270</v>
      </c>
      <c r="D8935" s="31"/>
      <c r="F8935" s="121" t="s">
        <v>3009</v>
      </c>
      <c r="G8935" s="98" t="str">
        <f>HYPERLINK("http://mirror.ff7data.com.ar/ff7/data/battle/battle.lgp/pjao.png","View Picture")</f>
        <v>View Picture</v>
      </c>
    </row>
    <row r="8936">
      <c r="A8936" s="55"/>
      <c r="B8936" s="119" t="s">
        <v>41218</v>
      </c>
      <c r="C8936" s="120" t="s">
        <v>4846</v>
      </c>
      <c r="D8936" s="31"/>
      <c r="F8936" s="121" t="s">
        <v>3009</v>
      </c>
      <c r="G8936" s="98" t="str">
        <f>HYPERLINK("http://mirror.ff7data.com.ar/ff7/data/battle/battle.lgp/pjap.png","View Picture")</f>
        <v>View Picture</v>
      </c>
    </row>
    <row r="8937">
      <c r="A8937" s="55"/>
      <c r="B8937" s="119" t="s">
        <v>41219</v>
      </c>
      <c r="C8937" s="120" t="s">
        <v>13619</v>
      </c>
      <c r="D8937" s="31"/>
      <c r="F8937" s="121" t="s">
        <v>3009</v>
      </c>
      <c r="G8937" s="98" t="str">
        <f>HYPERLINK("http://mirror.ff7data.com.ar/ff7/data/battle/battle.lgp/pjaq.png","View Picture")</f>
        <v>View Picture</v>
      </c>
    </row>
    <row r="8938">
      <c r="A8938" s="55"/>
      <c r="B8938" s="119" t="s">
        <v>41220</v>
      </c>
      <c r="C8938" s="120" t="s">
        <v>3505</v>
      </c>
      <c r="D8938" s="31"/>
      <c r="F8938" s="121" t="s">
        <v>3009</v>
      </c>
      <c r="G8938" s="98" t="str">
        <f>HYPERLINK("http://mirror.ff7data.com.ar/ff7/data/battle/battle.lgp/pjar.png","View Picture")</f>
        <v>View Picture</v>
      </c>
    </row>
    <row r="8939">
      <c r="A8939" s="55"/>
      <c r="B8939" s="119" t="s">
        <v>41221</v>
      </c>
      <c r="C8939" s="120" t="s">
        <v>14030</v>
      </c>
      <c r="D8939" s="31"/>
      <c r="F8939" s="121" t="s">
        <v>3009</v>
      </c>
      <c r="G8939" s="98" t="str">
        <f>HYPERLINK("http://mirror.ff7data.com.ar/ff7/data/battle/battle.lgp/pjas.png","View Picture")</f>
        <v>View Picture</v>
      </c>
    </row>
    <row r="8940">
      <c r="A8940" s="55"/>
      <c r="B8940" s="119" t="s">
        <v>41222</v>
      </c>
      <c r="C8940" s="120" t="s">
        <v>7270</v>
      </c>
      <c r="D8940" s="31"/>
      <c r="F8940" s="121" t="s">
        <v>3009</v>
      </c>
      <c r="G8940" s="98" t="str">
        <f>HYPERLINK("http://mirror.ff7data.com.ar/ff7/data/battle/battle.lgp/pjat.png","View Picture")</f>
        <v>View Picture</v>
      </c>
    </row>
    <row r="8941">
      <c r="A8941" s="55"/>
      <c r="B8941" s="119" t="s">
        <v>41223</v>
      </c>
      <c r="C8941" s="120" t="s">
        <v>3573</v>
      </c>
      <c r="D8941" s="31"/>
      <c r="F8941" s="121" t="s">
        <v>3009</v>
      </c>
      <c r="G8941" s="98" t="str">
        <f>HYPERLINK("http://mirror.ff7data.com.ar/ff7/data/battle/battle.lgp/pjau.png","View Picture")</f>
        <v>View Picture</v>
      </c>
    </row>
    <row r="8942">
      <c r="A8942" s="55"/>
      <c r="B8942" s="119" t="s">
        <v>41224</v>
      </c>
      <c r="C8942" s="120" t="s">
        <v>4372</v>
      </c>
      <c r="D8942" s="31"/>
      <c r="F8942" s="121" t="s">
        <v>3009</v>
      </c>
      <c r="G8942" s="98" t="str">
        <f>HYPERLINK("http://mirror.ff7data.com.ar/ff7/data/battle/battle.lgp/pjav.png","View Picture")</f>
        <v>View Picture</v>
      </c>
    </row>
    <row r="8943">
      <c r="A8943" s="79"/>
      <c r="B8943" s="119" t="s">
        <v>41225</v>
      </c>
      <c r="C8943" s="120" t="s">
        <v>40553</v>
      </c>
      <c r="D8943" s="33" t="s">
        <v>41226</v>
      </c>
      <c r="F8943" s="121" t="s">
        <v>2756</v>
      </c>
      <c r="G8943" s="98" t="str">
        <f>HYPERLINK("http://mirror.ff7data.com.ar/ff7/data/battle/battle.lgp/pkaa.png","View Picture")</f>
        <v>View Picture</v>
      </c>
    </row>
    <row r="8944">
      <c r="A8944" s="55"/>
      <c r="B8944" s="119" t="s">
        <v>41227</v>
      </c>
      <c r="C8944" s="120" t="s">
        <v>40556</v>
      </c>
      <c r="D8944" s="31"/>
      <c r="F8944" s="121" t="s">
        <v>2993</v>
      </c>
    </row>
    <row r="8945">
      <c r="A8945" s="55"/>
      <c r="B8945" s="119" t="s">
        <v>41228</v>
      </c>
      <c r="C8945" s="120" t="s">
        <v>6018</v>
      </c>
      <c r="D8945" s="31"/>
      <c r="F8945" s="121" t="s">
        <v>1348</v>
      </c>
      <c r="G8945" s="98" t="str">
        <f>HYPERLINK("http://mirror.ff7data.com.ar/ff7/data/battle/battle.lgp/pkac.png","View Picture")</f>
        <v>View Picture</v>
      </c>
    </row>
    <row r="8946">
      <c r="A8946" s="55"/>
      <c r="B8946" s="119" t="s">
        <v>41229</v>
      </c>
      <c r="C8946" s="120" t="s">
        <v>7270</v>
      </c>
      <c r="D8946" s="31"/>
      <c r="F8946" s="121" t="s">
        <v>1348</v>
      </c>
      <c r="G8946" s="98" t="str">
        <f>HYPERLINK("http://mirror.ff7data.com.ar/ff7/data/battle/battle.lgp/pkad.png","View Picture")</f>
        <v>View Picture</v>
      </c>
    </row>
    <row r="8947">
      <c r="A8947" s="55"/>
      <c r="B8947" s="119" t="s">
        <v>41230</v>
      </c>
      <c r="C8947" s="120" t="s">
        <v>26095</v>
      </c>
      <c r="D8947" s="31"/>
      <c r="F8947" s="121" t="s">
        <v>1348</v>
      </c>
      <c r="G8947" s="98" t="str">
        <f>HYPERLINK("http://mirror.ff7data.com.ar/ff7/data/battle/battle.lgp/pkae.png","View Picture")</f>
        <v>View Picture</v>
      </c>
    </row>
    <row r="8948">
      <c r="A8948" s="55"/>
      <c r="B8948" s="119" t="s">
        <v>41231</v>
      </c>
      <c r="C8948" s="120" t="s">
        <v>26095</v>
      </c>
      <c r="D8948" s="31"/>
      <c r="F8948" s="121" t="s">
        <v>1348</v>
      </c>
      <c r="G8948" s="98" t="str">
        <f>HYPERLINK("http://mirror.ff7data.com.ar/ff7/data/battle/battle.lgp/pkaf.png","View Picture")</f>
        <v>View Picture</v>
      </c>
    </row>
    <row r="8949">
      <c r="A8949" s="55"/>
      <c r="B8949" s="119" t="s">
        <v>41232</v>
      </c>
      <c r="C8949" s="120" t="s">
        <v>5203</v>
      </c>
      <c r="D8949" s="31"/>
      <c r="F8949" s="121" t="s">
        <v>1348</v>
      </c>
      <c r="G8949" s="98" t="str">
        <f>HYPERLINK("http://mirror.ff7data.com.ar/ff7/data/battle/battle.lgp/pkag.png","View Picture")</f>
        <v>View Picture</v>
      </c>
    </row>
    <row r="8950">
      <c r="A8950" s="55"/>
      <c r="B8950" s="119" t="s">
        <v>41233</v>
      </c>
      <c r="C8950" s="120" t="s">
        <v>5203</v>
      </c>
      <c r="D8950" s="31"/>
      <c r="F8950" s="121" t="s">
        <v>1348</v>
      </c>
      <c r="G8950" s="98" t="str">
        <f>HYPERLINK("http://mirror.ff7data.com.ar/ff7/data/battle/battle.lgp/pkah.png","View Picture")</f>
        <v>View Picture</v>
      </c>
    </row>
    <row r="8951">
      <c r="A8951" s="55"/>
      <c r="B8951" s="119" t="s">
        <v>41234</v>
      </c>
      <c r="C8951" s="120" t="s">
        <v>5203</v>
      </c>
      <c r="D8951" s="31"/>
      <c r="F8951" s="121" t="s">
        <v>1348</v>
      </c>
      <c r="G8951" s="98" t="str">
        <f>HYPERLINK("http://mirror.ff7data.com.ar/ff7/data/battle/battle.lgp/pkai.png","View Picture")</f>
        <v>View Picture</v>
      </c>
    </row>
    <row r="8952">
      <c r="A8952" s="55"/>
      <c r="B8952" s="119" t="s">
        <v>41235</v>
      </c>
      <c r="C8952" s="120" t="s">
        <v>7270</v>
      </c>
      <c r="D8952" s="31"/>
      <c r="F8952" s="121" t="s">
        <v>1348</v>
      </c>
      <c r="G8952" s="98" t="str">
        <f>HYPERLINK("http://mirror.ff7data.com.ar/ff7/data/battle/battle.lgp/pkaj.png","View Picture")</f>
        <v>View Picture</v>
      </c>
    </row>
    <row r="8953">
      <c r="A8953" s="55"/>
      <c r="B8953" s="119" t="s">
        <v>41236</v>
      </c>
      <c r="C8953" s="120" t="s">
        <v>26179</v>
      </c>
      <c r="D8953" s="31"/>
      <c r="F8953" s="121" t="s">
        <v>3009</v>
      </c>
      <c r="G8953" s="98" t="str">
        <f>HYPERLINK("http://mirror.ff7data.com.ar/ff7/data/battle/battle.lgp/pkam.png","View Picture")</f>
        <v>View Picture</v>
      </c>
    </row>
    <row r="8954">
      <c r="A8954" s="55"/>
      <c r="B8954" s="119" t="s">
        <v>41237</v>
      </c>
      <c r="C8954" s="120" t="s">
        <v>4846</v>
      </c>
      <c r="D8954" s="31"/>
      <c r="F8954" s="121" t="s">
        <v>3009</v>
      </c>
      <c r="G8954" s="98" t="str">
        <f>HYPERLINK("http://mirror.ff7data.com.ar/ff7/data/battle/battle.lgp/pkan.png","View Picture")</f>
        <v>View Picture</v>
      </c>
    </row>
    <row r="8955">
      <c r="A8955" s="55"/>
      <c r="B8955" s="119" t="s">
        <v>41238</v>
      </c>
      <c r="C8955" s="120" t="s">
        <v>4846</v>
      </c>
      <c r="D8955" s="31"/>
      <c r="F8955" s="121" t="s">
        <v>3009</v>
      </c>
      <c r="G8955" s="98" t="str">
        <f>HYPERLINK("http://mirror.ff7data.com.ar/ff7/data/battle/battle.lgp/pkao.png","View Picture")</f>
        <v>View Picture</v>
      </c>
    </row>
    <row r="8956">
      <c r="A8956" s="55"/>
      <c r="B8956" s="119" t="s">
        <v>41239</v>
      </c>
      <c r="C8956" s="120" t="s">
        <v>4846</v>
      </c>
      <c r="D8956" s="31"/>
      <c r="F8956" s="121" t="s">
        <v>3009</v>
      </c>
      <c r="G8956" s="98" t="str">
        <f>HYPERLINK("http://mirror.ff7data.com.ar/ff7/data/battle/battle.lgp/pkap.png","View Picture")</f>
        <v>View Picture</v>
      </c>
    </row>
    <row r="8957">
      <c r="A8957" s="55"/>
      <c r="B8957" s="119" t="s">
        <v>41240</v>
      </c>
      <c r="C8957" s="120" t="s">
        <v>5891</v>
      </c>
      <c r="D8957" s="31"/>
      <c r="F8957" s="121" t="s">
        <v>3009</v>
      </c>
      <c r="G8957" s="98" t="str">
        <f>HYPERLINK("http://mirror.ff7data.com.ar/ff7/data/battle/battle.lgp/pkaq.png","View Picture")</f>
        <v>View Picture</v>
      </c>
    </row>
    <row r="8958">
      <c r="A8958" s="55"/>
      <c r="B8958" s="119" t="s">
        <v>41241</v>
      </c>
      <c r="C8958" s="120" t="s">
        <v>5419</v>
      </c>
      <c r="D8958" s="31"/>
      <c r="F8958" s="121" t="s">
        <v>3009</v>
      </c>
      <c r="G8958" s="98" t="str">
        <f>HYPERLINK("http://mirror.ff7data.com.ar/ff7/data/battle/battle.lgp/pkar.png","View Picture")</f>
        <v>View Picture</v>
      </c>
    </row>
    <row r="8959">
      <c r="A8959" s="55"/>
      <c r="B8959" s="119" t="s">
        <v>41242</v>
      </c>
      <c r="C8959" s="120" t="s">
        <v>26149</v>
      </c>
      <c r="D8959" s="31"/>
      <c r="F8959" s="121" t="s">
        <v>3009</v>
      </c>
      <c r="G8959" s="98" t="str">
        <f>HYPERLINK("http://mirror.ff7data.com.ar/ff7/data/battle/battle.lgp/pkas.png","View Picture")</f>
        <v>View Picture</v>
      </c>
    </row>
    <row r="8960">
      <c r="A8960" s="55"/>
      <c r="B8960" s="119" t="s">
        <v>41243</v>
      </c>
      <c r="C8960" s="120" t="s">
        <v>4841</v>
      </c>
      <c r="D8960" s="31"/>
      <c r="F8960" s="121" t="s">
        <v>3009</v>
      </c>
      <c r="G8960" s="98" t="str">
        <f>HYPERLINK("http://mirror.ff7data.com.ar/ff7/data/battle/battle.lgp/pkat.png","View Picture")</f>
        <v>View Picture</v>
      </c>
    </row>
    <row r="8961">
      <c r="A8961" s="55"/>
      <c r="B8961" s="119" t="s">
        <v>41244</v>
      </c>
      <c r="C8961" s="120" t="s">
        <v>5891</v>
      </c>
      <c r="D8961" s="31"/>
      <c r="F8961" s="121" t="s">
        <v>3009</v>
      </c>
      <c r="G8961" s="98" t="str">
        <f>HYPERLINK("http://mirror.ff7data.com.ar/ff7/data/battle/battle.lgp/pkau.png","View Picture")</f>
        <v>View Picture</v>
      </c>
    </row>
    <row r="8962">
      <c r="A8962" s="55"/>
      <c r="B8962" s="119" t="s">
        <v>41245</v>
      </c>
      <c r="C8962" s="120" t="s">
        <v>5967</v>
      </c>
      <c r="D8962" s="31"/>
      <c r="F8962" s="121" t="s">
        <v>3009</v>
      </c>
      <c r="G8962" s="98" t="str">
        <f>HYPERLINK("http://mirror.ff7data.com.ar/ff7/data/battle/battle.lgp/pkav.png","View Picture")</f>
        <v>View Picture</v>
      </c>
    </row>
    <row r="8963">
      <c r="A8963" s="55"/>
      <c r="B8963" s="119" t="s">
        <v>41246</v>
      </c>
      <c r="C8963" s="120" t="s">
        <v>5762</v>
      </c>
      <c r="D8963" s="31"/>
      <c r="F8963" s="121" t="s">
        <v>3009</v>
      </c>
      <c r="G8963" s="98" t="str">
        <f>HYPERLINK("http://mirror.ff7data.com.ar/ff7/data/battle/battle.lgp/pkaw.png","View Picture")</f>
        <v>View Picture</v>
      </c>
    </row>
    <row r="8964">
      <c r="A8964" s="55"/>
      <c r="B8964" s="119" t="s">
        <v>41247</v>
      </c>
      <c r="C8964" s="120" t="s">
        <v>13844</v>
      </c>
      <c r="D8964" s="31"/>
      <c r="F8964" s="121" t="s">
        <v>3009</v>
      </c>
      <c r="G8964" s="98" t="str">
        <f>HYPERLINK("http://mirror.ff7data.com.ar/ff7/data/battle/battle.lgp/pkax.png","View Picture")</f>
        <v>View Picture</v>
      </c>
    </row>
    <row r="8965">
      <c r="A8965" s="55"/>
      <c r="B8965" s="119" t="s">
        <v>41248</v>
      </c>
      <c r="C8965" s="120" t="s">
        <v>3412</v>
      </c>
      <c r="D8965" s="31"/>
      <c r="F8965" s="121" t="s">
        <v>3009</v>
      </c>
      <c r="G8965" s="98" t="str">
        <f>HYPERLINK("http://mirror.ff7data.com.ar/ff7/data/battle/battle.lgp/pkay.png","View Picture")</f>
        <v>View Picture</v>
      </c>
    </row>
    <row r="8966">
      <c r="A8966" s="55"/>
      <c r="B8966" s="119" t="s">
        <v>41249</v>
      </c>
      <c r="C8966" s="120" t="s">
        <v>4288</v>
      </c>
      <c r="D8966" s="31"/>
      <c r="F8966" s="121" t="s">
        <v>3009</v>
      </c>
      <c r="G8966" s="98" t="str">
        <f>HYPERLINK("http://mirror.ff7data.com.ar/ff7/data/battle/battle.lgp/pkaz.png","View Picture")</f>
        <v>View Picture</v>
      </c>
    </row>
    <row r="8967">
      <c r="A8967" s="55"/>
      <c r="B8967" s="119" t="s">
        <v>41250</v>
      </c>
      <c r="C8967" s="120" t="s">
        <v>4185</v>
      </c>
      <c r="D8967" s="31"/>
      <c r="F8967" s="121" t="s">
        <v>3009</v>
      </c>
      <c r="G8967" s="98" t="str">
        <f>HYPERLINK("http://mirror.ff7data.com.ar/ff7/data/battle/battle.lgp/pkba.png","View Picture")</f>
        <v>View Picture</v>
      </c>
    </row>
    <row r="8968">
      <c r="A8968" s="55"/>
      <c r="B8968" s="119" t="s">
        <v>41251</v>
      </c>
      <c r="C8968" s="120" t="s">
        <v>26336</v>
      </c>
      <c r="D8968" s="31"/>
      <c r="F8968" s="121" t="s">
        <v>3009</v>
      </c>
      <c r="G8968" s="98" t="str">
        <f>HYPERLINK("http://mirror.ff7data.com.ar/ff7/data/battle/battle.lgp/pkbb.png","View Picture")</f>
        <v>View Picture</v>
      </c>
    </row>
    <row r="8969">
      <c r="A8969" s="55"/>
      <c r="B8969" s="119" t="s">
        <v>41252</v>
      </c>
      <c r="C8969" s="120" t="s">
        <v>4732</v>
      </c>
      <c r="D8969" s="31"/>
      <c r="F8969" s="121" t="s">
        <v>3009</v>
      </c>
      <c r="G8969" s="98" t="str">
        <f>HYPERLINK("http://mirror.ff7data.com.ar/ff7/data/battle/battle.lgp/pkbc.png","View Picture")</f>
        <v>View Picture</v>
      </c>
    </row>
    <row r="8970">
      <c r="A8970" s="55"/>
      <c r="B8970" s="119" t="s">
        <v>41253</v>
      </c>
      <c r="C8970" s="120" t="s">
        <v>5419</v>
      </c>
      <c r="D8970" s="31"/>
      <c r="F8970" s="121" t="s">
        <v>3009</v>
      </c>
      <c r="G8970" s="98" t="str">
        <f>HYPERLINK("http://mirror.ff7data.com.ar/ff7/data/battle/battle.lgp/pkbd.png","View Picture")</f>
        <v>View Picture</v>
      </c>
    </row>
    <row r="8971">
      <c r="A8971" s="55"/>
      <c r="B8971" s="119" t="s">
        <v>41254</v>
      </c>
      <c r="C8971" s="120" t="s">
        <v>4288</v>
      </c>
      <c r="D8971" s="31"/>
      <c r="F8971" s="121" t="s">
        <v>3009</v>
      </c>
      <c r="G8971" s="98" t="str">
        <f>HYPERLINK("http://mirror.ff7data.com.ar/ff7/data/battle/battle.lgp/pkbe.png","View Picture")</f>
        <v>View Picture</v>
      </c>
    </row>
    <row r="8972">
      <c r="A8972" s="55"/>
      <c r="B8972" s="119" t="s">
        <v>41255</v>
      </c>
      <c r="C8972" s="120" t="s">
        <v>3658</v>
      </c>
      <c r="D8972" s="31"/>
      <c r="F8972" s="121" t="s">
        <v>3009</v>
      </c>
      <c r="G8972" s="98" t="str">
        <f>HYPERLINK("http://mirror.ff7data.com.ar/ff7/data/battle/battle.lgp/pkbf.png","View Picture")</f>
        <v>View Picture</v>
      </c>
    </row>
    <row r="8973">
      <c r="A8973" s="55"/>
      <c r="B8973" s="119" t="s">
        <v>41256</v>
      </c>
      <c r="C8973" s="120" t="s">
        <v>3658</v>
      </c>
      <c r="D8973" s="31"/>
      <c r="F8973" s="121" t="s">
        <v>3009</v>
      </c>
      <c r="G8973" s="98" t="str">
        <f>HYPERLINK("http://mirror.ff7data.com.ar/ff7/data/battle/battle.lgp/pkbg.png","View Picture")</f>
        <v>View Picture</v>
      </c>
    </row>
    <row r="8974">
      <c r="A8974" s="79"/>
      <c r="B8974" s="119" t="s">
        <v>41257</v>
      </c>
      <c r="C8974" s="120" t="s">
        <v>40553</v>
      </c>
      <c r="D8974" s="33" t="s">
        <v>41258</v>
      </c>
      <c r="F8974" s="121" t="s">
        <v>2756</v>
      </c>
      <c r="G8974" s="98" t="str">
        <f>HYPERLINK("http://mirror.ff7data.com.ar/ff7/data/battle/battle.lgp/plaa.png","View Picture")</f>
        <v>View Picture</v>
      </c>
    </row>
    <row r="8975">
      <c r="A8975" s="55"/>
      <c r="B8975" s="119" t="s">
        <v>41259</v>
      </c>
      <c r="C8975" s="120" t="s">
        <v>40556</v>
      </c>
      <c r="D8975" s="31"/>
      <c r="F8975" s="121" t="s">
        <v>2993</v>
      </c>
    </row>
    <row r="8976">
      <c r="A8976" s="55"/>
      <c r="B8976" s="119" t="s">
        <v>41260</v>
      </c>
      <c r="C8976" s="120" t="s">
        <v>26104</v>
      </c>
      <c r="D8976" s="31"/>
      <c r="F8976" s="121" t="s">
        <v>1348</v>
      </c>
      <c r="G8976" s="98" t="str">
        <f>HYPERLINK("http://mirror.ff7data.com.ar/ff7/data/battle/battle.lgp/plac.png","View Picture")</f>
        <v>View Picture</v>
      </c>
    </row>
    <row r="8977">
      <c r="A8977" s="55"/>
      <c r="B8977" s="119" t="s">
        <v>41261</v>
      </c>
      <c r="C8977" s="120" t="s">
        <v>6018</v>
      </c>
      <c r="D8977" s="31"/>
      <c r="F8977" s="121" t="s">
        <v>1348</v>
      </c>
      <c r="G8977" s="98" t="str">
        <f>HYPERLINK("http://mirror.ff7data.com.ar/ff7/data/battle/battle.lgp/plad.png","View Picture")</f>
        <v>View Picture</v>
      </c>
    </row>
    <row r="8978">
      <c r="A8978" s="55"/>
      <c r="B8978" s="119" t="s">
        <v>41262</v>
      </c>
      <c r="C8978" s="120" t="s">
        <v>26095</v>
      </c>
      <c r="D8978" s="31"/>
      <c r="F8978" s="121" t="s">
        <v>1348</v>
      </c>
      <c r="G8978" s="98" t="str">
        <f>HYPERLINK("http://mirror.ff7data.com.ar/ff7/data/battle/battle.lgp/plae.png","View Picture")</f>
        <v>View Picture</v>
      </c>
    </row>
    <row r="8979">
      <c r="A8979" s="55"/>
      <c r="B8979" s="119" t="s">
        <v>41263</v>
      </c>
      <c r="C8979" s="120" t="s">
        <v>26104</v>
      </c>
      <c r="D8979" s="31"/>
      <c r="F8979" s="121" t="s">
        <v>1348</v>
      </c>
      <c r="G8979" s="98" t="str">
        <f>HYPERLINK("http://mirror.ff7data.com.ar/ff7/data/battle/battle.lgp/plaf.png","View Picture")</f>
        <v>View Picture</v>
      </c>
    </row>
    <row r="8980">
      <c r="A8980" s="55"/>
      <c r="B8980" s="119" t="s">
        <v>41264</v>
      </c>
      <c r="C8980" s="120" t="s">
        <v>6018</v>
      </c>
      <c r="D8980" s="31"/>
      <c r="F8980" s="121" t="s">
        <v>1348</v>
      </c>
      <c r="G8980" s="98" t="str">
        <f>HYPERLINK("http://mirror.ff7data.com.ar/ff7/data/battle/battle.lgp/plag.png","View Picture")</f>
        <v>View Picture</v>
      </c>
    </row>
    <row r="8981">
      <c r="A8981" s="55"/>
      <c r="B8981" s="119" t="s">
        <v>41265</v>
      </c>
      <c r="C8981" s="120" t="s">
        <v>6018</v>
      </c>
      <c r="D8981" s="31"/>
      <c r="F8981" s="121" t="s">
        <v>1348</v>
      </c>
      <c r="G8981" s="98" t="str">
        <f>HYPERLINK("http://mirror.ff7data.com.ar/ff7/data/battle/battle.lgp/plah.png","View Picture")</f>
        <v>View Picture</v>
      </c>
    </row>
    <row r="8982">
      <c r="A8982" s="55"/>
      <c r="B8982" s="119" t="s">
        <v>41266</v>
      </c>
      <c r="C8982" s="120" t="s">
        <v>4012</v>
      </c>
      <c r="D8982" s="31"/>
      <c r="F8982" s="121" t="s">
        <v>3009</v>
      </c>
      <c r="G8982" s="98" t="str">
        <f>HYPERLINK("http://mirror.ff7data.com.ar/ff7/data/battle/battle.lgp/plam.png","View Picture")</f>
        <v>View Picture</v>
      </c>
    </row>
    <row r="8983">
      <c r="A8983" s="55"/>
      <c r="B8983" s="119" t="s">
        <v>41267</v>
      </c>
      <c r="C8983" s="120" t="s">
        <v>4846</v>
      </c>
      <c r="D8983" s="31"/>
      <c r="F8983" s="121" t="s">
        <v>3009</v>
      </c>
      <c r="G8983" s="98" t="str">
        <f>HYPERLINK("http://mirror.ff7data.com.ar/ff7/data/battle/battle.lgp/plan.png","View Picture")</f>
        <v>View Picture</v>
      </c>
    </row>
    <row r="8984">
      <c r="A8984" s="55"/>
      <c r="B8984" s="119" t="s">
        <v>41268</v>
      </c>
      <c r="C8984" s="120" t="s">
        <v>4846</v>
      </c>
      <c r="D8984" s="31"/>
      <c r="F8984" s="121" t="s">
        <v>3009</v>
      </c>
      <c r="G8984" s="98" t="str">
        <f>HYPERLINK("http://mirror.ff7data.com.ar/ff7/data/battle/battle.lgp/plao.png","View Picture")</f>
        <v>View Picture</v>
      </c>
    </row>
    <row r="8985">
      <c r="A8985" s="55"/>
      <c r="B8985" s="119" t="s">
        <v>41269</v>
      </c>
      <c r="C8985" s="120" t="s">
        <v>4846</v>
      </c>
      <c r="D8985" s="31"/>
      <c r="F8985" s="121" t="s">
        <v>3009</v>
      </c>
      <c r="G8985" s="98" t="str">
        <f>HYPERLINK("http://mirror.ff7data.com.ar/ff7/data/battle/battle.lgp/plap.png","View Picture")</f>
        <v>View Picture</v>
      </c>
    </row>
    <row r="8986">
      <c r="A8986" s="55"/>
      <c r="B8986" s="119" t="s">
        <v>41270</v>
      </c>
      <c r="C8986" s="120" t="s">
        <v>3494</v>
      </c>
      <c r="D8986" s="31"/>
      <c r="F8986" s="121" t="s">
        <v>3009</v>
      </c>
      <c r="G8986" s="98" t="str">
        <f>HYPERLINK("http://mirror.ff7data.com.ar/ff7/data/battle/battle.lgp/plaq.png","View Picture")</f>
        <v>View Picture</v>
      </c>
    </row>
    <row r="8987">
      <c r="A8987" s="55"/>
      <c r="B8987" s="119" t="s">
        <v>41271</v>
      </c>
      <c r="C8987" s="120" t="s">
        <v>4030</v>
      </c>
      <c r="D8987" s="31"/>
      <c r="F8987" s="121" t="s">
        <v>3009</v>
      </c>
      <c r="G8987" s="98" t="str">
        <f>HYPERLINK("http://mirror.ff7data.com.ar/ff7/data/battle/battle.lgp/plar.png","View Picture")</f>
        <v>View Picture</v>
      </c>
    </row>
    <row r="8988">
      <c r="A8988" s="55"/>
      <c r="B8988" s="119" t="s">
        <v>41272</v>
      </c>
      <c r="C8988" s="120" t="s">
        <v>3494</v>
      </c>
      <c r="D8988" s="31"/>
      <c r="F8988" s="121" t="s">
        <v>3009</v>
      </c>
      <c r="G8988" s="98" t="str">
        <f>HYPERLINK("http://mirror.ff7data.com.ar/ff7/data/battle/battle.lgp/plas.png","View Picture")</f>
        <v>View Picture</v>
      </c>
    </row>
    <row r="8989">
      <c r="A8989" s="55"/>
      <c r="B8989" s="119" t="s">
        <v>41273</v>
      </c>
      <c r="C8989" s="120" t="s">
        <v>4240</v>
      </c>
      <c r="D8989" s="31"/>
      <c r="F8989" s="121" t="s">
        <v>3009</v>
      </c>
      <c r="G8989" s="98" t="str">
        <f>HYPERLINK("http://mirror.ff7data.com.ar/ff7/data/battle/battle.lgp/plat.png","View Picture")</f>
        <v>View Picture</v>
      </c>
    </row>
    <row r="8990">
      <c r="A8990" s="55"/>
      <c r="B8990" s="119" t="s">
        <v>41274</v>
      </c>
      <c r="C8990" s="120" t="s">
        <v>4264</v>
      </c>
      <c r="D8990" s="31"/>
      <c r="F8990" s="121" t="s">
        <v>3009</v>
      </c>
      <c r="G8990" s="98" t="str">
        <f>HYPERLINK("http://mirror.ff7data.com.ar/ff7/data/battle/battle.lgp/plau.png","View Picture")</f>
        <v>View Picture</v>
      </c>
    </row>
    <row r="8991">
      <c r="A8991" s="55"/>
      <c r="B8991" s="119" t="s">
        <v>41275</v>
      </c>
      <c r="C8991" s="120" t="s">
        <v>4396</v>
      </c>
      <c r="D8991" s="31"/>
      <c r="F8991" s="121" t="s">
        <v>3009</v>
      </c>
      <c r="G8991" s="98" t="str">
        <f>HYPERLINK("http://mirror.ff7data.com.ar/ff7/data/battle/battle.lgp/plav.png","View Picture")</f>
        <v>View Picture</v>
      </c>
    </row>
    <row r="8992">
      <c r="A8992" s="55"/>
      <c r="B8992" s="119" t="s">
        <v>41276</v>
      </c>
      <c r="C8992" s="120" t="s">
        <v>4252</v>
      </c>
      <c r="D8992" s="31"/>
      <c r="F8992" s="121" t="s">
        <v>3009</v>
      </c>
      <c r="G8992" s="98" t="str">
        <f>HYPERLINK("http://mirror.ff7data.com.ar/ff7/data/battle/battle.lgp/plaw.png","View Picture")</f>
        <v>View Picture</v>
      </c>
    </row>
    <row r="8993">
      <c r="A8993" s="55"/>
      <c r="B8993" s="119" t="s">
        <v>41277</v>
      </c>
      <c r="C8993" s="120" t="s">
        <v>7165</v>
      </c>
      <c r="D8993" s="31"/>
      <c r="F8993" s="121" t="s">
        <v>3009</v>
      </c>
      <c r="G8993" s="98" t="str">
        <f>HYPERLINK("http://mirror.ff7data.com.ar/ff7/data/battle/battle.lgp/plax.png","View Picture")</f>
        <v>View Picture</v>
      </c>
    </row>
    <row r="8994">
      <c r="A8994" s="55"/>
      <c r="B8994" s="119" t="s">
        <v>41278</v>
      </c>
      <c r="C8994" s="120" t="s">
        <v>5419</v>
      </c>
      <c r="D8994" s="31"/>
      <c r="F8994" s="121" t="s">
        <v>3009</v>
      </c>
      <c r="G8994" s="98" t="str">
        <f>HYPERLINK("http://mirror.ff7data.com.ar/ff7/data/battle/battle.lgp/play.png","View Picture")</f>
        <v>View Picture</v>
      </c>
    </row>
    <row r="8995">
      <c r="A8995" s="55"/>
      <c r="B8995" s="119" t="s">
        <v>41279</v>
      </c>
      <c r="C8995" s="120" t="s">
        <v>4357</v>
      </c>
      <c r="D8995" s="31"/>
      <c r="F8995" s="121" t="s">
        <v>3009</v>
      </c>
      <c r="G8995" s="98" t="str">
        <f>HYPERLINK("http://mirror.ff7data.com.ar/ff7/data/battle/battle.lgp/plaz.png","View Picture")</f>
        <v>View Picture</v>
      </c>
    </row>
    <row r="8996">
      <c r="A8996" s="79"/>
      <c r="B8996" s="119" t="s">
        <v>41280</v>
      </c>
      <c r="C8996" s="120" t="s">
        <v>40553</v>
      </c>
      <c r="D8996" s="33" t="s">
        <v>41281</v>
      </c>
      <c r="F8996" s="121" t="s">
        <v>2756</v>
      </c>
      <c r="G8996" s="98" t="str">
        <f>HYPERLINK("http://mirror.ff7data.com.ar/ff7/data/battle/battle.lgp/pmaa.png","View Picture")</f>
        <v>View Picture</v>
      </c>
    </row>
    <row r="8997">
      <c r="A8997" s="55"/>
      <c r="B8997" s="119" t="s">
        <v>41282</v>
      </c>
      <c r="C8997" s="120" t="s">
        <v>40556</v>
      </c>
      <c r="D8997" s="31"/>
      <c r="F8997" s="121" t="s">
        <v>2993</v>
      </c>
    </row>
    <row r="8998">
      <c r="A8998" s="55"/>
      <c r="B8998" s="119" t="s">
        <v>41283</v>
      </c>
      <c r="C8998" s="120" t="s">
        <v>26104</v>
      </c>
      <c r="D8998" s="31"/>
      <c r="F8998" s="121" t="s">
        <v>1348</v>
      </c>
      <c r="G8998" s="98" t="str">
        <f>HYPERLINK("http://mirror.ff7data.com.ar/ff7/data/battle/battle.lgp/pmac.png","View Picture")</f>
        <v>View Picture</v>
      </c>
    </row>
    <row r="8999">
      <c r="A8999" s="55"/>
      <c r="B8999" s="119" t="s">
        <v>41284</v>
      </c>
      <c r="C8999" s="120" t="s">
        <v>6018</v>
      </c>
      <c r="D8999" s="31"/>
      <c r="F8999" s="121" t="s">
        <v>1348</v>
      </c>
      <c r="G8999" s="98" t="str">
        <f>HYPERLINK("http://mirror.ff7data.com.ar/ff7/data/battle/battle.lgp/pmad.png","View Picture")</f>
        <v>View Picture</v>
      </c>
    </row>
    <row r="9000">
      <c r="A9000" s="55"/>
      <c r="B9000" s="119" t="s">
        <v>41285</v>
      </c>
      <c r="C9000" s="120" t="s">
        <v>26104</v>
      </c>
      <c r="D9000" s="31"/>
      <c r="F9000" s="121" t="s">
        <v>1348</v>
      </c>
      <c r="G9000" s="98" t="str">
        <f>HYPERLINK("http://mirror.ff7data.com.ar/ff7/data/battle/battle.lgp/pmae.png","View Picture")</f>
        <v>View Picture</v>
      </c>
    </row>
    <row r="9001">
      <c r="A9001" s="55"/>
      <c r="B9001" s="119" t="s">
        <v>41286</v>
      </c>
      <c r="C9001" s="120" t="s">
        <v>26095</v>
      </c>
      <c r="D9001" s="31"/>
      <c r="F9001" s="121" t="s">
        <v>1348</v>
      </c>
      <c r="G9001" s="98" t="str">
        <f>HYPERLINK("http://mirror.ff7data.com.ar/ff7/data/battle/battle.lgp/pmaf.png","View Picture")</f>
        <v>View Picture</v>
      </c>
    </row>
    <row r="9002">
      <c r="A9002" s="55"/>
      <c r="B9002" s="119" t="s">
        <v>41287</v>
      </c>
      <c r="C9002" s="120" t="s">
        <v>6018</v>
      </c>
      <c r="D9002" s="31"/>
      <c r="F9002" s="121" t="s">
        <v>1348</v>
      </c>
      <c r="G9002" s="98" t="str">
        <f>HYPERLINK("http://mirror.ff7data.com.ar/ff7/data/battle/battle.lgp/pmag.png","View Picture")</f>
        <v>View Picture</v>
      </c>
    </row>
    <row r="9003">
      <c r="A9003" s="55"/>
      <c r="B9003" s="119" t="s">
        <v>41288</v>
      </c>
      <c r="C9003" s="120" t="s">
        <v>26095</v>
      </c>
      <c r="D9003" s="31"/>
      <c r="F9003" s="121" t="s">
        <v>1348</v>
      </c>
      <c r="G9003" s="98" t="str">
        <f>HYPERLINK("http://mirror.ff7data.com.ar/ff7/data/battle/battle.lgp/pmah.png","View Picture")</f>
        <v>View Picture</v>
      </c>
    </row>
    <row r="9004">
      <c r="A9004" s="55"/>
      <c r="B9004" s="119" t="s">
        <v>41289</v>
      </c>
      <c r="C9004" s="120" t="s">
        <v>26095</v>
      </c>
      <c r="D9004" s="31"/>
      <c r="F9004" s="121" t="s">
        <v>1348</v>
      </c>
      <c r="G9004" s="98" t="str">
        <f>HYPERLINK("http://mirror.ff7data.com.ar/ff7/data/battle/battle.lgp/pmai.png","View Picture")</f>
        <v>View Picture</v>
      </c>
    </row>
    <row r="9005">
      <c r="A9005" s="55"/>
      <c r="B9005" s="119" t="s">
        <v>41290</v>
      </c>
      <c r="C9005" s="120" t="s">
        <v>6018</v>
      </c>
      <c r="D9005" s="31"/>
      <c r="F9005" s="121" t="s">
        <v>1348</v>
      </c>
      <c r="G9005" s="98" t="str">
        <f>HYPERLINK("http://mirror.ff7data.com.ar/ff7/data/battle/battle.lgp/pmaj.png","View Picture")</f>
        <v>View Picture</v>
      </c>
    </row>
    <row r="9006">
      <c r="A9006" s="55"/>
      <c r="B9006" s="119" t="s">
        <v>41291</v>
      </c>
      <c r="C9006" s="120" t="s">
        <v>7115</v>
      </c>
      <c r="D9006" s="31"/>
      <c r="F9006" s="121" t="s">
        <v>3009</v>
      </c>
      <c r="G9006" s="98" t="str">
        <f>HYPERLINK("http://mirror.ff7data.com.ar/ff7/data/battle/battle.lgp/pmam.png","View Picture")</f>
        <v>View Picture</v>
      </c>
    </row>
    <row r="9007">
      <c r="A9007" s="55"/>
      <c r="B9007" s="119" t="s">
        <v>41292</v>
      </c>
      <c r="C9007" s="120" t="s">
        <v>4846</v>
      </c>
      <c r="D9007" s="31"/>
      <c r="F9007" s="121" t="s">
        <v>3009</v>
      </c>
      <c r="G9007" s="98" t="str">
        <f>HYPERLINK("http://mirror.ff7data.com.ar/ff7/data/battle/battle.lgp/pman.png","View Picture")</f>
        <v>View Picture</v>
      </c>
    </row>
    <row r="9008">
      <c r="A9008" s="55"/>
      <c r="B9008" s="119" t="s">
        <v>41293</v>
      </c>
      <c r="C9008" s="120" t="s">
        <v>4846</v>
      </c>
      <c r="D9008" s="31"/>
      <c r="F9008" s="121" t="s">
        <v>3009</v>
      </c>
      <c r="G9008" s="98" t="str">
        <f>HYPERLINK("http://mirror.ff7data.com.ar/ff7/data/battle/battle.lgp/pmao.png","View Picture")</f>
        <v>View Picture</v>
      </c>
    </row>
    <row r="9009">
      <c r="A9009" s="55"/>
      <c r="B9009" s="119" t="s">
        <v>41294</v>
      </c>
      <c r="C9009" s="120" t="s">
        <v>4846</v>
      </c>
      <c r="D9009" s="31"/>
      <c r="F9009" s="121" t="s">
        <v>3009</v>
      </c>
      <c r="G9009" s="98" t="str">
        <f>HYPERLINK("http://mirror.ff7data.com.ar/ff7/data/battle/battle.lgp/pmap.png","View Picture")</f>
        <v>View Picture</v>
      </c>
    </row>
    <row r="9010">
      <c r="A9010" s="55"/>
      <c r="B9010" s="119" t="s">
        <v>41295</v>
      </c>
      <c r="C9010" s="120" t="s">
        <v>4057</v>
      </c>
      <c r="D9010" s="31"/>
      <c r="F9010" s="121" t="s">
        <v>3009</v>
      </c>
      <c r="G9010" s="98" t="str">
        <f>HYPERLINK("http://mirror.ff7data.com.ar/ff7/data/battle/battle.lgp/pmaq.png","View Picture")</f>
        <v>View Picture</v>
      </c>
    </row>
    <row r="9011">
      <c r="A9011" s="55"/>
      <c r="B9011" s="119" t="s">
        <v>41296</v>
      </c>
      <c r="C9011" s="120" t="s">
        <v>9600</v>
      </c>
      <c r="D9011" s="31"/>
      <c r="F9011" s="121" t="s">
        <v>3009</v>
      </c>
      <c r="G9011" s="98" t="str">
        <f>HYPERLINK("http://mirror.ff7data.com.ar/ff7/data/battle/battle.lgp/pmar.png","View Picture")</f>
        <v>View Picture</v>
      </c>
    </row>
    <row r="9012">
      <c r="A9012" s="55"/>
      <c r="B9012" s="119" t="s">
        <v>41297</v>
      </c>
      <c r="C9012" s="120" t="s">
        <v>3749</v>
      </c>
      <c r="D9012" s="31"/>
      <c r="F9012" s="121" t="s">
        <v>3009</v>
      </c>
      <c r="G9012" s="98" t="str">
        <f>HYPERLINK("http://mirror.ff7data.com.ar/ff7/data/battle/battle.lgp/pmas.png","View Picture")</f>
        <v>View Picture</v>
      </c>
    </row>
    <row r="9013">
      <c r="A9013" s="55"/>
      <c r="B9013" s="119" t="s">
        <v>41298</v>
      </c>
      <c r="C9013" s="120" t="s">
        <v>4719</v>
      </c>
      <c r="D9013" s="31"/>
      <c r="F9013" s="121" t="s">
        <v>3009</v>
      </c>
      <c r="G9013" s="98" t="str">
        <f>HYPERLINK("http://mirror.ff7data.com.ar/ff7/data/battle/battle.lgp/pmat.png","View Picture")</f>
        <v>View Picture</v>
      </c>
    </row>
    <row r="9014">
      <c r="A9014" s="55"/>
      <c r="B9014" s="119" t="s">
        <v>41299</v>
      </c>
      <c r="C9014" s="120" t="s">
        <v>5419</v>
      </c>
      <c r="D9014" s="31"/>
      <c r="F9014" s="121" t="s">
        <v>3009</v>
      </c>
      <c r="G9014" s="98" t="str">
        <f>HYPERLINK("http://mirror.ff7data.com.ar/ff7/data/battle/battle.lgp/pmau.png","View Picture")</f>
        <v>View Picture</v>
      </c>
    </row>
    <row r="9015">
      <c r="A9015" s="55"/>
      <c r="B9015" s="119" t="s">
        <v>41300</v>
      </c>
      <c r="C9015" s="120" t="s">
        <v>4167</v>
      </c>
      <c r="D9015" s="31"/>
      <c r="F9015" s="121" t="s">
        <v>3009</v>
      </c>
      <c r="G9015" s="98" t="str">
        <f>HYPERLINK("http://mirror.ff7data.com.ar/ff7/data/battle/battle.lgp/pmav.png","View Picture")</f>
        <v>View Picture</v>
      </c>
    </row>
    <row r="9016">
      <c r="A9016" s="55"/>
      <c r="B9016" s="119" t="s">
        <v>41301</v>
      </c>
      <c r="C9016" s="120" t="s">
        <v>8649</v>
      </c>
      <c r="D9016" s="31"/>
      <c r="F9016" s="121" t="s">
        <v>3009</v>
      </c>
      <c r="G9016" s="98" t="str">
        <f>HYPERLINK("http://mirror.ff7data.com.ar/ff7/data/battle/battle.lgp/pmaw.png","View Picture")</f>
        <v>View Picture</v>
      </c>
    </row>
    <row r="9017">
      <c r="A9017" s="55"/>
      <c r="B9017" s="119" t="s">
        <v>41302</v>
      </c>
      <c r="C9017" s="120" t="s">
        <v>7115</v>
      </c>
      <c r="D9017" s="31"/>
      <c r="F9017" s="121" t="s">
        <v>3009</v>
      </c>
      <c r="G9017" s="98" t="str">
        <f>HYPERLINK("http://mirror.ff7data.com.ar/ff7/data/battle/battle.lgp/pmax.png","View Picture")</f>
        <v>View Picture</v>
      </c>
    </row>
    <row r="9018">
      <c r="A9018" s="79"/>
      <c r="B9018" s="119" t="s">
        <v>41303</v>
      </c>
      <c r="C9018" s="120" t="s">
        <v>40553</v>
      </c>
      <c r="D9018" s="33" t="s">
        <v>41304</v>
      </c>
      <c r="F9018" s="121" t="s">
        <v>2756</v>
      </c>
      <c r="G9018" s="98" t="str">
        <f>HYPERLINK("http://mirror.ff7data.com.ar/ff7/data/battle/battle.lgp/pnaa.png","View Picture")</f>
        <v>View Picture</v>
      </c>
    </row>
    <row r="9019">
      <c r="A9019" s="55"/>
      <c r="B9019" s="119" t="s">
        <v>41305</v>
      </c>
      <c r="C9019" s="120" t="s">
        <v>40556</v>
      </c>
      <c r="D9019" s="31"/>
      <c r="F9019" s="121" t="s">
        <v>2993</v>
      </c>
    </row>
    <row r="9020">
      <c r="A9020" s="55"/>
      <c r="B9020" s="119" t="s">
        <v>41306</v>
      </c>
      <c r="C9020" s="120" t="s">
        <v>26104</v>
      </c>
      <c r="D9020" s="31"/>
      <c r="F9020" s="121" t="s">
        <v>1348</v>
      </c>
      <c r="G9020" s="98" t="str">
        <f>HYPERLINK("http://mirror.ff7data.com.ar/ff7/data/battle/battle.lgp/pnac.png","View Picture")</f>
        <v>View Picture</v>
      </c>
    </row>
    <row r="9021">
      <c r="A9021" s="55"/>
      <c r="B9021" s="119" t="s">
        <v>41307</v>
      </c>
      <c r="C9021" s="120" t="s">
        <v>26104</v>
      </c>
      <c r="D9021" s="31"/>
      <c r="F9021" s="121" t="s">
        <v>1348</v>
      </c>
      <c r="G9021" s="98" t="str">
        <f>HYPERLINK("http://mirror.ff7data.com.ar/ff7/data/battle/battle.lgp/pnad.png","View Picture")</f>
        <v>View Picture</v>
      </c>
    </row>
    <row r="9022">
      <c r="A9022" s="55"/>
      <c r="B9022" s="119" t="s">
        <v>41308</v>
      </c>
      <c r="C9022" s="120" t="s">
        <v>26095</v>
      </c>
      <c r="D9022" s="31"/>
      <c r="F9022" s="121" t="s">
        <v>1348</v>
      </c>
      <c r="G9022" s="98" t="str">
        <f>HYPERLINK("http://mirror.ff7data.com.ar/ff7/data/battle/battle.lgp/pnae.png","View Picture")</f>
        <v>View Picture</v>
      </c>
    </row>
    <row r="9023">
      <c r="A9023" s="55"/>
      <c r="B9023" s="119" t="s">
        <v>41309</v>
      </c>
      <c r="C9023" s="120" t="s">
        <v>6018</v>
      </c>
      <c r="D9023" s="31"/>
      <c r="F9023" s="121" t="s">
        <v>1348</v>
      </c>
      <c r="G9023" s="98" t="str">
        <f>HYPERLINK("http://mirror.ff7data.com.ar/ff7/data/battle/battle.lgp/pnaf.png","View Picture")</f>
        <v>View Picture</v>
      </c>
    </row>
    <row r="9024">
      <c r="A9024" s="55"/>
      <c r="B9024" s="119" t="s">
        <v>41310</v>
      </c>
      <c r="C9024" s="120" t="s">
        <v>6018</v>
      </c>
      <c r="D9024" s="31"/>
      <c r="F9024" s="121" t="s">
        <v>1348</v>
      </c>
      <c r="G9024" s="98" t="str">
        <f>HYPERLINK("http://mirror.ff7data.com.ar/ff7/data/battle/battle.lgp/pnag.png","View Picture")</f>
        <v>View Picture</v>
      </c>
    </row>
    <row r="9025">
      <c r="A9025" s="55"/>
      <c r="B9025" s="119" t="s">
        <v>41311</v>
      </c>
      <c r="C9025" s="120" t="s">
        <v>26095</v>
      </c>
      <c r="D9025" s="31"/>
      <c r="F9025" s="121" t="s">
        <v>1348</v>
      </c>
      <c r="G9025" s="98" t="str">
        <f>HYPERLINK("http://mirror.ff7data.com.ar/ff7/data/battle/battle.lgp/pnah.png","View Picture")</f>
        <v>View Picture</v>
      </c>
    </row>
    <row r="9026">
      <c r="A9026" s="55"/>
      <c r="B9026" s="119" t="s">
        <v>41312</v>
      </c>
      <c r="C9026" s="120" t="s">
        <v>6018</v>
      </c>
      <c r="D9026" s="31"/>
      <c r="F9026" s="121" t="s">
        <v>1348</v>
      </c>
      <c r="G9026" s="98" t="str">
        <f>HYPERLINK("http://mirror.ff7data.com.ar/ff7/data/battle/battle.lgp/pnai.png","View Picture")</f>
        <v>View Picture</v>
      </c>
    </row>
    <row r="9027">
      <c r="A9027" s="55"/>
      <c r="B9027" s="119" t="s">
        <v>41313</v>
      </c>
      <c r="C9027" s="120" t="s">
        <v>6018</v>
      </c>
      <c r="D9027" s="31"/>
      <c r="F9027" s="121" t="s">
        <v>1348</v>
      </c>
      <c r="G9027" s="98" t="str">
        <f>HYPERLINK("http://mirror.ff7data.com.ar/ff7/data/battle/battle.lgp/pnaj.png","View Picture")</f>
        <v>View Picture</v>
      </c>
    </row>
    <row r="9028">
      <c r="A9028" s="55"/>
      <c r="B9028" s="119" t="s">
        <v>41314</v>
      </c>
      <c r="C9028" s="120" t="s">
        <v>6018</v>
      </c>
      <c r="D9028" s="31"/>
      <c r="F9028" s="121" t="s">
        <v>3009</v>
      </c>
      <c r="G9028" s="98" t="str">
        <f>HYPERLINK("http://mirror.ff7data.com.ar/ff7/data/battle/battle.lgp/pnam.png","View Picture")</f>
        <v>View Picture</v>
      </c>
    </row>
    <row r="9029">
      <c r="A9029" s="55"/>
      <c r="B9029" s="119" t="s">
        <v>41315</v>
      </c>
      <c r="C9029" s="120" t="s">
        <v>3768</v>
      </c>
      <c r="D9029" s="31"/>
      <c r="F9029" s="121" t="s">
        <v>3009</v>
      </c>
      <c r="G9029" s="98" t="str">
        <f>HYPERLINK("http://mirror.ff7data.com.ar/ff7/data/battle/battle.lgp/pnan.png","View Picture")</f>
        <v>View Picture</v>
      </c>
    </row>
    <row r="9030">
      <c r="A9030" s="55"/>
      <c r="B9030" s="119" t="s">
        <v>41316</v>
      </c>
      <c r="C9030" s="120" t="s">
        <v>3842</v>
      </c>
      <c r="D9030" s="31"/>
      <c r="F9030" s="121" t="s">
        <v>3009</v>
      </c>
      <c r="G9030" s="98" t="str">
        <f>HYPERLINK("http://mirror.ff7data.com.ar/ff7/data/battle/battle.lgp/pnao.png","View Picture")</f>
        <v>View Picture</v>
      </c>
    </row>
    <row r="9031">
      <c r="A9031" s="55"/>
      <c r="B9031" s="119" t="s">
        <v>41317</v>
      </c>
      <c r="C9031" s="120" t="s">
        <v>4476</v>
      </c>
      <c r="D9031" s="31"/>
      <c r="F9031" s="121" t="s">
        <v>3009</v>
      </c>
      <c r="G9031" s="98" t="str">
        <f>HYPERLINK("http://mirror.ff7data.com.ar/ff7/data/battle/battle.lgp/pnap.png","View Picture")</f>
        <v>View Picture</v>
      </c>
    </row>
    <row r="9032">
      <c r="A9032" s="55"/>
      <c r="B9032" s="119" t="s">
        <v>41318</v>
      </c>
      <c r="C9032" s="120" t="s">
        <v>3614</v>
      </c>
      <c r="D9032" s="31"/>
      <c r="F9032" s="121" t="s">
        <v>3009</v>
      </c>
      <c r="G9032" s="98" t="str">
        <f>HYPERLINK("http://mirror.ff7data.com.ar/ff7/data/battle/battle.lgp/pnaq.png","View Picture")</f>
        <v>View Picture</v>
      </c>
    </row>
    <row r="9033">
      <c r="A9033" s="55"/>
      <c r="B9033" s="119" t="s">
        <v>41319</v>
      </c>
      <c r="C9033" s="120" t="s">
        <v>3614</v>
      </c>
      <c r="D9033" s="31"/>
      <c r="F9033" s="121" t="s">
        <v>3009</v>
      </c>
      <c r="G9033" s="98" t="str">
        <f>HYPERLINK("http://mirror.ff7data.com.ar/ff7/data/battle/battle.lgp/pnar.png","View Picture")</f>
        <v>View Picture</v>
      </c>
    </row>
    <row r="9034">
      <c r="A9034" s="55"/>
      <c r="B9034" s="119" t="s">
        <v>41320</v>
      </c>
      <c r="C9034" s="120" t="s">
        <v>4732</v>
      </c>
      <c r="D9034" s="31"/>
      <c r="F9034" s="121" t="s">
        <v>3009</v>
      </c>
      <c r="G9034" s="98" t="str">
        <f>HYPERLINK("http://mirror.ff7data.com.ar/ff7/data/battle/battle.lgp/pnas.png","View Picture")</f>
        <v>View Picture</v>
      </c>
    </row>
    <row r="9035">
      <c r="A9035" s="55"/>
      <c r="B9035" s="119" t="s">
        <v>41321</v>
      </c>
      <c r="C9035" s="120" t="s">
        <v>4732</v>
      </c>
      <c r="D9035" s="31"/>
      <c r="F9035" s="121" t="s">
        <v>3009</v>
      </c>
      <c r="G9035" s="98" t="str">
        <f>HYPERLINK("http://mirror.ff7data.com.ar/ff7/data/battle/battle.lgp/pnat.png","View Picture")</f>
        <v>View Picture</v>
      </c>
    </row>
    <row r="9036">
      <c r="A9036" s="55"/>
      <c r="B9036" s="119" t="s">
        <v>41322</v>
      </c>
      <c r="C9036" s="120" t="s">
        <v>4732</v>
      </c>
      <c r="D9036" s="31"/>
      <c r="F9036" s="121" t="s">
        <v>3009</v>
      </c>
      <c r="G9036" s="98" t="str">
        <f>HYPERLINK("http://mirror.ff7data.com.ar/ff7/data/battle/battle.lgp/pnau.png","View Picture")</f>
        <v>View Picture</v>
      </c>
    </row>
    <row r="9037">
      <c r="A9037" s="55"/>
      <c r="B9037" s="119" t="s">
        <v>41323</v>
      </c>
      <c r="C9037" s="120" t="s">
        <v>3412</v>
      </c>
      <c r="D9037" s="31"/>
      <c r="F9037" s="121" t="s">
        <v>3009</v>
      </c>
      <c r="G9037" s="98" t="str">
        <f>HYPERLINK("http://mirror.ff7data.com.ar/ff7/data/battle/battle.lgp/pnav.png","View Picture")</f>
        <v>View Picture</v>
      </c>
    </row>
    <row r="9038">
      <c r="A9038" s="55"/>
      <c r="B9038" s="119" t="s">
        <v>41324</v>
      </c>
      <c r="C9038" s="120" t="s">
        <v>4396</v>
      </c>
      <c r="D9038" s="31"/>
      <c r="F9038" s="121" t="s">
        <v>3009</v>
      </c>
      <c r="G9038" s="98" t="str">
        <f>HYPERLINK("http://mirror.ff7data.com.ar/ff7/data/battle/battle.lgp/pnaw.png","View Picture")</f>
        <v>View Picture</v>
      </c>
    </row>
    <row r="9039">
      <c r="A9039" s="55"/>
      <c r="B9039" s="119" t="s">
        <v>41325</v>
      </c>
      <c r="C9039" s="120" t="s">
        <v>5419</v>
      </c>
      <c r="D9039" s="31"/>
      <c r="F9039" s="121" t="s">
        <v>3009</v>
      </c>
      <c r="G9039" s="98" t="str">
        <f>HYPERLINK("http://mirror.ff7data.com.ar/ff7/data/battle/battle.lgp/pnax.png","View Picture")</f>
        <v>View Picture</v>
      </c>
    </row>
    <row r="9040">
      <c r="A9040" s="55"/>
      <c r="B9040" s="119" t="s">
        <v>41326</v>
      </c>
      <c r="C9040" s="120" t="s">
        <v>4357</v>
      </c>
      <c r="D9040" s="31"/>
      <c r="F9040" s="121" t="s">
        <v>3009</v>
      </c>
      <c r="G9040" s="98" t="str">
        <f>HYPERLINK("http://mirror.ff7data.com.ar/ff7/data/battle/battle.lgp/pnay.png","View Picture")</f>
        <v>View Picture</v>
      </c>
    </row>
    <row r="9041">
      <c r="A9041" s="79"/>
      <c r="B9041" s="119" t="s">
        <v>41327</v>
      </c>
      <c r="C9041" s="120" t="s">
        <v>40553</v>
      </c>
      <c r="D9041" s="33" t="s">
        <v>41328</v>
      </c>
      <c r="F9041" s="121" t="s">
        <v>2756</v>
      </c>
      <c r="G9041" s="98" t="str">
        <f>HYPERLINK("http://mirror.ff7data.com.ar/ff7/data/battle/battle.lgp/poaa.png","View Picture")</f>
        <v>View Picture</v>
      </c>
    </row>
    <row r="9042">
      <c r="A9042" s="55"/>
      <c r="B9042" s="119" t="s">
        <v>41329</v>
      </c>
      <c r="C9042" s="120" t="s">
        <v>40556</v>
      </c>
      <c r="D9042" s="31"/>
      <c r="F9042" s="121" t="s">
        <v>2993</v>
      </c>
    </row>
    <row r="9043">
      <c r="A9043" s="55"/>
      <c r="B9043" s="119" t="s">
        <v>41330</v>
      </c>
      <c r="C9043" s="120" t="s">
        <v>26104</v>
      </c>
      <c r="D9043" s="31"/>
      <c r="F9043" s="121" t="s">
        <v>1348</v>
      </c>
      <c r="G9043" s="98" t="str">
        <f>HYPERLINK("http://mirror.ff7data.com.ar/ff7/data/battle/battle.lgp/poac.png","View Picture")</f>
        <v>View Picture</v>
      </c>
    </row>
    <row r="9044">
      <c r="A9044" s="55"/>
      <c r="B9044" s="119" t="s">
        <v>41331</v>
      </c>
      <c r="C9044" s="120" t="s">
        <v>26104</v>
      </c>
      <c r="D9044" s="31"/>
      <c r="F9044" s="121" t="s">
        <v>1348</v>
      </c>
      <c r="G9044" s="98" t="str">
        <f>HYPERLINK("http://mirror.ff7data.com.ar/ff7/data/battle/battle.lgp/poad.png","View Picture")</f>
        <v>View Picture</v>
      </c>
    </row>
    <row r="9045">
      <c r="A9045" s="55"/>
      <c r="B9045" s="119" t="s">
        <v>41332</v>
      </c>
      <c r="C9045" s="120" t="s">
        <v>26095</v>
      </c>
      <c r="D9045" s="31"/>
      <c r="F9045" s="121" t="s">
        <v>1348</v>
      </c>
      <c r="G9045" s="98" t="str">
        <f>HYPERLINK("http://mirror.ff7data.com.ar/ff7/data/battle/battle.lgp/poae.png","View Picture")</f>
        <v>View Picture</v>
      </c>
    </row>
    <row r="9046">
      <c r="A9046" s="55"/>
      <c r="B9046" s="119" t="s">
        <v>41333</v>
      </c>
      <c r="C9046" s="120" t="s">
        <v>6018</v>
      </c>
      <c r="D9046" s="31"/>
      <c r="F9046" s="121" t="s">
        <v>1348</v>
      </c>
      <c r="G9046" s="98" t="str">
        <f>HYPERLINK("http://mirror.ff7data.com.ar/ff7/data/battle/battle.lgp/poaf.png","View Picture")</f>
        <v>View Picture</v>
      </c>
    </row>
    <row r="9047">
      <c r="A9047" s="55"/>
      <c r="B9047" s="119" t="s">
        <v>41334</v>
      </c>
      <c r="C9047" s="120" t="s">
        <v>6018</v>
      </c>
      <c r="D9047" s="31"/>
      <c r="F9047" s="121" t="s">
        <v>1348</v>
      </c>
      <c r="G9047" s="98" t="str">
        <f>HYPERLINK("http://mirror.ff7data.com.ar/ff7/data/battle/battle.lgp/poag.png","View Picture")</f>
        <v>View Picture</v>
      </c>
    </row>
    <row r="9048">
      <c r="A9048" s="55"/>
      <c r="B9048" s="119" t="s">
        <v>41335</v>
      </c>
      <c r="C9048" s="120" t="s">
        <v>26095</v>
      </c>
      <c r="D9048" s="31"/>
      <c r="F9048" s="121" t="s">
        <v>1348</v>
      </c>
      <c r="G9048" s="98" t="str">
        <f>HYPERLINK("http://mirror.ff7data.com.ar/ff7/data/battle/battle.lgp/poah.png","View Picture")</f>
        <v>View Picture</v>
      </c>
    </row>
    <row r="9049">
      <c r="A9049" s="55"/>
      <c r="B9049" s="119" t="s">
        <v>41336</v>
      </c>
      <c r="C9049" s="120" t="s">
        <v>26095</v>
      </c>
      <c r="D9049" s="31"/>
      <c r="F9049" s="121" t="s">
        <v>1348</v>
      </c>
      <c r="G9049" s="98" t="str">
        <f>HYPERLINK("http://mirror.ff7data.com.ar/ff7/data/battle/battle.lgp/poai.png","View Picture")</f>
        <v>View Picture</v>
      </c>
    </row>
    <row r="9050">
      <c r="A9050" s="55"/>
      <c r="B9050" s="119" t="s">
        <v>41337</v>
      </c>
      <c r="C9050" s="120" t="s">
        <v>6010</v>
      </c>
      <c r="D9050" s="31"/>
      <c r="F9050" s="121" t="s">
        <v>3009</v>
      </c>
      <c r="G9050" s="98" t="str">
        <f>HYPERLINK("http://mirror.ff7data.com.ar/ff7/data/battle/battle.lgp/poam.png","View Picture")</f>
        <v>View Picture</v>
      </c>
    </row>
    <row r="9051">
      <c r="A9051" s="55"/>
      <c r="B9051" s="119" t="s">
        <v>41338</v>
      </c>
      <c r="C9051" s="120" t="s">
        <v>3768</v>
      </c>
      <c r="D9051" s="31"/>
      <c r="F9051" s="121" t="s">
        <v>3009</v>
      </c>
      <c r="G9051" s="98" t="str">
        <f>HYPERLINK("http://mirror.ff7data.com.ar/ff7/data/battle/battle.lgp/poan.png","View Picture")</f>
        <v>View Picture</v>
      </c>
    </row>
    <row r="9052">
      <c r="A9052" s="55"/>
      <c r="B9052" s="119" t="s">
        <v>41339</v>
      </c>
      <c r="C9052" s="120" t="s">
        <v>3842</v>
      </c>
      <c r="D9052" s="31"/>
      <c r="F9052" s="121" t="s">
        <v>3009</v>
      </c>
      <c r="G9052" s="98" t="str">
        <f>HYPERLINK("http://mirror.ff7data.com.ar/ff7/data/battle/battle.lgp/poao.png","View Picture")</f>
        <v>View Picture</v>
      </c>
    </row>
    <row r="9053">
      <c r="A9053" s="55"/>
      <c r="B9053" s="119" t="s">
        <v>41340</v>
      </c>
      <c r="C9053" s="120" t="s">
        <v>4476</v>
      </c>
      <c r="D9053" s="31"/>
      <c r="F9053" s="121" t="s">
        <v>3009</v>
      </c>
      <c r="G9053" s="98" t="str">
        <f>HYPERLINK("http://mirror.ff7data.com.ar/ff7/data/battle/battle.lgp/poap.png","View Picture")</f>
        <v>View Picture</v>
      </c>
    </row>
    <row r="9054">
      <c r="A9054" s="55"/>
      <c r="B9054" s="119" t="s">
        <v>41341</v>
      </c>
      <c r="C9054" s="120" t="s">
        <v>4357</v>
      </c>
      <c r="D9054" s="31"/>
      <c r="F9054" s="121" t="s">
        <v>3009</v>
      </c>
      <c r="G9054" s="98" t="str">
        <f>HYPERLINK("http://mirror.ff7data.com.ar/ff7/data/battle/battle.lgp/poaq.png","View Picture")</f>
        <v>View Picture</v>
      </c>
    </row>
    <row r="9055">
      <c r="A9055" s="55"/>
      <c r="B9055" s="119" t="s">
        <v>41342</v>
      </c>
      <c r="C9055" s="120" t="s">
        <v>7894</v>
      </c>
      <c r="D9055" s="31"/>
      <c r="F9055" s="121" t="s">
        <v>3009</v>
      </c>
      <c r="G9055" s="98" t="str">
        <f>HYPERLINK("http://mirror.ff7data.com.ar/ff7/data/battle/battle.lgp/poar.png","View Picture")</f>
        <v>View Picture</v>
      </c>
    </row>
    <row r="9056">
      <c r="A9056" s="55"/>
      <c r="B9056" s="119" t="s">
        <v>41343</v>
      </c>
      <c r="C9056" s="120" t="s">
        <v>7270</v>
      </c>
      <c r="D9056" s="31"/>
      <c r="F9056" s="121" t="s">
        <v>3009</v>
      </c>
      <c r="G9056" s="98" t="str">
        <f>HYPERLINK("http://mirror.ff7data.com.ar/ff7/data/battle/battle.lgp/poas.png","View Picture")</f>
        <v>View Picture</v>
      </c>
    </row>
    <row r="9057">
      <c r="A9057" s="55"/>
      <c r="B9057" s="119" t="s">
        <v>41344</v>
      </c>
      <c r="C9057" s="120" t="s">
        <v>18406</v>
      </c>
      <c r="D9057" s="31"/>
      <c r="F9057" s="121" t="s">
        <v>3009</v>
      </c>
      <c r="G9057" s="98" t="str">
        <f>HYPERLINK("http://mirror.ff7data.com.ar/ff7/data/battle/battle.lgp/poat.png","View Picture")</f>
        <v>View Picture</v>
      </c>
    </row>
    <row r="9058">
      <c r="A9058" s="55"/>
      <c r="B9058" s="119" t="s">
        <v>41345</v>
      </c>
      <c r="C9058" s="120" t="s">
        <v>36266</v>
      </c>
      <c r="D9058" s="31"/>
      <c r="F9058" s="121" t="s">
        <v>3009</v>
      </c>
      <c r="G9058" s="98" t="str">
        <f>HYPERLINK("http://mirror.ff7data.com.ar/ff7/data/battle/battle.lgp/poau.png","View Picture")</f>
        <v>View Picture</v>
      </c>
    </row>
    <row r="9059">
      <c r="A9059" s="55"/>
      <c r="B9059" s="119" t="s">
        <v>41346</v>
      </c>
      <c r="C9059" s="120" t="s">
        <v>3875</v>
      </c>
      <c r="D9059" s="31"/>
      <c r="F9059" s="121" t="s">
        <v>3009</v>
      </c>
      <c r="G9059" s="98" t="str">
        <f>HYPERLINK("http://mirror.ff7data.com.ar/ff7/data/battle/battle.lgp/poav.png","View Picture")</f>
        <v>View Picture</v>
      </c>
    </row>
    <row r="9060">
      <c r="A9060" s="55"/>
      <c r="B9060" s="119" t="s">
        <v>41347</v>
      </c>
      <c r="C9060" s="120" t="s">
        <v>4719</v>
      </c>
      <c r="D9060" s="31"/>
      <c r="F9060" s="121" t="s">
        <v>3009</v>
      </c>
      <c r="G9060" s="98" t="str">
        <f>HYPERLINK("http://mirror.ff7data.com.ar/ff7/data/battle/battle.lgp/poaw.png","View Picture")</f>
        <v>View Picture</v>
      </c>
    </row>
    <row r="9061">
      <c r="A9061" s="55"/>
      <c r="B9061" s="119" t="s">
        <v>41348</v>
      </c>
      <c r="C9061" s="120" t="s">
        <v>4288</v>
      </c>
      <c r="D9061" s="31"/>
      <c r="F9061" s="121" t="s">
        <v>3009</v>
      </c>
      <c r="G9061" s="98" t="str">
        <f>HYPERLINK("http://mirror.ff7data.com.ar/ff7/data/battle/battle.lgp/poax.png","View Picture")</f>
        <v>View Picture</v>
      </c>
    </row>
    <row r="9062">
      <c r="A9062" s="79"/>
      <c r="B9062" s="119" t="s">
        <v>41349</v>
      </c>
      <c r="C9062" s="120" t="s">
        <v>40553</v>
      </c>
      <c r="D9062" s="33" t="s">
        <v>41350</v>
      </c>
      <c r="F9062" s="121" t="s">
        <v>2756</v>
      </c>
      <c r="G9062" s="98" t="str">
        <f>HYPERLINK("http://mirror.ff7data.com.ar/ff7/data/battle/battle.lgp/ppaa.png","View Picture")</f>
        <v>View Picture</v>
      </c>
    </row>
    <row r="9063">
      <c r="A9063" s="55"/>
      <c r="B9063" s="119" t="s">
        <v>41351</v>
      </c>
      <c r="C9063" s="120" t="s">
        <v>40556</v>
      </c>
      <c r="D9063" s="31"/>
      <c r="F9063" s="121" t="s">
        <v>2993</v>
      </c>
    </row>
    <row r="9064">
      <c r="A9064" s="55"/>
      <c r="B9064" s="119" t="s">
        <v>41352</v>
      </c>
      <c r="C9064" s="120" t="s">
        <v>26104</v>
      </c>
      <c r="D9064" s="31"/>
      <c r="F9064" s="121" t="s">
        <v>1348</v>
      </c>
      <c r="G9064" s="98" t="str">
        <f>HYPERLINK("http://mirror.ff7data.com.ar/ff7/data/battle/battle.lgp/ppac.png","View Picture")</f>
        <v>View Picture</v>
      </c>
    </row>
    <row r="9065">
      <c r="A9065" s="55"/>
      <c r="B9065" s="119" t="s">
        <v>41353</v>
      </c>
      <c r="C9065" s="120" t="s">
        <v>5203</v>
      </c>
      <c r="D9065" s="31"/>
      <c r="F9065" s="121" t="s">
        <v>1348</v>
      </c>
      <c r="G9065" s="98" t="str">
        <f>HYPERLINK("http://mirror.ff7data.com.ar/ff7/data/battle/battle.lgp/ppad.png","View Picture")</f>
        <v>View Picture</v>
      </c>
    </row>
    <row r="9066">
      <c r="A9066" s="55"/>
      <c r="B9066" s="119" t="s">
        <v>41354</v>
      </c>
      <c r="C9066" s="120" t="s">
        <v>26095</v>
      </c>
      <c r="D9066" s="31"/>
      <c r="F9066" s="121" t="s">
        <v>1348</v>
      </c>
      <c r="G9066" s="98" t="str">
        <f>HYPERLINK("http://mirror.ff7data.com.ar/ff7/data/battle/battle.lgp/ppae.png","View Picture")</f>
        <v>View Picture</v>
      </c>
    </row>
    <row r="9067">
      <c r="A9067" s="55"/>
      <c r="B9067" s="119" t="s">
        <v>41355</v>
      </c>
      <c r="C9067" s="120" t="s">
        <v>5203</v>
      </c>
      <c r="D9067" s="31"/>
      <c r="F9067" s="121" t="s">
        <v>1348</v>
      </c>
      <c r="G9067" s="98" t="str">
        <f>HYPERLINK("http://mirror.ff7data.com.ar/ff7/data/battle/battle.lgp/ppaf.png","View Picture")</f>
        <v>View Picture</v>
      </c>
    </row>
    <row r="9068">
      <c r="A9068" s="55"/>
      <c r="B9068" s="119" t="s">
        <v>41356</v>
      </c>
      <c r="C9068" s="120" t="s">
        <v>26104</v>
      </c>
      <c r="D9068" s="31"/>
      <c r="F9068" s="121" t="s">
        <v>1348</v>
      </c>
      <c r="G9068" s="98" t="str">
        <f>HYPERLINK("http://mirror.ff7data.com.ar/ff7/data/battle/battle.lgp/ppag.png","View Picture")</f>
        <v>View Picture</v>
      </c>
    </row>
    <row r="9069">
      <c r="A9069" s="55"/>
      <c r="B9069" s="119" t="s">
        <v>41357</v>
      </c>
      <c r="C9069" s="120" t="s">
        <v>5203</v>
      </c>
      <c r="D9069" s="31"/>
      <c r="F9069" s="121" t="s">
        <v>1348</v>
      </c>
      <c r="G9069" s="98" t="str">
        <f>HYPERLINK("http://mirror.ff7data.com.ar/ff7/data/battle/battle.lgp/ppah.png","View Picture")</f>
        <v>View Picture</v>
      </c>
    </row>
    <row r="9070">
      <c r="A9070" s="55"/>
      <c r="B9070" s="119" t="s">
        <v>41358</v>
      </c>
      <c r="C9070" s="120" t="s">
        <v>5203</v>
      </c>
      <c r="D9070" s="31"/>
      <c r="F9070" s="121" t="s">
        <v>1348</v>
      </c>
      <c r="G9070" s="98" t="str">
        <f>HYPERLINK("http://mirror.ff7data.com.ar/ff7/data/battle/battle.lgp/ppai.png","View Picture")</f>
        <v>View Picture</v>
      </c>
    </row>
    <row r="9071">
      <c r="A9071" s="55"/>
      <c r="B9071" s="119" t="s">
        <v>41359</v>
      </c>
      <c r="C9071" s="120" t="s">
        <v>6018</v>
      </c>
      <c r="D9071" s="31"/>
      <c r="F9071" s="121" t="s">
        <v>1348</v>
      </c>
      <c r="G9071" s="98" t="str">
        <f>HYPERLINK("http://mirror.ff7data.com.ar/ff7/data/battle/battle.lgp/ppaj.png","View Picture")</f>
        <v>View Picture</v>
      </c>
    </row>
    <row r="9072">
      <c r="A9072" s="55"/>
      <c r="B9072" s="119" t="s">
        <v>41360</v>
      </c>
      <c r="C9072" s="120" t="s">
        <v>4191</v>
      </c>
      <c r="D9072" s="31"/>
      <c r="F9072" s="121" t="s">
        <v>3009</v>
      </c>
      <c r="G9072" s="98" t="str">
        <f>HYPERLINK("http://mirror.ff7data.com.ar/ff7/data/battle/battle.lgp/ppam.png","View Picture")</f>
        <v>View Picture</v>
      </c>
    </row>
    <row r="9073">
      <c r="A9073" s="55"/>
      <c r="B9073" s="119" t="s">
        <v>41361</v>
      </c>
      <c r="C9073" s="120" t="s">
        <v>4846</v>
      </c>
      <c r="D9073" s="31"/>
      <c r="F9073" s="121" t="s">
        <v>3009</v>
      </c>
      <c r="G9073" s="98" t="str">
        <f>HYPERLINK("http://mirror.ff7data.com.ar/ff7/data/battle/battle.lgp/ppan.png","View Picture")</f>
        <v>View Picture</v>
      </c>
    </row>
    <row r="9074">
      <c r="A9074" s="55"/>
      <c r="B9074" s="119" t="s">
        <v>41362</v>
      </c>
      <c r="C9074" s="120" t="s">
        <v>4846</v>
      </c>
      <c r="D9074" s="31"/>
      <c r="F9074" s="121" t="s">
        <v>3009</v>
      </c>
      <c r="G9074" s="98" t="str">
        <f>HYPERLINK("http://mirror.ff7data.com.ar/ff7/data/battle/battle.lgp/ppao.png","View Picture")</f>
        <v>View Picture</v>
      </c>
    </row>
    <row r="9075">
      <c r="A9075" s="55"/>
      <c r="B9075" s="119" t="s">
        <v>41363</v>
      </c>
      <c r="C9075" s="120" t="s">
        <v>4846</v>
      </c>
      <c r="D9075" s="31"/>
      <c r="F9075" s="121" t="s">
        <v>3009</v>
      </c>
      <c r="G9075" s="98" t="str">
        <f>HYPERLINK("http://mirror.ff7data.com.ar/ff7/data/battle/battle.lgp/ppap.png","View Picture")</f>
        <v>View Picture</v>
      </c>
    </row>
    <row r="9076">
      <c r="A9076" s="55"/>
      <c r="B9076" s="119" t="s">
        <v>41364</v>
      </c>
      <c r="C9076" s="120" t="s">
        <v>3842</v>
      </c>
      <c r="D9076" s="31"/>
      <c r="F9076" s="121" t="s">
        <v>3009</v>
      </c>
      <c r="G9076" s="98" t="str">
        <f>HYPERLINK("http://mirror.ff7data.com.ar/ff7/data/battle/battle.lgp/ppaq.png","View Picture")</f>
        <v>View Picture</v>
      </c>
    </row>
    <row r="9077">
      <c r="A9077" s="55"/>
      <c r="B9077" s="119" t="s">
        <v>41365</v>
      </c>
      <c r="C9077" s="120" t="s">
        <v>3768</v>
      </c>
      <c r="D9077" s="31"/>
      <c r="F9077" s="121" t="s">
        <v>3009</v>
      </c>
      <c r="G9077" s="98" t="str">
        <f>HYPERLINK("http://mirror.ff7data.com.ar/ff7/data/battle/battle.lgp/ppar.png","View Picture")</f>
        <v>View Picture</v>
      </c>
    </row>
    <row r="9078">
      <c r="A9078" s="55"/>
      <c r="B9078" s="119" t="s">
        <v>41366</v>
      </c>
      <c r="C9078" s="120" t="s">
        <v>4228</v>
      </c>
      <c r="D9078" s="31"/>
      <c r="F9078" s="121" t="s">
        <v>3009</v>
      </c>
      <c r="G9078" s="98" t="str">
        <f>HYPERLINK("http://mirror.ff7data.com.ar/ff7/data/battle/battle.lgp/ppas.png","View Picture")</f>
        <v>View Picture</v>
      </c>
    </row>
    <row r="9079">
      <c r="A9079" s="55"/>
      <c r="B9079" s="119" t="s">
        <v>41367</v>
      </c>
      <c r="C9079" s="120" t="s">
        <v>3768</v>
      </c>
      <c r="D9079" s="31"/>
      <c r="F9079" s="121" t="s">
        <v>3009</v>
      </c>
      <c r="G9079" s="98" t="str">
        <f>HYPERLINK("http://mirror.ff7data.com.ar/ff7/data/battle/battle.lgp/ppat.png","View Picture")</f>
        <v>View Picture</v>
      </c>
    </row>
    <row r="9080">
      <c r="A9080" s="55"/>
      <c r="B9080" s="119" t="s">
        <v>41368</v>
      </c>
      <c r="C9080" s="120" t="s">
        <v>4217</v>
      </c>
      <c r="D9080" s="31"/>
      <c r="F9080" s="121" t="s">
        <v>3009</v>
      </c>
      <c r="G9080" s="98" t="str">
        <f>HYPERLINK("http://mirror.ff7data.com.ar/ff7/data/battle/battle.lgp/ppau.png","View Picture")</f>
        <v>View Picture</v>
      </c>
    </row>
    <row r="9081">
      <c r="A9081" s="55"/>
      <c r="B9081" s="119" t="s">
        <v>41369</v>
      </c>
      <c r="C9081" s="120" t="s">
        <v>4841</v>
      </c>
      <c r="D9081" s="31"/>
      <c r="F9081" s="121" t="s">
        <v>3009</v>
      </c>
      <c r="G9081" s="98" t="str">
        <f>HYPERLINK("http://mirror.ff7data.com.ar/ff7/data/battle/battle.lgp/ppav.png","View Picture")</f>
        <v>View Picture</v>
      </c>
    </row>
    <row r="9082">
      <c r="A9082" s="55"/>
      <c r="B9082" s="119" t="s">
        <v>41370</v>
      </c>
      <c r="C9082" s="120" t="s">
        <v>13957</v>
      </c>
      <c r="D9082" s="31"/>
      <c r="F9082" s="121" t="s">
        <v>3009</v>
      </c>
      <c r="G9082" s="98" t="str">
        <f>HYPERLINK("http://mirror.ff7data.com.ar/ff7/data/battle/battle.lgp/ppaw.png","View Picture")</f>
        <v>View Picture</v>
      </c>
    </row>
    <row r="9083">
      <c r="A9083" s="55"/>
      <c r="B9083" s="119" t="s">
        <v>41371</v>
      </c>
      <c r="C9083" s="120" t="s">
        <v>26336</v>
      </c>
      <c r="D9083" s="31"/>
      <c r="F9083" s="121" t="s">
        <v>3009</v>
      </c>
      <c r="G9083" s="98" t="str">
        <f>HYPERLINK("http://mirror.ff7data.com.ar/ff7/data/battle/battle.lgp/ppax.png","View Picture")</f>
        <v>View Picture</v>
      </c>
    </row>
    <row r="9084">
      <c r="A9084" s="79"/>
      <c r="B9084" s="119" t="s">
        <v>41372</v>
      </c>
      <c r="C9084" s="120" t="s">
        <v>40553</v>
      </c>
      <c r="D9084" s="33" t="s">
        <v>18628</v>
      </c>
      <c r="F9084" s="121" t="s">
        <v>2756</v>
      </c>
      <c r="G9084" s="98" t="str">
        <f>HYPERLINK("http://mirror.ff7data.com.ar/ff7/data/battle/battle.lgp/pqaa.png","View Picture")</f>
        <v>View Picture</v>
      </c>
    </row>
    <row r="9085">
      <c r="A9085" s="55"/>
      <c r="B9085" s="119" t="s">
        <v>41373</v>
      </c>
      <c r="C9085" s="120" t="s">
        <v>40556</v>
      </c>
      <c r="D9085" s="31"/>
      <c r="F9085" s="121" t="s">
        <v>2993</v>
      </c>
    </row>
    <row r="9086">
      <c r="A9086" s="55"/>
      <c r="B9086" s="119" t="s">
        <v>41374</v>
      </c>
      <c r="C9086" s="120" t="s">
        <v>26104</v>
      </c>
      <c r="D9086" s="31"/>
      <c r="F9086" s="121" t="s">
        <v>1348</v>
      </c>
      <c r="G9086" s="98" t="str">
        <f>HYPERLINK("http://mirror.ff7data.com.ar/ff7/data/battle/battle.lgp/pqac.png","View Picture")</f>
        <v>View Picture</v>
      </c>
    </row>
    <row r="9087">
      <c r="A9087" s="55"/>
      <c r="B9087" s="119" t="s">
        <v>41375</v>
      </c>
      <c r="C9087" s="120" t="s">
        <v>26104</v>
      </c>
      <c r="D9087" s="31"/>
      <c r="F9087" s="121" t="s">
        <v>1348</v>
      </c>
      <c r="G9087" s="98" t="str">
        <f>HYPERLINK("http://mirror.ff7data.com.ar/ff7/data/battle/battle.lgp/pqad.png","View Picture")</f>
        <v>View Picture</v>
      </c>
    </row>
    <row r="9088">
      <c r="A9088" s="55"/>
      <c r="B9088" s="119" t="s">
        <v>41376</v>
      </c>
      <c r="C9088" s="120" t="s">
        <v>26095</v>
      </c>
      <c r="D9088" s="31"/>
      <c r="F9088" s="121" t="s">
        <v>1348</v>
      </c>
      <c r="G9088" s="98" t="str">
        <f>HYPERLINK("http://mirror.ff7data.com.ar/ff7/data/battle/battle.lgp/pqae.png","View Picture")</f>
        <v>View Picture</v>
      </c>
    </row>
    <row r="9089">
      <c r="A9089" s="55"/>
      <c r="B9089" s="119" t="s">
        <v>41377</v>
      </c>
      <c r="C9089" s="120" t="s">
        <v>6018</v>
      </c>
      <c r="D9089" s="31"/>
      <c r="F9089" s="121" t="s">
        <v>1348</v>
      </c>
      <c r="G9089" s="98" t="str">
        <f>HYPERLINK("http://mirror.ff7data.com.ar/ff7/data/battle/battle.lgp/pqaf.png","View Picture")</f>
        <v>View Picture</v>
      </c>
    </row>
    <row r="9090">
      <c r="A9090" s="55"/>
      <c r="B9090" s="119" t="s">
        <v>41378</v>
      </c>
      <c r="C9090" s="120" t="s">
        <v>6018</v>
      </c>
      <c r="D9090" s="31"/>
      <c r="F9090" s="121" t="s">
        <v>1348</v>
      </c>
      <c r="G9090" s="98" t="str">
        <f>HYPERLINK("http://mirror.ff7data.com.ar/ff7/data/battle/battle.lgp/pqag.png","View Picture")</f>
        <v>View Picture</v>
      </c>
    </row>
    <row r="9091">
      <c r="A9091" s="55"/>
      <c r="B9091" s="119" t="s">
        <v>41379</v>
      </c>
      <c r="C9091" s="120" t="s">
        <v>26095</v>
      </c>
      <c r="D9091" s="31"/>
      <c r="F9091" s="121" t="s">
        <v>1348</v>
      </c>
      <c r="G9091" s="98" t="str">
        <f>HYPERLINK("http://mirror.ff7data.com.ar/ff7/data/battle/battle.lgp/pqah.png","View Picture")</f>
        <v>View Picture</v>
      </c>
    </row>
    <row r="9092">
      <c r="A9092" s="55"/>
      <c r="B9092" s="119" t="s">
        <v>41380</v>
      </c>
      <c r="C9092" s="120" t="s">
        <v>6018</v>
      </c>
      <c r="D9092" s="31"/>
      <c r="F9092" s="121" t="s">
        <v>1348</v>
      </c>
      <c r="G9092" s="98" t="str">
        <f>HYPERLINK("http://mirror.ff7data.com.ar/ff7/data/battle/battle.lgp/pqai.png","View Picture")</f>
        <v>View Picture</v>
      </c>
    </row>
    <row r="9093">
      <c r="A9093" s="55"/>
      <c r="B9093" s="119" t="s">
        <v>41381</v>
      </c>
      <c r="C9093" s="120" t="s">
        <v>7471</v>
      </c>
      <c r="D9093" s="31"/>
      <c r="F9093" s="121" t="s">
        <v>1348</v>
      </c>
      <c r="G9093" s="98" t="str">
        <f>HYPERLINK("http://mirror.ff7data.com.ar/ff7/data/battle/battle.lgp/pqaj.png","View Picture")</f>
        <v>View Picture</v>
      </c>
    </row>
    <row r="9094">
      <c r="A9094" s="55"/>
      <c r="B9094" s="119" t="s">
        <v>41382</v>
      </c>
      <c r="C9094" s="120" t="s">
        <v>8550</v>
      </c>
      <c r="D9094" s="31"/>
      <c r="F9094" s="121" t="s">
        <v>3009</v>
      </c>
      <c r="G9094" s="98" t="str">
        <f>HYPERLINK("http://mirror.ff7data.com.ar/ff7/data/battle/battle.lgp/pqam.png","View Picture")</f>
        <v>View Picture</v>
      </c>
    </row>
    <row r="9095">
      <c r="A9095" s="55"/>
      <c r="B9095" s="119" t="s">
        <v>41383</v>
      </c>
      <c r="C9095" s="120" t="s">
        <v>3768</v>
      </c>
      <c r="D9095" s="31"/>
      <c r="F9095" s="121" t="s">
        <v>3009</v>
      </c>
      <c r="G9095" s="98" t="str">
        <f>HYPERLINK("http://mirror.ff7data.com.ar/ff7/data/battle/battle.lgp/pqan.png","View Picture")</f>
        <v>View Picture</v>
      </c>
    </row>
    <row r="9096">
      <c r="A9096" s="55"/>
      <c r="B9096" s="119" t="s">
        <v>41384</v>
      </c>
      <c r="C9096" s="120" t="s">
        <v>3842</v>
      </c>
      <c r="D9096" s="31"/>
      <c r="F9096" s="121" t="s">
        <v>3009</v>
      </c>
      <c r="G9096" s="98" t="str">
        <f>HYPERLINK("http://mirror.ff7data.com.ar/ff7/data/battle/battle.lgp/pqao.png","View Picture")</f>
        <v>View Picture</v>
      </c>
    </row>
    <row r="9097">
      <c r="A9097" s="55"/>
      <c r="B9097" s="119" t="s">
        <v>41385</v>
      </c>
      <c r="C9097" s="120" t="s">
        <v>4476</v>
      </c>
      <c r="D9097" s="31"/>
      <c r="F9097" s="121" t="s">
        <v>3009</v>
      </c>
      <c r="G9097" s="98" t="str">
        <f>HYPERLINK("http://mirror.ff7data.com.ar/ff7/data/battle/battle.lgp/pqap.png","View Picture")</f>
        <v>View Picture</v>
      </c>
    </row>
    <row r="9098">
      <c r="A9098" s="55"/>
      <c r="B9098" s="119" t="s">
        <v>41386</v>
      </c>
      <c r="C9098" s="120" t="s">
        <v>3434</v>
      </c>
      <c r="D9098" s="31"/>
      <c r="F9098" s="121" t="s">
        <v>3009</v>
      </c>
      <c r="G9098" s="98" t="str">
        <f>HYPERLINK("http://mirror.ff7data.com.ar/ff7/data/battle/battle.lgp/pqaq.png","View Picture")</f>
        <v>View Picture</v>
      </c>
    </row>
    <row r="9099">
      <c r="A9099" s="55"/>
      <c r="B9099" s="119" t="s">
        <v>41387</v>
      </c>
      <c r="C9099" s="120" t="s">
        <v>4046</v>
      </c>
      <c r="D9099" s="31"/>
      <c r="F9099" s="121" t="s">
        <v>3009</v>
      </c>
      <c r="G9099" s="98" t="str">
        <f>HYPERLINK("http://mirror.ff7data.com.ar/ff7/data/battle/battle.lgp/pqar.png","View Picture")</f>
        <v>View Picture</v>
      </c>
    </row>
    <row r="9100">
      <c r="A9100" s="55"/>
      <c r="B9100" s="119" t="s">
        <v>41388</v>
      </c>
      <c r="C9100" s="120" t="s">
        <v>18144</v>
      </c>
      <c r="D9100" s="31"/>
      <c r="F9100" s="121" t="s">
        <v>3009</v>
      </c>
      <c r="G9100" s="98" t="str">
        <f>HYPERLINK("http://mirror.ff7data.com.ar/ff7/data/battle/battle.lgp/pqas.png","View Picture")</f>
        <v>View Picture</v>
      </c>
    </row>
    <row r="9101">
      <c r="A9101" s="55"/>
      <c r="B9101" s="119" t="s">
        <v>41389</v>
      </c>
      <c r="C9101" s="120" t="s">
        <v>3370</v>
      </c>
      <c r="D9101" s="31"/>
      <c r="F9101" s="121" t="s">
        <v>3009</v>
      </c>
      <c r="G9101" s="98" t="str">
        <f>HYPERLINK("http://mirror.ff7data.com.ar/ff7/data/battle/battle.lgp/pqat.png","View Picture")</f>
        <v>View Picture</v>
      </c>
    </row>
    <row r="9102">
      <c r="A9102" s="55"/>
      <c r="B9102" s="119" t="s">
        <v>41390</v>
      </c>
      <c r="C9102" s="120" t="s">
        <v>3614</v>
      </c>
      <c r="D9102" s="31"/>
      <c r="F9102" s="121" t="s">
        <v>3009</v>
      </c>
      <c r="G9102" s="98" t="str">
        <f>HYPERLINK("http://mirror.ff7data.com.ar/ff7/data/battle/battle.lgp/pqau.png","View Picture")</f>
        <v>View Picture</v>
      </c>
    </row>
    <row r="9103">
      <c r="A9103" s="55"/>
      <c r="B9103" s="119" t="s">
        <v>41391</v>
      </c>
      <c r="C9103" s="120" t="s">
        <v>4439</v>
      </c>
      <c r="D9103" s="31"/>
      <c r="F9103" s="121" t="s">
        <v>3009</v>
      </c>
      <c r="G9103" s="98" t="str">
        <f>HYPERLINK("http://mirror.ff7data.com.ar/ff7/data/battle/battle.lgp/pqav.png","View Picture")</f>
        <v>View Picture</v>
      </c>
    </row>
    <row r="9104">
      <c r="A9104" s="79"/>
      <c r="B9104" s="119" t="s">
        <v>41392</v>
      </c>
      <c r="C9104" s="120" t="s">
        <v>40553</v>
      </c>
      <c r="D9104" s="33" t="s">
        <v>41393</v>
      </c>
      <c r="F9104" s="121" t="s">
        <v>2756</v>
      </c>
      <c r="G9104" s="98" t="str">
        <f>HYPERLINK("http://mirror.ff7data.com.ar/ff7/data/battle/battle.lgp/praa.png","View Picture")</f>
        <v>View Picture</v>
      </c>
    </row>
    <row r="9105">
      <c r="A9105" s="55"/>
      <c r="B9105" s="119" t="s">
        <v>41394</v>
      </c>
      <c r="C9105" s="120" t="s">
        <v>40556</v>
      </c>
      <c r="D9105" s="31"/>
      <c r="F9105" s="121" t="s">
        <v>2993</v>
      </c>
    </row>
    <row r="9106">
      <c r="A9106" s="55"/>
      <c r="B9106" s="119" t="s">
        <v>41395</v>
      </c>
      <c r="C9106" s="120" t="s">
        <v>26104</v>
      </c>
      <c r="D9106" s="31"/>
      <c r="F9106" s="121" t="s">
        <v>1348</v>
      </c>
      <c r="G9106" s="98" t="str">
        <f>HYPERLINK("http://mirror.ff7data.com.ar/ff7/data/battle/battle.lgp/prac.png","View Picture")</f>
        <v>View Picture</v>
      </c>
    </row>
    <row r="9107">
      <c r="A9107" s="55"/>
      <c r="B9107" s="119" t="s">
        <v>41396</v>
      </c>
      <c r="C9107" s="120" t="s">
        <v>7471</v>
      </c>
      <c r="D9107" s="31"/>
      <c r="F9107" s="121" t="s">
        <v>1348</v>
      </c>
      <c r="G9107" s="98" t="str">
        <f>HYPERLINK("http://mirror.ff7data.com.ar/ff7/data/battle/battle.lgp/prad.png","View Picture")</f>
        <v>View Picture</v>
      </c>
    </row>
    <row r="9108">
      <c r="A9108" s="55"/>
      <c r="B9108" s="119" t="s">
        <v>41397</v>
      </c>
      <c r="C9108" s="120" t="s">
        <v>26095</v>
      </c>
      <c r="D9108" s="31"/>
      <c r="F9108" s="121" t="s">
        <v>1348</v>
      </c>
      <c r="G9108" s="98" t="str">
        <f>HYPERLINK("http://mirror.ff7data.com.ar/ff7/data/battle/battle.lgp/prae.png","View Picture")</f>
        <v>View Picture</v>
      </c>
    </row>
    <row r="9109">
      <c r="A9109" s="55"/>
      <c r="B9109" s="119" t="s">
        <v>41398</v>
      </c>
      <c r="C9109" s="120" t="s">
        <v>26095</v>
      </c>
      <c r="D9109" s="31"/>
      <c r="F9109" s="121" t="s">
        <v>1348</v>
      </c>
      <c r="G9109" s="98" t="str">
        <f>HYPERLINK("http://mirror.ff7data.com.ar/ff7/data/battle/battle.lgp/praf.png","View Picture")</f>
        <v>View Picture</v>
      </c>
    </row>
    <row r="9110">
      <c r="A9110" s="55"/>
      <c r="B9110" s="119" t="s">
        <v>41399</v>
      </c>
      <c r="C9110" s="120" t="s">
        <v>26095</v>
      </c>
      <c r="D9110" s="31"/>
      <c r="F9110" s="121" t="s">
        <v>1348</v>
      </c>
      <c r="G9110" s="98" t="str">
        <f>HYPERLINK("http://mirror.ff7data.com.ar/ff7/data/battle/battle.lgp/prag.png","View Picture")</f>
        <v>View Picture</v>
      </c>
    </row>
    <row r="9111">
      <c r="A9111" s="55"/>
      <c r="B9111" s="119" t="s">
        <v>41400</v>
      </c>
      <c r="C9111" s="120" t="s">
        <v>6018</v>
      </c>
      <c r="D9111" s="31"/>
      <c r="F9111" s="121" t="s">
        <v>1348</v>
      </c>
      <c r="G9111" s="98" t="str">
        <f>HYPERLINK("http://mirror.ff7data.com.ar/ff7/data/battle/battle.lgp/prah.png","View Picture")</f>
        <v>View Picture</v>
      </c>
    </row>
    <row r="9112">
      <c r="A9112" s="55"/>
      <c r="B9112" s="119" t="s">
        <v>41401</v>
      </c>
      <c r="C9112" s="120" t="s">
        <v>6018</v>
      </c>
      <c r="D9112" s="31"/>
      <c r="F9112" s="121" t="s">
        <v>1348</v>
      </c>
      <c r="G9112" s="98" t="str">
        <f>HYPERLINK("http://mirror.ff7data.com.ar/ff7/data/battle/battle.lgp/prai.png","View Picture")</f>
        <v>View Picture</v>
      </c>
    </row>
    <row r="9113">
      <c r="A9113" s="55"/>
      <c r="B9113" s="119" t="s">
        <v>41402</v>
      </c>
      <c r="C9113" s="120" t="s">
        <v>6018</v>
      </c>
      <c r="D9113" s="31"/>
      <c r="F9113" s="121" t="s">
        <v>1348</v>
      </c>
      <c r="G9113" s="98" t="str">
        <f>HYPERLINK("http://mirror.ff7data.com.ar/ff7/data/battle/battle.lgp/praj.png","View Picture")</f>
        <v>View Picture</v>
      </c>
    </row>
    <row r="9114">
      <c r="A9114" s="55"/>
      <c r="B9114" s="119" t="s">
        <v>41403</v>
      </c>
      <c r="C9114" s="120" t="s">
        <v>4191</v>
      </c>
      <c r="D9114" s="31"/>
      <c r="F9114" s="121" t="s">
        <v>3009</v>
      </c>
      <c r="G9114" s="98" t="str">
        <f>HYPERLINK("http://mirror.ff7data.com.ar/ff7/data/battle/battle.lgp/pram.png","View Picture")</f>
        <v>View Picture</v>
      </c>
    </row>
    <row r="9115">
      <c r="A9115" s="55"/>
      <c r="B9115" s="119" t="s">
        <v>41404</v>
      </c>
      <c r="C9115" s="120" t="s">
        <v>4846</v>
      </c>
      <c r="D9115" s="31"/>
      <c r="F9115" s="121" t="s">
        <v>3009</v>
      </c>
      <c r="G9115" s="98" t="str">
        <f>HYPERLINK("http://mirror.ff7data.com.ar/ff7/data/battle/battle.lgp/pran.png","View Picture")</f>
        <v>View Picture</v>
      </c>
    </row>
    <row r="9116">
      <c r="A9116" s="55"/>
      <c r="B9116" s="119" t="s">
        <v>41405</v>
      </c>
      <c r="C9116" s="120" t="s">
        <v>4846</v>
      </c>
      <c r="D9116" s="31"/>
      <c r="F9116" s="121" t="s">
        <v>3009</v>
      </c>
      <c r="G9116" s="98" t="str">
        <f>HYPERLINK("http://mirror.ff7data.com.ar/ff7/data/battle/battle.lgp/prao.png","View Picture")</f>
        <v>View Picture</v>
      </c>
    </row>
    <row r="9117">
      <c r="A9117" s="55"/>
      <c r="B9117" s="119" t="s">
        <v>41406</v>
      </c>
      <c r="C9117" s="120" t="s">
        <v>4846</v>
      </c>
      <c r="D9117" s="31"/>
      <c r="F9117" s="121" t="s">
        <v>3009</v>
      </c>
      <c r="G9117" s="98" t="str">
        <f>HYPERLINK("http://mirror.ff7data.com.ar/ff7/data/battle/battle.lgp/prap.png","View Picture")</f>
        <v>View Picture</v>
      </c>
    </row>
    <row r="9118">
      <c r="A9118" s="55"/>
      <c r="B9118" s="119" t="s">
        <v>41407</v>
      </c>
      <c r="C9118" s="120" t="s">
        <v>3519</v>
      </c>
      <c r="D9118" s="31"/>
      <c r="F9118" s="121" t="s">
        <v>3009</v>
      </c>
      <c r="G9118" s="98" t="str">
        <f>HYPERLINK("http://mirror.ff7data.com.ar/ff7/data/battle/battle.lgp/praq.png","View Picture")</f>
        <v>View Picture</v>
      </c>
    </row>
    <row r="9119">
      <c r="A9119" s="55"/>
      <c r="B9119" s="119" t="s">
        <v>41408</v>
      </c>
      <c r="C9119" s="120" t="s">
        <v>9041</v>
      </c>
      <c r="D9119" s="31"/>
      <c r="F9119" s="121" t="s">
        <v>3009</v>
      </c>
      <c r="G9119" s="98" t="str">
        <f>HYPERLINK("http://mirror.ff7data.com.ar/ff7/data/battle/battle.lgp/prar.png","View Picture")</f>
        <v>View Picture</v>
      </c>
    </row>
    <row r="9120">
      <c r="A9120" s="55"/>
      <c r="B9120" s="119" t="s">
        <v>41409</v>
      </c>
      <c r="C9120" s="120" t="s">
        <v>8376</v>
      </c>
      <c r="D9120" s="31"/>
      <c r="F9120" s="121" t="s">
        <v>3009</v>
      </c>
      <c r="G9120" s="98" t="str">
        <f>HYPERLINK("http://mirror.ff7data.com.ar/ff7/data/battle/battle.lgp/pras.png","View Picture")</f>
        <v>View Picture</v>
      </c>
    </row>
    <row r="9121">
      <c r="A9121" s="55"/>
      <c r="B9121" s="119" t="s">
        <v>41410</v>
      </c>
      <c r="C9121" s="120" t="s">
        <v>6010</v>
      </c>
      <c r="D9121" s="31"/>
      <c r="F9121" s="121" t="s">
        <v>3009</v>
      </c>
      <c r="G9121" s="98" t="str">
        <f>HYPERLINK("http://mirror.ff7data.com.ar/ff7/data/battle/battle.lgp/prat.png","View Picture")</f>
        <v>View Picture</v>
      </c>
    </row>
    <row r="9122">
      <c r="A9122" s="55"/>
      <c r="B9122" s="119" t="s">
        <v>41411</v>
      </c>
      <c r="C9122" s="120" t="s">
        <v>5891</v>
      </c>
      <c r="D9122" s="31"/>
      <c r="F9122" s="121" t="s">
        <v>3009</v>
      </c>
      <c r="G9122" s="98" t="str">
        <f>HYPERLINK("http://mirror.ff7data.com.ar/ff7/data/battle/battle.lgp/prau.png","View Picture")</f>
        <v>View Picture</v>
      </c>
    </row>
    <row r="9123">
      <c r="A9123" s="55"/>
      <c r="B9123" s="119" t="s">
        <v>41412</v>
      </c>
      <c r="C9123" s="120" t="s">
        <v>3614</v>
      </c>
      <c r="D9123" s="31"/>
      <c r="F9123" s="121" t="s">
        <v>3009</v>
      </c>
      <c r="G9123" s="98" t="str">
        <f>HYPERLINK("http://mirror.ff7data.com.ar/ff7/data/battle/battle.lgp/prav.png","View Picture")</f>
        <v>View Picture</v>
      </c>
    </row>
    <row r="9124">
      <c r="A9124" s="55"/>
      <c r="B9124" s="119" t="s">
        <v>41413</v>
      </c>
      <c r="C9124" s="120" t="s">
        <v>7129</v>
      </c>
      <c r="D9124" s="31"/>
      <c r="F9124" s="121" t="s">
        <v>3009</v>
      </c>
      <c r="G9124" s="98" t="str">
        <f>HYPERLINK("http://mirror.ff7data.com.ar/ff7/data/battle/battle.lgp/praw.png","View Picture")</f>
        <v>View Picture</v>
      </c>
    </row>
    <row r="9125">
      <c r="A9125" s="55"/>
      <c r="B9125" s="119" t="s">
        <v>41414</v>
      </c>
      <c r="C9125" s="120" t="s">
        <v>7270</v>
      </c>
      <c r="D9125" s="31"/>
      <c r="F9125" s="121" t="s">
        <v>3009</v>
      </c>
      <c r="G9125" s="98" t="str">
        <f>HYPERLINK("http://mirror.ff7data.com.ar/ff7/data/battle/battle.lgp/prax.png","View Picture")</f>
        <v>View Picture</v>
      </c>
    </row>
    <row r="9126">
      <c r="A9126" s="55"/>
      <c r="B9126" s="119" t="s">
        <v>41415</v>
      </c>
      <c r="C9126" s="120" t="s">
        <v>4288</v>
      </c>
      <c r="D9126" s="31"/>
      <c r="F9126" s="121" t="s">
        <v>3009</v>
      </c>
      <c r="G9126" s="98" t="str">
        <f>HYPERLINK("http://mirror.ff7data.com.ar/ff7/data/battle/battle.lgp/pray.png","View Picture")</f>
        <v>View Picture</v>
      </c>
    </row>
    <row r="9127">
      <c r="A9127" s="55"/>
      <c r="B9127" s="119" t="s">
        <v>41416</v>
      </c>
      <c r="C9127" s="120" t="s">
        <v>7871</v>
      </c>
      <c r="D9127" s="31"/>
      <c r="F9127" s="121" t="s">
        <v>3009</v>
      </c>
      <c r="G9127" s="98" t="str">
        <f>HYPERLINK("http://mirror.ff7data.com.ar/ff7/data/battle/battle.lgp/praz.png","View Picture")</f>
        <v>View Picture</v>
      </c>
    </row>
    <row r="9128">
      <c r="A9128" s="79"/>
      <c r="B9128" s="119" t="s">
        <v>41417</v>
      </c>
      <c r="C9128" s="120" t="s">
        <v>40553</v>
      </c>
      <c r="D9128" s="33" t="s">
        <v>41418</v>
      </c>
      <c r="F9128" s="121" t="s">
        <v>2756</v>
      </c>
      <c r="G9128" s="98" t="str">
        <f>HYPERLINK("http://mirror.ff7data.com.ar/ff7/data/battle/battle.lgp/psaa.png","View Picture")</f>
        <v>View Picture</v>
      </c>
    </row>
    <row r="9129">
      <c r="A9129" s="55"/>
      <c r="B9129" s="119" t="s">
        <v>41419</v>
      </c>
      <c r="C9129" s="120" t="s">
        <v>40556</v>
      </c>
      <c r="D9129" s="31"/>
      <c r="F9129" s="121" t="s">
        <v>2993</v>
      </c>
    </row>
    <row r="9130">
      <c r="A9130" s="55"/>
      <c r="B9130" s="119" t="s">
        <v>41420</v>
      </c>
      <c r="C9130" s="120" t="s">
        <v>26104</v>
      </c>
      <c r="D9130" s="31"/>
      <c r="F9130" s="121" t="s">
        <v>1348</v>
      </c>
      <c r="G9130" s="98" t="str">
        <f>HYPERLINK("http://mirror.ff7data.com.ar/ff7/data/battle/battle.lgp/psac.png","View Picture")</f>
        <v>View Picture</v>
      </c>
    </row>
    <row r="9131">
      <c r="A9131" s="55"/>
      <c r="B9131" s="119" t="s">
        <v>41421</v>
      </c>
      <c r="C9131" s="120" t="s">
        <v>26095</v>
      </c>
      <c r="D9131" s="31"/>
      <c r="F9131" s="121" t="s">
        <v>1348</v>
      </c>
      <c r="G9131" s="98" t="str">
        <f>HYPERLINK("http://mirror.ff7data.com.ar/ff7/data/battle/battle.lgp/psad.png","View Picture")</f>
        <v>View Picture</v>
      </c>
    </row>
    <row r="9132">
      <c r="A9132" s="55"/>
      <c r="B9132" s="119" t="s">
        <v>41422</v>
      </c>
      <c r="C9132" s="120" t="s">
        <v>7471</v>
      </c>
      <c r="D9132" s="31"/>
      <c r="F9132" s="121" t="s">
        <v>1348</v>
      </c>
      <c r="G9132" s="98" t="str">
        <f>HYPERLINK("http://mirror.ff7data.com.ar/ff7/data/battle/battle.lgp/psae.png","View Picture")</f>
        <v>View Picture</v>
      </c>
    </row>
    <row r="9133">
      <c r="A9133" s="55"/>
      <c r="B9133" s="119" t="s">
        <v>41423</v>
      </c>
      <c r="C9133" s="120" t="s">
        <v>6018</v>
      </c>
      <c r="D9133" s="31"/>
      <c r="F9133" s="121" t="s">
        <v>1348</v>
      </c>
      <c r="G9133" s="98" t="str">
        <f>HYPERLINK("http://mirror.ff7data.com.ar/ff7/data/battle/battle.lgp/psaf.png","View Picture")</f>
        <v>View Picture</v>
      </c>
    </row>
    <row r="9134">
      <c r="A9134" s="55"/>
      <c r="B9134" s="119" t="s">
        <v>41424</v>
      </c>
      <c r="C9134" s="120" t="s">
        <v>26095</v>
      </c>
      <c r="D9134" s="31"/>
      <c r="F9134" s="121" t="s">
        <v>1348</v>
      </c>
      <c r="G9134" s="98" t="str">
        <f>HYPERLINK("http://mirror.ff7data.com.ar/ff7/data/battle/battle.lgp/psag.png","View Picture")</f>
        <v>View Picture</v>
      </c>
    </row>
    <row r="9135">
      <c r="A9135" s="55"/>
      <c r="B9135" s="119" t="s">
        <v>41425</v>
      </c>
      <c r="C9135" s="120" t="s">
        <v>6018</v>
      </c>
      <c r="D9135" s="31"/>
      <c r="F9135" s="121" t="s">
        <v>1348</v>
      </c>
      <c r="G9135" s="98" t="str">
        <f>HYPERLINK("http://mirror.ff7data.com.ar/ff7/data/battle/battle.lgp/psah.png","View Picture")</f>
        <v>View Picture</v>
      </c>
    </row>
    <row r="9136">
      <c r="A9136" s="55"/>
      <c r="B9136" s="119" t="s">
        <v>41426</v>
      </c>
      <c r="C9136" s="120" t="s">
        <v>26095</v>
      </c>
      <c r="D9136" s="31"/>
      <c r="F9136" s="121" t="s">
        <v>1348</v>
      </c>
      <c r="G9136" s="98" t="str">
        <f>HYPERLINK("http://mirror.ff7data.com.ar/ff7/data/battle/battle.lgp/psai.png","View Picture")</f>
        <v>View Picture</v>
      </c>
    </row>
    <row r="9137">
      <c r="A9137" s="55"/>
      <c r="B9137" s="119" t="s">
        <v>41427</v>
      </c>
      <c r="C9137" s="120" t="s">
        <v>26095</v>
      </c>
      <c r="D9137" s="31"/>
      <c r="F9137" s="121" t="s">
        <v>1348</v>
      </c>
      <c r="G9137" s="98" t="str">
        <f>HYPERLINK("http://mirror.ff7data.com.ar/ff7/data/battle/battle.lgp/psaj.png","View Picture")</f>
        <v>View Picture</v>
      </c>
    </row>
    <row r="9138">
      <c r="A9138" s="55"/>
      <c r="B9138" s="119" t="s">
        <v>41428</v>
      </c>
      <c r="C9138" s="120" t="s">
        <v>9441</v>
      </c>
      <c r="D9138" s="31"/>
      <c r="F9138" s="121" t="s">
        <v>3009</v>
      </c>
      <c r="G9138" s="98" t="str">
        <f>HYPERLINK("http://mirror.ff7data.com.ar/ff7/data/battle/battle.lgp/psam.png","View Picture")</f>
        <v>View Picture</v>
      </c>
    </row>
    <row r="9139">
      <c r="A9139" s="55"/>
      <c r="B9139" s="119" t="s">
        <v>41429</v>
      </c>
      <c r="C9139" s="120" t="s">
        <v>3768</v>
      </c>
      <c r="D9139" s="31"/>
      <c r="F9139" s="121" t="s">
        <v>3009</v>
      </c>
      <c r="G9139" s="98" t="str">
        <f>HYPERLINK("http://mirror.ff7data.com.ar/ff7/data/battle/battle.lgp/psan.png","View Picture")</f>
        <v>View Picture</v>
      </c>
    </row>
    <row r="9140">
      <c r="A9140" s="55"/>
      <c r="B9140" s="119" t="s">
        <v>41430</v>
      </c>
      <c r="C9140" s="120" t="s">
        <v>7270</v>
      </c>
      <c r="D9140" s="31"/>
      <c r="F9140" s="121" t="s">
        <v>3009</v>
      </c>
      <c r="G9140" s="98" t="str">
        <f>HYPERLINK("http://mirror.ff7data.com.ar/ff7/data/battle/battle.lgp/psao.png","View Picture")</f>
        <v>View Picture</v>
      </c>
    </row>
    <row r="9141">
      <c r="A9141" s="55"/>
      <c r="B9141" s="119" t="s">
        <v>41431</v>
      </c>
      <c r="C9141" s="120" t="s">
        <v>4846</v>
      </c>
      <c r="D9141" s="31"/>
      <c r="F9141" s="121" t="s">
        <v>3009</v>
      </c>
      <c r="G9141" s="98" t="str">
        <f>HYPERLINK("http://mirror.ff7data.com.ar/ff7/data/battle/battle.lgp/psap.png","View Picture")</f>
        <v>View Picture</v>
      </c>
    </row>
    <row r="9142">
      <c r="A9142" s="55"/>
      <c r="B9142" s="119" t="s">
        <v>41432</v>
      </c>
      <c r="C9142" s="120" t="s">
        <v>3853</v>
      </c>
      <c r="D9142" s="31"/>
      <c r="F9142" s="121" t="s">
        <v>3009</v>
      </c>
      <c r="G9142" s="98" t="str">
        <f>HYPERLINK("http://mirror.ff7data.com.ar/ff7/data/battle/battle.lgp/psaq.png","View Picture")</f>
        <v>View Picture</v>
      </c>
    </row>
    <row r="9143">
      <c r="A9143" s="55"/>
      <c r="B9143" s="119" t="s">
        <v>41433</v>
      </c>
      <c r="C9143" s="120" t="s">
        <v>4057</v>
      </c>
      <c r="D9143" s="31"/>
      <c r="F9143" s="121" t="s">
        <v>3009</v>
      </c>
      <c r="G9143" s="98" t="str">
        <f>HYPERLINK("http://mirror.ff7data.com.ar/ff7/data/battle/battle.lgp/psar.png","View Picture")</f>
        <v>View Picture</v>
      </c>
    </row>
    <row r="9144">
      <c r="A9144" s="55"/>
      <c r="B9144" s="119" t="s">
        <v>41434</v>
      </c>
      <c r="C9144" s="120" t="s">
        <v>3853</v>
      </c>
      <c r="D9144" s="31"/>
      <c r="F9144" s="121" t="s">
        <v>3009</v>
      </c>
      <c r="G9144" s="98" t="str">
        <f>HYPERLINK("http://mirror.ff7data.com.ar/ff7/data/battle/battle.lgp/psas.png","View Picture")</f>
        <v>View Picture</v>
      </c>
    </row>
    <row r="9145">
      <c r="A9145" s="55"/>
      <c r="B9145" s="119" t="s">
        <v>41435</v>
      </c>
      <c r="C9145" s="120" t="s">
        <v>5419</v>
      </c>
      <c r="D9145" s="31"/>
      <c r="F9145" s="121" t="s">
        <v>3009</v>
      </c>
      <c r="G9145" s="98" t="str">
        <f>HYPERLINK("http://mirror.ff7data.com.ar/ff7/data/battle/battle.lgp/psat.png","View Picture")</f>
        <v>View Picture</v>
      </c>
    </row>
    <row r="9146">
      <c r="A9146" s="55"/>
      <c r="B9146" s="119" t="s">
        <v>41436</v>
      </c>
      <c r="C9146" s="120" t="s">
        <v>4476</v>
      </c>
      <c r="D9146" s="31"/>
      <c r="F9146" s="121" t="s">
        <v>3009</v>
      </c>
      <c r="G9146" s="98" t="str">
        <f>HYPERLINK("http://mirror.ff7data.com.ar/ff7/data/battle/battle.lgp/psau.png","View Picture")</f>
        <v>View Picture</v>
      </c>
    </row>
    <row r="9147">
      <c r="A9147" s="55"/>
      <c r="B9147" s="119" t="s">
        <v>41437</v>
      </c>
      <c r="C9147" s="120" t="s">
        <v>9600</v>
      </c>
      <c r="D9147" s="31"/>
      <c r="F9147" s="121" t="s">
        <v>3009</v>
      </c>
      <c r="G9147" s="98" t="str">
        <f>HYPERLINK("http://mirror.ff7data.com.ar/ff7/data/battle/battle.lgp/psav.png","View Picture")</f>
        <v>View Picture</v>
      </c>
    </row>
    <row r="9148">
      <c r="A9148" s="55"/>
      <c r="B9148" s="119" t="s">
        <v>41438</v>
      </c>
      <c r="C9148" s="120" t="s">
        <v>5891</v>
      </c>
      <c r="D9148" s="31"/>
      <c r="F9148" s="121" t="s">
        <v>3009</v>
      </c>
      <c r="G9148" s="98" t="str">
        <f>HYPERLINK("http://mirror.ff7data.com.ar/ff7/data/battle/battle.lgp/psaw.png","View Picture")</f>
        <v>View Picture</v>
      </c>
    </row>
    <row r="9149">
      <c r="A9149" s="55"/>
      <c r="B9149" s="119" t="s">
        <v>41439</v>
      </c>
      <c r="C9149" s="120" t="s">
        <v>3573</v>
      </c>
      <c r="D9149" s="31"/>
      <c r="F9149" s="121" t="s">
        <v>3009</v>
      </c>
      <c r="G9149" s="98" t="str">
        <f>HYPERLINK("http://mirror.ff7data.com.ar/ff7/data/battle/battle.lgp/psax.png","View Picture")</f>
        <v>View Picture</v>
      </c>
    </row>
    <row r="9150">
      <c r="A9150" s="55"/>
      <c r="B9150" s="119" t="s">
        <v>41440</v>
      </c>
      <c r="C9150" s="120" t="s">
        <v>4046</v>
      </c>
      <c r="D9150" s="31"/>
      <c r="F9150" s="121" t="s">
        <v>3009</v>
      </c>
      <c r="G9150" s="98" t="str">
        <f>HYPERLINK("http://mirror.ff7data.com.ar/ff7/data/battle/battle.lgp/psay.png","View Picture")</f>
        <v>View Picture</v>
      </c>
    </row>
    <row r="9151">
      <c r="A9151" s="79"/>
      <c r="B9151" s="119" t="s">
        <v>41441</v>
      </c>
      <c r="C9151" s="120" t="s">
        <v>40553</v>
      </c>
      <c r="D9151" s="33" t="s">
        <v>41442</v>
      </c>
      <c r="F9151" s="121" t="s">
        <v>2756</v>
      </c>
      <c r="G9151" s="98" t="str">
        <f>HYPERLINK("http://mirror.ff7data.com.ar/ff7/data/battle/battle.lgp/ptaa.png","View Picture")</f>
        <v>View Picture</v>
      </c>
    </row>
    <row r="9152">
      <c r="A9152" s="55"/>
      <c r="B9152" s="119" t="s">
        <v>41443</v>
      </c>
      <c r="C9152" s="120" t="s">
        <v>40556</v>
      </c>
      <c r="D9152" s="31"/>
      <c r="F9152" s="121" t="s">
        <v>2993</v>
      </c>
    </row>
    <row r="9153">
      <c r="A9153" s="55"/>
      <c r="B9153" s="119" t="s">
        <v>41444</v>
      </c>
      <c r="C9153" s="120" t="s">
        <v>26104</v>
      </c>
      <c r="D9153" s="31"/>
      <c r="F9153" s="121" t="s">
        <v>1348</v>
      </c>
      <c r="G9153" s="98" t="str">
        <f>HYPERLINK("http://mirror.ff7data.com.ar/ff7/data/battle/battle.lgp/ptac.png","View Picture")</f>
        <v>View Picture</v>
      </c>
    </row>
    <row r="9154">
      <c r="A9154" s="55"/>
      <c r="B9154" s="119" t="s">
        <v>41445</v>
      </c>
      <c r="C9154" s="120" t="s">
        <v>26104</v>
      </c>
      <c r="D9154" s="31"/>
      <c r="F9154" s="121" t="s">
        <v>1348</v>
      </c>
      <c r="G9154" s="98" t="str">
        <f>HYPERLINK("http://mirror.ff7data.com.ar/ff7/data/battle/battle.lgp/ptad.png","View Picture")</f>
        <v>View Picture</v>
      </c>
    </row>
    <row r="9155">
      <c r="A9155" s="55"/>
      <c r="B9155" s="119" t="s">
        <v>41446</v>
      </c>
      <c r="C9155" s="120" t="s">
        <v>6018</v>
      </c>
      <c r="D9155" s="31"/>
      <c r="F9155" s="121" t="s">
        <v>1348</v>
      </c>
      <c r="G9155" s="98" t="str">
        <f>HYPERLINK("http://mirror.ff7data.com.ar/ff7/data/battle/battle.lgp/ptae.png","View Picture")</f>
        <v>View Picture</v>
      </c>
    </row>
    <row r="9156">
      <c r="A9156" s="55"/>
      <c r="B9156" s="119" t="s">
        <v>41447</v>
      </c>
      <c r="C9156" s="120" t="s">
        <v>26095</v>
      </c>
      <c r="D9156" s="31"/>
      <c r="F9156" s="121" t="s">
        <v>1348</v>
      </c>
      <c r="G9156" s="98" t="str">
        <f>HYPERLINK("http://mirror.ff7data.com.ar/ff7/data/battle/battle.lgp/ptaf.png","View Picture")</f>
        <v>View Picture</v>
      </c>
    </row>
    <row r="9157">
      <c r="A9157" s="55"/>
      <c r="B9157" s="119" t="s">
        <v>41448</v>
      </c>
      <c r="C9157" s="120" t="s">
        <v>6018</v>
      </c>
      <c r="D9157" s="31"/>
      <c r="F9157" s="121" t="s">
        <v>1348</v>
      </c>
      <c r="G9157" s="98" t="str">
        <f>HYPERLINK("http://mirror.ff7data.com.ar/ff7/data/battle/battle.lgp/ptag.png","View Picture")</f>
        <v>View Picture</v>
      </c>
    </row>
    <row r="9158">
      <c r="A9158" s="55"/>
      <c r="B9158" s="119" t="s">
        <v>41449</v>
      </c>
      <c r="C9158" s="120" t="s">
        <v>26095</v>
      </c>
      <c r="D9158" s="31"/>
      <c r="F9158" s="121" t="s">
        <v>1348</v>
      </c>
      <c r="G9158" s="98" t="str">
        <f>HYPERLINK("http://mirror.ff7data.com.ar/ff7/data/battle/battle.lgp/ptah.png","View Picture")</f>
        <v>View Picture</v>
      </c>
    </row>
    <row r="9159">
      <c r="A9159" s="55"/>
      <c r="B9159" s="119" t="s">
        <v>41450</v>
      </c>
      <c r="C9159" s="120" t="s">
        <v>8550</v>
      </c>
      <c r="D9159" s="31"/>
      <c r="F9159" s="121" t="s">
        <v>3009</v>
      </c>
      <c r="G9159" s="98" t="str">
        <f>HYPERLINK("http://mirror.ff7data.com.ar/ff7/data/battle/battle.lgp/ptam.png","View Picture")</f>
        <v>View Picture</v>
      </c>
    </row>
    <row r="9160">
      <c r="A9160" s="55"/>
      <c r="B9160" s="119" t="s">
        <v>41451</v>
      </c>
      <c r="C9160" s="120" t="s">
        <v>3768</v>
      </c>
      <c r="D9160" s="31"/>
      <c r="F9160" s="121" t="s">
        <v>3009</v>
      </c>
      <c r="G9160" s="98" t="str">
        <f>HYPERLINK("http://mirror.ff7data.com.ar/ff7/data/battle/battle.lgp/ptan.png","View Picture")</f>
        <v>View Picture</v>
      </c>
    </row>
    <row r="9161">
      <c r="A9161" s="55"/>
      <c r="B9161" s="119" t="s">
        <v>41452</v>
      </c>
      <c r="C9161" s="120" t="s">
        <v>7270</v>
      </c>
      <c r="D9161" s="31"/>
      <c r="F9161" s="121" t="s">
        <v>3009</v>
      </c>
      <c r="G9161" s="98" t="str">
        <f>HYPERLINK("http://mirror.ff7data.com.ar/ff7/data/battle/battle.lgp/ptao.png","View Picture")</f>
        <v>View Picture</v>
      </c>
    </row>
    <row r="9162">
      <c r="A9162" s="55"/>
      <c r="B9162" s="119" t="s">
        <v>41453</v>
      </c>
      <c r="C9162" s="120" t="s">
        <v>4846</v>
      </c>
      <c r="D9162" s="31"/>
      <c r="F9162" s="121" t="s">
        <v>3009</v>
      </c>
      <c r="G9162" s="98" t="str">
        <f>HYPERLINK("http://mirror.ff7data.com.ar/ff7/data/battle/battle.lgp/ptap.png","View Picture")</f>
        <v>View Picture</v>
      </c>
    </row>
    <row r="9163">
      <c r="A9163" s="55"/>
      <c r="B9163" s="119" t="s">
        <v>41454</v>
      </c>
      <c r="C9163" s="120" t="s">
        <v>3412</v>
      </c>
      <c r="D9163" s="31"/>
      <c r="F9163" s="121" t="s">
        <v>3009</v>
      </c>
      <c r="G9163" s="98" t="str">
        <f>HYPERLINK("http://mirror.ff7data.com.ar/ff7/data/battle/battle.lgp/ptaq.png","View Picture")</f>
        <v>View Picture</v>
      </c>
    </row>
    <row r="9164">
      <c r="A9164" s="55"/>
      <c r="B9164" s="119" t="s">
        <v>41455</v>
      </c>
      <c r="C9164" s="120" t="s">
        <v>4057</v>
      </c>
      <c r="D9164" s="31"/>
      <c r="F9164" s="121" t="s">
        <v>3009</v>
      </c>
      <c r="G9164" s="98" t="str">
        <f>HYPERLINK("http://mirror.ff7data.com.ar/ff7/data/battle/battle.lgp/ptar.png","View Picture")</f>
        <v>View Picture</v>
      </c>
    </row>
    <row r="9165">
      <c r="A9165" s="55"/>
      <c r="B9165" s="119" t="s">
        <v>41456</v>
      </c>
      <c r="C9165" s="120" t="s">
        <v>4057</v>
      </c>
      <c r="D9165" s="31"/>
      <c r="F9165" s="121" t="s">
        <v>3009</v>
      </c>
      <c r="G9165" s="98" t="str">
        <f>HYPERLINK("http://mirror.ff7data.com.ar/ff7/data/battle/battle.lgp/ptas.png","View Picture")</f>
        <v>View Picture</v>
      </c>
    </row>
    <row r="9166">
      <c r="A9166" s="55"/>
      <c r="B9166" s="119" t="s">
        <v>41457</v>
      </c>
      <c r="C9166" s="120" t="s">
        <v>3355</v>
      </c>
      <c r="D9166" s="31"/>
      <c r="F9166" s="121" t="s">
        <v>3009</v>
      </c>
      <c r="G9166" s="98" t="str">
        <f>HYPERLINK("http://mirror.ff7data.com.ar/ff7/data/battle/battle.lgp/ptat.png","View Picture")</f>
        <v>View Picture</v>
      </c>
    </row>
    <row r="9167">
      <c r="A9167" s="55"/>
      <c r="B9167" s="119" t="s">
        <v>41458</v>
      </c>
      <c r="C9167" s="120" t="s">
        <v>4357</v>
      </c>
      <c r="D9167" s="31"/>
      <c r="F9167" s="121" t="s">
        <v>3009</v>
      </c>
      <c r="G9167" s="98" t="str">
        <f>HYPERLINK("http://mirror.ff7data.com.ar/ff7/data/battle/battle.lgp/ptau.png","View Picture")</f>
        <v>View Picture</v>
      </c>
    </row>
    <row r="9168">
      <c r="A9168" s="55"/>
      <c r="B9168" s="119" t="s">
        <v>41459</v>
      </c>
      <c r="C9168" s="120" t="s">
        <v>4185</v>
      </c>
      <c r="D9168" s="31"/>
      <c r="F9168" s="121" t="s">
        <v>3009</v>
      </c>
      <c r="G9168" s="98" t="str">
        <f>HYPERLINK("http://mirror.ff7data.com.ar/ff7/data/battle/battle.lgp/ptav.png","View Picture")</f>
        <v>View Picture</v>
      </c>
    </row>
    <row r="9169">
      <c r="A9169" s="55"/>
      <c r="B9169" s="119" t="s">
        <v>41460</v>
      </c>
      <c r="C9169" s="120" t="s">
        <v>41461</v>
      </c>
      <c r="D9169" s="31"/>
      <c r="F9169" s="121" t="s">
        <v>3009</v>
      </c>
      <c r="G9169" s="98" t="str">
        <f>HYPERLINK("http://mirror.ff7data.com.ar/ff7/data/battle/battle.lgp/ptaw.png","View Picture")</f>
        <v>View Picture</v>
      </c>
    </row>
    <row r="9170">
      <c r="A9170" s="55"/>
      <c r="B9170" s="119" t="s">
        <v>41462</v>
      </c>
      <c r="C9170" s="120" t="s">
        <v>20274</v>
      </c>
      <c r="D9170" s="31"/>
      <c r="F9170" s="121" t="s">
        <v>3009</v>
      </c>
      <c r="G9170" s="98" t="str">
        <f>HYPERLINK("http://mirror.ff7data.com.ar/ff7/data/battle/battle.lgp/ptax.png","View Picture")</f>
        <v>View Picture</v>
      </c>
    </row>
    <row r="9171">
      <c r="A9171" s="55"/>
      <c r="B9171" s="119" t="s">
        <v>41463</v>
      </c>
      <c r="C9171" s="120" t="s">
        <v>4288</v>
      </c>
      <c r="D9171" s="31"/>
      <c r="F9171" s="121" t="s">
        <v>3009</v>
      </c>
      <c r="G9171" s="98" t="str">
        <f>HYPERLINK("http://mirror.ff7data.com.ar/ff7/data/battle/battle.lgp/ptay.png","View Picture")</f>
        <v>View Picture</v>
      </c>
    </row>
    <row r="9172">
      <c r="A9172" s="55"/>
      <c r="B9172" s="119" t="s">
        <v>41464</v>
      </c>
      <c r="C9172" s="120" t="s">
        <v>4396</v>
      </c>
      <c r="D9172" s="31"/>
      <c r="F9172" s="121" t="s">
        <v>3009</v>
      </c>
      <c r="G9172" s="98" t="str">
        <f>HYPERLINK("http://mirror.ff7data.com.ar/ff7/data/battle/battle.lgp/ptaz.png","View Picture")</f>
        <v>View Picture</v>
      </c>
    </row>
    <row r="9173">
      <c r="A9173" s="55"/>
      <c r="B9173" s="119" t="s">
        <v>41465</v>
      </c>
      <c r="C9173" s="120" t="s">
        <v>3768</v>
      </c>
      <c r="D9173" s="31"/>
      <c r="F9173" s="121" t="s">
        <v>3009</v>
      </c>
      <c r="G9173" s="98" t="str">
        <f>HYPERLINK("http://mirror.ff7data.com.ar/ff7/data/battle/battle.lgp/ptba.png","View Picture")</f>
        <v>View Picture</v>
      </c>
    </row>
    <row r="9174">
      <c r="A9174" s="55"/>
      <c r="B9174" s="119" t="s">
        <v>41466</v>
      </c>
      <c r="C9174" s="120" t="s">
        <v>5762</v>
      </c>
      <c r="D9174" s="31"/>
      <c r="F9174" s="121" t="s">
        <v>3009</v>
      </c>
      <c r="G9174" s="98" t="str">
        <f>HYPERLINK("http://mirror.ff7data.com.ar/ff7/data/battle/battle.lgp/ptbb.png","View Picture")</f>
        <v>View Picture</v>
      </c>
    </row>
    <row r="9175">
      <c r="A9175" s="55"/>
      <c r="B9175" s="119" t="s">
        <v>41467</v>
      </c>
      <c r="C9175" s="120" t="s">
        <v>4217</v>
      </c>
      <c r="D9175" s="31"/>
      <c r="F9175" s="121" t="s">
        <v>3009</v>
      </c>
      <c r="G9175" s="98" t="str">
        <f>HYPERLINK("http://mirror.ff7data.com.ar/ff7/data/battle/battle.lgp/ptbc.png","View Picture")</f>
        <v>View Picture</v>
      </c>
    </row>
    <row r="9176">
      <c r="A9176" s="55"/>
      <c r="B9176" s="119" t="s">
        <v>41468</v>
      </c>
      <c r="C9176" s="120" t="s">
        <v>3749</v>
      </c>
      <c r="D9176" s="31"/>
      <c r="F9176" s="121" t="s">
        <v>3009</v>
      </c>
      <c r="G9176" s="98" t="str">
        <f>HYPERLINK("http://mirror.ff7data.com.ar/ff7/data/battle/battle.lgp/ptbd.png","View Picture")</f>
        <v>View Picture</v>
      </c>
    </row>
    <row r="9177">
      <c r="A9177" s="79"/>
      <c r="B9177" s="119" t="s">
        <v>41469</v>
      </c>
      <c r="C9177" s="120" t="s">
        <v>40553</v>
      </c>
      <c r="D9177" s="33" t="s">
        <v>41470</v>
      </c>
      <c r="F9177" s="121" t="s">
        <v>2756</v>
      </c>
      <c r="G9177" s="98" t="str">
        <f>HYPERLINK("http://mirror.ff7data.com.ar/ff7/data/battle/battle.lgp/puaa.png","View Picture")</f>
        <v>View Picture</v>
      </c>
    </row>
    <row r="9178">
      <c r="A9178" s="55"/>
      <c r="B9178" s="119" t="s">
        <v>41471</v>
      </c>
      <c r="C9178" s="120" t="s">
        <v>40556</v>
      </c>
      <c r="D9178" s="31"/>
      <c r="F9178" s="121" t="s">
        <v>2993</v>
      </c>
    </row>
    <row r="9179">
      <c r="A9179" s="55"/>
      <c r="B9179" s="119" t="s">
        <v>41472</v>
      </c>
      <c r="C9179" s="120" t="s">
        <v>26104</v>
      </c>
      <c r="D9179" s="31"/>
      <c r="F9179" s="121" t="s">
        <v>1348</v>
      </c>
      <c r="G9179" s="98" t="str">
        <f>HYPERLINK("http://mirror.ff7data.com.ar/ff7/data/battle/battle.lgp/puac.png","View Picture")</f>
        <v>View Picture</v>
      </c>
    </row>
    <row r="9180">
      <c r="A9180" s="55"/>
      <c r="B9180" s="119" t="s">
        <v>41473</v>
      </c>
      <c r="C9180" s="120" t="s">
        <v>26095</v>
      </c>
      <c r="D9180" s="31"/>
      <c r="F9180" s="121" t="s">
        <v>1348</v>
      </c>
      <c r="G9180" s="98" t="str">
        <f>HYPERLINK("http://mirror.ff7data.com.ar/ff7/data/battle/battle.lgp/puad.png","View Picture")</f>
        <v>View Picture</v>
      </c>
    </row>
    <row r="9181">
      <c r="A9181" s="55"/>
      <c r="B9181" s="119" t="s">
        <v>41474</v>
      </c>
      <c r="C9181" s="120" t="s">
        <v>26104</v>
      </c>
      <c r="D9181" s="31"/>
      <c r="F9181" s="121" t="s">
        <v>1348</v>
      </c>
      <c r="G9181" s="98" t="str">
        <f>HYPERLINK("http://mirror.ff7data.com.ar/ff7/data/battle/battle.lgp/puae.png","View Picture")</f>
        <v>View Picture</v>
      </c>
    </row>
    <row r="9182">
      <c r="A9182" s="55"/>
      <c r="B9182" s="119" t="s">
        <v>41475</v>
      </c>
      <c r="C9182" s="120" t="s">
        <v>26095</v>
      </c>
      <c r="D9182" s="31"/>
      <c r="F9182" s="121" t="s">
        <v>1348</v>
      </c>
      <c r="G9182" s="98" t="str">
        <f>HYPERLINK("http://mirror.ff7data.com.ar/ff7/data/battle/battle.lgp/puaf.png","View Picture")</f>
        <v>View Picture</v>
      </c>
    </row>
    <row r="9183">
      <c r="A9183" s="55"/>
      <c r="B9183" s="119" t="s">
        <v>41476</v>
      </c>
      <c r="C9183" s="120" t="s">
        <v>26095</v>
      </c>
      <c r="D9183" s="31"/>
      <c r="F9183" s="121" t="s">
        <v>1348</v>
      </c>
      <c r="G9183" s="98" t="str">
        <f>HYPERLINK("http://mirror.ff7data.com.ar/ff7/data/battle/battle.lgp/puag.png","View Picture")</f>
        <v>View Picture</v>
      </c>
    </row>
    <row r="9184">
      <c r="A9184" s="55"/>
      <c r="B9184" s="119" t="s">
        <v>41477</v>
      </c>
      <c r="C9184" s="120" t="s">
        <v>26095</v>
      </c>
      <c r="D9184" s="31"/>
      <c r="F9184" s="121" t="s">
        <v>1348</v>
      </c>
      <c r="G9184" s="98" t="str">
        <f>HYPERLINK("http://mirror.ff7data.com.ar/ff7/data/battle/battle.lgp/puah.png","View Picture")</f>
        <v>View Picture</v>
      </c>
    </row>
    <row r="9185">
      <c r="A9185" s="55"/>
      <c r="B9185" s="119" t="s">
        <v>41478</v>
      </c>
      <c r="C9185" s="120" t="s">
        <v>26095</v>
      </c>
      <c r="D9185" s="31"/>
      <c r="F9185" s="121" t="s">
        <v>1348</v>
      </c>
      <c r="G9185" s="98" t="str">
        <f>HYPERLINK("http://mirror.ff7data.com.ar/ff7/data/battle/battle.lgp/puai.png","View Picture")</f>
        <v>View Picture</v>
      </c>
    </row>
    <row r="9186">
      <c r="A9186" s="55"/>
      <c r="B9186" s="119" t="s">
        <v>41479</v>
      </c>
      <c r="C9186" s="120" t="s">
        <v>26095</v>
      </c>
      <c r="D9186" s="31"/>
      <c r="F9186" s="121" t="s">
        <v>1348</v>
      </c>
      <c r="G9186" s="98" t="str">
        <f>HYPERLINK("http://mirror.ff7data.com.ar/ff7/data/battle/battle.lgp/puaj.png","View Picture")</f>
        <v>View Picture</v>
      </c>
    </row>
    <row r="9187">
      <c r="A9187" s="55"/>
      <c r="B9187" s="119" t="s">
        <v>41480</v>
      </c>
      <c r="C9187" s="120" t="s">
        <v>3318</v>
      </c>
      <c r="D9187" s="31"/>
      <c r="F9187" s="121" t="s">
        <v>1348</v>
      </c>
      <c r="G9187" s="98" t="str">
        <f>HYPERLINK("http://mirror.ff7data.com.ar/ff7/data/battle/battle.lgp/puam.png","View Picture")</f>
        <v>View Picture</v>
      </c>
    </row>
    <row r="9188">
      <c r="A9188" s="55"/>
      <c r="B9188" s="119" t="s">
        <v>41481</v>
      </c>
      <c r="C9188" s="120" t="s">
        <v>4846</v>
      </c>
      <c r="D9188" s="31"/>
      <c r="F9188" s="121" t="s">
        <v>3009</v>
      </c>
      <c r="G9188" s="98" t="str">
        <f>HYPERLINK("http://mirror.ff7data.com.ar/ff7/data/battle/battle.lgp/puan.png","View Picture")</f>
        <v>View Picture</v>
      </c>
    </row>
    <row r="9189">
      <c r="A9189" s="55"/>
      <c r="B9189" s="119" t="s">
        <v>41482</v>
      </c>
      <c r="C9189" s="120" t="s">
        <v>7270</v>
      </c>
      <c r="D9189" s="31"/>
      <c r="F9189" s="121" t="s">
        <v>3009</v>
      </c>
      <c r="G9189" s="98" t="str">
        <f>HYPERLINK("http://mirror.ff7data.com.ar/ff7/data/battle/battle.lgp/puao.png","View Picture")</f>
        <v>View Picture</v>
      </c>
    </row>
    <row r="9190">
      <c r="A9190" s="55"/>
      <c r="B9190" s="119" t="s">
        <v>41483</v>
      </c>
      <c r="C9190" s="120" t="s">
        <v>7270</v>
      </c>
      <c r="D9190" s="31"/>
      <c r="F9190" s="121" t="s">
        <v>3009</v>
      </c>
      <c r="G9190" s="98" t="str">
        <f>HYPERLINK("http://mirror.ff7data.com.ar/ff7/data/battle/battle.lgp/puap.png","View Picture")</f>
        <v>View Picture</v>
      </c>
    </row>
    <row r="9191">
      <c r="A9191" s="55"/>
      <c r="B9191" s="119" t="s">
        <v>41484</v>
      </c>
      <c r="C9191" s="120" t="s">
        <v>24176</v>
      </c>
      <c r="D9191" s="31"/>
      <c r="F9191" s="121" t="s">
        <v>3009</v>
      </c>
      <c r="G9191" s="98" t="str">
        <f>HYPERLINK("http://mirror.ff7data.com.ar/ff7/data/battle/battle.lgp/puaq.png","View Picture")</f>
        <v>View Picture</v>
      </c>
    </row>
    <row r="9192">
      <c r="A9192" s="55"/>
      <c r="B9192" s="119" t="s">
        <v>41485</v>
      </c>
      <c r="C9192" s="120" t="s">
        <v>3768</v>
      </c>
      <c r="D9192" s="31"/>
      <c r="F9192" s="121" t="s">
        <v>3009</v>
      </c>
      <c r="G9192" s="98" t="str">
        <f>HYPERLINK("http://mirror.ff7data.com.ar/ff7/data/battle/battle.lgp/puar.png","View Picture")</f>
        <v>View Picture</v>
      </c>
    </row>
    <row r="9193">
      <c r="A9193" s="55"/>
      <c r="B9193" s="119" t="s">
        <v>41486</v>
      </c>
      <c r="C9193" s="120" t="s">
        <v>4476</v>
      </c>
      <c r="D9193" s="31"/>
      <c r="F9193" s="121" t="s">
        <v>3009</v>
      </c>
      <c r="G9193" s="98" t="str">
        <f>HYPERLINK("http://mirror.ff7data.com.ar/ff7/data/battle/battle.lgp/puas.png","View Picture")</f>
        <v>View Picture</v>
      </c>
    </row>
    <row r="9194">
      <c r="A9194" s="55"/>
      <c r="B9194" s="119" t="s">
        <v>41487</v>
      </c>
      <c r="C9194" s="120" t="s">
        <v>7165</v>
      </c>
      <c r="D9194" s="31"/>
      <c r="F9194" s="121" t="s">
        <v>3009</v>
      </c>
      <c r="G9194" s="98" t="str">
        <f>HYPERLINK("http://mirror.ff7data.com.ar/ff7/data/battle/battle.lgp/puat.png","View Picture")</f>
        <v>View Picture</v>
      </c>
    </row>
    <row r="9195">
      <c r="A9195" s="55"/>
      <c r="B9195" s="119" t="s">
        <v>41488</v>
      </c>
      <c r="C9195" s="120" t="s">
        <v>7165</v>
      </c>
      <c r="D9195" s="31"/>
      <c r="F9195" s="121" t="s">
        <v>3009</v>
      </c>
      <c r="G9195" s="98" t="str">
        <f>HYPERLINK("http://mirror.ff7data.com.ar/ff7/data/battle/battle.lgp/puau.png","View Picture")</f>
        <v>View Picture</v>
      </c>
    </row>
    <row r="9196">
      <c r="A9196" s="55"/>
      <c r="B9196" s="119" t="s">
        <v>41489</v>
      </c>
      <c r="C9196" s="120" t="s">
        <v>7165</v>
      </c>
      <c r="D9196" s="31"/>
      <c r="F9196" s="121" t="s">
        <v>3009</v>
      </c>
      <c r="G9196" s="98" t="str">
        <f>HYPERLINK("http://mirror.ff7data.com.ar/ff7/data/battle/battle.lgp/puav.png","View Picture")</f>
        <v>View Picture</v>
      </c>
    </row>
    <row r="9197">
      <c r="A9197" s="55"/>
      <c r="B9197" s="119" t="s">
        <v>41490</v>
      </c>
      <c r="C9197" s="120" t="s">
        <v>7165</v>
      </c>
      <c r="D9197" s="31"/>
      <c r="F9197" s="121" t="s">
        <v>3009</v>
      </c>
      <c r="G9197" s="98" t="str">
        <f>HYPERLINK("http://mirror.ff7data.com.ar/ff7/data/battle/battle.lgp/puaw.png","View Picture")</f>
        <v>View Picture</v>
      </c>
    </row>
    <row r="9198">
      <c r="A9198" s="55"/>
      <c r="B9198" s="119" t="s">
        <v>41491</v>
      </c>
      <c r="C9198" s="120" t="s">
        <v>4439</v>
      </c>
      <c r="D9198" s="31"/>
      <c r="F9198" s="121" t="s">
        <v>3009</v>
      </c>
      <c r="G9198" s="98" t="str">
        <f>HYPERLINK("http://mirror.ff7data.com.ar/ff7/data/battle/battle.lgp/puax.png","View Picture")</f>
        <v>View Picture</v>
      </c>
    </row>
    <row r="9199">
      <c r="A9199" s="55"/>
      <c r="B9199" s="119" t="s">
        <v>41492</v>
      </c>
      <c r="C9199" s="120" t="s">
        <v>5419</v>
      </c>
      <c r="D9199" s="31"/>
      <c r="F9199" s="121" t="s">
        <v>3009</v>
      </c>
      <c r="G9199" s="98" t="str">
        <f>HYPERLINK("http://mirror.ff7data.com.ar/ff7/data/battle/battle.lgp/puay.png","View Picture")</f>
        <v>View Picture</v>
      </c>
    </row>
    <row r="9200">
      <c r="A9200" s="55"/>
      <c r="B9200" s="119" t="s">
        <v>41493</v>
      </c>
      <c r="C9200" s="120" t="s">
        <v>4439</v>
      </c>
      <c r="D9200" s="31"/>
      <c r="F9200" s="121" t="s">
        <v>3009</v>
      </c>
      <c r="G9200" s="98" t="str">
        <f>HYPERLINK("http://mirror.ff7data.com.ar/ff7/data/battle/battle.lgp/puaz.png","View Picture")</f>
        <v>View Picture</v>
      </c>
    </row>
    <row r="9201">
      <c r="A9201" s="55"/>
      <c r="B9201" s="119" t="s">
        <v>41494</v>
      </c>
      <c r="C9201" s="120" t="s">
        <v>7165</v>
      </c>
      <c r="D9201" s="31"/>
      <c r="F9201" s="121" t="s">
        <v>3009</v>
      </c>
      <c r="G9201" s="98" t="str">
        <f>HYPERLINK("http://mirror.ff7data.com.ar/ff7/data/battle/battle.lgp/puba.png","View Picture")</f>
        <v>View Picture</v>
      </c>
    </row>
    <row r="9202">
      <c r="A9202" s="55"/>
      <c r="B9202" s="119" t="s">
        <v>41495</v>
      </c>
      <c r="C9202" s="120" t="s">
        <v>4732</v>
      </c>
      <c r="D9202" s="31"/>
      <c r="F9202" s="121" t="s">
        <v>3009</v>
      </c>
      <c r="G9202" s="98" t="str">
        <f>HYPERLINK("http://mirror.ff7data.com.ar/ff7/data/battle/battle.lgp/pubb.png","View Picture")</f>
        <v>View Picture</v>
      </c>
    </row>
    <row r="9203">
      <c r="A9203" s="55"/>
      <c r="B9203" s="119" t="s">
        <v>41496</v>
      </c>
      <c r="C9203" s="120" t="s">
        <v>4185</v>
      </c>
      <c r="D9203" s="31"/>
      <c r="F9203" s="121" t="s">
        <v>3009</v>
      </c>
      <c r="G9203" s="98" t="str">
        <f>HYPERLINK("http://mirror.ff7data.com.ar/ff7/data/battle/battle.lgp/pubc.png","View Picture")</f>
        <v>View Picture</v>
      </c>
    </row>
    <row r="9204">
      <c r="A9204" s="55"/>
      <c r="B9204" s="119" t="s">
        <v>41497</v>
      </c>
      <c r="C9204" s="120" t="s">
        <v>4185</v>
      </c>
      <c r="D9204" s="31"/>
      <c r="F9204" s="121" t="s">
        <v>3009</v>
      </c>
      <c r="G9204" s="98" t="str">
        <f>HYPERLINK("http://mirror.ff7data.com.ar/ff7/data/battle/battle.lgp/pubd.png","View Picture")</f>
        <v>View Picture</v>
      </c>
    </row>
    <row r="9205">
      <c r="A9205" s="79"/>
      <c r="B9205" s="119" t="s">
        <v>41498</v>
      </c>
      <c r="C9205" s="120" t="s">
        <v>40553</v>
      </c>
      <c r="D9205" s="33" t="s">
        <v>41499</v>
      </c>
      <c r="F9205" s="121" t="s">
        <v>2756</v>
      </c>
      <c r="G9205" s="98" t="str">
        <f>HYPERLINK("http://mirror.ff7data.com.ar/ff7/data/battle/battle.lgp/pvaa.png","View Picture")</f>
        <v>View Picture</v>
      </c>
    </row>
    <row r="9206">
      <c r="A9206" s="55"/>
      <c r="B9206" s="119" t="s">
        <v>41500</v>
      </c>
      <c r="C9206" s="120" t="s">
        <v>40556</v>
      </c>
      <c r="D9206" s="31"/>
      <c r="F9206" s="121" t="s">
        <v>2993</v>
      </c>
    </row>
    <row r="9207">
      <c r="A9207" s="55"/>
      <c r="B9207" s="119" t="s">
        <v>41501</v>
      </c>
      <c r="C9207" s="120" t="s">
        <v>26104</v>
      </c>
      <c r="D9207" s="31"/>
      <c r="F9207" s="121" t="s">
        <v>1348</v>
      </c>
      <c r="G9207" s="98" t="str">
        <f>HYPERLINK("http://mirror.ff7data.com.ar/ff7/data/battle/battle.lgp/pvac.png","View Picture")</f>
        <v>View Picture</v>
      </c>
    </row>
    <row r="9208">
      <c r="A9208" s="55"/>
      <c r="B9208" s="119" t="s">
        <v>41502</v>
      </c>
      <c r="C9208" s="120" t="s">
        <v>26104</v>
      </c>
      <c r="D9208" s="31"/>
      <c r="F9208" s="121" t="s">
        <v>1348</v>
      </c>
      <c r="G9208" s="98" t="str">
        <f>HYPERLINK("http://mirror.ff7data.com.ar/ff7/data/battle/battle.lgp/pvad.png","View Picture")</f>
        <v>View Picture</v>
      </c>
    </row>
    <row r="9209">
      <c r="A9209" s="55"/>
      <c r="B9209" s="119" t="s">
        <v>41503</v>
      </c>
      <c r="C9209" s="120" t="s">
        <v>7471</v>
      </c>
      <c r="D9209" s="31"/>
      <c r="F9209" s="121" t="s">
        <v>1348</v>
      </c>
      <c r="G9209" s="98" t="str">
        <f>HYPERLINK("http://mirror.ff7data.com.ar/ff7/data/battle/battle.lgp/pvae.png","View Picture")</f>
        <v>View Picture</v>
      </c>
    </row>
    <row r="9210">
      <c r="A9210" s="55"/>
      <c r="B9210" s="119" t="s">
        <v>41504</v>
      </c>
      <c r="C9210" s="120" t="s">
        <v>26104</v>
      </c>
      <c r="D9210" s="31"/>
      <c r="F9210" s="121" t="s">
        <v>1348</v>
      </c>
      <c r="G9210" s="98" t="str">
        <f>HYPERLINK("http://mirror.ff7data.com.ar/ff7/data/battle/battle.lgp/pvaf.png","View Picture")</f>
        <v>View Picture</v>
      </c>
    </row>
    <row r="9211">
      <c r="A9211" s="55"/>
      <c r="B9211" s="119" t="s">
        <v>41505</v>
      </c>
      <c r="C9211" s="120" t="s">
        <v>26104</v>
      </c>
      <c r="D9211" s="31"/>
      <c r="F9211" s="121" t="s">
        <v>1348</v>
      </c>
      <c r="G9211" s="98" t="str">
        <f>HYPERLINK("http://mirror.ff7data.com.ar/ff7/data/battle/battle.lgp/pvag.png","View Picture")</f>
        <v>View Picture</v>
      </c>
    </row>
    <row r="9212">
      <c r="A9212" s="55"/>
      <c r="B9212" s="119" t="s">
        <v>41506</v>
      </c>
      <c r="C9212" s="120" t="s">
        <v>26120</v>
      </c>
      <c r="D9212" s="31"/>
      <c r="F9212" s="121" t="s">
        <v>3009</v>
      </c>
      <c r="G9212" s="98" t="str">
        <f>HYPERLINK("http://mirror.ff7data.com.ar/ff7/data/battle/battle.lgp/pvam.png","View Picture")</f>
        <v>View Picture</v>
      </c>
    </row>
    <row r="9213">
      <c r="A9213" s="55"/>
      <c r="B9213" s="119" t="s">
        <v>41507</v>
      </c>
      <c r="C9213" s="120" t="s">
        <v>4846</v>
      </c>
      <c r="D9213" s="31"/>
      <c r="F9213" s="121" t="s">
        <v>3009</v>
      </c>
      <c r="G9213" s="98" t="str">
        <f>HYPERLINK("http://mirror.ff7data.com.ar/ff7/data/battle/battle.lgp/pvan.png","View Picture")</f>
        <v>View Picture</v>
      </c>
    </row>
    <row r="9214">
      <c r="A9214" s="55"/>
      <c r="B9214" s="119" t="s">
        <v>41508</v>
      </c>
      <c r="C9214" s="120" t="s">
        <v>4846</v>
      </c>
      <c r="D9214" s="31"/>
      <c r="F9214" s="121" t="s">
        <v>3009</v>
      </c>
      <c r="G9214" s="98" t="str">
        <f>HYPERLINK("http://mirror.ff7data.com.ar/ff7/data/battle/battle.lgp/pvao.png","View Picture")</f>
        <v>View Picture</v>
      </c>
    </row>
    <row r="9215">
      <c r="A9215" s="55"/>
      <c r="B9215" s="119" t="s">
        <v>41509</v>
      </c>
      <c r="C9215" s="120" t="s">
        <v>4846</v>
      </c>
      <c r="D9215" s="31"/>
      <c r="F9215" s="121" t="s">
        <v>3009</v>
      </c>
      <c r="G9215" s="98" t="str">
        <f>HYPERLINK("http://mirror.ff7data.com.ar/ff7/data/battle/battle.lgp/pvap.png","View Picture")</f>
        <v>View Picture</v>
      </c>
    </row>
    <row r="9216">
      <c r="A9216" s="55"/>
      <c r="B9216" s="119" t="s">
        <v>41510</v>
      </c>
      <c r="C9216" s="120" t="s">
        <v>3853</v>
      </c>
      <c r="D9216" s="31"/>
      <c r="F9216" s="121" t="s">
        <v>3009</v>
      </c>
      <c r="G9216" s="98" t="str">
        <f>HYPERLINK("http://mirror.ff7data.com.ar/ff7/data/battle/battle.lgp/pvaq.png","View Picture")</f>
        <v>View Picture</v>
      </c>
    </row>
    <row r="9217">
      <c r="A9217" s="55"/>
      <c r="B9217" s="119" t="s">
        <v>41511</v>
      </c>
      <c r="C9217" s="120" t="s">
        <v>4167</v>
      </c>
      <c r="D9217" s="31"/>
      <c r="F9217" s="121" t="s">
        <v>3009</v>
      </c>
      <c r="G9217" s="98" t="str">
        <f>HYPERLINK("http://mirror.ff7data.com.ar/ff7/data/battle/battle.lgp/pvar.png","View Picture")</f>
        <v>View Picture</v>
      </c>
    </row>
    <row r="9218">
      <c r="A9218" s="55"/>
      <c r="B9218" s="119" t="s">
        <v>41512</v>
      </c>
      <c r="C9218" s="120" t="s">
        <v>4396</v>
      </c>
      <c r="D9218" s="31"/>
      <c r="F9218" s="121" t="s">
        <v>3009</v>
      </c>
      <c r="G9218" s="98" t="str">
        <f>HYPERLINK("http://mirror.ff7data.com.ar/ff7/data/battle/battle.lgp/pvas.png","View Picture")</f>
        <v>View Picture</v>
      </c>
    </row>
    <row r="9219">
      <c r="A9219" s="55"/>
      <c r="B9219" s="119" t="s">
        <v>41513</v>
      </c>
      <c r="C9219" s="120" t="s">
        <v>4228</v>
      </c>
      <c r="D9219" s="31"/>
      <c r="F9219" s="121" t="s">
        <v>3009</v>
      </c>
      <c r="G9219" s="98" t="str">
        <f>HYPERLINK("http://mirror.ff7data.com.ar/ff7/data/battle/battle.lgp/pvat.png","View Picture")</f>
        <v>View Picture</v>
      </c>
    </row>
    <row r="9220">
      <c r="A9220" s="55"/>
      <c r="B9220" s="119" t="s">
        <v>41514</v>
      </c>
      <c r="C9220" s="120" t="s">
        <v>13844</v>
      </c>
      <c r="D9220" s="31"/>
      <c r="F9220" s="121" t="s">
        <v>3009</v>
      </c>
      <c r="G9220" s="98" t="str">
        <f>HYPERLINK("http://mirror.ff7data.com.ar/ff7/data/battle/battle.lgp/pvau.png","View Picture")</f>
        <v>View Picture</v>
      </c>
    </row>
    <row r="9221">
      <c r="A9221" s="79"/>
      <c r="B9221" s="119" t="s">
        <v>41515</v>
      </c>
      <c r="C9221" s="120" t="s">
        <v>40553</v>
      </c>
      <c r="D9221" s="33" t="s">
        <v>41516</v>
      </c>
      <c r="F9221" s="121" t="s">
        <v>2756</v>
      </c>
      <c r="G9221" s="98" t="str">
        <f>HYPERLINK("http://mirror.ff7data.com.ar/ff7/data/battle/battle.lgp/pwaa.png","View Picture")</f>
        <v>View Picture</v>
      </c>
    </row>
    <row r="9222">
      <c r="A9222" s="55"/>
      <c r="B9222" s="119" t="s">
        <v>41517</v>
      </c>
      <c r="C9222" s="120" t="s">
        <v>40556</v>
      </c>
      <c r="D9222" s="31"/>
      <c r="F9222" s="121" t="s">
        <v>2993</v>
      </c>
    </row>
    <row r="9223">
      <c r="A9223" s="55"/>
      <c r="B9223" s="119" t="s">
        <v>41518</v>
      </c>
      <c r="C9223" s="120" t="s">
        <v>26104</v>
      </c>
      <c r="D9223" s="31"/>
      <c r="F9223" s="121" t="s">
        <v>1348</v>
      </c>
      <c r="G9223" s="98" t="str">
        <f>HYPERLINK("http://mirror.ff7data.com.ar/ff7/data/battle/battle.lgp/pwac.png","View Picture")</f>
        <v>View Picture</v>
      </c>
    </row>
    <row r="9224">
      <c r="A9224" s="55"/>
      <c r="B9224" s="119" t="s">
        <v>41519</v>
      </c>
      <c r="C9224" s="120" t="s">
        <v>26104</v>
      </c>
      <c r="D9224" s="31"/>
      <c r="F9224" s="121" t="s">
        <v>1348</v>
      </c>
      <c r="G9224" s="98" t="str">
        <f>HYPERLINK("http://mirror.ff7data.com.ar/ff7/data/battle/battle.lgp/pwad.png","View Picture")</f>
        <v>View Picture</v>
      </c>
    </row>
    <row r="9225">
      <c r="A9225" s="55"/>
      <c r="B9225" s="119" t="s">
        <v>41520</v>
      </c>
      <c r="C9225" s="120" t="s">
        <v>26095</v>
      </c>
      <c r="D9225" s="31"/>
      <c r="F9225" s="121" t="s">
        <v>1348</v>
      </c>
      <c r="G9225" s="98" t="str">
        <f>HYPERLINK("http://mirror.ff7data.com.ar/ff7/data/battle/battle.lgp/pwae.png","View Picture")</f>
        <v>View Picture</v>
      </c>
    </row>
    <row r="9226">
      <c r="A9226" s="55"/>
      <c r="B9226" s="119" t="s">
        <v>41521</v>
      </c>
      <c r="C9226" s="120" t="s">
        <v>6018</v>
      </c>
      <c r="D9226" s="31"/>
      <c r="F9226" s="121" t="s">
        <v>1348</v>
      </c>
      <c r="G9226" s="98" t="str">
        <f>HYPERLINK("http://mirror.ff7data.com.ar/ff7/data/battle/battle.lgp/pwaf.png","View Picture")</f>
        <v>View Picture</v>
      </c>
    </row>
    <row r="9227">
      <c r="A9227" s="55"/>
      <c r="B9227" s="119" t="s">
        <v>41522</v>
      </c>
      <c r="C9227" s="120" t="s">
        <v>26095</v>
      </c>
      <c r="D9227" s="31"/>
      <c r="F9227" s="121" t="s">
        <v>1348</v>
      </c>
      <c r="G9227" s="98" t="str">
        <f>HYPERLINK("http://mirror.ff7data.com.ar/ff7/data/battle/battle.lgp/pwag.png","View Picture")</f>
        <v>View Picture</v>
      </c>
    </row>
    <row r="9228">
      <c r="A9228" s="55"/>
      <c r="B9228" s="119" t="s">
        <v>41523</v>
      </c>
      <c r="C9228" s="120" t="s">
        <v>26095</v>
      </c>
      <c r="D9228" s="31"/>
      <c r="F9228" s="121" t="s">
        <v>1348</v>
      </c>
      <c r="G9228" s="98" t="str">
        <f>HYPERLINK("http://mirror.ff7data.com.ar/ff7/data/battle/battle.lgp/pwah.png","View Picture")</f>
        <v>View Picture</v>
      </c>
    </row>
    <row r="9229">
      <c r="A9229" s="55"/>
      <c r="B9229" s="119" t="s">
        <v>41524</v>
      </c>
      <c r="C9229" s="120" t="s">
        <v>6018</v>
      </c>
      <c r="D9229" s="31"/>
      <c r="F9229" s="121" t="s">
        <v>1348</v>
      </c>
      <c r="G9229" s="98" t="str">
        <f>HYPERLINK("http://mirror.ff7data.com.ar/ff7/data/battle/battle.lgp/pwai.png","View Picture")</f>
        <v>View Picture</v>
      </c>
    </row>
    <row r="9230">
      <c r="A9230" s="55"/>
      <c r="B9230" s="119" t="s">
        <v>41525</v>
      </c>
      <c r="C9230" s="120" t="s">
        <v>6018</v>
      </c>
      <c r="D9230" s="31"/>
      <c r="F9230" s="121" t="s">
        <v>1348</v>
      </c>
      <c r="G9230" s="98" t="str">
        <f>HYPERLINK("http://mirror.ff7data.com.ar/ff7/data/battle/battle.lgp/pwaj.png","View Picture")</f>
        <v>View Picture</v>
      </c>
    </row>
    <row r="9231">
      <c r="A9231" s="55"/>
      <c r="B9231" s="119" t="s">
        <v>41526</v>
      </c>
      <c r="C9231" s="120" t="s">
        <v>3584</v>
      </c>
      <c r="D9231" s="31"/>
      <c r="F9231" s="121" t="s">
        <v>3009</v>
      </c>
      <c r="G9231" s="98" t="str">
        <f>HYPERLINK("http://mirror.ff7data.com.ar/ff7/data/battle/battle.lgp/pwam.png","View Picture")</f>
        <v>View Picture</v>
      </c>
    </row>
    <row r="9232">
      <c r="A9232" s="55"/>
      <c r="B9232" s="119" t="s">
        <v>41527</v>
      </c>
      <c r="C9232" s="120" t="s">
        <v>3768</v>
      </c>
      <c r="D9232" s="31"/>
      <c r="F9232" s="121" t="s">
        <v>3009</v>
      </c>
      <c r="G9232" s="98" t="str">
        <f>HYPERLINK("http://mirror.ff7data.com.ar/ff7/data/battle/battle.lgp/pwan.png","View Picture")</f>
        <v>View Picture</v>
      </c>
    </row>
    <row r="9233">
      <c r="A9233" s="55"/>
      <c r="B9233" s="119" t="s">
        <v>41528</v>
      </c>
      <c r="C9233" s="120" t="s">
        <v>3842</v>
      </c>
      <c r="D9233" s="31"/>
      <c r="F9233" s="121" t="s">
        <v>3009</v>
      </c>
      <c r="G9233" s="98" t="str">
        <f>HYPERLINK("http://mirror.ff7data.com.ar/ff7/data/battle/battle.lgp/pwao.png","View Picture")</f>
        <v>View Picture</v>
      </c>
    </row>
    <row r="9234">
      <c r="A9234" s="55"/>
      <c r="B9234" s="119" t="s">
        <v>41529</v>
      </c>
      <c r="C9234" s="120" t="s">
        <v>4476</v>
      </c>
      <c r="D9234" s="31"/>
      <c r="F9234" s="121" t="s">
        <v>3009</v>
      </c>
      <c r="G9234" s="98" t="str">
        <f>HYPERLINK("http://mirror.ff7data.com.ar/ff7/data/battle/battle.lgp/pwap.png","View Picture")</f>
        <v>View Picture</v>
      </c>
    </row>
    <row r="9235">
      <c r="A9235" s="55"/>
      <c r="B9235" s="119" t="s">
        <v>41530</v>
      </c>
      <c r="C9235" s="120" t="s">
        <v>5904</v>
      </c>
      <c r="D9235" s="31"/>
      <c r="F9235" s="121" t="s">
        <v>3009</v>
      </c>
      <c r="G9235" s="98" t="str">
        <f>HYPERLINK("http://mirror.ff7data.com.ar/ff7/data/battle/battle.lgp/pwaq.png","View Picture")</f>
        <v>View Picture</v>
      </c>
    </row>
    <row r="9236">
      <c r="A9236" s="55"/>
      <c r="B9236" s="119" t="s">
        <v>41531</v>
      </c>
      <c r="C9236" s="120" t="s">
        <v>13844</v>
      </c>
      <c r="D9236" s="31"/>
      <c r="F9236" s="121" t="s">
        <v>3009</v>
      </c>
      <c r="G9236" s="98" t="str">
        <f>HYPERLINK("http://mirror.ff7data.com.ar/ff7/data/battle/battle.lgp/pwar.png","View Picture")</f>
        <v>View Picture</v>
      </c>
    </row>
    <row r="9237">
      <c r="A9237" s="55"/>
      <c r="B9237" s="119" t="s">
        <v>41532</v>
      </c>
      <c r="C9237" s="120" t="s">
        <v>10955</v>
      </c>
      <c r="D9237" s="31"/>
      <c r="F9237" s="121" t="s">
        <v>3009</v>
      </c>
      <c r="G9237" s="98" t="str">
        <f>HYPERLINK("http://mirror.ff7data.com.ar/ff7/data/battle/battle.lgp/pwas.png","View Picture")</f>
        <v>View Picture</v>
      </c>
    </row>
    <row r="9238">
      <c r="A9238" s="55"/>
      <c r="B9238" s="119" t="s">
        <v>41533</v>
      </c>
      <c r="C9238" s="120" t="s">
        <v>4476</v>
      </c>
      <c r="D9238" s="31"/>
      <c r="F9238" s="121" t="s">
        <v>3009</v>
      </c>
      <c r="G9238" s="98" t="str">
        <f>HYPERLINK("http://mirror.ff7data.com.ar/ff7/data/battle/battle.lgp/pwat.png","View Picture")</f>
        <v>View Picture</v>
      </c>
    </row>
    <row r="9239">
      <c r="A9239" s="55"/>
      <c r="B9239" s="119" t="s">
        <v>41534</v>
      </c>
      <c r="C9239" s="120" t="s">
        <v>3671</v>
      </c>
      <c r="D9239" s="31"/>
      <c r="F9239" s="121" t="s">
        <v>3009</v>
      </c>
      <c r="G9239" s="98" t="str">
        <f>HYPERLINK("http://mirror.ff7data.com.ar/ff7/data/battle/battle.lgp/pwau.png","View Picture")</f>
        <v>View Picture</v>
      </c>
    </row>
    <row r="9240">
      <c r="A9240" s="55"/>
      <c r="B9240" s="119" t="s">
        <v>41535</v>
      </c>
      <c r="C9240" s="120" t="s">
        <v>18144</v>
      </c>
      <c r="D9240" s="31"/>
      <c r="F9240" s="121" t="s">
        <v>3009</v>
      </c>
      <c r="G9240" s="98" t="str">
        <f>HYPERLINK("http://mirror.ff7data.com.ar/ff7/data/battle/battle.lgp/pwav.png","View Picture")</f>
        <v>View Picture</v>
      </c>
    </row>
    <row r="9241">
      <c r="A9241" s="55"/>
      <c r="B9241" s="119" t="s">
        <v>41536</v>
      </c>
      <c r="C9241" s="120" t="s">
        <v>4057</v>
      </c>
      <c r="D9241" s="31"/>
      <c r="F9241" s="121" t="s">
        <v>3009</v>
      </c>
      <c r="G9241" s="98" t="str">
        <f>HYPERLINK("http://mirror.ff7data.com.ar/ff7/data/battle/battle.lgp/pwaw.png","View Picture")</f>
        <v>View Picture</v>
      </c>
    </row>
    <row r="9242">
      <c r="A9242" s="79"/>
      <c r="B9242" s="119" t="s">
        <v>41537</v>
      </c>
      <c r="C9242" s="120" t="s">
        <v>40553</v>
      </c>
      <c r="D9242" s="33" t="s">
        <v>41538</v>
      </c>
      <c r="F9242" s="121" t="s">
        <v>2756</v>
      </c>
      <c r="G9242" s="98" t="str">
        <f>HYPERLINK("http://mirror.ff7data.com.ar/ff7/data/battle/battle.lgp/pxaa.png","View Picture")</f>
        <v>View Picture</v>
      </c>
    </row>
    <row r="9243">
      <c r="A9243" s="55"/>
      <c r="B9243" s="119" t="s">
        <v>41539</v>
      </c>
      <c r="C9243" s="120" t="s">
        <v>40556</v>
      </c>
      <c r="D9243" s="31"/>
      <c r="F9243" s="121" t="s">
        <v>2993</v>
      </c>
    </row>
    <row r="9244">
      <c r="A9244" s="55"/>
      <c r="B9244" s="119" t="s">
        <v>41540</v>
      </c>
      <c r="C9244" s="120" t="s">
        <v>26104</v>
      </c>
      <c r="D9244" s="31"/>
      <c r="F9244" s="121" t="s">
        <v>1348</v>
      </c>
      <c r="G9244" s="98" t="str">
        <f>HYPERLINK("http://mirror.ff7data.com.ar/ff7/data/battle/battle.lgp/pxac.png","View Picture")</f>
        <v>View Picture</v>
      </c>
    </row>
    <row r="9245">
      <c r="A9245" s="55"/>
      <c r="B9245" s="119" t="s">
        <v>41541</v>
      </c>
      <c r="C9245" s="120" t="s">
        <v>6018</v>
      </c>
      <c r="D9245" s="31"/>
      <c r="F9245" s="121" t="s">
        <v>1348</v>
      </c>
      <c r="G9245" s="98" t="str">
        <f>HYPERLINK("http://mirror.ff7data.com.ar/ff7/data/battle/battle.lgp/pxad.png","View Picture")</f>
        <v>View Picture</v>
      </c>
    </row>
    <row r="9246">
      <c r="A9246" s="55"/>
      <c r="B9246" s="119" t="s">
        <v>41542</v>
      </c>
      <c r="C9246" s="120" t="s">
        <v>26104</v>
      </c>
      <c r="D9246" s="31"/>
      <c r="F9246" s="121" t="s">
        <v>1348</v>
      </c>
      <c r="G9246" s="98" t="str">
        <f>HYPERLINK("http://mirror.ff7data.com.ar/ff7/data/battle/battle.lgp/pxae.png","View Picture")</f>
        <v>View Picture</v>
      </c>
    </row>
    <row r="9247">
      <c r="A9247" s="55"/>
      <c r="B9247" s="119" t="s">
        <v>41543</v>
      </c>
      <c r="C9247" s="120" t="s">
        <v>26104</v>
      </c>
      <c r="D9247" s="31"/>
      <c r="F9247" s="121" t="s">
        <v>1348</v>
      </c>
      <c r="G9247" s="98" t="str">
        <f>HYPERLINK("http://mirror.ff7data.com.ar/ff7/data/battle/battle.lgp/pxaf.png","View Picture")</f>
        <v>View Picture</v>
      </c>
    </row>
    <row r="9248">
      <c r="A9248" s="55"/>
      <c r="B9248" s="119" t="s">
        <v>41544</v>
      </c>
      <c r="C9248" s="120" t="s">
        <v>7471</v>
      </c>
      <c r="D9248" s="31"/>
      <c r="F9248" s="121" t="s">
        <v>1348</v>
      </c>
      <c r="G9248" s="98" t="str">
        <f>HYPERLINK("http://mirror.ff7data.com.ar/ff7/data/battle/battle.lgp/pxag.png","View Picture")</f>
        <v>View Picture</v>
      </c>
    </row>
    <row r="9249">
      <c r="A9249" s="55"/>
      <c r="B9249" s="119" t="s">
        <v>41545</v>
      </c>
      <c r="C9249" s="120" t="s">
        <v>6018</v>
      </c>
      <c r="D9249" s="31"/>
      <c r="F9249" s="121" t="s">
        <v>1348</v>
      </c>
      <c r="G9249" s="98" t="str">
        <f>HYPERLINK("http://mirror.ff7data.com.ar/ff7/data/battle/battle.lgp/pxah.png","View Picture")</f>
        <v>View Picture</v>
      </c>
    </row>
    <row r="9250">
      <c r="A9250" s="55"/>
      <c r="B9250" s="119" t="s">
        <v>41546</v>
      </c>
      <c r="C9250" s="120" t="s">
        <v>26095</v>
      </c>
      <c r="D9250" s="31"/>
      <c r="F9250" s="121" t="s">
        <v>1348</v>
      </c>
      <c r="G9250" s="98" t="str">
        <f>HYPERLINK("http://mirror.ff7data.com.ar/ff7/data/battle/battle.lgp/pxai.png","View Picture")</f>
        <v>View Picture</v>
      </c>
    </row>
    <row r="9251">
      <c r="A9251" s="55"/>
      <c r="B9251" s="119" t="s">
        <v>41547</v>
      </c>
      <c r="C9251" s="120" t="s">
        <v>3573</v>
      </c>
      <c r="D9251" s="31"/>
      <c r="F9251" s="121" t="s">
        <v>3009</v>
      </c>
      <c r="G9251" s="98" t="str">
        <f>HYPERLINK("http://mirror.ff7data.com.ar/ff7/data/battle/battle.lgp/pxam.png","View Picture")</f>
        <v>View Picture</v>
      </c>
    </row>
    <row r="9252">
      <c r="A9252" s="55"/>
      <c r="B9252" s="119" t="s">
        <v>41548</v>
      </c>
      <c r="C9252" s="120" t="s">
        <v>4846</v>
      </c>
      <c r="D9252" s="31"/>
      <c r="F9252" s="121" t="s">
        <v>3009</v>
      </c>
      <c r="G9252" s="98" t="str">
        <f>HYPERLINK("http://mirror.ff7data.com.ar/ff7/data/battle/battle.lgp/pxan.png","View Picture")</f>
        <v>View Picture</v>
      </c>
    </row>
    <row r="9253">
      <c r="A9253" s="55"/>
      <c r="B9253" s="119" t="s">
        <v>41549</v>
      </c>
      <c r="C9253" s="120" t="s">
        <v>4846</v>
      </c>
      <c r="D9253" s="31"/>
      <c r="F9253" s="121" t="s">
        <v>3009</v>
      </c>
      <c r="G9253" s="98" t="str">
        <f>HYPERLINK("http://mirror.ff7data.com.ar/ff7/data/battle/battle.lgp/pxao.png","View Picture")</f>
        <v>View Picture</v>
      </c>
    </row>
    <row r="9254">
      <c r="A9254" s="55"/>
      <c r="B9254" s="119" t="s">
        <v>41550</v>
      </c>
      <c r="C9254" s="120" t="s">
        <v>4846</v>
      </c>
      <c r="D9254" s="31"/>
      <c r="F9254" s="121" t="s">
        <v>3009</v>
      </c>
      <c r="G9254" s="98" t="str">
        <f>HYPERLINK("http://mirror.ff7data.com.ar/ff7/data/battle/battle.lgp/pxap.png","View Picture")</f>
        <v>View Picture</v>
      </c>
    </row>
    <row r="9255">
      <c r="A9255" s="55"/>
      <c r="B9255" s="119" t="s">
        <v>41551</v>
      </c>
      <c r="C9255" s="120" t="s">
        <v>4841</v>
      </c>
      <c r="D9255" s="31"/>
      <c r="F9255" s="121" t="s">
        <v>3009</v>
      </c>
      <c r="G9255" s="98" t="str">
        <f>HYPERLINK("http://mirror.ff7data.com.ar/ff7/data/battle/battle.lgp/pxaq.png","View Picture")</f>
        <v>View Picture</v>
      </c>
    </row>
    <row r="9256">
      <c r="A9256" s="55"/>
      <c r="B9256" s="119" t="s">
        <v>41552</v>
      </c>
      <c r="C9256" s="120" t="s">
        <v>5904</v>
      </c>
      <c r="D9256" s="31"/>
      <c r="F9256" s="121" t="s">
        <v>3009</v>
      </c>
      <c r="G9256" s="98" t="str">
        <f>HYPERLINK("http://mirror.ff7data.com.ar/ff7/data/battle/battle.lgp/pxar.png","View Picture")</f>
        <v>View Picture</v>
      </c>
    </row>
    <row r="9257">
      <c r="A9257" s="55"/>
      <c r="B9257" s="119" t="s">
        <v>41553</v>
      </c>
      <c r="C9257" s="120" t="s">
        <v>7270</v>
      </c>
      <c r="D9257" s="31"/>
      <c r="F9257" s="121" t="s">
        <v>3009</v>
      </c>
      <c r="G9257" s="98" t="str">
        <f>HYPERLINK("http://mirror.ff7data.com.ar/ff7/data/battle/battle.lgp/pxas.png","View Picture")</f>
        <v>View Picture</v>
      </c>
    </row>
    <row r="9258">
      <c r="A9258" s="55"/>
      <c r="B9258" s="119" t="s">
        <v>41554</v>
      </c>
      <c r="C9258" s="120" t="s">
        <v>18144</v>
      </c>
      <c r="D9258" s="31"/>
      <c r="F9258" s="121" t="s">
        <v>3009</v>
      </c>
      <c r="G9258" s="98" t="str">
        <f>HYPERLINK("http://mirror.ff7data.com.ar/ff7/data/battle/battle.lgp/pxat.png","View Picture")</f>
        <v>View Picture</v>
      </c>
    </row>
    <row r="9259">
      <c r="A9259" s="55"/>
      <c r="B9259" s="119" t="s">
        <v>41555</v>
      </c>
      <c r="C9259" s="120" t="s">
        <v>4167</v>
      </c>
      <c r="D9259" s="31"/>
      <c r="F9259" s="121" t="s">
        <v>3009</v>
      </c>
      <c r="G9259" s="98" t="str">
        <f>HYPERLINK("http://mirror.ff7data.com.ar/ff7/data/battle/battle.lgp/pxau.png","View Picture")</f>
        <v>View Picture</v>
      </c>
    </row>
    <row r="9260">
      <c r="A9260" s="55"/>
      <c r="B9260" s="119" t="s">
        <v>41556</v>
      </c>
      <c r="C9260" s="120" t="s">
        <v>3658</v>
      </c>
      <c r="D9260" s="31"/>
      <c r="F9260" s="121" t="s">
        <v>3009</v>
      </c>
      <c r="G9260" s="98" t="str">
        <f>HYPERLINK("http://mirror.ff7data.com.ar/ff7/data/battle/battle.lgp/pxav.png","View Picture")</f>
        <v>View Picture</v>
      </c>
    </row>
    <row r="9261">
      <c r="A9261" s="55"/>
      <c r="B9261" s="119" t="s">
        <v>41557</v>
      </c>
      <c r="C9261" s="120" t="s">
        <v>7501</v>
      </c>
      <c r="D9261" s="31"/>
      <c r="F9261" s="121" t="s">
        <v>3009</v>
      </c>
      <c r="G9261" s="98" t="str">
        <f>HYPERLINK("http://mirror.ff7data.com.ar/ff7/data/battle/battle.lgp/pxaw.png","View Picture")</f>
        <v>View Picture</v>
      </c>
    </row>
    <row r="9262">
      <c r="A9262" s="55"/>
      <c r="B9262" s="119" t="s">
        <v>41558</v>
      </c>
      <c r="C9262" s="120" t="s">
        <v>5891</v>
      </c>
      <c r="D9262" s="31"/>
      <c r="F9262" s="121" t="s">
        <v>3009</v>
      </c>
      <c r="G9262" s="98" t="str">
        <f>HYPERLINK("http://mirror.ff7data.com.ar/ff7/data/battle/battle.lgp/pxax.png","View Picture")</f>
        <v>View Picture</v>
      </c>
    </row>
    <row r="9263">
      <c r="A9263" s="55"/>
      <c r="B9263" s="119" t="s">
        <v>41559</v>
      </c>
      <c r="C9263" s="120" t="s">
        <v>4288</v>
      </c>
      <c r="D9263" s="31"/>
      <c r="F9263" s="121" t="s">
        <v>3009</v>
      </c>
      <c r="G9263" s="98" t="str">
        <f>HYPERLINK("http://mirror.ff7data.com.ar/ff7/data/battle/battle.lgp/pxay.png","View Picture")</f>
        <v>View Picture</v>
      </c>
    </row>
    <row r="9264">
      <c r="A9264" s="55"/>
      <c r="B9264" s="119" t="s">
        <v>41560</v>
      </c>
      <c r="C9264" s="120" t="s">
        <v>4217</v>
      </c>
      <c r="D9264" s="31"/>
      <c r="F9264" s="121" t="s">
        <v>3009</v>
      </c>
      <c r="G9264" s="98" t="str">
        <f>HYPERLINK("http://mirror.ff7data.com.ar/ff7/data/battle/battle.lgp/pxaz.png","View Picture")</f>
        <v>View Picture</v>
      </c>
    </row>
    <row r="9265">
      <c r="A9265" s="55"/>
      <c r="B9265" s="119" t="s">
        <v>41561</v>
      </c>
      <c r="C9265" s="120" t="s">
        <v>4372</v>
      </c>
      <c r="D9265" s="31"/>
      <c r="F9265" s="121" t="s">
        <v>3009</v>
      </c>
      <c r="G9265" s="98" t="str">
        <f>HYPERLINK("http://mirror.ff7data.com.ar/ff7/data/battle/battle.lgp/pxba.png","View Picture")</f>
        <v>View Picture</v>
      </c>
    </row>
    <row r="9266">
      <c r="A9266" s="79"/>
      <c r="B9266" s="119" t="s">
        <v>41562</v>
      </c>
      <c r="C9266" s="120" t="s">
        <v>40553</v>
      </c>
      <c r="D9266" s="33" t="s">
        <v>41563</v>
      </c>
      <c r="F9266" s="121" t="s">
        <v>2756</v>
      </c>
      <c r="G9266" s="98" t="str">
        <f>HYPERLINK("http://mirror.ff7data.com.ar/ff7/data/battle/battle.lgp/pyaa.png","View Picture")</f>
        <v>View Picture</v>
      </c>
    </row>
    <row r="9267">
      <c r="A9267" s="55"/>
      <c r="B9267" s="119" t="s">
        <v>41564</v>
      </c>
      <c r="C9267" s="120" t="s">
        <v>40556</v>
      </c>
      <c r="D9267" s="31"/>
      <c r="F9267" s="121" t="s">
        <v>2993</v>
      </c>
    </row>
    <row r="9268">
      <c r="A9268" s="55"/>
      <c r="B9268" s="119" t="s">
        <v>41565</v>
      </c>
      <c r="C9268" s="120" t="s">
        <v>6018</v>
      </c>
      <c r="D9268" s="31"/>
      <c r="F9268" s="121" t="s">
        <v>1348</v>
      </c>
      <c r="G9268" s="98" t="str">
        <f>HYPERLINK("http://mirror.ff7data.com.ar/ff7/data/battle/battle.lgp/pyac.png","View Picture")</f>
        <v>View Picture</v>
      </c>
    </row>
    <row r="9269">
      <c r="A9269" s="55"/>
      <c r="B9269" s="119" t="s">
        <v>41566</v>
      </c>
      <c r="C9269" s="120" t="s">
        <v>26104</v>
      </c>
      <c r="D9269" s="31"/>
      <c r="F9269" s="121" t="s">
        <v>1348</v>
      </c>
      <c r="G9269" s="98" t="str">
        <f>HYPERLINK("http://mirror.ff7data.com.ar/ff7/data/battle/battle.lgp/pyad.png","View Picture")</f>
        <v>View Picture</v>
      </c>
    </row>
    <row r="9270">
      <c r="A9270" s="55"/>
      <c r="B9270" s="119" t="s">
        <v>41567</v>
      </c>
      <c r="C9270" s="120" t="s">
        <v>6018</v>
      </c>
      <c r="D9270" s="31"/>
      <c r="F9270" s="121" t="s">
        <v>1348</v>
      </c>
      <c r="G9270" s="98" t="str">
        <f>HYPERLINK("http://mirror.ff7data.com.ar/ff7/data/battle/battle.lgp/pyae.png","View Picture")</f>
        <v>View Picture</v>
      </c>
    </row>
    <row r="9271">
      <c r="A9271" s="55"/>
      <c r="B9271" s="119" t="s">
        <v>41568</v>
      </c>
      <c r="C9271" s="120" t="s">
        <v>26095</v>
      </c>
      <c r="D9271" s="31"/>
      <c r="F9271" s="121" t="s">
        <v>1348</v>
      </c>
      <c r="G9271" s="98" t="str">
        <f>HYPERLINK("http://mirror.ff7data.com.ar/ff7/data/battle/battle.lgp/pyaf.png","View Picture")</f>
        <v>View Picture</v>
      </c>
    </row>
    <row r="9272">
      <c r="A9272" s="55"/>
      <c r="B9272" s="119" t="s">
        <v>41569</v>
      </c>
      <c r="C9272" s="120" t="s">
        <v>26095</v>
      </c>
      <c r="D9272" s="31"/>
      <c r="F9272" s="121" t="s">
        <v>1348</v>
      </c>
      <c r="G9272" s="98" t="str">
        <f>HYPERLINK("http://mirror.ff7data.com.ar/ff7/data/battle/battle.lgp/pyag.png","View Picture")</f>
        <v>View Picture</v>
      </c>
    </row>
    <row r="9273">
      <c r="A9273" s="55"/>
      <c r="B9273" s="119" t="s">
        <v>41570</v>
      </c>
      <c r="C9273" s="120" t="s">
        <v>6018</v>
      </c>
      <c r="D9273" s="31"/>
      <c r="F9273" s="121" t="s">
        <v>1348</v>
      </c>
      <c r="G9273" s="98" t="str">
        <f>HYPERLINK("http://mirror.ff7data.com.ar/ff7/data/battle/battle.lgp/pyah.png","View Picture")</f>
        <v>View Picture</v>
      </c>
    </row>
    <row r="9274">
      <c r="A9274" s="55"/>
      <c r="B9274" s="119" t="s">
        <v>41571</v>
      </c>
      <c r="C9274" s="120" t="s">
        <v>6018</v>
      </c>
      <c r="D9274" s="31"/>
      <c r="F9274" s="121" t="s">
        <v>1348</v>
      </c>
      <c r="G9274" s="98" t="str">
        <f>HYPERLINK("http://mirror.ff7data.com.ar/ff7/data/battle/battle.lgp/pyai.png","View Picture")</f>
        <v>View Picture</v>
      </c>
    </row>
    <row r="9275">
      <c r="A9275" s="55"/>
      <c r="B9275" s="119" t="s">
        <v>41572</v>
      </c>
      <c r="C9275" s="120" t="s">
        <v>6018</v>
      </c>
      <c r="D9275" s="31"/>
      <c r="F9275" s="121" t="s">
        <v>1348</v>
      </c>
      <c r="G9275" s="98" t="str">
        <f>HYPERLINK("http://mirror.ff7data.com.ar/ff7/data/battle/battle.lgp/pyaj.png","View Picture")</f>
        <v>View Picture</v>
      </c>
    </row>
    <row r="9276">
      <c r="A9276" s="55"/>
      <c r="B9276" s="119" t="s">
        <v>41573</v>
      </c>
      <c r="C9276" s="120" t="s">
        <v>33181</v>
      </c>
      <c r="D9276" s="31"/>
      <c r="F9276" s="121" t="s">
        <v>3009</v>
      </c>
      <c r="G9276" s="98" t="str">
        <f>HYPERLINK("http://mirror.ff7data.com.ar/ff7/data/battle/battle.lgp/pyam.png","View Picture")</f>
        <v>View Picture</v>
      </c>
    </row>
    <row r="9277">
      <c r="A9277" s="55"/>
      <c r="B9277" s="119" t="s">
        <v>41574</v>
      </c>
      <c r="C9277" s="120" t="s">
        <v>3768</v>
      </c>
      <c r="D9277" s="31"/>
      <c r="F9277" s="121" t="s">
        <v>3009</v>
      </c>
      <c r="G9277" s="98" t="str">
        <f>HYPERLINK("http://mirror.ff7data.com.ar/ff7/data/battle/battle.lgp/pyan.png","View Picture")</f>
        <v>View Picture</v>
      </c>
    </row>
    <row r="9278">
      <c r="A9278" s="55"/>
      <c r="B9278" s="119" t="s">
        <v>41575</v>
      </c>
      <c r="C9278" s="120" t="s">
        <v>7270</v>
      </c>
      <c r="D9278" s="31"/>
      <c r="F9278" s="121" t="s">
        <v>3009</v>
      </c>
      <c r="G9278" s="98" t="str">
        <f>HYPERLINK("http://mirror.ff7data.com.ar/ff7/data/battle/battle.lgp/pyao.png","View Picture")</f>
        <v>View Picture</v>
      </c>
    </row>
    <row r="9279">
      <c r="A9279" s="55"/>
      <c r="B9279" s="119" t="s">
        <v>41576</v>
      </c>
      <c r="C9279" s="120" t="s">
        <v>4846</v>
      </c>
      <c r="D9279" s="31"/>
      <c r="F9279" s="121" t="s">
        <v>3009</v>
      </c>
      <c r="G9279" s="98" t="str">
        <f>HYPERLINK("http://mirror.ff7data.com.ar/ff7/data/battle/battle.lgp/pyap.png","View Picture")</f>
        <v>View Picture</v>
      </c>
    </row>
    <row r="9280">
      <c r="A9280" s="55"/>
      <c r="B9280" s="119" t="s">
        <v>41577</v>
      </c>
      <c r="C9280" s="120" t="s">
        <v>13957</v>
      </c>
      <c r="D9280" s="31"/>
      <c r="F9280" s="121" t="s">
        <v>3009</v>
      </c>
      <c r="G9280" s="98" t="str">
        <f>HYPERLINK("http://mirror.ff7data.com.ar/ff7/data/battle/battle.lgp/pyaq.png","View Picture")</f>
        <v>View Picture</v>
      </c>
    </row>
    <row r="9281">
      <c r="A9281" s="55"/>
      <c r="B9281" s="119" t="s">
        <v>41578</v>
      </c>
      <c r="C9281" s="120" t="s">
        <v>4719</v>
      </c>
      <c r="D9281" s="31"/>
      <c r="F9281" s="121" t="s">
        <v>3009</v>
      </c>
      <c r="G9281" s="98" t="str">
        <f>HYPERLINK("http://mirror.ff7data.com.ar/ff7/data/battle/battle.lgp/pyar.png","View Picture")</f>
        <v>View Picture</v>
      </c>
    </row>
    <row r="9282">
      <c r="A9282" s="55"/>
      <c r="B9282" s="119" t="s">
        <v>41579</v>
      </c>
      <c r="C9282" s="120" t="s">
        <v>4476</v>
      </c>
      <c r="D9282" s="31"/>
      <c r="F9282" s="121" t="s">
        <v>3009</v>
      </c>
      <c r="G9282" s="98" t="str">
        <f>HYPERLINK("http://mirror.ff7data.com.ar/ff7/data/battle/battle.lgp/pyas.png","View Picture")</f>
        <v>View Picture</v>
      </c>
    </row>
    <row r="9283">
      <c r="A9283" s="55"/>
      <c r="B9283" s="119" t="s">
        <v>41580</v>
      </c>
      <c r="C9283" s="120" t="s">
        <v>3445</v>
      </c>
      <c r="D9283" s="31"/>
      <c r="F9283" s="121" t="s">
        <v>3009</v>
      </c>
      <c r="G9283" s="98" t="str">
        <f>HYPERLINK("http://mirror.ff7data.com.ar/ff7/data/battle/battle.lgp/pyat.png","View Picture")</f>
        <v>View Picture</v>
      </c>
    </row>
    <row r="9284">
      <c r="A9284" s="55"/>
      <c r="B9284" s="119" t="s">
        <v>41581</v>
      </c>
      <c r="C9284" s="120" t="s">
        <v>3648</v>
      </c>
      <c r="D9284" s="31"/>
      <c r="F9284" s="121" t="s">
        <v>3009</v>
      </c>
      <c r="G9284" s="98" t="str">
        <f>HYPERLINK("http://mirror.ff7data.com.ar/ff7/data/battle/battle.lgp/pyau.png","View Picture")</f>
        <v>View Picture</v>
      </c>
    </row>
    <row r="9285">
      <c r="A9285" s="55"/>
      <c r="B9285" s="119" t="s">
        <v>41582</v>
      </c>
      <c r="C9285" s="120" t="s">
        <v>5891</v>
      </c>
      <c r="D9285" s="31"/>
      <c r="F9285" s="121" t="s">
        <v>3009</v>
      </c>
      <c r="G9285" s="98" t="str">
        <f>HYPERLINK("http://mirror.ff7data.com.ar/ff7/data/battle/battle.lgp/pyav.png","View Picture")</f>
        <v>View Picture</v>
      </c>
    </row>
    <row r="9286">
      <c r="A9286" s="55"/>
      <c r="B9286" s="119" t="s">
        <v>41583</v>
      </c>
      <c r="C9286" s="120" t="s">
        <v>4228</v>
      </c>
      <c r="D9286" s="31"/>
      <c r="F9286" s="121" t="s">
        <v>3009</v>
      </c>
      <c r="G9286" s="98" t="str">
        <f>HYPERLINK("http://mirror.ff7data.com.ar/ff7/data/battle/battle.lgp/pyaw.png","View Picture")</f>
        <v>View Picture</v>
      </c>
    </row>
    <row r="9287">
      <c r="A9287" s="55"/>
      <c r="B9287" s="119" t="s">
        <v>41584</v>
      </c>
      <c r="C9287" s="120" t="s">
        <v>3658</v>
      </c>
      <c r="D9287" s="31"/>
      <c r="F9287" s="121" t="s">
        <v>3009</v>
      </c>
      <c r="G9287" s="98" t="str">
        <f>HYPERLINK("http://mirror.ff7data.com.ar/ff7/data/battle/battle.lgp/pyax.png","View Picture")</f>
        <v>View Picture</v>
      </c>
    </row>
    <row r="9288">
      <c r="A9288" s="55"/>
      <c r="B9288" s="119" t="s">
        <v>41585</v>
      </c>
      <c r="C9288" s="120" t="s">
        <v>5419</v>
      </c>
      <c r="D9288" s="31"/>
      <c r="F9288" s="121" t="s">
        <v>3009</v>
      </c>
      <c r="G9288" s="98" t="str">
        <f>HYPERLINK("http://mirror.ff7data.com.ar/ff7/data/battle/battle.lgp/pyay.png","View Picture")</f>
        <v>View Picture</v>
      </c>
    </row>
    <row r="9289">
      <c r="A9289" s="55"/>
      <c r="B9289" s="119" t="s">
        <v>41586</v>
      </c>
      <c r="C9289" s="120" t="s">
        <v>4732</v>
      </c>
      <c r="D9289" s="31"/>
      <c r="F9289" s="121" t="s">
        <v>3009</v>
      </c>
      <c r="G9289" s="98" t="str">
        <f>HYPERLINK("http://mirror.ff7data.com.ar/ff7/data/battle/battle.lgp/pyaz.png","View Picture")</f>
        <v>View Picture</v>
      </c>
    </row>
    <row r="9290">
      <c r="A9290" s="55"/>
      <c r="B9290" s="119" t="s">
        <v>41587</v>
      </c>
      <c r="C9290" s="120" t="s">
        <v>4185</v>
      </c>
      <c r="D9290" s="31"/>
      <c r="F9290" s="121" t="s">
        <v>3009</v>
      </c>
      <c r="G9290" s="98" t="str">
        <f>HYPERLINK("http://mirror.ff7data.com.ar/ff7/data/battle/battle.lgp/pyba.png","View Picture")</f>
        <v>View Picture</v>
      </c>
    </row>
    <row r="9291">
      <c r="A9291" s="79"/>
      <c r="B9291" s="119" t="s">
        <v>41588</v>
      </c>
      <c r="C9291" s="120" t="s">
        <v>40553</v>
      </c>
      <c r="D9291" s="33" t="s">
        <v>41589</v>
      </c>
      <c r="F9291" s="121" t="s">
        <v>2756</v>
      </c>
      <c r="G9291" s="98" t="str">
        <f>HYPERLINK("http://mirror.ff7data.com.ar/ff7/data/battle/battle.lgp/pzaa.png","View Picture")</f>
        <v>View Picture</v>
      </c>
    </row>
    <row r="9292">
      <c r="A9292" s="55"/>
      <c r="B9292" s="119" t="s">
        <v>41590</v>
      </c>
      <c r="C9292" s="120" t="s">
        <v>40556</v>
      </c>
      <c r="D9292" s="31"/>
      <c r="F9292" s="121" t="s">
        <v>2993</v>
      </c>
    </row>
    <row r="9293">
      <c r="A9293" s="55"/>
      <c r="B9293" s="119" t="s">
        <v>41591</v>
      </c>
      <c r="C9293" s="120" t="s">
        <v>26104</v>
      </c>
      <c r="D9293" s="31"/>
      <c r="F9293" s="121" t="s">
        <v>1348</v>
      </c>
      <c r="G9293" s="98" t="str">
        <f>HYPERLINK("http://mirror.ff7data.com.ar/ff7/data/battle/battle.lgp/pzac.png","View Picture")</f>
        <v>View Picture</v>
      </c>
    </row>
    <row r="9294">
      <c r="A9294" s="55"/>
      <c r="B9294" s="119" t="s">
        <v>41592</v>
      </c>
      <c r="C9294" s="120" t="s">
        <v>6018</v>
      </c>
      <c r="D9294" s="31"/>
      <c r="F9294" s="121" t="s">
        <v>1348</v>
      </c>
      <c r="G9294" s="98" t="str">
        <f>HYPERLINK("http://mirror.ff7data.com.ar/ff7/data/battle/battle.lgp/pzad.png","View Picture")</f>
        <v>View Picture</v>
      </c>
    </row>
    <row r="9295">
      <c r="A9295" s="55"/>
      <c r="B9295" s="119" t="s">
        <v>41593</v>
      </c>
      <c r="C9295" s="120" t="s">
        <v>26095</v>
      </c>
      <c r="D9295" s="31"/>
      <c r="F9295" s="121" t="s">
        <v>1348</v>
      </c>
      <c r="G9295" s="98" t="str">
        <f>HYPERLINK("http://mirror.ff7data.com.ar/ff7/data/battle/battle.lgp/pzae.png","View Picture")</f>
        <v>View Picture</v>
      </c>
    </row>
    <row r="9296">
      <c r="A9296" s="55"/>
      <c r="B9296" s="119" t="s">
        <v>41594</v>
      </c>
      <c r="C9296" s="120" t="s">
        <v>26104</v>
      </c>
      <c r="D9296" s="31"/>
      <c r="F9296" s="121" t="s">
        <v>1348</v>
      </c>
      <c r="G9296" s="98" t="str">
        <f>HYPERLINK("http://mirror.ff7data.com.ar/ff7/data/battle/battle.lgp/pzaf.png","View Picture")</f>
        <v>View Picture</v>
      </c>
    </row>
    <row r="9297">
      <c r="A9297" s="55"/>
      <c r="B9297" s="119" t="s">
        <v>41595</v>
      </c>
      <c r="C9297" s="120" t="s">
        <v>6018</v>
      </c>
      <c r="D9297" s="31"/>
      <c r="F9297" s="121" t="s">
        <v>1348</v>
      </c>
      <c r="G9297" s="98" t="str">
        <f>HYPERLINK("http://mirror.ff7data.com.ar/ff7/data/battle/battle.lgp/pzag.png","View Picture")</f>
        <v>View Picture</v>
      </c>
    </row>
    <row r="9298">
      <c r="A9298" s="55"/>
      <c r="B9298" s="119" t="s">
        <v>41596</v>
      </c>
      <c r="C9298" s="120" t="s">
        <v>26095</v>
      </c>
      <c r="D9298" s="31"/>
      <c r="F9298" s="121" t="s">
        <v>1348</v>
      </c>
      <c r="G9298" s="98" t="str">
        <f>HYPERLINK("http://mirror.ff7data.com.ar/ff7/data/battle/battle.lgp/pzah.png","View Picture")</f>
        <v>View Picture</v>
      </c>
    </row>
    <row r="9299">
      <c r="A9299" s="55"/>
      <c r="B9299" s="119" t="s">
        <v>41597</v>
      </c>
      <c r="C9299" s="120" t="s">
        <v>26179</v>
      </c>
      <c r="D9299" s="31"/>
      <c r="F9299" s="121" t="s">
        <v>3009</v>
      </c>
      <c r="G9299" s="98" t="str">
        <f>HYPERLINK("http://mirror.ff7data.com.ar/ff7/data/battle/battle.lgp/pzam.png","View Picture")</f>
        <v>View Picture</v>
      </c>
    </row>
    <row r="9300">
      <c r="A9300" s="55"/>
      <c r="B9300" s="119" t="s">
        <v>41598</v>
      </c>
      <c r="C9300" s="120" t="s">
        <v>4846</v>
      </c>
      <c r="D9300" s="31"/>
      <c r="F9300" s="121" t="s">
        <v>3009</v>
      </c>
      <c r="G9300" s="98" t="str">
        <f>HYPERLINK("http://mirror.ff7data.com.ar/ff7/data/battle/battle.lgp/pzan.png","View Picture")</f>
        <v>View Picture</v>
      </c>
    </row>
    <row r="9301">
      <c r="A9301" s="55"/>
      <c r="B9301" s="119" t="s">
        <v>41599</v>
      </c>
      <c r="C9301" s="120" t="s">
        <v>4846</v>
      </c>
      <c r="D9301" s="31"/>
      <c r="F9301" s="121" t="s">
        <v>3009</v>
      </c>
      <c r="G9301" s="98" t="str">
        <f>HYPERLINK("http://mirror.ff7data.com.ar/ff7/data/battle/battle.lgp/pzao.png","View Picture")</f>
        <v>View Picture</v>
      </c>
    </row>
    <row r="9302">
      <c r="A9302" s="55"/>
      <c r="B9302" s="119" t="s">
        <v>41600</v>
      </c>
      <c r="C9302" s="120" t="s">
        <v>4846</v>
      </c>
      <c r="D9302" s="31"/>
      <c r="F9302" s="121" t="s">
        <v>3009</v>
      </c>
      <c r="G9302" s="98" t="str">
        <f>HYPERLINK("http://mirror.ff7data.com.ar/ff7/data/battle/battle.lgp/pzap.png","View Picture")</f>
        <v>View Picture</v>
      </c>
    </row>
    <row r="9303">
      <c r="A9303" s="55"/>
      <c r="B9303" s="119" t="s">
        <v>41601</v>
      </c>
      <c r="C9303" s="120" t="s">
        <v>3505</v>
      </c>
      <c r="D9303" s="31"/>
      <c r="F9303" s="121" t="s">
        <v>3009</v>
      </c>
      <c r="G9303" s="98" t="str">
        <f>HYPERLINK("http://mirror.ff7data.com.ar/ff7/data/battle/battle.lgp/pzaq.png","View Picture")</f>
        <v>View Picture</v>
      </c>
    </row>
    <row r="9304">
      <c r="A9304" s="55"/>
      <c r="B9304" s="119" t="s">
        <v>41602</v>
      </c>
      <c r="C9304" s="120" t="s">
        <v>3749</v>
      </c>
      <c r="D9304" s="31"/>
      <c r="F9304" s="121" t="s">
        <v>3009</v>
      </c>
      <c r="G9304" s="98" t="str">
        <f>HYPERLINK("http://mirror.ff7data.com.ar/ff7/data/battle/battle.lgp/pzar.png","View Picture")</f>
        <v>View Picture</v>
      </c>
    </row>
    <row r="9305">
      <c r="A9305" s="55"/>
      <c r="B9305" s="119" t="s">
        <v>41603</v>
      </c>
      <c r="C9305" s="120" t="s">
        <v>5891</v>
      </c>
      <c r="D9305" s="31"/>
      <c r="F9305" s="121" t="s">
        <v>3009</v>
      </c>
      <c r="G9305" s="98" t="str">
        <f>HYPERLINK("http://mirror.ff7data.com.ar/ff7/data/battle/battle.lgp/pzas.png","View Picture")</f>
        <v>View Picture</v>
      </c>
    </row>
    <row r="9306">
      <c r="A9306" s="55"/>
      <c r="B9306" s="119" t="s">
        <v>41604</v>
      </c>
      <c r="C9306" s="120" t="s">
        <v>4030</v>
      </c>
      <c r="D9306" s="31"/>
      <c r="F9306" s="121" t="s">
        <v>3009</v>
      </c>
      <c r="G9306" s="98" t="str">
        <f>HYPERLINK("http://mirror.ff7data.com.ar/ff7/data/battle/battle.lgp/pzat.png","View Picture")</f>
        <v>View Picture</v>
      </c>
    </row>
    <row r="9307">
      <c r="A9307" s="55"/>
      <c r="B9307" s="119" t="s">
        <v>41605</v>
      </c>
      <c r="C9307" s="120" t="s">
        <v>7165</v>
      </c>
      <c r="D9307" s="31"/>
      <c r="F9307" s="121" t="s">
        <v>3009</v>
      </c>
      <c r="G9307" s="98" t="str">
        <f>HYPERLINK("http://mirror.ff7data.com.ar/ff7/data/battle/battle.lgp/pzau.png","View Picture")</f>
        <v>View Picture</v>
      </c>
    </row>
    <row r="9308">
      <c r="A9308" s="55"/>
      <c r="B9308" s="119" t="s">
        <v>41606</v>
      </c>
      <c r="C9308" s="120" t="s">
        <v>3842</v>
      </c>
      <c r="D9308" s="31"/>
      <c r="F9308" s="121" t="s">
        <v>3009</v>
      </c>
      <c r="G9308" s="98" t="str">
        <f>HYPERLINK("http://mirror.ff7data.com.ar/ff7/data/battle/battle.lgp/pzav.png","View Picture")</f>
        <v>View Picture</v>
      </c>
    </row>
    <row r="9309">
      <c r="A9309" s="55"/>
      <c r="B9309" s="119" t="s">
        <v>41607</v>
      </c>
      <c r="C9309" s="120" t="s">
        <v>4357</v>
      </c>
      <c r="D9309" s="31"/>
      <c r="F9309" s="121" t="s">
        <v>3009</v>
      </c>
      <c r="G9309" s="98" t="str">
        <f>HYPERLINK("http://mirror.ff7data.com.ar/ff7/data/battle/battle.lgp/pzaw.png","View Picture")</f>
        <v>View Picture</v>
      </c>
    </row>
    <row r="9310">
      <c r="A9310" s="55"/>
      <c r="B9310" s="119" t="s">
        <v>41608</v>
      </c>
      <c r="C9310" s="120" t="s">
        <v>4357</v>
      </c>
      <c r="D9310" s="31"/>
      <c r="F9310" s="121" t="s">
        <v>3009</v>
      </c>
      <c r="G9310" s="98" t="str">
        <f>HYPERLINK("http://mirror.ff7data.com.ar/ff7/data/battle/battle.lgp/pzax.png","View Picture")</f>
        <v>View Picture</v>
      </c>
    </row>
    <row r="9311">
      <c r="A9311" s="55"/>
      <c r="B9311" s="119" t="s">
        <v>41609</v>
      </c>
      <c r="C9311" s="120" t="s">
        <v>4357</v>
      </c>
      <c r="D9311" s="31"/>
      <c r="F9311" s="121" t="s">
        <v>3009</v>
      </c>
      <c r="G9311" s="98" t="str">
        <f>HYPERLINK("http://mirror.ff7data.com.ar/ff7/data/battle/battle.lgp/pzay.png","View Picture")</f>
        <v>View Picture</v>
      </c>
    </row>
    <row r="9312">
      <c r="A9312" s="55"/>
      <c r="B9312" s="119" t="s">
        <v>41610</v>
      </c>
      <c r="C9312" s="120" t="s">
        <v>4439</v>
      </c>
      <c r="D9312" s="31"/>
      <c r="F9312" s="121" t="s">
        <v>3009</v>
      </c>
      <c r="G9312" s="98" t="str">
        <f>HYPERLINK("http://mirror.ff7data.com.ar/ff7/data/battle/battle.lgp/pzaz.png","View Picture")</f>
        <v>View Picture</v>
      </c>
    </row>
    <row r="9313">
      <c r="A9313" s="55"/>
      <c r="B9313" s="119" t="s">
        <v>41611</v>
      </c>
      <c r="C9313" s="120" t="s">
        <v>4439</v>
      </c>
      <c r="D9313" s="31"/>
      <c r="F9313" s="121" t="s">
        <v>3009</v>
      </c>
      <c r="G9313" s="98" t="str">
        <f>HYPERLINK("http://mirror.ff7data.com.ar/ff7/data/battle/battle.lgp/pzba.png","View Picture")</f>
        <v>View Picture</v>
      </c>
    </row>
    <row r="9314">
      <c r="A9314" s="55"/>
      <c r="B9314" s="119" t="s">
        <v>41612</v>
      </c>
      <c r="C9314" s="120" t="s">
        <v>4439</v>
      </c>
      <c r="D9314" s="31"/>
      <c r="F9314" s="121" t="s">
        <v>3009</v>
      </c>
      <c r="G9314" s="98" t="str">
        <f>HYPERLINK("http://mirror.ff7data.com.ar/ff7/data/battle/battle.lgp/pzbb.png","View Picture")</f>
        <v>View Picture</v>
      </c>
    </row>
    <row r="9315">
      <c r="A9315" s="55"/>
      <c r="B9315" s="119" t="s">
        <v>41613</v>
      </c>
      <c r="C9315" s="120" t="s">
        <v>4439</v>
      </c>
      <c r="D9315" s="31"/>
      <c r="F9315" s="121" t="s">
        <v>3009</v>
      </c>
      <c r="G9315" s="98" t="str">
        <f>HYPERLINK("http://mirror.ff7data.com.ar/ff7/data/battle/battle.lgp/pzbc.png","View Picture")</f>
        <v>View Picture</v>
      </c>
    </row>
    <row r="9316">
      <c r="A9316" s="55"/>
      <c r="B9316" s="119" t="s">
        <v>41614</v>
      </c>
      <c r="C9316" s="120" t="s">
        <v>4439</v>
      </c>
      <c r="D9316" s="31"/>
      <c r="F9316" s="121" t="s">
        <v>3009</v>
      </c>
      <c r="G9316" s="98" t="str">
        <f>HYPERLINK("http://mirror.ff7data.com.ar/ff7/data/battle/battle.lgp/pzbd.png","View Picture")</f>
        <v>View Picture</v>
      </c>
    </row>
    <row r="9317">
      <c r="A9317" s="55"/>
      <c r="B9317" s="119" t="s">
        <v>41615</v>
      </c>
      <c r="C9317" s="120" t="s">
        <v>4439</v>
      </c>
      <c r="D9317" s="31"/>
      <c r="F9317" s="121" t="s">
        <v>3009</v>
      </c>
      <c r="G9317" s="98" t="str">
        <f>HYPERLINK("http://mirror.ff7data.com.ar/ff7/data/battle/battle.lgp/pzbe.png","View Picture")</f>
        <v>View Picture</v>
      </c>
    </row>
    <row r="9318">
      <c r="A9318" s="79"/>
      <c r="B9318" s="119" t="s">
        <v>41616</v>
      </c>
      <c r="C9318" s="120" t="s">
        <v>40553</v>
      </c>
      <c r="D9318" s="33" t="s">
        <v>41617</v>
      </c>
      <c r="F9318" s="121" t="s">
        <v>2756</v>
      </c>
      <c r="G9318" s="98" t="str">
        <f>HYPERLINK("http://mirror.ff7data.com.ar/ff7/data/battle/battle.lgp/qaaa.png","View Picture")</f>
        <v>View Picture</v>
      </c>
    </row>
    <row r="9319">
      <c r="A9319" s="55"/>
      <c r="B9319" s="119" t="s">
        <v>41618</v>
      </c>
      <c r="C9319" s="120" t="s">
        <v>40556</v>
      </c>
      <c r="D9319" s="31"/>
      <c r="F9319" s="121" t="s">
        <v>2993</v>
      </c>
    </row>
    <row r="9320">
      <c r="A9320" s="55"/>
      <c r="B9320" s="119" t="s">
        <v>41619</v>
      </c>
      <c r="C9320" s="120" t="s">
        <v>26095</v>
      </c>
      <c r="D9320" s="31"/>
      <c r="F9320" s="121" t="s">
        <v>1348</v>
      </c>
      <c r="G9320" s="98" t="str">
        <f>HYPERLINK("http://mirror.ff7data.com.ar/ff7/data/battle/battle.lgp/qaac.png","View Picture")</f>
        <v>View Picture</v>
      </c>
    </row>
    <row r="9321">
      <c r="A9321" s="55"/>
      <c r="B9321" s="119" t="s">
        <v>41620</v>
      </c>
      <c r="C9321" s="120" t="s">
        <v>6018</v>
      </c>
      <c r="D9321" s="31"/>
      <c r="F9321" s="121" t="s">
        <v>1348</v>
      </c>
      <c r="G9321" s="98" t="str">
        <f>HYPERLINK("http://mirror.ff7data.com.ar/ff7/data/battle/battle.lgp/qaad.png","View Picture")</f>
        <v>View Picture</v>
      </c>
    </row>
    <row r="9322">
      <c r="A9322" s="55"/>
      <c r="B9322" s="119" t="s">
        <v>41621</v>
      </c>
      <c r="C9322" s="120" t="s">
        <v>26095</v>
      </c>
      <c r="D9322" s="31"/>
      <c r="F9322" s="121" t="s">
        <v>1348</v>
      </c>
      <c r="G9322" s="98" t="str">
        <f>HYPERLINK("http://mirror.ff7data.com.ar/ff7/data/battle/battle.lgp/qaae.png","View Picture")</f>
        <v>View Picture</v>
      </c>
    </row>
    <row r="9323">
      <c r="A9323" s="55"/>
      <c r="B9323" s="119" t="s">
        <v>41622</v>
      </c>
      <c r="C9323" s="120" t="s">
        <v>26095</v>
      </c>
      <c r="D9323" s="31"/>
      <c r="F9323" s="121" t="s">
        <v>1348</v>
      </c>
      <c r="G9323" s="98" t="str">
        <f>HYPERLINK("http://mirror.ff7data.com.ar/ff7/data/battle/battle.lgp/qaaf.png","View Picture")</f>
        <v>View Picture</v>
      </c>
    </row>
    <row r="9324">
      <c r="A9324" s="55"/>
      <c r="B9324" s="119" t="s">
        <v>41623</v>
      </c>
      <c r="C9324" s="120" t="s">
        <v>26095</v>
      </c>
      <c r="D9324" s="31"/>
      <c r="F9324" s="121" t="s">
        <v>1348</v>
      </c>
      <c r="G9324" s="98" t="str">
        <f>HYPERLINK("http://mirror.ff7data.com.ar/ff7/data/battle/battle.lgp/qaag.png","View Picture")</f>
        <v>View Picture</v>
      </c>
    </row>
    <row r="9325">
      <c r="A9325" s="55"/>
      <c r="B9325" s="119" t="s">
        <v>41624</v>
      </c>
      <c r="C9325" s="120" t="s">
        <v>6018</v>
      </c>
      <c r="D9325" s="31"/>
      <c r="F9325" s="121" t="s">
        <v>1348</v>
      </c>
      <c r="G9325" s="98" t="str">
        <f>HYPERLINK("http://mirror.ff7data.com.ar/ff7/data/battle/battle.lgp/qaah.png","View Picture")</f>
        <v>View Picture</v>
      </c>
    </row>
    <row r="9326">
      <c r="A9326" s="55"/>
      <c r="B9326" s="119" t="s">
        <v>41625</v>
      </c>
      <c r="C9326" s="120" t="s">
        <v>26104</v>
      </c>
      <c r="D9326" s="31"/>
      <c r="F9326" s="121" t="s">
        <v>1348</v>
      </c>
      <c r="G9326" s="98" t="str">
        <f>HYPERLINK("http://mirror.ff7data.com.ar/ff7/data/battle/battle.lgp/qaai.png","View Picture")</f>
        <v>View Picture</v>
      </c>
    </row>
    <row r="9327">
      <c r="A9327" s="55"/>
      <c r="B9327" s="119" t="s">
        <v>41626</v>
      </c>
      <c r="C9327" s="120" t="s">
        <v>6018</v>
      </c>
      <c r="D9327" s="31"/>
      <c r="F9327" s="121" t="s">
        <v>1348</v>
      </c>
      <c r="G9327" s="98" t="str">
        <f>HYPERLINK("http://mirror.ff7data.com.ar/ff7/data/battle/battle.lgp/qaaj.png","View Picture")</f>
        <v>View Picture</v>
      </c>
    </row>
    <row r="9328">
      <c r="A9328" s="55"/>
      <c r="B9328" s="119" t="s">
        <v>41627</v>
      </c>
      <c r="C9328" s="120" t="s">
        <v>11918</v>
      </c>
      <c r="D9328" s="31"/>
      <c r="F9328" s="121" t="s">
        <v>3009</v>
      </c>
      <c r="G9328" s="98" t="str">
        <f>HYPERLINK("http://mirror.ff7data.com.ar/ff7/data/battle/battle.lgp/qaam.png","View Picture")</f>
        <v>View Picture</v>
      </c>
    </row>
    <row r="9329">
      <c r="A9329" s="55"/>
      <c r="B9329" s="119" t="s">
        <v>41628</v>
      </c>
      <c r="C9329" s="120" t="s">
        <v>4846</v>
      </c>
      <c r="D9329" s="31"/>
      <c r="F9329" s="121" t="s">
        <v>3009</v>
      </c>
      <c r="G9329" s="98" t="str">
        <f>HYPERLINK("http://mirror.ff7data.com.ar/ff7/data/battle/battle.lgp/qaan.png","View Picture")</f>
        <v>View Picture</v>
      </c>
    </row>
    <row r="9330">
      <c r="A9330" s="55"/>
      <c r="B9330" s="119" t="s">
        <v>41629</v>
      </c>
      <c r="C9330" s="120" t="s">
        <v>4846</v>
      </c>
      <c r="D9330" s="31"/>
      <c r="F9330" s="121" t="s">
        <v>3009</v>
      </c>
      <c r="G9330" s="98" t="str">
        <f>HYPERLINK("http://mirror.ff7data.com.ar/ff7/data/battle/battle.lgp/qaao.png","View Picture")</f>
        <v>View Picture</v>
      </c>
    </row>
    <row r="9331">
      <c r="A9331" s="55"/>
      <c r="B9331" s="119" t="s">
        <v>41630</v>
      </c>
      <c r="C9331" s="120" t="s">
        <v>4846</v>
      </c>
      <c r="D9331" s="31"/>
      <c r="F9331" s="121" t="s">
        <v>3009</v>
      </c>
      <c r="G9331" s="98" t="str">
        <f>HYPERLINK("http://mirror.ff7data.com.ar/ff7/data/battle/battle.lgp/qaap.png","View Picture")</f>
        <v>View Picture</v>
      </c>
    </row>
    <row r="9332">
      <c r="A9332" s="55"/>
      <c r="B9332" s="119" t="s">
        <v>41631</v>
      </c>
      <c r="C9332" s="120" t="s">
        <v>5203</v>
      </c>
      <c r="D9332" s="31"/>
      <c r="F9332" s="121" t="s">
        <v>3009</v>
      </c>
      <c r="G9332" s="98" t="str">
        <f>HYPERLINK("http://mirror.ff7data.com.ar/ff7/data/battle/battle.lgp/qaaq.png","View Picture")</f>
        <v>View Picture</v>
      </c>
    </row>
    <row r="9333">
      <c r="A9333" s="55"/>
      <c r="B9333" s="119" t="s">
        <v>41632</v>
      </c>
      <c r="C9333" s="120" t="s">
        <v>5891</v>
      </c>
      <c r="D9333" s="31"/>
      <c r="F9333" s="121" t="s">
        <v>3009</v>
      </c>
      <c r="G9333" s="98" t="str">
        <f>HYPERLINK("http://mirror.ff7data.com.ar/ff7/data/battle/battle.lgp/qaar.png","View Picture")</f>
        <v>View Picture</v>
      </c>
    </row>
    <row r="9334">
      <c r="A9334" s="55"/>
      <c r="B9334" s="119" t="s">
        <v>41633</v>
      </c>
      <c r="C9334" s="120" t="s">
        <v>7081</v>
      </c>
      <c r="D9334" s="31"/>
      <c r="F9334" s="121" t="s">
        <v>3009</v>
      </c>
      <c r="G9334" s="98" t="str">
        <f>HYPERLINK("http://mirror.ff7data.com.ar/ff7/data/battle/battle.lgp/qaas.png","View Picture")</f>
        <v>View Picture</v>
      </c>
    </row>
    <row r="9335">
      <c r="A9335" s="55"/>
      <c r="B9335" s="119" t="s">
        <v>41634</v>
      </c>
      <c r="C9335" s="120" t="s">
        <v>4732</v>
      </c>
      <c r="D9335" s="31"/>
      <c r="F9335" s="121" t="s">
        <v>3009</v>
      </c>
      <c r="G9335" s="98" t="str">
        <f>HYPERLINK("http://mirror.ff7data.com.ar/ff7/data/battle/battle.lgp/qaat.png","View Picture")</f>
        <v>View Picture</v>
      </c>
    </row>
    <row r="9336">
      <c r="A9336" s="55"/>
      <c r="B9336" s="119" t="s">
        <v>41635</v>
      </c>
      <c r="C9336" s="120" t="s">
        <v>6789</v>
      </c>
      <c r="D9336" s="31"/>
      <c r="F9336" s="121" t="s">
        <v>3009</v>
      </c>
      <c r="G9336" s="98" t="str">
        <f>HYPERLINK("http://mirror.ff7data.com.ar/ff7/data/battle/battle.lgp/qaau.png","View Picture")</f>
        <v>View Picture</v>
      </c>
    </row>
    <row r="9337">
      <c r="A9337" s="55"/>
      <c r="B9337" s="119" t="s">
        <v>41636</v>
      </c>
      <c r="C9337" s="120" t="s">
        <v>4288</v>
      </c>
      <c r="D9337" s="31"/>
      <c r="F9337" s="121" t="s">
        <v>3009</v>
      </c>
      <c r="G9337" s="98" t="str">
        <f>HYPERLINK("http://mirror.ff7data.com.ar/ff7/data/battle/battle.lgp/qaav.png","View Picture")</f>
        <v>View Picture</v>
      </c>
    </row>
    <row r="9338">
      <c r="A9338" s="55"/>
      <c r="B9338" s="119" t="s">
        <v>41637</v>
      </c>
      <c r="C9338" s="120" t="s">
        <v>3961</v>
      </c>
      <c r="D9338" s="31"/>
      <c r="F9338" s="121" t="s">
        <v>3009</v>
      </c>
      <c r="G9338" s="98" t="str">
        <f>HYPERLINK("http://mirror.ff7data.com.ar/ff7/data/battle/battle.lgp/qaaw.png","View Picture")</f>
        <v>View Picture</v>
      </c>
    </row>
    <row r="9339">
      <c r="A9339" s="55"/>
      <c r="B9339" s="119" t="s">
        <v>41638</v>
      </c>
      <c r="C9339" s="120" t="s">
        <v>13844</v>
      </c>
      <c r="D9339" s="31"/>
      <c r="F9339" s="121" t="s">
        <v>3009</v>
      </c>
      <c r="G9339" s="98" t="str">
        <f>HYPERLINK("http://mirror.ff7data.com.ar/ff7/data/battle/battle.lgp/qaax.png","View Picture")</f>
        <v>View Picture</v>
      </c>
    </row>
    <row r="9340">
      <c r="A9340" s="55"/>
      <c r="B9340" s="119" t="s">
        <v>41639</v>
      </c>
      <c r="C9340" s="120" t="s">
        <v>3412</v>
      </c>
      <c r="D9340" s="31"/>
      <c r="F9340" s="121" t="s">
        <v>3009</v>
      </c>
      <c r="G9340" s="98" t="str">
        <f>HYPERLINK("http://mirror.ff7data.com.ar/ff7/data/battle/battle.lgp/qaay.png","View Picture")</f>
        <v>View Picture</v>
      </c>
    </row>
    <row r="9341">
      <c r="A9341" s="55"/>
      <c r="B9341" s="119" t="s">
        <v>41640</v>
      </c>
      <c r="C9341" s="120" t="s">
        <v>3961</v>
      </c>
      <c r="D9341" s="31"/>
      <c r="F9341" s="121" t="s">
        <v>3009</v>
      </c>
      <c r="G9341" s="98" t="str">
        <f>HYPERLINK("http://mirror.ff7data.com.ar/ff7/data/battle/battle.lgp/qaaz.png","View Picture")</f>
        <v>View Picture</v>
      </c>
    </row>
    <row r="9342">
      <c r="A9342" s="55"/>
      <c r="B9342" s="119" t="s">
        <v>41641</v>
      </c>
      <c r="C9342" s="120" t="s">
        <v>3842</v>
      </c>
      <c r="D9342" s="31"/>
      <c r="F9342" s="121" t="s">
        <v>3009</v>
      </c>
      <c r="G9342" s="98" t="str">
        <f>HYPERLINK("http://mirror.ff7data.com.ar/ff7/data/battle/battle.lgp/qaba.png","View Picture")</f>
        <v>View Picture</v>
      </c>
    </row>
    <row r="9343">
      <c r="A9343" s="55"/>
      <c r="B9343" s="119" t="s">
        <v>41642</v>
      </c>
      <c r="C9343" s="120" t="s">
        <v>7081</v>
      </c>
      <c r="D9343" s="31"/>
      <c r="F9343" s="121" t="s">
        <v>3009</v>
      </c>
      <c r="G9343" s="98" t="str">
        <f>HYPERLINK("http://mirror.ff7data.com.ar/ff7/data/battle/battle.lgp/qabb.png","View Picture")</f>
        <v>View Picture</v>
      </c>
    </row>
    <row r="9344">
      <c r="A9344" s="55"/>
      <c r="B9344" s="119" t="s">
        <v>41643</v>
      </c>
      <c r="C9344" s="120" t="s">
        <v>4217</v>
      </c>
      <c r="D9344" s="31"/>
      <c r="F9344" s="121" t="s">
        <v>3009</v>
      </c>
      <c r="G9344" s="98" t="str">
        <f>HYPERLINK("http://mirror.ff7data.com.ar/ff7/data/battle/battle.lgp/qabc.png","View Picture")</f>
        <v>View Picture</v>
      </c>
    </row>
    <row r="9345">
      <c r="A9345" s="55"/>
      <c r="B9345" s="119" t="s">
        <v>41644</v>
      </c>
      <c r="C9345" s="120" t="s">
        <v>5203</v>
      </c>
      <c r="D9345" s="31"/>
      <c r="F9345" s="121" t="s">
        <v>3009</v>
      </c>
      <c r="G9345" s="98" t="str">
        <f>HYPERLINK("http://mirror.ff7data.com.ar/ff7/data/battle/battle.lgp/qabd.png","View Picture")</f>
        <v>View Picture</v>
      </c>
    </row>
    <row r="9346">
      <c r="A9346" s="40"/>
      <c r="B9346" s="119" t="s">
        <v>41645</v>
      </c>
      <c r="C9346" s="120" t="s">
        <v>40553</v>
      </c>
      <c r="D9346" s="33" t="s">
        <v>41646</v>
      </c>
      <c r="F9346" s="121" t="s">
        <v>2756</v>
      </c>
      <c r="G9346" s="98" t="str">
        <f>HYPERLINK("http://mirror.ff7data.com.ar/ff7/data/battle/battle.lgp/qbaa.png","View Picture")</f>
        <v>View Picture</v>
      </c>
    </row>
    <row r="9347">
      <c r="A9347" s="55"/>
      <c r="B9347" s="119" t="s">
        <v>41647</v>
      </c>
      <c r="C9347" s="120" t="s">
        <v>40556</v>
      </c>
      <c r="D9347" s="31"/>
      <c r="F9347" s="121" t="s">
        <v>2993</v>
      </c>
    </row>
    <row r="9348">
      <c r="A9348" s="55"/>
      <c r="B9348" s="119" t="s">
        <v>41648</v>
      </c>
      <c r="C9348" s="120" t="s">
        <v>26104</v>
      </c>
      <c r="D9348" s="31"/>
      <c r="F9348" s="121" t="s">
        <v>1348</v>
      </c>
      <c r="G9348" s="98" t="str">
        <f>HYPERLINK("http://mirror.ff7data.com.ar/ff7/data/battle/battle.lgp/qbac.png","View Picture")</f>
        <v>View Picture</v>
      </c>
    </row>
    <row r="9349">
      <c r="A9349" s="55"/>
      <c r="B9349" s="119" t="s">
        <v>41649</v>
      </c>
      <c r="C9349" s="120" t="s">
        <v>26104</v>
      </c>
      <c r="D9349" s="31"/>
      <c r="F9349" s="121" t="s">
        <v>1348</v>
      </c>
      <c r="G9349" s="98" t="str">
        <f>HYPERLINK("http://mirror.ff7data.com.ar/ff7/data/battle/battle.lgp/qbad.png","View Picture")</f>
        <v>View Picture</v>
      </c>
    </row>
    <row r="9350">
      <c r="A9350" s="55"/>
      <c r="B9350" s="119" t="s">
        <v>41650</v>
      </c>
      <c r="C9350" s="120" t="s">
        <v>26095</v>
      </c>
      <c r="D9350" s="31"/>
      <c r="F9350" s="121" t="s">
        <v>1348</v>
      </c>
      <c r="G9350" s="98" t="str">
        <f>HYPERLINK("http://mirror.ff7data.com.ar/ff7/data/battle/battle.lgp/qbae.png","View Picture")</f>
        <v>View Picture</v>
      </c>
    </row>
    <row r="9351">
      <c r="A9351" s="55"/>
      <c r="B9351" s="119" t="s">
        <v>41651</v>
      </c>
      <c r="C9351" s="120" t="s">
        <v>6018</v>
      </c>
      <c r="D9351" s="31"/>
      <c r="F9351" s="121" t="s">
        <v>1348</v>
      </c>
      <c r="G9351" s="98" t="str">
        <f>HYPERLINK("http://mirror.ff7data.com.ar/ff7/data/battle/battle.lgp/qbaf.png","View Picture")</f>
        <v>View Picture</v>
      </c>
    </row>
    <row r="9352">
      <c r="A9352" s="55"/>
      <c r="B9352" s="119" t="s">
        <v>41652</v>
      </c>
      <c r="C9352" s="120" t="s">
        <v>26095</v>
      </c>
      <c r="D9352" s="31"/>
      <c r="F9352" s="121" t="s">
        <v>1348</v>
      </c>
      <c r="G9352" s="98" t="str">
        <f>HYPERLINK("http://mirror.ff7data.com.ar/ff7/data/battle/battle.lgp/qbag.png","View Picture")</f>
        <v>View Picture</v>
      </c>
    </row>
    <row r="9353">
      <c r="A9353" s="55"/>
      <c r="B9353" s="119" t="s">
        <v>41653</v>
      </c>
      <c r="C9353" s="120" t="s">
        <v>26095</v>
      </c>
      <c r="D9353" s="31"/>
      <c r="F9353" s="121" t="s">
        <v>1348</v>
      </c>
      <c r="G9353" s="98" t="str">
        <f>HYPERLINK("http://mirror.ff7data.com.ar/ff7/data/battle/battle.lgp/qbah.png","View Picture")</f>
        <v>View Picture</v>
      </c>
    </row>
    <row r="9354">
      <c r="A9354" s="55"/>
      <c r="B9354" s="119" t="s">
        <v>41654</v>
      </c>
      <c r="C9354" s="120" t="s">
        <v>6018</v>
      </c>
      <c r="D9354" s="31"/>
      <c r="F9354" s="121" t="s">
        <v>1348</v>
      </c>
      <c r="G9354" s="98" t="str">
        <f>HYPERLINK("http://mirror.ff7data.com.ar/ff7/data/battle/battle.lgp/qbai.png","View Picture")</f>
        <v>View Picture</v>
      </c>
    </row>
    <row r="9355">
      <c r="A9355" s="55"/>
      <c r="B9355" s="119" t="s">
        <v>41655</v>
      </c>
      <c r="C9355" s="120" t="s">
        <v>6018</v>
      </c>
      <c r="D9355" s="31"/>
      <c r="F9355" s="121" t="s">
        <v>1348</v>
      </c>
      <c r="G9355" s="98" t="str">
        <f>HYPERLINK("http://mirror.ff7data.com.ar/ff7/data/battle/battle.lgp/qbaj.png","View Picture")</f>
        <v>View Picture</v>
      </c>
    </row>
    <row r="9356">
      <c r="A9356" s="55"/>
      <c r="B9356" s="119" t="s">
        <v>41656</v>
      </c>
      <c r="C9356" s="120" t="s">
        <v>3399</v>
      </c>
      <c r="D9356" s="31"/>
      <c r="F9356" s="121" t="s">
        <v>3009</v>
      </c>
      <c r="G9356" s="98" t="str">
        <f>HYPERLINK("http://mirror.ff7data.com.ar/ff7/data/battle/battle.lgp/qbam.png","View Picture")</f>
        <v>View Picture</v>
      </c>
    </row>
    <row r="9357">
      <c r="A9357" s="55"/>
      <c r="B9357" s="119" t="s">
        <v>41657</v>
      </c>
      <c r="C9357" s="120" t="s">
        <v>3768</v>
      </c>
      <c r="D9357" s="31"/>
      <c r="F9357" s="121" t="s">
        <v>3009</v>
      </c>
      <c r="G9357" s="98" t="str">
        <f>HYPERLINK("http://mirror.ff7data.com.ar/ff7/data/battle/battle.lgp/qban.png","View Picture")</f>
        <v>View Picture</v>
      </c>
    </row>
    <row r="9358">
      <c r="A9358" s="55"/>
      <c r="B9358" s="119" t="s">
        <v>41658</v>
      </c>
      <c r="C9358" s="120" t="s">
        <v>3842</v>
      </c>
      <c r="D9358" s="31"/>
      <c r="F9358" s="121" t="s">
        <v>3009</v>
      </c>
      <c r="G9358" s="98" t="str">
        <f>HYPERLINK("http://mirror.ff7data.com.ar/ff7/data/battle/battle.lgp/qbao.png","View Picture")</f>
        <v>View Picture</v>
      </c>
    </row>
    <row r="9359">
      <c r="A9359" s="55"/>
      <c r="B9359" s="119" t="s">
        <v>41659</v>
      </c>
      <c r="C9359" s="120" t="s">
        <v>4476</v>
      </c>
      <c r="D9359" s="31"/>
      <c r="F9359" s="121" t="s">
        <v>3009</v>
      </c>
      <c r="G9359" s="98" t="str">
        <f>HYPERLINK("http://mirror.ff7data.com.ar/ff7/data/battle/battle.lgp/qbap.png","View Picture")</f>
        <v>View Picture</v>
      </c>
    </row>
    <row r="9360">
      <c r="A9360" s="55"/>
      <c r="B9360" s="119" t="s">
        <v>41660</v>
      </c>
      <c r="C9360" s="120" t="s">
        <v>3494</v>
      </c>
      <c r="D9360" s="31"/>
      <c r="F9360" s="121" t="s">
        <v>3009</v>
      </c>
      <c r="G9360" s="98" t="str">
        <f>HYPERLINK("http://mirror.ff7data.com.ar/ff7/data/battle/battle.lgp/qbaq.png","View Picture")</f>
        <v>View Picture</v>
      </c>
    </row>
    <row r="9361">
      <c r="A9361" s="55"/>
      <c r="B9361" s="119" t="s">
        <v>41661</v>
      </c>
      <c r="C9361" s="120" t="s">
        <v>3573</v>
      </c>
      <c r="D9361" s="31"/>
      <c r="F9361" s="121" t="s">
        <v>3009</v>
      </c>
      <c r="G9361" s="98" t="str">
        <f>HYPERLINK("http://mirror.ff7data.com.ar/ff7/data/battle/battle.lgp/qbar.png","View Picture")</f>
        <v>View Picture</v>
      </c>
    </row>
    <row r="9362">
      <c r="A9362" s="55"/>
      <c r="B9362" s="119" t="s">
        <v>41662</v>
      </c>
      <c r="C9362" s="120" t="s">
        <v>7871</v>
      </c>
      <c r="D9362" s="31"/>
      <c r="F9362" s="121" t="s">
        <v>3009</v>
      </c>
      <c r="G9362" s="98" t="str">
        <f>HYPERLINK("http://mirror.ff7data.com.ar/ff7/data/battle/battle.lgp/qbas.png","View Picture")</f>
        <v>View Picture</v>
      </c>
    </row>
    <row r="9363">
      <c r="A9363" s="55"/>
      <c r="B9363" s="119" t="s">
        <v>41663</v>
      </c>
      <c r="C9363" s="120" t="s">
        <v>5419</v>
      </c>
      <c r="D9363" s="31"/>
      <c r="F9363" s="121" t="s">
        <v>3009</v>
      </c>
      <c r="G9363" s="98" t="str">
        <f>HYPERLINK("http://mirror.ff7data.com.ar/ff7/data/battle/battle.lgp/qbat.png","View Picture")</f>
        <v>View Picture</v>
      </c>
    </row>
    <row r="9364">
      <c r="A9364" s="55"/>
      <c r="B9364" s="119" t="s">
        <v>41664</v>
      </c>
      <c r="C9364" s="120" t="s">
        <v>9600</v>
      </c>
      <c r="D9364" s="31"/>
      <c r="F9364" s="121" t="s">
        <v>3009</v>
      </c>
      <c r="G9364" s="98" t="str">
        <f>HYPERLINK("http://mirror.ff7data.com.ar/ff7/data/battle/battle.lgp/qbau.png","View Picture")</f>
        <v>View Picture</v>
      </c>
    </row>
    <row r="9365">
      <c r="A9365" s="55"/>
      <c r="B9365" s="119" t="s">
        <v>41665</v>
      </c>
      <c r="C9365" s="120" t="s">
        <v>3355</v>
      </c>
      <c r="D9365" s="31"/>
      <c r="F9365" s="121" t="s">
        <v>3009</v>
      </c>
      <c r="G9365" s="98" t="str">
        <f>HYPERLINK("http://mirror.ff7data.com.ar/ff7/data/battle/battle.lgp/qbav.png","View Picture")</f>
        <v>View Picture</v>
      </c>
    </row>
    <row r="9366">
      <c r="A9366" s="55"/>
      <c r="B9366" s="119" t="s">
        <v>41666</v>
      </c>
      <c r="C9366" s="120" t="s">
        <v>5891</v>
      </c>
      <c r="D9366" s="31"/>
      <c r="F9366" s="121" t="s">
        <v>3009</v>
      </c>
      <c r="G9366" s="98" t="str">
        <f>HYPERLINK("http://mirror.ff7data.com.ar/ff7/data/battle/battle.lgp/qbaw.png","View Picture")</f>
        <v>View Picture</v>
      </c>
    </row>
    <row r="9367">
      <c r="A9367" s="55"/>
      <c r="B9367" s="119" t="s">
        <v>41667</v>
      </c>
      <c r="C9367" s="120" t="s">
        <v>3842</v>
      </c>
      <c r="D9367" s="31"/>
      <c r="F9367" s="121" t="s">
        <v>3009</v>
      </c>
      <c r="G9367" s="98" t="str">
        <f>HYPERLINK("http://mirror.ff7data.com.ar/ff7/data/battle/battle.lgp/qbax.png","View Picture")</f>
        <v>View Picture</v>
      </c>
    </row>
    <row r="9368">
      <c r="A9368" s="79"/>
      <c r="B9368" s="119" t="s">
        <v>41668</v>
      </c>
      <c r="C9368" s="120" t="s">
        <v>40553</v>
      </c>
      <c r="D9368" s="33" t="s">
        <v>21269</v>
      </c>
      <c r="F9368" s="121" t="s">
        <v>2756</v>
      </c>
      <c r="G9368" s="98" t="str">
        <f>HYPERLINK("http://mirror.ff7data.com.ar/ff7/data/battle/battle.lgp/qcaa.png","View Picture")</f>
        <v>View Picture</v>
      </c>
    </row>
    <row r="9369">
      <c r="A9369" s="55"/>
      <c r="B9369" s="119" t="s">
        <v>41669</v>
      </c>
      <c r="C9369" s="120" t="s">
        <v>40556</v>
      </c>
      <c r="D9369" s="31"/>
      <c r="F9369" s="121" t="s">
        <v>2993</v>
      </c>
    </row>
    <row r="9370">
      <c r="A9370" s="55"/>
      <c r="B9370" s="119" t="s">
        <v>41670</v>
      </c>
      <c r="C9370" s="120" t="s">
        <v>26104</v>
      </c>
      <c r="D9370" s="31"/>
      <c r="F9370" s="121" t="s">
        <v>1348</v>
      </c>
      <c r="G9370" s="98" t="str">
        <f>HYPERLINK("http://mirror.ff7data.com.ar/ff7/data/battle/battle.lgp/qcac.png","View Picture")</f>
        <v>View Picture</v>
      </c>
    </row>
    <row r="9371">
      <c r="A9371" s="55"/>
      <c r="B9371" s="119" t="s">
        <v>41671</v>
      </c>
      <c r="C9371" s="120" t="s">
        <v>6018</v>
      </c>
      <c r="D9371" s="31"/>
      <c r="F9371" s="121" t="s">
        <v>1348</v>
      </c>
      <c r="G9371" s="98" t="str">
        <f>HYPERLINK("http://mirror.ff7data.com.ar/ff7/data/battle/battle.lgp/qcad.png","View Picture")</f>
        <v>View Picture</v>
      </c>
    </row>
    <row r="9372">
      <c r="A9372" s="55"/>
      <c r="B9372" s="119" t="s">
        <v>41672</v>
      </c>
      <c r="C9372" s="120" t="s">
        <v>26095</v>
      </c>
      <c r="D9372" s="31"/>
      <c r="F9372" s="121" t="s">
        <v>1348</v>
      </c>
      <c r="G9372" s="98" t="str">
        <f>HYPERLINK("http://mirror.ff7data.com.ar/ff7/data/battle/battle.lgp/qcae.png","View Picture")</f>
        <v>View Picture</v>
      </c>
    </row>
    <row r="9373">
      <c r="A9373" s="55"/>
      <c r="B9373" s="119" t="s">
        <v>41673</v>
      </c>
      <c r="C9373" s="120" t="s">
        <v>26095</v>
      </c>
      <c r="D9373" s="31"/>
      <c r="F9373" s="121" t="s">
        <v>1348</v>
      </c>
      <c r="G9373" s="98" t="str">
        <f>HYPERLINK("http://mirror.ff7data.com.ar/ff7/data/battle/battle.lgp/qcaf.png","View Picture")</f>
        <v>View Picture</v>
      </c>
    </row>
    <row r="9374">
      <c r="A9374" s="55"/>
      <c r="B9374" s="119" t="s">
        <v>41674</v>
      </c>
      <c r="C9374" s="120" t="s">
        <v>6018</v>
      </c>
      <c r="D9374" s="31"/>
      <c r="F9374" s="121" t="s">
        <v>1348</v>
      </c>
      <c r="G9374" s="98" t="str">
        <f>HYPERLINK("http://mirror.ff7data.com.ar/ff7/data/battle/battle.lgp/qcag.png","View Picture")</f>
        <v>View Picture</v>
      </c>
    </row>
    <row r="9375">
      <c r="A9375" s="55"/>
      <c r="B9375" s="119" t="s">
        <v>41675</v>
      </c>
      <c r="C9375" s="120" t="s">
        <v>26095</v>
      </c>
      <c r="D9375" s="31"/>
      <c r="F9375" s="121" t="s">
        <v>1348</v>
      </c>
      <c r="G9375" s="98" t="str">
        <f>HYPERLINK("http://mirror.ff7data.com.ar/ff7/data/battle/battle.lgp/qcah.png","View Picture")</f>
        <v>View Picture</v>
      </c>
    </row>
    <row r="9376">
      <c r="A9376" s="55"/>
      <c r="B9376" s="119" t="s">
        <v>41676</v>
      </c>
      <c r="C9376" s="120" t="s">
        <v>26095</v>
      </c>
      <c r="D9376" s="31"/>
      <c r="F9376" s="121" t="s">
        <v>1348</v>
      </c>
      <c r="G9376" s="98" t="str">
        <f>HYPERLINK("http://mirror.ff7data.com.ar/ff7/data/battle/battle.lgp/qcai.png","View Picture")</f>
        <v>View Picture</v>
      </c>
    </row>
    <row r="9377">
      <c r="A9377" s="55"/>
      <c r="B9377" s="119" t="s">
        <v>41677</v>
      </c>
      <c r="C9377" s="120" t="s">
        <v>6018</v>
      </c>
      <c r="D9377" s="31"/>
      <c r="F9377" s="121" t="s">
        <v>1348</v>
      </c>
      <c r="G9377" s="98" t="str">
        <f>HYPERLINK("http://mirror.ff7data.com.ar/ff7/data/battle/battle.lgp/qcaj.png","View Picture")</f>
        <v>View Picture</v>
      </c>
    </row>
    <row r="9378">
      <c r="A9378" s="55"/>
      <c r="B9378" s="119" t="s">
        <v>41678</v>
      </c>
      <c r="C9378" s="120" t="s">
        <v>15135</v>
      </c>
      <c r="D9378" s="31"/>
      <c r="F9378" s="121" t="s">
        <v>3009</v>
      </c>
      <c r="G9378" s="98" t="str">
        <f>HYPERLINK("http://mirror.ff7data.com.ar/ff7/data/battle/battle.lgp/qcam.png","View Picture")</f>
        <v>View Picture</v>
      </c>
    </row>
    <row r="9379">
      <c r="A9379" s="55"/>
      <c r="B9379" s="119" t="s">
        <v>41679</v>
      </c>
      <c r="C9379" s="120" t="s">
        <v>4846</v>
      </c>
      <c r="D9379" s="31"/>
      <c r="F9379" s="121" t="s">
        <v>3009</v>
      </c>
      <c r="G9379" s="98" t="str">
        <f>HYPERLINK("http://mirror.ff7data.com.ar/ff7/data/battle/battle.lgp/qcan.png","View Picture")</f>
        <v>View Picture</v>
      </c>
    </row>
    <row r="9380">
      <c r="A9380" s="55"/>
      <c r="B9380" s="119" t="s">
        <v>41680</v>
      </c>
      <c r="C9380" s="120" t="s">
        <v>4846</v>
      </c>
      <c r="D9380" s="31"/>
      <c r="F9380" s="121" t="s">
        <v>3009</v>
      </c>
      <c r="G9380" s="98" t="str">
        <f>HYPERLINK("http://mirror.ff7data.com.ar/ff7/data/battle/battle.lgp/qcao.png","View Picture")</f>
        <v>View Picture</v>
      </c>
    </row>
    <row r="9381">
      <c r="A9381" s="55"/>
      <c r="B9381" s="119" t="s">
        <v>41681</v>
      </c>
      <c r="C9381" s="120" t="s">
        <v>4846</v>
      </c>
      <c r="D9381" s="31"/>
      <c r="F9381" s="121" t="s">
        <v>3009</v>
      </c>
      <c r="G9381" s="98" t="str">
        <f>HYPERLINK("http://mirror.ff7data.com.ar/ff7/data/battle/battle.lgp/qcap.png","View Picture")</f>
        <v>View Picture</v>
      </c>
    </row>
    <row r="9382">
      <c r="A9382" s="55"/>
      <c r="B9382" s="119" t="s">
        <v>41682</v>
      </c>
      <c r="C9382" s="120" t="s">
        <v>3505</v>
      </c>
      <c r="D9382" s="31"/>
      <c r="F9382" s="121" t="s">
        <v>3009</v>
      </c>
      <c r="G9382" s="98" t="str">
        <f>HYPERLINK("http://mirror.ff7data.com.ar/ff7/data/battle/battle.lgp/qcaq.png","View Picture")</f>
        <v>View Picture</v>
      </c>
    </row>
    <row r="9383">
      <c r="A9383" s="55"/>
      <c r="B9383" s="119" t="s">
        <v>41683</v>
      </c>
      <c r="C9383" s="120" t="s">
        <v>4396</v>
      </c>
      <c r="D9383" s="31"/>
      <c r="F9383" s="121" t="s">
        <v>3009</v>
      </c>
      <c r="G9383" s="98" t="str">
        <f>HYPERLINK("http://mirror.ff7data.com.ar/ff7/data/battle/battle.lgp/qcar.png","View Picture")</f>
        <v>View Picture</v>
      </c>
    </row>
    <row r="9384">
      <c r="A9384" s="55"/>
      <c r="B9384" s="119" t="s">
        <v>41684</v>
      </c>
      <c r="C9384" s="120" t="s">
        <v>4372</v>
      </c>
      <c r="D9384" s="31"/>
      <c r="F9384" s="121" t="s">
        <v>3009</v>
      </c>
      <c r="G9384" s="98" t="str">
        <f>HYPERLINK("http://mirror.ff7data.com.ar/ff7/data/battle/battle.lgp/qcas.png","View Picture")</f>
        <v>View Picture</v>
      </c>
    </row>
    <row r="9385">
      <c r="A9385" s="55"/>
      <c r="B9385" s="119" t="s">
        <v>41685</v>
      </c>
      <c r="C9385" s="120" t="s">
        <v>4146</v>
      </c>
      <c r="D9385" s="31"/>
      <c r="F9385" s="121" t="s">
        <v>3009</v>
      </c>
      <c r="G9385" s="98" t="str">
        <f>HYPERLINK("http://mirror.ff7data.com.ar/ff7/data/battle/battle.lgp/qcat.png","View Picture")</f>
        <v>View Picture</v>
      </c>
    </row>
    <row r="9386">
      <c r="A9386" s="55"/>
      <c r="B9386" s="119" t="s">
        <v>41686</v>
      </c>
      <c r="C9386" s="120" t="s">
        <v>3412</v>
      </c>
      <c r="D9386" s="31"/>
      <c r="F9386" s="121" t="s">
        <v>3009</v>
      </c>
      <c r="G9386" s="98" t="str">
        <f>HYPERLINK("http://mirror.ff7data.com.ar/ff7/data/battle/battle.lgp/qcau.png","View Picture")</f>
        <v>View Picture</v>
      </c>
    </row>
    <row r="9387">
      <c r="A9387" s="55"/>
      <c r="B9387" s="119" t="s">
        <v>41687</v>
      </c>
      <c r="C9387" s="120" t="s">
        <v>4185</v>
      </c>
      <c r="D9387" s="31"/>
      <c r="F9387" s="121" t="s">
        <v>3009</v>
      </c>
      <c r="G9387" s="98" t="str">
        <f>HYPERLINK("http://mirror.ff7data.com.ar/ff7/data/battle/battle.lgp/qcav.png","View Picture")</f>
        <v>View Picture</v>
      </c>
    </row>
    <row r="9388">
      <c r="A9388" s="55"/>
      <c r="B9388" s="119" t="s">
        <v>41688</v>
      </c>
      <c r="C9388" s="120" t="s">
        <v>8376</v>
      </c>
      <c r="D9388" s="31"/>
      <c r="F9388" s="121" t="s">
        <v>3009</v>
      </c>
      <c r="G9388" s="98" t="str">
        <f>HYPERLINK("http://mirror.ff7data.com.ar/ff7/data/battle/battle.lgp/qcaw.png","View Picture")</f>
        <v>View Picture</v>
      </c>
    </row>
    <row r="9389">
      <c r="A9389" s="55"/>
      <c r="B9389" s="119" t="s">
        <v>41689</v>
      </c>
      <c r="C9389" s="120" t="s">
        <v>7894</v>
      </c>
      <c r="D9389" s="31"/>
      <c r="F9389" s="121" t="s">
        <v>3009</v>
      </c>
      <c r="G9389" s="98" t="str">
        <f>HYPERLINK("http://mirror.ff7data.com.ar/ff7/data/battle/battle.lgp/qcax.png","View Picture")</f>
        <v>View Picture</v>
      </c>
    </row>
    <row r="9390">
      <c r="A9390" s="55"/>
      <c r="B9390" s="119" t="s">
        <v>41690</v>
      </c>
      <c r="C9390" s="120" t="s">
        <v>3842</v>
      </c>
      <c r="D9390" s="31"/>
      <c r="F9390" s="121" t="s">
        <v>3009</v>
      </c>
      <c r="G9390" s="98" t="str">
        <f>HYPERLINK("http://mirror.ff7data.com.ar/ff7/data/battle/battle.lgp/qcay.png","View Picture")</f>
        <v>View Picture</v>
      </c>
    </row>
    <row r="9391">
      <c r="A9391" s="55"/>
      <c r="B9391" s="119" t="s">
        <v>41691</v>
      </c>
      <c r="C9391" s="120" t="s">
        <v>3768</v>
      </c>
      <c r="D9391" s="31"/>
      <c r="F9391" s="121" t="s">
        <v>3009</v>
      </c>
      <c r="G9391" s="98" t="str">
        <f>HYPERLINK("http://mirror.ff7data.com.ar/ff7/data/battle/battle.lgp/qcaz.png","View Picture")</f>
        <v>View Picture</v>
      </c>
    </row>
    <row r="9392">
      <c r="A9392" s="79"/>
      <c r="B9392" s="119" t="s">
        <v>41692</v>
      </c>
      <c r="C9392" s="120" t="s">
        <v>40553</v>
      </c>
      <c r="D9392" s="33" t="s">
        <v>41693</v>
      </c>
      <c r="F9392" s="121" t="s">
        <v>2756</v>
      </c>
      <c r="G9392" s="98" t="str">
        <f>HYPERLINK("http://mirror.ff7data.com.ar/ff7/data/battle/battle.lgp/qdaa.png","View Picture")</f>
        <v>View Picture</v>
      </c>
    </row>
    <row r="9393">
      <c r="A9393" s="55"/>
      <c r="B9393" s="119" t="s">
        <v>41694</v>
      </c>
      <c r="C9393" s="120" t="s">
        <v>40556</v>
      </c>
      <c r="D9393" s="31"/>
      <c r="F9393" s="121" t="s">
        <v>2993</v>
      </c>
    </row>
    <row r="9394">
      <c r="A9394" s="55"/>
      <c r="B9394" s="119" t="s">
        <v>41695</v>
      </c>
      <c r="C9394" s="120" t="s">
        <v>26104</v>
      </c>
      <c r="D9394" s="31"/>
      <c r="F9394" s="121" t="s">
        <v>1348</v>
      </c>
      <c r="G9394" s="98" t="str">
        <f>HYPERLINK("http://mirror.ff7data.com.ar/ff7/data/battle/battle.lgp/qdac.png","View Picture")</f>
        <v>View Picture</v>
      </c>
    </row>
    <row r="9395">
      <c r="A9395" s="55"/>
      <c r="B9395" s="119" t="s">
        <v>41696</v>
      </c>
      <c r="C9395" s="120" t="s">
        <v>5203</v>
      </c>
      <c r="D9395" s="31"/>
      <c r="F9395" s="121" t="s">
        <v>1348</v>
      </c>
      <c r="G9395" s="98" t="str">
        <f>HYPERLINK("http://mirror.ff7data.com.ar/ff7/data/battle/battle.lgp/qdad.png","View Picture")</f>
        <v>View Picture</v>
      </c>
    </row>
    <row r="9396">
      <c r="A9396" s="55"/>
      <c r="B9396" s="119" t="s">
        <v>41697</v>
      </c>
      <c r="C9396" s="120" t="s">
        <v>6018</v>
      </c>
      <c r="D9396" s="31"/>
      <c r="F9396" s="121" t="s">
        <v>1348</v>
      </c>
      <c r="G9396" s="98" t="str">
        <f>HYPERLINK("http://mirror.ff7data.com.ar/ff7/data/battle/battle.lgp/qdae.png","View Picture")</f>
        <v>View Picture</v>
      </c>
    </row>
    <row r="9397">
      <c r="A9397" s="55"/>
      <c r="B9397" s="119" t="s">
        <v>41698</v>
      </c>
      <c r="C9397" s="120" t="s">
        <v>26095</v>
      </c>
      <c r="D9397" s="31"/>
      <c r="F9397" s="121" t="s">
        <v>1348</v>
      </c>
      <c r="G9397" s="98" t="str">
        <f>HYPERLINK("http://mirror.ff7data.com.ar/ff7/data/battle/battle.lgp/qdaf.png","View Picture")</f>
        <v>View Picture</v>
      </c>
    </row>
    <row r="9398">
      <c r="A9398" s="55"/>
      <c r="B9398" s="119" t="s">
        <v>41699</v>
      </c>
      <c r="C9398" s="120" t="s">
        <v>6018</v>
      </c>
      <c r="D9398" s="31"/>
      <c r="F9398" s="121" t="s">
        <v>1348</v>
      </c>
      <c r="G9398" s="98" t="str">
        <f>HYPERLINK("http://mirror.ff7data.com.ar/ff7/data/battle/battle.lgp/qdag.png","View Picture")</f>
        <v>View Picture</v>
      </c>
    </row>
    <row r="9399">
      <c r="A9399" s="55"/>
      <c r="B9399" s="119" t="s">
        <v>41700</v>
      </c>
      <c r="C9399" s="120" t="s">
        <v>6018</v>
      </c>
      <c r="D9399" s="31"/>
      <c r="F9399" s="121" t="s">
        <v>1348</v>
      </c>
      <c r="G9399" s="98" t="str">
        <f>HYPERLINK("http://mirror.ff7data.com.ar/ff7/data/battle/battle.lgp/qdah.png","View Picture")</f>
        <v>View Picture</v>
      </c>
    </row>
    <row r="9400">
      <c r="A9400" s="55"/>
      <c r="B9400" s="119" t="s">
        <v>41701</v>
      </c>
      <c r="C9400" s="120" t="s">
        <v>26095</v>
      </c>
      <c r="D9400" s="31"/>
      <c r="F9400" s="121" t="s">
        <v>1348</v>
      </c>
      <c r="G9400" s="98" t="str">
        <f>HYPERLINK("http://mirror.ff7data.com.ar/ff7/data/battle/battle.lgp/qdai.png","View Picture")</f>
        <v>View Picture</v>
      </c>
    </row>
    <row r="9401">
      <c r="A9401" s="55"/>
      <c r="B9401" s="119" t="s">
        <v>41702</v>
      </c>
      <c r="C9401" s="120" t="s">
        <v>5203</v>
      </c>
      <c r="D9401" s="31"/>
      <c r="F9401" s="121" t="s">
        <v>1348</v>
      </c>
      <c r="G9401" s="98" t="str">
        <f>HYPERLINK("http://mirror.ff7data.com.ar/ff7/data/battle/battle.lgp/qdaj.png","View Picture")</f>
        <v>View Picture</v>
      </c>
    </row>
    <row r="9402">
      <c r="A9402" s="55"/>
      <c r="B9402" s="119" t="s">
        <v>41703</v>
      </c>
      <c r="C9402" s="120" t="s">
        <v>3584</v>
      </c>
      <c r="D9402" s="31"/>
      <c r="F9402" s="121" t="s">
        <v>3009</v>
      </c>
      <c r="G9402" s="98" t="str">
        <f>HYPERLINK("http://mirror.ff7data.com.ar/ff7/data/battle/battle.lgp/qdam.png","View Picture")</f>
        <v>View Picture</v>
      </c>
    </row>
    <row r="9403">
      <c r="A9403" s="55"/>
      <c r="B9403" s="119" t="s">
        <v>41704</v>
      </c>
      <c r="C9403" s="120" t="s">
        <v>4846</v>
      </c>
      <c r="D9403" s="31"/>
      <c r="F9403" s="121" t="s">
        <v>3009</v>
      </c>
      <c r="G9403" s="98" t="str">
        <f>HYPERLINK("http://mirror.ff7data.com.ar/ff7/data/battle/battle.lgp/qdan.png","View Picture")</f>
        <v>View Picture</v>
      </c>
    </row>
    <row r="9404">
      <c r="A9404" s="55"/>
      <c r="B9404" s="119" t="s">
        <v>41705</v>
      </c>
      <c r="C9404" s="120" t="s">
        <v>4846</v>
      </c>
      <c r="D9404" s="31"/>
      <c r="F9404" s="121" t="s">
        <v>3009</v>
      </c>
      <c r="G9404" s="98" t="str">
        <f>HYPERLINK("http://mirror.ff7data.com.ar/ff7/data/battle/battle.lgp/qdao.png","View Picture")</f>
        <v>View Picture</v>
      </c>
    </row>
    <row r="9405">
      <c r="A9405" s="55"/>
      <c r="B9405" s="119" t="s">
        <v>41706</v>
      </c>
      <c r="C9405" s="120" t="s">
        <v>4846</v>
      </c>
      <c r="D9405" s="31"/>
      <c r="F9405" s="121" t="s">
        <v>3009</v>
      </c>
      <c r="G9405" s="98" t="str">
        <f>HYPERLINK("http://mirror.ff7data.com.ar/ff7/data/battle/battle.lgp/qdap.png","View Picture")</f>
        <v>View Picture</v>
      </c>
    </row>
    <row r="9406">
      <c r="A9406" s="55"/>
      <c r="B9406" s="119" t="s">
        <v>41707</v>
      </c>
      <c r="C9406" s="120" t="s">
        <v>4357</v>
      </c>
      <c r="D9406" s="31"/>
      <c r="F9406" s="121" t="s">
        <v>3009</v>
      </c>
      <c r="G9406" s="98" t="str">
        <f>HYPERLINK("http://mirror.ff7data.com.ar/ff7/data/battle/battle.lgp/qdaq.png","View Picture")</f>
        <v>View Picture</v>
      </c>
    </row>
    <row r="9407">
      <c r="A9407" s="55"/>
      <c r="B9407" s="119" t="s">
        <v>41708</v>
      </c>
      <c r="C9407" s="120" t="s">
        <v>4288</v>
      </c>
      <c r="D9407" s="31"/>
      <c r="F9407" s="121" t="s">
        <v>3009</v>
      </c>
      <c r="G9407" s="98" t="str">
        <f>HYPERLINK("http://mirror.ff7data.com.ar/ff7/data/battle/battle.lgp/qdar.png","View Picture")</f>
        <v>View Picture</v>
      </c>
    </row>
    <row r="9408">
      <c r="A9408" s="55"/>
      <c r="B9408" s="119" t="s">
        <v>41709</v>
      </c>
      <c r="C9408" s="120" t="s">
        <v>4732</v>
      </c>
      <c r="D9408" s="31"/>
      <c r="F9408" s="121" t="s">
        <v>3009</v>
      </c>
      <c r="G9408" s="98" t="str">
        <f>HYPERLINK("http://mirror.ff7data.com.ar/ff7/data/battle/battle.lgp/qdas.png","View Picture")</f>
        <v>View Picture</v>
      </c>
    </row>
    <row r="9409">
      <c r="A9409" s="55"/>
      <c r="B9409" s="119" t="s">
        <v>41710</v>
      </c>
      <c r="C9409" s="120" t="s">
        <v>4357</v>
      </c>
      <c r="D9409" s="31"/>
      <c r="F9409" s="121" t="s">
        <v>3009</v>
      </c>
      <c r="G9409" s="98" t="str">
        <f>HYPERLINK("http://mirror.ff7data.com.ar/ff7/data/battle/battle.lgp/qdat.png","View Picture")</f>
        <v>View Picture</v>
      </c>
    </row>
    <row r="9410">
      <c r="A9410" s="55"/>
      <c r="B9410" s="119" t="s">
        <v>41711</v>
      </c>
      <c r="C9410" s="120" t="s">
        <v>6789</v>
      </c>
      <c r="D9410" s="31"/>
      <c r="F9410" s="121" t="s">
        <v>3009</v>
      </c>
      <c r="G9410" s="98" t="str">
        <f>HYPERLINK("http://mirror.ff7data.com.ar/ff7/data/battle/battle.lgp/qdau.png","View Picture")</f>
        <v>View Picture</v>
      </c>
    </row>
    <row r="9411">
      <c r="A9411" s="55"/>
      <c r="B9411" s="119" t="s">
        <v>41712</v>
      </c>
      <c r="C9411" s="120" t="s">
        <v>41164</v>
      </c>
      <c r="D9411" s="31"/>
      <c r="F9411" s="121" t="s">
        <v>3009</v>
      </c>
      <c r="G9411" s="98" t="str">
        <f>HYPERLINK("http://mirror.ff7data.com.ar/ff7/data/battle/battle.lgp/qdav.png","View Picture")</f>
        <v>View Picture</v>
      </c>
    </row>
    <row r="9412">
      <c r="A9412" s="55"/>
      <c r="B9412" s="119" t="s">
        <v>41713</v>
      </c>
      <c r="C9412" s="120" t="s">
        <v>13844</v>
      </c>
      <c r="D9412" s="31"/>
      <c r="F9412" s="121" t="s">
        <v>3009</v>
      </c>
      <c r="G9412" s="98" t="str">
        <f>HYPERLINK("http://mirror.ff7data.com.ar/ff7/data/battle/battle.lgp/qdaw.png","View Picture")</f>
        <v>View Picture</v>
      </c>
    </row>
    <row r="9413">
      <c r="A9413" s="55"/>
      <c r="B9413" s="119" t="s">
        <v>41714</v>
      </c>
      <c r="C9413" s="120" t="s">
        <v>3505</v>
      </c>
      <c r="D9413" s="31"/>
      <c r="F9413" s="121" t="s">
        <v>3009</v>
      </c>
      <c r="G9413" s="98" t="str">
        <f>HYPERLINK("http://mirror.ff7data.com.ar/ff7/data/battle/battle.lgp/qdax.png","View Picture")</f>
        <v>View Picture</v>
      </c>
    </row>
    <row r="9414">
      <c r="A9414" s="55"/>
      <c r="B9414" s="119" t="s">
        <v>41715</v>
      </c>
      <c r="C9414" s="120" t="s">
        <v>7871</v>
      </c>
      <c r="D9414" s="31"/>
      <c r="F9414" s="121" t="s">
        <v>3009</v>
      </c>
      <c r="G9414" s="98" t="str">
        <f>HYPERLINK("http://mirror.ff7data.com.ar/ff7/data/battle/battle.lgp/qday.png","View Picture")</f>
        <v>View Picture</v>
      </c>
    </row>
    <row r="9415">
      <c r="A9415" s="55"/>
      <c r="B9415" s="119" t="s">
        <v>41716</v>
      </c>
      <c r="C9415" s="120" t="s">
        <v>3519</v>
      </c>
      <c r="D9415" s="31"/>
      <c r="F9415" s="121" t="s">
        <v>3009</v>
      </c>
      <c r="G9415" s="98" t="str">
        <f>HYPERLINK("http://mirror.ff7data.com.ar/ff7/data/battle/battle.lgp/qdaz.png","View Picture")</f>
        <v>View Picture</v>
      </c>
    </row>
    <row r="9416">
      <c r="A9416" s="55"/>
      <c r="B9416" s="119" t="s">
        <v>41717</v>
      </c>
      <c r="C9416" s="120" t="s">
        <v>3481</v>
      </c>
      <c r="D9416" s="31"/>
      <c r="F9416" s="121" t="s">
        <v>3009</v>
      </c>
      <c r="G9416" s="98" t="str">
        <f>HYPERLINK("http://mirror.ff7data.com.ar/ff7/data/battle/battle.lgp/qdba.png","View Picture")</f>
        <v>View Picture</v>
      </c>
    </row>
    <row r="9417">
      <c r="A9417" s="55"/>
      <c r="B9417" s="119" t="s">
        <v>41718</v>
      </c>
      <c r="C9417" s="120" t="s">
        <v>7129</v>
      </c>
      <c r="D9417" s="31"/>
      <c r="F9417" s="121" t="s">
        <v>3009</v>
      </c>
      <c r="G9417" s="98" t="str">
        <f>HYPERLINK("http://mirror.ff7data.com.ar/ff7/data/battle/battle.lgp/qdbb.png","View Picture")</f>
        <v>View Picture</v>
      </c>
    </row>
    <row r="9418">
      <c r="A9418" s="79"/>
      <c r="B9418" s="119" t="s">
        <v>41719</v>
      </c>
      <c r="C9418" s="120" t="s">
        <v>40553</v>
      </c>
      <c r="D9418" s="49" t="s">
        <v>41720</v>
      </c>
      <c r="F9418" s="121" t="s">
        <v>2756</v>
      </c>
      <c r="G9418" s="98" t="str">
        <f>HYPERLINK("http://mirror.ff7data.com.ar/ff7/data/battle/battle.lgp/qeaa.png","View Picture")</f>
        <v>View Picture</v>
      </c>
    </row>
    <row r="9419">
      <c r="A9419" s="55"/>
      <c r="B9419" s="119" t="s">
        <v>41721</v>
      </c>
      <c r="C9419" s="120" t="s">
        <v>40556</v>
      </c>
      <c r="D9419" s="31"/>
      <c r="F9419" s="121" t="s">
        <v>2993</v>
      </c>
    </row>
    <row r="9420">
      <c r="A9420" s="55"/>
      <c r="B9420" s="119" t="s">
        <v>41722</v>
      </c>
      <c r="C9420" s="120" t="s">
        <v>26104</v>
      </c>
      <c r="D9420" s="31"/>
      <c r="F9420" s="121" t="s">
        <v>1348</v>
      </c>
      <c r="G9420" s="98" t="str">
        <f>HYPERLINK("http://mirror.ff7data.com.ar/ff7/data/battle/battle.lgp/qeac.png","View Picture")</f>
        <v>View Picture</v>
      </c>
    </row>
    <row r="9421">
      <c r="A9421" s="55"/>
      <c r="B9421" s="119" t="s">
        <v>41723</v>
      </c>
      <c r="C9421" s="120" t="s">
        <v>26095</v>
      </c>
      <c r="D9421" s="31"/>
      <c r="F9421" s="121" t="s">
        <v>1348</v>
      </c>
      <c r="G9421" s="98" t="str">
        <f>HYPERLINK("http://mirror.ff7data.com.ar/ff7/data/battle/battle.lgp/qead.png","View Picture")</f>
        <v>View Picture</v>
      </c>
    </row>
    <row r="9422">
      <c r="A9422" s="55"/>
      <c r="B9422" s="119" t="s">
        <v>41724</v>
      </c>
      <c r="C9422" s="120" t="s">
        <v>26104</v>
      </c>
      <c r="D9422" s="31"/>
      <c r="F9422" s="121" t="s">
        <v>1348</v>
      </c>
      <c r="G9422" s="98" t="str">
        <f>HYPERLINK("http://mirror.ff7data.com.ar/ff7/data/battle/battle.lgp/qeae.png","View Picture")</f>
        <v>View Picture</v>
      </c>
    </row>
    <row r="9423">
      <c r="A9423" s="55"/>
      <c r="B9423" s="119" t="s">
        <v>41725</v>
      </c>
      <c r="C9423" s="120" t="s">
        <v>26095</v>
      </c>
      <c r="D9423" s="31"/>
      <c r="F9423" s="121" t="s">
        <v>1348</v>
      </c>
      <c r="G9423" s="98" t="str">
        <f>HYPERLINK("http://mirror.ff7data.com.ar/ff7/data/battle/battle.lgp/qeaf.png","View Picture")</f>
        <v>View Picture</v>
      </c>
    </row>
    <row r="9424">
      <c r="A9424" s="55"/>
      <c r="B9424" s="119" t="s">
        <v>41726</v>
      </c>
      <c r="C9424" s="120" t="s">
        <v>15135</v>
      </c>
      <c r="D9424" s="31"/>
      <c r="F9424" s="121" t="s">
        <v>3009</v>
      </c>
      <c r="G9424" s="98" t="str">
        <f>HYPERLINK("http://mirror.ff7data.com.ar/ff7/data/battle/battle.lgp/qeam.png","View Picture")</f>
        <v>View Picture</v>
      </c>
    </row>
    <row r="9425">
      <c r="A9425" s="55"/>
      <c r="B9425" s="119" t="s">
        <v>41727</v>
      </c>
      <c r="C9425" s="120" t="s">
        <v>4846</v>
      </c>
      <c r="D9425" s="31"/>
      <c r="F9425" s="121" t="s">
        <v>3009</v>
      </c>
      <c r="G9425" s="98" t="str">
        <f>HYPERLINK("http://mirror.ff7data.com.ar/ff7/data/battle/battle.lgp/qean.png","View Picture")</f>
        <v>View Picture</v>
      </c>
    </row>
    <row r="9426">
      <c r="A9426" s="55"/>
      <c r="B9426" s="119" t="s">
        <v>41728</v>
      </c>
      <c r="C9426" s="120" t="s">
        <v>4846</v>
      </c>
      <c r="D9426" s="31"/>
      <c r="F9426" s="121" t="s">
        <v>3009</v>
      </c>
      <c r="G9426" s="98" t="str">
        <f>HYPERLINK("http://mirror.ff7data.com.ar/ff7/data/battle/battle.lgp/qeao.png","View Picture")</f>
        <v>View Picture</v>
      </c>
    </row>
    <row r="9427">
      <c r="A9427" s="55"/>
      <c r="B9427" s="119" t="s">
        <v>41729</v>
      </c>
      <c r="C9427" s="120" t="s">
        <v>4846</v>
      </c>
      <c r="D9427" s="31"/>
      <c r="F9427" s="121" t="s">
        <v>3009</v>
      </c>
      <c r="G9427" s="98" t="str">
        <f>HYPERLINK("http://mirror.ff7data.com.ar/ff7/data/battle/battle.lgp/qeap.png","View Picture")</f>
        <v>View Picture</v>
      </c>
    </row>
    <row r="9428">
      <c r="A9428" s="55"/>
      <c r="B9428" s="119" t="s">
        <v>41730</v>
      </c>
      <c r="C9428" s="120" t="s">
        <v>4191</v>
      </c>
      <c r="D9428" s="31"/>
      <c r="F9428" s="121" t="s">
        <v>3009</v>
      </c>
      <c r="G9428" s="98" t="str">
        <f>HYPERLINK("http://mirror.ff7data.com.ar/ff7/data/battle/battle.lgp/qeaq.png","View Picture")</f>
        <v>View Picture</v>
      </c>
    </row>
    <row r="9429">
      <c r="A9429" s="55"/>
      <c r="B9429" s="119" t="s">
        <v>41731</v>
      </c>
      <c r="C9429" s="120" t="s">
        <v>3355</v>
      </c>
      <c r="D9429" s="31"/>
      <c r="F9429" s="121" t="s">
        <v>3009</v>
      </c>
      <c r="G9429" s="98" t="str">
        <f>HYPERLINK("http://mirror.ff7data.com.ar/ff7/data/battle/battle.lgp/qear.png","View Picture")</f>
        <v>View Picture</v>
      </c>
    </row>
    <row r="9430">
      <c r="A9430" s="55"/>
      <c r="B9430" s="119" t="s">
        <v>41732</v>
      </c>
      <c r="C9430" s="120" t="s">
        <v>3355</v>
      </c>
      <c r="D9430" s="31"/>
      <c r="F9430" s="121" t="s">
        <v>3009</v>
      </c>
      <c r="G9430" s="98" t="str">
        <f>HYPERLINK("http://mirror.ff7data.com.ar/ff7/data/battle/battle.lgp/qeas.png","View Picture")</f>
        <v>View Picture</v>
      </c>
    </row>
    <row r="9431">
      <c r="A9431" s="55"/>
      <c r="B9431" s="119" t="s">
        <v>41733</v>
      </c>
      <c r="C9431" s="120" t="s">
        <v>3749</v>
      </c>
      <c r="D9431" s="31"/>
      <c r="F9431" s="121" t="s">
        <v>3009</v>
      </c>
      <c r="G9431" s="98" t="str">
        <f>HYPERLINK("http://mirror.ff7data.com.ar/ff7/data/battle/battle.lgp/qeat.png","View Picture")</f>
        <v>View Picture</v>
      </c>
    </row>
    <row r="9432">
      <c r="A9432" s="55"/>
      <c r="B9432" s="119" t="s">
        <v>41734</v>
      </c>
      <c r="C9432" s="120" t="s">
        <v>10195</v>
      </c>
      <c r="D9432" s="31"/>
      <c r="F9432" s="121" t="s">
        <v>3009</v>
      </c>
      <c r="G9432" s="98" t="str">
        <f>HYPERLINK("http://mirror.ff7data.com.ar/ff7/data/battle/battle.lgp/qeau.png","View Picture")</f>
        <v>View Picture</v>
      </c>
    </row>
    <row r="9433">
      <c r="A9433" s="79"/>
      <c r="B9433" s="119" t="s">
        <v>41735</v>
      </c>
      <c r="C9433" s="120" t="s">
        <v>40553</v>
      </c>
      <c r="D9433" s="33" t="s">
        <v>41736</v>
      </c>
      <c r="F9433" s="121" t="s">
        <v>2756</v>
      </c>
      <c r="G9433" s="98" t="str">
        <f>HYPERLINK("http://mirror.ff7data.com.ar/ff7/data/battle/battle.lgp/qfaa.png","View Picture")</f>
        <v>View Picture</v>
      </c>
    </row>
    <row r="9434">
      <c r="A9434" s="55"/>
      <c r="B9434" s="119" t="s">
        <v>41737</v>
      </c>
      <c r="C9434" s="120" t="s">
        <v>40556</v>
      </c>
      <c r="D9434" s="31"/>
      <c r="F9434" s="121" t="s">
        <v>2993</v>
      </c>
    </row>
    <row r="9435">
      <c r="A9435" s="55"/>
      <c r="B9435" s="119" t="s">
        <v>41738</v>
      </c>
      <c r="C9435" s="120" t="s">
        <v>26104</v>
      </c>
      <c r="D9435" s="31"/>
      <c r="F9435" s="121" t="s">
        <v>1348</v>
      </c>
      <c r="G9435" s="98" t="str">
        <f>HYPERLINK("http://mirror.ff7data.com.ar/ff7/data/battle/battle.lgp/qfac.png","View Picture")</f>
        <v>View Picture</v>
      </c>
    </row>
    <row r="9436">
      <c r="A9436" s="55"/>
      <c r="B9436" s="119" t="s">
        <v>41739</v>
      </c>
      <c r="C9436" s="120" t="s">
        <v>26095</v>
      </c>
      <c r="D9436" s="31"/>
      <c r="F9436" s="121" t="s">
        <v>1348</v>
      </c>
      <c r="G9436" s="98" t="str">
        <f>HYPERLINK("http://mirror.ff7data.com.ar/ff7/data/battle/battle.lgp/qfad.png","View Picture")</f>
        <v>View Picture</v>
      </c>
    </row>
    <row r="9437">
      <c r="A9437" s="55"/>
      <c r="B9437" s="119" t="s">
        <v>41740</v>
      </c>
      <c r="C9437" s="120" t="s">
        <v>26095</v>
      </c>
      <c r="D9437" s="31"/>
      <c r="F9437" s="121" t="s">
        <v>1348</v>
      </c>
      <c r="G9437" s="98" t="str">
        <f>HYPERLINK("http://mirror.ff7data.com.ar/ff7/data/battle/battle.lgp/qfae.png","View Picture")</f>
        <v>View Picture</v>
      </c>
    </row>
    <row r="9438">
      <c r="A9438" s="55"/>
      <c r="B9438" s="119" t="s">
        <v>41741</v>
      </c>
      <c r="C9438" s="120" t="s">
        <v>26095</v>
      </c>
      <c r="D9438" s="31"/>
      <c r="F9438" s="121" t="s">
        <v>1348</v>
      </c>
      <c r="G9438" s="98" t="str">
        <f>HYPERLINK("http://mirror.ff7data.com.ar/ff7/data/battle/battle.lgp/qfaf.png","View Picture")</f>
        <v>View Picture</v>
      </c>
    </row>
    <row r="9439">
      <c r="A9439" s="55"/>
      <c r="B9439" s="119" t="s">
        <v>41742</v>
      </c>
      <c r="C9439" s="120" t="s">
        <v>7471</v>
      </c>
      <c r="D9439" s="31"/>
      <c r="F9439" s="121" t="s">
        <v>1348</v>
      </c>
      <c r="G9439" s="98" t="str">
        <f>HYPERLINK("http://mirror.ff7data.com.ar/ff7/data/battle/battle.lgp/qfag.png","View Picture")</f>
        <v>View Picture</v>
      </c>
    </row>
    <row r="9440">
      <c r="A9440" s="55"/>
      <c r="B9440" s="119" t="s">
        <v>41743</v>
      </c>
      <c r="C9440" s="120" t="s">
        <v>6018</v>
      </c>
      <c r="D9440" s="31"/>
      <c r="F9440" s="121" t="s">
        <v>1348</v>
      </c>
      <c r="G9440" s="98" t="str">
        <f>HYPERLINK("http://mirror.ff7data.com.ar/ff7/data/battle/battle.lgp/qfah.png","View Picture")</f>
        <v>View Picture</v>
      </c>
    </row>
    <row r="9441">
      <c r="A9441" s="55"/>
      <c r="B9441" s="119" t="s">
        <v>41744</v>
      </c>
      <c r="C9441" s="120" t="s">
        <v>6018</v>
      </c>
      <c r="D9441" s="31"/>
      <c r="F9441" s="121" t="s">
        <v>1348</v>
      </c>
      <c r="G9441" s="98" t="str">
        <f>HYPERLINK("http://mirror.ff7data.com.ar/ff7/data/battle/battle.lgp/qfai.png","View Picture")</f>
        <v>View Picture</v>
      </c>
    </row>
    <row r="9442">
      <c r="A9442" s="55"/>
      <c r="B9442" s="119" t="s">
        <v>41745</v>
      </c>
      <c r="C9442" s="120" t="s">
        <v>7471</v>
      </c>
      <c r="D9442" s="31"/>
      <c r="F9442" s="121" t="s">
        <v>1348</v>
      </c>
      <c r="G9442" s="98" t="str">
        <f>HYPERLINK("http://mirror.ff7data.com.ar/ff7/data/battle/battle.lgp/qfaj.png","View Picture")</f>
        <v>View Picture</v>
      </c>
    </row>
    <row r="9443">
      <c r="A9443" s="55"/>
      <c r="B9443" s="119" t="s">
        <v>41746</v>
      </c>
      <c r="C9443" s="120" t="s">
        <v>33181</v>
      </c>
      <c r="D9443" s="31"/>
      <c r="F9443" s="121" t="s">
        <v>3009</v>
      </c>
      <c r="G9443" s="98" t="str">
        <f>HYPERLINK("http://mirror.ff7data.com.ar/ff7/data/battle/battle.lgp/qfam.png","View Picture")</f>
        <v>View Picture</v>
      </c>
    </row>
    <row r="9444">
      <c r="A9444" s="55"/>
      <c r="B9444" s="119" t="s">
        <v>41747</v>
      </c>
      <c r="C9444" s="120" t="s">
        <v>4846</v>
      </c>
      <c r="D9444" s="31"/>
      <c r="F9444" s="121" t="s">
        <v>3009</v>
      </c>
      <c r="G9444" s="98" t="str">
        <f>HYPERLINK("http://mirror.ff7data.com.ar/ff7/data/battle/battle.lgp/qfan.png","View Picture")</f>
        <v>View Picture</v>
      </c>
    </row>
    <row r="9445">
      <c r="A9445" s="55"/>
      <c r="B9445" s="119" t="s">
        <v>41748</v>
      </c>
      <c r="C9445" s="120" t="s">
        <v>7270</v>
      </c>
      <c r="D9445" s="31"/>
      <c r="F9445" s="121" t="s">
        <v>3009</v>
      </c>
      <c r="G9445" s="98" t="str">
        <f>HYPERLINK("http://mirror.ff7data.com.ar/ff7/data/battle/battle.lgp/qfao.png","View Picture")</f>
        <v>View Picture</v>
      </c>
    </row>
    <row r="9446">
      <c r="A9446" s="55"/>
      <c r="B9446" s="119" t="s">
        <v>41749</v>
      </c>
      <c r="C9446" s="120" t="s">
        <v>4846</v>
      </c>
      <c r="D9446" s="31"/>
      <c r="F9446" s="121" t="s">
        <v>3009</v>
      </c>
      <c r="G9446" s="98" t="str">
        <f>HYPERLINK("http://mirror.ff7data.com.ar/ff7/data/battle/battle.lgp/qfap.png","View Picture")</f>
        <v>View Picture</v>
      </c>
    </row>
    <row r="9447">
      <c r="A9447" s="55"/>
      <c r="B9447" s="119" t="s">
        <v>41750</v>
      </c>
      <c r="C9447" s="120" t="s">
        <v>4185</v>
      </c>
      <c r="D9447" s="31"/>
      <c r="F9447" s="121" t="s">
        <v>3009</v>
      </c>
      <c r="G9447" s="98" t="str">
        <f>HYPERLINK("http://mirror.ff7data.com.ar/ff7/data/battle/battle.lgp/qfaq.png","View Picture")</f>
        <v>View Picture</v>
      </c>
    </row>
    <row r="9448">
      <c r="A9448" s="55"/>
      <c r="B9448" s="119" t="s">
        <v>41751</v>
      </c>
      <c r="C9448" s="120" t="s">
        <v>4372</v>
      </c>
      <c r="D9448" s="31"/>
      <c r="F9448" s="121" t="s">
        <v>3009</v>
      </c>
      <c r="G9448" s="98" t="str">
        <f>HYPERLINK("http://mirror.ff7data.com.ar/ff7/data/battle/battle.lgp/qfar.png","View Picture")</f>
        <v>View Picture</v>
      </c>
    </row>
    <row r="9449">
      <c r="A9449" s="55"/>
      <c r="B9449" s="119" t="s">
        <v>41752</v>
      </c>
      <c r="C9449" s="120" t="s">
        <v>4372</v>
      </c>
      <c r="D9449" s="31"/>
      <c r="F9449" s="121" t="s">
        <v>3009</v>
      </c>
      <c r="G9449" s="98" t="str">
        <f>HYPERLINK("http://mirror.ff7data.com.ar/ff7/data/battle/battle.lgp/qfas.png","View Picture")</f>
        <v>View Picture</v>
      </c>
    </row>
    <row r="9450">
      <c r="A9450" s="55"/>
      <c r="B9450" s="119" t="s">
        <v>41753</v>
      </c>
      <c r="C9450" s="120" t="s">
        <v>8376</v>
      </c>
      <c r="D9450" s="31"/>
      <c r="F9450" s="121" t="s">
        <v>3009</v>
      </c>
      <c r="G9450" s="98" t="str">
        <f>HYPERLINK("http://mirror.ff7data.com.ar/ff7/data/battle/battle.lgp/qfat.png","View Picture")</f>
        <v>View Picture</v>
      </c>
    </row>
    <row r="9451">
      <c r="A9451" s="55"/>
      <c r="B9451" s="119" t="s">
        <v>41754</v>
      </c>
      <c r="C9451" s="120" t="s">
        <v>3749</v>
      </c>
      <c r="D9451" s="31"/>
      <c r="F9451" s="121" t="s">
        <v>3009</v>
      </c>
      <c r="G9451" s="98" t="str">
        <f>HYPERLINK("http://mirror.ff7data.com.ar/ff7/data/battle/battle.lgp/qfau.png","View Picture")</f>
        <v>View Picture</v>
      </c>
    </row>
    <row r="9452">
      <c r="A9452" s="55"/>
      <c r="B9452" s="119" t="s">
        <v>41755</v>
      </c>
      <c r="C9452" s="120" t="s">
        <v>4167</v>
      </c>
      <c r="D9452" s="31"/>
      <c r="F9452" s="121" t="s">
        <v>3009</v>
      </c>
      <c r="G9452" s="98" t="str">
        <f>HYPERLINK("http://mirror.ff7data.com.ar/ff7/data/battle/battle.lgp/qfav.png","View Picture")</f>
        <v>View Picture</v>
      </c>
    </row>
    <row r="9453">
      <c r="A9453" s="55"/>
      <c r="B9453" s="119" t="s">
        <v>41756</v>
      </c>
      <c r="C9453" s="120" t="s">
        <v>5419</v>
      </c>
      <c r="D9453" s="31"/>
      <c r="F9453" s="121" t="s">
        <v>3009</v>
      </c>
      <c r="G9453" s="98" t="str">
        <f>HYPERLINK("http://mirror.ff7data.com.ar/ff7/data/battle/battle.lgp/qfaw.png","View Picture")</f>
        <v>View Picture</v>
      </c>
    </row>
    <row r="9454">
      <c r="A9454" s="55"/>
      <c r="B9454" s="119" t="s">
        <v>41757</v>
      </c>
      <c r="C9454" s="120" t="s">
        <v>7165</v>
      </c>
      <c r="D9454" s="31"/>
      <c r="F9454" s="121" t="s">
        <v>3009</v>
      </c>
      <c r="G9454" s="98" t="str">
        <f>HYPERLINK("http://mirror.ff7data.com.ar/ff7/data/battle/battle.lgp/qfax.png","View Picture")</f>
        <v>View Picture</v>
      </c>
    </row>
    <row r="9455">
      <c r="A9455" s="55"/>
      <c r="B9455" s="119" t="s">
        <v>41758</v>
      </c>
      <c r="C9455" s="120" t="s">
        <v>9041</v>
      </c>
      <c r="D9455" s="31"/>
      <c r="F9455" s="121" t="s">
        <v>3009</v>
      </c>
      <c r="G9455" s="98" t="str">
        <f>HYPERLINK("http://mirror.ff7data.com.ar/ff7/data/battle/battle.lgp/qfay.png","View Picture")</f>
        <v>View Picture</v>
      </c>
    </row>
    <row r="9456">
      <c r="A9456" s="55"/>
      <c r="B9456" s="119" t="s">
        <v>41759</v>
      </c>
      <c r="C9456" s="120" t="s">
        <v>6029</v>
      </c>
      <c r="D9456" s="31"/>
      <c r="F9456" s="121" t="s">
        <v>3009</v>
      </c>
      <c r="G9456" s="98" t="str">
        <f>HYPERLINK("http://mirror.ff7data.com.ar/ff7/data/battle/battle.lgp/qfaz.png","View Picture")</f>
        <v>View Picture</v>
      </c>
    </row>
    <row r="9457">
      <c r="A9457" s="55"/>
      <c r="B9457" s="119" t="s">
        <v>41760</v>
      </c>
      <c r="C9457" s="120" t="s">
        <v>6029</v>
      </c>
      <c r="D9457" s="31"/>
      <c r="F9457" s="121" t="s">
        <v>3009</v>
      </c>
      <c r="G9457" s="98" t="str">
        <f>HYPERLINK("http://mirror.ff7data.com.ar/ff7/data/battle/battle.lgp/qfba.png","View Picture")</f>
        <v>View Picture</v>
      </c>
    </row>
    <row r="9458">
      <c r="A9458" s="55"/>
      <c r="B9458" s="119" t="s">
        <v>41761</v>
      </c>
      <c r="C9458" s="120" t="s">
        <v>6029</v>
      </c>
      <c r="D9458" s="31"/>
      <c r="F9458" s="121" t="s">
        <v>3009</v>
      </c>
      <c r="G9458" s="98" t="str">
        <f>HYPERLINK("http://mirror.ff7data.com.ar/ff7/data/battle/battle.lgp/qfbb.png","View Picture")</f>
        <v>View Picture</v>
      </c>
    </row>
    <row r="9459">
      <c r="A9459" s="55"/>
      <c r="B9459" s="119" t="s">
        <v>41762</v>
      </c>
      <c r="C9459" s="120" t="s">
        <v>6029</v>
      </c>
      <c r="D9459" s="31"/>
      <c r="F9459" s="121" t="s">
        <v>3009</v>
      </c>
      <c r="G9459" s="98" t="str">
        <f>HYPERLINK("http://mirror.ff7data.com.ar/ff7/data/battle/battle.lgp/qfbc.png","View Picture")</f>
        <v>View Picture</v>
      </c>
    </row>
    <row r="9460">
      <c r="A9460" s="55"/>
      <c r="B9460" s="119" t="s">
        <v>41763</v>
      </c>
      <c r="C9460" s="120" t="s">
        <v>6029</v>
      </c>
      <c r="D9460" s="31"/>
      <c r="F9460" s="121" t="s">
        <v>3009</v>
      </c>
      <c r="G9460" s="98" t="str">
        <f>HYPERLINK("http://mirror.ff7data.com.ar/ff7/data/battle/battle.lgp/qfbd.png","View Picture")</f>
        <v>View Picture</v>
      </c>
    </row>
    <row r="9461">
      <c r="A9461" s="40"/>
      <c r="B9461" s="119" t="s">
        <v>41764</v>
      </c>
      <c r="C9461" s="120" t="s">
        <v>40553</v>
      </c>
      <c r="D9461" s="33" t="s">
        <v>41765</v>
      </c>
      <c r="F9461" s="121" t="s">
        <v>2756</v>
      </c>
      <c r="G9461" s="98" t="str">
        <f>HYPERLINK("http://mirror.ff7data.com.ar/ff7/data/battle/battle.lgp/qgaa.png","View Picture")</f>
        <v>View Picture</v>
      </c>
    </row>
    <row r="9462">
      <c r="A9462" s="55"/>
      <c r="B9462" s="119" t="s">
        <v>41766</v>
      </c>
      <c r="C9462" s="120" t="s">
        <v>40556</v>
      </c>
      <c r="D9462" s="31"/>
      <c r="F9462" s="121" t="s">
        <v>2993</v>
      </c>
    </row>
    <row r="9463">
      <c r="A9463" s="55"/>
      <c r="B9463" s="119" t="s">
        <v>41767</v>
      </c>
      <c r="C9463" s="120" t="s">
        <v>26104</v>
      </c>
      <c r="D9463" s="31"/>
      <c r="F9463" s="121" t="s">
        <v>1348</v>
      </c>
      <c r="G9463" s="98" t="str">
        <f>HYPERLINK("http://mirror.ff7data.com.ar/ff7/data/battle/battle.lgp/qgac.png","View Picture")</f>
        <v>View Picture</v>
      </c>
    </row>
    <row r="9464">
      <c r="A9464" s="55"/>
      <c r="B9464" s="119" t="s">
        <v>41768</v>
      </c>
      <c r="C9464" s="120" t="s">
        <v>7471</v>
      </c>
      <c r="D9464" s="31"/>
      <c r="F9464" s="121" t="s">
        <v>1348</v>
      </c>
      <c r="G9464" s="98" t="str">
        <f>HYPERLINK("http://mirror.ff7data.com.ar/ff7/data/battle/battle.lgp/qgad.png","View Picture")</f>
        <v>View Picture</v>
      </c>
    </row>
    <row r="9465">
      <c r="A9465" s="55"/>
      <c r="B9465" s="119" t="s">
        <v>41769</v>
      </c>
      <c r="C9465" s="120" t="s">
        <v>26104</v>
      </c>
      <c r="D9465" s="31"/>
      <c r="F9465" s="121" t="s">
        <v>1348</v>
      </c>
      <c r="G9465" s="98" t="str">
        <f>HYPERLINK("http://mirror.ff7data.com.ar/ff7/data/battle/battle.lgp/qgae.png","View Picture")</f>
        <v>View Picture</v>
      </c>
    </row>
    <row r="9466">
      <c r="A9466" s="55"/>
      <c r="B9466" s="119" t="s">
        <v>41770</v>
      </c>
      <c r="C9466" s="120" t="s">
        <v>26095</v>
      </c>
      <c r="D9466" s="31"/>
      <c r="F9466" s="121" t="s">
        <v>1348</v>
      </c>
      <c r="G9466" s="98" t="str">
        <f>HYPERLINK("http://mirror.ff7data.com.ar/ff7/data/battle/battle.lgp/qgaf.png","View Picture")</f>
        <v>View Picture</v>
      </c>
    </row>
    <row r="9467">
      <c r="A9467" s="55"/>
      <c r="B9467" s="119" t="s">
        <v>41771</v>
      </c>
      <c r="C9467" s="120" t="s">
        <v>26095</v>
      </c>
      <c r="D9467" s="31"/>
      <c r="F9467" s="121" t="s">
        <v>1348</v>
      </c>
      <c r="G9467" s="98" t="str">
        <f>HYPERLINK("http://mirror.ff7data.com.ar/ff7/data/battle/battle.lgp/qgag.png","View Picture")</f>
        <v>View Picture</v>
      </c>
    </row>
    <row r="9468">
      <c r="A9468" s="55"/>
      <c r="B9468" s="119" t="s">
        <v>41772</v>
      </c>
      <c r="C9468" s="120" t="s">
        <v>26095</v>
      </c>
      <c r="D9468" s="31"/>
      <c r="F9468" s="121" t="s">
        <v>1348</v>
      </c>
      <c r="G9468" s="98" t="str">
        <f>HYPERLINK("http://mirror.ff7data.com.ar/ff7/data/battle/battle.lgp/qgah.png","View Picture")</f>
        <v>View Picture</v>
      </c>
    </row>
    <row r="9469">
      <c r="A9469" s="55"/>
      <c r="B9469" s="119" t="s">
        <v>41773</v>
      </c>
      <c r="C9469" s="120" t="s">
        <v>6018</v>
      </c>
      <c r="D9469" s="31"/>
      <c r="F9469" s="121" t="s">
        <v>1348</v>
      </c>
      <c r="G9469" s="98" t="str">
        <f>HYPERLINK("http://mirror.ff7data.com.ar/ff7/data/battle/battle.lgp/qgai.png","View Picture")</f>
        <v>View Picture</v>
      </c>
    </row>
    <row r="9470">
      <c r="A9470" s="55"/>
      <c r="B9470" s="119" t="s">
        <v>41774</v>
      </c>
      <c r="C9470" s="120" t="s">
        <v>37143</v>
      </c>
      <c r="D9470" s="31"/>
      <c r="F9470" s="121" t="s">
        <v>3009</v>
      </c>
      <c r="G9470" s="98" t="str">
        <f>HYPERLINK("http://mirror.ff7data.com.ar/ff7/data/battle/battle.lgp/qgam.png","View Picture")</f>
        <v>View Picture</v>
      </c>
    </row>
    <row r="9471">
      <c r="A9471" s="55"/>
      <c r="B9471" s="119" t="s">
        <v>41775</v>
      </c>
      <c r="C9471" s="120" t="s">
        <v>4846</v>
      </c>
      <c r="D9471" s="31"/>
      <c r="F9471" s="121" t="s">
        <v>3009</v>
      </c>
      <c r="G9471" s="98" t="str">
        <f>HYPERLINK("http://mirror.ff7data.com.ar/ff7/data/battle/battle.lgp/qgan.png","View Picture")</f>
        <v>View Picture</v>
      </c>
    </row>
    <row r="9472">
      <c r="A9472" s="55"/>
      <c r="B9472" s="119" t="s">
        <v>41776</v>
      </c>
      <c r="C9472" s="120" t="s">
        <v>7270</v>
      </c>
      <c r="D9472" s="31"/>
      <c r="F9472" s="121" t="s">
        <v>3009</v>
      </c>
      <c r="G9472" s="98" t="str">
        <f>HYPERLINK("http://mirror.ff7data.com.ar/ff7/data/battle/battle.lgp/qgao.png","View Picture")</f>
        <v>View Picture</v>
      </c>
    </row>
    <row r="9473">
      <c r="A9473" s="55"/>
      <c r="B9473" s="119" t="s">
        <v>41777</v>
      </c>
      <c r="C9473" s="120" t="s">
        <v>4846</v>
      </c>
      <c r="D9473" s="31"/>
      <c r="F9473" s="121" t="s">
        <v>3009</v>
      </c>
      <c r="G9473" s="98" t="str">
        <f>HYPERLINK("http://mirror.ff7data.com.ar/ff7/data/battle/battle.lgp/qgap.png","View Picture")</f>
        <v>View Picture</v>
      </c>
    </row>
    <row r="9474">
      <c r="A9474" s="55"/>
      <c r="B9474" s="119" t="s">
        <v>41778</v>
      </c>
      <c r="C9474" s="120" t="s">
        <v>13619</v>
      </c>
      <c r="D9474" s="31"/>
      <c r="F9474" s="121" t="s">
        <v>3009</v>
      </c>
      <c r="G9474" s="98" t="str">
        <f>HYPERLINK("http://mirror.ff7data.com.ar/ff7/data/battle/battle.lgp/qgaq.png","View Picture")</f>
        <v>View Picture</v>
      </c>
    </row>
    <row r="9475">
      <c r="A9475" s="55"/>
      <c r="B9475" s="119" t="s">
        <v>41779</v>
      </c>
      <c r="C9475" s="120" t="s">
        <v>3505</v>
      </c>
      <c r="D9475" s="31"/>
      <c r="F9475" s="121" t="s">
        <v>3009</v>
      </c>
      <c r="G9475" s="98" t="str">
        <f>HYPERLINK("http://mirror.ff7data.com.ar/ff7/data/battle/battle.lgp/qgar.png","View Picture")</f>
        <v>View Picture</v>
      </c>
    </row>
    <row r="9476">
      <c r="A9476" s="55"/>
      <c r="B9476" s="119" t="s">
        <v>41780</v>
      </c>
      <c r="C9476" s="120" t="s">
        <v>14030</v>
      </c>
      <c r="D9476" s="31"/>
      <c r="F9476" s="121" t="s">
        <v>3009</v>
      </c>
      <c r="G9476" s="98" t="str">
        <f>HYPERLINK("http://mirror.ff7data.com.ar/ff7/data/battle/battle.lgp/qgas.png","View Picture")</f>
        <v>View Picture</v>
      </c>
    </row>
    <row r="9477">
      <c r="A9477" s="55"/>
      <c r="B9477" s="119" t="s">
        <v>41781</v>
      </c>
      <c r="C9477" s="120" t="s">
        <v>7270</v>
      </c>
      <c r="D9477" s="31"/>
      <c r="F9477" s="121" t="s">
        <v>3009</v>
      </c>
      <c r="G9477" s="98" t="str">
        <f>HYPERLINK("http://mirror.ff7data.com.ar/ff7/data/battle/battle.lgp/qgat.png","View Picture")</f>
        <v>View Picture</v>
      </c>
    </row>
    <row r="9478">
      <c r="A9478" s="55"/>
      <c r="B9478" s="119" t="s">
        <v>41782</v>
      </c>
      <c r="C9478" s="120" t="s">
        <v>3434</v>
      </c>
      <c r="D9478" s="31"/>
      <c r="F9478" s="121" t="s">
        <v>3009</v>
      </c>
      <c r="G9478" s="98" t="str">
        <f>HYPERLINK("http://mirror.ff7data.com.ar/ff7/data/battle/battle.lgp/qgau.png","View Picture")</f>
        <v>View Picture</v>
      </c>
    </row>
    <row r="9479">
      <c r="A9479" s="55"/>
      <c r="B9479" s="119" t="s">
        <v>41783</v>
      </c>
      <c r="C9479" s="120" t="s">
        <v>4228</v>
      </c>
      <c r="D9479" s="31"/>
      <c r="F9479" s="121" t="s">
        <v>3009</v>
      </c>
      <c r="G9479" s="98" t="str">
        <f>HYPERLINK("http://mirror.ff7data.com.ar/ff7/data/battle/battle.lgp/qgav.png","View Picture")</f>
        <v>View Picture</v>
      </c>
    </row>
    <row r="9480">
      <c r="A9480" s="55"/>
      <c r="B9480" s="119" t="s">
        <v>41784</v>
      </c>
      <c r="C9480" s="120" t="s">
        <v>4372</v>
      </c>
      <c r="D9480" s="31"/>
      <c r="F9480" s="121" t="s">
        <v>3009</v>
      </c>
      <c r="G9480" s="98" t="str">
        <f>HYPERLINK("http://mirror.ff7data.com.ar/ff7/data/battle/battle.lgp/qgaw.png","View Picture")</f>
        <v>View Picture</v>
      </c>
    </row>
    <row r="9481">
      <c r="A9481" s="79"/>
      <c r="B9481" s="119" t="s">
        <v>41785</v>
      </c>
      <c r="C9481" s="120" t="s">
        <v>40553</v>
      </c>
      <c r="D9481" s="33" t="s">
        <v>41786</v>
      </c>
      <c r="F9481" s="121" t="s">
        <v>2756</v>
      </c>
      <c r="G9481" s="98" t="str">
        <f>HYPERLINK("http://mirror.ff7data.com.ar/ff7/data/battle/battle.lgp/qhaa.png","View Picture")</f>
        <v>View Picture</v>
      </c>
    </row>
    <row r="9482">
      <c r="A9482" s="55"/>
      <c r="B9482" s="119" t="s">
        <v>41787</v>
      </c>
      <c r="C9482" s="120" t="s">
        <v>40556</v>
      </c>
      <c r="D9482" s="31"/>
      <c r="F9482" s="121" t="s">
        <v>2993</v>
      </c>
    </row>
    <row r="9483">
      <c r="A9483" s="55"/>
      <c r="B9483" s="119" t="s">
        <v>41788</v>
      </c>
      <c r="C9483" s="120" t="s">
        <v>26104</v>
      </c>
      <c r="D9483" s="31"/>
      <c r="F9483" s="121" t="s">
        <v>1348</v>
      </c>
      <c r="G9483" s="98" t="str">
        <f>HYPERLINK("http://mirror.ff7data.com.ar/ff7/data/battle/battle.lgp/qhac.png","View Picture")</f>
        <v>View Picture</v>
      </c>
    </row>
    <row r="9484">
      <c r="A9484" s="55"/>
      <c r="B9484" s="119" t="s">
        <v>41789</v>
      </c>
      <c r="C9484" s="120" t="s">
        <v>26104</v>
      </c>
      <c r="D9484" s="31"/>
      <c r="F9484" s="121" t="s">
        <v>1348</v>
      </c>
      <c r="G9484" s="98" t="str">
        <f>HYPERLINK("http://mirror.ff7data.com.ar/ff7/data/battle/battle.lgp/qhad.png","View Picture")</f>
        <v>View Picture</v>
      </c>
    </row>
    <row r="9485">
      <c r="A9485" s="55"/>
      <c r="B9485" s="119" t="s">
        <v>41790</v>
      </c>
      <c r="C9485" s="120" t="s">
        <v>6018</v>
      </c>
      <c r="D9485" s="31"/>
      <c r="F9485" s="121" t="s">
        <v>1348</v>
      </c>
      <c r="G9485" s="98" t="str">
        <f>HYPERLINK("http://mirror.ff7data.com.ar/ff7/data/battle/battle.lgp/qhae.png","View Picture")</f>
        <v>View Picture</v>
      </c>
    </row>
    <row r="9486">
      <c r="A9486" s="55"/>
      <c r="B9486" s="119" t="s">
        <v>41791</v>
      </c>
      <c r="C9486" s="120" t="s">
        <v>26104</v>
      </c>
      <c r="D9486" s="31"/>
      <c r="F9486" s="121" t="s">
        <v>1348</v>
      </c>
      <c r="G9486" s="98" t="str">
        <f>HYPERLINK("http://mirror.ff7data.com.ar/ff7/data/battle/battle.lgp/qhaf.png","View Picture")</f>
        <v>View Picture</v>
      </c>
    </row>
    <row r="9487">
      <c r="A9487" s="55"/>
      <c r="B9487" s="119" t="s">
        <v>41792</v>
      </c>
      <c r="C9487" s="120" t="s">
        <v>7471</v>
      </c>
      <c r="D9487" s="31"/>
      <c r="F9487" s="121" t="s">
        <v>1348</v>
      </c>
      <c r="G9487" s="98" t="str">
        <f>HYPERLINK("http://mirror.ff7data.com.ar/ff7/data/battle/battle.lgp/qhag.png","View Picture")</f>
        <v>View Picture</v>
      </c>
    </row>
    <row r="9488">
      <c r="A9488" s="55"/>
      <c r="B9488" s="119" t="s">
        <v>41793</v>
      </c>
      <c r="C9488" s="120" t="s">
        <v>4228</v>
      </c>
      <c r="D9488" s="31"/>
      <c r="F9488" s="121" t="s">
        <v>3009</v>
      </c>
      <c r="G9488" s="98" t="str">
        <f>HYPERLINK("http://mirror.ff7data.com.ar/ff7/data/battle/battle.lgp/qham.png","View Picture")</f>
        <v>View Picture</v>
      </c>
    </row>
    <row r="9489">
      <c r="A9489" s="55"/>
      <c r="B9489" s="119" t="s">
        <v>41794</v>
      </c>
      <c r="C9489" s="120" t="s">
        <v>3768</v>
      </c>
      <c r="D9489" s="31"/>
      <c r="F9489" s="121" t="s">
        <v>3009</v>
      </c>
      <c r="G9489" s="98" t="str">
        <f>HYPERLINK("http://mirror.ff7data.com.ar/ff7/data/battle/battle.lgp/qhan.png","View Picture")</f>
        <v>View Picture</v>
      </c>
    </row>
    <row r="9490">
      <c r="A9490" s="55"/>
      <c r="B9490" s="119" t="s">
        <v>41795</v>
      </c>
      <c r="C9490" s="120" t="s">
        <v>7270</v>
      </c>
      <c r="D9490" s="31"/>
      <c r="F9490" s="121" t="s">
        <v>3009</v>
      </c>
      <c r="G9490" s="98" t="str">
        <f>HYPERLINK("http://mirror.ff7data.com.ar/ff7/data/battle/battle.lgp/qhao.png","View Picture")</f>
        <v>View Picture</v>
      </c>
    </row>
    <row r="9491">
      <c r="A9491" s="55"/>
      <c r="B9491" s="119" t="s">
        <v>41796</v>
      </c>
      <c r="C9491" s="120" t="s">
        <v>4846</v>
      </c>
      <c r="D9491" s="31"/>
      <c r="F9491" s="121" t="s">
        <v>3009</v>
      </c>
      <c r="G9491" s="98" t="str">
        <f>HYPERLINK("http://mirror.ff7data.com.ar/ff7/data/battle/battle.lgp/qhap.png","View Picture")</f>
        <v>View Picture</v>
      </c>
    </row>
    <row r="9492">
      <c r="A9492" s="55"/>
      <c r="B9492" s="119" t="s">
        <v>41797</v>
      </c>
      <c r="C9492" s="120" t="s">
        <v>5967</v>
      </c>
      <c r="D9492" s="31"/>
      <c r="F9492" s="121" t="s">
        <v>3009</v>
      </c>
      <c r="G9492" s="98" t="str">
        <f>HYPERLINK("http://mirror.ff7data.com.ar/ff7/data/battle/battle.lgp/qhaq.png","View Picture")</f>
        <v>View Picture</v>
      </c>
    </row>
    <row r="9493">
      <c r="A9493" s="55"/>
      <c r="B9493" s="119" t="s">
        <v>41798</v>
      </c>
      <c r="C9493" s="120" t="s">
        <v>6029</v>
      </c>
      <c r="D9493" s="31"/>
      <c r="F9493" s="121" t="s">
        <v>3009</v>
      </c>
      <c r="G9493" s="98" t="str">
        <f>HYPERLINK("http://mirror.ff7data.com.ar/ff7/data/battle/battle.lgp/qhar.png","View Picture")</f>
        <v>View Picture</v>
      </c>
    </row>
    <row r="9494">
      <c r="A9494" s="55"/>
      <c r="B9494" s="119" t="s">
        <v>41799</v>
      </c>
      <c r="C9494" s="120" t="s">
        <v>40766</v>
      </c>
      <c r="D9494" s="31"/>
      <c r="F9494" s="121" t="s">
        <v>3009</v>
      </c>
      <c r="G9494" s="98" t="str">
        <f>HYPERLINK("http://mirror.ff7data.com.ar/ff7/data/battle/battle.lgp/qhas.png","View Picture")</f>
        <v>View Picture</v>
      </c>
    </row>
    <row r="9495">
      <c r="A9495" s="79"/>
      <c r="B9495" s="119" t="s">
        <v>41800</v>
      </c>
      <c r="C9495" s="120" t="s">
        <v>40553</v>
      </c>
      <c r="D9495" s="33" t="s">
        <v>41801</v>
      </c>
      <c r="F9495" s="121" t="s">
        <v>2756</v>
      </c>
      <c r="G9495" s="98" t="str">
        <f>HYPERLINK("http://mirror.ff7data.com.ar/ff7/data/battle/battle.lgp/qiaa.png","View Picture")</f>
        <v>View Picture</v>
      </c>
    </row>
    <row r="9496">
      <c r="A9496" s="55"/>
      <c r="B9496" s="119" t="s">
        <v>41802</v>
      </c>
      <c r="C9496" s="120" t="s">
        <v>40556</v>
      </c>
      <c r="D9496" s="31"/>
      <c r="F9496" s="121" t="s">
        <v>2993</v>
      </c>
    </row>
    <row r="9497">
      <c r="A9497" s="55"/>
      <c r="B9497" s="119" t="s">
        <v>41803</v>
      </c>
      <c r="C9497" s="120" t="s">
        <v>26104</v>
      </c>
      <c r="D9497" s="31"/>
      <c r="F9497" s="121" t="s">
        <v>1348</v>
      </c>
      <c r="G9497" s="98" t="str">
        <f>HYPERLINK("http://mirror.ff7data.com.ar/ff7/data/battle/battle.lgp/qiac.png","View Picture")</f>
        <v>View Picture</v>
      </c>
    </row>
    <row r="9498">
      <c r="A9498" s="55"/>
      <c r="B9498" s="119" t="s">
        <v>41804</v>
      </c>
      <c r="C9498" s="120" t="s">
        <v>26095</v>
      </c>
      <c r="D9498" s="31"/>
      <c r="F9498" s="121" t="s">
        <v>1348</v>
      </c>
      <c r="G9498" s="98" t="str">
        <f>HYPERLINK("http://mirror.ff7data.com.ar/ff7/data/battle/battle.lgp/qiad.png","View Picture")</f>
        <v>View Picture</v>
      </c>
    </row>
    <row r="9499">
      <c r="A9499" s="55"/>
      <c r="B9499" s="119" t="s">
        <v>41805</v>
      </c>
      <c r="C9499" s="120" t="s">
        <v>26104</v>
      </c>
      <c r="D9499" s="31"/>
      <c r="F9499" s="121" t="s">
        <v>1348</v>
      </c>
      <c r="G9499" s="98" t="str">
        <f>HYPERLINK("http://mirror.ff7data.com.ar/ff7/data/battle/battle.lgp/qiae.png","View Picture")</f>
        <v>View Picture</v>
      </c>
    </row>
    <row r="9500">
      <c r="A9500" s="55"/>
      <c r="B9500" s="119" t="s">
        <v>41806</v>
      </c>
      <c r="C9500" s="120" t="s">
        <v>7471</v>
      </c>
      <c r="D9500" s="31"/>
      <c r="F9500" s="121" t="s">
        <v>1348</v>
      </c>
      <c r="G9500" s="98" t="str">
        <f>HYPERLINK("http://mirror.ff7data.com.ar/ff7/data/battle/battle.lgp/qiaf.png","View Picture")</f>
        <v>View Picture</v>
      </c>
    </row>
    <row r="9501">
      <c r="A9501" s="55"/>
      <c r="B9501" s="119" t="s">
        <v>41807</v>
      </c>
      <c r="C9501" s="120" t="s">
        <v>6018</v>
      </c>
      <c r="D9501" s="31"/>
      <c r="F9501" s="121" t="s">
        <v>1348</v>
      </c>
      <c r="G9501" s="98" t="str">
        <f>HYPERLINK("http://mirror.ff7data.com.ar/ff7/data/battle/battle.lgp/qiag.png","View Picture")</f>
        <v>View Picture</v>
      </c>
    </row>
    <row r="9502">
      <c r="A9502" s="55"/>
      <c r="B9502" s="119" t="s">
        <v>41808</v>
      </c>
      <c r="C9502" s="120" t="s">
        <v>26095</v>
      </c>
      <c r="D9502" s="31"/>
      <c r="F9502" s="121" t="s">
        <v>1348</v>
      </c>
      <c r="G9502" s="98" t="str">
        <f>HYPERLINK("http://mirror.ff7data.com.ar/ff7/data/battle/battle.lgp/qiah.png","View Picture")</f>
        <v>View Picture</v>
      </c>
    </row>
    <row r="9503">
      <c r="A9503" s="55"/>
      <c r="B9503" s="119" t="s">
        <v>41809</v>
      </c>
      <c r="C9503" s="120" t="s">
        <v>26095</v>
      </c>
      <c r="D9503" s="31"/>
      <c r="F9503" s="121" t="s">
        <v>1348</v>
      </c>
      <c r="G9503" s="98" t="str">
        <f>HYPERLINK("http://mirror.ff7data.com.ar/ff7/data/battle/battle.lgp/qiai.png","View Picture")</f>
        <v>View Picture</v>
      </c>
    </row>
    <row r="9504">
      <c r="A9504" s="55"/>
      <c r="B9504" s="119" t="s">
        <v>41810</v>
      </c>
      <c r="C9504" s="120" t="s">
        <v>15135</v>
      </c>
      <c r="D9504" s="31"/>
      <c r="F9504" s="121" t="s">
        <v>3009</v>
      </c>
      <c r="G9504" s="98" t="str">
        <f>HYPERLINK("http://mirror.ff7data.com.ar/ff7/data/battle/battle.lgp/qiam.png","View Picture")</f>
        <v>View Picture</v>
      </c>
    </row>
    <row r="9505">
      <c r="A9505" s="55"/>
      <c r="B9505" s="119" t="s">
        <v>41811</v>
      </c>
      <c r="C9505" s="120" t="s">
        <v>4846</v>
      </c>
      <c r="D9505" s="31"/>
      <c r="F9505" s="121" t="s">
        <v>3009</v>
      </c>
      <c r="G9505" s="98" t="str">
        <f>HYPERLINK("http://mirror.ff7data.com.ar/ff7/data/battle/battle.lgp/qian.png","View Picture")</f>
        <v>View Picture</v>
      </c>
    </row>
    <row r="9506">
      <c r="A9506" s="55"/>
      <c r="B9506" s="119" t="s">
        <v>41812</v>
      </c>
      <c r="C9506" s="120" t="s">
        <v>4846</v>
      </c>
      <c r="D9506" s="31"/>
      <c r="F9506" s="121" t="s">
        <v>3009</v>
      </c>
      <c r="G9506" s="98" t="str">
        <f>HYPERLINK("http://mirror.ff7data.com.ar/ff7/data/battle/battle.lgp/qiao.png","View Picture")</f>
        <v>View Picture</v>
      </c>
    </row>
    <row r="9507">
      <c r="A9507" s="55"/>
      <c r="B9507" s="119" t="s">
        <v>41813</v>
      </c>
      <c r="C9507" s="120" t="s">
        <v>4846</v>
      </c>
      <c r="D9507" s="31"/>
      <c r="F9507" s="121" t="s">
        <v>3009</v>
      </c>
      <c r="G9507" s="98" t="str">
        <f>HYPERLINK("http://mirror.ff7data.com.ar/ff7/data/battle/battle.lgp/qiap.png","View Picture")</f>
        <v>View Picture</v>
      </c>
    </row>
    <row r="9508">
      <c r="A9508" s="55"/>
      <c r="B9508" s="119" t="s">
        <v>41814</v>
      </c>
      <c r="C9508" s="120" t="s">
        <v>9571</v>
      </c>
      <c r="D9508" s="31"/>
      <c r="F9508" s="121" t="s">
        <v>3009</v>
      </c>
      <c r="G9508" s="98" t="str">
        <f>HYPERLINK("http://mirror.ff7data.com.ar/ff7/data/battle/battle.lgp/qiaq.png","View Picture")</f>
        <v>View Picture</v>
      </c>
    </row>
    <row r="9509">
      <c r="A9509" s="55"/>
      <c r="B9509" s="119" t="s">
        <v>41815</v>
      </c>
      <c r="C9509" s="120" t="s">
        <v>41816</v>
      </c>
      <c r="D9509" s="31"/>
      <c r="F9509" s="121" t="s">
        <v>3009</v>
      </c>
      <c r="G9509" s="98" t="str">
        <f>HYPERLINK("http://mirror.ff7data.com.ar/ff7/data/battle/battle.lgp/qiar.png","View Picture")</f>
        <v>View Picture</v>
      </c>
    </row>
    <row r="9510">
      <c r="A9510" s="55"/>
      <c r="B9510" s="119" t="s">
        <v>41817</v>
      </c>
      <c r="C9510" s="120" t="s">
        <v>4288</v>
      </c>
      <c r="D9510" s="31"/>
      <c r="F9510" s="121" t="s">
        <v>3009</v>
      </c>
      <c r="G9510" s="98" t="str">
        <f>HYPERLINK("http://mirror.ff7data.com.ar/ff7/data/battle/battle.lgp/qias.png","View Picture")</f>
        <v>View Picture</v>
      </c>
    </row>
    <row r="9511">
      <c r="A9511" s="55"/>
      <c r="B9511" s="119" t="s">
        <v>41818</v>
      </c>
      <c r="C9511" s="120" t="s">
        <v>4732</v>
      </c>
      <c r="D9511" s="31"/>
      <c r="F9511" s="121" t="s">
        <v>3009</v>
      </c>
      <c r="G9511" s="98" t="str">
        <f>HYPERLINK("http://mirror.ff7data.com.ar/ff7/data/battle/battle.lgp/qiat.png","View Picture")</f>
        <v>View Picture</v>
      </c>
    </row>
    <row r="9512">
      <c r="A9512" s="55"/>
      <c r="B9512" s="119" t="s">
        <v>41819</v>
      </c>
      <c r="C9512" s="120" t="s">
        <v>4732</v>
      </c>
      <c r="D9512" s="31"/>
      <c r="F9512" s="121" t="s">
        <v>3009</v>
      </c>
      <c r="G9512" s="98" t="str">
        <f>HYPERLINK("http://mirror.ff7data.com.ar/ff7/data/battle/battle.lgp/qiau.png","View Picture")</f>
        <v>View Picture</v>
      </c>
    </row>
    <row r="9513">
      <c r="A9513" s="55"/>
      <c r="B9513" s="119" t="s">
        <v>41820</v>
      </c>
      <c r="C9513" s="120" t="s">
        <v>11778</v>
      </c>
      <c r="D9513" s="31"/>
      <c r="F9513" s="121" t="s">
        <v>3009</v>
      </c>
      <c r="G9513" s="98" t="str">
        <f>HYPERLINK("http://mirror.ff7data.com.ar/ff7/data/battle/battle.lgp/qiav.png","View Picture")</f>
        <v>View Picture</v>
      </c>
    </row>
    <row r="9514">
      <c r="A9514" s="55"/>
      <c r="B9514" s="119" t="s">
        <v>41821</v>
      </c>
      <c r="C9514" s="120" t="s">
        <v>4288</v>
      </c>
      <c r="D9514" s="31"/>
      <c r="F9514" s="121" t="s">
        <v>3009</v>
      </c>
      <c r="G9514" s="98" t="str">
        <f>HYPERLINK("http://mirror.ff7data.com.ar/ff7/data/battle/battle.lgp/qiaw.png","View Picture")</f>
        <v>View Picture</v>
      </c>
    </row>
    <row r="9515">
      <c r="A9515" s="55"/>
      <c r="B9515" s="119" t="s">
        <v>41822</v>
      </c>
      <c r="C9515" s="120" t="s">
        <v>29777</v>
      </c>
      <c r="D9515" s="31"/>
      <c r="F9515" s="121" t="s">
        <v>3009</v>
      </c>
      <c r="G9515" s="98" t="str">
        <f>HYPERLINK("http://mirror.ff7data.com.ar/ff7/data/battle/battle.lgp/qiax.png","View Picture")</f>
        <v>View Picture</v>
      </c>
    </row>
    <row r="9516">
      <c r="A9516" s="55"/>
      <c r="B9516" s="119" t="s">
        <v>41823</v>
      </c>
      <c r="C9516" s="120" t="s">
        <v>4658</v>
      </c>
      <c r="D9516" s="31"/>
      <c r="F9516" s="121" t="s">
        <v>3009</v>
      </c>
      <c r="G9516" s="98" t="str">
        <f>HYPERLINK("http://mirror.ff7data.com.ar/ff7/data/battle/battle.lgp/qiay.png","View Picture")</f>
        <v>View Picture</v>
      </c>
    </row>
    <row r="9517">
      <c r="A9517" s="55"/>
      <c r="B9517" s="119" t="s">
        <v>41824</v>
      </c>
      <c r="C9517" s="120" t="s">
        <v>4707</v>
      </c>
      <c r="D9517" s="31"/>
      <c r="F9517" s="121" t="s">
        <v>3009</v>
      </c>
      <c r="G9517" s="98" t="str">
        <f>HYPERLINK("http://mirror.ff7data.com.ar/ff7/data/battle/battle.lgp/qiaz.png","View Picture")</f>
        <v>View Picture</v>
      </c>
    </row>
    <row r="9518">
      <c r="A9518" s="79"/>
      <c r="B9518" s="119" t="s">
        <v>41825</v>
      </c>
      <c r="C9518" s="120" t="s">
        <v>4185</v>
      </c>
      <c r="D9518" s="31"/>
      <c r="F9518" s="121" t="s">
        <v>3009</v>
      </c>
      <c r="G9518" s="98" t="str">
        <f>HYPERLINK("http://mirror.ff7data.com.ar/ff7/data/battle/battle.lgp/qiba.png","View Picture")</f>
        <v>View Picture</v>
      </c>
    </row>
    <row r="9519">
      <c r="A9519" s="55"/>
      <c r="B9519" s="119" t="s">
        <v>41826</v>
      </c>
      <c r="C9519" s="120" t="s">
        <v>4439</v>
      </c>
      <c r="D9519" s="31"/>
      <c r="F9519" s="121" t="s">
        <v>3009</v>
      </c>
      <c r="G9519" s="98" t="str">
        <f>HYPERLINK("http://mirror.ff7data.com.ar/ff7/data/battle/battle.lgp/qibb.png","View Picture")</f>
        <v>View Picture</v>
      </c>
    </row>
    <row r="9520">
      <c r="A9520" s="55"/>
      <c r="B9520" s="119" t="s">
        <v>41827</v>
      </c>
      <c r="C9520" s="120" t="s">
        <v>4057</v>
      </c>
      <c r="D9520" s="31"/>
      <c r="F9520" s="121" t="s">
        <v>3009</v>
      </c>
      <c r="G9520" s="98" t="str">
        <f>HYPERLINK("http://mirror.ff7data.com.ar/ff7/data/battle/battle.lgp/qibc.png","View Picture")</f>
        <v>View Picture</v>
      </c>
    </row>
    <row r="9521">
      <c r="A9521" s="55"/>
      <c r="B9521" s="119" t="s">
        <v>41828</v>
      </c>
      <c r="C9521" s="120" t="s">
        <v>4288</v>
      </c>
      <c r="D9521" s="31"/>
      <c r="F9521" s="121" t="s">
        <v>3009</v>
      </c>
      <c r="G9521" s="98" t="str">
        <f>HYPERLINK("http://mirror.ff7data.com.ar/ff7/data/battle/battle.lgp/qibd.png","View Picture")</f>
        <v>View Picture</v>
      </c>
    </row>
    <row r="9522">
      <c r="A9522" s="55"/>
      <c r="B9522" s="119" t="s">
        <v>41829</v>
      </c>
      <c r="C9522" s="120" t="s">
        <v>4732</v>
      </c>
      <c r="D9522" s="31"/>
      <c r="F9522" s="121" t="s">
        <v>3009</v>
      </c>
      <c r="G9522" s="98" t="str">
        <f>HYPERLINK("http://mirror.ff7data.com.ar/ff7/data/battle/battle.lgp/qibe.png","View Picture")</f>
        <v>View Picture</v>
      </c>
    </row>
    <row r="9523">
      <c r="A9523" s="55"/>
      <c r="B9523" s="119" t="s">
        <v>41830</v>
      </c>
      <c r="C9523" s="120" t="s">
        <v>28460</v>
      </c>
      <c r="D9523" s="31"/>
      <c r="F9523" s="121" t="s">
        <v>3009</v>
      </c>
      <c r="G9523" s="98" t="str">
        <f>HYPERLINK("http://mirror.ff7data.com.ar/ff7/data/battle/battle.lgp/qibf.png","View Picture")</f>
        <v>View Picture</v>
      </c>
    </row>
    <row r="9524">
      <c r="A9524" s="55"/>
      <c r="B9524" s="119" t="s">
        <v>41831</v>
      </c>
      <c r="C9524" s="120" t="s">
        <v>11778</v>
      </c>
      <c r="D9524" s="31"/>
      <c r="F9524" s="121" t="s">
        <v>3009</v>
      </c>
      <c r="G9524" s="98" t="str">
        <f>HYPERLINK("http://mirror.ff7data.com.ar/ff7/data/battle/battle.lgp/qibg.png","View Picture")</f>
        <v>View Picture</v>
      </c>
    </row>
    <row r="9525">
      <c r="A9525" s="55"/>
      <c r="B9525" s="119" t="s">
        <v>41832</v>
      </c>
      <c r="C9525" s="120" t="s">
        <v>4565</v>
      </c>
      <c r="D9525" s="31"/>
      <c r="F9525" s="121" t="s">
        <v>3009</v>
      </c>
      <c r="G9525" s="98" t="str">
        <f>HYPERLINK("http://mirror.ff7data.com.ar/ff7/data/battle/battle.lgp/qibh.png","View Picture")</f>
        <v>View Picture</v>
      </c>
    </row>
    <row r="9526">
      <c r="A9526" s="55"/>
      <c r="B9526" s="119" t="s">
        <v>41833</v>
      </c>
      <c r="C9526" s="120" t="s">
        <v>4732</v>
      </c>
      <c r="D9526" s="31"/>
      <c r="F9526" s="121" t="s">
        <v>3009</v>
      </c>
      <c r="G9526" s="98" t="str">
        <f>HYPERLINK("http://mirror.ff7data.com.ar/ff7/data/battle/battle.lgp/qibi.png","View Picture")</f>
        <v>View Picture</v>
      </c>
    </row>
    <row r="9527">
      <c r="A9527" s="55"/>
      <c r="B9527" s="119" t="s">
        <v>41834</v>
      </c>
      <c r="C9527" s="120" t="s">
        <v>40553</v>
      </c>
      <c r="D9527" s="33" t="s">
        <v>41835</v>
      </c>
      <c r="F9527" s="121" t="s">
        <v>2756</v>
      </c>
      <c r="G9527" s="98" t="str">
        <f>HYPERLINK("http://mirror.ff7data.com.ar/ff7/data/battle/battle.lgp/qjaa.png","View Picture")</f>
        <v>View Picture</v>
      </c>
    </row>
    <row r="9528">
      <c r="A9528" s="55"/>
      <c r="B9528" s="119" t="s">
        <v>41836</v>
      </c>
      <c r="C9528" s="120" t="s">
        <v>40556</v>
      </c>
      <c r="D9528" s="31"/>
      <c r="F9528" s="121" t="s">
        <v>2993</v>
      </c>
    </row>
    <row r="9529">
      <c r="A9529" s="55"/>
      <c r="B9529" s="119" t="s">
        <v>41837</v>
      </c>
      <c r="C9529" s="120" t="s">
        <v>26104</v>
      </c>
      <c r="D9529" s="31"/>
      <c r="F9529" s="121" t="s">
        <v>1348</v>
      </c>
      <c r="G9529" s="98" t="str">
        <f>HYPERLINK("http://mirror.ff7data.com.ar/ff7/data/battle/battle.lgp/qjac.png","View Picture")</f>
        <v>View Picture</v>
      </c>
    </row>
    <row r="9530">
      <c r="A9530" s="55"/>
      <c r="B9530" s="119" t="s">
        <v>41838</v>
      </c>
      <c r="C9530" s="120" t="s">
        <v>6018</v>
      </c>
      <c r="D9530" s="31"/>
      <c r="F9530" s="121" t="s">
        <v>1348</v>
      </c>
      <c r="G9530" s="98" t="str">
        <f>HYPERLINK("http://mirror.ff7data.com.ar/ff7/data/battle/battle.lgp/qjad.png","View Picture")</f>
        <v>View Picture</v>
      </c>
    </row>
    <row r="9531">
      <c r="A9531" s="55"/>
      <c r="B9531" s="119" t="s">
        <v>41839</v>
      </c>
      <c r="C9531" s="120" t="s">
        <v>26095</v>
      </c>
      <c r="D9531" s="31"/>
      <c r="F9531" s="121" t="s">
        <v>1348</v>
      </c>
      <c r="G9531" s="98" t="str">
        <f>HYPERLINK("http://mirror.ff7data.com.ar/ff7/data/battle/battle.lgp/qjae.png","View Picture")</f>
        <v>View Picture</v>
      </c>
    </row>
    <row r="9532">
      <c r="A9532" s="55"/>
      <c r="B9532" s="119" t="s">
        <v>41840</v>
      </c>
      <c r="C9532" s="120" t="s">
        <v>26104</v>
      </c>
      <c r="D9532" s="31"/>
      <c r="F9532" s="121" t="s">
        <v>1348</v>
      </c>
      <c r="G9532" s="98" t="str">
        <f>HYPERLINK("http://mirror.ff7data.com.ar/ff7/data/battle/battle.lgp/qjaf.png","View Picture")</f>
        <v>View Picture</v>
      </c>
    </row>
    <row r="9533">
      <c r="A9533" s="55"/>
      <c r="B9533" s="119" t="s">
        <v>41841</v>
      </c>
      <c r="C9533" s="120" t="s">
        <v>6018</v>
      </c>
      <c r="D9533" s="31"/>
      <c r="F9533" s="121" t="s">
        <v>1348</v>
      </c>
      <c r="G9533" s="98" t="str">
        <f>HYPERLINK("http://mirror.ff7data.com.ar/ff7/data/battle/battle.lgp/qjag.png","View Picture")</f>
        <v>View Picture</v>
      </c>
    </row>
    <row r="9534">
      <c r="A9534" s="55"/>
      <c r="B9534" s="119" t="s">
        <v>41842</v>
      </c>
      <c r="C9534" s="120" t="s">
        <v>6018</v>
      </c>
      <c r="D9534" s="31"/>
      <c r="F9534" s="121" t="s">
        <v>1348</v>
      </c>
      <c r="G9534" s="98" t="str">
        <f>HYPERLINK("http://mirror.ff7data.com.ar/ff7/data/battle/battle.lgp/qjah.png","View Picture")</f>
        <v>View Picture</v>
      </c>
    </row>
    <row r="9535">
      <c r="A9535" s="55"/>
      <c r="B9535" s="119" t="s">
        <v>41843</v>
      </c>
      <c r="C9535" s="120" t="s">
        <v>6018</v>
      </c>
      <c r="D9535" s="31"/>
      <c r="F9535" s="121" t="s">
        <v>1348</v>
      </c>
      <c r="G9535" s="98" t="str">
        <f>HYPERLINK("http://mirror.ff7data.com.ar/ff7/data/battle/battle.lgp/qjai.png","View Picture")</f>
        <v>View Picture</v>
      </c>
    </row>
    <row r="9536">
      <c r="A9536" s="55"/>
      <c r="B9536" s="119" t="s">
        <v>41844</v>
      </c>
      <c r="C9536" s="120" t="s">
        <v>6018</v>
      </c>
      <c r="D9536" s="31"/>
      <c r="F9536" s="121" t="s">
        <v>1348</v>
      </c>
      <c r="G9536" s="98" t="str">
        <f>HYPERLINK("http://mirror.ff7data.com.ar/ff7/data/battle/battle.lgp/qjaj.png","View Picture")</f>
        <v>View Picture</v>
      </c>
    </row>
    <row r="9537">
      <c r="A9537" s="55"/>
      <c r="B9537" s="119" t="s">
        <v>41845</v>
      </c>
      <c r="C9537" s="120" t="s">
        <v>6010</v>
      </c>
      <c r="D9537" s="31"/>
      <c r="F9537" s="121" t="s">
        <v>3009</v>
      </c>
      <c r="G9537" s="98" t="str">
        <f>HYPERLINK("http://mirror.ff7data.com.ar/ff7/data/battle/battle.lgp/qjam.png","View Picture")</f>
        <v>View Picture</v>
      </c>
    </row>
    <row r="9538">
      <c r="A9538" s="55"/>
      <c r="B9538" s="119" t="s">
        <v>41846</v>
      </c>
      <c r="C9538" s="120" t="s">
        <v>4846</v>
      </c>
      <c r="D9538" s="31"/>
      <c r="F9538" s="121" t="s">
        <v>3009</v>
      </c>
      <c r="G9538" s="98" t="str">
        <f>HYPERLINK("http://mirror.ff7data.com.ar/ff7/data/battle/battle.lgp/qjan.png","View Picture")</f>
        <v>View Picture</v>
      </c>
    </row>
    <row r="9539">
      <c r="A9539" s="55"/>
      <c r="B9539" s="119" t="s">
        <v>41847</v>
      </c>
      <c r="C9539" s="120" t="s">
        <v>4846</v>
      </c>
      <c r="D9539" s="31"/>
      <c r="F9539" s="121" t="s">
        <v>3009</v>
      </c>
      <c r="G9539" s="98" t="str">
        <f>HYPERLINK("http://mirror.ff7data.com.ar/ff7/data/battle/battle.lgp/qjao.png","View Picture")</f>
        <v>View Picture</v>
      </c>
    </row>
    <row r="9540">
      <c r="A9540" s="55"/>
      <c r="B9540" s="119" t="s">
        <v>41848</v>
      </c>
      <c r="C9540" s="120" t="s">
        <v>4846</v>
      </c>
      <c r="D9540" s="31"/>
      <c r="F9540" s="121" t="s">
        <v>3009</v>
      </c>
      <c r="G9540" s="98" t="str">
        <f>HYPERLINK("http://mirror.ff7data.com.ar/ff7/data/battle/battle.lgp/qjap.png","View Picture")</f>
        <v>View Picture</v>
      </c>
    </row>
    <row r="9541">
      <c r="A9541" s="55"/>
      <c r="B9541" s="119" t="s">
        <v>41849</v>
      </c>
      <c r="C9541" s="120" t="s">
        <v>7322</v>
      </c>
      <c r="D9541" s="31"/>
      <c r="F9541" s="121" t="s">
        <v>3009</v>
      </c>
      <c r="G9541" s="98" t="str">
        <f>HYPERLINK("http://mirror.ff7data.com.ar/ff7/data/battle/battle.lgp/qjaq.png","View Picture")</f>
        <v>View Picture</v>
      </c>
    </row>
    <row r="9542">
      <c r="A9542" s="55"/>
      <c r="B9542" s="119" t="s">
        <v>41850</v>
      </c>
      <c r="C9542" s="120" t="s">
        <v>4167</v>
      </c>
      <c r="D9542" s="31"/>
      <c r="F9542" s="121" t="s">
        <v>3009</v>
      </c>
      <c r="G9542" s="98" t="str">
        <f>HYPERLINK("http://mirror.ff7data.com.ar/ff7/data/battle/battle.lgp/qjar.png","View Picture")</f>
        <v>View Picture</v>
      </c>
    </row>
    <row r="9543">
      <c r="A9543" s="55"/>
      <c r="B9543" s="119" t="s">
        <v>41851</v>
      </c>
      <c r="C9543" s="120" t="s">
        <v>3842</v>
      </c>
      <c r="D9543" s="31"/>
      <c r="F9543" s="121" t="s">
        <v>3009</v>
      </c>
      <c r="G9543" s="98" t="str">
        <f>HYPERLINK("http://mirror.ff7data.com.ar/ff7/data/battle/battle.lgp/qjas.png","View Picture")</f>
        <v>View Picture</v>
      </c>
    </row>
    <row r="9544">
      <c r="A9544" s="55"/>
      <c r="B9544" s="119" t="s">
        <v>41852</v>
      </c>
      <c r="C9544" s="120" t="s">
        <v>3445</v>
      </c>
      <c r="D9544" s="31"/>
      <c r="F9544" s="121" t="s">
        <v>3009</v>
      </c>
      <c r="G9544" s="98" t="str">
        <f>HYPERLINK("http://mirror.ff7data.com.ar/ff7/data/battle/battle.lgp/qjat.png","View Picture")</f>
        <v>View Picture</v>
      </c>
    </row>
    <row r="9545">
      <c r="A9545" s="55"/>
      <c r="B9545" s="119" t="s">
        <v>41853</v>
      </c>
      <c r="C9545" s="120" t="s">
        <v>19628</v>
      </c>
      <c r="D9545" s="31"/>
      <c r="F9545" s="121" t="s">
        <v>3009</v>
      </c>
      <c r="G9545" s="98" t="str">
        <f>HYPERLINK("http://mirror.ff7data.com.ar/ff7/data/battle/battle.lgp/qjau.png","View Picture")</f>
        <v>View Picture</v>
      </c>
    </row>
    <row r="9546">
      <c r="A9546" s="55"/>
      <c r="B9546" s="119" t="s">
        <v>41854</v>
      </c>
      <c r="C9546" s="120" t="s">
        <v>7894</v>
      </c>
      <c r="D9546" s="31"/>
      <c r="F9546" s="121" t="s">
        <v>3009</v>
      </c>
      <c r="G9546" s="98" t="str">
        <f>HYPERLINK("http://mirror.ff7data.com.ar/ff7/data/battle/battle.lgp/qjav.png","View Picture")</f>
        <v>View Picture</v>
      </c>
    </row>
    <row r="9547">
      <c r="A9547" s="55"/>
      <c r="B9547" s="119" t="s">
        <v>41855</v>
      </c>
      <c r="C9547" s="120" t="s">
        <v>4732</v>
      </c>
      <c r="D9547" s="31"/>
      <c r="F9547" s="121" t="s">
        <v>3009</v>
      </c>
      <c r="G9547" s="98" t="str">
        <f>HYPERLINK("http://mirror.ff7data.com.ar/ff7/data/battle/battle.lgp/qjaw.png","View Picture")</f>
        <v>View Picture</v>
      </c>
    </row>
    <row r="9548">
      <c r="A9548" s="55"/>
      <c r="B9548" s="119" t="s">
        <v>41856</v>
      </c>
      <c r="C9548" s="120" t="s">
        <v>5891</v>
      </c>
      <c r="D9548" s="31"/>
      <c r="F9548" s="121" t="s">
        <v>3009</v>
      </c>
      <c r="G9548" s="98" t="str">
        <f>HYPERLINK("http://mirror.ff7data.com.ar/ff7/data/battle/battle.lgp/qjax.png","View Picture")</f>
        <v>View Picture</v>
      </c>
    </row>
    <row r="9549">
      <c r="A9549" s="79"/>
      <c r="B9549" s="119" t="s">
        <v>41857</v>
      </c>
      <c r="C9549" s="120" t="s">
        <v>40553</v>
      </c>
      <c r="D9549" s="33" t="s">
        <v>41858</v>
      </c>
      <c r="F9549" s="121" t="s">
        <v>2756</v>
      </c>
      <c r="G9549" s="98" t="str">
        <f>HYPERLINK("http://mirror.ff7data.com.ar/ff7/data/battle/battle.lgp/qkaa.png","View Picture")</f>
        <v>View Picture</v>
      </c>
    </row>
    <row r="9550">
      <c r="A9550" s="55"/>
      <c r="B9550" s="119" t="s">
        <v>41859</v>
      </c>
      <c r="C9550" s="120" t="s">
        <v>40556</v>
      </c>
      <c r="D9550" s="31"/>
      <c r="F9550" s="121" t="s">
        <v>2993</v>
      </c>
    </row>
    <row r="9551">
      <c r="A9551" s="55"/>
      <c r="B9551" s="119" t="s">
        <v>41860</v>
      </c>
      <c r="C9551" s="120" t="s">
        <v>26104</v>
      </c>
      <c r="D9551" s="31"/>
      <c r="F9551" s="121" t="s">
        <v>1348</v>
      </c>
      <c r="G9551" s="98" t="str">
        <f>HYPERLINK("http://mirror.ff7data.com.ar/ff7/data/battle/battle.lgp/qkac.png","View Picture")</f>
        <v>View Picture</v>
      </c>
    </row>
    <row r="9552">
      <c r="A9552" s="55"/>
      <c r="B9552" s="119" t="s">
        <v>41861</v>
      </c>
      <c r="C9552" s="120" t="s">
        <v>26095</v>
      </c>
      <c r="D9552" s="31"/>
      <c r="F9552" s="121" t="s">
        <v>1348</v>
      </c>
      <c r="G9552" s="98" t="str">
        <f>HYPERLINK("http://mirror.ff7data.com.ar/ff7/data/battle/battle.lgp/qkad.png","View Picture")</f>
        <v>View Picture</v>
      </c>
    </row>
    <row r="9553">
      <c r="A9553" s="55"/>
      <c r="B9553" s="119" t="s">
        <v>41862</v>
      </c>
      <c r="C9553" s="120" t="s">
        <v>26095</v>
      </c>
      <c r="D9553" s="31"/>
      <c r="F9553" s="121" t="s">
        <v>1348</v>
      </c>
      <c r="G9553" s="98" t="str">
        <f>HYPERLINK("http://mirror.ff7data.com.ar/ff7/data/battle/battle.lgp/qkae.png","View Picture")</f>
        <v>View Picture</v>
      </c>
    </row>
    <row r="9554">
      <c r="A9554" s="55"/>
      <c r="B9554" s="119" t="s">
        <v>41863</v>
      </c>
      <c r="C9554" s="120" t="s">
        <v>26095</v>
      </c>
      <c r="D9554" s="31"/>
      <c r="F9554" s="121" t="s">
        <v>1348</v>
      </c>
      <c r="G9554" s="98" t="str">
        <f>HYPERLINK("http://mirror.ff7data.com.ar/ff7/data/battle/battle.lgp/qkaf.png","View Picture")</f>
        <v>View Picture</v>
      </c>
    </row>
    <row r="9555">
      <c r="A9555" s="55"/>
      <c r="B9555" s="119" t="s">
        <v>41864</v>
      </c>
      <c r="C9555" s="120" t="s">
        <v>26095</v>
      </c>
      <c r="D9555" s="31"/>
      <c r="F9555" s="121" t="s">
        <v>1348</v>
      </c>
      <c r="G9555" s="98" t="str">
        <f>HYPERLINK("http://mirror.ff7data.com.ar/ff7/data/battle/battle.lgp/qkag.png","View Picture")</f>
        <v>View Picture</v>
      </c>
    </row>
    <row r="9556">
      <c r="A9556" s="55"/>
      <c r="B9556" s="119" t="s">
        <v>41865</v>
      </c>
      <c r="C9556" s="120" t="s">
        <v>26095</v>
      </c>
      <c r="D9556" s="31"/>
      <c r="F9556" s="121" t="s">
        <v>1348</v>
      </c>
      <c r="G9556" s="98" t="str">
        <f>HYPERLINK("http://mirror.ff7data.com.ar/ff7/data/battle/battle.lgp/qkah.png","View Picture")</f>
        <v>View Picture</v>
      </c>
    </row>
    <row r="9557">
      <c r="A9557" s="55"/>
      <c r="B9557" s="119" t="s">
        <v>41866</v>
      </c>
      <c r="C9557" s="120" t="s">
        <v>26104</v>
      </c>
      <c r="D9557" s="31"/>
      <c r="F9557" s="121" t="s">
        <v>1348</v>
      </c>
      <c r="G9557" s="98" t="str">
        <f>HYPERLINK("http://mirror.ff7data.com.ar/ff7/data/battle/battle.lgp/qkai.png","View Picture")</f>
        <v>View Picture</v>
      </c>
    </row>
    <row r="9558">
      <c r="A9558" s="55"/>
      <c r="B9558" s="119" t="s">
        <v>41867</v>
      </c>
      <c r="C9558" s="120" t="s">
        <v>26095</v>
      </c>
      <c r="D9558" s="31"/>
      <c r="F9558" s="121" t="s">
        <v>1348</v>
      </c>
      <c r="G9558" s="98" t="str">
        <f>HYPERLINK("http://mirror.ff7data.com.ar/ff7/data/battle/battle.lgp/qkaj.png","View Picture")</f>
        <v>View Picture</v>
      </c>
    </row>
    <row r="9559">
      <c r="A9559" s="55"/>
      <c r="B9559" s="119" t="s">
        <v>41868</v>
      </c>
      <c r="C9559" s="120" t="s">
        <v>4122</v>
      </c>
      <c r="D9559" s="31"/>
      <c r="F9559" s="121" t="s">
        <v>3009</v>
      </c>
      <c r="G9559" s="98" t="str">
        <f>HYPERLINK("http://mirror.ff7data.com.ar/ff7/data/battle/battle.lgp/qkam.png","View Picture")</f>
        <v>View Picture</v>
      </c>
    </row>
    <row r="9560">
      <c r="A9560" s="55"/>
      <c r="B9560" s="119" t="s">
        <v>41869</v>
      </c>
      <c r="C9560" s="120" t="s">
        <v>4846</v>
      </c>
      <c r="D9560" s="31"/>
      <c r="F9560" s="121" t="s">
        <v>3009</v>
      </c>
      <c r="G9560" s="98" t="str">
        <f>HYPERLINK("http://mirror.ff7data.com.ar/ff7/data/battle/battle.lgp/qkan.png","View Picture")</f>
        <v>View Picture</v>
      </c>
    </row>
    <row r="9561">
      <c r="A9561" s="55"/>
      <c r="B9561" s="119" t="s">
        <v>41870</v>
      </c>
      <c r="C9561" s="120" t="s">
        <v>4846</v>
      </c>
      <c r="D9561" s="31"/>
      <c r="F9561" s="121" t="s">
        <v>3009</v>
      </c>
      <c r="G9561" s="98" t="str">
        <f>HYPERLINK("http://mirror.ff7data.com.ar/ff7/data/battle/battle.lgp/qkao.png","View Picture")</f>
        <v>View Picture</v>
      </c>
    </row>
    <row r="9562">
      <c r="A9562" s="55"/>
      <c r="B9562" s="119" t="s">
        <v>41871</v>
      </c>
      <c r="C9562" s="120" t="s">
        <v>4846</v>
      </c>
      <c r="D9562" s="31"/>
      <c r="F9562" s="121" t="s">
        <v>3009</v>
      </c>
      <c r="G9562" s="98" t="str">
        <f>HYPERLINK("http://mirror.ff7data.com.ar/ff7/data/battle/battle.lgp/qkap.png","View Picture")</f>
        <v>View Picture</v>
      </c>
    </row>
    <row r="9563">
      <c r="A9563" s="55"/>
      <c r="B9563" s="119" t="s">
        <v>41872</v>
      </c>
      <c r="C9563" s="120" t="s">
        <v>4252</v>
      </c>
      <c r="D9563" s="31"/>
      <c r="F9563" s="121" t="s">
        <v>3009</v>
      </c>
      <c r="G9563" s="98" t="str">
        <f>HYPERLINK("http://mirror.ff7data.com.ar/ff7/data/battle/battle.lgp/qkaq.png","View Picture")</f>
        <v>View Picture</v>
      </c>
    </row>
    <row r="9564">
      <c r="A9564" s="55"/>
      <c r="B9564" s="119" t="s">
        <v>41873</v>
      </c>
      <c r="C9564" s="120" t="s">
        <v>4252</v>
      </c>
      <c r="D9564" s="31"/>
      <c r="F9564" s="121" t="s">
        <v>3009</v>
      </c>
      <c r="G9564" s="98" t="str">
        <f>HYPERLINK("http://mirror.ff7data.com.ar/ff7/data/battle/battle.lgp/qkar.png","View Picture")</f>
        <v>View Picture</v>
      </c>
    </row>
    <row r="9565">
      <c r="A9565" s="55"/>
      <c r="B9565" s="119" t="s">
        <v>41874</v>
      </c>
      <c r="C9565" s="120" t="s">
        <v>7501</v>
      </c>
      <c r="D9565" s="31"/>
      <c r="F9565" s="121" t="s">
        <v>3009</v>
      </c>
      <c r="G9565" s="98" t="str">
        <f>HYPERLINK("http://mirror.ff7data.com.ar/ff7/data/battle/battle.lgp/qkas.png","View Picture")</f>
        <v>View Picture</v>
      </c>
    </row>
    <row r="9566">
      <c r="A9566" s="55"/>
      <c r="B9566" s="119" t="s">
        <v>41875</v>
      </c>
      <c r="C9566" s="120" t="s">
        <v>3723</v>
      </c>
      <c r="D9566" s="31"/>
      <c r="F9566" s="121" t="s">
        <v>3009</v>
      </c>
      <c r="G9566" s="98" t="str">
        <f>HYPERLINK("http://mirror.ff7data.com.ar/ff7/data/battle/battle.lgp/qkat.png","View Picture")</f>
        <v>View Picture</v>
      </c>
    </row>
    <row r="9567">
      <c r="A9567" s="55"/>
      <c r="B9567" s="119" t="s">
        <v>41876</v>
      </c>
      <c r="C9567" s="120" t="s">
        <v>3445</v>
      </c>
      <c r="D9567" s="31"/>
      <c r="F9567" s="121" t="s">
        <v>3009</v>
      </c>
      <c r="G9567" s="98" t="str">
        <f>HYPERLINK("http://mirror.ff7data.com.ar/ff7/data/battle/battle.lgp/qkau.png","View Picture")</f>
        <v>View Picture</v>
      </c>
    </row>
    <row r="9568">
      <c r="A9568" s="55"/>
      <c r="B9568" s="119" t="s">
        <v>41877</v>
      </c>
      <c r="C9568" s="120" t="s">
        <v>3318</v>
      </c>
      <c r="D9568" s="31"/>
      <c r="F9568" s="121" t="s">
        <v>3009</v>
      </c>
      <c r="G9568" s="98" t="str">
        <f>HYPERLINK("http://mirror.ff7data.com.ar/ff7/data/battle/battle.lgp/qkav.png","View Picture")</f>
        <v>View Picture</v>
      </c>
    </row>
    <row r="9569">
      <c r="A9569" s="55"/>
      <c r="B9569" s="119" t="s">
        <v>41878</v>
      </c>
      <c r="C9569" s="120" t="s">
        <v>4357</v>
      </c>
      <c r="D9569" s="31"/>
      <c r="F9569" s="121" t="s">
        <v>3009</v>
      </c>
      <c r="G9569" s="98" t="str">
        <f>HYPERLINK("http://mirror.ff7data.com.ar/ff7/data/battle/battle.lgp/qkaw.png","View Picture")</f>
        <v>View Picture</v>
      </c>
    </row>
    <row r="9570">
      <c r="A9570" s="55"/>
      <c r="B9570" s="119" t="s">
        <v>41879</v>
      </c>
      <c r="C9570" s="120" t="s">
        <v>9041</v>
      </c>
      <c r="D9570" s="31"/>
      <c r="F9570" s="121" t="s">
        <v>3009</v>
      </c>
      <c r="G9570" s="98" t="str">
        <f>HYPERLINK("http://mirror.ff7data.com.ar/ff7/data/battle/battle.lgp/qkax.png","View Picture")</f>
        <v>View Picture</v>
      </c>
    </row>
    <row r="9571">
      <c r="A9571" s="79"/>
      <c r="B9571" s="119" t="s">
        <v>41880</v>
      </c>
      <c r="C9571" s="120" t="s">
        <v>40553</v>
      </c>
      <c r="D9571" s="33" t="s">
        <v>41881</v>
      </c>
      <c r="F9571" s="121" t="s">
        <v>2756</v>
      </c>
      <c r="G9571" s="98" t="str">
        <f>HYPERLINK("http://mirror.ff7data.com.ar/ff7/data/battle/battle.lgp/qlaa.png","View Picture")</f>
        <v>View Picture</v>
      </c>
    </row>
    <row r="9572">
      <c r="A9572" s="55"/>
      <c r="B9572" s="119" t="s">
        <v>41882</v>
      </c>
      <c r="C9572" s="120" t="s">
        <v>40556</v>
      </c>
      <c r="D9572" s="31"/>
      <c r="F9572" s="121" t="s">
        <v>2993</v>
      </c>
    </row>
    <row r="9573">
      <c r="A9573" s="55"/>
      <c r="B9573" s="119" t="s">
        <v>41883</v>
      </c>
      <c r="C9573" s="120" t="s">
        <v>26104</v>
      </c>
      <c r="D9573" s="31"/>
      <c r="F9573" s="121" t="s">
        <v>1348</v>
      </c>
      <c r="G9573" s="98" t="str">
        <f>HYPERLINK("http://mirror.ff7data.com.ar/ff7/data/battle/battle.lgp/qlac.png","View Picture")</f>
        <v>View Picture</v>
      </c>
    </row>
    <row r="9574">
      <c r="A9574" s="55"/>
      <c r="B9574" s="119" t="s">
        <v>41884</v>
      </c>
      <c r="C9574" s="120" t="s">
        <v>26104</v>
      </c>
      <c r="D9574" s="31"/>
      <c r="F9574" s="121" t="s">
        <v>1348</v>
      </c>
      <c r="G9574" s="98" t="str">
        <f>HYPERLINK("http://mirror.ff7data.com.ar/ff7/data/battle/battle.lgp/qlad.png","View Picture")</f>
        <v>View Picture</v>
      </c>
    </row>
    <row r="9575">
      <c r="A9575" s="55"/>
      <c r="B9575" s="119" t="s">
        <v>41885</v>
      </c>
      <c r="C9575" s="120" t="s">
        <v>26104</v>
      </c>
      <c r="D9575" s="31"/>
      <c r="F9575" s="121" t="s">
        <v>1348</v>
      </c>
      <c r="G9575" s="98" t="str">
        <f>HYPERLINK("http://mirror.ff7data.com.ar/ff7/data/battle/battle.lgp/qlae.png","View Picture")</f>
        <v>View Picture</v>
      </c>
    </row>
    <row r="9576">
      <c r="A9576" s="55"/>
      <c r="B9576" s="119" t="s">
        <v>41886</v>
      </c>
      <c r="C9576" s="120" t="s">
        <v>5925</v>
      </c>
      <c r="D9576" s="31"/>
      <c r="F9576" s="121" t="s">
        <v>3009</v>
      </c>
      <c r="G9576" s="98" t="str">
        <f>HYPERLINK("http://mirror.ff7data.com.ar/ff7/data/battle/battle.lgp/qlam.png","View Picture")</f>
        <v>View Picture</v>
      </c>
    </row>
    <row r="9577">
      <c r="A9577" s="55"/>
      <c r="B9577" s="119" t="s">
        <v>41887</v>
      </c>
      <c r="C9577" s="120" t="s">
        <v>4846</v>
      </c>
      <c r="D9577" s="31"/>
      <c r="F9577" s="121" t="s">
        <v>3009</v>
      </c>
      <c r="G9577" s="98" t="str">
        <f>HYPERLINK("http://mirror.ff7data.com.ar/ff7/data/battle/battle.lgp/qlan.png","View Picture")</f>
        <v>View Picture</v>
      </c>
    </row>
    <row r="9578">
      <c r="A9578" s="55"/>
      <c r="B9578" s="119" t="s">
        <v>41888</v>
      </c>
      <c r="C9578" s="120" t="s">
        <v>4846</v>
      </c>
      <c r="D9578" s="31"/>
      <c r="F9578" s="121" t="s">
        <v>3009</v>
      </c>
      <c r="G9578" s="98" t="str">
        <f>HYPERLINK("http://mirror.ff7data.com.ar/ff7/data/battle/battle.lgp/qlao.png","View Picture")</f>
        <v>View Picture</v>
      </c>
    </row>
    <row r="9579">
      <c r="A9579" s="55"/>
      <c r="B9579" s="119" t="s">
        <v>41889</v>
      </c>
      <c r="C9579" s="120" t="s">
        <v>4846</v>
      </c>
      <c r="D9579" s="31"/>
      <c r="F9579" s="121" t="s">
        <v>3009</v>
      </c>
      <c r="G9579" s="98" t="str">
        <f>HYPERLINK("http://mirror.ff7data.com.ar/ff7/data/battle/battle.lgp/qlap.png","View Picture")</f>
        <v>View Picture</v>
      </c>
    </row>
    <row r="9580">
      <c r="A9580" s="55"/>
      <c r="B9580" s="119" t="s">
        <v>41890</v>
      </c>
      <c r="C9580" s="120" t="s">
        <v>4846</v>
      </c>
      <c r="D9580" s="31"/>
      <c r="F9580" s="121" t="s">
        <v>3009</v>
      </c>
      <c r="G9580" s="98" t="str">
        <f>HYPERLINK("http://mirror.ff7data.com.ar/ff7/data/battle/battle.lgp/qlaq.png","View Picture")</f>
        <v>View Picture</v>
      </c>
    </row>
    <row r="9581">
      <c r="A9581" s="55"/>
      <c r="B9581" s="119" t="s">
        <v>41891</v>
      </c>
      <c r="C9581" s="120" t="s">
        <v>14815</v>
      </c>
      <c r="D9581" s="31"/>
      <c r="F9581" s="121" t="s">
        <v>3009</v>
      </c>
      <c r="G9581" s="98" t="str">
        <f>HYPERLINK("http://mirror.ff7data.com.ar/ff7/data/battle/battle.lgp/qlar.png","View Picture")</f>
        <v>View Picture</v>
      </c>
    </row>
    <row r="9582">
      <c r="A9582" s="55"/>
      <c r="B9582" s="119" t="s">
        <v>41892</v>
      </c>
      <c r="C9582" s="120" t="s">
        <v>14815</v>
      </c>
      <c r="D9582" s="31"/>
      <c r="F9582" s="121" t="s">
        <v>3009</v>
      </c>
      <c r="G9582" s="98" t="str">
        <f>HYPERLINK("http://mirror.ff7data.com.ar/ff7/data/battle/battle.lgp/qlas.png","View Picture")</f>
        <v>View Picture</v>
      </c>
    </row>
    <row r="9583">
      <c r="A9583" s="55"/>
      <c r="B9583" s="119" t="s">
        <v>41893</v>
      </c>
      <c r="C9583" s="120" t="s">
        <v>14815</v>
      </c>
      <c r="D9583" s="31"/>
      <c r="F9583" s="121" t="s">
        <v>3009</v>
      </c>
      <c r="G9583" s="98" t="str">
        <f>HYPERLINK("http://mirror.ff7data.com.ar/ff7/data/battle/battle.lgp/qlat.png","View Picture")</f>
        <v>View Picture</v>
      </c>
    </row>
    <row r="9584">
      <c r="A9584" s="79"/>
      <c r="B9584" s="119" t="s">
        <v>41894</v>
      </c>
      <c r="C9584" s="120" t="s">
        <v>40553</v>
      </c>
      <c r="D9584" s="33" t="s">
        <v>41895</v>
      </c>
      <c r="F9584" s="121" t="s">
        <v>2756</v>
      </c>
      <c r="G9584" s="98" t="str">
        <f>HYPERLINK("http://mirror.ff7data.com.ar/ff7/data/battle/battle.lgp/qmaa.png","View Picture")</f>
        <v>View Picture</v>
      </c>
    </row>
    <row r="9585">
      <c r="A9585" s="55"/>
      <c r="B9585" s="119" t="s">
        <v>41896</v>
      </c>
      <c r="C9585" s="120" t="s">
        <v>40556</v>
      </c>
      <c r="D9585" s="31"/>
      <c r="F9585" s="121" t="s">
        <v>2993</v>
      </c>
    </row>
    <row r="9586">
      <c r="A9586" s="55"/>
      <c r="B9586" s="119" t="s">
        <v>41897</v>
      </c>
      <c r="C9586" s="120" t="s">
        <v>26104</v>
      </c>
      <c r="D9586" s="31"/>
      <c r="F9586" s="121" t="s">
        <v>1348</v>
      </c>
      <c r="G9586" s="98" t="str">
        <f>HYPERLINK("http://mirror.ff7data.com.ar/ff7/data/battle/battle.lgp/qmac.png","View Picture")</f>
        <v>View Picture</v>
      </c>
    </row>
    <row r="9587">
      <c r="A9587" s="55"/>
      <c r="B9587" s="119" t="s">
        <v>41898</v>
      </c>
      <c r="C9587" s="120" t="s">
        <v>26104</v>
      </c>
      <c r="D9587" s="31"/>
      <c r="F9587" s="121" t="s">
        <v>1348</v>
      </c>
      <c r="G9587" s="98" t="str">
        <f>HYPERLINK("http://mirror.ff7data.com.ar/ff7/data/battle/battle.lgp/qmad.png","View Picture")</f>
        <v>View Picture</v>
      </c>
    </row>
    <row r="9588">
      <c r="A9588" s="55"/>
      <c r="B9588" s="119" t="s">
        <v>41899</v>
      </c>
      <c r="C9588" s="120" t="s">
        <v>26095</v>
      </c>
      <c r="D9588" s="31"/>
      <c r="F9588" s="121" t="s">
        <v>1348</v>
      </c>
      <c r="G9588" s="98" t="str">
        <f>HYPERLINK("http://mirror.ff7data.com.ar/ff7/data/battle/battle.lgp/qmae.png","View Picture")</f>
        <v>View Picture</v>
      </c>
    </row>
    <row r="9589">
      <c r="A9589" s="55"/>
      <c r="B9589" s="119" t="s">
        <v>41900</v>
      </c>
      <c r="C9589" s="120" t="s">
        <v>6018</v>
      </c>
      <c r="D9589" s="31"/>
      <c r="F9589" s="121" t="s">
        <v>1348</v>
      </c>
      <c r="G9589" s="98" t="str">
        <f>HYPERLINK("http://mirror.ff7data.com.ar/ff7/data/battle/battle.lgp/qmaf.png","View Picture")</f>
        <v>View Picture</v>
      </c>
    </row>
    <row r="9590">
      <c r="A9590" s="55"/>
      <c r="B9590" s="119" t="s">
        <v>41901</v>
      </c>
      <c r="C9590" s="120" t="s">
        <v>6018</v>
      </c>
      <c r="D9590" s="31"/>
      <c r="F9590" s="121" t="s">
        <v>1348</v>
      </c>
      <c r="G9590" s="98" t="str">
        <f>HYPERLINK("http://mirror.ff7data.com.ar/ff7/data/battle/battle.lgp/qmag.png","View Picture")</f>
        <v>View Picture</v>
      </c>
    </row>
    <row r="9591">
      <c r="A9591" s="55"/>
      <c r="B9591" s="119" t="s">
        <v>41902</v>
      </c>
      <c r="C9591" s="120" t="s">
        <v>6018</v>
      </c>
      <c r="D9591" s="31"/>
      <c r="F9591" s="121" t="s">
        <v>1348</v>
      </c>
      <c r="G9591" s="98" t="str">
        <f>HYPERLINK("http://mirror.ff7data.com.ar/ff7/data/battle/battle.lgp/qmah.png","View Picture")</f>
        <v>View Picture</v>
      </c>
    </row>
    <row r="9592">
      <c r="A9592" s="55"/>
      <c r="B9592" s="119" t="s">
        <v>41903</v>
      </c>
      <c r="C9592" s="120" t="s">
        <v>6018</v>
      </c>
      <c r="D9592" s="31"/>
      <c r="F9592" s="121" t="s">
        <v>1348</v>
      </c>
      <c r="G9592" s="98" t="str">
        <f>HYPERLINK("http://mirror.ff7data.com.ar/ff7/data/battle/battle.lgp/qmai.png","View Picture")</f>
        <v>View Picture</v>
      </c>
    </row>
    <row r="9593">
      <c r="A9593" s="55"/>
      <c r="B9593" s="119" t="s">
        <v>41904</v>
      </c>
      <c r="C9593" s="120" t="s">
        <v>11918</v>
      </c>
      <c r="D9593" s="31"/>
      <c r="F9593" s="121" t="s">
        <v>3009</v>
      </c>
      <c r="G9593" s="98" t="str">
        <f>HYPERLINK("http://mirror.ff7data.com.ar/ff7/data/battle/battle.lgp/qmam.png","View Picture")</f>
        <v>View Picture</v>
      </c>
    </row>
    <row r="9594">
      <c r="A9594" s="55"/>
      <c r="B9594" s="119" t="s">
        <v>41905</v>
      </c>
      <c r="C9594" s="120" t="s">
        <v>3768</v>
      </c>
      <c r="D9594" s="31"/>
      <c r="F9594" s="121" t="s">
        <v>3009</v>
      </c>
      <c r="G9594" s="98" t="str">
        <f>HYPERLINK("http://mirror.ff7data.com.ar/ff7/data/battle/battle.lgp/qman.png","View Picture")</f>
        <v>View Picture</v>
      </c>
    </row>
    <row r="9595">
      <c r="A9595" s="55"/>
      <c r="B9595" s="119" t="s">
        <v>41906</v>
      </c>
      <c r="C9595" s="120" t="s">
        <v>3842</v>
      </c>
      <c r="D9595" s="31"/>
      <c r="F9595" s="121" t="s">
        <v>3009</v>
      </c>
      <c r="G9595" s="98" t="str">
        <f>HYPERLINK("http://mirror.ff7data.com.ar/ff7/data/battle/battle.lgp/qmao.png","View Picture")</f>
        <v>View Picture</v>
      </c>
    </row>
    <row r="9596">
      <c r="A9596" s="55"/>
      <c r="B9596" s="119" t="s">
        <v>41907</v>
      </c>
      <c r="C9596" s="120" t="s">
        <v>4476</v>
      </c>
      <c r="D9596" s="31"/>
      <c r="F9596" s="121" t="s">
        <v>3009</v>
      </c>
      <c r="G9596" s="98" t="str">
        <f>HYPERLINK("http://mirror.ff7data.com.ar/ff7/data/battle/battle.lgp/qmap.png","View Picture")</f>
        <v>View Picture</v>
      </c>
    </row>
    <row r="9597">
      <c r="A9597" s="55"/>
      <c r="B9597" s="119" t="s">
        <v>41908</v>
      </c>
      <c r="C9597" s="120" t="s">
        <v>5419</v>
      </c>
      <c r="D9597" s="31"/>
      <c r="F9597" s="121" t="s">
        <v>3009</v>
      </c>
      <c r="G9597" s="98" t="str">
        <f>HYPERLINK("http://mirror.ff7data.com.ar/ff7/data/battle/battle.lgp/qmaq.png","View Picture")</f>
        <v>View Picture</v>
      </c>
    </row>
    <row r="9598">
      <c r="A9598" s="55"/>
      <c r="B9598" s="119" t="s">
        <v>41909</v>
      </c>
      <c r="C9598" s="120" t="s">
        <v>7501</v>
      </c>
      <c r="D9598" s="31"/>
      <c r="F9598" s="121" t="s">
        <v>3009</v>
      </c>
      <c r="G9598" s="98" t="str">
        <f>HYPERLINK("http://mirror.ff7data.com.ar/ff7/data/battle/battle.lgp/qmar.png","View Picture")</f>
        <v>View Picture</v>
      </c>
    </row>
    <row r="9599">
      <c r="A9599" s="55"/>
      <c r="B9599" s="119" t="s">
        <v>41910</v>
      </c>
      <c r="C9599" s="120" t="s">
        <v>4288</v>
      </c>
      <c r="D9599" s="31"/>
      <c r="F9599" s="121" t="s">
        <v>3009</v>
      </c>
      <c r="G9599" s="98" t="str">
        <f>HYPERLINK("http://mirror.ff7data.com.ar/ff7/data/battle/battle.lgp/qmas.png","View Picture")</f>
        <v>View Picture</v>
      </c>
    </row>
    <row r="9600">
      <c r="A9600" s="55"/>
      <c r="B9600" s="119" t="s">
        <v>41911</v>
      </c>
      <c r="C9600" s="120" t="s">
        <v>32228</v>
      </c>
      <c r="D9600" s="31"/>
      <c r="F9600" s="121" t="s">
        <v>3009</v>
      </c>
      <c r="G9600" s="98" t="str">
        <f>HYPERLINK("http://mirror.ff7data.com.ar/ff7/data/battle/battle.lgp/qmat.png","View Picture")</f>
        <v>View Picture</v>
      </c>
    </row>
    <row r="9601">
      <c r="A9601" s="55"/>
      <c r="B9601" s="119" t="s">
        <v>41912</v>
      </c>
      <c r="C9601" s="120" t="s">
        <v>4658</v>
      </c>
      <c r="D9601" s="31"/>
      <c r="F9601" s="121" t="s">
        <v>3009</v>
      </c>
      <c r="G9601" s="98" t="str">
        <f>HYPERLINK("http://mirror.ff7data.com.ar/ff7/data/battle/battle.lgp/qmau.png","View Picture")</f>
        <v>View Picture</v>
      </c>
    </row>
    <row r="9602">
      <c r="A9602" s="55"/>
      <c r="B9602" s="119" t="s">
        <v>41913</v>
      </c>
      <c r="C9602" s="120" t="s">
        <v>4719</v>
      </c>
      <c r="D9602" s="31"/>
      <c r="F9602" s="121" t="s">
        <v>3009</v>
      </c>
      <c r="G9602" s="98" t="str">
        <f>HYPERLINK("http://mirror.ff7data.com.ar/ff7/data/battle/battle.lgp/qmav.png","View Picture")</f>
        <v>View Picture</v>
      </c>
    </row>
    <row r="9603">
      <c r="A9603" s="55"/>
      <c r="B9603" s="119" t="s">
        <v>41914</v>
      </c>
      <c r="C9603" s="120" t="s">
        <v>4185</v>
      </c>
      <c r="D9603" s="31"/>
      <c r="F9603" s="121" t="s">
        <v>3009</v>
      </c>
      <c r="G9603" s="98" t="str">
        <f>HYPERLINK("http://mirror.ff7data.com.ar/ff7/data/battle/battle.lgp/qmaw.png","View Picture")</f>
        <v>View Picture</v>
      </c>
    </row>
    <row r="9604">
      <c r="A9604" s="55"/>
      <c r="B9604" s="119" t="s">
        <v>41915</v>
      </c>
      <c r="C9604" s="120" t="s">
        <v>4185</v>
      </c>
      <c r="D9604" s="31"/>
      <c r="F9604" s="121" t="s">
        <v>3009</v>
      </c>
      <c r="G9604" s="98" t="str">
        <f>HYPERLINK("http://mirror.ff7data.com.ar/ff7/data/battle/battle.lgp/qmax.png","View Picture")</f>
        <v>View Picture</v>
      </c>
    </row>
    <row r="9605">
      <c r="A9605" s="79"/>
      <c r="B9605" s="119" t="s">
        <v>41916</v>
      </c>
      <c r="C9605" s="120" t="s">
        <v>40553</v>
      </c>
      <c r="D9605" s="33" t="s">
        <v>41917</v>
      </c>
      <c r="F9605" s="121" t="s">
        <v>2756</v>
      </c>
      <c r="G9605" s="98" t="str">
        <f>HYPERLINK("http://mirror.ff7data.com.ar/ff7/data/battle/battle.lgp/qnaa.png","View Picture")</f>
        <v>View Picture</v>
      </c>
    </row>
    <row r="9606">
      <c r="A9606" s="55"/>
      <c r="B9606" s="119" t="s">
        <v>41918</v>
      </c>
      <c r="C9606" s="120" t="s">
        <v>40556</v>
      </c>
      <c r="D9606" s="31"/>
      <c r="F9606" s="121" t="s">
        <v>2993</v>
      </c>
    </row>
    <row r="9607">
      <c r="A9607" s="55"/>
      <c r="B9607" s="119" t="s">
        <v>41919</v>
      </c>
      <c r="C9607" s="120" t="s">
        <v>26095</v>
      </c>
      <c r="D9607" s="31"/>
      <c r="F9607" s="121" t="s">
        <v>1348</v>
      </c>
      <c r="G9607" s="98" t="str">
        <f>HYPERLINK("http://mirror.ff7data.com.ar/ff7/data/battle/battle.lgp/qnac.png","View Picture")</f>
        <v>View Picture</v>
      </c>
    </row>
    <row r="9608">
      <c r="A9608" s="55"/>
      <c r="B9608" s="119" t="s">
        <v>41920</v>
      </c>
      <c r="C9608" s="120" t="s">
        <v>26104</v>
      </c>
      <c r="D9608" s="31"/>
      <c r="F9608" s="121" t="s">
        <v>1348</v>
      </c>
      <c r="G9608" s="98" t="str">
        <f>HYPERLINK("http://mirror.ff7data.com.ar/ff7/data/battle/battle.lgp/qnad.png","View Picture")</f>
        <v>View Picture</v>
      </c>
    </row>
    <row r="9609">
      <c r="A9609" s="55"/>
      <c r="B9609" s="119" t="s">
        <v>41921</v>
      </c>
      <c r="C9609" s="120" t="s">
        <v>6018</v>
      </c>
      <c r="D9609" s="31"/>
      <c r="F9609" s="121" t="s">
        <v>1348</v>
      </c>
      <c r="G9609" s="98" t="str">
        <f>HYPERLINK("http://mirror.ff7data.com.ar/ff7/data/battle/battle.lgp/qnae.png","View Picture")</f>
        <v>View Picture</v>
      </c>
    </row>
    <row r="9610">
      <c r="A9610" s="55"/>
      <c r="B9610" s="119" t="s">
        <v>41922</v>
      </c>
      <c r="C9610" s="120" t="s">
        <v>5203</v>
      </c>
      <c r="D9610" s="31"/>
      <c r="F9610" s="121" t="s">
        <v>1348</v>
      </c>
      <c r="G9610" s="98" t="str">
        <f>HYPERLINK("http://mirror.ff7data.com.ar/ff7/data/battle/battle.lgp/qnaf.png","View Picture")</f>
        <v>View Picture</v>
      </c>
    </row>
    <row r="9611">
      <c r="A9611" s="55"/>
      <c r="B9611" s="119" t="s">
        <v>41923</v>
      </c>
      <c r="C9611" s="120" t="s">
        <v>6018</v>
      </c>
      <c r="D9611" s="31"/>
      <c r="F9611" s="121" t="s">
        <v>1348</v>
      </c>
      <c r="G9611" s="98" t="str">
        <f>HYPERLINK("http://mirror.ff7data.com.ar/ff7/data/battle/battle.lgp/qnag.png","View Picture")</f>
        <v>View Picture</v>
      </c>
    </row>
    <row r="9612">
      <c r="A9612" s="55"/>
      <c r="B9612" s="119" t="s">
        <v>41924</v>
      </c>
      <c r="C9612" s="120" t="s">
        <v>6018</v>
      </c>
      <c r="D9612" s="31"/>
      <c r="F9612" s="121" t="s">
        <v>1348</v>
      </c>
      <c r="G9612" s="98" t="str">
        <f>HYPERLINK("http://mirror.ff7data.com.ar/ff7/data/battle/battle.lgp/qnah.png","View Picture")</f>
        <v>View Picture</v>
      </c>
    </row>
    <row r="9613">
      <c r="A9613" s="55"/>
      <c r="B9613" s="119" t="s">
        <v>41925</v>
      </c>
      <c r="C9613" s="120" t="s">
        <v>6018</v>
      </c>
      <c r="D9613" s="31"/>
      <c r="F9613" s="121" t="s">
        <v>1348</v>
      </c>
      <c r="G9613" s="98" t="str">
        <f>HYPERLINK("http://mirror.ff7data.com.ar/ff7/data/battle/battle.lgp/qnai.png","View Picture")</f>
        <v>View Picture</v>
      </c>
    </row>
    <row r="9614">
      <c r="A9614" s="55"/>
      <c r="B9614" s="119" t="s">
        <v>41926</v>
      </c>
      <c r="C9614" s="120" t="s">
        <v>40766</v>
      </c>
      <c r="D9614" s="31"/>
      <c r="F9614" s="121" t="s">
        <v>3009</v>
      </c>
      <c r="G9614" s="98" t="str">
        <f>HYPERLINK("http://mirror.ff7data.com.ar/ff7/data/battle/battle.lgp/qnam.png","View Picture")</f>
        <v>View Picture</v>
      </c>
    </row>
    <row r="9615">
      <c r="A9615" s="55"/>
      <c r="B9615" s="119" t="s">
        <v>41927</v>
      </c>
      <c r="C9615" s="120" t="s">
        <v>14030</v>
      </c>
      <c r="D9615" s="31"/>
      <c r="F9615" s="121" t="s">
        <v>3009</v>
      </c>
      <c r="G9615" s="98" t="str">
        <f>HYPERLINK("http://mirror.ff7data.com.ar/ff7/data/battle/battle.lgp/qnan.png","View Picture")</f>
        <v>View Picture</v>
      </c>
    </row>
    <row r="9616">
      <c r="A9616" s="55"/>
      <c r="B9616" s="119" t="s">
        <v>41928</v>
      </c>
      <c r="C9616" s="120" t="s">
        <v>19628</v>
      </c>
      <c r="D9616" s="31"/>
      <c r="F9616" s="121" t="s">
        <v>3009</v>
      </c>
      <c r="G9616" s="98" t="str">
        <f>HYPERLINK("http://mirror.ff7data.com.ar/ff7/data/battle/battle.lgp/qnao.png","View Picture")</f>
        <v>View Picture</v>
      </c>
    </row>
    <row r="9617">
      <c r="A9617" s="55"/>
      <c r="B9617" s="119" t="s">
        <v>41929</v>
      </c>
      <c r="C9617" s="120" t="s">
        <v>4846</v>
      </c>
      <c r="D9617" s="31"/>
      <c r="F9617" s="121" t="s">
        <v>3009</v>
      </c>
      <c r="G9617" s="98" t="str">
        <f>HYPERLINK("http://mirror.ff7data.com.ar/ff7/data/battle/battle.lgp/qnap.png","View Picture")</f>
        <v>View Picture</v>
      </c>
    </row>
    <row r="9618">
      <c r="A9618" s="55"/>
      <c r="B9618" s="119" t="s">
        <v>41930</v>
      </c>
      <c r="C9618" s="120" t="s">
        <v>3573</v>
      </c>
      <c r="D9618" s="31"/>
      <c r="F9618" s="121" t="s">
        <v>3009</v>
      </c>
      <c r="G9618" s="98" t="str">
        <f>HYPERLINK("http://mirror.ff7data.com.ar/ff7/data/battle/battle.lgp/qnaq.png","View Picture")</f>
        <v>View Picture</v>
      </c>
    </row>
    <row r="9619">
      <c r="A9619" s="55"/>
      <c r="B9619" s="119" t="s">
        <v>41931</v>
      </c>
      <c r="C9619" s="120" t="s">
        <v>7270</v>
      </c>
      <c r="D9619" s="31"/>
      <c r="F9619" s="121" t="s">
        <v>3009</v>
      </c>
      <c r="G9619" s="98" t="str">
        <f>HYPERLINK("http://mirror.ff7data.com.ar/ff7/data/battle/battle.lgp/qnar.png","View Picture")</f>
        <v>View Picture</v>
      </c>
    </row>
    <row r="9620">
      <c r="A9620" s="55"/>
      <c r="B9620" s="119" t="s">
        <v>41932</v>
      </c>
      <c r="C9620" s="120" t="s">
        <v>7270</v>
      </c>
      <c r="D9620" s="31"/>
      <c r="F9620" s="121" t="s">
        <v>3009</v>
      </c>
      <c r="G9620" s="98" t="str">
        <f>HYPERLINK("http://mirror.ff7data.com.ar/ff7/data/battle/battle.lgp/qnas.png","View Picture")</f>
        <v>View Picture</v>
      </c>
    </row>
    <row r="9621">
      <c r="A9621" s="55"/>
      <c r="B9621" s="119" t="s">
        <v>41933</v>
      </c>
      <c r="C9621" s="120" t="s">
        <v>6010</v>
      </c>
      <c r="D9621" s="31"/>
      <c r="F9621" s="121" t="s">
        <v>3009</v>
      </c>
      <c r="G9621" s="98" t="str">
        <f>HYPERLINK("http://mirror.ff7data.com.ar/ff7/data/battle/battle.lgp/qnat.png","View Picture")</f>
        <v>View Picture</v>
      </c>
    </row>
    <row r="9622">
      <c r="A9622" s="55"/>
      <c r="B9622" s="119" t="s">
        <v>41934</v>
      </c>
      <c r="C9622" s="120" t="s">
        <v>4288</v>
      </c>
      <c r="D9622" s="31"/>
      <c r="F9622" s="121" t="s">
        <v>3009</v>
      </c>
      <c r="G9622" s="98" t="str">
        <f>HYPERLINK("http://mirror.ff7data.com.ar/ff7/data/battle/battle.lgp/qnau.png","View Picture")</f>
        <v>View Picture</v>
      </c>
    </row>
    <row r="9623">
      <c r="A9623" s="55"/>
      <c r="B9623" s="119" t="s">
        <v>41935</v>
      </c>
      <c r="C9623" s="120" t="s">
        <v>7322</v>
      </c>
      <c r="D9623" s="31"/>
      <c r="F9623" s="121" t="s">
        <v>3009</v>
      </c>
      <c r="G9623" s="98" t="str">
        <f>HYPERLINK("http://mirror.ff7data.com.ar/ff7/data/battle/battle.lgp/qnav.png","View Picture")</f>
        <v>View Picture</v>
      </c>
    </row>
    <row r="9624">
      <c r="A9624" s="55"/>
      <c r="B9624" s="119" t="s">
        <v>41936</v>
      </c>
      <c r="C9624" s="120" t="s">
        <v>6018</v>
      </c>
      <c r="D9624" s="31"/>
      <c r="F9624" s="121" t="s">
        <v>3009</v>
      </c>
      <c r="G9624" s="98" t="str">
        <f>HYPERLINK("http://mirror.ff7data.com.ar/ff7/data/battle/battle.lgp/qnaw.png","View Picture")</f>
        <v>View Picture</v>
      </c>
    </row>
    <row r="9625">
      <c r="A9625" s="55"/>
      <c r="B9625" s="119" t="s">
        <v>41937</v>
      </c>
      <c r="C9625" s="120" t="s">
        <v>4372</v>
      </c>
      <c r="D9625" s="31"/>
      <c r="F9625" s="121" t="s">
        <v>3009</v>
      </c>
      <c r="G9625" s="98" t="str">
        <f>HYPERLINK("http://mirror.ff7data.com.ar/ff7/data/battle/battle.lgp/qnax.png","View Picture")</f>
        <v>View Picture</v>
      </c>
    </row>
    <row r="9626">
      <c r="A9626" s="79"/>
      <c r="B9626" s="119" t="s">
        <v>41938</v>
      </c>
      <c r="C9626" s="120" t="s">
        <v>40553</v>
      </c>
      <c r="D9626" s="33" t="s">
        <v>40554</v>
      </c>
      <c r="F9626" s="121" t="s">
        <v>2756</v>
      </c>
      <c r="G9626" s="98" t="str">
        <f>HYPERLINK("http://mirror.ff7data.com.ar/ff7/data/battle/battle.lgp/qoaa.png","View Picture")</f>
        <v>View Picture</v>
      </c>
    </row>
    <row r="9627">
      <c r="A9627" s="55"/>
      <c r="B9627" s="119" t="s">
        <v>41939</v>
      </c>
      <c r="C9627" s="120" t="s">
        <v>40556</v>
      </c>
      <c r="D9627" s="31"/>
      <c r="F9627" s="121" t="s">
        <v>2993</v>
      </c>
    </row>
    <row r="9628">
      <c r="A9628" s="55"/>
      <c r="B9628" s="119" t="s">
        <v>41940</v>
      </c>
      <c r="C9628" s="120" t="s">
        <v>4732</v>
      </c>
      <c r="D9628" s="31"/>
      <c r="F9628" s="121" t="s">
        <v>1348</v>
      </c>
      <c r="G9628" s="98" t="str">
        <f>HYPERLINK("http://mirror.ff7data.com.ar/ff7/data/battle/battle.lgp/qoac.png","View Picture")</f>
        <v>View Picture</v>
      </c>
    </row>
    <row r="9629">
      <c r="A9629" s="55"/>
      <c r="B9629" s="119" t="s">
        <v>41941</v>
      </c>
      <c r="C9629" s="120" t="s">
        <v>3961</v>
      </c>
      <c r="D9629" s="31"/>
      <c r="F9629" s="121" t="s">
        <v>3009</v>
      </c>
      <c r="G9629" s="98" t="str">
        <f>HYPERLINK("http://mirror.ff7data.com.ar/ff7/data/battle/battle.lgp/qoam.png","View Picture")</f>
        <v>View Picture</v>
      </c>
    </row>
    <row r="9630">
      <c r="A9630" s="55"/>
      <c r="B9630" s="119" t="s">
        <v>41942</v>
      </c>
      <c r="C9630" s="120" t="s">
        <v>4846</v>
      </c>
      <c r="D9630" s="31"/>
      <c r="F9630" s="121" t="s">
        <v>3009</v>
      </c>
      <c r="G9630" s="98" t="str">
        <f>HYPERLINK("http://mirror.ff7data.com.ar/ff7/data/battle/battle.lgp/qoan.png","View Picture")</f>
        <v>View Picture</v>
      </c>
    </row>
    <row r="9631">
      <c r="A9631" s="55"/>
      <c r="B9631" s="119" t="s">
        <v>41943</v>
      </c>
      <c r="C9631" s="120" t="s">
        <v>4846</v>
      </c>
      <c r="D9631" s="31"/>
      <c r="F9631" s="121" t="s">
        <v>3009</v>
      </c>
      <c r="G9631" s="98" t="str">
        <f>HYPERLINK("http://mirror.ff7data.com.ar/ff7/data/battle/battle.lgp/qoao.png","View Picture")</f>
        <v>View Picture</v>
      </c>
    </row>
    <row r="9632">
      <c r="A9632" s="55"/>
      <c r="B9632" s="119" t="s">
        <v>41944</v>
      </c>
      <c r="C9632" s="120" t="s">
        <v>4846</v>
      </c>
      <c r="D9632" s="31"/>
      <c r="F9632" s="121" t="s">
        <v>3009</v>
      </c>
      <c r="G9632" s="98" t="str">
        <f>HYPERLINK("http://mirror.ff7data.com.ar/ff7/data/battle/battle.lgp/qoap.png","View Picture")</f>
        <v>View Picture</v>
      </c>
    </row>
    <row r="9633">
      <c r="A9633" s="55"/>
      <c r="B9633" s="119" t="s">
        <v>41945</v>
      </c>
      <c r="C9633" s="120" t="s">
        <v>40553</v>
      </c>
      <c r="D9633" s="31"/>
      <c r="F9633" s="121" t="s">
        <v>2756</v>
      </c>
      <c r="G9633" s="98" t="str">
        <f>HYPERLINK("http://mirror.ff7data.com.ar/ff7/data/battle/battle.lgp/qpaa.png","View Picture")</f>
        <v>View Picture</v>
      </c>
    </row>
    <row r="9634">
      <c r="A9634" s="55"/>
      <c r="B9634" s="119" t="s">
        <v>41946</v>
      </c>
      <c r="C9634" s="120" t="s">
        <v>40556</v>
      </c>
      <c r="D9634" s="31"/>
      <c r="F9634" s="121" t="s">
        <v>2993</v>
      </c>
    </row>
    <row r="9635">
      <c r="A9635" s="55"/>
      <c r="B9635" s="119" t="s">
        <v>41947</v>
      </c>
      <c r="C9635" s="120" t="s">
        <v>26104</v>
      </c>
      <c r="D9635" s="31"/>
      <c r="F9635" s="121" t="s">
        <v>1348</v>
      </c>
      <c r="G9635" s="98" t="str">
        <f>HYPERLINK("http://mirror.ff7data.com.ar/ff7/data/battle/battle.lgp/qpac.png","View Picture")</f>
        <v>View Picture</v>
      </c>
    </row>
    <row r="9636">
      <c r="A9636" s="55"/>
      <c r="B9636" s="119" t="s">
        <v>41948</v>
      </c>
      <c r="C9636" s="120" t="s">
        <v>26104</v>
      </c>
      <c r="D9636" s="31"/>
      <c r="F9636" s="121" t="s">
        <v>1348</v>
      </c>
      <c r="G9636" s="98" t="str">
        <f>HYPERLINK("http://mirror.ff7data.com.ar/ff7/data/battle/battle.lgp/qpad.png","View Picture")</f>
        <v>View Picture</v>
      </c>
    </row>
    <row r="9637">
      <c r="A9637" s="55"/>
      <c r="B9637" s="119" t="s">
        <v>41949</v>
      </c>
      <c r="C9637" s="120" t="s">
        <v>26095</v>
      </c>
      <c r="D9637" s="31"/>
      <c r="F9637" s="121" t="s">
        <v>1348</v>
      </c>
      <c r="G9637" s="98" t="str">
        <f>HYPERLINK("http://mirror.ff7data.com.ar/ff7/data/battle/battle.lgp/qpae.png","View Picture")</f>
        <v>View Picture</v>
      </c>
    </row>
    <row r="9638">
      <c r="A9638" s="55"/>
      <c r="B9638" s="119" t="s">
        <v>41950</v>
      </c>
      <c r="C9638" s="120" t="s">
        <v>26095</v>
      </c>
      <c r="D9638" s="31"/>
      <c r="F9638" s="121" t="s">
        <v>1348</v>
      </c>
      <c r="G9638" s="98" t="str">
        <f>HYPERLINK("http://mirror.ff7data.com.ar/ff7/data/battle/battle.lgp/qpaf.png","View Picture")</f>
        <v>View Picture</v>
      </c>
    </row>
    <row r="9639">
      <c r="A9639" s="55"/>
      <c r="B9639" s="119" t="s">
        <v>41951</v>
      </c>
      <c r="C9639" s="120" t="s">
        <v>26095</v>
      </c>
      <c r="D9639" s="31"/>
      <c r="F9639" s="121" t="s">
        <v>1348</v>
      </c>
      <c r="G9639" s="98" t="str">
        <f>HYPERLINK("http://mirror.ff7data.com.ar/ff7/data/battle/battle.lgp/qpag.png","View Picture")</f>
        <v>View Picture</v>
      </c>
    </row>
    <row r="9640">
      <c r="A9640" s="55"/>
      <c r="B9640" s="119" t="s">
        <v>41952</v>
      </c>
      <c r="C9640" s="120" t="s">
        <v>6018</v>
      </c>
      <c r="D9640" s="31"/>
      <c r="F9640" s="121" t="s">
        <v>1348</v>
      </c>
      <c r="G9640" s="98" t="str">
        <f>HYPERLINK("http://mirror.ff7data.com.ar/ff7/data/battle/battle.lgp/qpah.png","View Picture")</f>
        <v>View Picture</v>
      </c>
    </row>
    <row r="9641">
      <c r="A9641" s="55"/>
      <c r="B9641" s="119" t="s">
        <v>41953</v>
      </c>
      <c r="C9641" s="120" t="s">
        <v>4012</v>
      </c>
      <c r="D9641" s="31"/>
      <c r="F9641" s="121" t="s">
        <v>3009</v>
      </c>
      <c r="G9641" s="98" t="str">
        <f>HYPERLINK("http://mirror.ff7data.com.ar/ff7/data/battle/battle.lgp/qpam.png","View Picture")</f>
        <v>View Picture</v>
      </c>
    </row>
    <row r="9642">
      <c r="A9642" s="55"/>
      <c r="B9642" s="119" t="s">
        <v>41954</v>
      </c>
      <c r="C9642" s="120" t="s">
        <v>5904</v>
      </c>
      <c r="D9642" s="31"/>
      <c r="F9642" s="121" t="s">
        <v>3009</v>
      </c>
      <c r="G9642" s="98" t="str">
        <f>HYPERLINK("http://mirror.ff7data.com.ar/ff7/data/battle/battle.lgp/qpan.png","View Picture")</f>
        <v>View Picture</v>
      </c>
    </row>
    <row r="9643">
      <c r="A9643" s="55"/>
      <c r="B9643" s="119" t="s">
        <v>41955</v>
      </c>
      <c r="C9643" s="120" t="s">
        <v>3505</v>
      </c>
      <c r="D9643" s="31"/>
      <c r="F9643" s="121" t="s">
        <v>3009</v>
      </c>
      <c r="G9643" s="98" t="str">
        <f>HYPERLINK("http://mirror.ff7data.com.ar/ff7/data/battle/battle.lgp/qpao.png","View Picture")</f>
        <v>View Picture</v>
      </c>
    </row>
    <row r="9644">
      <c r="A9644" s="55"/>
      <c r="B9644" s="119" t="s">
        <v>41956</v>
      </c>
      <c r="C9644" s="120" t="s">
        <v>3842</v>
      </c>
      <c r="D9644" s="31"/>
      <c r="F9644" s="121" t="s">
        <v>3009</v>
      </c>
      <c r="G9644" s="98" t="str">
        <f>HYPERLINK("http://mirror.ff7data.com.ar/ff7/data/battle/battle.lgp/qpap.png","View Picture")</f>
        <v>View Picture</v>
      </c>
    </row>
    <row r="9645">
      <c r="A9645" s="55"/>
      <c r="B9645" s="119" t="s">
        <v>41957</v>
      </c>
      <c r="C9645" s="120" t="s">
        <v>11261</v>
      </c>
      <c r="D9645" s="31"/>
      <c r="F9645" s="121" t="s">
        <v>3009</v>
      </c>
      <c r="G9645" s="98" t="str">
        <f>HYPERLINK("http://mirror.ff7data.com.ar/ff7/data/battle/battle.lgp/qpaq.png","View Picture")</f>
        <v>View Picture</v>
      </c>
    </row>
    <row r="9646">
      <c r="A9646" s="55"/>
      <c r="B9646" s="119" t="s">
        <v>41958</v>
      </c>
      <c r="C9646" s="120" t="s">
        <v>7871</v>
      </c>
      <c r="D9646" s="31"/>
      <c r="F9646" s="121" t="s">
        <v>3009</v>
      </c>
      <c r="G9646" s="98" t="str">
        <f>HYPERLINK("http://mirror.ff7data.com.ar/ff7/data/battle/battle.lgp/qpar.png","View Picture")</f>
        <v>View Picture</v>
      </c>
    </row>
    <row r="9647">
      <c r="A9647" s="55"/>
      <c r="B9647" s="119" t="s">
        <v>41959</v>
      </c>
      <c r="C9647" s="120" t="s">
        <v>4228</v>
      </c>
      <c r="D9647" s="31"/>
      <c r="F9647" s="121" t="s">
        <v>3009</v>
      </c>
      <c r="G9647" s="98" t="str">
        <f>HYPERLINK("http://mirror.ff7data.com.ar/ff7/data/battle/battle.lgp/qpas.png","View Picture")</f>
        <v>View Picture</v>
      </c>
    </row>
    <row r="9648">
      <c r="A9648" s="55"/>
      <c r="B9648" s="119" t="s">
        <v>41960</v>
      </c>
      <c r="C9648" s="120" t="s">
        <v>3842</v>
      </c>
      <c r="D9648" s="31"/>
      <c r="F9648" s="121" t="s">
        <v>3009</v>
      </c>
      <c r="G9648" s="98" t="str">
        <f>HYPERLINK("http://mirror.ff7data.com.ar/ff7/data/battle/battle.lgp/qpat.png","View Picture")</f>
        <v>View Picture</v>
      </c>
    </row>
    <row r="9649">
      <c r="A9649" s="55"/>
      <c r="B9649" s="119" t="s">
        <v>41961</v>
      </c>
      <c r="C9649" s="120" t="s">
        <v>4057</v>
      </c>
      <c r="D9649" s="31"/>
      <c r="F9649" s="121" t="s">
        <v>3009</v>
      </c>
      <c r="G9649" s="98" t="str">
        <f>HYPERLINK("http://mirror.ff7data.com.ar/ff7/data/battle/battle.lgp/qpau.png","View Picture")</f>
        <v>View Picture</v>
      </c>
    </row>
    <row r="9650">
      <c r="A9650" s="55"/>
      <c r="B9650" s="119" t="s">
        <v>41962</v>
      </c>
      <c r="C9650" s="120" t="s">
        <v>3658</v>
      </c>
      <c r="D9650" s="31"/>
      <c r="F9650" s="121" t="s">
        <v>3009</v>
      </c>
      <c r="G9650" s="98" t="str">
        <f>HYPERLINK("http://mirror.ff7data.com.ar/ff7/data/battle/battle.lgp/qpav.png","View Picture")</f>
        <v>View Picture</v>
      </c>
    </row>
    <row r="9651">
      <c r="A9651" s="55"/>
      <c r="B9651" s="119" t="s">
        <v>41963</v>
      </c>
      <c r="C9651" s="120" t="s">
        <v>3481</v>
      </c>
      <c r="D9651" s="31"/>
      <c r="F9651" s="121" t="s">
        <v>3009</v>
      </c>
      <c r="G9651" s="98" t="str">
        <f>HYPERLINK("http://mirror.ff7data.com.ar/ff7/data/battle/battle.lgp/qpaw.png","View Picture")</f>
        <v>View Picture</v>
      </c>
    </row>
    <row r="9652">
      <c r="A9652" s="79"/>
      <c r="B9652" s="119" t="s">
        <v>41964</v>
      </c>
      <c r="C9652" s="120" t="s">
        <v>40553</v>
      </c>
      <c r="D9652" s="33" t="s">
        <v>41965</v>
      </c>
      <c r="F9652" s="121" t="s">
        <v>2756</v>
      </c>
      <c r="G9652" s="98" t="str">
        <f>HYPERLINK("http://mirror.ff7data.com.ar/ff7/data/battle/battle.lgp/qqaa.png","View Picture")</f>
        <v>View Picture</v>
      </c>
    </row>
    <row r="9653">
      <c r="A9653" s="55"/>
      <c r="B9653" s="119" t="s">
        <v>41966</v>
      </c>
      <c r="C9653" s="120" t="s">
        <v>40556</v>
      </c>
      <c r="D9653" s="31"/>
      <c r="F9653" s="121" t="s">
        <v>2993</v>
      </c>
    </row>
    <row r="9654">
      <c r="A9654" s="55"/>
      <c r="B9654" s="119" t="s">
        <v>41967</v>
      </c>
      <c r="C9654" s="120" t="s">
        <v>26104</v>
      </c>
      <c r="D9654" s="31"/>
      <c r="F9654" s="121" t="s">
        <v>1348</v>
      </c>
      <c r="G9654" s="98" t="str">
        <f>HYPERLINK("http://mirror.ff7data.com.ar/ff7/data/battle/battle.lgp/qqac.png","View Picture")</f>
        <v>View Picture</v>
      </c>
    </row>
    <row r="9655">
      <c r="A9655" s="55"/>
      <c r="B9655" s="119" t="s">
        <v>41968</v>
      </c>
      <c r="C9655" s="120" t="s">
        <v>26095</v>
      </c>
      <c r="D9655" s="31"/>
      <c r="F9655" s="121" t="s">
        <v>1348</v>
      </c>
      <c r="G9655" s="98" t="str">
        <f>HYPERLINK("http://mirror.ff7data.com.ar/ff7/data/battle/battle.lgp/qqad.png","View Picture")</f>
        <v>View Picture</v>
      </c>
    </row>
    <row r="9656">
      <c r="A9656" s="55"/>
      <c r="B9656" s="119" t="s">
        <v>41969</v>
      </c>
      <c r="C9656" s="120" t="s">
        <v>26104</v>
      </c>
      <c r="D9656" s="31"/>
      <c r="F9656" s="121" t="s">
        <v>1348</v>
      </c>
      <c r="G9656" s="98" t="str">
        <f>HYPERLINK("http://mirror.ff7data.com.ar/ff7/data/battle/battle.lgp/qqae.png","View Picture")</f>
        <v>View Picture</v>
      </c>
    </row>
    <row r="9657">
      <c r="A9657" s="55"/>
      <c r="B9657" s="119" t="s">
        <v>41970</v>
      </c>
      <c r="C9657" s="120" t="s">
        <v>6018</v>
      </c>
      <c r="D9657" s="31"/>
      <c r="F9657" s="121" t="s">
        <v>1348</v>
      </c>
      <c r="G9657" s="98" t="str">
        <f>HYPERLINK("http://mirror.ff7data.com.ar/ff7/data/battle/battle.lgp/qqaf.png","View Picture")</f>
        <v>View Picture</v>
      </c>
    </row>
    <row r="9658">
      <c r="A9658" s="55"/>
      <c r="B9658" s="119" t="s">
        <v>41971</v>
      </c>
      <c r="C9658" s="120" t="s">
        <v>3399</v>
      </c>
      <c r="D9658" s="31"/>
      <c r="F9658" s="121" t="s">
        <v>3009</v>
      </c>
      <c r="G9658" s="98" t="str">
        <f>HYPERLINK("http://mirror.ff7data.com.ar/ff7/data/battle/battle.lgp/qqam.png","View Picture")</f>
        <v>View Picture</v>
      </c>
    </row>
    <row r="9659">
      <c r="A9659" s="55"/>
      <c r="B9659" s="119" t="s">
        <v>41972</v>
      </c>
      <c r="C9659" s="120" t="s">
        <v>4846</v>
      </c>
      <c r="D9659" s="31"/>
      <c r="F9659" s="121" t="s">
        <v>3009</v>
      </c>
      <c r="G9659" s="98" t="str">
        <f>HYPERLINK("http://mirror.ff7data.com.ar/ff7/data/battle/battle.lgp/qqan.png","View Picture")</f>
        <v>View Picture</v>
      </c>
    </row>
    <row r="9660">
      <c r="A9660" s="55"/>
      <c r="B9660" s="119" t="s">
        <v>41973</v>
      </c>
      <c r="C9660" s="120" t="s">
        <v>3842</v>
      </c>
      <c r="D9660" s="31"/>
      <c r="F9660" s="121" t="s">
        <v>3009</v>
      </c>
      <c r="G9660" s="98" t="str">
        <f>HYPERLINK("http://mirror.ff7data.com.ar/ff7/data/battle/battle.lgp/qqao.png","View Picture")</f>
        <v>View Picture</v>
      </c>
    </row>
    <row r="9661">
      <c r="A9661" s="55"/>
      <c r="B9661" s="119" t="s">
        <v>41974</v>
      </c>
      <c r="C9661" s="120" t="s">
        <v>4476</v>
      </c>
      <c r="D9661" s="31"/>
      <c r="F9661" s="121" t="s">
        <v>3009</v>
      </c>
      <c r="G9661" s="98" t="str">
        <f>HYPERLINK("http://mirror.ff7data.com.ar/ff7/data/battle/battle.lgp/qqap.png","View Picture")</f>
        <v>View Picture</v>
      </c>
    </row>
    <row r="9662">
      <c r="A9662" s="55"/>
      <c r="B9662" s="119" t="s">
        <v>41975</v>
      </c>
      <c r="C9662" s="120" t="s">
        <v>3434</v>
      </c>
      <c r="D9662" s="31"/>
      <c r="F9662" s="121" t="s">
        <v>3009</v>
      </c>
      <c r="G9662" s="98" t="str">
        <f>HYPERLINK("http://mirror.ff7data.com.ar/ff7/data/battle/battle.lgp/qqaq.png","View Picture")</f>
        <v>View Picture</v>
      </c>
    </row>
    <row r="9663">
      <c r="A9663" s="55"/>
      <c r="B9663" s="119" t="s">
        <v>41976</v>
      </c>
      <c r="C9663" s="120" t="s">
        <v>3573</v>
      </c>
      <c r="D9663" s="31"/>
      <c r="F9663" s="121" t="s">
        <v>3009</v>
      </c>
      <c r="G9663" s="98" t="str">
        <f>HYPERLINK("http://mirror.ff7data.com.ar/ff7/data/battle/battle.lgp/qqar.png","View Picture")</f>
        <v>View Picture</v>
      </c>
    </row>
    <row r="9664">
      <c r="A9664" s="55"/>
      <c r="B9664" s="119" t="s">
        <v>41977</v>
      </c>
      <c r="C9664" s="120" t="s">
        <v>40553</v>
      </c>
      <c r="D9664" s="33" t="s">
        <v>41978</v>
      </c>
      <c r="F9664" s="121" t="s">
        <v>2756</v>
      </c>
      <c r="G9664" s="98" t="str">
        <f>HYPERLINK("http://mirror.ff7data.com.ar/ff7/data/battle/battle.lgp/qraa.png","View Picture")</f>
        <v>View Picture</v>
      </c>
    </row>
    <row r="9665">
      <c r="A9665" s="55"/>
      <c r="B9665" s="119" t="s">
        <v>41979</v>
      </c>
      <c r="C9665" s="120" t="s">
        <v>40556</v>
      </c>
      <c r="D9665" s="31"/>
      <c r="F9665" s="121" t="s">
        <v>2993</v>
      </c>
    </row>
    <row r="9666">
      <c r="A9666" s="55"/>
      <c r="B9666" s="119" t="s">
        <v>41980</v>
      </c>
      <c r="C9666" s="120" t="s">
        <v>6018</v>
      </c>
      <c r="D9666" s="31"/>
      <c r="F9666" s="121" t="s">
        <v>1348</v>
      </c>
      <c r="G9666" s="98" t="str">
        <f>HYPERLINK("http://mirror.ff7data.com.ar/ff7/data/battle/battle.lgp/qrac.png","View Picture")</f>
        <v>View Picture</v>
      </c>
    </row>
    <row r="9667">
      <c r="A9667" s="55"/>
      <c r="B9667" s="119" t="s">
        <v>41981</v>
      </c>
      <c r="C9667" s="120" t="s">
        <v>26104</v>
      </c>
      <c r="D9667" s="31"/>
      <c r="F9667" s="121" t="s">
        <v>1348</v>
      </c>
      <c r="G9667" s="98" t="str">
        <f>HYPERLINK("http://mirror.ff7data.com.ar/ff7/data/battle/battle.lgp/qrad.png","View Picture")</f>
        <v>View Picture</v>
      </c>
    </row>
    <row r="9668">
      <c r="A9668" s="55"/>
      <c r="B9668" s="119" t="s">
        <v>41982</v>
      </c>
      <c r="C9668" s="120" t="s">
        <v>26095</v>
      </c>
      <c r="D9668" s="31"/>
      <c r="F9668" s="121" t="s">
        <v>1348</v>
      </c>
      <c r="G9668" s="98" t="str">
        <f>HYPERLINK("http://mirror.ff7data.com.ar/ff7/data/battle/battle.lgp/qrae.png","View Picture")</f>
        <v>View Picture</v>
      </c>
    </row>
    <row r="9669">
      <c r="A9669" s="55"/>
      <c r="B9669" s="119" t="s">
        <v>41983</v>
      </c>
      <c r="C9669" s="120" t="s">
        <v>6018</v>
      </c>
      <c r="D9669" s="31"/>
      <c r="F9669" s="121" t="s">
        <v>1348</v>
      </c>
      <c r="G9669" s="98" t="str">
        <f>HYPERLINK("http://mirror.ff7data.com.ar/ff7/data/battle/battle.lgp/qraf.png","View Picture")</f>
        <v>View Picture</v>
      </c>
    </row>
    <row r="9670">
      <c r="A9670" s="55"/>
      <c r="B9670" s="119" t="s">
        <v>41984</v>
      </c>
      <c r="C9670" s="120" t="s">
        <v>26104</v>
      </c>
      <c r="D9670" s="31"/>
      <c r="F9670" s="121" t="s">
        <v>1348</v>
      </c>
      <c r="G9670" s="98" t="str">
        <f>HYPERLINK("http://mirror.ff7data.com.ar/ff7/data/battle/battle.lgp/qrag.png","View Picture")</f>
        <v>View Picture</v>
      </c>
    </row>
    <row r="9671">
      <c r="A9671" s="55"/>
      <c r="B9671" s="119" t="s">
        <v>41985</v>
      </c>
      <c r="C9671" s="120" t="s">
        <v>26095</v>
      </c>
      <c r="D9671" s="31"/>
      <c r="F9671" s="121" t="s">
        <v>1348</v>
      </c>
      <c r="G9671" s="98" t="str">
        <f>HYPERLINK("http://mirror.ff7data.com.ar/ff7/data/battle/battle.lgp/qrah.png","View Picture")</f>
        <v>View Picture</v>
      </c>
    </row>
    <row r="9672">
      <c r="A9672" s="55"/>
      <c r="B9672" s="119" t="s">
        <v>41986</v>
      </c>
      <c r="C9672" s="120" t="s">
        <v>3573</v>
      </c>
      <c r="D9672" s="31"/>
      <c r="F9672" s="121" t="s">
        <v>3009</v>
      </c>
      <c r="G9672" s="98" t="str">
        <f>HYPERLINK("http://mirror.ff7data.com.ar/ff7/data/battle/battle.lgp/qram.png","View Picture")</f>
        <v>View Picture</v>
      </c>
    </row>
    <row r="9673">
      <c r="A9673" s="55"/>
      <c r="B9673" s="119" t="s">
        <v>41987</v>
      </c>
      <c r="C9673" s="120" t="s">
        <v>5203</v>
      </c>
      <c r="D9673" s="31"/>
      <c r="F9673" s="121" t="s">
        <v>3009</v>
      </c>
      <c r="G9673" s="98" t="str">
        <f>HYPERLINK("http://mirror.ff7data.com.ar/ff7/data/battle/battle.lgp/qran.png","View Picture")</f>
        <v>View Picture</v>
      </c>
    </row>
    <row r="9674">
      <c r="A9674" s="55"/>
      <c r="B9674" s="119" t="s">
        <v>41988</v>
      </c>
      <c r="C9674" s="120" t="s">
        <v>3842</v>
      </c>
      <c r="D9674" s="31"/>
      <c r="F9674" s="121" t="s">
        <v>3009</v>
      </c>
      <c r="G9674" s="98" t="str">
        <f>HYPERLINK("http://mirror.ff7data.com.ar/ff7/data/battle/battle.lgp/qrao.png","View Picture")</f>
        <v>View Picture</v>
      </c>
    </row>
    <row r="9675">
      <c r="A9675" s="55"/>
      <c r="B9675" s="119" t="s">
        <v>41989</v>
      </c>
      <c r="C9675" s="120" t="s">
        <v>4476</v>
      </c>
      <c r="D9675" s="31"/>
      <c r="F9675" s="121" t="s">
        <v>3009</v>
      </c>
      <c r="G9675" s="98" t="str">
        <f>HYPERLINK("http://mirror.ff7data.com.ar/ff7/data/battle/battle.lgp/qrap.png","View Picture")</f>
        <v>View Picture</v>
      </c>
    </row>
    <row r="9676">
      <c r="A9676" s="55"/>
      <c r="B9676" s="119" t="s">
        <v>41990</v>
      </c>
      <c r="C9676" s="120" t="s">
        <v>4228</v>
      </c>
      <c r="D9676" s="31"/>
      <c r="F9676" s="121" t="s">
        <v>3009</v>
      </c>
      <c r="G9676" s="98" t="str">
        <f>HYPERLINK("http://mirror.ff7data.com.ar/ff7/data/battle/battle.lgp/qraq.png","View Picture")</f>
        <v>View Picture</v>
      </c>
    </row>
    <row r="9677">
      <c r="A9677" s="55"/>
      <c r="B9677" s="119" t="s">
        <v>41991</v>
      </c>
      <c r="C9677" s="120" t="s">
        <v>3842</v>
      </c>
      <c r="D9677" s="31"/>
      <c r="F9677" s="121" t="s">
        <v>3009</v>
      </c>
      <c r="G9677" s="98" t="str">
        <f>HYPERLINK("http://mirror.ff7data.com.ar/ff7/data/battle/battle.lgp/qrar.png","View Picture")</f>
        <v>View Picture</v>
      </c>
    </row>
    <row r="9678">
      <c r="A9678" s="55"/>
      <c r="B9678" s="119" t="s">
        <v>41992</v>
      </c>
      <c r="C9678" s="120" t="s">
        <v>36266</v>
      </c>
      <c r="D9678" s="31"/>
      <c r="F9678" s="121" t="s">
        <v>3009</v>
      </c>
      <c r="G9678" s="98" t="str">
        <f>HYPERLINK("http://mirror.ff7data.com.ar/ff7/data/battle/battle.lgp/qras.png","View Picture")</f>
        <v>View Picture</v>
      </c>
    </row>
    <row r="9679">
      <c r="A9679" s="55"/>
      <c r="B9679" s="119" t="s">
        <v>41993</v>
      </c>
      <c r="C9679" s="120" t="s">
        <v>3318</v>
      </c>
      <c r="D9679" s="31"/>
      <c r="F9679" s="121" t="s">
        <v>3009</v>
      </c>
      <c r="G9679" s="98" t="str">
        <f>HYPERLINK("http://mirror.ff7data.com.ar/ff7/data/battle/battle.lgp/qrat.png","View Picture")</f>
        <v>View Picture</v>
      </c>
    </row>
    <row r="9680">
      <c r="A9680" s="79"/>
      <c r="B9680" s="119" t="s">
        <v>41994</v>
      </c>
      <c r="C9680" s="120" t="s">
        <v>40553</v>
      </c>
      <c r="D9680" s="33" t="s">
        <v>41995</v>
      </c>
      <c r="F9680" s="121" t="s">
        <v>2756</v>
      </c>
      <c r="G9680" s="98" t="str">
        <f>HYPERLINK("http://mirror.ff7data.com.ar/ff7/data/battle/battle.lgp/qsaa.png","View Picture")</f>
        <v>View Picture</v>
      </c>
    </row>
    <row r="9681">
      <c r="A9681" s="55"/>
      <c r="B9681" s="119" t="s">
        <v>41996</v>
      </c>
      <c r="C9681" s="120" t="s">
        <v>40556</v>
      </c>
      <c r="D9681" s="31"/>
      <c r="F9681" s="121" t="s">
        <v>2993</v>
      </c>
    </row>
    <row r="9682">
      <c r="A9682" s="55"/>
      <c r="B9682" s="119" t="s">
        <v>41997</v>
      </c>
      <c r="C9682" s="120" t="s">
        <v>26095</v>
      </c>
      <c r="D9682" s="31"/>
      <c r="F9682" s="121" t="s">
        <v>1348</v>
      </c>
      <c r="G9682" s="98" t="str">
        <f>HYPERLINK("http://mirror.ff7data.com.ar/ff7/data/battle/battle.lgp/qsac.png","View Picture")</f>
        <v>View Picture</v>
      </c>
    </row>
    <row r="9683">
      <c r="A9683" s="55"/>
      <c r="B9683" s="119" t="s">
        <v>41998</v>
      </c>
      <c r="C9683" s="120" t="s">
        <v>26104</v>
      </c>
      <c r="D9683" s="31"/>
      <c r="F9683" s="121" t="s">
        <v>1348</v>
      </c>
      <c r="G9683" s="98" t="str">
        <f>HYPERLINK("http://mirror.ff7data.com.ar/ff7/data/battle/battle.lgp/qsad.png","View Picture")</f>
        <v>View Picture</v>
      </c>
    </row>
    <row r="9684">
      <c r="A9684" s="55"/>
      <c r="B9684" s="119" t="s">
        <v>41999</v>
      </c>
      <c r="C9684" s="120" t="s">
        <v>26095</v>
      </c>
      <c r="D9684" s="31"/>
      <c r="F9684" s="121" t="s">
        <v>1348</v>
      </c>
      <c r="G9684" s="98" t="str">
        <f>HYPERLINK("http://mirror.ff7data.com.ar/ff7/data/battle/battle.lgp/qsae.png","View Picture")</f>
        <v>View Picture</v>
      </c>
    </row>
    <row r="9685">
      <c r="A9685" s="55"/>
      <c r="B9685" s="119" t="s">
        <v>42000</v>
      </c>
      <c r="C9685" s="120" t="s">
        <v>7471</v>
      </c>
      <c r="D9685" s="31"/>
      <c r="F9685" s="121" t="s">
        <v>1348</v>
      </c>
      <c r="G9685" s="98" t="str">
        <f>HYPERLINK("http://mirror.ff7data.com.ar/ff7/data/battle/battle.lgp/qsaf.png","View Picture")</f>
        <v>View Picture</v>
      </c>
    </row>
    <row r="9686">
      <c r="A9686" s="55"/>
      <c r="B9686" s="119" t="s">
        <v>42001</v>
      </c>
      <c r="C9686" s="120" t="s">
        <v>26095</v>
      </c>
      <c r="D9686" s="31"/>
      <c r="F9686" s="121" t="s">
        <v>1348</v>
      </c>
      <c r="G9686" s="98" t="str">
        <f>HYPERLINK("http://mirror.ff7data.com.ar/ff7/data/battle/battle.lgp/qsag.png","View Picture")</f>
        <v>View Picture</v>
      </c>
    </row>
    <row r="9687">
      <c r="A9687" s="55"/>
      <c r="B9687" s="119" t="s">
        <v>42002</v>
      </c>
      <c r="C9687" s="120" t="s">
        <v>6018</v>
      </c>
      <c r="D9687" s="31"/>
      <c r="F9687" s="121" t="s">
        <v>1348</v>
      </c>
      <c r="G9687" s="98" t="str">
        <f>HYPERLINK("http://mirror.ff7data.com.ar/ff7/data/battle/battle.lgp/qsah.png","View Picture")</f>
        <v>View Picture</v>
      </c>
    </row>
    <row r="9688">
      <c r="A9688" s="55"/>
      <c r="B9688" s="119" t="s">
        <v>42003</v>
      </c>
      <c r="C9688" s="120" t="s">
        <v>26104</v>
      </c>
      <c r="D9688" s="31"/>
      <c r="F9688" s="121" t="s">
        <v>1348</v>
      </c>
      <c r="G9688" s="98" t="str">
        <f>HYPERLINK("http://mirror.ff7data.com.ar/ff7/data/battle/battle.lgp/qsai.png","View Picture")</f>
        <v>View Picture</v>
      </c>
    </row>
    <row r="9689">
      <c r="A9689" s="55"/>
      <c r="B9689" s="119" t="s">
        <v>42004</v>
      </c>
      <c r="C9689" s="120" t="s">
        <v>4841</v>
      </c>
      <c r="D9689" s="31"/>
      <c r="F9689" s="121" t="s">
        <v>3009</v>
      </c>
      <c r="G9689" s="98" t="str">
        <f>HYPERLINK("http://mirror.ff7data.com.ar/ff7/data/battle/battle.lgp/qsam.png","View Picture")</f>
        <v>View Picture</v>
      </c>
    </row>
    <row r="9690">
      <c r="A9690" s="55"/>
      <c r="B9690" s="119" t="s">
        <v>42005</v>
      </c>
      <c r="C9690" s="120" t="s">
        <v>3505</v>
      </c>
      <c r="D9690" s="31"/>
      <c r="F9690" s="121" t="s">
        <v>3009</v>
      </c>
      <c r="G9690" s="98" t="str">
        <f>HYPERLINK("http://mirror.ff7data.com.ar/ff7/data/battle/battle.lgp/qsan.png","View Picture")</f>
        <v>View Picture</v>
      </c>
    </row>
    <row r="9691">
      <c r="A9691" s="55"/>
      <c r="B9691" s="119" t="s">
        <v>42006</v>
      </c>
      <c r="C9691" s="120" t="s">
        <v>3842</v>
      </c>
      <c r="D9691" s="31"/>
      <c r="F9691" s="121" t="s">
        <v>3009</v>
      </c>
      <c r="G9691" s="98" t="str">
        <f>HYPERLINK("http://mirror.ff7data.com.ar/ff7/data/battle/battle.lgp/qsao.png","View Picture")</f>
        <v>View Picture</v>
      </c>
    </row>
    <row r="9692">
      <c r="A9692" s="55"/>
      <c r="B9692" s="119" t="s">
        <v>42007</v>
      </c>
      <c r="C9692" s="120" t="s">
        <v>4476</v>
      </c>
      <c r="D9692" s="31"/>
      <c r="F9692" s="121" t="s">
        <v>3009</v>
      </c>
      <c r="G9692" s="98" t="str">
        <f>HYPERLINK("http://mirror.ff7data.com.ar/ff7/data/battle/battle.lgp/qsap.png","View Picture")</f>
        <v>View Picture</v>
      </c>
    </row>
    <row r="9693">
      <c r="A9693" s="55"/>
      <c r="B9693" s="119" t="s">
        <v>42008</v>
      </c>
      <c r="C9693" s="120" t="s">
        <v>3723</v>
      </c>
      <c r="D9693" s="31"/>
      <c r="F9693" s="121" t="s">
        <v>3009</v>
      </c>
      <c r="G9693" s="98" t="str">
        <f>HYPERLINK("http://mirror.ff7data.com.ar/ff7/data/battle/battle.lgp/qsaq.png","View Picture")</f>
        <v>View Picture</v>
      </c>
    </row>
    <row r="9694">
      <c r="A9694" s="55"/>
      <c r="B9694" s="119" t="s">
        <v>42009</v>
      </c>
      <c r="C9694" s="120" t="s">
        <v>3519</v>
      </c>
      <c r="D9694" s="31"/>
      <c r="F9694" s="121" t="s">
        <v>3009</v>
      </c>
      <c r="G9694" s="98" t="str">
        <f>HYPERLINK("http://mirror.ff7data.com.ar/ff7/data/battle/battle.lgp/qsar.png","View Picture")</f>
        <v>View Picture</v>
      </c>
    </row>
    <row r="9695">
      <c r="A9695" s="55"/>
      <c r="B9695" s="119" t="s">
        <v>42010</v>
      </c>
      <c r="C9695" s="120" t="s">
        <v>9441</v>
      </c>
      <c r="D9695" s="31"/>
      <c r="F9695" s="121" t="s">
        <v>3009</v>
      </c>
      <c r="G9695" s="98" t="str">
        <f>HYPERLINK("http://mirror.ff7data.com.ar/ff7/data/battle/battle.lgp/qsas.png","View Picture")</f>
        <v>View Picture</v>
      </c>
    </row>
    <row r="9696">
      <c r="A9696" s="55"/>
      <c r="B9696" s="119" t="s">
        <v>42011</v>
      </c>
      <c r="C9696" s="120" t="s">
        <v>3519</v>
      </c>
      <c r="D9696" s="31"/>
      <c r="F9696" s="121" t="s">
        <v>3009</v>
      </c>
      <c r="G9696" s="98" t="str">
        <f>HYPERLINK("http://mirror.ff7data.com.ar/ff7/data/battle/battle.lgp/qsat.png","View Picture")</f>
        <v>View Picture</v>
      </c>
    </row>
    <row r="9697">
      <c r="A9697" s="55"/>
      <c r="B9697" s="119" t="s">
        <v>42012</v>
      </c>
      <c r="C9697" s="120" t="s">
        <v>9441</v>
      </c>
      <c r="D9697" s="31"/>
      <c r="F9697" s="121" t="s">
        <v>3009</v>
      </c>
      <c r="G9697" s="98" t="str">
        <f>HYPERLINK("http://mirror.ff7data.com.ar/ff7/data/battle/battle.lgp/qsau.png","View Picture")</f>
        <v>View Picture</v>
      </c>
    </row>
    <row r="9698">
      <c r="A9698" s="55"/>
      <c r="B9698" s="119" t="s">
        <v>42013</v>
      </c>
      <c r="C9698" s="120" t="s">
        <v>4185</v>
      </c>
      <c r="D9698" s="31"/>
      <c r="F9698" s="121" t="s">
        <v>3009</v>
      </c>
      <c r="G9698" s="98" t="str">
        <f>HYPERLINK("http://mirror.ff7data.com.ar/ff7/data/battle/battle.lgp/qsav.png","View Picture")</f>
        <v>View Picture</v>
      </c>
    </row>
    <row r="9699">
      <c r="A9699" s="55"/>
      <c r="B9699" s="119" t="s">
        <v>42014</v>
      </c>
      <c r="C9699" s="120" t="s">
        <v>4167</v>
      </c>
      <c r="D9699" s="31"/>
      <c r="F9699" s="121" t="s">
        <v>3009</v>
      </c>
      <c r="G9699" s="98" t="str">
        <f>HYPERLINK("http://mirror.ff7data.com.ar/ff7/data/battle/battle.lgp/qsaw.png","View Picture")</f>
        <v>View Picture</v>
      </c>
    </row>
    <row r="9700">
      <c r="A9700" s="79"/>
      <c r="B9700" s="119" t="s">
        <v>42015</v>
      </c>
      <c r="C9700" s="120" t="s">
        <v>40553</v>
      </c>
      <c r="D9700" s="33" t="s">
        <v>42016</v>
      </c>
      <c r="F9700" s="121" t="s">
        <v>2756</v>
      </c>
      <c r="G9700" s="98" t="str">
        <f>HYPERLINK("http://mirror.ff7data.com.ar/ff7/data/battle/battle.lgp/qtaa.png","View Picture")</f>
        <v>View Picture</v>
      </c>
    </row>
    <row r="9701">
      <c r="A9701" s="55"/>
      <c r="B9701" s="119" t="s">
        <v>42017</v>
      </c>
      <c r="C9701" s="120" t="s">
        <v>40556</v>
      </c>
      <c r="D9701" s="31"/>
      <c r="F9701" s="121" t="s">
        <v>2993</v>
      </c>
    </row>
    <row r="9702">
      <c r="A9702" s="55"/>
      <c r="B9702" s="119" t="s">
        <v>42018</v>
      </c>
      <c r="C9702" s="120" t="s">
        <v>26104</v>
      </c>
      <c r="D9702" s="31"/>
      <c r="F9702" s="121" t="s">
        <v>1348</v>
      </c>
      <c r="G9702" s="98" t="str">
        <f>HYPERLINK("http://mirror.ff7data.com.ar/ff7/data/battle/battle.lgp/qtac.png","View Picture")</f>
        <v>View Picture</v>
      </c>
    </row>
    <row r="9703">
      <c r="A9703" s="55"/>
      <c r="B9703" s="119" t="s">
        <v>42019</v>
      </c>
      <c r="C9703" s="120" t="s">
        <v>26104</v>
      </c>
      <c r="D9703" s="31"/>
      <c r="F9703" s="121" t="s">
        <v>1348</v>
      </c>
      <c r="G9703" s="98" t="str">
        <f>HYPERLINK("http://mirror.ff7data.com.ar/ff7/data/battle/battle.lgp/qtad.png","View Picture")</f>
        <v>View Picture</v>
      </c>
    </row>
    <row r="9704">
      <c r="A9704" s="55"/>
      <c r="B9704" s="119" t="s">
        <v>42020</v>
      </c>
      <c r="C9704" s="120" t="s">
        <v>26095</v>
      </c>
      <c r="D9704" s="31"/>
      <c r="F9704" s="121" t="s">
        <v>1348</v>
      </c>
      <c r="G9704" s="98" t="str">
        <f>HYPERLINK("http://mirror.ff7data.com.ar/ff7/data/battle/battle.lgp/qtae.png","View Picture")</f>
        <v>View Picture</v>
      </c>
    </row>
    <row r="9705">
      <c r="A9705" s="55"/>
      <c r="B9705" s="119" t="s">
        <v>42021</v>
      </c>
      <c r="C9705" s="120" t="s">
        <v>6018</v>
      </c>
      <c r="D9705" s="31"/>
      <c r="F9705" s="121" t="s">
        <v>1348</v>
      </c>
      <c r="G9705" s="98" t="str">
        <f>HYPERLINK("http://mirror.ff7data.com.ar/ff7/data/battle/battle.lgp/qtaf.png","View Picture")</f>
        <v>View Picture</v>
      </c>
    </row>
    <row r="9706">
      <c r="A9706" s="55"/>
      <c r="B9706" s="119" t="s">
        <v>42022</v>
      </c>
      <c r="C9706" s="120" t="s">
        <v>6018</v>
      </c>
      <c r="D9706" s="31"/>
      <c r="F9706" s="121" t="s">
        <v>1348</v>
      </c>
      <c r="G9706" s="98" t="str">
        <f>HYPERLINK("http://mirror.ff7data.com.ar/ff7/data/battle/battle.lgp/qtag.png","View Picture")</f>
        <v>View Picture</v>
      </c>
    </row>
    <row r="9707">
      <c r="A9707" s="55"/>
      <c r="B9707" s="119" t="s">
        <v>42023</v>
      </c>
      <c r="C9707" s="120" t="s">
        <v>6018</v>
      </c>
      <c r="D9707" s="31"/>
      <c r="F9707" s="121" t="s">
        <v>1348</v>
      </c>
      <c r="G9707" s="98" t="str">
        <f>HYPERLINK("http://mirror.ff7data.com.ar/ff7/data/battle/battle.lgp/qtah.png","View Picture")</f>
        <v>View Picture</v>
      </c>
    </row>
    <row r="9708">
      <c r="A9708" s="55"/>
      <c r="B9708" s="119" t="s">
        <v>42024</v>
      </c>
      <c r="C9708" s="120" t="s">
        <v>6018</v>
      </c>
      <c r="D9708" s="31"/>
      <c r="F9708" s="121" t="s">
        <v>1348</v>
      </c>
      <c r="G9708" s="98" t="str">
        <f>HYPERLINK("http://mirror.ff7data.com.ar/ff7/data/battle/battle.lgp/qtai.png","View Picture")</f>
        <v>View Picture</v>
      </c>
    </row>
    <row r="9709">
      <c r="A9709" s="55"/>
      <c r="B9709" s="119" t="s">
        <v>42025</v>
      </c>
      <c r="C9709" s="120" t="s">
        <v>42026</v>
      </c>
      <c r="D9709" s="31"/>
      <c r="F9709" s="121" t="s">
        <v>3009</v>
      </c>
      <c r="G9709" s="98" t="str">
        <f>HYPERLINK("http://mirror.ff7data.com.ar/ff7/data/battle/battle.lgp/qtam.png","View Picture")</f>
        <v>View Picture</v>
      </c>
    </row>
    <row r="9710">
      <c r="A9710" s="55"/>
      <c r="B9710" s="119" t="s">
        <v>42027</v>
      </c>
      <c r="C9710" s="120" t="s">
        <v>3768</v>
      </c>
      <c r="D9710" s="31"/>
      <c r="F9710" s="121" t="s">
        <v>3009</v>
      </c>
      <c r="G9710" s="98" t="str">
        <f>HYPERLINK("http://mirror.ff7data.com.ar/ff7/data/battle/battle.lgp/qtan.png","View Picture")</f>
        <v>View Picture</v>
      </c>
    </row>
    <row r="9711">
      <c r="A9711" s="55"/>
      <c r="B9711" s="119" t="s">
        <v>42028</v>
      </c>
      <c r="C9711" s="120" t="s">
        <v>7270</v>
      </c>
      <c r="D9711" s="31"/>
      <c r="F9711" s="121" t="s">
        <v>3009</v>
      </c>
      <c r="G9711" s="98" t="str">
        <f>HYPERLINK("http://mirror.ff7data.com.ar/ff7/data/battle/battle.lgp/qtao.png","View Picture")</f>
        <v>View Picture</v>
      </c>
    </row>
    <row r="9712">
      <c r="A9712" s="55"/>
      <c r="B9712" s="119" t="s">
        <v>42029</v>
      </c>
      <c r="C9712" s="120" t="s">
        <v>4846</v>
      </c>
      <c r="D9712" s="31"/>
      <c r="F9712" s="121" t="s">
        <v>3009</v>
      </c>
      <c r="G9712" s="98" t="str">
        <f>HYPERLINK("http://mirror.ff7data.com.ar/ff7/data/battle/battle.lgp/qtap.png","View Picture")</f>
        <v>View Picture</v>
      </c>
    </row>
    <row r="9713">
      <c r="A9713" s="55"/>
      <c r="B9713" s="119" t="s">
        <v>42030</v>
      </c>
      <c r="C9713" s="120" t="s">
        <v>5203</v>
      </c>
      <c r="D9713" s="31"/>
      <c r="F9713" s="121" t="s">
        <v>3009</v>
      </c>
      <c r="G9713" s="98" t="str">
        <f>HYPERLINK("http://mirror.ff7data.com.ar/ff7/data/battle/battle.lgp/qtaq.png","View Picture")</f>
        <v>View Picture</v>
      </c>
    </row>
    <row r="9714">
      <c r="A9714" s="55"/>
      <c r="B9714" s="119" t="s">
        <v>42031</v>
      </c>
      <c r="C9714" s="120" t="s">
        <v>8649</v>
      </c>
      <c r="D9714" s="31"/>
      <c r="F9714" s="121" t="s">
        <v>3009</v>
      </c>
      <c r="G9714" s="98" t="str">
        <f>HYPERLINK("http://mirror.ff7data.com.ar/ff7/data/battle/battle.lgp/qtar.png","View Picture")</f>
        <v>View Picture</v>
      </c>
    </row>
    <row r="9715">
      <c r="A9715" s="55"/>
      <c r="B9715" s="119" t="s">
        <v>42032</v>
      </c>
      <c r="C9715" s="120" t="s">
        <v>5859</v>
      </c>
      <c r="D9715" s="31"/>
      <c r="F9715" s="121" t="s">
        <v>3009</v>
      </c>
      <c r="G9715" s="98" t="str">
        <f>HYPERLINK("http://mirror.ff7data.com.ar/ff7/data/battle/battle.lgp/qtas.png","View Picture")</f>
        <v>View Picture</v>
      </c>
    </row>
    <row r="9716">
      <c r="A9716" s="55"/>
      <c r="B9716" s="119" t="s">
        <v>42033</v>
      </c>
      <c r="C9716" s="120" t="s">
        <v>5925</v>
      </c>
      <c r="D9716" s="31"/>
      <c r="F9716" s="121" t="s">
        <v>3009</v>
      </c>
      <c r="G9716" s="98" t="str">
        <f>HYPERLINK("http://mirror.ff7data.com.ar/ff7/data/battle/battle.lgp/qtat.png","View Picture")</f>
        <v>View Picture</v>
      </c>
    </row>
    <row r="9717">
      <c r="A9717" s="55"/>
      <c r="B9717" s="119" t="s">
        <v>42034</v>
      </c>
      <c r="C9717" s="120" t="s">
        <v>3355</v>
      </c>
      <c r="D9717" s="31"/>
      <c r="F9717" s="121" t="s">
        <v>3009</v>
      </c>
      <c r="G9717" s="98" t="str">
        <f>HYPERLINK("http://mirror.ff7data.com.ar/ff7/data/battle/battle.lgp/qtau.png","View Picture")</f>
        <v>View Picture</v>
      </c>
    </row>
    <row r="9718">
      <c r="A9718" s="55"/>
      <c r="B9718" s="119" t="s">
        <v>42035</v>
      </c>
      <c r="C9718" s="120" t="s">
        <v>4252</v>
      </c>
      <c r="D9718" s="31"/>
      <c r="F9718" s="121" t="s">
        <v>3009</v>
      </c>
      <c r="G9718" s="98" t="str">
        <f>HYPERLINK("http://mirror.ff7data.com.ar/ff7/data/battle/battle.lgp/qtav.png","View Picture")</f>
        <v>View Picture</v>
      </c>
    </row>
    <row r="9719">
      <c r="A9719" s="55"/>
      <c r="B9719" s="119" t="s">
        <v>42036</v>
      </c>
      <c r="C9719" s="120" t="s">
        <v>26381</v>
      </c>
      <c r="D9719" s="31"/>
      <c r="F9719" s="121" t="s">
        <v>3009</v>
      </c>
      <c r="G9719" s="98" t="str">
        <f>HYPERLINK("http://mirror.ff7data.com.ar/ff7/data/battle/battle.lgp/qtaw.png","View Picture")</f>
        <v>View Picture</v>
      </c>
    </row>
    <row r="9720">
      <c r="A9720" s="55"/>
      <c r="B9720" s="119" t="s">
        <v>42037</v>
      </c>
      <c r="C9720" s="120" t="s">
        <v>4057</v>
      </c>
      <c r="D9720" s="31"/>
      <c r="F9720" s="121" t="s">
        <v>3009</v>
      </c>
      <c r="G9720" s="98" t="str">
        <f>HYPERLINK("http://mirror.ff7data.com.ar/ff7/data/battle/battle.lgp/qtax.png","View Picture")</f>
        <v>View Picture</v>
      </c>
    </row>
    <row r="9721">
      <c r="A9721" s="79"/>
      <c r="B9721" s="119" t="s">
        <v>42038</v>
      </c>
      <c r="C9721" s="120" t="s">
        <v>40553</v>
      </c>
      <c r="D9721" s="33" t="s">
        <v>42039</v>
      </c>
      <c r="F9721" s="121" t="s">
        <v>2756</v>
      </c>
      <c r="G9721" s="98" t="str">
        <f>HYPERLINK("http://mirror.ff7data.com.ar/ff7/data/battle/battle.lgp/quaa.png","View Picture")</f>
        <v>View Picture</v>
      </c>
    </row>
    <row r="9722">
      <c r="A9722" s="55"/>
      <c r="B9722" s="119" t="s">
        <v>42040</v>
      </c>
      <c r="C9722" s="120" t="s">
        <v>40556</v>
      </c>
      <c r="D9722" s="31"/>
      <c r="F9722" s="121" t="s">
        <v>2993</v>
      </c>
    </row>
    <row r="9723">
      <c r="A9723" s="55"/>
      <c r="B9723" s="119" t="s">
        <v>42041</v>
      </c>
      <c r="C9723" s="120" t="s">
        <v>26104</v>
      </c>
      <c r="D9723" s="31"/>
      <c r="F9723" s="121" t="s">
        <v>1348</v>
      </c>
      <c r="G9723" s="98" t="str">
        <f>HYPERLINK("http://mirror.ff7data.com.ar/ff7/data/battle/battle.lgp/quac.png","View Picture")</f>
        <v>View Picture</v>
      </c>
    </row>
    <row r="9724">
      <c r="A9724" s="55"/>
      <c r="B9724" s="119" t="s">
        <v>42042</v>
      </c>
      <c r="C9724" s="120" t="s">
        <v>26104</v>
      </c>
      <c r="D9724" s="31"/>
      <c r="F9724" s="121" t="s">
        <v>1348</v>
      </c>
      <c r="G9724" s="98" t="str">
        <f>HYPERLINK("http://mirror.ff7data.com.ar/ff7/data/battle/battle.lgp/quad.png","View Picture")</f>
        <v>View Picture</v>
      </c>
    </row>
    <row r="9725">
      <c r="A9725" s="55"/>
      <c r="B9725" s="119" t="s">
        <v>42043</v>
      </c>
      <c r="C9725" s="120" t="s">
        <v>26095</v>
      </c>
      <c r="D9725" s="31"/>
      <c r="F9725" s="121" t="s">
        <v>1348</v>
      </c>
      <c r="G9725" s="98" t="str">
        <f>HYPERLINK("http://mirror.ff7data.com.ar/ff7/data/battle/battle.lgp/quae.png","View Picture")</f>
        <v>View Picture</v>
      </c>
    </row>
    <row r="9726">
      <c r="A9726" s="55"/>
      <c r="B9726" s="119" t="s">
        <v>42044</v>
      </c>
      <c r="C9726" s="120" t="s">
        <v>7471</v>
      </c>
      <c r="D9726" s="31"/>
      <c r="F9726" s="121" t="s">
        <v>1348</v>
      </c>
      <c r="G9726" s="98" t="str">
        <f>HYPERLINK("http://mirror.ff7data.com.ar/ff7/data/battle/battle.lgp/quaf.png","View Picture")</f>
        <v>View Picture</v>
      </c>
    </row>
    <row r="9727">
      <c r="A9727" s="55"/>
      <c r="B9727" s="119" t="s">
        <v>42045</v>
      </c>
      <c r="C9727" s="120" t="s">
        <v>6018</v>
      </c>
      <c r="D9727" s="31"/>
      <c r="F9727" s="121" t="s">
        <v>1348</v>
      </c>
      <c r="G9727" s="98" t="str">
        <f>HYPERLINK("http://mirror.ff7data.com.ar/ff7/data/battle/battle.lgp/quag.png","View Picture")</f>
        <v>View Picture</v>
      </c>
    </row>
    <row r="9728">
      <c r="A9728" s="55"/>
      <c r="B9728" s="119" t="s">
        <v>42046</v>
      </c>
      <c r="C9728" s="120" t="s">
        <v>26095</v>
      </c>
      <c r="D9728" s="31"/>
      <c r="F9728" s="121" t="s">
        <v>1348</v>
      </c>
      <c r="G9728" s="98" t="str">
        <f>HYPERLINK("http://mirror.ff7data.com.ar/ff7/data/battle/battle.lgp/quah.png","View Picture")</f>
        <v>View Picture</v>
      </c>
    </row>
    <row r="9729">
      <c r="A9729" s="55"/>
      <c r="B9729" s="119" t="s">
        <v>42047</v>
      </c>
      <c r="C9729" s="120" t="s">
        <v>7471</v>
      </c>
      <c r="D9729" s="31"/>
      <c r="F9729" s="121" t="s">
        <v>1348</v>
      </c>
      <c r="G9729" s="98" t="str">
        <f>HYPERLINK("http://mirror.ff7data.com.ar/ff7/data/battle/battle.lgp/quai.png","View Picture")</f>
        <v>View Picture</v>
      </c>
    </row>
    <row r="9730">
      <c r="A9730" s="55"/>
      <c r="B9730" s="119" t="s">
        <v>42048</v>
      </c>
      <c r="C9730" s="120" t="s">
        <v>7115</v>
      </c>
      <c r="D9730" s="31"/>
      <c r="F9730" s="121" t="s">
        <v>3009</v>
      </c>
      <c r="G9730" s="98" t="str">
        <f>HYPERLINK("http://mirror.ff7data.com.ar/ff7/data/battle/battle.lgp/quam.png","View Picture")</f>
        <v>View Picture</v>
      </c>
    </row>
    <row r="9731">
      <c r="A9731" s="55"/>
      <c r="B9731" s="119" t="s">
        <v>42049</v>
      </c>
      <c r="C9731" s="120" t="s">
        <v>3768</v>
      </c>
      <c r="D9731" s="31"/>
      <c r="F9731" s="121" t="s">
        <v>3009</v>
      </c>
      <c r="G9731" s="98" t="str">
        <f>HYPERLINK("http://mirror.ff7data.com.ar/ff7/data/battle/battle.lgp/quan.png","View Picture")</f>
        <v>View Picture</v>
      </c>
    </row>
    <row r="9732">
      <c r="A9732" s="55"/>
      <c r="B9732" s="119" t="s">
        <v>42050</v>
      </c>
      <c r="C9732" s="120" t="s">
        <v>3842</v>
      </c>
      <c r="D9732" s="31"/>
      <c r="F9732" s="121" t="s">
        <v>3009</v>
      </c>
      <c r="G9732" s="98" t="str">
        <f>HYPERLINK("http://mirror.ff7data.com.ar/ff7/data/battle/battle.lgp/quao.png","View Picture")</f>
        <v>View Picture</v>
      </c>
    </row>
    <row r="9733">
      <c r="A9733" s="55"/>
      <c r="B9733" s="119" t="s">
        <v>42051</v>
      </c>
      <c r="C9733" s="120" t="s">
        <v>4476</v>
      </c>
      <c r="D9733" s="31"/>
      <c r="F9733" s="121" t="s">
        <v>3009</v>
      </c>
      <c r="G9733" s="98" t="str">
        <f>HYPERLINK("http://mirror.ff7data.com.ar/ff7/data/battle/battle.lgp/quap.png","View Picture")</f>
        <v>View Picture</v>
      </c>
    </row>
    <row r="9734">
      <c r="A9734" s="55"/>
      <c r="B9734" s="119" t="s">
        <v>42052</v>
      </c>
      <c r="C9734" s="120" t="s">
        <v>5419</v>
      </c>
      <c r="D9734" s="31"/>
      <c r="F9734" s="121" t="s">
        <v>3009</v>
      </c>
      <c r="G9734" s="98" t="str">
        <f>HYPERLINK("http://mirror.ff7data.com.ar/ff7/data/battle/battle.lgp/quaq.png","View Picture")</f>
        <v>View Picture</v>
      </c>
    </row>
    <row r="9735">
      <c r="A9735" s="55"/>
      <c r="B9735" s="119" t="s">
        <v>42053</v>
      </c>
      <c r="C9735" s="120" t="s">
        <v>3505</v>
      </c>
      <c r="D9735" s="31"/>
      <c r="F9735" s="121" t="s">
        <v>3009</v>
      </c>
      <c r="G9735" s="98" t="str">
        <f>HYPERLINK("http://mirror.ff7data.com.ar/ff7/data/battle/battle.lgp/quar.png","View Picture")</f>
        <v>View Picture</v>
      </c>
    </row>
    <row r="9736">
      <c r="A9736" s="55"/>
      <c r="B9736" s="119" t="s">
        <v>42054</v>
      </c>
      <c r="C9736" s="120" t="s">
        <v>5419</v>
      </c>
      <c r="D9736" s="31"/>
      <c r="F9736" s="121" t="s">
        <v>3009</v>
      </c>
      <c r="G9736" s="98" t="str">
        <f>HYPERLINK("http://mirror.ff7data.com.ar/ff7/data/battle/battle.lgp/quas.png","View Picture")</f>
        <v>View Picture</v>
      </c>
    </row>
    <row r="9737">
      <c r="A9737" s="55"/>
      <c r="B9737" s="119" t="s">
        <v>42055</v>
      </c>
      <c r="C9737" s="120" t="s">
        <v>4476</v>
      </c>
      <c r="D9737" s="31"/>
      <c r="F9737" s="121" t="s">
        <v>3009</v>
      </c>
      <c r="G9737" s="98" t="str">
        <f>HYPERLINK("http://mirror.ff7data.com.ar/ff7/data/battle/battle.lgp/quat.png","View Picture")</f>
        <v>View Picture</v>
      </c>
    </row>
    <row r="9738">
      <c r="A9738" s="55"/>
      <c r="B9738" s="119" t="s">
        <v>42056</v>
      </c>
      <c r="C9738" s="120" t="s">
        <v>5967</v>
      </c>
      <c r="D9738" s="31"/>
      <c r="F9738" s="121" t="s">
        <v>3009</v>
      </c>
      <c r="G9738" s="98" t="str">
        <f>HYPERLINK("http://mirror.ff7data.com.ar/ff7/data/battle/battle.lgp/quau.png","View Picture")</f>
        <v>View Picture</v>
      </c>
    </row>
    <row r="9739">
      <c r="A9739" s="55"/>
      <c r="B9739" s="119" t="s">
        <v>42057</v>
      </c>
      <c r="C9739" s="120" t="s">
        <v>4372</v>
      </c>
      <c r="D9739" s="31"/>
      <c r="F9739" s="121" t="s">
        <v>3009</v>
      </c>
      <c r="G9739" s="98" t="str">
        <f>HYPERLINK("http://mirror.ff7data.com.ar/ff7/data/battle/battle.lgp/quav.png","View Picture")</f>
        <v>View Picture</v>
      </c>
    </row>
    <row r="9740">
      <c r="A9740" s="55"/>
      <c r="B9740" s="119" t="s">
        <v>42058</v>
      </c>
      <c r="C9740" s="120" t="s">
        <v>3671</v>
      </c>
      <c r="D9740" s="31"/>
      <c r="F9740" s="121" t="s">
        <v>3009</v>
      </c>
      <c r="G9740" s="98" t="str">
        <f>HYPERLINK("http://mirror.ff7data.com.ar/ff7/data/battle/battle.lgp/quaw.png","View Picture")</f>
        <v>View Picture</v>
      </c>
    </row>
    <row r="9741">
      <c r="A9741" s="55"/>
      <c r="B9741" s="119" t="s">
        <v>42059</v>
      </c>
      <c r="C9741" s="120" t="s">
        <v>3658</v>
      </c>
      <c r="D9741" s="31"/>
      <c r="F9741" s="121" t="s">
        <v>3009</v>
      </c>
      <c r="G9741" s="98" t="str">
        <f>HYPERLINK("http://mirror.ff7data.com.ar/ff7/data/battle/battle.lgp/quax.png","View Picture")</f>
        <v>View Picture</v>
      </c>
    </row>
    <row r="9742">
      <c r="A9742" s="79"/>
      <c r="B9742" s="119" t="s">
        <v>42060</v>
      </c>
      <c r="C9742" s="120" t="s">
        <v>40553</v>
      </c>
      <c r="D9742" s="33" t="s">
        <v>42061</v>
      </c>
      <c r="F9742" s="121" t="s">
        <v>2756</v>
      </c>
      <c r="G9742" s="98" t="str">
        <f>HYPERLINK("http://mirror.ff7data.com.ar/ff7/data/battle/battle.lgp/qvaa.png","View Picture")</f>
        <v>View Picture</v>
      </c>
    </row>
    <row r="9743">
      <c r="A9743" s="55"/>
      <c r="B9743" s="119" t="s">
        <v>42062</v>
      </c>
      <c r="C9743" s="120" t="s">
        <v>40556</v>
      </c>
      <c r="D9743" s="31"/>
      <c r="F9743" s="121" t="s">
        <v>2993</v>
      </c>
    </row>
    <row r="9744">
      <c r="A9744" s="55"/>
      <c r="B9744" s="119" t="s">
        <v>42063</v>
      </c>
      <c r="C9744" s="120" t="s">
        <v>26104</v>
      </c>
      <c r="D9744" s="31"/>
      <c r="F9744" s="121" t="s">
        <v>1348</v>
      </c>
      <c r="G9744" s="98" t="str">
        <f>HYPERLINK("http://mirror.ff7data.com.ar/ff7/data/battle/battle.lgp/qvac.png","View Picture")</f>
        <v>View Picture</v>
      </c>
    </row>
    <row r="9745">
      <c r="A9745" s="55"/>
      <c r="B9745" s="119" t="s">
        <v>42064</v>
      </c>
      <c r="C9745" s="120" t="s">
        <v>26104</v>
      </c>
      <c r="D9745" s="31"/>
      <c r="F9745" s="121" t="s">
        <v>1348</v>
      </c>
      <c r="G9745" s="98" t="str">
        <f>HYPERLINK("http://mirror.ff7data.com.ar/ff7/data/battle/battle.lgp/qvad.png","View Picture")</f>
        <v>View Picture</v>
      </c>
    </row>
    <row r="9746">
      <c r="A9746" s="55"/>
      <c r="B9746" s="119" t="s">
        <v>42065</v>
      </c>
      <c r="C9746" s="120" t="s">
        <v>26095</v>
      </c>
      <c r="D9746" s="31"/>
      <c r="F9746" s="121" t="s">
        <v>1348</v>
      </c>
      <c r="G9746" s="98" t="str">
        <f>HYPERLINK("http://mirror.ff7data.com.ar/ff7/data/battle/battle.lgp/qvae.png","View Picture")</f>
        <v>View Picture</v>
      </c>
    </row>
    <row r="9747">
      <c r="A9747" s="55"/>
      <c r="B9747" s="119" t="s">
        <v>42066</v>
      </c>
      <c r="C9747" s="120" t="s">
        <v>6018</v>
      </c>
      <c r="D9747" s="31"/>
      <c r="F9747" s="121" t="s">
        <v>1348</v>
      </c>
      <c r="G9747" s="98" t="str">
        <f>HYPERLINK("http://mirror.ff7data.com.ar/ff7/data/battle/battle.lgp/qvaf.png","View Picture")</f>
        <v>View Picture</v>
      </c>
    </row>
    <row r="9748">
      <c r="A9748" s="55"/>
      <c r="B9748" s="119" t="s">
        <v>42067</v>
      </c>
      <c r="C9748" s="120" t="s">
        <v>6018</v>
      </c>
      <c r="D9748" s="31"/>
      <c r="F9748" s="121" t="s">
        <v>1348</v>
      </c>
      <c r="G9748" s="98" t="str">
        <f>HYPERLINK("http://mirror.ff7data.com.ar/ff7/data/battle/battle.lgp/qvag.png","View Picture")</f>
        <v>View Picture</v>
      </c>
    </row>
    <row r="9749">
      <c r="A9749" s="55"/>
      <c r="B9749" s="119" t="s">
        <v>42068</v>
      </c>
      <c r="C9749" s="120" t="s">
        <v>6018</v>
      </c>
      <c r="D9749" s="31"/>
      <c r="F9749" s="121" t="s">
        <v>1348</v>
      </c>
      <c r="G9749" s="98" t="str">
        <f>HYPERLINK("http://mirror.ff7data.com.ar/ff7/data/battle/battle.lgp/qvah.png","View Picture")</f>
        <v>View Picture</v>
      </c>
    </row>
    <row r="9750">
      <c r="A9750" s="55"/>
      <c r="B9750" s="119" t="s">
        <v>42069</v>
      </c>
      <c r="C9750" s="120" t="s">
        <v>6018</v>
      </c>
      <c r="D9750" s="31"/>
      <c r="F9750" s="121" t="s">
        <v>1348</v>
      </c>
      <c r="G9750" s="98" t="str">
        <f>HYPERLINK("http://mirror.ff7data.com.ar/ff7/data/battle/battle.lgp/qvai.png","View Picture")</f>
        <v>View Picture</v>
      </c>
    </row>
    <row r="9751">
      <c r="A9751" s="55"/>
      <c r="B9751" s="119" t="s">
        <v>42070</v>
      </c>
      <c r="C9751" s="120" t="s">
        <v>6018</v>
      </c>
      <c r="D9751" s="31"/>
      <c r="F9751" s="121" t="s">
        <v>1348</v>
      </c>
      <c r="G9751" s="98" t="str">
        <f>HYPERLINK("http://mirror.ff7data.com.ar/ff7/data/battle/battle.lgp/qvaj.png","View Picture")</f>
        <v>View Picture</v>
      </c>
    </row>
    <row r="9752">
      <c r="A9752" s="55"/>
      <c r="B9752" s="119" t="s">
        <v>42071</v>
      </c>
      <c r="C9752" s="120" t="s">
        <v>11918</v>
      </c>
      <c r="D9752" s="31"/>
      <c r="F9752" s="121" t="s">
        <v>3009</v>
      </c>
      <c r="G9752" s="98" t="str">
        <f>HYPERLINK("http://mirror.ff7data.com.ar/ff7/data/battle/battle.lgp/qvam.png","View Picture")</f>
        <v>View Picture</v>
      </c>
    </row>
    <row r="9753">
      <c r="A9753" s="55"/>
      <c r="B9753" s="119" t="s">
        <v>42072</v>
      </c>
      <c r="C9753" s="120" t="s">
        <v>3768</v>
      </c>
      <c r="D9753" s="31"/>
      <c r="F9753" s="121" t="s">
        <v>3009</v>
      </c>
      <c r="G9753" s="98" t="str">
        <f>HYPERLINK("http://mirror.ff7data.com.ar/ff7/data/battle/battle.lgp/qvan.png","View Picture")</f>
        <v>View Picture</v>
      </c>
    </row>
    <row r="9754">
      <c r="A9754" s="55"/>
      <c r="B9754" s="119" t="s">
        <v>42073</v>
      </c>
      <c r="C9754" s="120" t="s">
        <v>3842</v>
      </c>
      <c r="D9754" s="31"/>
      <c r="F9754" s="121" t="s">
        <v>3009</v>
      </c>
      <c r="G9754" s="98" t="str">
        <f>HYPERLINK("http://mirror.ff7data.com.ar/ff7/data/battle/battle.lgp/qvao.png","View Picture")</f>
        <v>View Picture</v>
      </c>
    </row>
    <row r="9755">
      <c r="A9755" s="55"/>
      <c r="B9755" s="119" t="s">
        <v>42074</v>
      </c>
      <c r="C9755" s="120" t="s">
        <v>4476</v>
      </c>
      <c r="D9755" s="31"/>
      <c r="F9755" s="121" t="s">
        <v>3009</v>
      </c>
      <c r="G9755" s="98" t="str">
        <f>HYPERLINK("http://mirror.ff7data.com.ar/ff7/data/battle/battle.lgp/qvap.png","View Picture")</f>
        <v>View Picture</v>
      </c>
    </row>
    <row r="9756">
      <c r="A9756" s="55"/>
      <c r="B9756" s="119" t="s">
        <v>42075</v>
      </c>
      <c r="C9756" s="120" t="s">
        <v>11962</v>
      </c>
      <c r="D9756" s="31"/>
      <c r="F9756" s="121" t="s">
        <v>3009</v>
      </c>
      <c r="G9756" s="98" t="str">
        <f>HYPERLINK("http://mirror.ff7data.com.ar/ff7/data/battle/battle.lgp/qvaq.png","View Picture")</f>
        <v>View Picture</v>
      </c>
    </row>
    <row r="9757">
      <c r="A9757" s="55"/>
      <c r="B9757" s="119" t="s">
        <v>42076</v>
      </c>
      <c r="C9757" s="120" t="s">
        <v>6010</v>
      </c>
      <c r="D9757" s="31"/>
      <c r="F9757" s="121" t="s">
        <v>3009</v>
      </c>
      <c r="G9757" s="98" t="str">
        <f>HYPERLINK("http://mirror.ff7data.com.ar/ff7/data/battle/battle.lgp/qvar.png","View Picture")</f>
        <v>View Picture</v>
      </c>
    </row>
    <row r="9758">
      <c r="A9758" s="55"/>
      <c r="B9758" s="119" t="s">
        <v>42077</v>
      </c>
      <c r="C9758" s="120" t="s">
        <v>3648</v>
      </c>
      <c r="D9758" s="31"/>
      <c r="F9758" s="121" t="s">
        <v>3009</v>
      </c>
      <c r="G9758" s="98" t="str">
        <f>HYPERLINK("http://mirror.ff7data.com.ar/ff7/data/battle/battle.lgp/qvas.png","View Picture")</f>
        <v>View Picture</v>
      </c>
    </row>
    <row r="9759">
      <c r="A9759" s="55"/>
      <c r="B9759" s="119" t="s">
        <v>42078</v>
      </c>
      <c r="C9759" s="120" t="s">
        <v>7165</v>
      </c>
      <c r="D9759" s="31"/>
      <c r="F9759" s="121" t="s">
        <v>3009</v>
      </c>
      <c r="G9759" s="98" t="str">
        <f>HYPERLINK("http://mirror.ff7data.com.ar/ff7/data/battle/battle.lgp/qvat.png","View Picture")</f>
        <v>View Picture</v>
      </c>
    </row>
    <row r="9760">
      <c r="A9760" s="55"/>
      <c r="B9760" s="119" t="s">
        <v>42079</v>
      </c>
      <c r="C9760" s="120" t="s">
        <v>4217</v>
      </c>
      <c r="D9760" s="31"/>
      <c r="F9760" s="121" t="s">
        <v>3009</v>
      </c>
      <c r="G9760" s="98" t="str">
        <f>HYPERLINK("http://mirror.ff7data.com.ar/ff7/data/battle/battle.lgp/qvau.png","View Picture")</f>
        <v>View Picture</v>
      </c>
    </row>
    <row r="9761">
      <c r="A9761" s="55"/>
      <c r="B9761" s="119" t="s">
        <v>42080</v>
      </c>
      <c r="C9761" s="120" t="s">
        <v>11778</v>
      </c>
      <c r="D9761" s="31"/>
      <c r="F9761" s="121" t="s">
        <v>3009</v>
      </c>
      <c r="G9761" s="98" t="str">
        <f>HYPERLINK("http://mirror.ff7data.com.ar/ff7/data/battle/battle.lgp/qvav.png","View Picture")</f>
        <v>View Picture</v>
      </c>
    </row>
    <row r="9762">
      <c r="A9762" s="55"/>
      <c r="B9762" s="119" t="s">
        <v>42081</v>
      </c>
      <c r="C9762" s="120" t="s">
        <v>7871</v>
      </c>
      <c r="D9762" s="31"/>
      <c r="F9762" s="121" t="s">
        <v>3009</v>
      </c>
      <c r="G9762" s="98" t="str">
        <f>HYPERLINK("http://mirror.ff7data.com.ar/ff7/data/battle/battle.lgp/qvaw.png","View Picture")</f>
        <v>View Picture</v>
      </c>
    </row>
    <row r="9763">
      <c r="A9763" s="55"/>
      <c r="B9763" s="119" t="s">
        <v>42082</v>
      </c>
      <c r="C9763" s="120" t="s">
        <v>4719</v>
      </c>
      <c r="D9763" s="31"/>
      <c r="F9763" s="121" t="s">
        <v>3009</v>
      </c>
      <c r="G9763" s="98" t="str">
        <f>HYPERLINK("http://mirror.ff7data.com.ar/ff7/data/battle/battle.lgp/qvax.png","View Picture")</f>
        <v>View Picture</v>
      </c>
    </row>
    <row r="9764">
      <c r="A9764" s="55"/>
      <c r="B9764" s="119" t="s">
        <v>42083</v>
      </c>
      <c r="C9764" s="120" t="s">
        <v>26336</v>
      </c>
      <c r="D9764" s="31"/>
      <c r="F9764" s="121" t="s">
        <v>3009</v>
      </c>
      <c r="G9764" s="98" t="str">
        <f>HYPERLINK("http://mirror.ff7data.com.ar/ff7/data/battle/battle.lgp/qvay.png","View Picture")</f>
        <v>View Picture</v>
      </c>
    </row>
    <row r="9765">
      <c r="A9765" s="55"/>
      <c r="B9765" s="119" t="s">
        <v>42084</v>
      </c>
      <c r="C9765" s="120" t="s">
        <v>4719</v>
      </c>
      <c r="D9765" s="31"/>
      <c r="F9765" s="121" t="s">
        <v>3009</v>
      </c>
      <c r="G9765" s="98" t="str">
        <f>HYPERLINK("http://mirror.ff7data.com.ar/ff7/data/battle/battle.lgp/qvaz.png","View Picture")</f>
        <v>View Picture</v>
      </c>
    </row>
    <row r="9766">
      <c r="A9766" s="79"/>
      <c r="B9766" s="119" t="s">
        <v>42085</v>
      </c>
      <c r="C9766" s="120" t="s">
        <v>4185</v>
      </c>
      <c r="D9766" s="33" t="s">
        <v>42086</v>
      </c>
      <c r="F9766" s="121" t="s">
        <v>2756</v>
      </c>
      <c r="G9766" s="98" t="str">
        <f>HYPERLINK("http://mirror.ff7data.com.ar/ff7/data/battle/battle.lgp/qvba.png","View Picture")</f>
        <v>View Picture</v>
      </c>
    </row>
    <row r="9767">
      <c r="A9767" s="55"/>
      <c r="B9767" s="119" t="s">
        <v>42087</v>
      </c>
      <c r="C9767" s="120" t="s">
        <v>4476</v>
      </c>
      <c r="D9767" s="31"/>
      <c r="F9767" s="121" t="s">
        <v>2993</v>
      </c>
    </row>
    <row r="9768">
      <c r="A9768" s="55"/>
      <c r="B9768" s="119" t="s">
        <v>42088</v>
      </c>
      <c r="C9768" s="120" t="s">
        <v>4732</v>
      </c>
      <c r="D9768" s="31"/>
      <c r="F9768" s="121" t="s">
        <v>1348</v>
      </c>
      <c r="G9768" s="98" t="str">
        <f>HYPERLINK("http://mirror.ff7data.com.ar/ff7/data/battle/battle.lgp/qvbc.png","View Picture")</f>
        <v>View Picture</v>
      </c>
    </row>
    <row r="9769">
      <c r="A9769" s="55"/>
      <c r="B9769" s="119" t="s">
        <v>42089</v>
      </c>
      <c r="C9769" s="120" t="s">
        <v>4372</v>
      </c>
      <c r="D9769" s="31"/>
      <c r="F9769" s="121" t="s">
        <v>1348</v>
      </c>
      <c r="G9769" s="98" t="str">
        <f>HYPERLINK("http://mirror.ff7data.com.ar/ff7/data/battle/battle.lgp/qvbd.png","View Picture")</f>
        <v>View Picture</v>
      </c>
    </row>
    <row r="9770">
      <c r="A9770" s="55"/>
      <c r="B9770" s="119" t="s">
        <v>42090</v>
      </c>
      <c r="C9770" s="120" t="s">
        <v>4264</v>
      </c>
      <c r="D9770" s="31"/>
      <c r="F9770" s="121" t="s">
        <v>3009</v>
      </c>
      <c r="G9770" s="98" t="str">
        <f>HYPERLINK("http://mirror.ff7data.com.ar/ff7/data/battle/battle.lgp/qvbe.png","View Picture")</f>
        <v>View Picture</v>
      </c>
    </row>
    <row r="9771">
      <c r="A9771" s="55"/>
      <c r="B9771" s="119" t="s">
        <v>42091</v>
      </c>
      <c r="C9771" s="120" t="s">
        <v>28460</v>
      </c>
      <c r="D9771" s="31"/>
      <c r="F9771" s="121" t="s">
        <v>3009</v>
      </c>
      <c r="G9771" s="98" t="str">
        <f>HYPERLINK("http://mirror.ff7data.com.ar/ff7/data/battle/battle.lgp/qvbf.png","View Picture")</f>
        <v>View Picture</v>
      </c>
    </row>
    <row r="9772">
      <c r="A9772" s="79"/>
      <c r="B9772" s="119" t="s">
        <v>42092</v>
      </c>
      <c r="C9772" s="120" t="s">
        <v>40553</v>
      </c>
      <c r="D9772" s="33" t="s">
        <v>42093</v>
      </c>
      <c r="F9772" s="121" t="s">
        <v>2756</v>
      </c>
      <c r="G9772" s="98" t="str">
        <f>HYPERLINK("http://mirror.ff7data.com.ar/ff7/data/battle/battle.lgp/qwaa.png","View Picture")</f>
        <v>View Picture</v>
      </c>
    </row>
    <row r="9773">
      <c r="A9773" s="55"/>
      <c r="B9773" s="119" t="s">
        <v>42094</v>
      </c>
      <c r="C9773" s="120" t="s">
        <v>40556</v>
      </c>
      <c r="D9773" s="31"/>
      <c r="F9773" s="121" t="s">
        <v>2993</v>
      </c>
    </row>
    <row r="9774">
      <c r="A9774" s="55"/>
      <c r="B9774" s="119" t="s">
        <v>42095</v>
      </c>
      <c r="C9774" s="120" t="s">
        <v>26095</v>
      </c>
      <c r="D9774" s="31"/>
      <c r="F9774" s="121" t="s">
        <v>1348</v>
      </c>
      <c r="G9774" s="98" t="str">
        <f>HYPERLINK("http://mirror.ff7data.com.ar/ff7/data/battle/battle.lgp/qwac.png","View Picture")</f>
        <v>View Picture</v>
      </c>
    </row>
    <row r="9775">
      <c r="A9775" s="55"/>
      <c r="B9775" s="119" t="s">
        <v>42096</v>
      </c>
      <c r="C9775" s="120" t="s">
        <v>26095</v>
      </c>
      <c r="D9775" s="31"/>
      <c r="F9775" s="121" t="s">
        <v>1348</v>
      </c>
      <c r="G9775" s="98" t="str">
        <f>HYPERLINK("http://mirror.ff7data.com.ar/ff7/data/battle/battle.lgp/qwad.png","View Picture")</f>
        <v>View Picture</v>
      </c>
    </row>
    <row r="9776">
      <c r="A9776" s="55"/>
      <c r="B9776" s="119" t="s">
        <v>42097</v>
      </c>
      <c r="C9776" s="120" t="s">
        <v>26095</v>
      </c>
      <c r="D9776" s="31"/>
      <c r="F9776" s="121" t="s">
        <v>1348</v>
      </c>
      <c r="G9776" s="98" t="str">
        <f>HYPERLINK("http://mirror.ff7data.com.ar/ff7/data/battle/battle.lgp/qwae.png","View Picture")</f>
        <v>View Picture</v>
      </c>
    </row>
    <row r="9777">
      <c r="A9777" s="55"/>
      <c r="B9777" s="119" t="s">
        <v>42098</v>
      </c>
      <c r="C9777" s="120" t="s">
        <v>6018</v>
      </c>
      <c r="D9777" s="31"/>
      <c r="F9777" s="121" t="s">
        <v>1348</v>
      </c>
      <c r="G9777" s="98" t="str">
        <f>HYPERLINK("http://mirror.ff7data.com.ar/ff7/data/battle/battle.lgp/qwaf.png","View Picture")</f>
        <v>View Picture</v>
      </c>
    </row>
    <row r="9778">
      <c r="A9778" s="55"/>
      <c r="B9778" s="119" t="s">
        <v>42099</v>
      </c>
      <c r="C9778" s="120" t="s">
        <v>6018</v>
      </c>
      <c r="D9778" s="31"/>
      <c r="F9778" s="121" t="s">
        <v>1348</v>
      </c>
      <c r="G9778" s="98" t="str">
        <f>HYPERLINK("http://mirror.ff7data.com.ar/ff7/data/battle/battle.lgp/qwag.png","View Picture")</f>
        <v>View Picture</v>
      </c>
    </row>
    <row r="9779">
      <c r="A9779" s="55"/>
      <c r="B9779" s="119" t="s">
        <v>42100</v>
      </c>
      <c r="C9779" s="120" t="s">
        <v>26104</v>
      </c>
      <c r="D9779" s="31"/>
      <c r="F9779" s="121" t="s">
        <v>1348</v>
      </c>
      <c r="G9779" s="98" t="str">
        <f>HYPERLINK("http://mirror.ff7data.com.ar/ff7/data/battle/battle.lgp/qwah.png","View Picture")</f>
        <v>View Picture</v>
      </c>
    </row>
    <row r="9780">
      <c r="A9780" s="55"/>
      <c r="B9780" s="119" t="s">
        <v>42101</v>
      </c>
      <c r="C9780" s="120" t="s">
        <v>26104</v>
      </c>
      <c r="D9780" s="31"/>
      <c r="F9780" s="121" t="s">
        <v>1348</v>
      </c>
      <c r="G9780" s="98" t="str">
        <f>HYPERLINK("http://mirror.ff7data.com.ar/ff7/data/battle/battle.lgp/qwai.png","View Picture")</f>
        <v>View Picture</v>
      </c>
    </row>
    <row r="9781">
      <c r="A9781" s="55"/>
      <c r="B9781" s="119" t="s">
        <v>42102</v>
      </c>
      <c r="C9781" s="120" t="s">
        <v>3343</v>
      </c>
      <c r="D9781" s="31"/>
      <c r="F9781" s="121" t="s">
        <v>3009</v>
      </c>
      <c r="G9781" s="98" t="str">
        <f>HYPERLINK("http://mirror.ff7data.com.ar/ff7/data/battle/battle.lgp/qwam.png","View Picture")</f>
        <v>View Picture</v>
      </c>
    </row>
    <row r="9782">
      <c r="A9782" s="55"/>
      <c r="B9782" s="119" t="s">
        <v>42103</v>
      </c>
      <c r="C9782" s="120" t="s">
        <v>4846</v>
      </c>
      <c r="D9782" s="31"/>
      <c r="F9782" s="121" t="s">
        <v>3009</v>
      </c>
      <c r="G9782" s="98" t="str">
        <f>HYPERLINK("http://mirror.ff7data.com.ar/ff7/data/battle/battle.lgp/qwan.png","View Picture")</f>
        <v>View Picture</v>
      </c>
    </row>
    <row r="9783">
      <c r="A9783" s="55"/>
      <c r="B9783" s="119" t="s">
        <v>42104</v>
      </c>
      <c r="C9783" s="120" t="s">
        <v>4846</v>
      </c>
      <c r="D9783" s="31"/>
      <c r="F9783" s="121" t="s">
        <v>3009</v>
      </c>
      <c r="G9783" s="98" t="str">
        <f>HYPERLINK("http://mirror.ff7data.com.ar/ff7/data/battle/battle.lgp/qwao.png","View Picture")</f>
        <v>View Picture</v>
      </c>
    </row>
    <row r="9784">
      <c r="A9784" s="55"/>
      <c r="B9784" s="119" t="s">
        <v>42105</v>
      </c>
      <c r="C9784" s="120" t="s">
        <v>4846</v>
      </c>
      <c r="D9784" s="31"/>
      <c r="F9784" s="121" t="s">
        <v>3009</v>
      </c>
      <c r="G9784" s="98" t="str">
        <f>HYPERLINK("http://mirror.ff7data.com.ar/ff7/data/battle/battle.lgp/qwap.png","View Picture")</f>
        <v>View Picture</v>
      </c>
    </row>
    <row r="9785">
      <c r="A9785" s="55"/>
      <c r="B9785" s="119" t="s">
        <v>42106</v>
      </c>
      <c r="C9785" s="120" t="s">
        <v>7871</v>
      </c>
      <c r="D9785" s="31"/>
      <c r="F9785" s="121" t="s">
        <v>3009</v>
      </c>
      <c r="G9785" s="98" t="str">
        <f>HYPERLINK("http://mirror.ff7data.com.ar/ff7/data/battle/battle.lgp/qwaq.png","View Picture")</f>
        <v>View Picture</v>
      </c>
    </row>
    <row r="9786">
      <c r="A9786" s="55"/>
      <c r="B9786" s="119" t="s">
        <v>42107</v>
      </c>
      <c r="C9786" s="120" t="s">
        <v>3671</v>
      </c>
      <c r="D9786" s="31"/>
      <c r="F9786" s="121" t="s">
        <v>3009</v>
      </c>
      <c r="G9786" s="98" t="str">
        <f>HYPERLINK("http://mirror.ff7data.com.ar/ff7/data/battle/battle.lgp/qwar.png","View Picture")</f>
        <v>View Picture</v>
      </c>
    </row>
    <row r="9787">
      <c r="A9787" s="55"/>
      <c r="B9787" s="119" t="s">
        <v>42108</v>
      </c>
      <c r="C9787" s="120" t="s">
        <v>7301</v>
      </c>
      <c r="D9787" s="31"/>
      <c r="F9787" s="121" t="s">
        <v>3009</v>
      </c>
      <c r="G9787" s="98" t="str">
        <f>HYPERLINK("http://mirror.ff7data.com.ar/ff7/data/battle/battle.lgp/qwas.png","View Picture")</f>
        <v>View Picture</v>
      </c>
    </row>
    <row r="9788">
      <c r="A9788" s="55"/>
      <c r="B9788" s="119" t="s">
        <v>42109</v>
      </c>
      <c r="C9788" s="120" t="s">
        <v>5203</v>
      </c>
      <c r="D9788" s="31"/>
      <c r="F9788" s="121" t="s">
        <v>3009</v>
      </c>
      <c r="G9788" s="98" t="str">
        <f>HYPERLINK("http://mirror.ff7data.com.ar/ff7/data/battle/battle.lgp/qwat.png","View Picture")</f>
        <v>View Picture</v>
      </c>
    </row>
    <row r="9789">
      <c r="A9789" s="55"/>
      <c r="B9789" s="119" t="s">
        <v>42110</v>
      </c>
      <c r="C9789" s="120" t="s">
        <v>4396</v>
      </c>
      <c r="D9789" s="31"/>
      <c r="F9789" s="121" t="s">
        <v>3009</v>
      </c>
      <c r="G9789" s="98" t="str">
        <f>HYPERLINK("http://mirror.ff7data.com.ar/ff7/data/battle/battle.lgp/qwau.png","View Picture")</f>
        <v>View Picture</v>
      </c>
    </row>
    <row r="9790">
      <c r="A9790" s="55"/>
      <c r="B9790" s="119" t="s">
        <v>42111</v>
      </c>
      <c r="C9790" s="120" t="s">
        <v>4732</v>
      </c>
      <c r="D9790" s="31"/>
      <c r="F9790" s="121" t="s">
        <v>3009</v>
      </c>
      <c r="G9790" s="98" t="str">
        <f>HYPERLINK("http://mirror.ff7data.com.ar/ff7/data/battle/battle.lgp/qwav.png","View Picture")</f>
        <v>View Picture</v>
      </c>
    </row>
    <row r="9791">
      <c r="A9791" s="55"/>
      <c r="B9791" s="119" t="s">
        <v>42112</v>
      </c>
      <c r="C9791" s="120" t="s">
        <v>7165</v>
      </c>
      <c r="D9791" s="31"/>
      <c r="F9791" s="121" t="s">
        <v>3009</v>
      </c>
      <c r="G9791" s="98" t="str">
        <f>HYPERLINK("http://mirror.ff7data.com.ar/ff7/data/battle/battle.lgp/qwaw.png","View Picture")</f>
        <v>View Picture</v>
      </c>
    </row>
    <row r="9792">
      <c r="A9792" s="55"/>
      <c r="B9792" s="119" t="s">
        <v>42113</v>
      </c>
      <c r="C9792" s="120" t="s">
        <v>7165</v>
      </c>
      <c r="D9792" s="31"/>
      <c r="F9792" s="121" t="s">
        <v>3009</v>
      </c>
      <c r="G9792" s="98" t="str">
        <f>HYPERLINK("http://mirror.ff7data.com.ar/ff7/data/battle/battle.lgp/qwax.png","View Picture")</f>
        <v>View Picture</v>
      </c>
    </row>
    <row r="9793">
      <c r="A9793" s="55"/>
      <c r="B9793" s="119" t="s">
        <v>42114</v>
      </c>
      <c r="C9793" s="120" t="s">
        <v>7301</v>
      </c>
      <c r="D9793" s="31"/>
      <c r="F9793" s="121" t="s">
        <v>3009</v>
      </c>
      <c r="G9793" s="98" t="str">
        <f>HYPERLINK("http://mirror.ff7data.com.ar/ff7/data/battle/battle.lgp/qway.png","View Picture")</f>
        <v>View Picture</v>
      </c>
    </row>
    <row r="9794">
      <c r="A9794" s="55"/>
      <c r="B9794" s="119" t="s">
        <v>42115</v>
      </c>
      <c r="C9794" s="120" t="s">
        <v>7871</v>
      </c>
      <c r="D9794" s="31"/>
      <c r="F9794" s="121" t="s">
        <v>3009</v>
      </c>
      <c r="G9794" s="98" t="str">
        <f>HYPERLINK("http://mirror.ff7data.com.ar/ff7/data/battle/battle.lgp/qwaz.png","View Picture")</f>
        <v>View Picture</v>
      </c>
    </row>
    <row r="9795">
      <c r="A9795" s="55"/>
      <c r="B9795" s="119" t="s">
        <v>42116</v>
      </c>
      <c r="C9795" s="120" t="s">
        <v>4476</v>
      </c>
      <c r="D9795" s="31"/>
      <c r="F9795" s="121" t="s">
        <v>3009</v>
      </c>
      <c r="G9795" s="98" t="str">
        <f>HYPERLINK("http://mirror.ff7data.com.ar/ff7/data/battle/battle.lgp/qwba.png","View Picture")</f>
        <v>View Picture</v>
      </c>
    </row>
    <row r="9796">
      <c r="A9796" s="55"/>
      <c r="B9796" s="119" t="s">
        <v>42117</v>
      </c>
      <c r="C9796" s="120" t="s">
        <v>7165</v>
      </c>
      <c r="D9796" s="31"/>
      <c r="F9796" s="121" t="s">
        <v>3009</v>
      </c>
      <c r="G9796" s="98" t="str">
        <f>HYPERLINK("http://mirror.ff7data.com.ar/ff7/data/battle/battle.lgp/qwbb.png","View Picture")</f>
        <v>View Picture</v>
      </c>
    </row>
    <row r="9797">
      <c r="A9797" s="55"/>
      <c r="B9797" s="119" t="s">
        <v>42118</v>
      </c>
      <c r="C9797" s="120" t="s">
        <v>7165</v>
      </c>
      <c r="D9797" s="31"/>
      <c r="F9797" s="121" t="s">
        <v>3009</v>
      </c>
      <c r="G9797" s="98" t="str">
        <f>HYPERLINK("http://mirror.ff7data.com.ar/ff7/data/battle/battle.lgp/qwbc.png","View Picture")</f>
        <v>View Picture</v>
      </c>
    </row>
    <row r="9798">
      <c r="A9798" s="55"/>
      <c r="B9798" s="119" t="s">
        <v>42119</v>
      </c>
      <c r="C9798" s="120" t="s">
        <v>4732</v>
      </c>
      <c r="D9798" s="31"/>
      <c r="F9798" s="121" t="s">
        <v>3009</v>
      </c>
      <c r="G9798" s="98" t="str">
        <f>HYPERLINK("http://mirror.ff7data.com.ar/ff7/data/battle/battle.lgp/qwbd.png","View Picture")</f>
        <v>View Picture</v>
      </c>
    </row>
    <row r="9799">
      <c r="A9799" s="55"/>
      <c r="B9799" s="119" t="s">
        <v>42120</v>
      </c>
      <c r="C9799" s="120" t="s">
        <v>26336</v>
      </c>
      <c r="D9799" s="31"/>
      <c r="F9799" s="121" t="s">
        <v>3009</v>
      </c>
      <c r="G9799" s="98" t="str">
        <f>HYPERLINK("http://mirror.ff7data.com.ar/ff7/data/battle/battle.lgp/qwbe.png","View Picture")</f>
        <v>View Picture</v>
      </c>
    </row>
    <row r="9800">
      <c r="A9800" s="55"/>
      <c r="B9800" s="119" t="s">
        <v>42121</v>
      </c>
      <c r="C9800" s="120" t="s">
        <v>26336</v>
      </c>
      <c r="D9800" s="31"/>
      <c r="F9800" s="121" t="s">
        <v>3009</v>
      </c>
      <c r="G9800" s="98" t="str">
        <f>HYPERLINK("http://mirror.ff7data.com.ar/ff7/data/battle/battle.lgp/qwbf.png","View Picture")</f>
        <v>View Picture</v>
      </c>
    </row>
    <row r="9801">
      <c r="A9801" s="55"/>
      <c r="B9801" s="119" t="s">
        <v>42122</v>
      </c>
      <c r="C9801" s="120" t="s">
        <v>3481</v>
      </c>
      <c r="D9801" s="31"/>
      <c r="F9801" s="121" t="s">
        <v>3009</v>
      </c>
      <c r="G9801" s="98" t="str">
        <f>HYPERLINK("http://mirror.ff7data.com.ar/ff7/data/battle/battle.lgp/qwbg.png","View Picture")</f>
        <v>View Picture</v>
      </c>
    </row>
    <row r="9802">
      <c r="A9802" s="55"/>
      <c r="B9802" s="119" t="s">
        <v>42123</v>
      </c>
      <c r="C9802" s="120" t="s">
        <v>7871</v>
      </c>
      <c r="D9802" s="31"/>
      <c r="F9802" s="121" t="s">
        <v>3009</v>
      </c>
      <c r="G9802" s="98" t="str">
        <f>HYPERLINK("http://mirror.ff7data.com.ar/ff7/data/battle/battle.lgp/qwbh.png","View Picture")</f>
        <v>View Picture</v>
      </c>
    </row>
    <row r="9803">
      <c r="A9803" s="79"/>
      <c r="B9803" s="119" t="s">
        <v>42124</v>
      </c>
      <c r="C9803" s="120" t="s">
        <v>40553</v>
      </c>
      <c r="D9803" s="33" t="s">
        <v>42125</v>
      </c>
      <c r="F9803" s="121" t="s">
        <v>2756</v>
      </c>
      <c r="G9803" s="98" t="str">
        <f>HYPERLINK("http://mirror.ff7data.com.ar/ff7/data/battle/battle.lgp/qxaa.png","View Picture")</f>
        <v>View Picture</v>
      </c>
    </row>
    <row r="9804">
      <c r="A9804" s="55"/>
      <c r="B9804" s="119" t="s">
        <v>42126</v>
      </c>
      <c r="C9804" s="120" t="s">
        <v>40556</v>
      </c>
      <c r="D9804" s="31"/>
      <c r="F9804" s="121" t="s">
        <v>2993</v>
      </c>
    </row>
    <row r="9805">
      <c r="A9805" s="55"/>
      <c r="B9805" s="119" t="s">
        <v>42127</v>
      </c>
      <c r="C9805" s="120" t="s">
        <v>26095</v>
      </c>
      <c r="D9805" s="31"/>
      <c r="F9805" s="121" t="s">
        <v>1348</v>
      </c>
      <c r="G9805" s="98" t="str">
        <f>HYPERLINK("http://mirror.ff7data.com.ar/ff7/data/battle/battle.lgp/qxac.png","View Picture")</f>
        <v>View Picture</v>
      </c>
    </row>
    <row r="9806">
      <c r="A9806" s="55"/>
      <c r="B9806" s="119" t="s">
        <v>42128</v>
      </c>
      <c r="C9806" s="120" t="s">
        <v>26095</v>
      </c>
      <c r="D9806" s="31"/>
      <c r="F9806" s="121" t="s">
        <v>1348</v>
      </c>
      <c r="G9806" s="98" t="str">
        <f>HYPERLINK("http://mirror.ff7data.com.ar/ff7/data/battle/battle.lgp/qxad.png","View Picture")</f>
        <v>View Picture</v>
      </c>
    </row>
    <row r="9807">
      <c r="A9807" s="55"/>
      <c r="B9807" s="119" t="s">
        <v>42129</v>
      </c>
      <c r="C9807" s="120" t="s">
        <v>6018</v>
      </c>
      <c r="D9807" s="31"/>
      <c r="F9807" s="121" t="s">
        <v>1348</v>
      </c>
      <c r="G9807" s="98" t="str">
        <f>HYPERLINK("http://mirror.ff7data.com.ar/ff7/data/battle/battle.lgp/qxae.png","View Picture")</f>
        <v>View Picture</v>
      </c>
    </row>
    <row r="9808">
      <c r="A9808" s="55"/>
      <c r="B9808" s="119" t="s">
        <v>42130</v>
      </c>
      <c r="C9808" s="120" t="s">
        <v>26104</v>
      </c>
      <c r="D9808" s="31"/>
      <c r="F9808" s="121" t="s">
        <v>1348</v>
      </c>
      <c r="G9808" s="98" t="str">
        <f>HYPERLINK("http://mirror.ff7data.com.ar/ff7/data/battle/battle.lgp/qxaf.png","View Picture")</f>
        <v>View Picture</v>
      </c>
    </row>
    <row r="9809">
      <c r="A9809" s="55"/>
      <c r="B9809" s="119" t="s">
        <v>42131</v>
      </c>
      <c r="C9809" s="120" t="s">
        <v>26104</v>
      </c>
      <c r="D9809" s="31"/>
      <c r="F9809" s="121" t="s">
        <v>1348</v>
      </c>
      <c r="G9809" s="98" t="str">
        <f>HYPERLINK("http://mirror.ff7data.com.ar/ff7/data/battle/battle.lgp/qxag.png","View Picture")</f>
        <v>View Picture</v>
      </c>
    </row>
    <row r="9810">
      <c r="A9810" s="55"/>
      <c r="B9810" s="119" t="s">
        <v>42132</v>
      </c>
      <c r="C9810" s="120" t="s">
        <v>6018</v>
      </c>
      <c r="D9810" s="31"/>
      <c r="F9810" s="121" t="s">
        <v>1348</v>
      </c>
      <c r="G9810" s="98" t="str">
        <f>HYPERLINK("http://mirror.ff7data.com.ar/ff7/data/battle/battle.lgp/qxah.png","View Picture")</f>
        <v>View Picture</v>
      </c>
    </row>
    <row r="9811">
      <c r="A9811" s="55"/>
      <c r="B9811" s="119" t="s">
        <v>42133</v>
      </c>
      <c r="C9811" s="120" t="s">
        <v>26095</v>
      </c>
      <c r="D9811" s="31"/>
      <c r="F9811" s="121" t="s">
        <v>1348</v>
      </c>
      <c r="G9811" s="98" t="str">
        <f>HYPERLINK("http://mirror.ff7data.com.ar/ff7/data/battle/battle.lgp/qxai.png","View Picture")</f>
        <v>View Picture</v>
      </c>
    </row>
    <row r="9812">
      <c r="A9812" s="55"/>
      <c r="B9812" s="119" t="s">
        <v>42134</v>
      </c>
      <c r="C9812" s="120" t="s">
        <v>5203</v>
      </c>
      <c r="D9812" s="31"/>
      <c r="F9812" s="121" t="s">
        <v>3009</v>
      </c>
      <c r="G9812" s="98" t="str">
        <f>HYPERLINK("http://mirror.ff7data.com.ar/ff7/data/battle/battle.lgp/qxam.png","View Picture")</f>
        <v>View Picture</v>
      </c>
    </row>
    <row r="9813">
      <c r="A9813" s="55"/>
      <c r="B9813" s="119" t="s">
        <v>42135</v>
      </c>
      <c r="C9813" s="120" t="s">
        <v>4846</v>
      </c>
      <c r="D9813" s="31"/>
      <c r="F9813" s="121" t="s">
        <v>3009</v>
      </c>
      <c r="G9813" s="98" t="str">
        <f>HYPERLINK("http://mirror.ff7data.com.ar/ff7/data/battle/battle.lgp/qxan.png","View Picture")</f>
        <v>View Picture</v>
      </c>
    </row>
    <row r="9814">
      <c r="A9814" s="55"/>
      <c r="B9814" s="119" t="s">
        <v>42136</v>
      </c>
      <c r="C9814" s="120" t="s">
        <v>4846</v>
      </c>
      <c r="D9814" s="31"/>
      <c r="F9814" s="121" t="s">
        <v>3009</v>
      </c>
      <c r="G9814" s="98" t="str">
        <f>HYPERLINK("http://mirror.ff7data.com.ar/ff7/data/battle/battle.lgp/qxao.png","View Picture")</f>
        <v>View Picture</v>
      </c>
    </row>
    <row r="9815">
      <c r="A9815" s="55"/>
      <c r="B9815" s="119" t="s">
        <v>42137</v>
      </c>
      <c r="C9815" s="120" t="s">
        <v>4846</v>
      </c>
      <c r="D9815" s="31"/>
      <c r="F9815" s="121" t="s">
        <v>3009</v>
      </c>
      <c r="G9815" s="98" t="str">
        <f>HYPERLINK("http://mirror.ff7data.com.ar/ff7/data/battle/battle.lgp/qxap.png","View Picture")</f>
        <v>View Picture</v>
      </c>
    </row>
    <row r="9816">
      <c r="A9816" s="55"/>
      <c r="B9816" s="119" t="s">
        <v>42138</v>
      </c>
      <c r="C9816" s="120" t="s">
        <v>4396</v>
      </c>
      <c r="D9816" s="31"/>
      <c r="F9816" s="121" t="s">
        <v>3009</v>
      </c>
      <c r="G9816" s="98" t="str">
        <f>HYPERLINK("http://mirror.ff7data.com.ar/ff7/data/battle/battle.lgp/qxaq.png","View Picture")</f>
        <v>View Picture</v>
      </c>
    </row>
    <row r="9817">
      <c r="A9817" s="55"/>
      <c r="B9817" s="119" t="s">
        <v>42139</v>
      </c>
      <c r="C9817" s="120" t="s">
        <v>10078</v>
      </c>
      <c r="D9817" s="31"/>
      <c r="F9817" s="121" t="s">
        <v>3009</v>
      </c>
      <c r="G9817" s="98" t="str">
        <f>HYPERLINK("http://mirror.ff7data.com.ar/ff7/data/battle/battle.lgp/qxar.png","View Picture")</f>
        <v>View Picture</v>
      </c>
    </row>
    <row r="9818">
      <c r="A9818" s="55"/>
      <c r="B9818" s="119" t="s">
        <v>42140</v>
      </c>
      <c r="C9818" s="120" t="s">
        <v>3749</v>
      </c>
      <c r="D9818" s="31"/>
      <c r="F9818" s="121" t="s">
        <v>3009</v>
      </c>
      <c r="G9818" s="98" t="str">
        <f>HYPERLINK("http://mirror.ff7data.com.ar/ff7/data/battle/battle.lgp/qxas.png","View Picture")</f>
        <v>View Picture</v>
      </c>
    </row>
    <row r="9819">
      <c r="A9819" s="55"/>
      <c r="B9819" s="119" t="s">
        <v>42141</v>
      </c>
      <c r="C9819" s="120" t="s">
        <v>3671</v>
      </c>
      <c r="D9819" s="31"/>
      <c r="F9819" s="121" t="s">
        <v>3009</v>
      </c>
      <c r="G9819" s="98" t="str">
        <f>HYPERLINK("http://mirror.ff7data.com.ar/ff7/data/battle/battle.lgp/qxat.png","View Picture")</f>
        <v>View Picture</v>
      </c>
    </row>
    <row r="9820">
      <c r="A9820" s="55"/>
      <c r="B9820" s="119" t="s">
        <v>42142</v>
      </c>
      <c r="C9820" s="120" t="s">
        <v>3343</v>
      </c>
      <c r="D9820" s="31"/>
      <c r="F9820" s="121" t="s">
        <v>3009</v>
      </c>
      <c r="G9820" s="98" t="str">
        <f>HYPERLINK("http://mirror.ff7data.com.ar/ff7/data/battle/battle.lgp/qxau.png","View Picture")</f>
        <v>View Picture</v>
      </c>
    </row>
    <row r="9821">
      <c r="A9821" s="55"/>
      <c r="B9821" s="119" t="s">
        <v>42143</v>
      </c>
      <c r="C9821" s="120" t="s">
        <v>4476</v>
      </c>
      <c r="D9821" s="31"/>
      <c r="F9821" s="121" t="s">
        <v>3009</v>
      </c>
      <c r="G9821" s="98" t="str">
        <f>HYPERLINK("http://mirror.ff7data.com.ar/ff7/data/battle/battle.lgp/qxav.png","View Picture")</f>
        <v>View Picture</v>
      </c>
    </row>
    <row r="9822">
      <c r="A9822" s="55"/>
      <c r="B9822" s="119" t="s">
        <v>42144</v>
      </c>
      <c r="C9822" s="120" t="s">
        <v>7165</v>
      </c>
      <c r="D9822" s="31"/>
      <c r="F9822" s="121" t="s">
        <v>3009</v>
      </c>
      <c r="G9822" s="98" t="str">
        <f>HYPERLINK("http://mirror.ff7data.com.ar/ff7/data/battle/battle.lgp/qxaw.png","View Picture")</f>
        <v>View Picture</v>
      </c>
    </row>
    <row r="9823">
      <c r="A9823" s="55"/>
      <c r="B9823" s="119" t="s">
        <v>42145</v>
      </c>
      <c r="C9823" s="120" t="s">
        <v>7165</v>
      </c>
      <c r="D9823" s="31"/>
      <c r="F9823" s="121" t="s">
        <v>3009</v>
      </c>
      <c r="G9823" s="98" t="str">
        <f>HYPERLINK("http://mirror.ff7data.com.ar/ff7/data/battle/battle.lgp/qxax.png","View Picture")</f>
        <v>View Picture</v>
      </c>
    </row>
    <row r="9824">
      <c r="A9824" s="55"/>
      <c r="B9824" s="119" t="s">
        <v>42146</v>
      </c>
      <c r="C9824" s="120" t="s">
        <v>7301</v>
      </c>
      <c r="D9824" s="31"/>
      <c r="F9824" s="121" t="s">
        <v>3009</v>
      </c>
      <c r="G9824" s="98" t="str">
        <f>HYPERLINK("http://mirror.ff7data.com.ar/ff7/data/battle/battle.lgp/qxay.png","View Picture")</f>
        <v>View Picture</v>
      </c>
    </row>
    <row r="9825">
      <c r="A9825" s="55"/>
      <c r="B9825" s="119" t="s">
        <v>42147</v>
      </c>
      <c r="C9825" s="120" t="s">
        <v>7871</v>
      </c>
      <c r="D9825" s="31"/>
      <c r="F9825" s="121" t="s">
        <v>3009</v>
      </c>
      <c r="G9825" s="98" t="str">
        <f>HYPERLINK("http://mirror.ff7data.com.ar/ff7/data/battle/battle.lgp/qxaz.png","View Picture")</f>
        <v>View Picture</v>
      </c>
    </row>
    <row r="9826">
      <c r="A9826" s="55"/>
      <c r="B9826" s="119" t="s">
        <v>42148</v>
      </c>
      <c r="C9826" s="120" t="s">
        <v>7165</v>
      </c>
      <c r="D9826" s="31"/>
      <c r="F9826" s="121" t="s">
        <v>3009</v>
      </c>
      <c r="G9826" s="98" t="str">
        <f>HYPERLINK("http://mirror.ff7data.com.ar/ff7/data/battle/battle.lgp/qxba.png","View Picture")</f>
        <v>View Picture</v>
      </c>
    </row>
    <row r="9827">
      <c r="A9827" s="55"/>
      <c r="B9827" s="119" t="s">
        <v>42149</v>
      </c>
      <c r="C9827" s="120" t="s">
        <v>7165</v>
      </c>
      <c r="D9827" s="31"/>
      <c r="F9827" s="121" t="s">
        <v>3009</v>
      </c>
      <c r="G9827" s="98" t="str">
        <f>HYPERLINK("http://mirror.ff7data.com.ar/ff7/data/battle/battle.lgp/qxbb.png","View Picture")</f>
        <v>View Picture</v>
      </c>
    </row>
    <row r="9828">
      <c r="A9828" s="55"/>
      <c r="B9828" s="119" t="s">
        <v>42150</v>
      </c>
      <c r="C9828" s="120" t="s">
        <v>4439</v>
      </c>
      <c r="D9828" s="31"/>
      <c r="F9828" s="121" t="s">
        <v>3009</v>
      </c>
      <c r="G9828" s="98" t="str">
        <f>HYPERLINK("http://mirror.ff7data.com.ar/ff7/data/battle/battle.lgp/qxbc.png","View Picture")</f>
        <v>View Picture</v>
      </c>
    </row>
    <row r="9829">
      <c r="A9829" s="55"/>
      <c r="B9829" s="119" t="s">
        <v>42151</v>
      </c>
      <c r="C9829" s="120" t="s">
        <v>26336</v>
      </c>
      <c r="D9829" s="31"/>
      <c r="F9829" s="121" t="s">
        <v>3009</v>
      </c>
      <c r="G9829" s="98" t="str">
        <f>HYPERLINK("http://mirror.ff7data.com.ar/ff7/data/battle/battle.lgp/qxbd.png","View Picture")</f>
        <v>View Picture</v>
      </c>
    </row>
    <row r="9830">
      <c r="A9830" s="55"/>
      <c r="B9830" s="119" t="s">
        <v>42152</v>
      </c>
      <c r="C9830" s="120" t="s">
        <v>26336</v>
      </c>
      <c r="D9830" s="31"/>
      <c r="F9830" s="121" t="s">
        <v>3009</v>
      </c>
      <c r="G9830" s="98" t="str">
        <f>HYPERLINK("http://mirror.ff7data.com.ar/ff7/data/battle/battle.lgp/qxbe.png","View Picture")</f>
        <v>View Picture</v>
      </c>
    </row>
    <row r="9831">
      <c r="A9831" s="55"/>
      <c r="B9831" s="119" t="s">
        <v>42153</v>
      </c>
      <c r="C9831" s="120" t="s">
        <v>5203</v>
      </c>
      <c r="D9831" s="31"/>
      <c r="F9831" s="121" t="s">
        <v>3009</v>
      </c>
      <c r="G9831" s="98" t="str">
        <f>HYPERLINK("http://mirror.ff7data.com.ar/ff7/data/battle/battle.lgp/qxbf.png","View Picture")</f>
        <v>View Picture</v>
      </c>
    </row>
    <row r="9832">
      <c r="A9832" s="55"/>
      <c r="B9832" s="119" t="s">
        <v>42154</v>
      </c>
      <c r="C9832" s="120" t="s">
        <v>3343</v>
      </c>
      <c r="D9832" s="31"/>
      <c r="F9832" s="121" t="s">
        <v>3009</v>
      </c>
      <c r="G9832" s="98" t="str">
        <f>HYPERLINK("http://mirror.ff7data.com.ar/ff7/data/battle/battle.lgp/qxbg.png","View Picture")</f>
        <v>View Picture</v>
      </c>
    </row>
    <row r="9833">
      <c r="A9833" s="79"/>
      <c r="B9833" s="119" t="s">
        <v>42155</v>
      </c>
      <c r="C9833" s="120" t="s">
        <v>40553</v>
      </c>
      <c r="D9833" s="33" t="s">
        <v>42156</v>
      </c>
      <c r="F9833" s="121" t="s">
        <v>2756</v>
      </c>
      <c r="G9833" s="98" t="str">
        <f>HYPERLINK("http://mirror.ff7data.com.ar/ff7/data/battle/battle.lgp/qyaa.png","View Picture")</f>
        <v>View Picture</v>
      </c>
    </row>
    <row r="9834">
      <c r="A9834" s="55"/>
      <c r="B9834" s="119" t="s">
        <v>42157</v>
      </c>
      <c r="C9834" s="120" t="s">
        <v>40556</v>
      </c>
      <c r="D9834" s="31"/>
      <c r="F9834" s="121" t="s">
        <v>2993</v>
      </c>
    </row>
    <row r="9835">
      <c r="A9835" s="55"/>
      <c r="B9835" s="119" t="s">
        <v>42158</v>
      </c>
      <c r="C9835" s="120" t="s">
        <v>5203</v>
      </c>
      <c r="D9835" s="31"/>
      <c r="F9835" s="121" t="s">
        <v>1348</v>
      </c>
      <c r="G9835" s="98" t="str">
        <f>HYPERLINK("http://mirror.ff7data.com.ar/ff7/data/battle/battle.lgp/qyac.png","View Picture")</f>
        <v>View Picture</v>
      </c>
    </row>
    <row r="9836">
      <c r="A9836" s="55"/>
      <c r="B9836" s="119" t="s">
        <v>42159</v>
      </c>
      <c r="C9836" s="120" t="s">
        <v>26104</v>
      </c>
      <c r="D9836" s="31"/>
      <c r="F9836" s="121" t="s">
        <v>1348</v>
      </c>
      <c r="G9836" s="98" t="str">
        <f>HYPERLINK("http://mirror.ff7data.com.ar/ff7/data/battle/battle.lgp/qyad.png","View Picture")</f>
        <v>View Picture</v>
      </c>
    </row>
    <row r="9837">
      <c r="A9837" s="55"/>
      <c r="B9837" s="119" t="s">
        <v>42160</v>
      </c>
      <c r="C9837" s="120" t="s">
        <v>26095</v>
      </c>
      <c r="D9837" s="31"/>
      <c r="F9837" s="121" t="s">
        <v>1348</v>
      </c>
      <c r="G9837" s="98" t="str">
        <f>HYPERLINK("http://mirror.ff7data.com.ar/ff7/data/battle/battle.lgp/qyae.png","View Picture")</f>
        <v>View Picture</v>
      </c>
    </row>
    <row r="9838">
      <c r="A9838" s="55"/>
      <c r="B9838" s="119" t="s">
        <v>42161</v>
      </c>
      <c r="C9838" s="120" t="s">
        <v>7471</v>
      </c>
      <c r="D9838" s="31"/>
      <c r="F9838" s="121" t="s">
        <v>1348</v>
      </c>
      <c r="G9838" s="98" t="str">
        <f>HYPERLINK("http://mirror.ff7data.com.ar/ff7/data/battle/battle.lgp/qyaf.png","View Picture")</f>
        <v>View Picture</v>
      </c>
    </row>
    <row r="9839">
      <c r="A9839" s="55"/>
      <c r="B9839" s="119" t="s">
        <v>42162</v>
      </c>
      <c r="C9839" s="120" t="s">
        <v>6018</v>
      </c>
      <c r="D9839" s="31"/>
      <c r="F9839" s="121" t="s">
        <v>1348</v>
      </c>
      <c r="G9839" s="98" t="str">
        <f>HYPERLINK("http://mirror.ff7data.com.ar/ff7/data/battle/battle.lgp/qyag.png","View Picture")</f>
        <v>View Picture</v>
      </c>
    </row>
    <row r="9840">
      <c r="A9840" s="55"/>
      <c r="B9840" s="119" t="s">
        <v>42163</v>
      </c>
      <c r="C9840" s="120" t="s">
        <v>6018</v>
      </c>
      <c r="D9840" s="31"/>
      <c r="F9840" s="121" t="s">
        <v>1348</v>
      </c>
      <c r="G9840" s="98" t="str">
        <f>HYPERLINK("http://mirror.ff7data.com.ar/ff7/data/battle/battle.lgp/qyah.png","View Picture")</f>
        <v>View Picture</v>
      </c>
    </row>
    <row r="9841">
      <c r="A9841" s="55"/>
      <c r="B9841" s="119" t="s">
        <v>42164</v>
      </c>
      <c r="C9841" s="120" t="s">
        <v>3465</v>
      </c>
      <c r="D9841" s="31"/>
      <c r="F9841" s="121" t="s">
        <v>3009</v>
      </c>
      <c r="G9841" s="98" t="str">
        <f>HYPERLINK("http://mirror.ff7data.com.ar/ff7/data/battle/battle.lgp/qyam.png","View Picture")</f>
        <v>View Picture</v>
      </c>
    </row>
    <row r="9842">
      <c r="A9842" s="55"/>
      <c r="B9842" s="119" t="s">
        <v>42165</v>
      </c>
      <c r="C9842" s="120" t="s">
        <v>4846</v>
      </c>
      <c r="D9842" s="31"/>
      <c r="F9842" s="121" t="s">
        <v>3009</v>
      </c>
      <c r="G9842" s="98" t="str">
        <f>HYPERLINK("http://mirror.ff7data.com.ar/ff7/data/battle/battle.lgp/qyan.png","View Picture")</f>
        <v>View Picture</v>
      </c>
    </row>
    <row r="9843">
      <c r="A9843" s="55"/>
      <c r="B9843" s="119" t="s">
        <v>42166</v>
      </c>
      <c r="C9843" s="120" t="s">
        <v>7270</v>
      </c>
      <c r="D9843" s="31"/>
      <c r="F9843" s="121" t="s">
        <v>3009</v>
      </c>
      <c r="G9843" s="98" t="str">
        <f>HYPERLINK("http://mirror.ff7data.com.ar/ff7/data/battle/battle.lgp/qyao.png","View Picture")</f>
        <v>View Picture</v>
      </c>
    </row>
    <row r="9844">
      <c r="A9844" s="55"/>
      <c r="B9844" s="119" t="s">
        <v>42167</v>
      </c>
      <c r="C9844" s="120" t="s">
        <v>7270</v>
      </c>
      <c r="D9844" s="31"/>
      <c r="F9844" s="121" t="s">
        <v>3009</v>
      </c>
      <c r="G9844" s="98" t="str">
        <f>HYPERLINK("http://mirror.ff7data.com.ar/ff7/data/battle/battle.lgp/qyap.png","View Picture")</f>
        <v>View Picture</v>
      </c>
    </row>
    <row r="9845">
      <c r="A9845" s="55"/>
      <c r="B9845" s="119" t="s">
        <v>42168</v>
      </c>
      <c r="C9845" s="120" t="s">
        <v>26120</v>
      </c>
      <c r="D9845" s="31"/>
      <c r="F9845" s="121" t="s">
        <v>3009</v>
      </c>
      <c r="G9845" s="98" t="str">
        <f>HYPERLINK("http://mirror.ff7data.com.ar/ff7/data/battle/battle.lgp/qyaq.png","View Picture")</f>
        <v>View Picture</v>
      </c>
    </row>
    <row r="9846">
      <c r="A9846" s="55"/>
      <c r="B9846" s="119" t="s">
        <v>42169</v>
      </c>
      <c r="C9846" s="120" t="s">
        <v>4372</v>
      </c>
      <c r="D9846" s="31"/>
      <c r="F9846" s="121" t="s">
        <v>3009</v>
      </c>
      <c r="G9846" s="98" t="str">
        <f>HYPERLINK("http://mirror.ff7data.com.ar/ff7/data/battle/battle.lgp/qyar.png","View Picture")</f>
        <v>View Picture</v>
      </c>
    </row>
    <row r="9847">
      <c r="A9847" s="55"/>
      <c r="B9847" s="119" t="s">
        <v>42170</v>
      </c>
      <c r="C9847" s="120" t="s">
        <v>5419</v>
      </c>
      <c r="D9847" s="31"/>
      <c r="F9847" s="121" t="s">
        <v>3009</v>
      </c>
      <c r="G9847" s="98" t="str">
        <f>HYPERLINK("http://mirror.ff7data.com.ar/ff7/data/battle/battle.lgp/qyas.png","View Picture")</f>
        <v>View Picture</v>
      </c>
    </row>
    <row r="9848">
      <c r="A9848" s="55"/>
      <c r="B9848" s="119" t="s">
        <v>42171</v>
      </c>
      <c r="C9848" s="120" t="s">
        <v>3842</v>
      </c>
      <c r="D9848" s="31"/>
      <c r="F9848" s="121" t="s">
        <v>3009</v>
      </c>
      <c r="G9848" s="98" t="str">
        <f>HYPERLINK("http://mirror.ff7data.com.ar/ff7/data/battle/battle.lgp/qyat.png","View Picture")</f>
        <v>View Picture</v>
      </c>
    </row>
    <row r="9849">
      <c r="A9849" s="55"/>
      <c r="B9849" s="119" t="s">
        <v>42172</v>
      </c>
      <c r="C9849" s="120" t="s">
        <v>6029</v>
      </c>
      <c r="D9849" s="31"/>
      <c r="F9849" s="121" t="s">
        <v>3009</v>
      </c>
      <c r="G9849" s="98" t="str">
        <f>HYPERLINK("http://mirror.ff7data.com.ar/ff7/data/battle/battle.lgp/qyau.png","View Picture")</f>
        <v>View Picture</v>
      </c>
    </row>
    <row r="9850">
      <c r="A9850" s="55"/>
      <c r="B9850" s="119" t="s">
        <v>42173</v>
      </c>
      <c r="C9850" s="120" t="s">
        <v>3648</v>
      </c>
      <c r="D9850" s="31"/>
      <c r="F9850" s="121" t="s">
        <v>3009</v>
      </c>
      <c r="G9850" s="98" t="str">
        <f>HYPERLINK("http://mirror.ff7data.com.ar/ff7/data/battle/battle.lgp/qyav.png","View Picture")</f>
        <v>View Picture</v>
      </c>
    </row>
    <row r="9851">
      <c r="A9851" s="55"/>
      <c r="B9851" s="119" t="s">
        <v>42174</v>
      </c>
      <c r="C9851" s="120" t="s">
        <v>4185</v>
      </c>
      <c r="D9851" s="31"/>
      <c r="F9851" s="121" t="s">
        <v>3009</v>
      </c>
      <c r="G9851" s="98" t="str">
        <f>HYPERLINK("http://mirror.ff7data.com.ar/ff7/data/battle/battle.lgp/qyaw.png","View Picture")</f>
        <v>View Picture</v>
      </c>
    </row>
    <row r="9852">
      <c r="A9852" s="55"/>
      <c r="B9852" s="119" t="s">
        <v>42175</v>
      </c>
      <c r="C9852" s="120" t="s">
        <v>3658</v>
      </c>
      <c r="D9852" s="31"/>
      <c r="F9852" s="121" t="s">
        <v>3009</v>
      </c>
      <c r="G9852" s="98" t="str">
        <f>HYPERLINK("http://mirror.ff7data.com.ar/ff7/data/battle/battle.lgp/qyax.png","View Picture")</f>
        <v>View Picture</v>
      </c>
    </row>
    <row r="9853">
      <c r="A9853" s="55"/>
      <c r="B9853" s="119" t="s">
        <v>42176</v>
      </c>
      <c r="C9853" s="120" t="s">
        <v>5891</v>
      </c>
      <c r="D9853" s="31"/>
      <c r="F9853" s="121" t="s">
        <v>3009</v>
      </c>
      <c r="G9853" s="98" t="str">
        <f>HYPERLINK("http://mirror.ff7data.com.ar/ff7/data/battle/battle.lgp/qyay.png","View Picture")</f>
        <v>View Picture</v>
      </c>
    </row>
    <row r="9854">
      <c r="A9854" s="55"/>
      <c r="B9854" s="119" t="s">
        <v>42177</v>
      </c>
      <c r="C9854" s="120" t="s">
        <v>4217</v>
      </c>
      <c r="D9854" s="31"/>
      <c r="F9854" s="121" t="s">
        <v>3009</v>
      </c>
      <c r="G9854" s="98" t="str">
        <f>HYPERLINK("http://mirror.ff7data.com.ar/ff7/data/battle/battle.lgp/qyaz.png","View Picture")</f>
        <v>View Picture</v>
      </c>
    </row>
    <row r="9855">
      <c r="A9855" s="55"/>
      <c r="B9855" s="119" t="s">
        <v>42178</v>
      </c>
      <c r="C9855" s="120" t="s">
        <v>3768</v>
      </c>
      <c r="D9855" s="31"/>
      <c r="F9855" s="121" t="s">
        <v>3009</v>
      </c>
      <c r="G9855" s="98" t="str">
        <f>HYPERLINK("http://mirror.ff7data.com.ar/ff7/data/battle/battle.lgp/qyba.png","View Picture")</f>
        <v>View Picture</v>
      </c>
    </row>
    <row r="9856">
      <c r="A9856" s="55"/>
      <c r="B9856" s="119" t="s">
        <v>42179</v>
      </c>
      <c r="C9856" s="120" t="s">
        <v>4732</v>
      </c>
      <c r="D9856" s="31"/>
      <c r="F9856" s="121" t="s">
        <v>3009</v>
      </c>
      <c r="G9856" s="98" t="str">
        <f>HYPERLINK("http://mirror.ff7data.com.ar/ff7/data/battle/battle.lgp/qybb.png","View Picture")</f>
        <v>View Picture</v>
      </c>
    </row>
    <row r="9857">
      <c r="A9857" s="55"/>
      <c r="B9857" s="119" t="s">
        <v>42180</v>
      </c>
      <c r="C9857" s="120" t="s">
        <v>5419</v>
      </c>
      <c r="D9857" s="31"/>
      <c r="F9857" s="121" t="s">
        <v>3009</v>
      </c>
      <c r="G9857" s="98" t="str">
        <f>HYPERLINK("http://mirror.ff7data.com.ar/ff7/data/battle/battle.lgp/qybc.png","View Picture")</f>
        <v>View Picture</v>
      </c>
    </row>
    <row r="9858">
      <c r="A9858" s="55"/>
      <c r="B9858" s="119" t="s">
        <v>42181</v>
      </c>
      <c r="C9858" s="120" t="s">
        <v>4372</v>
      </c>
      <c r="D9858" s="31"/>
      <c r="F9858" s="121" t="s">
        <v>3009</v>
      </c>
      <c r="G9858" s="98" t="str">
        <f>HYPERLINK("http://mirror.ff7data.com.ar/ff7/data/battle/battle.lgp/qybd.png","View Picture")</f>
        <v>View Picture</v>
      </c>
    </row>
    <row r="9859">
      <c r="A9859" s="55"/>
      <c r="B9859" s="119" t="s">
        <v>42182</v>
      </c>
      <c r="C9859" s="120" t="s">
        <v>3658</v>
      </c>
      <c r="D9859" s="31"/>
      <c r="F9859" s="121" t="s">
        <v>3009</v>
      </c>
      <c r="G9859" s="98" t="str">
        <f>HYPERLINK("http://mirror.ff7data.com.ar/ff7/data/battle/battle.lgp/qybe.png","View Picture")</f>
        <v>View Picture</v>
      </c>
    </row>
    <row r="9860">
      <c r="A9860" s="55"/>
      <c r="B9860" s="119" t="s">
        <v>42183</v>
      </c>
      <c r="C9860" s="120" t="s">
        <v>20274</v>
      </c>
      <c r="D9860" s="31"/>
      <c r="F9860" s="121" t="s">
        <v>3009</v>
      </c>
      <c r="G9860" s="98" t="str">
        <f>HYPERLINK("http://mirror.ff7data.com.ar/ff7/data/battle/battle.lgp/qybf.png","View Picture")</f>
        <v>View Picture</v>
      </c>
    </row>
    <row r="9861">
      <c r="A9861" s="55"/>
      <c r="B9861" s="119" t="s">
        <v>42184</v>
      </c>
      <c r="C9861" s="120" t="s">
        <v>4372</v>
      </c>
      <c r="D9861" s="31"/>
      <c r="F9861" s="121" t="s">
        <v>3009</v>
      </c>
      <c r="G9861" s="98" t="str">
        <f>HYPERLINK("http://mirror.ff7data.com.ar/ff7/data/battle/battle.lgp/qybg.png","View Picture")</f>
        <v>View Picture</v>
      </c>
    </row>
    <row r="9862">
      <c r="A9862" s="55"/>
      <c r="B9862" s="119" t="s">
        <v>42185</v>
      </c>
      <c r="C9862" s="120" t="s">
        <v>6029</v>
      </c>
      <c r="D9862" s="31"/>
      <c r="F9862" s="121" t="s">
        <v>3009</v>
      </c>
      <c r="G9862" s="98" t="str">
        <f>HYPERLINK("http://mirror.ff7data.com.ar/ff7/data/battle/battle.lgp/qybh.png","View Picture")</f>
        <v>View Picture</v>
      </c>
    </row>
    <row r="9863">
      <c r="A9863" s="55"/>
      <c r="B9863" s="119" t="s">
        <v>42186</v>
      </c>
      <c r="C9863" s="120" t="s">
        <v>6029</v>
      </c>
      <c r="D9863" s="31"/>
      <c r="F9863" s="121" t="s">
        <v>3009</v>
      </c>
      <c r="G9863" s="98" t="str">
        <f>HYPERLINK("http://mirror.ff7data.com.ar/ff7/data/battle/battle.lgp/qybi.png","View Picture")</f>
        <v>View Picture</v>
      </c>
    </row>
    <row r="9864">
      <c r="A9864" s="55"/>
      <c r="B9864" s="119" t="s">
        <v>42187</v>
      </c>
      <c r="C9864" s="120" t="s">
        <v>4372</v>
      </c>
      <c r="D9864" s="31"/>
      <c r="F9864" s="121" t="s">
        <v>3009</v>
      </c>
      <c r="G9864" s="98" t="str">
        <f>HYPERLINK("http://mirror.ff7data.com.ar/ff7/data/battle/battle.lgp/qybj.png","View Picture")</f>
        <v>View Picture</v>
      </c>
    </row>
    <row r="9865">
      <c r="A9865" s="79"/>
      <c r="B9865" s="119" t="s">
        <v>42188</v>
      </c>
      <c r="C9865" s="120" t="s">
        <v>40553</v>
      </c>
      <c r="D9865" s="33" t="s">
        <v>42189</v>
      </c>
      <c r="F9865" s="121" t="s">
        <v>2756</v>
      </c>
      <c r="G9865" s="98" t="str">
        <f>HYPERLINK("http://mirror.ff7data.com.ar/ff7/data/battle/battle.lgp/qzaa.png","View Picture")</f>
        <v>View Picture</v>
      </c>
    </row>
    <row r="9866">
      <c r="A9866" s="55"/>
      <c r="B9866" s="119" t="s">
        <v>42190</v>
      </c>
      <c r="C9866" s="120" t="s">
        <v>40556</v>
      </c>
      <c r="D9866" s="31"/>
      <c r="F9866" s="121" t="s">
        <v>2993</v>
      </c>
    </row>
    <row r="9867">
      <c r="A9867" s="55"/>
      <c r="B9867" s="119" t="s">
        <v>42191</v>
      </c>
      <c r="C9867" s="120" t="s">
        <v>26104</v>
      </c>
      <c r="D9867" s="31"/>
      <c r="F9867" s="121" t="s">
        <v>1348</v>
      </c>
      <c r="G9867" s="98" t="str">
        <f>HYPERLINK("http://mirror.ff7data.com.ar/ff7/data/battle/battle.lgp/qzac.png","View Picture")</f>
        <v>View Picture</v>
      </c>
    </row>
    <row r="9868">
      <c r="A9868" s="55"/>
      <c r="B9868" s="119" t="s">
        <v>42192</v>
      </c>
      <c r="C9868" s="120" t="s">
        <v>26095</v>
      </c>
      <c r="D9868" s="31"/>
      <c r="F9868" s="121" t="s">
        <v>1348</v>
      </c>
      <c r="G9868" s="98" t="str">
        <f>HYPERLINK("http://mirror.ff7data.com.ar/ff7/data/battle/battle.lgp/qzad.png","View Picture")</f>
        <v>View Picture</v>
      </c>
    </row>
    <row r="9869">
      <c r="A9869" s="55"/>
      <c r="B9869" s="119" t="s">
        <v>42193</v>
      </c>
      <c r="C9869" s="120" t="s">
        <v>6018</v>
      </c>
      <c r="D9869" s="31"/>
      <c r="F9869" s="121" t="s">
        <v>1348</v>
      </c>
      <c r="G9869" s="98" t="str">
        <f>HYPERLINK("http://mirror.ff7data.com.ar/ff7/data/battle/battle.lgp/qzae.png","View Picture")</f>
        <v>View Picture</v>
      </c>
    </row>
    <row r="9870">
      <c r="A9870" s="55"/>
      <c r="B9870" s="119" t="s">
        <v>42194</v>
      </c>
      <c r="C9870" s="120" t="s">
        <v>26104</v>
      </c>
      <c r="D9870" s="31"/>
      <c r="F9870" s="121" t="s">
        <v>1348</v>
      </c>
      <c r="G9870" s="98" t="str">
        <f>HYPERLINK("http://mirror.ff7data.com.ar/ff7/data/battle/battle.lgp/qzaf.png","View Picture")</f>
        <v>View Picture</v>
      </c>
    </row>
    <row r="9871">
      <c r="A9871" s="55"/>
      <c r="B9871" s="119" t="s">
        <v>42195</v>
      </c>
      <c r="C9871" s="120" t="s">
        <v>6018</v>
      </c>
      <c r="D9871" s="31"/>
      <c r="F9871" s="121" t="s">
        <v>1348</v>
      </c>
      <c r="G9871" s="98" t="str">
        <f>HYPERLINK("http://mirror.ff7data.com.ar/ff7/data/battle/battle.lgp/qzag.png","View Picture")</f>
        <v>View Picture</v>
      </c>
    </row>
    <row r="9872">
      <c r="A9872" s="55"/>
      <c r="B9872" s="119" t="s">
        <v>42196</v>
      </c>
      <c r="C9872" s="120" t="s">
        <v>26095</v>
      </c>
      <c r="D9872" s="31"/>
      <c r="F9872" s="121" t="s">
        <v>1348</v>
      </c>
      <c r="G9872" s="98" t="str">
        <f>HYPERLINK("http://mirror.ff7data.com.ar/ff7/data/battle/battle.lgp/qzah.png","View Picture")</f>
        <v>View Picture</v>
      </c>
    </row>
    <row r="9873">
      <c r="A9873" s="55"/>
      <c r="B9873" s="119" t="s">
        <v>42197</v>
      </c>
      <c r="C9873" s="120" t="s">
        <v>26095</v>
      </c>
      <c r="D9873" s="31"/>
      <c r="F9873" s="121" t="s">
        <v>1348</v>
      </c>
      <c r="G9873" s="98" t="str">
        <f>HYPERLINK("http://mirror.ff7data.com.ar/ff7/data/battle/battle.lgp/qzai.png","View Picture")</f>
        <v>View Picture</v>
      </c>
    </row>
    <row r="9874">
      <c r="A9874" s="55"/>
      <c r="B9874" s="119" t="s">
        <v>42198</v>
      </c>
      <c r="C9874" s="120" t="s">
        <v>3842</v>
      </c>
      <c r="D9874" s="31"/>
      <c r="F9874" s="121" t="s">
        <v>3009</v>
      </c>
      <c r="G9874" s="98" t="str">
        <f>HYPERLINK("http://mirror.ff7data.com.ar/ff7/data/battle/battle.lgp/qzam.png","View Picture")</f>
        <v>View Picture</v>
      </c>
    </row>
    <row r="9875">
      <c r="A9875" s="55"/>
      <c r="B9875" s="119" t="s">
        <v>42199</v>
      </c>
      <c r="C9875" s="120" t="s">
        <v>3505</v>
      </c>
      <c r="D9875" s="31"/>
      <c r="F9875" s="121" t="s">
        <v>3009</v>
      </c>
      <c r="G9875" s="98" t="str">
        <f>HYPERLINK("http://mirror.ff7data.com.ar/ff7/data/battle/battle.lgp/qzan.png","View Picture")</f>
        <v>View Picture</v>
      </c>
    </row>
    <row r="9876">
      <c r="A9876" s="55"/>
      <c r="B9876" s="119" t="s">
        <v>42200</v>
      </c>
      <c r="C9876" s="120" t="s">
        <v>3768</v>
      </c>
      <c r="D9876" s="31"/>
      <c r="F9876" s="121" t="s">
        <v>3009</v>
      </c>
      <c r="G9876" s="98" t="str">
        <f>HYPERLINK("http://mirror.ff7data.com.ar/ff7/data/battle/battle.lgp/qzao.png","View Picture")</f>
        <v>View Picture</v>
      </c>
    </row>
    <row r="9877">
      <c r="A9877" s="55"/>
      <c r="B9877" s="119" t="s">
        <v>42201</v>
      </c>
      <c r="C9877" s="120" t="s">
        <v>3842</v>
      </c>
      <c r="D9877" s="31"/>
      <c r="F9877" s="121" t="s">
        <v>3009</v>
      </c>
      <c r="G9877" s="98" t="str">
        <f>HYPERLINK("http://mirror.ff7data.com.ar/ff7/data/battle/battle.lgp/qzap.png","View Picture")</f>
        <v>View Picture</v>
      </c>
    </row>
    <row r="9878">
      <c r="A9878" s="55"/>
      <c r="B9878" s="119" t="s">
        <v>42202</v>
      </c>
      <c r="C9878" s="120" t="s">
        <v>3481</v>
      </c>
      <c r="D9878" s="31"/>
      <c r="F9878" s="121" t="s">
        <v>3009</v>
      </c>
      <c r="G9878" s="98" t="str">
        <f>HYPERLINK("http://mirror.ff7data.com.ar/ff7/data/battle/battle.lgp/qzaq.png","View Picture")</f>
        <v>View Picture</v>
      </c>
    </row>
    <row r="9879">
      <c r="A9879" s="55"/>
      <c r="B9879" s="119" t="s">
        <v>42203</v>
      </c>
      <c r="C9879" s="120" t="s">
        <v>4217</v>
      </c>
      <c r="D9879" s="31"/>
      <c r="F9879" s="121" t="s">
        <v>3009</v>
      </c>
      <c r="G9879" s="98" t="str">
        <f>HYPERLINK("http://mirror.ff7data.com.ar/ff7/data/battle/battle.lgp/qzar.png","View Picture")</f>
        <v>View Picture</v>
      </c>
    </row>
    <row r="9880">
      <c r="A9880" s="55"/>
      <c r="B9880" s="119" t="s">
        <v>42204</v>
      </c>
      <c r="C9880" s="120" t="s">
        <v>4217</v>
      </c>
      <c r="D9880" s="31"/>
      <c r="F9880" s="121" t="s">
        <v>3009</v>
      </c>
      <c r="G9880" s="98" t="str">
        <f>HYPERLINK("http://mirror.ff7data.com.ar/ff7/data/battle/battle.lgp/qzas.png","View Picture")</f>
        <v>View Picture</v>
      </c>
    </row>
    <row r="9881">
      <c r="A9881" s="55"/>
      <c r="B9881" s="119" t="s">
        <v>42205</v>
      </c>
      <c r="C9881" s="120" t="s">
        <v>4288</v>
      </c>
      <c r="D9881" s="31"/>
      <c r="F9881" s="121" t="s">
        <v>3009</v>
      </c>
      <c r="G9881" s="98" t="str">
        <f>HYPERLINK("http://mirror.ff7data.com.ar/ff7/data/battle/battle.lgp/qzat.png","View Picture")</f>
        <v>View Picture</v>
      </c>
    </row>
    <row r="9882">
      <c r="A9882" s="55"/>
      <c r="B9882" s="119" t="s">
        <v>42206</v>
      </c>
      <c r="C9882" s="120" t="s">
        <v>6029</v>
      </c>
      <c r="D9882" s="31"/>
      <c r="F9882" s="121" t="s">
        <v>3009</v>
      </c>
      <c r="G9882" s="98" t="str">
        <f>HYPERLINK("http://mirror.ff7data.com.ar/ff7/data/battle/battle.lgp/qzau.png","View Picture")</f>
        <v>View Picture</v>
      </c>
    </row>
    <row r="9883">
      <c r="A9883" s="55"/>
      <c r="B9883" s="119" t="s">
        <v>42207</v>
      </c>
      <c r="C9883" s="120" t="s">
        <v>6029</v>
      </c>
      <c r="D9883" s="31"/>
      <c r="F9883" s="121" t="s">
        <v>3009</v>
      </c>
      <c r="G9883" s="98" t="str">
        <f>HYPERLINK("http://mirror.ff7data.com.ar/ff7/data/battle/battle.lgp/qzav.png","View Picture")</f>
        <v>View Picture</v>
      </c>
    </row>
    <row r="9884">
      <c r="A9884" s="55"/>
      <c r="B9884" s="119" t="s">
        <v>42208</v>
      </c>
      <c r="C9884" s="120" t="s">
        <v>4372</v>
      </c>
      <c r="D9884" s="31"/>
      <c r="F9884" s="121" t="s">
        <v>3009</v>
      </c>
      <c r="G9884" s="98" t="str">
        <f>HYPERLINK("http://mirror.ff7data.com.ar/ff7/data/battle/battle.lgp/qzaw.png","View Picture")</f>
        <v>View Picture</v>
      </c>
    </row>
    <row r="9885">
      <c r="A9885" s="79"/>
      <c r="B9885" s="119" t="s">
        <v>42209</v>
      </c>
      <c r="C9885" s="120" t="s">
        <v>40553</v>
      </c>
      <c r="D9885" s="33" t="s">
        <v>594</v>
      </c>
      <c r="F9885" s="121" t="s">
        <v>2756</v>
      </c>
      <c r="G9885" s="98" t="str">
        <f>HYPERLINK("http://mirror.ff7data.com.ar/ff7/data/battle/battle.lgp/raaa.png","View Picture")</f>
        <v>View Picture</v>
      </c>
    </row>
    <row r="9886">
      <c r="A9886" s="55"/>
      <c r="B9886" s="119" t="s">
        <v>42210</v>
      </c>
      <c r="C9886" s="120" t="s">
        <v>40556</v>
      </c>
      <c r="D9886" s="31"/>
      <c r="F9886" s="121" t="s">
        <v>2993</v>
      </c>
    </row>
    <row r="9887">
      <c r="A9887" s="55"/>
      <c r="B9887" s="119" t="s">
        <v>42211</v>
      </c>
      <c r="C9887" s="120" t="s">
        <v>26095</v>
      </c>
      <c r="D9887" s="31"/>
      <c r="F9887" s="121" t="s">
        <v>1348</v>
      </c>
      <c r="G9887" s="98" t="str">
        <f>HYPERLINK("http://mirror.ff7data.com.ar/ff7/data/battle/battle.lgp/raac.png","View Picture")</f>
        <v>View Picture</v>
      </c>
    </row>
    <row r="9888">
      <c r="A9888" s="55"/>
      <c r="B9888" s="119" t="s">
        <v>42212</v>
      </c>
      <c r="C9888" s="120" t="s">
        <v>26104</v>
      </c>
      <c r="D9888" s="31"/>
      <c r="F9888" s="121" t="s">
        <v>1348</v>
      </c>
      <c r="G9888" s="98" t="str">
        <f>HYPERLINK("http://mirror.ff7data.com.ar/ff7/data/battle/battle.lgp/raad.png","View Picture")</f>
        <v>View Picture</v>
      </c>
    </row>
    <row r="9889">
      <c r="A9889" s="55"/>
      <c r="B9889" s="119" t="s">
        <v>42213</v>
      </c>
      <c r="C9889" s="120" t="s">
        <v>26095</v>
      </c>
      <c r="D9889" s="31"/>
      <c r="F9889" s="121" t="s">
        <v>1348</v>
      </c>
      <c r="G9889" s="98" t="str">
        <f>HYPERLINK("http://mirror.ff7data.com.ar/ff7/data/battle/battle.lgp/raae.png","View Picture")</f>
        <v>View Picture</v>
      </c>
    </row>
    <row r="9890">
      <c r="A9890" s="55"/>
      <c r="B9890" s="119" t="s">
        <v>42214</v>
      </c>
      <c r="C9890" s="120" t="s">
        <v>26095</v>
      </c>
      <c r="D9890" s="31"/>
      <c r="F9890" s="121" t="s">
        <v>1348</v>
      </c>
      <c r="G9890" s="98" t="str">
        <f>HYPERLINK("http://mirror.ff7data.com.ar/ff7/data/battle/battle.lgp/raaf.png","View Picture")</f>
        <v>View Picture</v>
      </c>
    </row>
    <row r="9891">
      <c r="A9891" s="55"/>
      <c r="B9891" s="119" t="s">
        <v>42215</v>
      </c>
      <c r="C9891" s="120" t="s">
        <v>6018</v>
      </c>
      <c r="D9891" s="31"/>
      <c r="F9891" s="121" t="s">
        <v>1348</v>
      </c>
      <c r="G9891" s="98" t="str">
        <f>HYPERLINK("http://mirror.ff7data.com.ar/ff7/data/battle/battle.lgp/raag.png","View Picture")</f>
        <v>View Picture</v>
      </c>
    </row>
    <row r="9892">
      <c r="A9892" s="55"/>
      <c r="B9892" s="119" t="s">
        <v>42216</v>
      </c>
      <c r="C9892" s="120" t="s">
        <v>6018</v>
      </c>
      <c r="D9892" s="31"/>
      <c r="F9892" s="121" t="s">
        <v>1348</v>
      </c>
      <c r="G9892" s="98" t="str">
        <f>HYPERLINK("http://mirror.ff7data.com.ar/ff7/data/battle/battle.lgp/raah.png","View Picture")</f>
        <v>View Picture</v>
      </c>
    </row>
    <row r="9893">
      <c r="A9893" s="55"/>
      <c r="B9893" s="119" t="s">
        <v>42217</v>
      </c>
      <c r="C9893" s="120" t="s">
        <v>6018</v>
      </c>
      <c r="D9893" s="31"/>
      <c r="F9893" s="121" t="s">
        <v>1348</v>
      </c>
      <c r="G9893" s="98" t="str">
        <f>HYPERLINK("http://mirror.ff7data.com.ar/ff7/data/battle/battle.lgp/raai.png","View Picture")</f>
        <v>View Picture</v>
      </c>
    </row>
    <row r="9894">
      <c r="A9894" s="55"/>
      <c r="B9894" s="119" t="s">
        <v>42218</v>
      </c>
      <c r="C9894" s="120" t="s">
        <v>6018</v>
      </c>
      <c r="D9894" s="31"/>
      <c r="F9894" s="121" t="s">
        <v>1348</v>
      </c>
      <c r="G9894" s="98" t="str">
        <f>HYPERLINK("http://mirror.ff7data.com.ar/ff7/data/battle/battle.lgp/raaj.png","View Picture")</f>
        <v>View Picture</v>
      </c>
    </row>
    <row r="9895">
      <c r="A9895" s="55"/>
      <c r="B9895" s="119" t="s">
        <v>42219</v>
      </c>
      <c r="C9895" s="120" t="s">
        <v>4122</v>
      </c>
      <c r="D9895" s="31"/>
      <c r="F9895" s="121" t="s">
        <v>3009</v>
      </c>
      <c r="G9895" s="98" t="str">
        <f>HYPERLINK("http://mirror.ff7data.com.ar/ff7/data/battle/battle.lgp/raam.png","View Picture")</f>
        <v>View Picture</v>
      </c>
    </row>
    <row r="9896">
      <c r="A9896" s="55"/>
      <c r="B9896" s="119" t="s">
        <v>42220</v>
      </c>
      <c r="C9896" s="120" t="s">
        <v>3768</v>
      </c>
      <c r="D9896" s="31"/>
      <c r="F9896" s="121" t="s">
        <v>3009</v>
      </c>
      <c r="G9896" s="98" t="str">
        <f>HYPERLINK("http://mirror.ff7data.com.ar/ff7/data/battle/battle.lgp/raan.png","View Picture")</f>
        <v>View Picture</v>
      </c>
    </row>
    <row r="9897">
      <c r="A9897" s="55"/>
      <c r="B9897" s="119" t="s">
        <v>42221</v>
      </c>
      <c r="C9897" s="120" t="s">
        <v>3842</v>
      </c>
      <c r="D9897" s="31"/>
      <c r="F9897" s="121" t="s">
        <v>3009</v>
      </c>
      <c r="G9897" s="98" t="str">
        <f>HYPERLINK("http://mirror.ff7data.com.ar/ff7/data/battle/battle.lgp/raao.png","View Picture")</f>
        <v>View Picture</v>
      </c>
    </row>
    <row r="9898">
      <c r="A9898" s="55"/>
      <c r="B9898" s="119" t="s">
        <v>42222</v>
      </c>
      <c r="C9898" s="120" t="s">
        <v>4476</v>
      </c>
      <c r="D9898" s="31"/>
      <c r="F9898" s="121" t="s">
        <v>3009</v>
      </c>
      <c r="G9898" s="98" t="str">
        <f>HYPERLINK("http://mirror.ff7data.com.ar/ff7/data/battle/battle.lgp/raap.png","View Picture")</f>
        <v>View Picture</v>
      </c>
    </row>
    <row r="9899">
      <c r="A9899" s="55"/>
      <c r="B9899" s="119" t="s">
        <v>42223</v>
      </c>
      <c r="C9899" s="120" t="s">
        <v>8649</v>
      </c>
      <c r="D9899" s="31"/>
      <c r="F9899" s="121" t="s">
        <v>3009</v>
      </c>
      <c r="G9899" s="98" t="str">
        <f>HYPERLINK("http://mirror.ff7data.com.ar/ff7/data/battle/battle.lgp/raaq.png","View Picture")</f>
        <v>View Picture</v>
      </c>
    </row>
    <row r="9900">
      <c r="A9900" s="55"/>
      <c r="B9900" s="119" t="s">
        <v>42224</v>
      </c>
      <c r="C9900" s="120" t="s">
        <v>4732</v>
      </c>
      <c r="D9900" s="31"/>
      <c r="F9900" s="121" t="s">
        <v>3009</v>
      </c>
      <c r="G9900" s="98" t="str">
        <f>HYPERLINK("http://mirror.ff7data.com.ar/ff7/data/battle/battle.lgp/raar.png","View Picture")</f>
        <v>View Picture</v>
      </c>
    </row>
    <row r="9901">
      <c r="A9901" s="55"/>
      <c r="B9901" s="119" t="s">
        <v>42225</v>
      </c>
      <c r="C9901" s="120" t="s">
        <v>11778</v>
      </c>
      <c r="D9901" s="31"/>
      <c r="F9901" s="121" t="s">
        <v>3009</v>
      </c>
      <c r="G9901" s="98" t="str">
        <f>HYPERLINK("http://mirror.ff7data.com.ar/ff7/data/battle/battle.lgp/raas.png","View Picture")</f>
        <v>View Picture</v>
      </c>
    </row>
    <row r="9902">
      <c r="A9902" s="55"/>
      <c r="B9902" s="119" t="s">
        <v>42226</v>
      </c>
      <c r="C9902" s="120" t="s">
        <v>3671</v>
      </c>
      <c r="D9902" s="31"/>
      <c r="F9902" s="121" t="s">
        <v>3009</v>
      </c>
      <c r="G9902" s="98" t="str">
        <f>HYPERLINK("http://mirror.ff7data.com.ar/ff7/data/battle/battle.lgp/raat.png","View Picture")</f>
        <v>View Picture</v>
      </c>
    </row>
    <row r="9903">
      <c r="A9903" s="55"/>
      <c r="B9903" s="119" t="s">
        <v>42227</v>
      </c>
      <c r="C9903" s="120" t="s">
        <v>4264</v>
      </c>
      <c r="D9903" s="31"/>
      <c r="F9903" s="121" t="s">
        <v>3009</v>
      </c>
      <c r="G9903" s="98" t="str">
        <f>HYPERLINK("http://mirror.ff7data.com.ar/ff7/data/battle/battle.lgp/raau.png","View Picture")</f>
        <v>View Picture</v>
      </c>
    </row>
    <row r="9904">
      <c r="A9904" s="55"/>
      <c r="B9904" s="119" t="s">
        <v>42228</v>
      </c>
      <c r="C9904" s="120" t="s">
        <v>4732</v>
      </c>
      <c r="D9904" s="31"/>
      <c r="F9904" s="121" t="s">
        <v>3009</v>
      </c>
      <c r="G9904" s="98" t="str">
        <f>HYPERLINK("http://mirror.ff7data.com.ar/ff7/data/battle/battle.lgp/raav.png","View Picture")</f>
        <v>View Picture</v>
      </c>
    </row>
    <row r="9905">
      <c r="A9905" s="55"/>
      <c r="B9905" s="119" t="s">
        <v>42229</v>
      </c>
      <c r="C9905" s="120" t="s">
        <v>4372</v>
      </c>
      <c r="D9905" s="31"/>
      <c r="F9905" s="121" t="s">
        <v>3009</v>
      </c>
      <c r="G9905" s="98" t="str">
        <f>HYPERLINK("http://mirror.ff7data.com.ar/ff7/data/battle/battle.lgp/raaw.png","View Picture")</f>
        <v>View Picture</v>
      </c>
    </row>
    <row r="9906">
      <c r="A9906" s="55"/>
      <c r="B9906" s="119" t="s">
        <v>42230</v>
      </c>
      <c r="C9906" s="120" t="s">
        <v>4732</v>
      </c>
      <c r="D9906" s="31"/>
      <c r="F9906" s="121" t="s">
        <v>3009</v>
      </c>
      <c r="G9906" s="98" t="str">
        <f>HYPERLINK("http://mirror.ff7data.com.ar/ff7/data/battle/battle.lgp/raax.png","View Picture")</f>
        <v>View Picture</v>
      </c>
    </row>
    <row r="9907">
      <c r="A9907" s="55"/>
      <c r="B9907" s="119" t="s">
        <v>42231</v>
      </c>
      <c r="C9907" s="120" t="s">
        <v>3519</v>
      </c>
      <c r="D9907" s="31"/>
      <c r="F9907" s="121" t="s">
        <v>3009</v>
      </c>
      <c r="G9907" s="98" t="str">
        <f>HYPERLINK("http://mirror.ff7data.com.ar/ff7/data/battle/battle.lgp/raay.png","View Picture")</f>
        <v>View Picture</v>
      </c>
    </row>
    <row r="9908">
      <c r="A9908" s="55"/>
      <c r="B9908" s="119" t="s">
        <v>42232</v>
      </c>
      <c r="C9908" s="120" t="s">
        <v>4732</v>
      </c>
      <c r="D9908" s="31"/>
      <c r="F9908" s="121" t="s">
        <v>3009</v>
      </c>
      <c r="G9908" s="98" t="str">
        <f>HYPERLINK("http://mirror.ff7data.com.ar/ff7/data/battle/battle.lgp/raaz.png","View Picture")</f>
        <v>View Picture</v>
      </c>
    </row>
    <row r="9909">
      <c r="A9909" s="55"/>
      <c r="B9909" s="119" t="s">
        <v>42233</v>
      </c>
      <c r="C9909" s="120" t="s">
        <v>4732</v>
      </c>
      <c r="D9909" s="31"/>
      <c r="F9909" s="121" t="s">
        <v>3009</v>
      </c>
      <c r="G9909" s="98" t="str">
        <f>HYPERLINK("http://mirror.ff7data.com.ar/ff7/data/battle/battle.lgp/raba.png","View Picture")</f>
        <v>View Picture</v>
      </c>
    </row>
    <row r="9910">
      <c r="A9910" s="55"/>
      <c r="B9910" s="119" t="s">
        <v>42234</v>
      </c>
      <c r="C9910" s="120" t="s">
        <v>4658</v>
      </c>
      <c r="D9910" s="31"/>
      <c r="F9910" s="121" t="s">
        <v>3009</v>
      </c>
      <c r="G9910" s="98" t="str">
        <f>HYPERLINK("http://mirror.ff7data.com.ar/ff7/data/battle/battle.lgp/rabb.png","View Picture")</f>
        <v>View Picture</v>
      </c>
    </row>
    <row r="9911">
      <c r="A9911" s="55"/>
      <c r="B9911" s="119" t="s">
        <v>42235</v>
      </c>
      <c r="C9911" s="120" t="s">
        <v>10078</v>
      </c>
      <c r="D9911" s="31"/>
      <c r="F9911" s="121" t="s">
        <v>3009</v>
      </c>
      <c r="G9911" s="98" t="str">
        <f>HYPERLINK("http://mirror.ff7data.com.ar/ff7/data/battle/battle.lgp/rabc.png","View Picture")</f>
        <v>View Picture</v>
      </c>
    </row>
    <row r="9912">
      <c r="A9912" s="55"/>
      <c r="B9912" s="119" t="s">
        <v>42236</v>
      </c>
      <c r="C9912" s="120" t="s">
        <v>4357</v>
      </c>
      <c r="D9912" s="31"/>
      <c r="F9912" s="121" t="s">
        <v>3009</v>
      </c>
      <c r="G9912" s="98" t="str">
        <f>HYPERLINK("http://mirror.ff7data.com.ar/ff7/data/battle/battle.lgp/rabd.png","View Picture")</f>
        <v>View Picture</v>
      </c>
    </row>
    <row r="9913">
      <c r="A9913" s="55"/>
      <c r="B9913" s="119" t="s">
        <v>42237</v>
      </c>
      <c r="C9913" s="120" t="s">
        <v>28460</v>
      </c>
      <c r="D9913" s="31"/>
      <c r="F9913" s="121" t="s">
        <v>3009</v>
      </c>
      <c r="G9913" s="98" t="str">
        <f>HYPERLINK("http://mirror.ff7data.com.ar/ff7/data/battle/battle.lgp/rabe.png","View Picture")</f>
        <v>View Picture</v>
      </c>
    </row>
    <row r="9914">
      <c r="A9914" s="55"/>
      <c r="B9914" s="119" t="s">
        <v>42238</v>
      </c>
      <c r="C9914" s="120" t="s">
        <v>7756</v>
      </c>
      <c r="D9914" s="31"/>
      <c r="F9914" s="121" t="s">
        <v>3009</v>
      </c>
      <c r="G9914" s="98" t="str">
        <f>HYPERLINK("http://mirror.ff7data.com.ar/ff7/data/battle/battle.lgp/rabf.png","View Picture")</f>
        <v>View Picture</v>
      </c>
    </row>
    <row r="9915">
      <c r="A9915" s="55"/>
      <c r="B9915" s="119" t="s">
        <v>42239</v>
      </c>
      <c r="C9915" s="120" t="s">
        <v>3961</v>
      </c>
      <c r="D9915" s="31"/>
      <c r="F9915" s="121" t="s">
        <v>3009</v>
      </c>
      <c r="G9915" s="98" t="str">
        <f>HYPERLINK("http://mirror.ff7data.com.ar/ff7/data/battle/battle.lgp/rabg.png","View Picture")</f>
        <v>View Picture</v>
      </c>
    </row>
    <row r="9916">
      <c r="A9916" s="55"/>
      <c r="B9916" s="119" t="s">
        <v>42240</v>
      </c>
      <c r="C9916" s="120" t="s">
        <v>7756</v>
      </c>
      <c r="D9916" s="31"/>
      <c r="F9916" s="121" t="s">
        <v>3009</v>
      </c>
      <c r="G9916" s="98" t="str">
        <f>HYPERLINK("http://mirror.ff7data.com.ar/ff7/data/battle/battle.lgp/rabh.png","View Picture")</f>
        <v>View Picture</v>
      </c>
    </row>
    <row r="9917">
      <c r="A9917" s="55"/>
      <c r="B9917" s="119" t="s">
        <v>42241</v>
      </c>
      <c r="C9917" s="120" t="s">
        <v>9159</v>
      </c>
      <c r="D9917" s="31"/>
      <c r="F9917" s="121" t="s">
        <v>3009</v>
      </c>
      <c r="G9917" s="98" t="str">
        <f>HYPERLINK("http://mirror.ff7data.com.ar/ff7/data/battle/battle.lgp/rabi.png","View Picture")</f>
        <v>View Picture</v>
      </c>
    </row>
    <row r="9918">
      <c r="A9918" s="55"/>
      <c r="B9918" s="119" t="s">
        <v>42242</v>
      </c>
      <c r="C9918" s="120" t="s">
        <v>26045</v>
      </c>
      <c r="D9918" s="31"/>
      <c r="F9918" s="121" t="s">
        <v>3009</v>
      </c>
      <c r="G9918" s="98" t="str">
        <f>HYPERLINK("http://mirror.ff7data.com.ar/ff7/data/battle/battle.lgp/rabj.png","View Picture")</f>
        <v>View Picture</v>
      </c>
    </row>
    <row r="9919">
      <c r="A9919" s="55"/>
      <c r="B9919" s="119" t="s">
        <v>42243</v>
      </c>
      <c r="C9919" s="120" t="s">
        <v>28460</v>
      </c>
      <c r="D9919" s="31"/>
      <c r="F9919" s="121" t="s">
        <v>3009</v>
      </c>
      <c r="G9919" s="98" t="str">
        <f>HYPERLINK("http://mirror.ff7data.com.ar/ff7/data/battle/battle.lgp/rabk.png","View Picture")</f>
        <v>View Picture</v>
      </c>
    </row>
    <row r="9920">
      <c r="A9920" s="55"/>
      <c r="B9920" s="119" t="s">
        <v>42244</v>
      </c>
      <c r="C9920" s="120" t="s">
        <v>32228</v>
      </c>
      <c r="D9920" s="31"/>
      <c r="F9920" s="121" t="s">
        <v>3009</v>
      </c>
      <c r="G9920" s="98" t="str">
        <f>HYPERLINK("http://mirror.ff7data.com.ar/ff7/data/battle/battle.lgp/rabl.png","View Picture")</f>
        <v>View Picture</v>
      </c>
    </row>
    <row r="9921">
      <c r="A9921" s="55"/>
      <c r="B9921" s="119" t="s">
        <v>42245</v>
      </c>
      <c r="C9921" s="120" t="s">
        <v>7756</v>
      </c>
      <c r="D9921" s="31"/>
      <c r="F9921" s="121" t="s">
        <v>3009</v>
      </c>
      <c r="G9921" s="98" t="str">
        <f>HYPERLINK("http://mirror.ff7data.com.ar/ff7/data/battle/battle.lgp/rabm.png","View Picture")</f>
        <v>View Picture</v>
      </c>
    </row>
    <row r="9922">
      <c r="A9922" s="55"/>
      <c r="B9922" s="119" t="s">
        <v>42246</v>
      </c>
      <c r="C9922" s="120" t="s">
        <v>42247</v>
      </c>
      <c r="D9922" s="31"/>
      <c r="F9922" s="121" t="s">
        <v>3009</v>
      </c>
      <c r="G9922" s="98" t="str">
        <f>HYPERLINK("http://mirror.ff7data.com.ar/ff7/data/battle/battle.lgp/rabn.png","View Picture")</f>
        <v>View Picture</v>
      </c>
    </row>
    <row r="9923">
      <c r="A9923" s="55"/>
      <c r="B9923" s="119" t="s">
        <v>42248</v>
      </c>
      <c r="C9923" s="120" t="s">
        <v>42249</v>
      </c>
      <c r="D9923" s="31"/>
      <c r="F9923" s="121" t="s">
        <v>3009</v>
      </c>
      <c r="G9923" s="98" t="str">
        <f>HYPERLINK("http://mirror.ff7data.com.ar/ff7/data/battle/battle.lgp/rabo.png","View Picture")</f>
        <v>View Picture</v>
      </c>
    </row>
    <row r="9924">
      <c r="A9924" s="79"/>
      <c r="B9924" s="119" t="s">
        <v>42250</v>
      </c>
      <c r="C9924" s="120" t="s">
        <v>40553</v>
      </c>
      <c r="D9924" s="33" t="s">
        <v>42251</v>
      </c>
      <c r="F9924" s="121" t="s">
        <v>2756</v>
      </c>
      <c r="G9924" s="98" t="str">
        <f>HYPERLINK("http://mirror.ff7data.com.ar/ff7/data/battle/battle.lgp/rbaa.png","View Picture")</f>
        <v>View Picture</v>
      </c>
    </row>
    <row r="9925">
      <c r="A9925" s="55"/>
      <c r="B9925" s="119" t="s">
        <v>42252</v>
      </c>
      <c r="C9925" s="120" t="s">
        <v>40556</v>
      </c>
      <c r="D9925" s="31"/>
      <c r="F9925" s="121" t="s">
        <v>2993</v>
      </c>
    </row>
    <row r="9926">
      <c r="A9926" s="55"/>
      <c r="B9926" s="119" t="s">
        <v>42253</v>
      </c>
      <c r="C9926" s="120" t="s">
        <v>26104</v>
      </c>
      <c r="D9926" s="31"/>
      <c r="F9926" s="121" t="s">
        <v>1348</v>
      </c>
      <c r="G9926" s="98" t="str">
        <f>HYPERLINK("http://mirror.ff7data.com.ar/ff7/data/battle/battle.lgp/rbac.png","View Picture")</f>
        <v>View Picture</v>
      </c>
    </row>
    <row r="9927">
      <c r="A9927" s="55"/>
      <c r="B9927" s="119" t="s">
        <v>42254</v>
      </c>
      <c r="C9927" s="120" t="s">
        <v>6018</v>
      </c>
      <c r="D9927" s="31"/>
      <c r="F9927" s="121" t="s">
        <v>1348</v>
      </c>
      <c r="G9927" s="98" t="str">
        <f>HYPERLINK("http://mirror.ff7data.com.ar/ff7/data/battle/battle.lgp/rbad.png","View Picture")</f>
        <v>View Picture</v>
      </c>
    </row>
    <row r="9928">
      <c r="A9928" s="55"/>
      <c r="B9928" s="119" t="s">
        <v>42255</v>
      </c>
      <c r="C9928" s="120" t="s">
        <v>6018</v>
      </c>
      <c r="D9928" s="31"/>
      <c r="F9928" s="121" t="s">
        <v>1348</v>
      </c>
      <c r="G9928" s="98" t="str">
        <f>HYPERLINK("http://mirror.ff7data.com.ar/ff7/data/battle/battle.lgp/rbae.png","View Picture")</f>
        <v>View Picture</v>
      </c>
    </row>
    <row r="9929">
      <c r="A9929" s="55"/>
      <c r="B9929" s="119" t="s">
        <v>42256</v>
      </c>
      <c r="C9929" s="120" t="s">
        <v>26104</v>
      </c>
      <c r="D9929" s="31"/>
      <c r="F9929" s="121" t="s">
        <v>1348</v>
      </c>
      <c r="G9929" s="98" t="str">
        <f>HYPERLINK("http://mirror.ff7data.com.ar/ff7/data/battle/battle.lgp/rbaf.png","View Picture")</f>
        <v>View Picture</v>
      </c>
    </row>
    <row r="9930">
      <c r="A9930" s="55"/>
      <c r="B9930" s="119" t="s">
        <v>42257</v>
      </c>
      <c r="C9930" s="120" t="s">
        <v>26104</v>
      </c>
      <c r="D9930" s="31"/>
      <c r="F9930" s="121" t="s">
        <v>1348</v>
      </c>
      <c r="G9930" s="98" t="str">
        <f>HYPERLINK("http://mirror.ff7data.com.ar/ff7/data/battle/battle.lgp/rbag.png","View Picture")</f>
        <v>View Picture</v>
      </c>
    </row>
    <row r="9931">
      <c r="A9931" s="55"/>
      <c r="B9931" s="119" t="s">
        <v>42258</v>
      </c>
      <c r="C9931" s="120" t="s">
        <v>26095</v>
      </c>
      <c r="D9931" s="31"/>
      <c r="F9931" s="121" t="s">
        <v>1348</v>
      </c>
      <c r="G9931" s="98" t="str">
        <f>HYPERLINK("http://mirror.ff7data.com.ar/ff7/data/battle/battle.lgp/rbah.png","View Picture")</f>
        <v>View Picture</v>
      </c>
    </row>
    <row r="9932">
      <c r="A9932" s="55"/>
      <c r="B9932" s="119" t="s">
        <v>42259</v>
      </c>
      <c r="C9932" s="120" t="s">
        <v>26095</v>
      </c>
      <c r="D9932" s="31"/>
      <c r="F9932" s="121" t="s">
        <v>1348</v>
      </c>
      <c r="G9932" s="98" t="str">
        <f>HYPERLINK("http://mirror.ff7data.com.ar/ff7/data/battle/battle.lgp/rbai.png","View Picture")</f>
        <v>View Picture</v>
      </c>
    </row>
    <row r="9933">
      <c r="A9933" s="55"/>
      <c r="B9933" s="119" t="s">
        <v>42260</v>
      </c>
      <c r="C9933" s="120" t="s">
        <v>26095</v>
      </c>
      <c r="D9933" s="31"/>
      <c r="F9933" s="121" t="s">
        <v>1348</v>
      </c>
      <c r="G9933" s="98" t="str">
        <f>HYPERLINK("http://mirror.ff7data.com.ar/ff7/data/battle/battle.lgp/rbaj.png","View Picture")</f>
        <v>View Picture</v>
      </c>
    </row>
    <row r="9934">
      <c r="A9934" s="55"/>
      <c r="B9934" s="119" t="s">
        <v>42261</v>
      </c>
      <c r="C9934" s="120" t="s">
        <v>3399</v>
      </c>
      <c r="D9934" s="31"/>
      <c r="F9934" s="121" t="s">
        <v>3009</v>
      </c>
      <c r="G9934" s="98" t="str">
        <f>HYPERLINK("http://mirror.ff7data.com.ar/ff7/data/battle/battle.lgp/rbam.png","View Picture")</f>
        <v>View Picture</v>
      </c>
    </row>
    <row r="9935">
      <c r="A9935" s="55"/>
      <c r="B9935" s="119" t="s">
        <v>42262</v>
      </c>
      <c r="C9935" s="120" t="s">
        <v>4846</v>
      </c>
      <c r="D9935" s="31"/>
      <c r="F9935" s="121" t="s">
        <v>3009</v>
      </c>
      <c r="G9935" s="98" t="str">
        <f>HYPERLINK("http://mirror.ff7data.com.ar/ff7/data/battle/battle.lgp/rban.png","View Picture")</f>
        <v>View Picture</v>
      </c>
    </row>
    <row r="9936">
      <c r="A9936" s="55"/>
      <c r="B9936" s="119" t="s">
        <v>42263</v>
      </c>
      <c r="C9936" s="120" t="s">
        <v>4846</v>
      </c>
      <c r="D9936" s="31"/>
      <c r="F9936" s="121" t="s">
        <v>3009</v>
      </c>
      <c r="G9936" s="98" t="str">
        <f>HYPERLINK("http://mirror.ff7data.com.ar/ff7/data/battle/battle.lgp/rbao.png","View Picture")</f>
        <v>View Picture</v>
      </c>
    </row>
    <row r="9937">
      <c r="A9937" s="55"/>
      <c r="B9937" s="119" t="s">
        <v>42264</v>
      </c>
      <c r="C9937" s="120" t="s">
        <v>4846</v>
      </c>
      <c r="D9937" s="31"/>
      <c r="F9937" s="121" t="s">
        <v>3009</v>
      </c>
      <c r="G9937" s="98" t="str">
        <f>HYPERLINK("http://mirror.ff7data.com.ar/ff7/data/battle/battle.lgp/rbap.png","View Picture")</f>
        <v>View Picture</v>
      </c>
    </row>
    <row r="9938">
      <c r="A9938" s="55"/>
      <c r="B9938" s="119" t="s">
        <v>42265</v>
      </c>
      <c r="C9938" s="120" t="s">
        <v>4252</v>
      </c>
      <c r="D9938" s="31"/>
      <c r="F9938" s="121" t="s">
        <v>3009</v>
      </c>
      <c r="G9938" s="98" t="str">
        <f>HYPERLINK("http://mirror.ff7data.com.ar/ff7/data/battle/battle.lgp/rbaq.png","View Picture")</f>
        <v>View Picture</v>
      </c>
    </row>
    <row r="9939">
      <c r="A9939" s="55"/>
      <c r="B9939" s="119" t="s">
        <v>42266</v>
      </c>
      <c r="C9939" s="120" t="s">
        <v>3648</v>
      </c>
      <c r="D9939" s="31"/>
      <c r="F9939" s="121" t="s">
        <v>3009</v>
      </c>
      <c r="G9939" s="98" t="str">
        <f>HYPERLINK("http://mirror.ff7data.com.ar/ff7/data/battle/battle.lgp/rbar.png","View Picture")</f>
        <v>View Picture</v>
      </c>
    </row>
    <row r="9940">
      <c r="A9940" s="55"/>
      <c r="B9940" s="119" t="s">
        <v>42267</v>
      </c>
      <c r="C9940" s="120" t="s">
        <v>4476</v>
      </c>
      <c r="D9940" s="31"/>
      <c r="F9940" s="121" t="s">
        <v>3009</v>
      </c>
      <c r="G9940" s="98" t="str">
        <f>HYPERLINK("http://mirror.ff7data.com.ar/ff7/data/battle/battle.lgp/rbas.png","View Picture")</f>
        <v>View Picture</v>
      </c>
    </row>
    <row r="9941">
      <c r="A9941" s="55"/>
      <c r="B9941" s="119" t="s">
        <v>42268</v>
      </c>
      <c r="C9941" s="120" t="s">
        <v>3505</v>
      </c>
      <c r="D9941" s="31"/>
      <c r="F9941" s="121" t="s">
        <v>3009</v>
      </c>
      <c r="G9941" s="98" t="str">
        <f>HYPERLINK("http://mirror.ff7data.com.ar/ff7/data/battle/battle.lgp/rbat.png","View Picture")</f>
        <v>View Picture</v>
      </c>
    </row>
    <row r="9942">
      <c r="A9942" s="55"/>
      <c r="B9942" s="119" t="s">
        <v>42269</v>
      </c>
      <c r="C9942" s="120" t="s">
        <v>4057</v>
      </c>
      <c r="D9942" s="31"/>
      <c r="F9942" s="121" t="s">
        <v>3009</v>
      </c>
      <c r="G9942" s="98" t="str">
        <f>HYPERLINK("http://mirror.ff7data.com.ar/ff7/data/battle/battle.lgp/rbau.png","View Picture")</f>
        <v>View Picture</v>
      </c>
    </row>
    <row r="9943">
      <c r="A9943" s="55"/>
      <c r="B9943" s="119" t="s">
        <v>42270</v>
      </c>
      <c r="C9943" s="120" t="s">
        <v>4057</v>
      </c>
      <c r="D9943" s="31"/>
      <c r="F9943" s="121" t="s">
        <v>3009</v>
      </c>
      <c r="G9943" s="98" t="str">
        <f>HYPERLINK("http://mirror.ff7data.com.ar/ff7/data/battle/battle.lgp/rbav.png","View Picture")</f>
        <v>View Picture</v>
      </c>
    </row>
    <row r="9944">
      <c r="A9944" s="55"/>
      <c r="B9944" s="119" t="s">
        <v>42271</v>
      </c>
      <c r="C9944" s="120" t="s">
        <v>7270</v>
      </c>
      <c r="D9944" s="31"/>
      <c r="F9944" s="121" t="s">
        <v>3009</v>
      </c>
      <c r="G9944" s="98" t="str">
        <f>HYPERLINK("http://mirror.ff7data.com.ar/ff7/data/battle/battle.lgp/rbaw.png","View Picture")</f>
        <v>View Picture</v>
      </c>
    </row>
    <row r="9945">
      <c r="A9945" s="55"/>
      <c r="B9945" s="119" t="s">
        <v>42272</v>
      </c>
      <c r="C9945" s="120" t="s">
        <v>7081</v>
      </c>
      <c r="D9945" s="31"/>
      <c r="F9945" s="121" t="s">
        <v>3009</v>
      </c>
      <c r="G9945" s="98" t="str">
        <f>HYPERLINK("http://mirror.ff7data.com.ar/ff7/data/battle/battle.lgp/rbax.png","View Picture")</f>
        <v>View Picture</v>
      </c>
    </row>
    <row r="9946">
      <c r="A9946" s="55"/>
      <c r="B9946" s="119" t="s">
        <v>42273</v>
      </c>
      <c r="C9946" s="120" t="s">
        <v>9600</v>
      </c>
      <c r="D9946" s="31"/>
      <c r="F9946" s="121" t="s">
        <v>3009</v>
      </c>
      <c r="G9946" s="98" t="str">
        <f>HYPERLINK("http://mirror.ff7data.com.ar/ff7/data/battle/battle.lgp/rbay.png","View Picture")</f>
        <v>View Picture</v>
      </c>
    </row>
    <row r="9947">
      <c r="A9947" s="55"/>
      <c r="B9947" s="119" t="s">
        <v>42274</v>
      </c>
      <c r="C9947" s="120" t="s">
        <v>6830</v>
      </c>
      <c r="D9947" s="31"/>
      <c r="F9947" s="121" t="s">
        <v>3009</v>
      </c>
      <c r="G9947" s="98" t="str">
        <f>HYPERLINK("http://mirror.ff7data.com.ar/ff7/data/battle/battle.lgp/rbaz.png","View Picture")</f>
        <v>View Picture</v>
      </c>
    </row>
    <row r="9948">
      <c r="A9948" s="79"/>
      <c r="B9948" s="119" t="s">
        <v>42275</v>
      </c>
      <c r="C9948" s="120" t="s">
        <v>40553</v>
      </c>
      <c r="D9948" s="33" t="s">
        <v>42276</v>
      </c>
      <c r="F9948" s="121" t="s">
        <v>2756</v>
      </c>
      <c r="G9948" s="98" t="str">
        <f>HYPERLINK("http://mirror.ff7data.com.ar/ff7/data/battle/battle.lgp/rcaa.png","View Picture")</f>
        <v>View Picture</v>
      </c>
    </row>
    <row r="9949">
      <c r="A9949" s="55"/>
      <c r="B9949" s="119" t="s">
        <v>42277</v>
      </c>
      <c r="C9949" s="120" t="s">
        <v>40556</v>
      </c>
      <c r="D9949" s="31"/>
      <c r="F9949" s="121" t="s">
        <v>2993</v>
      </c>
    </row>
    <row r="9950">
      <c r="A9950" s="55"/>
      <c r="B9950" s="119" t="s">
        <v>42278</v>
      </c>
      <c r="C9950" s="120" t="s">
        <v>26104</v>
      </c>
      <c r="D9950" s="31"/>
      <c r="F9950" s="121" t="s">
        <v>1348</v>
      </c>
      <c r="G9950" s="98" t="str">
        <f>HYPERLINK("http://mirror.ff7data.com.ar/ff7/data/battle/battle.lgp/rcac.png","View Picture")</f>
        <v>View Picture</v>
      </c>
    </row>
    <row r="9951">
      <c r="A9951" s="55"/>
      <c r="B9951" s="119" t="s">
        <v>42279</v>
      </c>
      <c r="C9951" s="120" t="s">
        <v>6018</v>
      </c>
      <c r="D9951" s="31"/>
      <c r="F9951" s="121" t="s">
        <v>1348</v>
      </c>
      <c r="G9951" s="98" t="str">
        <f>HYPERLINK("http://mirror.ff7data.com.ar/ff7/data/battle/battle.lgp/rcad.png","View Picture")</f>
        <v>View Picture</v>
      </c>
    </row>
    <row r="9952">
      <c r="A9952" s="55"/>
      <c r="B9952" s="119" t="s">
        <v>42280</v>
      </c>
      <c r="C9952" s="120" t="s">
        <v>26095</v>
      </c>
      <c r="D9952" s="31"/>
      <c r="F9952" s="121" t="s">
        <v>1348</v>
      </c>
      <c r="G9952" s="98" t="str">
        <f>HYPERLINK("http://mirror.ff7data.com.ar/ff7/data/battle/battle.lgp/rcae.png","View Picture")</f>
        <v>View Picture</v>
      </c>
    </row>
    <row r="9953">
      <c r="A9953" s="55"/>
      <c r="B9953" s="119" t="s">
        <v>42281</v>
      </c>
      <c r="C9953" s="120" t="s">
        <v>26095</v>
      </c>
      <c r="D9953" s="31"/>
      <c r="F9953" s="121" t="s">
        <v>1348</v>
      </c>
      <c r="G9953" s="98" t="str">
        <f>HYPERLINK("http://mirror.ff7data.com.ar/ff7/data/battle/battle.lgp/rcaf.png","View Picture")</f>
        <v>View Picture</v>
      </c>
    </row>
    <row r="9954">
      <c r="A9954" s="55"/>
      <c r="B9954" s="119" t="s">
        <v>42282</v>
      </c>
      <c r="C9954" s="120" t="s">
        <v>26095</v>
      </c>
      <c r="D9954" s="31"/>
      <c r="F9954" s="121" t="s">
        <v>1348</v>
      </c>
      <c r="G9954" s="98" t="str">
        <f>HYPERLINK("http://mirror.ff7data.com.ar/ff7/data/battle/battle.lgp/rcag.png","View Picture")</f>
        <v>View Picture</v>
      </c>
    </row>
    <row r="9955">
      <c r="A9955" s="55"/>
      <c r="B9955" s="119" t="s">
        <v>42283</v>
      </c>
      <c r="C9955" s="120" t="s">
        <v>6018</v>
      </c>
      <c r="D9955" s="31"/>
      <c r="F9955" s="121" t="s">
        <v>1348</v>
      </c>
      <c r="G9955" s="98" t="str">
        <f>HYPERLINK("http://mirror.ff7data.com.ar/ff7/data/battle/battle.lgp/rcah.png","View Picture")</f>
        <v>View Picture</v>
      </c>
    </row>
    <row r="9956">
      <c r="A9956" s="55"/>
      <c r="B9956" s="119" t="s">
        <v>42284</v>
      </c>
      <c r="C9956" s="120" t="s">
        <v>6018</v>
      </c>
      <c r="D9956" s="31"/>
      <c r="F9956" s="121" t="s">
        <v>1348</v>
      </c>
      <c r="G9956" s="98" t="str">
        <f>HYPERLINK("http://mirror.ff7data.com.ar/ff7/data/battle/battle.lgp/rcai.png","View Picture")</f>
        <v>View Picture</v>
      </c>
    </row>
    <row r="9957">
      <c r="A9957" s="55"/>
      <c r="B9957" s="119" t="s">
        <v>42285</v>
      </c>
      <c r="C9957" s="120" t="s">
        <v>6018</v>
      </c>
      <c r="D9957" s="31"/>
      <c r="F9957" s="121" t="s">
        <v>1348</v>
      </c>
      <c r="G9957" s="98" t="str">
        <f>HYPERLINK("http://mirror.ff7data.com.ar/ff7/data/battle/battle.lgp/rcaj.png","View Picture")</f>
        <v>View Picture</v>
      </c>
    </row>
    <row r="9958">
      <c r="A9958" s="55"/>
      <c r="B9958" s="119" t="s">
        <v>42286</v>
      </c>
      <c r="C9958" s="120" t="s">
        <v>26095</v>
      </c>
      <c r="D9958" s="31"/>
      <c r="F9958" s="121" t="s">
        <v>3009</v>
      </c>
      <c r="G9958" s="98" t="str">
        <f>HYPERLINK("http://mirror.ff7data.com.ar/ff7/data/battle/battle.lgp/rcam.png","View Picture")</f>
        <v>View Picture</v>
      </c>
    </row>
    <row r="9959">
      <c r="A9959" s="55"/>
      <c r="B9959" s="119" t="s">
        <v>42287</v>
      </c>
      <c r="C9959" s="120" t="s">
        <v>4846</v>
      </c>
      <c r="D9959" s="31"/>
      <c r="F9959" s="121" t="s">
        <v>3009</v>
      </c>
      <c r="G9959" s="98" t="str">
        <f>HYPERLINK("http://mirror.ff7data.com.ar/ff7/data/battle/battle.lgp/rcan.png","View Picture")</f>
        <v>View Picture</v>
      </c>
    </row>
    <row r="9960">
      <c r="A9960" s="55"/>
      <c r="B9960" s="119" t="s">
        <v>42288</v>
      </c>
      <c r="C9960" s="120" t="s">
        <v>4846</v>
      </c>
      <c r="D9960" s="31"/>
      <c r="F9960" s="121" t="s">
        <v>3009</v>
      </c>
      <c r="G9960" s="98" t="str">
        <f>HYPERLINK("http://mirror.ff7data.com.ar/ff7/data/battle/battle.lgp/rcao.png","View Picture")</f>
        <v>View Picture</v>
      </c>
    </row>
    <row r="9961">
      <c r="A9961" s="55"/>
      <c r="B9961" s="119" t="s">
        <v>42289</v>
      </c>
      <c r="C9961" s="120" t="s">
        <v>4846</v>
      </c>
      <c r="D9961" s="31"/>
      <c r="F9961" s="121" t="s">
        <v>3009</v>
      </c>
      <c r="G9961" s="98" t="str">
        <f>HYPERLINK("http://mirror.ff7data.com.ar/ff7/data/battle/battle.lgp/rcap.png","View Picture")</f>
        <v>View Picture</v>
      </c>
    </row>
    <row r="9962">
      <c r="A9962" s="55"/>
      <c r="B9962" s="119" t="s">
        <v>42290</v>
      </c>
      <c r="C9962" s="120" t="s">
        <v>4288</v>
      </c>
      <c r="D9962" s="31"/>
      <c r="F9962" s="121" t="s">
        <v>3009</v>
      </c>
      <c r="G9962" s="98" t="str">
        <f>HYPERLINK("http://mirror.ff7data.com.ar/ff7/data/battle/battle.lgp/rcaq.png","View Picture")</f>
        <v>View Picture</v>
      </c>
    </row>
    <row r="9963">
      <c r="A9963" s="55"/>
      <c r="B9963" s="119" t="s">
        <v>42291</v>
      </c>
      <c r="C9963" s="120" t="s">
        <v>4252</v>
      </c>
      <c r="D9963" s="31"/>
      <c r="F9963" s="121" t="s">
        <v>3009</v>
      </c>
      <c r="G9963" s="98" t="str">
        <f>HYPERLINK("http://mirror.ff7data.com.ar/ff7/data/battle/battle.lgp/rcar.png","View Picture")</f>
        <v>View Picture</v>
      </c>
    </row>
    <row r="9964">
      <c r="A9964" s="55"/>
      <c r="B9964" s="119" t="s">
        <v>42292</v>
      </c>
      <c r="C9964" s="120" t="s">
        <v>3343</v>
      </c>
      <c r="D9964" s="31"/>
      <c r="F9964" s="121" t="s">
        <v>3009</v>
      </c>
      <c r="G9964" s="98" t="str">
        <f>HYPERLINK("http://mirror.ff7data.com.ar/ff7/data/battle/battle.lgp/rcas.png","View Picture")</f>
        <v>View Picture</v>
      </c>
    </row>
    <row r="9965">
      <c r="A9965" s="55"/>
      <c r="B9965" s="119" t="s">
        <v>42293</v>
      </c>
      <c r="C9965" s="120" t="s">
        <v>3961</v>
      </c>
      <c r="D9965" s="31"/>
      <c r="F9965" s="121" t="s">
        <v>3009</v>
      </c>
      <c r="G9965" s="98" t="str">
        <f>HYPERLINK("http://mirror.ff7data.com.ar/ff7/data/battle/battle.lgp/rcat.png","View Picture")</f>
        <v>View Picture</v>
      </c>
    </row>
    <row r="9966">
      <c r="A9966" s="55"/>
      <c r="B9966" s="119" t="s">
        <v>42294</v>
      </c>
      <c r="C9966" s="120" t="s">
        <v>13619</v>
      </c>
      <c r="D9966" s="31"/>
      <c r="F9966" s="121" t="s">
        <v>3009</v>
      </c>
      <c r="G9966" s="98" t="str">
        <f>HYPERLINK("http://mirror.ff7data.com.ar/ff7/data/battle/battle.lgp/rcau.png","View Picture")</f>
        <v>View Picture</v>
      </c>
    </row>
    <row r="9967">
      <c r="A9967" s="55"/>
      <c r="B9967" s="119" t="s">
        <v>42295</v>
      </c>
      <c r="C9967" s="120" t="s">
        <v>7871</v>
      </c>
      <c r="D9967" s="31"/>
      <c r="F9967" s="121" t="s">
        <v>3009</v>
      </c>
      <c r="G9967" s="98" t="str">
        <f>HYPERLINK("http://mirror.ff7data.com.ar/ff7/data/battle/battle.lgp/rcav.png","View Picture")</f>
        <v>View Picture</v>
      </c>
    </row>
    <row r="9968">
      <c r="A9968" s="55"/>
      <c r="B9968" s="119" t="s">
        <v>42296</v>
      </c>
      <c r="C9968" s="120" t="s">
        <v>4288</v>
      </c>
      <c r="D9968" s="31"/>
      <c r="F9968" s="121" t="s">
        <v>3009</v>
      </c>
      <c r="G9968" s="98" t="str">
        <f>HYPERLINK("http://mirror.ff7data.com.ar/ff7/data/battle/battle.lgp/rcaw.png","View Picture")</f>
        <v>View Picture</v>
      </c>
    </row>
    <row r="9969">
      <c r="A9969" s="55"/>
      <c r="B9969" s="119" t="s">
        <v>42297</v>
      </c>
      <c r="C9969" s="120" t="s">
        <v>5573</v>
      </c>
      <c r="D9969" s="31"/>
      <c r="F9969" s="121" t="s">
        <v>3009</v>
      </c>
      <c r="G9969" s="98" t="str">
        <f>HYPERLINK("http://mirror.ff7data.com.ar/ff7/data/battle/battle.lgp/rcax.png","View Picture")</f>
        <v>View Picture</v>
      </c>
    </row>
    <row r="9970">
      <c r="A9970" s="55"/>
      <c r="B9970" s="119" t="s">
        <v>42298</v>
      </c>
      <c r="C9970" s="120" t="s">
        <v>5573</v>
      </c>
      <c r="D9970" s="31"/>
      <c r="F9970" s="121" t="s">
        <v>3009</v>
      </c>
      <c r="G9970" s="98" t="str">
        <f>HYPERLINK("http://mirror.ff7data.com.ar/ff7/data/battle/battle.lgp/rcay.png","View Picture")</f>
        <v>View Picture</v>
      </c>
    </row>
    <row r="9971">
      <c r="A9971" s="55"/>
      <c r="B9971" s="119" t="s">
        <v>42299</v>
      </c>
      <c r="C9971" s="120" t="s">
        <v>3961</v>
      </c>
      <c r="D9971" s="31"/>
      <c r="F9971" s="121" t="s">
        <v>3009</v>
      </c>
      <c r="G9971" s="98" t="str">
        <f>HYPERLINK("http://mirror.ff7data.com.ar/ff7/data/battle/battle.lgp/rcaz.png","View Picture")</f>
        <v>View Picture</v>
      </c>
    </row>
    <row r="9972">
      <c r="A9972" s="55"/>
      <c r="B9972" s="119" t="s">
        <v>42300</v>
      </c>
      <c r="C9972" s="120" t="s">
        <v>26045</v>
      </c>
      <c r="D9972" s="31"/>
      <c r="F9972" s="121" t="s">
        <v>3009</v>
      </c>
      <c r="G9972" s="98" t="str">
        <f>HYPERLINK("http://mirror.ff7data.com.ar/ff7/data/battle/battle.lgp/rcba.png","View Picture")</f>
        <v>View Picture</v>
      </c>
    </row>
    <row r="9973">
      <c r="A9973" s="55"/>
      <c r="B9973" s="119" t="s">
        <v>42301</v>
      </c>
      <c r="C9973" s="120" t="s">
        <v>3842</v>
      </c>
      <c r="D9973" s="31"/>
      <c r="F9973" s="121" t="s">
        <v>3009</v>
      </c>
      <c r="G9973" s="98" t="str">
        <f>HYPERLINK("http://mirror.ff7data.com.ar/ff7/data/battle/battle.lgp/rcbb.png","View Picture")</f>
        <v>View Picture</v>
      </c>
    </row>
    <row r="9974">
      <c r="A9974" s="55"/>
      <c r="B9974" s="119" t="s">
        <v>42302</v>
      </c>
      <c r="C9974" s="120" t="s">
        <v>3519</v>
      </c>
      <c r="D9974" s="31"/>
      <c r="F9974" s="121" t="s">
        <v>3009</v>
      </c>
      <c r="G9974" s="98" t="str">
        <f>HYPERLINK("http://mirror.ff7data.com.ar/ff7/data/battle/battle.lgp/rcbc.png","View Picture")</f>
        <v>View Picture</v>
      </c>
    </row>
    <row r="9975">
      <c r="A9975" s="55"/>
      <c r="B9975" s="119" t="s">
        <v>42303</v>
      </c>
      <c r="C9975" s="120" t="s">
        <v>3445</v>
      </c>
      <c r="D9975" s="31"/>
      <c r="F9975" s="121" t="s">
        <v>3009</v>
      </c>
      <c r="G9975" s="98" t="str">
        <f>HYPERLINK("http://mirror.ff7data.com.ar/ff7/data/battle/battle.lgp/rcbd.png","View Picture")</f>
        <v>View Picture</v>
      </c>
    </row>
    <row r="9976">
      <c r="A9976" s="55"/>
      <c r="B9976" s="119" t="s">
        <v>42304</v>
      </c>
      <c r="C9976" s="120" t="s">
        <v>4476</v>
      </c>
      <c r="D9976" s="31"/>
      <c r="F9976" s="121" t="s">
        <v>3009</v>
      </c>
      <c r="G9976" s="98" t="str">
        <f>HYPERLINK("http://mirror.ff7data.com.ar/ff7/data/battle/battle.lgp/rcbe.png","View Picture")</f>
        <v>View Picture</v>
      </c>
    </row>
    <row r="9977">
      <c r="A9977" s="79"/>
      <c r="B9977" s="119" t="s">
        <v>42305</v>
      </c>
      <c r="C9977" s="120" t="s">
        <v>40553</v>
      </c>
      <c r="D9977" s="33" t="s">
        <v>42306</v>
      </c>
      <c r="F9977" s="121" t="s">
        <v>2756</v>
      </c>
      <c r="G9977" s="98" t="str">
        <f>HYPERLINK("http://mirror.ff7data.com.ar/ff7/data/battle/battle.lgp/rdaa.png","View Picture")</f>
        <v>View Picture</v>
      </c>
    </row>
    <row r="9978">
      <c r="A9978" s="55"/>
      <c r="B9978" s="119" t="s">
        <v>42307</v>
      </c>
      <c r="C9978" s="120" t="s">
        <v>40556</v>
      </c>
      <c r="D9978" s="31"/>
      <c r="F9978" s="121" t="s">
        <v>2993</v>
      </c>
    </row>
    <row r="9979">
      <c r="A9979" s="55"/>
      <c r="B9979" s="119" t="s">
        <v>42308</v>
      </c>
      <c r="C9979" s="120" t="s">
        <v>26104</v>
      </c>
      <c r="D9979" s="31"/>
      <c r="F9979" s="121" t="s">
        <v>1348</v>
      </c>
      <c r="G9979" s="98" t="str">
        <f>HYPERLINK("http://mirror.ff7data.com.ar/ff7/data/battle/battle.lgp/rdac.png","View Picture")</f>
        <v>View Picture</v>
      </c>
    </row>
    <row r="9980">
      <c r="A9980" s="55"/>
      <c r="B9980" s="119" t="s">
        <v>42309</v>
      </c>
      <c r="C9980" s="120" t="s">
        <v>7471</v>
      </c>
      <c r="D9980" s="31"/>
      <c r="F9980" s="121" t="s">
        <v>1348</v>
      </c>
      <c r="G9980" s="98" t="str">
        <f>HYPERLINK("http://mirror.ff7data.com.ar/ff7/data/battle/battle.lgp/rdad.png","View Picture")</f>
        <v>View Picture</v>
      </c>
    </row>
    <row r="9981">
      <c r="A9981" s="55"/>
      <c r="B9981" s="119" t="s">
        <v>42310</v>
      </c>
      <c r="C9981" s="120" t="s">
        <v>26095</v>
      </c>
      <c r="D9981" s="31"/>
      <c r="F9981" s="121" t="s">
        <v>1348</v>
      </c>
      <c r="G9981" s="98" t="str">
        <f>HYPERLINK("http://mirror.ff7data.com.ar/ff7/data/battle/battle.lgp/rdae.png","View Picture")</f>
        <v>View Picture</v>
      </c>
    </row>
    <row r="9982">
      <c r="A9982" s="55"/>
      <c r="B9982" s="119" t="s">
        <v>42311</v>
      </c>
      <c r="C9982" s="120" t="s">
        <v>6018</v>
      </c>
      <c r="D9982" s="31"/>
      <c r="F9982" s="121" t="s">
        <v>1348</v>
      </c>
      <c r="G9982" s="98" t="str">
        <f>HYPERLINK("http://mirror.ff7data.com.ar/ff7/data/battle/battle.lgp/rdaf.png","View Picture")</f>
        <v>View Picture</v>
      </c>
    </row>
    <row r="9983">
      <c r="A9983" s="55"/>
      <c r="B9983" s="119" t="s">
        <v>42312</v>
      </c>
      <c r="C9983" s="120" t="s">
        <v>7471</v>
      </c>
      <c r="D9983" s="31"/>
      <c r="F9983" s="121" t="s">
        <v>1348</v>
      </c>
      <c r="G9983" s="98" t="str">
        <f>HYPERLINK("http://mirror.ff7data.com.ar/ff7/data/battle/battle.lgp/rdag.png","View Picture")</f>
        <v>View Picture</v>
      </c>
    </row>
    <row r="9984">
      <c r="A9984" s="55"/>
      <c r="B9984" s="119" t="s">
        <v>42313</v>
      </c>
      <c r="C9984" s="120" t="s">
        <v>37143</v>
      </c>
      <c r="D9984" s="31"/>
      <c r="F9984" s="121" t="s">
        <v>3009</v>
      </c>
      <c r="G9984" s="98" t="str">
        <f>HYPERLINK("http://mirror.ff7data.com.ar/ff7/data/battle/battle.lgp/rdam.png","View Picture")</f>
        <v>View Picture</v>
      </c>
    </row>
    <row r="9985">
      <c r="A9985" s="55"/>
      <c r="B9985" s="119" t="s">
        <v>42314</v>
      </c>
      <c r="C9985" s="120" t="s">
        <v>4846</v>
      </c>
      <c r="D9985" s="31"/>
      <c r="F9985" s="121" t="s">
        <v>3009</v>
      </c>
      <c r="G9985" s="98" t="str">
        <f>HYPERLINK("http://mirror.ff7data.com.ar/ff7/data/battle/battle.lgp/rdan.png","View Picture")</f>
        <v>View Picture</v>
      </c>
    </row>
    <row r="9986">
      <c r="A9986" s="55"/>
      <c r="B9986" s="119" t="s">
        <v>42315</v>
      </c>
      <c r="C9986" s="120" t="s">
        <v>4846</v>
      </c>
      <c r="D9986" s="31"/>
      <c r="F9986" s="121" t="s">
        <v>3009</v>
      </c>
      <c r="G9986" s="98" t="str">
        <f>HYPERLINK("http://mirror.ff7data.com.ar/ff7/data/battle/battle.lgp/rdao.png","View Picture")</f>
        <v>View Picture</v>
      </c>
    </row>
    <row r="9987">
      <c r="A9987" s="55"/>
      <c r="B9987" s="119" t="s">
        <v>42316</v>
      </c>
      <c r="C9987" s="120" t="s">
        <v>4846</v>
      </c>
      <c r="D9987" s="31"/>
      <c r="F9987" s="121" t="s">
        <v>3009</v>
      </c>
      <c r="G9987" s="98" t="str">
        <f>HYPERLINK("http://mirror.ff7data.com.ar/ff7/data/battle/battle.lgp/rdap.png","View Picture")</f>
        <v>View Picture</v>
      </c>
    </row>
    <row r="9988">
      <c r="A9988" s="55"/>
      <c r="B9988" s="119" t="s">
        <v>42317</v>
      </c>
      <c r="C9988" s="120" t="s">
        <v>20274</v>
      </c>
      <c r="D9988" s="31"/>
      <c r="F9988" s="121" t="s">
        <v>3009</v>
      </c>
      <c r="G9988" s="98" t="str">
        <f>HYPERLINK("http://mirror.ff7data.com.ar/ff7/data/battle/battle.lgp/rdaq.png","View Picture")</f>
        <v>View Picture</v>
      </c>
    </row>
    <row r="9989">
      <c r="A9989" s="55"/>
      <c r="B9989" s="119" t="s">
        <v>42318</v>
      </c>
      <c r="C9989" s="120" t="s">
        <v>3318</v>
      </c>
      <c r="D9989" s="31"/>
      <c r="F9989" s="121" t="s">
        <v>3009</v>
      </c>
      <c r="G9989" s="98" t="str">
        <f>HYPERLINK("http://mirror.ff7data.com.ar/ff7/data/battle/battle.lgp/rdar.png","View Picture")</f>
        <v>View Picture</v>
      </c>
    </row>
    <row r="9990">
      <c r="A9990" s="55"/>
      <c r="B9990" s="119" t="s">
        <v>42319</v>
      </c>
      <c r="C9990" s="120" t="s">
        <v>4841</v>
      </c>
      <c r="D9990" s="31"/>
      <c r="F9990" s="121" t="s">
        <v>3009</v>
      </c>
      <c r="G9990" s="98" t="str">
        <f>HYPERLINK("http://mirror.ff7data.com.ar/ff7/data/battle/battle.lgp/rdas.png","View Picture")</f>
        <v>View Picture</v>
      </c>
    </row>
    <row r="9991">
      <c r="A9991" s="55"/>
      <c r="B9991" s="119" t="s">
        <v>42320</v>
      </c>
      <c r="C9991" s="120" t="s">
        <v>3658</v>
      </c>
      <c r="D9991" s="31"/>
      <c r="F9991" s="121" t="s">
        <v>3009</v>
      </c>
      <c r="G9991" s="98" t="str">
        <f>HYPERLINK("http://mirror.ff7data.com.ar/ff7/data/battle/battle.lgp/rdat.png","View Picture")</f>
        <v>View Picture</v>
      </c>
    </row>
    <row r="9992">
      <c r="A9992" s="55"/>
      <c r="B9992" s="119" t="s">
        <v>42321</v>
      </c>
      <c r="C9992" s="120" t="s">
        <v>4476</v>
      </c>
      <c r="D9992" s="31"/>
      <c r="F9992" s="121" t="s">
        <v>3009</v>
      </c>
      <c r="G9992" s="98" t="str">
        <f>HYPERLINK("http://mirror.ff7data.com.ar/ff7/data/battle/battle.lgp/rdau.png","View Picture")</f>
        <v>View Picture</v>
      </c>
    </row>
    <row r="9993">
      <c r="A9993" s="55"/>
      <c r="B9993" s="119" t="s">
        <v>42322</v>
      </c>
      <c r="C9993" s="120" t="s">
        <v>20274</v>
      </c>
      <c r="D9993" s="31"/>
      <c r="F9993" s="121" t="s">
        <v>3009</v>
      </c>
      <c r="G9993" s="98" t="str">
        <f>HYPERLINK("http://mirror.ff7data.com.ar/ff7/data/battle/battle.lgp/rdav.png","View Picture")</f>
        <v>View Picture</v>
      </c>
    </row>
    <row r="9994">
      <c r="A9994" s="55"/>
      <c r="B9994" s="119" t="s">
        <v>42323</v>
      </c>
      <c r="C9994" s="120" t="s">
        <v>3842</v>
      </c>
      <c r="D9994" s="31"/>
      <c r="F9994" s="121" t="s">
        <v>3009</v>
      </c>
      <c r="G9994" s="98" t="str">
        <f>HYPERLINK("http://mirror.ff7data.com.ar/ff7/data/battle/battle.lgp/rdaw.png","View Picture")</f>
        <v>View Picture</v>
      </c>
    </row>
    <row r="9995">
      <c r="A9995" s="55"/>
      <c r="B9995" s="119" t="s">
        <v>42324</v>
      </c>
      <c r="C9995" s="120" t="s">
        <v>3355</v>
      </c>
      <c r="D9995" s="31"/>
      <c r="F9995" s="121" t="s">
        <v>3009</v>
      </c>
      <c r="G9995" s="98" t="str">
        <f>HYPERLINK("http://mirror.ff7data.com.ar/ff7/data/battle/battle.lgp/rdax.png","View Picture")</f>
        <v>View Picture</v>
      </c>
    </row>
    <row r="9996">
      <c r="A9996" s="55"/>
      <c r="B9996" s="119" t="s">
        <v>42325</v>
      </c>
      <c r="C9996" s="120" t="s">
        <v>13844</v>
      </c>
      <c r="D9996" s="31"/>
      <c r="F9996" s="121" t="s">
        <v>3009</v>
      </c>
      <c r="G9996" s="98" t="str">
        <f>HYPERLINK("http://mirror.ff7data.com.ar/ff7/data/battle/battle.lgp/rday.png","View Picture")</f>
        <v>View Picture</v>
      </c>
    </row>
    <row r="9997">
      <c r="A9997" s="79"/>
      <c r="B9997" s="119" t="s">
        <v>42326</v>
      </c>
      <c r="C9997" s="120" t="s">
        <v>40553</v>
      </c>
      <c r="D9997" s="33" t="s">
        <v>42327</v>
      </c>
      <c r="F9997" s="121" t="s">
        <v>2756</v>
      </c>
      <c r="G9997" s="98" t="str">
        <f>HYPERLINK("http://mirror.ff7data.com.ar/ff7/data/battle/battle.lgp/reaa.png","View Picture")</f>
        <v>View Picture</v>
      </c>
    </row>
    <row r="9998">
      <c r="A9998" s="55"/>
      <c r="B9998" s="119" t="s">
        <v>42328</v>
      </c>
      <c r="C9998" s="120" t="s">
        <v>40556</v>
      </c>
      <c r="D9998" s="31"/>
      <c r="F9998" s="121" t="s">
        <v>2993</v>
      </c>
    </row>
    <row r="9999">
      <c r="A9999" s="55"/>
      <c r="B9999" s="119" t="s">
        <v>42329</v>
      </c>
      <c r="C9999" s="120" t="s">
        <v>26104</v>
      </c>
      <c r="D9999" s="31"/>
      <c r="F9999" s="121" t="s">
        <v>1348</v>
      </c>
      <c r="G9999" s="98" t="str">
        <f>HYPERLINK("http://mirror.ff7data.com.ar/ff7/data/battle/battle.lgp/reac.png","View Picture")</f>
        <v>View Picture</v>
      </c>
    </row>
    <row r="10000">
      <c r="A10000" s="55"/>
      <c r="B10000" s="119" t="s">
        <v>42330</v>
      </c>
      <c r="C10000" s="120" t="s">
        <v>26095</v>
      </c>
      <c r="D10000" s="31"/>
      <c r="F10000" s="121" t="s">
        <v>1348</v>
      </c>
      <c r="G10000" s="98" t="str">
        <f>HYPERLINK("http://mirror.ff7data.com.ar/ff7/data/battle/battle.lgp/read.png","View Picture")</f>
        <v>View Picture</v>
      </c>
    </row>
    <row r="10001">
      <c r="A10001" s="55"/>
      <c r="B10001" s="119" t="s">
        <v>42331</v>
      </c>
      <c r="C10001" s="120" t="s">
        <v>26104</v>
      </c>
      <c r="D10001" s="31"/>
      <c r="F10001" s="121" t="s">
        <v>1348</v>
      </c>
      <c r="G10001" s="98" t="str">
        <f>HYPERLINK("http://mirror.ff7data.com.ar/ff7/data/battle/battle.lgp/reae.png","View Picture")</f>
        <v>View Picture</v>
      </c>
    </row>
    <row r="10002">
      <c r="A10002" s="55"/>
      <c r="B10002" s="119" t="s">
        <v>42332</v>
      </c>
      <c r="C10002" s="120" t="s">
        <v>6018</v>
      </c>
      <c r="D10002" s="31"/>
      <c r="F10002" s="121" t="s">
        <v>1348</v>
      </c>
      <c r="G10002" s="98" t="str">
        <f>HYPERLINK("http://mirror.ff7data.com.ar/ff7/data/battle/battle.lgp/reaf.png","View Picture")</f>
        <v>View Picture</v>
      </c>
    </row>
    <row r="10003">
      <c r="A10003" s="55"/>
      <c r="B10003" s="119" t="s">
        <v>42333</v>
      </c>
      <c r="C10003" s="120" t="s">
        <v>6018</v>
      </c>
      <c r="D10003" s="31"/>
      <c r="F10003" s="121" t="s">
        <v>1348</v>
      </c>
      <c r="G10003" s="98" t="str">
        <f>HYPERLINK("http://mirror.ff7data.com.ar/ff7/data/battle/battle.lgp/reag.png","View Picture")</f>
        <v>View Picture</v>
      </c>
    </row>
    <row r="10004">
      <c r="A10004" s="55"/>
      <c r="B10004" s="119" t="s">
        <v>42334</v>
      </c>
      <c r="C10004" s="120" t="s">
        <v>7471</v>
      </c>
      <c r="D10004" s="31"/>
      <c r="F10004" s="121" t="s">
        <v>1348</v>
      </c>
      <c r="G10004" s="98" t="str">
        <f>HYPERLINK("http://mirror.ff7data.com.ar/ff7/data/battle/battle.lgp/reah.png","View Picture")</f>
        <v>View Picture</v>
      </c>
    </row>
    <row r="10005">
      <c r="A10005" s="55"/>
      <c r="B10005" s="119" t="s">
        <v>42335</v>
      </c>
      <c r="C10005" s="120" t="s">
        <v>7115</v>
      </c>
      <c r="D10005" s="31"/>
      <c r="F10005" s="121" t="s">
        <v>3009</v>
      </c>
      <c r="G10005" s="98" t="str">
        <f>HYPERLINK("http://mirror.ff7data.com.ar/ff7/data/battle/battle.lgp/ream.png","View Picture")</f>
        <v>View Picture</v>
      </c>
    </row>
    <row r="10006">
      <c r="A10006" s="55"/>
      <c r="B10006" s="119" t="s">
        <v>42336</v>
      </c>
      <c r="C10006" s="120" t="s">
        <v>4846</v>
      </c>
      <c r="D10006" s="31"/>
      <c r="F10006" s="121" t="s">
        <v>3009</v>
      </c>
      <c r="G10006" s="98" t="str">
        <f>HYPERLINK("http://mirror.ff7data.com.ar/ff7/data/battle/battle.lgp/rean.png","View Picture")</f>
        <v>View Picture</v>
      </c>
    </row>
    <row r="10007">
      <c r="A10007" s="55"/>
      <c r="B10007" s="119" t="s">
        <v>42337</v>
      </c>
      <c r="C10007" s="120" t="s">
        <v>4846</v>
      </c>
      <c r="D10007" s="31"/>
      <c r="F10007" s="121" t="s">
        <v>3009</v>
      </c>
      <c r="G10007" s="98" t="str">
        <f>HYPERLINK("http://mirror.ff7data.com.ar/ff7/data/battle/battle.lgp/reao.png","View Picture")</f>
        <v>View Picture</v>
      </c>
    </row>
    <row r="10008">
      <c r="A10008" s="55"/>
      <c r="B10008" s="119" t="s">
        <v>42338</v>
      </c>
      <c r="C10008" s="120" t="s">
        <v>4846</v>
      </c>
      <c r="D10008" s="31"/>
      <c r="F10008" s="121" t="s">
        <v>3009</v>
      </c>
      <c r="G10008" s="98" t="str">
        <f>HYPERLINK("http://mirror.ff7data.com.ar/ff7/data/battle/battle.lgp/reap.png","View Picture")</f>
        <v>View Picture</v>
      </c>
    </row>
    <row r="10009">
      <c r="A10009" s="55"/>
      <c r="B10009" s="119" t="s">
        <v>42339</v>
      </c>
      <c r="C10009" s="120" t="s">
        <v>8649</v>
      </c>
      <c r="D10009" s="31"/>
      <c r="F10009" s="121" t="s">
        <v>3009</v>
      </c>
      <c r="G10009" s="98" t="str">
        <f>HYPERLINK("http://mirror.ff7data.com.ar/ff7/data/battle/battle.lgp/reaq.png","View Picture")</f>
        <v>View Picture</v>
      </c>
    </row>
    <row r="10010">
      <c r="A10010" s="55"/>
      <c r="B10010" s="119" t="s">
        <v>42340</v>
      </c>
      <c r="C10010" s="120" t="s">
        <v>11261</v>
      </c>
      <c r="D10010" s="31"/>
      <c r="F10010" s="121" t="s">
        <v>3009</v>
      </c>
      <c r="G10010" s="98" t="str">
        <f>HYPERLINK("http://mirror.ff7data.com.ar/ff7/data/battle/battle.lgp/rear.png","View Picture")</f>
        <v>View Picture</v>
      </c>
    </row>
    <row r="10011">
      <c r="A10011" s="55"/>
      <c r="B10011" s="119" t="s">
        <v>42341</v>
      </c>
      <c r="C10011" s="120" t="s">
        <v>3481</v>
      </c>
      <c r="D10011" s="31"/>
      <c r="F10011" s="121" t="s">
        <v>3009</v>
      </c>
      <c r="G10011" s="98" t="str">
        <f>HYPERLINK("http://mirror.ff7data.com.ar/ff7/data/battle/battle.lgp/reas.png","View Picture")</f>
        <v>View Picture</v>
      </c>
    </row>
    <row r="10012">
      <c r="A10012" s="55"/>
      <c r="B10012" s="119" t="s">
        <v>42342</v>
      </c>
      <c r="C10012" s="120" t="s">
        <v>7270</v>
      </c>
      <c r="D10012" s="31"/>
      <c r="F10012" s="121" t="s">
        <v>3009</v>
      </c>
      <c r="G10012" s="98" t="str">
        <f>HYPERLINK("http://mirror.ff7data.com.ar/ff7/data/battle/battle.lgp/reat.png","View Picture")</f>
        <v>View Picture</v>
      </c>
    </row>
    <row r="10013">
      <c r="A10013" s="55"/>
      <c r="B10013" s="119" t="s">
        <v>42343</v>
      </c>
      <c r="C10013" s="120" t="s">
        <v>4185</v>
      </c>
      <c r="D10013" s="31"/>
      <c r="F10013" s="121" t="s">
        <v>3009</v>
      </c>
      <c r="G10013" s="98" t="str">
        <f>HYPERLINK("http://mirror.ff7data.com.ar/ff7/data/battle/battle.lgp/reau.png","View Picture")</f>
        <v>View Picture</v>
      </c>
    </row>
    <row r="10014">
      <c r="A10014" s="55"/>
      <c r="B10014" s="119" t="s">
        <v>42344</v>
      </c>
      <c r="C10014" s="120" t="s">
        <v>3614</v>
      </c>
      <c r="D10014" s="31"/>
      <c r="F10014" s="121" t="s">
        <v>3009</v>
      </c>
      <c r="G10014" s="98" t="str">
        <f>HYPERLINK("http://mirror.ff7data.com.ar/ff7/data/battle/battle.lgp/reav.png","View Picture")</f>
        <v>View Picture</v>
      </c>
    </row>
    <row r="10015">
      <c r="A10015" s="55"/>
      <c r="B10015" s="119" t="s">
        <v>42345</v>
      </c>
      <c r="C10015" s="120" t="s">
        <v>8649</v>
      </c>
      <c r="D10015" s="31"/>
      <c r="F10015" s="121" t="s">
        <v>3009</v>
      </c>
      <c r="G10015" s="98" t="str">
        <f>HYPERLINK("http://mirror.ff7data.com.ar/ff7/data/battle/battle.lgp/reaw.png","View Picture")</f>
        <v>View Picture</v>
      </c>
    </row>
    <row r="10016">
      <c r="A10016" s="55"/>
      <c r="B10016" s="119" t="s">
        <v>42346</v>
      </c>
      <c r="C10016" s="120" t="s">
        <v>4357</v>
      </c>
      <c r="D10016" s="31"/>
      <c r="F10016" s="121" t="s">
        <v>3009</v>
      </c>
      <c r="G10016" s="98" t="str">
        <f>HYPERLINK("http://mirror.ff7data.com.ar/ff7/data/battle/battle.lgp/reax.png","View Picture")</f>
        <v>View Picture</v>
      </c>
    </row>
    <row r="10017">
      <c r="A10017" s="55"/>
      <c r="B10017" s="119" t="s">
        <v>42347</v>
      </c>
      <c r="C10017" s="120" t="s">
        <v>5891</v>
      </c>
      <c r="D10017" s="31"/>
      <c r="F10017" s="121" t="s">
        <v>3009</v>
      </c>
      <c r="G10017" s="98" t="str">
        <f>HYPERLINK("http://mirror.ff7data.com.ar/ff7/data/battle/battle.lgp/reay.png","View Picture")</f>
        <v>View Picture</v>
      </c>
    </row>
    <row r="10018">
      <c r="A10018" s="55"/>
      <c r="B10018" s="119" t="s">
        <v>42348</v>
      </c>
      <c r="C10018" s="120" t="s">
        <v>4357</v>
      </c>
      <c r="D10018" s="31"/>
      <c r="F10018" s="121" t="s">
        <v>3009</v>
      </c>
      <c r="G10018" s="98" t="str">
        <f>HYPERLINK("http://mirror.ff7data.com.ar/ff7/data/battle/battle.lgp/reaz.png","View Picture")</f>
        <v>View Picture</v>
      </c>
    </row>
    <row r="10019">
      <c r="A10019" s="79"/>
      <c r="B10019" s="119" t="s">
        <v>42349</v>
      </c>
      <c r="C10019" s="120" t="s">
        <v>40553</v>
      </c>
      <c r="D10019" s="33" t="s">
        <v>42350</v>
      </c>
      <c r="F10019" s="121" t="s">
        <v>2756</v>
      </c>
      <c r="G10019" s="98" t="str">
        <f>HYPERLINK("http://mirror.ff7data.com.ar/ff7/data/battle/battle.lgp/rfaa.png","View Picture")</f>
        <v>View Picture</v>
      </c>
    </row>
    <row r="10020">
      <c r="A10020" s="55"/>
      <c r="B10020" s="119" t="s">
        <v>42351</v>
      </c>
      <c r="C10020" s="120" t="s">
        <v>40556</v>
      </c>
      <c r="D10020" s="31"/>
      <c r="F10020" s="121" t="s">
        <v>2993</v>
      </c>
    </row>
    <row r="10021">
      <c r="A10021" s="55"/>
      <c r="B10021" s="119" t="s">
        <v>42352</v>
      </c>
      <c r="C10021" s="120" t="s">
        <v>26104</v>
      </c>
      <c r="D10021" s="31"/>
      <c r="F10021" s="121" t="s">
        <v>1348</v>
      </c>
      <c r="G10021" s="98" t="str">
        <f>HYPERLINK("http://mirror.ff7data.com.ar/ff7/data/battle/battle.lgp/rfac.png","View Picture")</f>
        <v>View Picture</v>
      </c>
    </row>
    <row r="10022">
      <c r="A10022" s="55"/>
      <c r="B10022" s="119" t="s">
        <v>42353</v>
      </c>
      <c r="C10022" s="120" t="s">
        <v>7471</v>
      </c>
      <c r="D10022" s="31"/>
      <c r="F10022" s="121" t="s">
        <v>1348</v>
      </c>
      <c r="G10022" s="98" t="str">
        <f>HYPERLINK("http://mirror.ff7data.com.ar/ff7/data/battle/battle.lgp/rfad.png","View Picture")</f>
        <v>View Picture</v>
      </c>
    </row>
    <row r="10023">
      <c r="A10023" s="55"/>
      <c r="B10023" s="119" t="s">
        <v>42354</v>
      </c>
      <c r="C10023" s="120" t="s">
        <v>26095</v>
      </c>
      <c r="D10023" s="31"/>
      <c r="F10023" s="121" t="s">
        <v>1348</v>
      </c>
      <c r="G10023" s="98" t="str">
        <f>HYPERLINK("http://mirror.ff7data.com.ar/ff7/data/battle/battle.lgp/rfae.png","View Picture")</f>
        <v>View Picture</v>
      </c>
    </row>
    <row r="10024">
      <c r="A10024" s="55"/>
      <c r="B10024" s="119" t="s">
        <v>42355</v>
      </c>
      <c r="C10024" s="120" t="s">
        <v>6018</v>
      </c>
      <c r="D10024" s="31"/>
      <c r="F10024" s="121" t="s">
        <v>1348</v>
      </c>
      <c r="G10024" s="98" t="str">
        <f>HYPERLINK("http://mirror.ff7data.com.ar/ff7/data/battle/battle.lgp/rfaf.png","View Picture")</f>
        <v>View Picture</v>
      </c>
    </row>
    <row r="10025">
      <c r="A10025" s="55"/>
      <c r="B10025" s="119" t="s">
        <v>42356</v>
      </c>
      <c r="C10025" s="120" t="s">
        <v>7471</v>
      </c>
      <c r="D10025" s="31"/>
      <c r="F10025" s="121" t="s">
        <v>1348</v>
      </c>
      <c r="G10025" s="98" t="str">
        <f>HYPERLINK("http://mirror.ff7data.com.ar/ff7/data/battle/battle.lgp/rfag.png","View Picture")</f>
        <v>View Picture</v>
      </c>
    </row>
    <row r="10026">
      <c r="A10026" s="55"/>
      <c r="B10026" s="119" t="s">
        <v>42357</v>
      </c>
      <c r="C10026" s="120" t="s">
        <v>11918</v>
      </c>
      <c r="D10026" s="31"/>
      <c r="F10026" s="121" t="s">
        <v>3009</v>
      </c>
      <c r="G10026" s="98" t="str">
        <f>HYPERLINK("http://mirror.ff7data.com.ar/ff7/data/battle/battle.lgp/rfam.png","View Picture")</f>
        <v>View Picture</v>
      </c>
    </row>
    <row r="10027">
      <c r="A10027" s="55"/>
      <c r="B10027" s="119" t="s">
        <v>42358</v>
      </c>
      <c r="C10027" s="120" t="s">
        <v>4846</v>
      </c>
      <c r="D10027" s="31"/>
      <c r="F10027" s="121" t="s">
        <v>3009</v>
      </c>
      <c r="G10027" s="98" t="str">
        <f>HYPERLINK("http://mirror.ff7data.com.ar/ff7/data/battle/battle.lgp/rfan.png","View Picture")</f>
        <v>View Picture</v>
      </c>
    </row>
    <row r="10028">
      <c r="A10028" s="55"/>
      <c r="B10028" s="119" t="s">
        <v>42359</v>
      </c>
      <c r="C10028" s="120" t="s">
        <v>4846</v>
      </c>
      <c r="D10028" s="31"/>
      <c r="F10028" s="121" t="s">
        <v>3009</v>
      </c>
      <c r="G10028" s="98" t="str">
        <f>HYPERLINK("http://mirror.ff7data.com.ar/ff7/data/battle/battle.lgp/rfao.png","View Picture")</f>
        <v>View Picture</v>
      </c>
    </row>
    <row r="10029">
      <c r="A10029" s="55"/>
      <c r="B10029" s="119" t="s">
        <v>42360</v>
      </c>
      <c r="C10029" s="120" t="s">
        <v>4846</v>
      </c>
      <c r="D10029" s="31"/>
      <c r="F10029" s="121" t="s">
        <v>3009</v>
      </c>
      <c r="G10029" s="98" t="str">
        <f>HYPERLINK("http://mirror.ff7data.com.ar/ff7/data/battle/battle.lgp/rfap.png","View Picture")</f>
        <v>View Picture</v>
      </c>
    </row>
    <row r="10030">
      <c r="A10030" s="55"/>
      <c r="B10030" s="119" t="s">
        <v>42361</v>
      </c>
      <c r="C10030" s="120" t="s">
        <v>20274</v>
      </c>
      <c r="D10030" s="31"/>
      <c r="F10030" s="121" t="s">
        <v>3009</v>
      </c>
      <c r="G10030" s="98" t="str">
        <f>HYPERLINK("http://mirror.ff7data.com.ar/ff7/data/battle/battle.lgp/rfaq.png","View Picture")</f>
        <v>View Picture</v>
      </c>
    </row>
    <row r="10031">
      <c r="A10031" s="55"/>
      <c r="B10031" s="119" t="s">
        <v>42362</v>
      </c>
      <c r="C10031" s="120" t="s">
        <v>4167</v>
      </c>
      <c r="D10031" s="31"/>
      <c r="F10031" s="121" t="s">
        <v>3009</v>
      </c>
      <c r="G10031" s="98" t="str">
        <f>HYPERLINK("http://mirror.ff7data.com.ar/ff7/data/battle/battle.lgp/rfar.png","View Picture")</f>
        <v>View Picture</v>
      </c>
    </row>
    <row r="10032">
      <c r="A10032" s="55"/>
      <c r="B10032" s="119" t="s">
        <v>42363</v>
      </c>
      <c r="C10032" s="120" t="s">
        <v>18144</v>
      </c>
      <c r="D10032" s="31"/>
      <c r="F10032" s="121" t="s">
        <v>3009</v>
      </c>
      <c r="G10032" s="98" t="str">
        <f>HYPERLINK("http://mirror.ff7data.com.ar/ff7/data/battle/battle.lgp/rfas.png","View Picture")</f>
        <v>View Picture</v>
      </c>
    </row>
    <row r="10033">
      <c r="A10033" s="55"/>
      <c r="B10033" s="119" t="s">
        <v>42364</v>
      </c>
      <c r="C10033" s="120" t="s">
        <v>3658</v>
      </c>
      <c r="D10033" s="31"/>
      <c r="F10033" s="121" t="s">
        <v>3009</v>
      </c>
      <c r="G10033" s="98" t="str">
        <f>HYPERLINK("http://mirror.ff7data.com.ar/ff7/data/battle/battle.lgp/rfat.png","View Picture")</f>
        <v>View Picture</v>
      </c>
    </row>
    <row r="10034">
      <c r="A10034" s="55"/>
      <c r="B10034" s="119" t="s">
        <v>42365</v>
      </c>
      <c r="C10034" s="120" t="s">
        <v>4476</v>
      </c>
      <c r="D10034" s="31"/>
      <c r="F10034" s="121" t="s">
        <v>3009</v>
      </c>
      <c r="G10034" s="98" t="str">
        <f>HYPERLINK("http://mirror.ff7data.com.ar/ff7/data/battle/battle.lgp/rfau.png","View Picture")</f>
        <v>View Picture</v>
      </c>
    </row>
    <row r="10035">
      <c r="A10035" s="55"/>
      <c r="B10035" s="119" t="s">
        <v>42366</v>
      </c>
      <c r="C10035" s="120" t="s">
        <v>20274</v>
      </c>
      <c r="D10035" s="31"/>
      <c r="F10035" s="121" t="s">
        <v>3009</v>
      </c>
      <c r="G10035" s="98" t="str">
        <f>HYPERLINK("http://mirror.ff7data.com.ar/ff7/data/battle/battle.lgp/rfav.png","View Picture")</f>
        <v>View Picture</v>
      </c>
    </row>
    <row r="10036">
      <c r="A10036" s="55"/>
      <c r="B10036" s="119" t="s">
        <v>42367</v>
      </c>
      <c r="C10036" s="120" t="s">
        <v>3842</v>
      </c>
      <c r="D10036" s="31"/>
      <c r="F10036" s="121" t="s">
        <v>3009</v>
      </c>
      <c r="G10036" s="98" t="str">
        <f>HYPERLINK("http://mirror.ff7data.com.ar/ff7/data/battle/battle.lgp/rfaw.png","View Picture")</f>
        <v>View Picture</v>
      </c>
    </row>
    <row r="10037">
      <c r="A10037" s="55"/>
      <c r="B10037" s="119" t="s">
        <v>42368</v>
      </c>
      <c r="C10037" s="120" t="s">
        <v>3355</v>
      </c>
      <c r="D10037" s="31"/>
      <c r="F10037" s="121" t="s">
        <v>3009</v>
      </c>
      <c r="G10037" s="98" t="str">
        <f>HYPERLINK("http://mirror.ff7data.com.ar/ff7/data/battle/battle.lgp/rfax.png","View Picture")</f>
        <v>View Picture</v>
      </c>
    </row>
    <row r="10038">
      <c r="A10038" s="55"/>
      <c r="B10038" s="119" t="s">
        <v>42369</v>
      </c>
      <c r="C10038" s="120" t="s">
        <v>13844</v>
      </c>
      <c r="D10038" s="31"/>
      <c r="F10038" s="121" t="s">
        <v>3009</v>
      </c>
      <c r="G10038" s="98" t="str">
        <f>HYPERLINK("http://mirror.ff7data.com.ar/ff7/data/battle/battle.lgp/rfay.png","View Picture")</f>
        <v>View Picture</v>
      </c>
    </row>
    <row r="10039">
      <c r="A10039" s="79"/>
      <c r="B10039" s="119" t="s">
        <v>42370</v>
      </c>
      <c r="C10039" s="120" t="s">
        <v>40553</v>
      </c>
      <c r="D10039" s="33" t="s">
        <v>42371</v>
      </c>
      <c r="F10039" s="121" t="s">
        <v>2756</v>
      </c>
      <c r="G10039" s="98" t="str">
        <f>HYPERLINK("http://mirror.ff7data.com.ar/ff7/data/battle/battle.lgp/rgaa.png","View Picture")</f>
        <v>View Picture</v>
      </c>
    </row>
    <row r="10040">
      <c r="A10040" s="55"/>
      <c r="B10040" s="119" t="s">
        <v>42372</v>
      </c>
      <c r="C10040" s="120" t="s">
        <v>40556</v>
      </c>
      <c r="D10040" s="31"/>
      <c r="F10040" s="121" t="s">
        <v>2993</v>
      </c>
    </row>
    <row r="10041">
      <c r="A10041" s="55"/>
      <c r="B10041" s="119" t="s">
        <v>42373</v>
      </c>
      <c r="C10041" s="120" t="s">
        <v>26104</v>
      </c>
      <c r="D10041" s="31"/>
      <c r="F10041" s="121" t="s">
        <v>1348</v>
      </c>
      <c r="G10041" s="98" t="str">
        <f>HYPERLINK("http://mirror.ff7data.com.ar/ff7/data/battle/battle.lgp/rgac.png","View Picture")</f>
        <v>View Picture</v>
      </c>
    </row>
    <row r="10042">
      <c r="A10042" s="55"/>
      <c r="B10042" s="119" t="s">
        <v>42374</v>
      </c>
      <c r="C10042" s="120" t="s">
        <v>26095</v>
      </c>
      <c r="D10042" s="31"/>
      <c r="F10042" s="121" t="s">
        <v>1348</v>
      </c>
      <c r="G10042" s="98" t="str">
        <f>HYPERLINK("http://mirror.ff7data.com.ar/ff7/data/battle/battle.lgp/rgad.png","View Picture")</f>
        <v>View Picture</v>
      </c>
    </row>
    <row r="10043">
      <c r="A10043" s="55"/>
      <c r="B10043" s="119" t="s">
        <v>42375</v>
      </c>
      <c r="C10043" s="120" t="s">
        <v>26095</v>
      </c>
      <c r="D10043" s="31"/>
      <c r="F10043" s="121" t="s">
        <v>1348</v>
      </c>
      <c r="G10043" s="98" t="str">
        <f>HYPERLINK("http://mirror.ff7data.com.ar/ff7/data/battle/battle.lgp/rgae.png","View Picture")</f>
        <v>View Picture</v>
      </c>
    </row>
    <row r="10044">
      <c r="A10044" s="55"/>
      <c r="B10044" s="119" t="s">
        <v>42376</v>
      </c>
      <c r="C10044" s="120" t="s">
        <v>26095</v>
      </c>
      <c r="D10044" s="31"/>
      <c r="F10044" s="121" t="s">
        <v>1348</v>
      </c>
      <c r="G10044" s="98" t="str">
        <f>HYPERLINK("http://mirror.ff7data.com.ar/ff7/data/battle/battle.lgp/rgaf.png","View Picture")</f>
        <v>View Picture</v>
      </c>
    </row>
    <row r="10045">
      <c r="A10045" s="55"/>
      <c r="B10045" s="119" t="s">
        <v>42377</v>
      </c>
      <c r="C10045" s="120" t="s">
        <v>3399</v>
      </c>
      <c r="D10045" s="31"/>
      <c r="F10045" s="121" t="s">
        <v>3009</v>
      </c>
      <c r="G10045" s="98" t="str">
        <f>HYPERLINK("http://mirror.ff7data.com.ar/ff7/data/battle/battle.lgp/rgam.png","View Picture")</f>
        <v>View Picture</v>
      </c>
    </row>
    <row r="10046">
      <c r="A10046" s="55"/>
      <c r="B10046" s="119" t="s">
        <v>42378</v>
      </c>
      <c r="C10046" s="120" t="s">
        <v>4846</v>
      </c>
      <c r="D10046" s="31"/>
      <c r="F10046" s="121" t="s">
        <v>3009</v>
      </c>
      <c r="G10046" s="98" t="str">
        <f>HYPERLINK("http://mirror.ff7data.com.ar/ff7/data/battle/battle.lgp/rgan.png","View Picture")</f>
        <v>View Picture</v>
      </c>
    </row>
    <row r="10047">
      <c r="A10047" s="55"/>
      <c r="B10047" s="119" t="s">
        <v>42379</v>
      </c>
      <c r="C10047" s="120" t="s">
        <v>4846</v>
      </c>
      <c r="D10047" s="31"/>
      <c r="F10047" s="121" t="s">
        <v>3009</v>
      </c>
      <c r="G10047" s="98" t="str">
        <f>HYPERLINK("http://mirror.ff7data.com.ar/ff7/data/battle/battle.lgp/rgao.png","View Picture")</f>
        <v>View Picture</v>
      </c>
    </row>
    <row r="10048">
      <c r="A10048" s="55"/>
      <c r="B10048" s="119" t="s">
        <v>42380</v>
      </c>
      <c r="C10048" s="120" t="s">
        <v>4846</v>
      </c>
      <c r="D10048" s="31"/>
      <c r="F10048" s="121" t="s">
        <v>3009</v>
      </c>
      <c r="G10048" s="98" t="str">
        <f>HYPERLINK("http://mirror.ff7data.com.ar/ff7/data/battle/battle.lgp/rgap.png","View Picture")</f>
        <v>View Picture</v>
      </c>
    </row>
    <row r="10049">
      <c r="A10049" s="55"/>
      <c r="B10049" s="119" t="s">
        <v>42381</v>
      </c>
      <c r="C10049" s="120" t="s">
        <v>7270</v>
      </c>
      <c r="D10049" s="31"/>
      <c r="F10049" s="121" t="s">
        <v>3009</v>
      </c>
      <c r="G10049" s="98" t="str">
        <f>HYPERLINK("http://mirror.ff7data.com.ar/ff7/data/battle/battle.lgp/rgaq.png","View Picture")</f>
        <v>View Picture</v>
      </c>
    </row>
    <row r="10050">
      <c r="A10050" s="55"/>
      <c r="B10050" s="119" t="s">
        <v>42382</v>
      </c>
      <c r="C10050" s="120" t="s">
        <v>7270</v>
      </c>
      <c r="D10050" s="31"/>
      <c r="F10050" s="121" t="s">
        <v>3009</v>
      </c>
      <c r="G10050" s="98" t="str">
        <f>HYPERLINK("http://mirror.ff7data.com.ar/ff7/data/battle/battle.lgp/rgar.png","View Picture")</f>
        <v>View Picture</v>
      </c>
    </row>
    <row r="10051">
      <c r="A10051" s="55"/>
      <c r="B10051" s="119" t="s">
        <v>42383</v>
      </c>
      <c r="C10051" s="120" t="s">
        <v>7270</v>
      </c>
      <c r="D10051" s="31"/>
      <c r="F10051" s="121" t="s">
        <v>3009</v>
      </c>
      <c r="G10051" s="98" t="str">
        <f>HYPERLINK("http://mirror.ff7data.com.ar/ff7/data/battle/battle.lgp/rgas.png","View Picture")</f>
        <v>View Picture</v>
      </c>
    </row>
    <row r="10052">
      <c r="A10052" s="79"/>
      <c r="B10052" s="119" t="s">
        <v>42384</v>
      </c>
      <c r="C10052" s="120" t="s">
        <v>40553</v>
      </c>
      <c r="D10052" s="33" t="s">
        <v>42385</v>
      </c>
      <c r="F10052" s="121" t="s">
        <v>2756</v>
      </c>
      <c r="G10052" s="98" t="str">
        <f>HYPERLINK("http://mirror.ff7data.com.ar/ff7/data/battle/battle.lgp/rhaa.png","View Picture")</f>
        <v>View Picture</v>
      </c>
    </row>
    <row r="10053">
      <c r="A10053" s="55"/>
      <c r="B10053" s="119" t="s">
        <v>42386</v>
      </c>
      <c r="C10053" s="120" t="s">
        <v>40556</v>
      </c>
      <c r="D10053" s="31"/>
      <c r="F10053" s="121" t="s">
        <v>2993</v>
      </c>
    </row>
    <row r="10054">
      <c r="A10054" s="55"/>
      <c r="B10054" s="119" t="s">
        <v>42387</v>
      </c>
      <c r="C10054" s="120" t="s">
        <v>26104</v>
      </c>
      <c r="D10054" s="31"/>
      <c r="F10054" s="121" t="s">
        <v>1348</v>
      </c>
      <c r="G10054" s="98" t="str">
        <f>HYPERLINK("http://mirror.ff7data.com.ar/ff7/data/battle/battle.lgp/rhac.png","View Picture")</f>
        <v>View Picture</v>
      </c>
    </row>
    <row r="10055">
      <c r="A10055" s="55"/>
      <c r="B10055" s="119" t="s">
        <v>42388</v>
      </c>
      <c r="C10055" s="120" t="s">
        <v>26095</v>
      </c>
      <c r="D10055" s="31"/>
      <c r="F10055" s="121" t="s">
        <v>1348</v>
      </c>
      <c r="G10055" s="98" t="str">
        <f>HYPERLINK("http://mirror.ff7data.com.ar/ff7/data/battle/battle.lgp/rhad.png","View Picture")</f>
        <v>View Picture</v>
      </c>
    </row>
    <row r="10056">
      <c r="A10056" s="55"/>
      <c r="B10056" s="119" t="s">
        <v>42389</v>
      </c>
      <c r="C10056" s="120" t="s">
        <v>6018</v>
      </c>
      <c r="D10056" s="31"/>
      <c r="F10056" s="121" t="s">
        <v>1348</v>
      </c>
      <c r="G10056" s="98" t="str">
        <f>HYPERLINK("http://mirror.ff7data.com.ar/ff7/data/battle/battle.lgp/rhae.png","View Picture")</f>
        <v>View Picture</v>
      </c>
    </row>
    <row r="10057">
      <c r="A10057" s="55"/>
      <c r="B10057" s="119" t="s">
        <v>42390</v>
      </c>
      <c r="C10057" s="120" t="s">
        <v>26095</v>
      </c>
      <c r="D10057" s="31"/>
      <c r="F10057" s="121" t="s">
        <v>1348</v>
      </c>
      <c r="G10057" s="98" t="str">
        <f>HYPERLINK("http://mirror.ff7data.com.ar/ff7/data/battle/battle.lgp/rhaf.png","View Picture")</f>
        <v>View Picture</v>
      </c>
    </row>
    <row r="10058">
      <c r="A10058" s="55"/>
      <c r="B10058" s="119" t="s">
        <v>42391</v>
      </c>
      <c r="C10058" s="120" t="s">
        <v>26095</v>
      </c>
      <c r="D10058" s="31"/>
      <c r="F10058" s="121" t="s">
        <v>1348</v>
      </c>
      <c r="G10058" s="98" t="str">
        <f>HYPERLINK("http://mirror.ff7data.com.ar/ff7/data/battle/battle.lgp/rhag.png","View Picture")</f>
        <v>View Picture</v>
      </c>
    </row>
    <row r="10059">
      <c r="A10059" s="55"/>
      <c r="B10059" s="119" t="s">
        <v>42392</v>
      </c>
      <c r="C10059" s="120" t="s">
        <v>26095</v>
      </c>
      <c r="D10059" s="31"/>
      <c r="F10059" s="121" t="s">
        <v>1348</v>
      </c>
      <c r="G10059" s="98" t="str">
        <f>HYPERLINK("http://mirror.ff7data.com.ar/ff7/data/battle/battle.lgp/rhah.png","View Picture")</f>
        <v>View Picture</v>
      </c>
    </row>
    <row r="10060">
      <c r="A10060" s="55"/>
      <c r="B10060" s="119" t="s">
        <v>42393</v>
      </c>
      <c r="C10060" s="120" t="s">
        <v>26104</v>
      </c>
      <c r="D10060" s="31"/>
      <c r="F10060" s="121" t="s">
        <v>1348</v>
      </c>
      <c r="G10060" s="98" t="str">
        <f>HYPERLINK("http://mirror.ff7data.com.ar/ff7/data/battle/battle.lgp/rhai.png","View Picture")</f>
        <v>View Picture</v>
      </c>
    </row>
    <row r="10061">
      <c r="A10061" s="55"/>
      <c r="B10061" s="119" t="s">
        <v>42394</v>
      </c>
      <c r="C10061" s="120" t="s">
        <v>26095</v>
      </c>
      <c r="D10061" s="31"/>
      <c r="F10061" s="121" t="s">
        <v>1348</v>
      </c>
      <c r="G10061" s="98" t="str">
        <f>HYPERLINK("http://mirror.ff7data.com.ar/ff7/data/battle/battle.lgp/rhaj.png","View Picture")</f>
        <v>View Picture</v>
      </c>
    </row>
    <row r="10062">
      <c r="A10062" s="55"/>
      <c r="B10062" s="119" t="s">
        <v>42395</v>
      </c>
      <c r="C10062" s="120" t="s">
        <v>4191</v>
      </c>
      <c r="D10062" s="31"/>
      <c r="F10062" s="121" t="s">
        <v>3009</v>
      </c>
      <c r="G10062" s="98" t="str">
        <f>HYPERLINK("http://mirror.ff7data.com.ar/ff7/data/battle/battle.lgp/rham.png","View Picture")</f>
        <v>View Picture</v>
      </c>
    </row>
    <row r="10063">
      <c r="A10063" s="55"/>
      <c r="B10063" s="119" t="s">
        <v>42396</v>
      </c>
      <c r="C10063" s="120" t="s">
        <v>3768</v>
      </c>
      <c r="D10063" s="31"/>
      <c r="F10063" s="121" t="s">
        <v>3009</v>
      </c>
      <c r="G10063" s="98" t="str">
        <f>HYPERLINK("http://mirror.ff7data.com.ar/ff7/data/battle/battle.lgp/rhan.png","View Picture")</f>
        <v>View Picture</v>
      </c>
    </row>
    <row r="10064">
      <c r="A10064" s="55"/>
      <c r="B10064" s="119" t="s">
        <v>42397</v>
      </c>
      <c r="C10064" s="120" t="s">
        <v>7270</v>
      </c>
      <c r="D10064" s="31"/>
      <c r="F10064" s="121" t="s">
        <v>3009</v>
      </c>
      <c r="G10064" s="98" t="str">
        <f>HYPERLINK("http://mirror.ff7data.com.ar/ff7/data/battle/battle.lgp/rhao.png","View Picture")</f>
        <v>View Picture</v>
      </c>
    </row>
    <row r="10065">
      <c r="A10065" s="55"/>
      <c r="B10065" s="119" t="s">
        <v>42398</v>
      </c>
      <c r="C10065" s="120" t="s">
        <v>4846</v>
      </c>
      <c r="D10065" s="31"/>
      <c r="F10065" s="121" t="s">
        <v>3009</v>
      </c>
      <c r="G10065" s="98" t="str">
        <f>HYPERLINK("http://mirror.ff7data.com.ar/ff7/data/battle/battle.lgp/rhap.png","View Picture")</f>
        <v>View Picture</v>
      </c>
    </row>
    <row r="10066">
      <c r="A10066" s="55"/>
      <c r="B10066" s="119" t="s">
        <v>42399</v>
      </c>
      <c r="C10066" s="120" t="s">
        <v>4185</v>
      </c>
      <c r="D10066" s="31"/>
      <c r="F10066" s="121" t="s">
        <v>3009</v>
      </c>
      <c r="G10066" s="98" t="str">
        <f>HYPERLINK("http://mirror.ff7data.com.ar/ff7/data/battle/battle.lgp/rhaq.png","View Picture")</f>
        <v>View Picture</v>
      </c>
    </row>
    <row r="10067">
      <c r="A10067" s="55"/>
      <c r="B10067" s="119" t="s">
        <v>42400</v>
      </c>
      <c r="C10067" s="120" t="s">
        <v>3343</v>
      </c>
      <c r="D10067" s="31"/>
      <c r="F10067" s="121" t="s">
        <v>3009</v>
      </c>
      <c r="G10067" s="98" t="str">
        <f>HYPERLINK("http://mirror.ff7data.com.ar/ff7/data/battle/battle.lgp/rhar.png","View Picture")</f>
        <v>View Picture</v>
      </c>
    </row>
    <row r="10068">
      <c r="A10068" s="55"/>
      <c r="B10068" s="119" t="s">
        <v>42401</v>
      </c>
      <c r="C10068" s="120" t="s">
        <v>5904</v>
      </c>
      <c r="D10068" s="31"/>
      <c r="F10068" s="121" t="s">
        <v>3009</v>
      </c>
      <c r="G10068" s="98" t="str">
        <f>HYPERLINK("http://mirror.ff7data.com.ar/ff7/data/battle/battle.lgp/rhas.png","View Picture")</f>
        <v>View Picture</v>
      </c>
    </row>
    <row r="10069">
      <c r="A10069" s="55"/>
      <c r="B10069" s="119" t="s">
        <v>42402</v>
      </c>
      <c r="C10069" s="120" t="s">
        <v>5904</v>
      </c>
      <c r="D10069" s="31"/>
      <c r="F10069" s="121" t="s">
        <v>3009</v>
      </c>
      <c r="G10069" s="98" t="str">
        <f>HYPERLINK("http://mirror.ff7data.com.ar/ff7/data/battle/battle.lgp/rhat.png","View Picture")</f>
        <v>View Picture</v>
      </c>
    </row>
    <row r="10070">
      <c r="A10070" s="55"/>
      <c r="B10070" s="119" t="s">
        <v>42403</v>
      </c>
      <c r="C10070" s="120" t="s">
        <v>3481</v>
      </c>
      <c r="D10070" s="31"/>
      <c r="F10070" s="121" t="s">
        <v>3009</v>
      </c>
      <c r="G10070" s="98" t="str">
        <f>HYPERLINK("http://mirror.ff7data.com.ar/ff7/data/battle/battle.lgp/rhau.png","View Picture")</f>
        <v>View Picture</v>
      </c>
    </row>
    <row r="10071">
      <c r="A10071" s="55"/>
      <c r="B10071" s="119" t="s">
        <v>42404</v>
      </c>
      <c r="C10071" s="120" t="s">
        <v>3481</v>
      </c>
      <c r="D10071" s="31"/>
      <c r="F10071" s="121" t="s">
        <v>3009</v>
      </c>
      <c r="G10071" s="98" t="str">
        <f>HYPERLINK("http://mirror.ff7data.com.ar/ff7/data/battle/battle.lgp/rhav.png","View Picture")</f>
        <v>View Picture</v>
      </c>
    </row>
    <row r="10072">
      <c r="A10072" s="55"/>
      <c r="B10072" s="119" t="s">
        <v>42405</v>
      </c>
      <c r="C10072" s="120" t="s">
        <v>4057</v>
      </c>
      <c r="D10072" s="31"/>
      <c r="F10072" s="121" t="s">
        <v>3009</v>
      </c>
      <c r="G10072" s="98" t="str">
        <f>HYPERLINK("http://mirror.ff7data.com.ar/ff7/data/battle/battle.lgp/rhaw.png","View Picture")</f>
        <v>View Picture</v>
      </c>
    </row>
    <row r="10073">
      <c r="A10073" s="55"/>
      <c r="B10073" s="119" t="s">
        <v>42406</v>
      </c>
      <c r="C10073" s="120" t="s">
        <v>4057</v>
      </c>
      <c r="D10073" s="31"/>
      <c r="F10073" s="121" t="s">
        <v>3009</v>
      </c>
      <c r="G10073" s="98" t="str">
        <f>HYPERLINK("http://mirror.ff7data.com.ar/ff7/data/battle/battle.lgp/rhax.png","View Picture")</f>
        <v>View Picture</v>
      </c>
    </row>
    <row r="10074">
      <c r="A10074" s="55"/>
      <c r="B10074" s="119" t="s">
        <v>42407</v>
      </c>
      <c r="C10074" s="120" t="s">
        <v>4057</v>
      </c>
      <c r="D10074" s="31"/>
      <c r="F10074" s="121" t="s">
        <v>3009</v>
      </c>
      <c r="G10074" s="98" t="str">
        <f>HYPERLINK("http://mirror.ff7data.com.ar/ff7/data/battle/battle.lgp/rhay.png","View Picture")</f>
        <v>View Picture</v>
      </c>
    </row>
    <row r="10075">
      <c r="A10075" s="55"/>
      <c r="B10075" s="119" t="s">
        <v>42408</v>
      </c>
      <c r="C10075" s="120" t="s">
        <v>4185</v>
      </c>
      <c r="D10075" s="31"/>
      <c r="F10075" s="121" t="s">
        <v>3009</v>
      </c>
      <c r="G10075" s="98" t="str">
        <f>HYPERLINK("http://mirror.ff7data.com.ar/ff7/data/battle/battle.lgp/rhaz.png","View Picture")</f>
        <v>View Picture</v>
      </c>
    </row>
    <row r="10076">
      <c r="A10076" s="55"/>
      <c r="B10076" s="119" t="s">
        <v>42409</v>
      </c>
      <c r="C10076" s="120" t="s">
        <v>4185</v>
      </c>
      <c r="D10076" s="31"/>
      <c r="F10076" s="121" t="s">
        <v>3009</v>
      </c>
      <c r="G10076" s="98" t="str">
        <f>HYPERLINK("http://mirror.ff7data.com.ar/ff7/data/battle/battle.lgp/rhba.png","View Picture")</f>
        <v>View Picture</v>
      </c>
    </row>
    <row r="10077">
      <c r="A10077" s="55"/>
      <c r="B10077" s="119" t="s">
        <v>42410</v>
      </c>
      <c r="C10077" s="120" t="s">
        <v>4357</v>
      </c>
      <c r="D10077" s="31"/>
      <c r="F10077" s="121" t="s">
        <v>3009</v>
      </c>
      <c r="G10077" s="98" t="str">
        <f>HYPERLINK("http://mirror.ff7data.com.ar/ff7/data/battle/battle.lgp/rhbb.png","View Picture")</f>
        <v>View Picture</v>
      </c>
    </row>
    <row r="10078">
      <c r="A10078" s="79"/>
      <c r="B10078" s="119" t="s">
        <v>42411</v>
      </c>
      <c r="C10078" s="120" t="s">
        <v>40553</v>
      </c>
      <c r="D10078" s="33" t="s">
        <v>42412</v>
      </c>
      <c r="F10078" s="121" t="s">
        <v>2756</v>
      </c>
      <c r="G10078" s="98" t="str">
        <f>HYPERLINK("http://mirror.ff7data.com.ar/ff7/data/battle/battle.lgp/riaa.png","View Picture")</f>
        <v>View Picture</v>
      </c>
    </row>
    <row r="10079">
      <c r="A10079" s="55"/>
      <c r="B10079" s="119" t="s">
        <v>42413</v>
      </c>
      <c r="C10079" s="120" t="s">
        <v>40556</v>
      </c>
      <c r="D10079" s="31"/>
      <c r="F10079" s="121" t="s">
        <v>2993</v>
      </c>
    </row>
    <row r="10080">
      <c r="A10080" s="55"/>
      <c r="B10080" s="119" t="s">
        <v>42414</v>
      </c>
      <c r="C10080" s="120" t="s">
        <v>26095</v>
      </c>
      <c r="D10080" s="31"/>
      <c r="F10080" s="121" t="s">
        <v>1348</v>
      </c>
      <c r="G10080" s="98" t="str">
        <f>HYPERLINK("http://mirror.ff7data.com.ar/ff7/data/battle/battle.lgp/riac.png","View Picture")</f>
        <v>View Picture</v>
      </c>
    </row>
    <row r="10081">
      <c r="A10081" s="55"/>
      <c r="B10081" s="119" t="s">
        <v>42415</v>
      </c>
      <c r="C10081" s="120" t="s">
        <v>26095</v>
      </c>
      <c r="D10081" s="31"/>
      <c r="F10081" s="121" t="s">
        <v>1348</v>
      </c>
      <c r="G10081" s="98" t="str">
        <f>HYPERLINK("http://mirror.ff7data.com.ar/ff7/data/battle/battle.lgp/riad.png","View Picture")</f>
        <v>View Picture</v>
      </c>
    </row>
    <row r="10082">
      <c r="A10082" s="55"/>
      <c r="B10082" s="119" t="s">
        <v>42416</v>
      </c>
      <c r="C10082" s="120" t="s">
        <v>26095</v>
      </c>
      <c r="D10082" s="31"/>
      <c r="F10082" s="121" t="s">
        <v>1348</v>
      </c>
      <c r="G10082" s="98" t="str">
        <f>HYPERLINK("http://mirror.ff7data.com.ar/ff7/data/battle/battle.lgp/riae.png","View Picture")</f>
        <v>View Picture</v>
      </c>
    </row>
    <row r="10083">
      <c r="A10083" s="55"/>
      <c r="B10083" s="119" t="s">
        <v>42417</v>
      </c>
      <c r="C10083" s="120" t="s">
        <v>26095</v>
      </c>
      <c r="D10083" s="31"/>
      <c r="F10083" s="121" t="s">
        <v>1348</v>
      </c>
      <c r="G10083" s="98" t="str">
        <f>HYPERLINK("http://mirror.ff7data.com.ar/ff7/data/battle/battle.lgp/riaf.png","View Picture")</f>
        <v>View Picture</v>
      </c>
    </row>
    <row r="10084">
      <c r="A10084" s="55"/>
      <c r="B10084" s="119" t="s">
        <v>42418</v>
      </c>
      <c r="C10084" s="120" t="s">
        <v>26104</v>
      </c>
      <c r="D10084" s="31"/>
      <c r="F10084" s="121" t="s">
        <v>1348</v>
      </c>
      <c r="G10084" s="98" t="str">
        <f>HYPERLINK("http://mirror.ff7data.com.ar/ff7/data/battle/battle.lgp/riag.png","View Picture")</f>
        <v>View Picture</v>
      </c>
    </row>
    <row r="10085">
      <c r="A10085" s="55"/>
      <c r="B10085" s="119" t="s">
        <v>42419</v>
      </c>
      <c r="C10085" s="120" t="s">
        <v>26095</v>
      </c>
      <c r="D10085" s="31"/>
      <c r="F10085" s="121" t="s">
        <v>1348</v>
      </c>
      <c r="G10085" s="98" t="str">
        <f>HYPERLINK("http://mirror.ff7data.com.ar/ff7/data/battle/battle.lgp/riah.png","View Picture")</f>
        <v>View Picture</v>
      </c>
    </row>
    <row r="10086">
      <c r="A10086" s="55"/>
      <c r="B10086" s="119" t="s">
        <v>42420</v>
      </c>
      <c r="C10086" s="120" t="s">
        <v>26095</v>
      </c>
      <c r="D10086" s="31"/>
      <c r="F10086" s="121" t="s">
        <v>1348</v>
      </c>
      <c r="G10086" s="98" t="str">
        <f>HYPERLINK("http://mirror.ff7data.com.ar/ff7/data/battle/battle.lgp/riai.png","View Picture")</f>
        <v>View Picture</v>
      </c>
    </row>
    <row r="10087">
      <c r="A10087" s="55"/>
      <c r="B10087" s="119" t="s">
        <v>42421</v>
      </c>
      <c r="C10087" s="120" t="s">
        <v>26095</v>
      </c>
      <c r="D10087" s="31"/>
      <c r="F10087" s="121" t="s">
        <v>1348</v>
      </c>
      <c r="G10087" s="98" t="str">
        <f>HYPERLINK("http://mirror.ff7data.com.ar/ff7/data/battle/battle.lgp/riaj.png","View Picture")</f>
        <v>View Picture</v>
      </c>
    </row>
    <row r="10088">
      <c r="A10088" s="55"/>
      <c r="B10088" s="119" t="s">
        <v>42422</v>
      </c>
      <c r="C10088" s="120" t="s">
        <v>34499</v>
      </c>
      <c r="D10088" s="31"/>
      <c r="F10088" s="121" t="s">
        <v>3009</v>
      </c>
      <c r="G10088" s="98" t="str">
        <f>HYPERLINK("http://mirror.ff7data.com.ar/ff7/data/battle/battle.lgp/riam.png","View Picture")</f>
        <v>View Picture</v>
      </c>
    </row>
    <row r="10089">
      <c r="A10089" s="55"/>
      <c r="B10089" s="119" t="s">
        <v>42423</v>
      </c>
      <c r="C10089" s="120" t="s">
        <v>3768</v>
      </c>
      <c r="D10089" s="31"/>
      <c r="F10089" s="121" t="s">
        <v>3009</v>
      </c>
      <c r="G10089" s="98" t="str">
        <f>HYPERLINK("http://mirror.ff7data.com.ar/ff7/data/battle/battle.lgp/rian.png","View Picture")</f>
        <v>View Picture</v>
      </c>
    </row>
    <row r="10090">
      <c r="A10090" s="55"/>
      <c r="B10090" s="119" t="s">
        <v>42424</v>
      </c>
      <c r="C10090" s="120" t="s">
        <v>7270</v>
      </c>
      <c r="D10090" s="31"/>
      <c r="F10090" s="121" t="s">
        <v>3009</v>
      </c>
      <c r="G10090" s="98" t="str">
        <f>HYPERLINK("http://mirror.ff7data.com.ar/ff7/data/battle/battle.lgp/riao.png","View Picture")</f>
        <v>View Picture</v>
      </c>
    </row>
    <row r="10091">
      <c r="A10091" s="55"/>
      <c r="B10091" s="119" t="s">
        <v>42425</v>
      </c>
      <c r="C10091" s="120" t="s">
        <v>3842</v>
      </c>
      <c r="D10091" s="31"/>
      <c r="F10091" s="121" t="s">
        <v>3009</v>
      </c>
      <c r="G10091" s="98" t="str">
        <f>HYPERLINK("http://mirror.ff7data.com.ar/ff7/data/battle/battle.lgp/riap.png","View Picture")</f>
        <v>View Picture</v>
      </c>
    </row>
    <row r="10092">
      <c r="A10092" s="55"/>
      <c r="B10092" s="119" t="s">
        <v>42426</v>
      </c>
      <c r="C10092" s="120" t="s">
        <v>7471</v>
      </c>
      <c r="D10092" s="31"/>
      <c r="F10092" s="121" t="s">
        <v>3009</v>
      </c>
      <c r="G10092" s="98" t="str">
        <f>HYPERLINK("http://mirror.ff7data.com.ar/ff7/data/battle/battle.lgp/riaq.png","View Picture")</f>
        <v>View Picture</v>
      </c>
    </row>
    <row r="10093">
      <c r="A10093" s="55"/>
      <c r="B10093" s="119" t="s">
        <v>42427</v>
      </c>
      <c r="C10093" s="120" t="s">
        <v>3768</v>
      </c>
      <c r="D10093" s="31"/>
      <c r="F10093" s="121" t="s">
        <v>3009</v>
      </c>
      <c r="G10093" s="98" t="str">
        <f>HYPERLINK("http://mirror.ff7data.com.ar/ff7/data/battle/battle.lgp/riar.png","View Picture")</f>
        <v>View Picture</v>
      </c>
    </row>
    <row r="10094">
      <c r="A10094" s="55"/>
      <c r="B10094" s="119" t="s">
        <v>42428</v>
      </c>
      <c r="C10094" s="120" t="s">
        <v>8376</v>
      </c>
      <c r="D10094" s="31"/>
      <c r="F10094" s="121" t="s">
        <v>3009</v>
      </c>
      <c r="G10094" s="98" t="str">
        <f>HYPERLINK("http://mirror.ff7data.com.ar/ff7/data/battle/battle.lgp/rias.png","View Picture")</f>
        <v>View Picture</v>
      </c>
    </row>
    <row r="10095">
      <c r="A10095" s="55"/>
      <c r="B10095" s="119" t="s">
        <v>42429</v>
      </c>
      <c r="C10095" s="120" t="s">
        <v>8649</v>
      </c>
      <c r="D10095" s="31"/>
      <c r="F10095" s="121" t="s">
        <v>3009</v>
      </c>
      <c r="G10095" s="98" t="str">
        <f>HYPERLINK("http://mirror.ff7data.com.ar/ff7/data/battle/battle.lgp/riat.png","View Picture")</f>
        <v>View Picture</v>
      </c>
    </row>
    <row r="10096">
      <c r="A10096" s="55"/>
      <c r="B10096" s="119" t="s">
        <v>42430</v>
      </c>
      <c r="C10096" s="120" t="s">
        <v>4217</v>
      </c>
      <c r="D10096" s="31"/>
      <c r="F10096" s="121" t="s">
        <v>3009</v>
      </c>
      <c r="G10096" s="98" t="str">
        <f>HYPERLINK("http://mirror.ff7data.com.ar/ff7/data/battle/battle.lgp/riau.png","View Picture")</f>
        <v>View Picture</v>
      </c>
    </row>
    <row r="10097">
      <c r="A10097" s="55"/>
      <c r="B10097" s="119" t="s">
        <v>42431</v>
      </c>
      <c r="C10097" s="120" t="s">
        <v>4357</v>
      </c>
      <c r="D10097" s="31"/>
      <c r="F10097" s="121" t="s">
        <v>3009</v>
      </c>
      <c r="G10097" s="98" t="str">
        <f>HYPERLINK("http://mirror.ff7data.com.ar/ff7/data/battle/battle.lgp/riav.png","View Picture")</f>
        <v>View Picture</v>
      </c>
    </row>
    <row r="10098">
      <c r="A10098" s="55"/>
      <c r="B10098" s="119" t="s">
        <v>42432</v>
      </c>
      <c r="C10098" s="120" t="s">
        <v>4732</v>
      </c>
      <c r="D10098" s="31"/>
      <c r="F10098" s="121" t="s">
        <v>3009</v>
      </c>
      <c r="G10098" s="98" t="str">
        <f>HYPERLINK("http://mirror.ff7data.com.ar/ff7/data/battle/battle.lgp/riaw.png","View Picture")</f>
        <v>View Picture</v>
      </c>
    </row>
    <row r="10099">
      <c r="A10099" s="55"/>
      <c r="B10099" s="119" t="s">
        <v>42433</v>
      </c>
      <c r="C10099" s="120" t="s">
        <v>4252</v>
      </c>
      <c r="D10099" s="31"/>
      <c r="F10099" s="121" t="s">
        <v>3009</v>
      </c>
      <c r="G10099" s="98" t="str">
        <f>HYPERLINK("http://mirror.ff7data.com.ar/ff7/data/battle/battle.lgp/riax.png","View Picture")</f>
        <v>View Picture</v>
      </c>
    </row>
    <row r="10100">
      <c r="A10100" s="55"/>
      <c r="B10100" s="119" t="s">
        <v>42434</v>
      </c>
      <c r="C10100" s="120" t="s">
        <v>3749</v>
      </c>
      <c r="D10100" s="31"/>
      <c r="F10100" s="121" t="s">
        <v>3009</v>
      </c>
      <c r="G10100" s="98" t="str">
        <f>HYPERLINK("http://mirror.ff7data.com.ar/ff7/data/battle/battle.lgp/riay.png","View Picture")</f>
        <v>View Picture</v>
      </c>
    </row>
    <row r="10101">
      <c r="A10101" s="79"/>
      <c r="B10101" s="119" t="s">
        <v>42435</v>
      </c>
      <c r="C10101" s="120" t="s">
        <v>40553</v>
      </c>
      <c r="D10101" s="33" t="s">
        <v>42436</v>
      </c>
      <c r="F10101" s="121" t="s">
        <v>2756</v>
      </c>
      <c r="G10101" s="98" t="str">
        <f>HYPERLINK("http://mirror.ff7data.com.ar/ff7/data/battle/battle.lgp/rjaa.png","View Picture")</f>
        <v>View Picture</v>
      </c>
    </row>
    <row r="10102">
      <c r="A10102" s="55"/>
      <c r="B10102" s="119" t="s">
        <v>42437</v>
      </c>
      <c r="C10102" s="120" t="s">
        <v>40556</v>
      </c>
      <c r="D10102" s="31"/>
      <c r="F10102" s="121" t="s">
        <v>2993</v>
      </c>
    </row>
    <row r="10103">
      <c r="A10103" s="55"/>
      <c r="B10103" s="119" t="s">
        <v>42438</v>
      </c>
      <c r="C10103" s="120" t="s">
        <v>26104</v>
      </c>
      <c r="D10103" s="31"/>
      <c r="F10103" s="121" t="s">
        <v>1348</v>
      </c>
      <c r="G10103" s="98" t="str">
        <f>HYPERLINK("http://mirror.ff7data.com.ar/ff7/data/battle/battle.lgp/rjac.png","View Picture")</f>
        <v>View Picture</v>
      </c>
    </row>
    <row r="10104">
      <c r="A10104" s="55"/>
      <c r="B10104" s="119" t="s">
        <v>42439</v>
      </c>
      <c r="C10104" s="120" t="s">
        <v>6018</v>
      </c>
      <c r="D10104" s="31"/>
      <c r="F10104" s="121" t="s">
        <v>1348</v>
      </c>
      <c r="G10104" s="98" t="str">
        <f>HYPERLINK("http://mirror.ff7data.com.ar/ff7/data/battle/battle.lgp/rjad.png","View Picture")</f>
        <v>View Picture</v>
      </c>
    </row>
    <row r="10105">
      <c r="A10105" s="55"/>
      <c r="B10105" s="119" t="s">
        <v>42440</v>
      </c>
      <c r="C10105" s="120" t="s">
        <v>26095</v>
      </c>
      <c r="D10105" s="31"/>
      <c r="F10105" s="121" t="s">
        <v>1348</v>
      </c>
      <c r="G10105" s="98" t="str">
        <f>HYPERLINK("http://mirror.ff7data.com.ar/ff7/data/battle/battle.lgp/rjae.png","View Picture")</f>
        <v>View Picture</v>
      </c>
    </row>
    <row r="10106">
      <c r="A10106" s="55"/>
      <c r="B10106" s="119" t="s">
        <v>42441</v>
      </c>
      <c r="C10106" s="120" t="s">
        <v>5203</v>
      </c>
      <c r="D10106" s="31"/>
      <c r="F10106" s="121" t="s">
        <v>1348</v>
      </c>
      <c r="G10106" s="98" t="str">
        <f>HYPERLINK("http://mirror.ff7data.com.ar/ff7/data/battle/battle.lgp/rjaf.png","View Picture")</f>
        <v>View Picture</v>
      </c>
    </row>
    <row r="10107">
      <c r="A10107" s="55"/>
      <c r="B10107" s="119" t="s">
        <v>42442</v>
      </c>
      <c r="C10107" s="120" t="s">
        <v>26104</v>
      </c>
      <c r="D10107" s="31"/>
      <c r="F10107" s="121" t="s">
        <v>1348</v>
      </c>
      <c r="G10107" s="98" t="str">
        <f>HYPERLINK("http://mirror.ff7data.com.ar/ff7/data/battle/battle.lgp/rjag.png","View Picture")</f>
        <v>View Picture</v>
      </c>
    </row>
    <row r="10108">
      <c r="A10108" s="55"/>
      <c r="B10108" s="119" t="s">
        <v>42443</v>
      </c>
      <c r="C10108" s="120" t="s">
        <v>6018</v>
      </c>
      <c r="D10108" s="31"/>
      <c r="F10108" s="121" t="s">
        <v>1348</v>
      </c>
      <c r="G10108" s="98" t="str">
        <f>HYPERLINK("http://mirror.ff7data.com.ar/ff7/data/battle/battle.lgp/rjah.png","View Picture")</f>
        <v>View Picture</v>
      </c>
    </row>
    <row r="10109">
      <c r="A10109" s="55"/>
      <c r="B10109" s="119" t="s">
        <v>42444</v>
      </c>
      <c r="C10109" s="120" t="s">
        <v>6018</v>
      </c>
      <c r="D10109" s="31"/>
      <c r="F10109" s="121" t="s">
        <v>1348</v>
      </c>
      <c r="G10109" s="98" t="str">
        <f>HYPERLINK("http://mirror.ff7data.com.ar/ff7/data/battle/battle.lgp/rjai.png","View Picture")</f>
        <v>View Picture</v>
      </c>
    </row>
    <row r="10110">
      <c r="A10110" s="55"/>
      <c r="B10110" s="119" t="s">
        <v>42445</v>
      </c>
      <c r="C10110" s="120" t="s">
        <v>26095</v>
      </c>
      <c r="D10110" s="31"/>
      <c r="F10110" s="121" t="s">
        <v>1348</v>
      </c>
      <c r="G10110" s="98" t="str">
        <f>HYPERLINK("http://mirror.ff7data.com.ar/ff7/data/battle/battle.lgp/rjaj.png","View Picture")</f>
        <v>View Picture</v>
      </c>
    </row>
    <row r="10111">
      <c r="A10111" s="55"/>
      <c r="B10111" s="119" t="s">
        <v>42446</v>
      </c>
      <c r="C10111" s="120" t="s">
        <v>4012</v>
      </c>
      <c r="D10111" s="31"/>
      <c r="F10111" s="121" t="s">
        <v>3009</v>
      </c>
      <c r="G10111" s="98" t="str">
        <f>HYPERLINK("http://mirror.ff7data.com.ar/ff7/data/battle/battle.lgp/rjam.png","View Picture")</f>
        <v>View Picture</v>
      </c>
    </row>
    <row r="10112">
      <c r="A10112" s="55"/>
      <c r="B10112" s="119" t="s">
        <v>42447</v>
      </c>
      <c r="C10112" s="120" t="s">
        <v>3465</v>
      </c>
      <c r="D10112" s="31"/>
      <c r="F10112" s="121" t="s">
        <v>3009</v>
      </c>
      <c r="G10112" s="98" t="str">
        <f>HYPERLINK("http://mirror.ff7data.com.ar/ff7/data/battle/battle.lgp/rjan.png","View Picture")</f>
        <v>View Picture</v>
      </c>
    </row>
    <row r="10113">
      <c r="A10113" s="55"/>
      <c r="B10113" s="119" t="s">
        <v>42448</v>
      </c>
      <c r="C10113" s="120" t="s">
        <v>4372</v>
      </c>
      <c r="D10113" s="31"/>
      <c r="F10113" s="121" t="s">
        <v>3009</v>
      </c>
      <c r="G10113" s="98" t="str">
        <f>HYPERLINK("http://mirror.ff7data.com.ar/ff7/data/battle/battle.lgp/rjao.png","View Picture")</f>
        <v>View Picture</v>
      </c>
    </row>
    <row r="10114">
      <c r="A10114" s="55"/>
      <c r="B10114" s="119" t="s">
        <v>42449</v>
      </c>
      <c r="C10114" s="120" t="s">
        <v>3648</v>
      </c>
      <c r="D10114" s="31"/>
      <c r="F10114" s="121" t="s">
        <v>3009</v>
      </c>
      <c r="G10114" s="98" t="str">
        <f>HYPERLINK("http://mirror.ff7data.com.ar/ff7/data/battle/battle.lgp/rjap.png","View Picture")</f>
        <v>View Picture</v>
      </c>
    </row>
    <row r="10115">
      <c r="A10115" s="55"/>
      <c r="B10115" s="119" t="s">
        <v>42450</v>
      </c>
      <c r="C10115" s="120" t="s">
        <v>3723</v>
      </c>
      <c r="D10115" s="31"/>
      <c r="F10115" s="121" t="s">
        <v>3009</v>
      </c>
      <c r="G10115" s="98" t="str">
        <f>HYPERLINK("http://mirror.ff7data.com.ar/ff7/data/battle/battle.lgp/rjaq.png","View Picture")</f>
        <v>View Picture</v>
      </c>
    </row>
    <row r="10116">
      <c r="A10116" s="55"/>
      <c r="B10116" s="119" t="s">
        <v>42451</v>
      </c>
      <c r="C10116" s="120" t="s">
        <v>4476</v>
      </c>
      <c r="D10116" s="31"/>
      <c r="F10116" s="121" t="s">
        <v>3009</v>
      </c>
      <c r="G10116" s="98" t="str">
        <f>HYPERLINK("http://mirror.ff7data.com.ar/ff7/data/battle/battle.lgp/rjar.png","View Picture")</f>
        <v>View Picture</v>
      </c>
    </row>
    <row r="10117">
      <c r="A10117" s="55"/>
      <c r="B10117" s="119" t="s">
        <v>42452</v>
      </c>
      <c r="C10117" s="120" t="s">
        <v>20338</v>
      </c>
      <c r="D10117" s="31"/>
      <c r="F10117" s="121" t="s">
        <v>3009</v>
      </c>
      <c r="G10117" s="98" t="str">
        <f>HYPERLINK("http://mirror.ff7data.com.ar/ff7/data/battle/battle.lgp/rjas.png","View Picture")</f>
        <v>View Picture</v>
      </c>
    </row>
    <row r="10118">
      <c r="A10118" s="55"/>
      <c r="B10118" s="119" t="s">
        <v>42453</v>
      </c>
      <c r="C10118" s="120" t="s">
        <v>4372</v>
      </c>
      <c r="D10118" s="31"/>
      <c r="F10118" s="121" t="s">
        <v>3009</v>
      </c>
      <c r="G10118" s="98" t="str">
        <f>HYPERLINK("http://mirror.ff7data.com.ar/ff7/data/battle/battle.lgp/rjat.png","View Picture")</f>
        <v>View Picture</v>
      </c>
    </row>
    <row r="10119">
      <c r="A10119" s="55"/>
      <c r="B10119" s="119" t="s">
        <v>42454</v>
      </c>
      <c r="C10119" s="120" t="s">
        <v>7322</v>
      </c>
      <c r="D10119" s="31"/>
      <c r="F10119" s="121" t="s">
        <v>3009</v>
      </c>
      <c r="G10119" s="98" t="str">
        <f>HYPERLINK("http://mirror.ff7data.com.ar/ff7/data/battle/battle.lgp/rjau.png","View Picture")</f>
        <v>View Picture</v>
      </c>
    </row>
    <row r="10120">
      <c r="A10120" s="55"/>
      <c r="B10120" s="119" t="s">
        <v>42455</v>
      </c>
      <c r="C10120" s="120" t="s">
        <v>10078</v>
      </c>
      <c r="D10120" s="31"/>
      <c r="F10120" s="121" t="s">
        <v>3009</v>
      </c>
      <c r="G10120" s="98" t="str">
        <f>HYPERLINK("http://mirror.ff7data.com.ar/ff7/data/battle/battle.lgp/rjav.png","View Picture")</f>
        <v>View Picture</v>
      </c>
    </row>
    <row r="10121">
      <c r="A10121" s="55"/>
      <c r="B10121" s="119" t="s">
        <v>42456</v>
      </c>
      <c r="C10121" s="120" t="s">
        <v>3614</v>
      </c>
      <c r="D10121" s="31"/>
      <c r="F10121" s="121" t="s">
        <v>3009</v>
      </c>
      <c r="G10121" s="98" t="str">
        <f>HYPERLINK("http://mirror.ff7data.com.ar/ff7/data/battle/battle.lgp/rjaw.png","View Picture")</f>
        <v>View Picture</v>
      </c>
    </row>
    <row r="10122">
      <c r="A10122" s="55"/>
      <c r="B10122" s="119" t="s">
        <v>42457</v>
      </c>
      <c r="C10122" s="120" t="s">
        <v>5967</v>
      </c>
      <c r="D10122" s="31"/>
      <c r="F10122" s="121" t="s">
        <v>3009</v>
      </c>
      <c r="G10122" s="98" t="str">
        <f>HYPERLINK("http://mirror.ff7data.com.ar/ff7/data/battle/battle.lgp/rjax.png","View Picture")</f>
        <v>View Picture</v>
      </c>
    </row>
    <row r="10123">
      <c r="A10123" s="79"/>
      <c r="B10123" s="119" t="s">
        <v>42458</v>
      </c>
      <c r="C10123" s="120" t="s">
        <v>40553</v>
      </c>
      <c r="D10123" s="33" t="s">
        <v>40554</v>
      </c>
      <c r="F10123" s="121" t="s">
        <v>2756</v>
      </c>
      <c r="G10123" s="98" t="str">
        <f>HYPERLINK("http://mirror.ff7data.com.ar/ff7/data/battle/battle.lgp/rkaa.png","View Picture")</f>
        <v>View Picture</v>
      </c>
    </row>
    <row r="10124">
      <c r="A10124" s="55"/>
      <c r="B10124" s="119" t="s">
        <v>42459</v>
      </c>
      <c r="C10124" s="120" t="s">
        <v>40556</v>
      </c>
      <c r="D10124" s="31"/>
      <c r="F10124" s="121" t="s">
        <v>2993</v>
      </c>
    </row>
    <row r="10125">
      <c r="A10125" s="55"/>
      <c r="B10125" s="119" t="s">
        <v>42460</v>
      </c>
      <c r="C10125" s="120" t="s">
        <v>4732</v>
      </c>
      <c r="D10125" s="31"/>
      <c r="F10125" s="121" t="s">
        <v>1348</v>
      </c>
      <c r="G10125" s="98" t="str">
        <f>HYPERLINK("http://mirror.ff7data.com.ar/ff7/data/battle/battle.lgp/rkac.png","View Picture")</f>
        <v>View Picture</v>
      </c>
    </row>
    <row r="10126">
      <c r="A10126" s="55"/>
      <c r="B10126" s="119" t="s">
        <v>42461</v>
      </c>
      <c r="C10126" s="120" t="s">
        <v>3961</v>
      </c>
      <c r="D10126" s="31"/>
      <c r="F10126" s="121" t="s">
        <v>3009</v>
      </c>
      <c r="G10126" s="98" t="str">
        <f>HYPERLINK("http://mirror.ff7data.com.ar/ff7/data/battle/battle.lgp/rkam.png","View Picture")</f>
        <v>View Picture</v>
      </c>
    </row>
    <row r="10127">
      <c r="A10127" s="55"/>
      <c r="B10127" s="119" t="s">
        <v>42462</v>
      </c>
      <c r="C10127" s="120" t="s">
        <v>4846</v>
      </c>
      <c r="D10127" s="31"/>
      <c r="F10127" s="121" t="s">
        <v>3009</v>
      </c>
      <c r="G10127" s="98" t="str">
        <f>HYPERLINK("http://mirror.ff7data.com.ar/ff7/data/battle/battle.lgp/rkan.png","View Picture")</f>
        <v>View Picture</v>
      </c>
    </row>
    <row r="10128">
      <c r="A10128" s="55"/>
      <c r="B10128" s="119" t="s">
        <v>42463</v>
      </c>
      <c r="C10128" s="120" t="s">
        <v>4846</v>
      </c>
      <c r="D10128" s="31"/>
      <c r="F10128" s="121" t="s">
        <v>3009</v>
      </c>
      <c r="G10128" s="98" t="str">
        <f>HYPERLINK("http://mirror.ff7data.com.ar/ff7/data/battle/battle.lgp/rkao.png","View Picture")</f>
        <v>View Picture</v>
      </c>
    </row>
    <row r="10129">
      <c r="A10129" s="55"/>
      <c r="B10129" s="119" t="s">
        <v>42464</v>
      </c>
      <c r="C10129" s="120" t="s">
        <v>4846</v>
      </c>
      <c r="D10129" s="31"/>
      <c r="F10129" s="121" t="s">
        <v>3009</v>
      </c>
      <c r="G10129" s="98" t="str">
        <f>HYPERLINK("http://mirror.ff7data.com.ar/ff7/data/battle/battle.lgp/rkap.png","View Picture")</f>
        <v>View Picture</v>
      </c>
    </row>
    <row r="10130">
      <c r="A10130" s="79"/>
      <c r="B10130" s="119" t="s">
        <v>42465</v>
      </c>
      <c r="C10130" s="120" t="s">
        <v>40553</v>
      </c>
      <c r="D10130" s="33" t="s">
        <v>42466</v>
      </c>
      <c r="F10130" s="121" t="s">
        <v>3009</v>
      </c>
      <c r="G10130" s="98" t="str">
        <f>HYPERLINK("http://mirror.ff7data.com.ar/ff7/data/battle/battle.lgp/rlaa.png","View Picture")</f>
        <v>View Picture</v>
      </c>
    </row>
    <row r="10131">
      <c r="A10131" s="55"/>
      <c r="B10131" s="119" t="s">
        <v>42467</v>
      </c>
      <c r="C10131" s="120" t="s">
        <v>40556</v>
      </c>
      <c r="D10131" s="31"/>
      <c r="F10131" s="121" t="s">
        <v>3009</v>
      </c>
      <c r="G10131" s="98" t="str">
        <f>HYPERLINK("http://mirror.ff7data.com.ar/ff7/data/battle/battle.lgp/rlab.png","View Picture")</f>
        <v>View Picture</v>
      </c>
    </row>
    <row r="10132">
      <c r="A10132" s="55"/>
      <c r="B10132" s="119" t="s">
        <v>42468</v>
      </c>
      <c r="C10132" s="120" t="s">
        <v>26104</v>
      </c>
      <c r="D10132" s="31"/>
      <c r="F10132" s="121" t="s">
        <v>3009</v>
      </c>
      <c r="G10132" s="98" t="str">
        <f>HYPERLINK("http://mirror.ff7data.com.ar/ff7/data/battle/battle.lgp/rlac.png","View Picture")</f>
        <v>View Picture</v>
      </c>
    </row>
    <row r="10133">
      <c r="A10133" s="55"/>
      <c r="B10133" s="119" t="s">
        <v>42469</v>
      </c>
      <c r="C10133" s="120" t="s">
        <v>6018</v>
      </c>
      <c r="D10133" s="31"/>
      <c r="F10133" s="121" t="s">
        <v>3009</v>
      </c>
      <c r="G10133" s="98" t="str">
        <f>HYPERLINK("http://mirror.ff7data.com.ar/ff7/data/battle/battle.lgp/rlad.png","View Picture")</f>
        <v>View Picture</v>
      </c>
    </row>
    <row r="10134">
      <c r="A10134" s="55"/>
      <c r="B10134" s="119" t="s">
        <v>42470</v>
      </c>
      <c r="C10134" s="120" t="s">
        <v>6018</v>
      </c>
      <c r="D10134" s="31"/>
      <c r="F10134" s="121" t="s">
        <v>3009</v>
      </c>
      <c r="G10134" s="98" t="str">
        <f>HYPERLINK("http://mirror.ff7data.com.ar/ff7/data/battle/battle.lgp/rlae.png","View Picture")</f>
        <v>View Picture</v>
      </c>
    </row>
    <row r="10135">
      <c r="A10135" s="55"/>
      <c r="B10135" s="119" t="s">
        <v>42471</v>
      </c>
      <c r="C10135" s="120" t="s">
        <v>3573</v>
      </c>
      <c r="D10135" s="31"/>
      <c r="F10135" s="121" t="s">
        <v>3009</v>
      </c>
      <c r="G10135" s="98" t="str">
        <f>HYPERLINK("http://mirror.ff7data.com.ar/ff7/data/battle/battle.lgp/rlam.png","View Picture")</f>
        <v>View Picture</v>
      </c>
    </row>
    <row r="10136">
      <c r="A10136" s="55"/>
      <c r="B10136" s="119" t="s">
        <v>42472</v>
      </c>
      <c r="C10136" s="120" t="s">
        <v>4846</v>
      </c>
      <c r="D10136" s="31"/>
      <c r="F10136" s="121" t="s">
        <v>3009</v>
      </c>
      <c r="G10136" s="98" t="str">
        <f>HYPERLINK("http://mirror.ff7data.com.ar/ff7/data/battle/battle.lgp/rlan.png","View Picture")</f>
        <v>View Picture</v>
      </c>
    </row>
    <row r="10137">
      <c r="A10137" s="55"/>
      <c r="B10137" s="119" t="s">
        <v>42473</v>
      </c>
      <c r="C10137" s="120" t="s">
        <v>4846</v>
      </c>
      <c r="D10137" s="31"/>
      <c r="F10137" s="121" t="s">
        <v>3009</v>
      </c>
      <c r="G10137" s="98" t="str">
        <f>HYPERLINK("http://mirror.ff7data.com.ar/ff7/data/battle/battle.lgp/rlao.png","View Picture")</f>
        <v>View Picture</v>
      </c>
    </row>
    <row r="10138">
      <c r="A10138" s="55"/>
      <c r="B10138" s="119" t="s">
        <v>42474</v>
      </c>
      <c r="C10138" s="120" t="s">
        <v>4846</v>
      </c>
      <c r="D10138" s="31"/>
      <c r="F10138" s="121" t="s">
        <v>3009</v>
      </c>
      <c r="G10138" s="98" t="str">
        <f>HYPERLINK("http://mirror.ff7data.com.ar/ff7/data/battle/battle.lgp/rlap.png","View Picture")</f>
        <v>View Picture</v>
      </c>
    </row>
    <row r="10139">
      <c r="A10139" s="55"/>
      <c r="B10139" s="119" t="s">
        <v>42475</v>
      </c>
      <c r="C10139" s="120" t="s">
        <v>5904</v>
      </c>
      <c r="D10139" s="31"/>
      <c r="F10139" s="121" t="s">
        <v>3009</v>
      </c>
      <c r="G10139" s="98" t="str">
        <f>HYPERLINK("http://mirror.ff7data.com.ar/ff7/data/battle/battle.lgp/rlaq.png","View Picture")</f>
        <v>View Picture</v>
      </c>
    </row>
    <row r="10140">
      <c r="A10140" s="55"/>
      <c r="B10140" s="119" t="s">
        <v>42476</v>
      </c>
      <c r="C10140" s="120" t="s">
        <v>5904</v>
      </c>
      <c r="D10140" s="31"/>
      <c r="F10140" s="121" t="s">
        <v>3009</v>
      </c>
      <c r="G10140" s="98" t="str">
        <f>HYPERLINK("http://mirror.ff7data.com.ar/ff7/data/battle/battle.lgp/rlar.png","View Picture")</f>
        <v>View Picture</v>
      </c>
    </row>
    <row r="10141">
      <c r="A10141" s="79"/>
      <c r="B10141" s="119" t="s">
        <v>42477</v>
      </c>
      <c r="C10141" s="120" t="s">
        <v>40553</v>
      </c>
      <c r="D10141" s="33" t="s">
        <v>42478</v>
      </c>
      <c r="F10141" s="121" t="s">
        <v>2756</v>
      </c>
      <c r="G10141" s="98" t="str">
        <f>HYPERLINK("http://mirror.ff7data.com.ar/ff7/data/battle/battle.lgp/rmaa.png","View Picture")</f>
        <v>View Picture</v>
      </c>
    </row>
    <row r="10142">
      <c r="A10142" s="55"/>
      <c r="B10142" s="119" t="s">
        <v>42479</v>
      </c>
      <c r="C10142" s="120" t="s">
        <v>40556</v>
      </c>
      <c r="D10142" s="31"/>
      <c r="F10142" s="121" t="s">
        <v>2993</v>
      </c>
    </row>
    <row r="10143">
      <c r="A10143" s="55"/>
      <c r="B10143" s="119" t="s">
        <v>42480</v>
      </c>
      <c r="C10143" s="120" t="s">
        <v>26104</v>
      </c>
      <c r="D10143" s="31"/>
      <c r="F10143" s="121" t="s">
        <v>1348</v>
      </c>
      <c r="G10143" s="98" t="str">
        <f>HYPERLINK("http://mirror.ff7data.com.ar/ff7/data/battle/battle.lgp/rmac.png","View Picture")</f>
        <v>View Picture</v>
      </c>
    </row>
    <row r="10144">
      <c r="A10144" s="55"/>
      <c r="B10144" s="119" t="s">
        <v>42481</v>
      </c>
      <c r="C10144" s="120" t="s">
        <v>6018</v>
      </c>
      <c r="D10144" s="31"/>
      <c r="F10144" s="121" t="s">
        <v>1348</v>
      </c>
      <c r="G10144" s="98" t="str">
        <f>HYPERLINK("http://mirror.ff7data.com.ar/ff7/data/battle/battle.lgp/rmad.png","View Picture")</f>
        <v>View Picture</v>
      </c>
    </row>
    <row r="10145">
      <c r="A10145" s="55"/>
      <c r="B10145" s="119" t="s">
        <v>42482</v>
      </c>
      <c r="C10145" s="120" t="s">
        <v>26104</v>
      </c>
      <c r="D10145" s="31"/>
      <c r="F10145" s="121" t="s">
        <v>1348</v>
      </c>
      <c r="G10145" s="98" t="str">
        <f>HYPERLINK("http://mirror.ff7data.com.ar/ff7/data/battle/battle.lgp/rmae.png","View Picture")</f>
        <v>View Picture</v>
      </c>
    </row>
    <row r="10146">
      <c r="A10146" s="55"/>
      <c r="B10146" s="119" t="s">
        <v>42483</v>
      </c>
      <c r="C10146" s="120" t="s">
        <v>26095</v>
      </c>
      <c r="D10146" s="31"/>
      <c r="F10146" s="121" t="s">
        <v>1348</v>
      </c>
      <c r="G10146" s="98" t="str">
        <f>HYPERLINK("http://mirror.ff7data.com.ar/ff7/data/battle/battle.lgp/rmaf.png","View Picture")</f>
        <v>View Picture</v>
      </c>
    </row>
    <row r="10147">
      <c r="A10147" s="55"/>
      <c r="B10147" s="119" t="s">
        <v>42484</v>
      </c>
      <c r="C10147" s="120" t="s">
        <v>6018</v>
      </c>
      <c r="D10147" s="31"/>
      <c r="F10147" s="121" t="s">
        <v>1348</v>
      </c>
      <c r="G10147" s="98" t="str">
        <f>HYPERLINK("http://mirror.ff7data.com.ar/ff7/data/battle/battle.lgp/rmag.png","View Picture")</f>
        <v>View Picture</v>
      </c>
    </row>
    <row r="10148">
      <c r="A10148" s="55"/>
      <c r="B10148" s="119" t="s">
        <v>42485</v>
      </c>
      <c r="C10148" s="120" t="s">
        <v>11918</v>
      </c>
      <c r="D10148" s="31"/>
      <c r="F10148" s="121" t="s">
        <v>3009</v>
      </c>
      <c r="G10148" s="98" t="str">
        <f>HYPERLINK("http://mirror.ff7data.com.ar/ff7/data/battle/battle.lgp/rmam.png","View Picture")</f>
        <v>View Picture</v>
      </c>
    </row>
    <row r="10149">
      <c r="A10149" s="55"/>
      <c r="B10149" s="119" t="s">
        <v>42486</v>
      </c>
      <c r="C10149" s="120" t="s">
        <v>3768</v>
      </c>
      <c r="D10149" s="31"/>
      <c r="F10149" s="121" t="s">
        <v>3009</v>
      </c>
      <c r="G10149" s="98" t="str">
        <f>HYPERLINK("http://mirror.ff7data.com.ar/ff7/data/battle/battle.lgp/rman.png","View Picture")</f>
        <v>View Picture</v>
      </c>
    </row>
    <row r="10150">
      <c r="A10150" s="55"/>
      <c r="B10150" s="119" t="s">
        <v>42487</v>
      </c>
      <c r="C10150" s="120" t="s">
        <v>3842</v>
      </c>
      <c r="D10150" s="31"/>
      <c r="F10150" s="121" t="s">
        <v>3009</v>
      </c>
      <c r="G10150" s="98" t="str">
        <f>HYPERLINK("http://mirror.ff7data.com.ar/ff7/data/battle/battle.lgp/rmao.png","View Picture")</f>
        <v>View Picture</v>
      </c>
    </row>
    <row r="10151">
      <c r="A10151" s="55"/>
      <c r="B10151" s="119" t="s">
        <v>42488</v>
      </c>
      <c r="C10151" s="120" t="s">
        <v>4476</v>
      </c>
      <c r="D10151" s="31"/>
      <c r="F10151" s="121" t="s">
        <v>3009</v>
      </c>
      <c r="G10151" s="98" t="str">
        <f>HYPERLINK("http://mirror.ff7data.com.ar/ff7/data/battle/battle.lgp/rmap.png","View Picture")</f>
        <v>View Picture</v>
      </c>
    </row>
    <row r="10152">
      <c r="A10152" s="55"/>
      <c r="B10152" s="119" t="s">
        <v>42489</v>
      </c>
      <c r="C10152" s="120" t="s">
        <v>5904</v>
      </c>
      <c r="D10152" s="31"/>
      <c r="F10152" s="121" t="s">
        <v>3009</v>
      </c>
      <c r="G10152" s="98" t="str">
        <f>HYPERLINK("http://mirror.ff7data.com.ar/ff7/data/battle/battle.lgp/rmaq.png","View Picture")</f>
        <v>View Picture</v>
      </c>
    </row>
    <row r="10153">
      <c r="A10153" s="55"/>
      <c r="B10153" s="119" t="s">
        <v>42490</v>
      </c>
      <c r="C10153" s="120" t="s">
        <v>4167</v>
      </c>
      <c r="D10153" s="31"/>
      <c r="F10153" s="121" t="s">
        <v>3009</v>
      </c>
      <c r="G10153" s="98" t="str">
        <f>HYPERLINK("http://mirror.ff7data.com.ar/ff7/data/battle/battle.lgp/rmar.png","View Picture")</f>
        <v>View Picture</v>
      </c>
    </row>
    <row r="10154">
      <c r="A10154" s="79"/>
      <c r="B10154" s="119" t="s">
        <v>42491</v>
      </c>
      <c r="C10154" s="120" t="s">
        <v>40553</v>
      </c>
      <c r="D10154" s="33" t="s">
        <v>42492</v>
      </c>
      <c r="F10154" s="121" t="s">
        <v>2756</v>
      </c>
      <c r="G10154" s="98" t="str">
        <f>HYPERLINK("http://mirror.ff7data.com.ar/ff7/data/battle/battle.lgp/rnaa.png","View Picture")</f>
        <v>View Picture</v>
      </c>
    </row>
    <row r="10155">
      <c r="A10155" s="55"/>
      <c r="B10155" s="119" t="s">
        <v>42493</v>
      </c>
      <c r="C10155" s="120" t="s">
        <v>40556</v>
      </c>
      <c r="D10155" s="31"/>
      <c r="F10155" s="121" t="s">
        <v>2993</v>
      </c>
    </row>
    <row r="10156">
      <c r="A10156" s="55"/>
      <c r="B10156" s="119" t="s">
        <v>42494</v>
      </c>
      <c r="C10156" s="120" t="s">
        <v>26104</v>
      </c>
      <c r="D10156" s="31"/>
      <c r="F10156" s="121" t="s">
        <v>1348</v>
      </c>
      <c r="G10156" s="98" t="str">
        <f>HYPERLINK("http://mirror.ff7data.com.ar/ff7/data/battle/battle.lgp/rnac.png","View Picture")</f>
        <v>View Picture</v>
      </c>
    </row>
    <row r="10157">
      <c r="A10157" s="55"/>
      <c r="B10157" s="119" t="s">
        <v>42495</v>
      </c>
      <c r="C10157" s="120" t="s">
        <v>26095</v>
      </c>
      <c r="D10157" s="31"/>
      <c r="F10157" s="121" t="s">
        <v>1348</v>
      </c>
      <c r="G10157" s="98" t="str">
        <f>HYPERLINK("http://mirror.ff7data.com.ar/ff7/data/battle/battle.lgp/rnad.png","View Picture")</f>
        <v>View Picture</v>
      </c>
    </row>
    <row r="10158">
      <c r="A10158" s="55"/>
      <c r="B10158" s="119" t="s">
        <v>42496</v>
      </c>
      <c r="C10158" s="120" t="s">
        <v>26095</v>
      </c>
      <c r="D10158" s="31"/>
      <c r="F10158" s="121" t="s">
        <v>1348</v>
      </c>
      <c r="G10158" s="98" t="str">
        <f>HYPERLINK("http://mirror.ff7data.com.ar/ff7/data/battle/battle.lgp/rnae.png","View Picture")</f>
        <v>View Picture</v>
      </c>
    </row>
    <row r="10159">
      <c r="A10159" s="55"/>
      <c r="B10159" s="119" t="s">
        <v>42497</v>
      </c>
      <c r="C10159" s="120" t="s">
        <v>26104</v>
      </c>
      <c r="D10159" s="31"/>
      <c r="F10159" s="121" t="s">
        <v>1348</v>
      </c>
      <c r="G10159" s="98" t="str">
        <f>HYPERLINK("http://mirror.ff7data.com.ar/ff7/data/battle/battle.lgp/rnaf.png","View Picture")</f>
        <v>View Picture</v>
      </c>
    </row>
    <row r="10160">
      <c r="A10160" s="55"/>
      <c r="B10160" s="119" t="s">
        <v>42498</v>
      </c>
      <c r="C10160" s="120" t="s">
        <v>6018</v>
      </c>
      <c r="D10160" s="31"/>
      <c r="F10160" s="121" t="s">
        <v>1348</v>
      </c>
      <c r="G10160" s="98" t="str">
        <f>HYPERLINK("http://mirror.ff7data.com.ar/ff7/data/battle/battle.lgp/rnag.png","View Picture")</f>
        <v>View Picture</v>
      </c>
    </row>
    <row r="10161">
      <c r="A10161" s="55"/>
      <c r="B10161" s="119" t="s">
        <v>42499</v>
      </c>
      <c r="C10161" s="120" t="s">
        <v>40766</v>
      </c>
      <c r="D10161" s="31"/>
      <c r="F10161" s="121" t="s">
        <v>3009</v>
      </c>
      <c r="G10161" s="98" t="str">
        <f>HYPERLINK("http://mirror.ff7data.com.ar/ff7/data/battle/battle.lgp/rnam.png","View Picture")</f>
        <v>View Picture</v>
      </c>
    </row>
    <row r="10162">
      <c r="A10162" s="55"/>
      <c r="B10162" s="119" t="s">
        <v>42500</v>
      </c>
      <c r="C10162" s="120" t="s">
        <v>4846</v>
      </c>
      <c r="D10162" s="31"/>
      <c r="F10162" s="121" t="s">
        <v>3009</v>
      </c>
      <c r="G10162" s="98" t="str">
        <f>HYPERLINK("http://mirror.ff7data.com.ar/ff7/data/battle/battle.lgp/rnan.png","View Picture")</f>
        <v>View Picture</v>
      </c>
    </row>
    <row r="10163">
      <c r="A10163" s="55"/>
      <c r="B10163" s="119" t="s">
        <v>42501</v>
      </c>
      <c r="C10163" s="120" t="s">
        <v>4846</v>
      </c>
      <c r="D10163" s="31"/>
      <c r="F10163" s="121" t="s">
        <v>3009</v>
      </c>
      <c r="G10163" s="98" t="str">
        <f>HYPERLINK("http://mirror.ff7data.com.ar/ff7/data/battle/battle.lgp/rnao.png","View Picture")</f>
        <v>View Picture</v>
      </c>
    </row>
    <row r="10164">
      <c r="A10164" s="55"/>
      <c r="B10164" s="119" t="s">
        <v>42502</v>
      </c>
      <c r="C10164" s="120" t="s">
        <v>4846</v>
      </c>
      <c r="D10164" s="31"/>
      <c r="F10164" s="121" t="s">
        <v>3009</v>
      </c>
      <c r="G10164" s="98" t="str">
        <f>HYPERLINK("http://mirror.ff7data.com.ar/ff7/data/battle/battle.lgp/rnap.png","View Picture")</f>
        <v>View Picture</v>
      </c>
    </row>
    <row r="10165">
      <c r="A10165" s="55"/>
      <c r="B10165" s="119" t="s">
        <v>42503</v>
      </c>
      <c r="C10165" s="120" t="s">
        <v>26336</v>
      </c>
      <c r="D10165" s="31"/>
      <c r="F10165" s="121" t="s">
        <v>3009</v>
      </c>
      <c r="G10165" s="98" t="str">
        <f>HYPERLINK("http://mirror.ff7data.com.ar/ff7/data/battle/battle.lgp/rnaq.png","View Picture")</f>
        <v>View Picture</v>
      </c>
    </row>
    <row r="10166">
      <c r="A10166" s="55"/>
      <c r="B10166" s="119" t="s">
        <v>42504</v>
      </c>
      <c r="C10166" s="120" t="s">
        <v>4288</v>
      </c>
      <c r="D10166" s="31"/>
      <c r="F10166" s="121" t="s">
        <v>3009</v>
      </c>
      <c r="G10166" s="98" t="str">
        <f>HYPERLINK("http://mirror.ff7data.com.ar/ff7/data/battle/battle.lgp/rnar.png","View Picture")</f>
        <v>View Picture</v>
      </c>
    </row>
    <row r="10167">
      <c r="A10167" s="55"/>
      <c r="B10167" s="119" t="s">
        <v>42505</v>
      </c>
      <c r="C10167" s="120" t="s">
        <v>4732</v>
      </c>
      <c r="D10167" s="31"/>
      <c r="F10167" s="121" t="s">
        <v>3009</v>
      </c>
      <c r="G10167" s="98" t="str">
        <f>HYPERLINK("http://mirror.ff7data.com.ar/ff7/data/battle/battle.lgp/rnas.png","View Picture")</f>
        <v>View Picture</v>
      </c>
    </row>
    <row r="10168">
      <c r="A10168" s="55"/>
      <c r="B10168" s="119" t="s">
        <v>42506</v>
      </c>
      <c r="C10168" s="120" t="s">
        <v>4372</v>
      </c>
      <c r="D10168" s="31"/>
      <c r="F10168" s="121" t="s">
        <v>3009</v>
      </c>
      <c r="G10168" s="98" t="str">
        <f>HYPERLINK("http://mirror.ff7data.com.ar/ff7/data/battle/battle.lgp/rnat.png","View Picture")</f>
        <v>View Picture</v>
      </c>
    </row>
    <row r="10169">
      <c r="A10169" s="55"/>
      <c r="B10169" s="119" t="s">
        <v>42507</v>
      </c>
      <c r="C10169" s="120" t="s">
        <v>7270</v>
      </c>
      <c r="D10169" s="31"/>
      <c r="F10169" s="121" t="s">
        <v>3009</v>
      </c>
      <c r="G10169" s="98" t="str">
        <f>HYPERLINK("http://mirror.ff7data.com.ar/ff7/data/battle/battle.lgp/rnau.png","View Picture")</f>
        <v>View Picture</v>
      </c>
    </row>
    <row r="10170">
      <c r="A10170" s="55"/>
      <c r="B10170" s="119" t="s">
        <v>42508</v>
      </c>
      <c r="C10170" s="120" t="s">
        <v>5891</v>
      </c>
      <c r="D10170" s="31"/>
      <c r="F10170" s="121" t="s">
        <v>3009</v>
      </c>
      <c r="G10170" s="98" t="str">
        <f>HYPERLINK("http://mirror.ff7data.com.ar/ff7/data/battle/battle.lgp/rnav.png","View Picture")</f>
        <v>View Picture</v>
      </c>
    </row>
    <row r="10171">
      <c r="A10171" s="55"/>
      <c r="B10171" s="119" t="s">
        <v>42509</v>
      </c>
      <c r="C10171" s="120" t="s">
        <v>4217</v>
      </c>
      <c r="D10171" s="31"/>
      <c r="F10171" s="121" t="s">
        <v>3009</v>
      </c>
      <c r="G10171" s="98" t="str">
        <f>HYPERLINK("http://mirror.ff7data.com.ar/ff7/data/battle/battle.lgp/rnaw.png","View Picture")</f>
        <v>View Picture</v>
      </c>
    </row>
    <row r="10172">
      <c r="A10172" s="55"/>
      <c r="B10172" s="119" t="s">
        <v>42510</v>
      </c>
      <c r="C10172" s="120" t="s">
        <v>3318</v>
      </c>
      <c r="D10172" s="31"/>
      <c r="F10172" s="121" t="s">
        <v>3009</v>
      </c>
      <c r="G10172" s="98" t="str">
        <f>HYPERLINK("http://mirror.ff7data.com.ar/ff7/data/battle/battle.lgp/rnax.png","View Picture")</f>
        <v>View Picture</v>
      </c>
    </row>
    <row r="10173">
      <c r="A10173" s="55"/>
      <c r="B10173" s="119" t="s">
        <v>42511</v>
      </c>
      <c r="C10173" s="120" t="s">
        <v>14030</v>
      </c>
      <c r="D10173" s="31"/>
      <c r="F10173" s="121" t="s">
        <v>3009</v>
      </c>
      <c r="G10173" s="98" t="str">
        <f>HYPERLINK("http://mirror.ff7data.com.ar/ff7/data/battle/battle.lgp/rnay.png","View Picture")</f>
        <v>View Picture</v>
      </c>
    </row>
    <row r="10174">
      <c r="A10174" s="55"/>
      <c r="B10174" s="119" t="s">
        <v>42512</v>
      </c>
      <c r="C10174" s="120" t="s">
        <v>5891</v>
      </c>
      <c r="D10174" s="31"/>
      <c r="F10174" s="121" t="s">
        <v>3009</v>
      </c>
      <c r="G10174" s="98" t="str">
        <f>HYPERLINK("http://mirror.ff7data.com.ar/ff7/data/battle/battle.lgp/rnaz.png","View Picture")</f>
        <v>View Picture</v>
      </c>
    </row>
    <row r="10175">
      <c r="A10175" s="55"/>
      <c r="B10175" s="119" t="s">
        <v>42513</v>
      </c>
      <c r="C10175" s="120" t="s">
        <v>3875</v>
      </c>
      <c r="D10175" s="31"/>
      <c r="F10175" s="121" t="s">
        <v>3009</v>
      </c>
      <c r="G10175" s="98" t="str">
        <f>HYPERLINK("http://mirror.ff7data.com.ar/ff7/data/battle/battle.lgp/rnba.png","View Picture")</f>
        <v>View Picture</v>
      </c>
    </row>
    <row r="10176">
      <c r="A10176" s="55"/>
      <c r="B10176" s="119" t="s">
        <v>42514</v>
      </c>
      <c r="C10176" s="120" t="s">
        <v>19628</v>
      </c>
      <c r="D10176" s="31"/>
      <c r="F10176" s="121" t="s">
        <v>3009</v>
      </c>
      <c r="G10176" s="98" t="str">
        <f>HYPERLINK("http://mirror.ff7data.com.ar/ff7/data/battle/battle.lgp/rnbb.png","View Picture")</f>
        <v>View Picture</v>
      </c>
    </row>
    <row r="10177">
      <c r="A10177" s="55"/>
      <c r="B10177" s="119" t="s">
        <v>42515</v>
      </c>
      <c r="C10177" s="120" t="s">
        <v>5891</v>
      </c>
      <c r="D10177" s="31"/>
      <c r="F10177" s="121" t="s">
        <v>3009</v>
      </c>
      <c r="G10177" s="98" t="str">
        <f>HYPERLINK("http://mirror.ff7data.com.ar/ff7/data/battle/battle.lgp/rnbc.png","View Picture")</f>
        <v>View Picture</v>
      </c>
    </row>
    <row r="10178">
      <c r="A10178" s="55"/>
      <c r="B10178" s="119" t="s">
        <v>42516</v>
      </c>
      <c r="C10178" s="120" t="s">
        <v>3723</v>
      </c>
      <c r="D10178" s="31"/>
      <c r="F10178" s="121" t="s">
        <v>3009</v>
      </c>
      <c r="G10178" s="98" t="str">
        <f>HYPERLINK("http://mirror.ff7data.com.ar/ff7/data/battle/battle.lgp/rnbd.png","View Picture")</f>
        <v>View Picture</v>
      </c>
    </row>
    <row r="10179">
      <c r="A10179" s="55"/>
      <c r="B10179" s="119" t="s">
        <v>42517</v>
      </c>
      <c r="C10179" s="120" t="s">
        <v>4372</v>
      </c>
      <c r="D10179" s="31"/>
      <c r="F10179" s="121" t="s">
        <v>3009</v>
      </c>
      <c r="G10179" s="98" t="str">
        <f>HYPERLINK("http://mirror.ff7data.com.ar/ff7/data/battle/battle.lgp/rnbe.png","View Picture")</f>
        <v>View Picture</v>
      </c>
    </row>
    <row r="10180">
      <c r="A10180" s="55"/>
      <c r="B10180" s="119" t="s">
        <v>42518</v>
      </c>
      <c r="C10180" s="120" t="s">
        <v>4057</v>
      </c>
      <c r="D10180" s="31"/>
      <c r="F10180" s="121" t="s">
        <v>3009</v>
      </c>
      <c r="G10180" s="98" t="str">
        <f>HYPERLINK("http://mirror.ff7data.com.ar/ff7/data/battle/battle.lgp/rnbf.png","View Picture")</f>
        <v>View Picture</v>
      </c>
    </row>
    <row r="10181">
      <c r="A10181" s="55"/>
      <c r="B10181" s="119" t="s">
        <v>42519</v>
      </c>
      <c r="C10181" s="120" t="s">
        <v>3961</v>
      </c>
      <c r="D10181" s="31"/>
      <c r="F10181" s="121" t="s">
        <v>3009</v>
      </c>
      <c r="G10181" s="98" t="str">
        <f>HYPERLINK("http://mirror.ff7data.com.ar/ff7/data/battle/battle.lgp/rnbg.png","View Picture")</f>
        <v>View Picture</v>
      </c>
    </row>
    <row r="10182">
      <c r="A10182" s="55"/>
      <c r="B10182" s="119" t="s">
        <v>42520</v>
      </c>
      <c r="C10182" s="120" t="s">
        <v>3658</v>
      </c>
      <c r="D10182" s="31"/>
      <c r="F10182" s="121" t="s">
        <v>3009</v>
      </c>
      <c r="G10182" s="98" t="str">
        <f>HYPERLINK("http://mirror.ff7data.com.ar/ff7/data/battle/battle.lgp/rnbh.png","View Picture")</f>
        <v>View Picture</v>
      </c>
    </row>
    <row r="10183">
      <c r="A10183" s="55"/>
      <c r="B10183" s="119" t="s">
        <v>42521</v>
      </c>
      <c r="C10183" s="120" t="s">
        <v>4185</v>
      </c>
      <c r="D10183" s="31"/>
      <c r="F10183" s="121" t="s">
        <v>3009</v>
      </c>
      <c r="G10183" s="98" t="str">
        <f>HYPERLINK("http://mirror.ff7data.com.ar/ff7/data/battle/battle.lgp/rnbi.png","View Picture")</f>
        <v>View Picture</v>
      </c>
    </row>
    <row r="10184">
      <c r="A10184" s="79"/>
      <c r="B10184" s="119" t="s">
        <v>42522</v>
      </c>
      <c r="C10184" s="120" t="s">
        <v>40553</v>
      </c>
      <c r="D10184" s="33" t="s">
        <v>42523</v>
      </c>
      <c r="F10184" s="121" t="s">
        <v>2756</v>
      </c>
      <c r="G10184" s="98" t="str">
        <f>HYPERLINK("http://mirror.ff7data.com.ar/ff7/data/battle/battle.lgp/roaa.png","View Picture")</f>
        <v>View Picture</v>
      </c>
    </row>
    <row r="10185">
      <c r="A10185" s="55"/>
      <c r="B10185" s="119" t="s">
        <v>42524</v>
      </c>
      <c r="C10185" s="120" t="s">
        <v>40556</v>
      </c>
      <c r="D10185" s="31"/>
      <c r="F10185" s="121" t="s">
        <v>2993</v>
      </c>
    </row>
    <row r="10186">
      <c r="A10186" s="55"/>
      <c r="B10186" s="119" t="s">
        <v>42525</v>
      </c>
      <c r="C10186" s="120" t="s">
        <v>26104</v>
      </c>
      <c r="D10186" s="31"/>
      <c r="F10186" s="121" t="s">
        <v>1348</v>
      </c>
      <c r="G10186" s="98" t="str">
        <f>HYPERLINK("http://mirror.ff7data.com.ar/ff7/data/battle/battle.lgp/roac.png","View Picture")</f>
        <v>View Picture</v>
      </c>
    </row>
    <row r="10187">
      <c r="A10187" s="55"/>
      <c r="B10187" s="119" t="s">
        <v>42526</v>
      </c>
      <c r="C10187" s="120" t="s">
        <v>5203</v>
      </c>
      <c r="D10187" s="31"/>
      <c r="F10187" s="121" t="s">
        <v>1348</v>
      </c>
      <c r="G10187" s="98" t="str">
        <f>HYPERLINK("http://mirror.ff7data.com.ar/ff7/data/battle/battle.lgp/road.png","View Picture")</f>
        <v>View Picture</v>
      </c>
    </row>
    <row r="10188">
      <c r="A10188" s="55"/>
      <c r="B10188" s="119" t="s">
        <v>42527</v>
      </c>
      <c r="C10188" s="120" t="s">
        <v>7471</v>
      </c>
      <c r="D10188" s="31"/>
      <c r="F10188" s="121" t="s">
        <v>1348</v>
      </c>
      <c r="G10188" s="98" t="str">
        <f>HYPERLINK("http://mirror.ff7data.com.ar/ff7/data/battle/battle.lgp/roae.png","View Picture")</f>
        <v>View Picture</v>
      </c>
    </row>
    <row r="10189">
      <c r="A10189" s="55"/>
      <c r="B10189" s="119" t="s">
        <v>42528</v>
      </c>
      <c r="C10189" s="120" t="s">
        <v>26095</v>
      </c>
      <c r="D10189" s="31"/>
      <c r="F10189" s="121" t="s">
        <v>1348</v>
      </c>
      <c r="G10189" s="98" t="str">
        <f>HYPERLINK("http://mirror.ff7data.com.ar/ff7/data/battle/battle.lgp/roaf.png","View Picture")</f>
        <v>View Picture</v>
      </c>
    </row>
    <row r="10190">
      <c r="A10190" s="55"/>
      <c r="B10190" s="119" t="s">
        <v>42529</v>
      </c>
      <c r="C10190" s="120" t="s">
        <v>26095</v>
      </c>
      <c r="D10190" s="31"/>
      <c r="F10190" s="121" t="s">
        <v>1348</v>
      </c>
      <c r="G10190" s="98" t="str">
        <f>HYPERLINK("http://mirror.ff7data.com.ar/ff7/data/battle/battle.lgp/roag.png","View Picture")</f>
        <v>View Picture</v>
      </c>
    </row>
    <row r="10191">
      <c r="A10191" s="55"/>
      <c r="B10191" s="119" t="s">
        <v>42530</v>
      </c>
      <c r="C10191" s="120" t="s">
        <v>6018</v>
      </c>
      <c r="D10191" s="31"/>
      <c r="F10191" s="121" t="s">
        <v>1348</v>
      </c>
      <c r="G10191" s="98" t="str">
        <f>HYPERLINK("http://mirror.ff7data.com.ar/ff7/data/battle/battle.lgp/roah.png","View Picture")</f>
        <v>View Picture</v>
      </c>
    </row>
    <row r="10192">
      <c r="A10192" s="55"/>
      <c r="B10192" s="119" t="s">
        <v>42531</v>
      </c>
      <c r="C10192" s="120" t="s">
        <v>6018</v>
      </c>
      <c r="D10192" s="31"/>
      <c r="F10192" s="121" t="s">
        <v>3009</v>
      </c>
      <c r="G10192" s="98" t="str">
        <f>HYPERLINK("http://mirror.ff7data.com.ar/ff7/data/battle/battle.lgp/roam.png","View Picture")</f>
        <v>View Picture</v>
      </c>
    </row>
    <row r="10193">
      <c r="A10193" s="55"/>
      <c r="B10193" s="119" t="s">
        <v>42532</v>
      </c>
      <c r="C10193" s="120" t="s">
        <v>4846</v>
      </c>
      <c r="D10193" s="31"/>
      <c r="F10193" s="121" t="s">
        <v>3009</v>
      </c>
      <c r="G10193" s="98" t="str">
        <f>HYPERLINK("http://mirror.ff7data.com.ar/ff7/data/battle/battle.lgp/roan.png","View Picture")</f>
        <v>View Picture</v>
      </c>
    </row>
    <row r="10194">
      <c r="A10194" s="55"/>
      <c r="B10194" s="119" t="s">
        <v>42533</v>
      </c>
      <c r="C10194" s="120" t="s">
        <v>4846</v>
      </c>
      <c r="D10194" s="31"/>
      <c r="F10194" s="121" t="s">
        <v>3009</v>
      </c>
      <c r="G10194" s="98" t="str">
        <f>HYPERLINK("http://mirror.ff7data.com.ar/ff7/data/battle/battle.lgp/roao.png","View Picture")</f>
        <v>View Picture</v>
      </c>
    </row>
    <row r="10195">
      <c r="A10195" s="55"/>
      <c r="B10195" s="119" t="s">
        <v>42534</v>
      </c>
      <c r="C10195" s="120" t="s">
        <v>4846</v>
      </c>
      <c r="D10195" s="31"/>
      <c r="F10195" s="121" t="s">
        <v>3009</v>
      </c>
      <c r="G10195" s="98" t="str">
        <f>HYPERLINK("http://mirror.ff7data.com.ar/ff7/data/battle/battle.lgp/roap.png","View Picture")</f>
        <v>View Picture</v>
      </c>
    </row>
    <row r="10196">
      <c r="A10196" s="55"/>
      <c r="B10196" s="119" t="s">
        <v>42535</v>
      </c>
      <c r="C10196" s="120" t="s">
        <v>10078</v>
      </c>
      <c r="D10196" s="31"/>
      <c r="F10196" s="121" t="s">
        <v>3009</v>
      </c>
      <c r="G10196" s="98" t="str">
        <f>HYPERLINK("http://mirror.ff7data.com.ar/ff7/data/battle/battle.lgp/roaq.png","View Picture")</f>
        <v>View Picture</v>
      </c>
    </row>
    <row r="10197">
      <c r="A10197" s="55"/>
      <c r="B10197" s="119" t="s">
        <v>42536</v>
      </c>
      <c r="C10197" s="120" t="s">
        <v>6029</v>
      </c>
      <c r="D10197" s="31"/>
      <c r="F10197" s="121" t="s">
        <v>3009</v>
      </c>
      <c r="G10197" s="98" t="str">
        <f>HYPERLINK("http://mirror.ff7data.com.ar/ff7/data/battle/battle.lgp/roar.png","View Picture")</f>
        <v>View Picture</v>
      </c>
    </row>
    <row r="10198">
      <c r="A10198" s="55"/>
      <c r="B10198" s="119" t="s">
        <v>42537</v>
      </c>
      <c r="C10198" s="120" t="s">
        <v>3434</v>
      </c>
      <c r="D10198" s="31"/>
      <c r="F10198" s="121" t="s">
        <v>3009</v>
      </c>
      <c r="G10198" s="98" t="str">
        <f>HYPERLINK("http://mirror.ff7data.com.ar/ff7/data/battle/battle.lgp/roas.png","View Picture")</f>
        <v>View Picture</v>
      </c>
    </row>
    <row r="10199">
      <c r="A10199" s="55"/>
      <c r="B10199" s="119" t="s">
        <v>42538</v>
      </c>
      <c r="C10199" s="120" t="s">
        <v>18406</v>
      </c>
      <c r="D10199" s="31"/>
      <c r="F10199" s="121" t="s">
        <v>3009</v>
      </c>
      <c r="G10199" s="98" t="str">
        <f>HYPERLINK("http://mirror.ff7data.com.ar/ff7/data/battle/battle.lgp/roat.png","View Picture")</f>
        <v>View Picture</v>
      </c>
    </row>
    <row r="10200">
      <c r="A10200" s="55"/>
      <c r="B10200" s="119" t="s">
        <v>42539</v>
      </c>
      <c r="C10200" s="120" t="s">
        <v>7081</v>
      </c>
      <c r="D10200" s="31"/>
      <c r="F10200" s="121" t="s">
        <v>3009</v>
      </c>
      <c r="G10200" s="98" t="str">
        <f>HYPERLINK("http://mirror.ff7data.com.ar/ff7/data/battle/battle.lgp/roau.png","View Picture")</f>
        <v>View Picture</v>
      </c>
    </row>
    <row r="10201">
      <c r="A10201" s="55"/>
      <c r="B10201" s="119" t="s">
        <v>42540</v>
      </c>
      <c r="C10201" s="120" t="s">
        <v>4841</v>
      </c>
      <c r="D10201" s="31"/>
      <c r="F10201" s="121" t="s">
        <v>3009</v>
      </c>
      <c r="G10201" s="98" t="str">
        <f>HYPERLINK("http://mirror.ff7data.com.ar/ff7/data/battle/battle.lgp/roav.png","View Picture")</f>
        <v>View Picture</v>
      </c>
    </row>
    <row r="10202">
      <c r="A10202" s="55"/>
      <c r="B10202" s="119" t="s">
        <v>42541</v>
      </c>
      <c r="C10202" s="120" t="s">
        <v>5967</v>
      </c>
      <c r="D10202" s="31"/>
      <c r="F10202" s="121" t="s">
        <v>3009</v>
      </c>
      <c r="G10202" s="98" t="str">
        <f>HYPERLINK("http://mirror.ff7data.com.ar/ff7/data/battle/battle.lgp/roaw.png","View Picture")</f>
        <v>View Picture</v>
      </c>
    </row>
    <row r="10203">
      <c r="A10203" s="79"/>
      <c r="B10203" s="119" t="s">
        <v>42542</v>
      </c>
      <c r="C10203" s="120" t="s">
        <v>40553</v>
      </c>
      <c r="D10203" s="33" t="s">
        <v>42543</v>
      </c>
      <c r="F10203" s="121" t="s">
        <v>2756</v>
      </c>
      <c r="G10203" s="98" t="str">
        <f>HYPERLINK("http://mirror.ff7data.com.ar/ff7/data/battle/battle.lgp/rpaa.png","View Picture")</f>
        <v>View Picture</v>
      </c>
    </row>
    <row r="10204">
      <c r="A10204" s="55"/>
      <c r="B10204" s="119" t="s">
        <v>42544</v>
      </c>
      <c r="C10204" s="120" t="s">
        <v>40556</v>
      </c>
      <c r="D10204" s="31"/>
      <c r="F10204" s="121" t="s">
        <v>2993</v>
      </c>
    </row>
    <row r="10205">
      <c r="A10205" s="55"/>
      <c r="B10205" s="119" t="s">
        <v>42545</v>
      </c>
      <c r="C10205" s="120" t="s">
        <v>26104</v>
      </c>
      <c r="D10205" s="31"/>
      <c r="F10205" s="121" t="s">
        <v>1348</v>
      </c>
      <c r="G10205" s="98" t="str">
        <f>HYPERLINK("http://mirror.ff7data.com.ar/ff7/data/battle/battle.lgp/rpac.png","View Picture")</f>
        <v>View Picture</v>
      </c>
    </row>
    <row r="10206">
      <c r="A10206" s="55"/>
      <c r="B10206" s="119" t="s">
        <v>42546</v>
      </c>
      <c r="C10206" s="120" t="s">
        <v>26104</v>
      </c>
      <c r="D10206" s="31"/>
      <c r="F10206" s="121" t="s">
        <v>1348</v>
      </c>
      <c r="G10206" s="98" t="str">
        <f>HYPERLINK("http://mirror.ff7data.com.ar/ff7/data/battle/battle.lgp/rpad.png","View Picture")</f>
        <v>View Picture</v>
      </c>
    </row>
    <row r="10207">
      <c r="A10207" s="55"/>
      <c r="B10207" s="119" t="s">
        <v>42547</v>
      </c>
      <c r="C10207" s="120" t="s">
        <v>26095</v>
      </c>
      <c r="D10207" s="31"/>
      <c r="F10207" s="121" t="s">
        <v>1348</v>
      </c>
      <c r="G10207" s="98" t="str">
        <f>HYPERLINK("http://mirror.ff7data.com.ar/ff7/data/battle/battle.lgp/rpae.png","View Picture")</f>
        <v>View Picture</v>
      </c>
    </row>
    <row r="10208">
      <c r="A10208" s="55"/>
      <c r="B10208" s="119" t="s">
        <v>42548</v>
      </c>
      <c r="C10208" s="120" t="s">
        <v>6018</v>
      </c>
      <c r="D10208" s="31"/>
      <c r="F10208" s="121" t="s">
        <v>1348</v>
      </c>
      <c r="G10208" s="98" t="str">
        <f>HYPERLINK("http://mirror.ff7data.com.ar/ff7/data/battle/battle.lgp/rpaf.png","View Picture")</f>
        <v>View Picture</v>
      </c>
    </row>
    <row r="10209">
      <c r="A10209" s="55"/>
      <c r="B10209" s="119" t="s">
        <v>42549</v>
      </c>
      <c r="C10209" s="120" t="s">
        <v>26095</v>
      </c>
      <c r="D10209" s="31"/>
      <c r="F10209" s="121" t="s">
        <v>1348</v>
      </c>
      <c r="G10209" s="98" t="str">
        <f>HYPERLINK("http://mirror.ff7data.com.ar/ff7/data/battle/battle.lgp/rpag.png","View Picture")</f>
        <v>View Picture</v>
      </c>
    </row>
    <row r="10210">
      <c r="A10210" s="55"/>
      <c r="B10210" s="119" t="s">
        <v>42550</v>
      </c>
      <c r="C10210" s="120" t="s">
        <v>26095</v>
      </c>
      <c r="D10210" s="31"/>
      <c r="F10210" s="121" t="s">
        <v>1348</v>
      </c>
      <c r="G10210" s="98" t="str">
        <f>HYPERLINK("http://mirror.ff7data.com.ar/ff7/data/battle/battle.lgp/rpah.png","View Picture")</f>
        <v>View Picture</v>
      </c>
    </row>
    <row r="10211">
      <c r="A10211" s="55"/>
      <c r="B10211" s="119" t="s">
        <v>42551</v>
      </c>
      <c r="C10211" s="120" t="s">
        <v>6018</v>
      </c>
      <c r="D10211" s="31"/>
      <c r="F10211" s="121" t="s">
        <v>1348</v>
      </c>
      <c r="G10211" s="98" t="str">
        <f>HYPERLINK("http://mirror.ff7data.com.ar/ff7/data/battle/battle.lgp/rpai.png","View Picture")</f>
        <v>View Picture</v>
      </c>
    </row>
    <row r="10212">
      <c r="A10212" s="55"/>
      <c r="B10212" s="119" t="s">
        <v>42552</v>
      </c>
      <c r="C10212" s="120" t="s">
        <v>6018</v>
      </c>
      <c r="D10212" s="31"/>
      <c r="F10212" s="121" t="s">
        <v>1348</v>
      </c>
      <c r="G10212" s="98" t="str">
        <f>HYPERLINK("http://mirror.ff7data.com.ar/ff7/data/battle/battle.lgp/rpaj.png","View Picture")</f>
        <v>View Picture</v>
      </c>
    </row>
    <row r="10213">
      <c r="A10213" s="55"/>
      <c r="B10213" s="119" t="s">
        <v>42553</v>
      </c>
      <c r="C10213" s="120" t="s">
        <v>3399</v>
      </c>
      <c r="D10213" s="31"/>
      <c r="F10213" s="121" t="s">
        <v>3009</v>
      </c>
      <c r="G10213" s="98" t="str">
        <f>HYPERLINK("http://mirror.ff7data.com.ar/ff7/data/battle/battle.lgp/rpam.png","View Picture")</f>
        <v>View Picture</v>
      </c>
    </row>
    <row r="10214">
      <c r="A10214" s="55"/>
      <c r="B10214" s="119" t="s">
        <v>42554</v>
      </c>
      <c r="C10214" s="120" t="s">
        <v>3768</v>
      </c>
      <c r="D10214" s="31"/>
      <c r="F10214" s="121" t="s">
        <v>3009</v>
      </c>
      <c r="G10214" s="98" t="str">
        <f>HYPERLINK("http://mirror.ff7data.com.ar/ff7/data/battle/battle.lgp/rpan.png","View Picture")</f>
        <v>View Picture</v>
      </c>
    </row>
    <row r="10215">
      <c r="A10215" s="55"/>
      <c r="B10215" s="119" t="s">
        <v>42555</v>
      </c>
      <c r="C10215" s="120" t="s">
        <v>3842</v>
      </c>
      <c r="D10215" s="31"/>
      <c r="F10215" s="121" t="s">
        <v>3009</v>
      </c>
      <c r="G10215" s="98" t="str">
        <f>HYPERLINK("http://mirror.ff7data.com.ar/ff7/data/battle/battle.lgp/rpao.png","View Picture")</f>
        <v>View Picture</v>
      </c>
    </row>
    <row r="10216">
      <c r="A10216" s="55"/>
      <c r="B10216" s="119" t="s">
        <v>42556</v>
      </c>
      <c r="C10216" s="120" t="s">
        <v>4476</v>
      </c>
      <c r="D10216" s="31"/>
      <c r="F10216" s="121" t="s">
        <v>3009</v>
      </c>
      <c r="G10216" s="98" t="str">
        <f>HYPERLINK("http://mirror.ff7data.com.ar/ff7/data/battle/battle.lgp/rpap.png","View Picture")</f>
        <v>View Picture</v>
      </c>
    </row>
    <row r="10217">
      <c r="A10217" s="55"/>
      <c r="B10217" s="119" t="s">
        <v>42557</v>
      </c>
      <c r="C10217" s="120" t="s">
        <v>3494</v>
      </c>
      <c r="D10217" s="31"/>
      <c r="F10217" s="121" t="s">
        <v>3009</v>
      </c>
      <c r="G10217" s="98" t="str">
        <f>HYPERLINK("http://mirror.ff7data.com.ar/ff7/data/battle/battle.lgp/rpaq.png","View Picture")</f>
        <v>View Picture</v>
      </c>
    </row>
    <row r="10218">
      <c r="A10218" s="55"/>
      <c r="B10218" s="119" t="s">
        <v>42558</v>
      </c>
      <c r="C10218" s="120" t="s">
        <v>3573</v>
      </c>
      <c r="D10218" s="31"/>
      <c r="F10218" s="121" t="s">
        <v>3009</v>
      </c>
      <c r="G10218" s="98" t="str">
        <f>HYPERLINK("http://mirror.ff7data.com.ar/ff7/data/battle/battle.lgp/rpar.png","View Picture")</f>
        <v>View Picture</v>
      </c>
    </row>
    <row r="10219">
      <c r="A10219" s="55"/>
      <c r="B10219" s="119" t="s">
        <v>42559</v>
      </c>
      <c r="C10219" s="120" t="s">
        <v>7871</v>
      </c>
      <c r="D10219" s="31"/>
      <c r="F10219" s="121" t="s">
        <v>3009</v>
      </c>
      <c r="G10219" s="98" t="str">
        <f>HYPERLINK("http://mirror.ff7data.com.ar/ff7/data/battle/battle.lgp/rpas.png","View Picture")</f>
        <v>View Picture</v>
      </c>
    </row>
    <row r="10220">
      <c r="A10220" s="55"/>
      <c r="B10220" s="119" t="s">
        <v>42560</v>
      </c>
      <c r="C10220" s="120" t="s">
        <v>5419</v>
      </c>
      <c r="D10220" s="31"/>
      <c r="F10220" s="121" t="s">
        <v>3009</v>
      </c>
      <c r="G10220" s="98" t="str">
        <f>HYPERLINK("http://mirror.ff7data.com.ar/ff7/data/battle/battle.lgp/rpat.png","View Picture")</f>
        <v>View Picture</v>
      </c>
    </row>
    <row r="10221">
      <c r="A10221" s="55"/>
      <c r="B10221" s="119" t="s">
        <v>42561</v>
      </c>
      <c r="C10221" s="120" t="s">
        <v>9600</v>
      </c>
      <c r="D10221" s="31"/>
      <c r="F10221" s="121" t="s">
        <v>3009</v>
      </c>
      <c r="G10221" s="98" t="str">
        <f>HYPERLINK("http://mirror.ff7data.com.ar/ff7/data/battle/battle.lgp/rpau.png","View Picture")</f>
        <v>View Picture</v>
      </c>
    </row>
    <row r="10222">
      <c r="A10222" s="55"/>
      <c r="B10222" s="119" t="s">
        <v>42562</v>
      </c>
      <c r="C10222" s="120" t="s">
        <v>3355</v>
      </c>
      <c r="D10222" s="31"/>
      <c r="F10222" s="121" t="s">
        <v>3009</v>
      </c>
      <c r="G10222" s="98" t="str">
        <f>HYPERLINK("http://mirror.ff7data.com.ar/ff7/data/battle/battle.lgp/rpav.png","View Picture")</f>
        <v>View Picture</v>
      </c>
    </row>
    <row r="10223">
      <c r="A10223" s="55"/>
      <c r="B10223" s="119" t="s">
        <v>42563</v>
      </c>
      <c r="C10223" s="120" t="s">
        <v>3658</v>
      </c>
      <c r="D10223" s="31"/>
      <c r="F10223" s="121" t="s">
        <v>3009</v>
      </c>
      <c r="G10223" s="98" t="str">
        <f>HYPERLINK("http://mirror.ff7data.com.ar/ff7/data/battle/battle.lgp/rpaw.png","View Picture")</f>
        <v>View Picture</v>
      </c>
    </row>
    <row r="10224">
      <c r="A10224" s="55"/>
      <c r="B10224" s="119" t="s">
        <v>42564</v>
      </c>
      <c r="C10224" s="120" t="s">
        <v>5891</v>
      </c>
      <c r="D10224" s="31"/>
      <c r="F10224" s="121" t="s">
        <v>3009</v>
      </c>
      <c r="G10224" s="98" t="str">
        <f>HYPERLINK("http://mirror.ff7data.com.ar/ff7/data/battle/battle.lgp/rpax.png","View Picture")</f>
        <v>View Picture</v>
      </c>
    </row>
    <row r="10225">
      <c r="A10225" s="79"/>
      <c r="B10225" s="119" t="s">
        <v>42565</v>
      </c>
      <c r="C10225" s="120" t="s">
        <v>40553</v>
      </c>
      <c r="D10225" s="33" t="s">
        <v>42566</v>
      </c>
      <c r="F10225" s="121" t="s">
        <v>2756</v>
      </c>
      <c r="G10225" s="98" t="str">
        <f>HYPERLINK("http://mirror.ff7data.com.ar/ff7/data/battle/battle.lgp/rqaa.png","View Picture")</f>
        <v>View Picture</v>
      </c>
    </row>
    <row r="10226">
      <c r="A10226" s="55"/>
      <c r="B10226" s="119" t="s">
        <v>42567</v>
      </c>
      <c r="C10226" s="120" t="s">
        <v>40556</v>
      </c>
      <c r="D10226" s="31"/>
      <c r="F10226" s="121" t="s">
        <v>2993</v>
      </c>
    </row>
    <row r="10227">
      <c r="A10227" s="55"/>
      <c r="B10227" s="119" t="s">
        <v>42568</v>
      </c>
      <c r="C10227" s="120" t="s">
        <v>26104</v>
      </c>
      <c r="D10227" s="31"/>
      <c r="F10227" s="121" t="s">
        <v>1348</v>
      </c>
      <c r="G10227" s="98" t="str">
        <f>HYPERLINK("http://mirror.ff7data.com.ar/ff7/data/battle/battle.lgp/rqac.png","View Picture")</f>
        <v>View Picture</v>
      </c>
    </row>
    <row r="10228">
      <c r="A10228" s="55"/>
      <c r="B10228" s="119" t="s">
        <v>42569</v>
      </c>
      <c r="C10228" s="120" t="s">
        <v>26104</v>
      </c>
      <c r="D10228" s="31"/>
      <c r="F10228" s="121" t="s">
        <v>1348</v>
      </c>
      <c r="G10228" s="98" t="str">
        <f>HYPERLINK("http://mirror.ff7data.com.ar/ff7/data/battle/battle.lgp/rqad.png","View Picture")</f>
        <v>View Picture</v>
      </c>
    </row>
    <row r="10229">
      <c r="A10229" s="55"/>
      <c r="B10229" s="119" t="s">
        <v>42570</v>
      </c>
      <c r="C10229" s="120" t="s">
        <v>26095</v>
      </c>
      <c r="D10229" s="31"/>
      <c r="F10229" s="121" t="s">
        <v>1348</v>
      </c>
      <c r="G10229" s="98" t="str">
        <f>HYPERLINK("http://mirror.ff7data.com.ar/ff7/data/battle/battle.lgp/rqae.png","View Picture")</f>
        <v>View Picture</v>
      </c>
    </row>
    <row r="10230">
      <c r="A10230" s="55"/>
      <c r="B10230" s="119" t="s">
        <v>42571</v>
      </c>
      <c r="C10230" s="120" t="s">
        <v>6018</v>
      </c>
      <c r="D10230" s="31"/>
      <c r="F10230" s="121" t="s">
        <v>1348</v>
      </c>
      <c r="G10230" s="98" t="str">
        <f>HYPERLINK("http://mirror.ff7data.com.ar/ff7/data/battle/battle.lgp/rqaf.png","View Picture")</f>
        <v>View Picture</v>
      </c>
    </row>
    <row r="10231">
      <c r="A10231" s="55"/>
      <c r="B10231" s="119" t="s">
        <v>42572</v>
      </c>
      <c r="C10231" s="120" t="s">
        <v>6018</v>
      </c>
      <c r="D10231" s="31"/>
      <c r="F10231" s="121" t="s">
        <v>1348</v>
      </c>
      <c r="G10231" s="98" t="str">
        <f>HYPERLINK("http://mirror.ff7data.com.ar/ff7/data/battle/battle.lgp/rqag.png","View Picture")</f>
        <v>View Picture</v>
      </c>
    </row>
    <row r="10232">
      <c r="A10232" s="55"/>
      <c r="B10232" s="119" t="s">
        <v>42573</v>
      </c>
      <c r="C10232" s="120" t="s">
        <v>26095</v>
      </c>
      <c r="D10232" s="31"/>
      <c r="F10232" s="121" t="s">
        <v>1348</v>
      </c>
      <c r="G10232" s="98" t="str">
        <f>HYPERLINK("http://mirror.ff7data.com.ar/ff7/data/battle/battle.lgp/rqah.png","View Picture")</f>
        <v>View Picture</v>
      </c>
    </row>
    <row r="10233">
      <c r="A10233" s="55"/>
      <c r="B10233" s="119" t="s">
        <v>42574</v>
      </c>
      <c r="C10233" s="120" t="s">
        <v>6018</v>
      </c>
      <c r="D10233" s="31"/>
      <c r="F10233" s="121" t="s">
        <v>1348</v>
      </c>
      <c r="G10233" s="98" t="str">
        <f>HYPERLINK("http://mirror.ff7data.com.ar/ff7/data/battle/battle.lgp/rqai.png","View Picture")</f>
        <v>View Picture</v>
      </c>
    </row>
    <row r="10234">
      <c r="A10234" s="55"/>
      <c r="B10234" s="119" t="s">
        <v>42575</v>
      </c>
      <c r="C10234" s="120" t="s">
        <v>7471</v>
      </c>
      <c r="D10234" s="31"/>
      <c r="F10234" s="121" t="s">
        <v>1348</v>
      </c>
      <c r="G10234" s="98" t="str">
        <f>HYPERLINK("http://mirror.ff7data.com.ar/ff7/data/battle/battle.lgp/rqaj.png","View Picture")</f>
        <v>View Picture</v>
      </c>
    </row>
    <row r="10235">
      <c r="A10235" s="55"/>
      <c r="B10235" s="119" t="s">
        <v>42576</v>
      </c>
      <c r="C10235" s="120" t="s">
        <v>8550</v>
      </c>
      <c r="D10235" s="31"/>
      <c r="F10235" s="121" t="s">
        <v>3009</v>
      </c>
      <c r="G10235" s="98" t="str">
        <f>HYPERLINK("http://mirror.ff7data.com.ar/ff7/data/battle/battle.lgp/rqam.png","View Picture")</f>
        <v>View Picture</v>
      </c>
    </row>
    <row r="10236">
      <c r="A10236" s="55"/>
      <c r="B10236" s="119" t="s">
        <v>42577</v>
      </c>
      <c r="C10236" s="120" t="s">
        <v>3768</v>
      </c>
      <c r="D10236" s="31"/>
      <c r="F10236" s="121" t="s">
        <v>3009</v>
      </c>
      <c r="G10236" s="98" t="str">
        <f>HYPERLINK("http://mirror.ff7data.com.ar/ff7/data/battle/battle.lgp/rqan.png","View Picture")</f>
        <v>View Picture</v>
      </c>
    </row>
    <row r="10237">
      <c r="A10237" s="55"/>
      <c r="B10237" s="119" t="s">
        <v>42578</v>
      </c>
      <c r="C10237" s="120" t="s">
        <v>3842</v>
      </c>
      <c r="D10237" s="31"/>
      <c r="F10237" s="121" t="s">
        <v>3009</v>
      </c>
      <c r="G10237" s="98" t="str">
        <f>HYPERLINK("http://mirror.ff7data.com.ar/ff7/data/battle/battle.lgp/rqao.png","View Picture")</f>
        <v>View Picture</v>
      </c>
    </row>
    <row r="10238">
      <c r="A10238" s="55"/>
      <c r="B10238" s="119" t="s">
        <v>42579</v>
      </c>
      <c r="C10238" s="120" t="s">
        <v>4476</v>
      </c>
      <c r="D10238" s="31"/>
      <c r="F10238" s="121" t="s">
        <v>3009</v>
      </c>
      <c r="G10238" s="98" t="str">
        <f>HYPERLINK("http://mirror.ff7data.com.ar/ff7/data/battle/battle.lgp/rqap.png","View Picture")</f>
        <v>View Picture</v>
      </c>
    </row>
    <row r="10239">
      <c r="A10239" s="55"/>
      <c r="B10239" s="119" t="s">
        <v>42580</v>
      </c>
      <c r="C10239" s="120" t="s">
        <v>3434</v>
      </c>
      <c r="D10239" s="31"/>
      <c r="F10239" s="121" t="s">
        <v>3009</v>
      </c>
      <c r="G10239" s="98" t="str">
        <f>HYPERLINK("http://mirror.ff7data.com.ar/ff7/data/battle/battle.lgp/rqaq.png","View Picture")</f>
        <v>View Picture</v>
      </c>
    </row>
    <row r="10240">
      <c r="A10240" s="55"/>
      <c r="B10240" s="119" t="s">
        <v>42581</v>
      </c>
      <c r="C10240" s="120" t="s">
        <v>4046</v>
      </c>
      <c r="D10240" s="31"/>
      <c r="F10240" s="121" t="s">
        <v>3009</v>
      </c>
      <c r="G10240" s="98" t="str">
        <f>HYPERLINK("http://mirror.ff7data.com.ar/ff7/data/battle/battle.lgp/rqar.png","View Picture")</f>
        <v>View Picture</v>
      </c>
    </row>
    <row r="10241">
      <c r="A10241" s="55"/>
      <c r="B10241" s="119" t="s">
        <v>42582</v>
      </c>
      <c r="C10241" s="120" t="s">
        <v>3355</v>
      </c>
      <c r="D10241" s="31"/>
      <c r="F10241" s="121" t="s">
        <v>3009</v>
      </c>
      <c r="G10241" s="98" t="str">
        <f>HYPERLINK("http://mirror.ff7data.com.ar/ff7/data/battle/battle.lgp/rqas.png","View Picture")</f>
        <v>View Picture</v>
      </c>
    </row>
    <row r="10242">
      <c r="A10242" s="55"/>
      <c r="B10242" s="119" t="s">
        <v>42583</v>
      </c>
      <c r="C10242" s="120" t="s">
        <v>8376</v>
      </c>
      <c r="D10242" s="31"/>
      <c r="F10242" s="121" t="s">
        <v>3009</v>
      </c>
      <c r="G10242" s="98" t="str">
        <f>HYPERLINK("http://mirror.ff7data.com.ar/ff7/data/battle/battle.lgp/rqat.png","View Picture")</f>
        <v>View Picture</v>
      </c>
    </row>
    <row r="10243">
      <c r="A10243" s="55"/>
      <c r="B10243" s="119" t="s">
        <v>42584</v>
      </c>
      <c r="C10243" s="120" t="s">
        <v>3614</v>
      </c>
      <c r="D10243" s="31"/>
      <c r="F10243" s="121" t="s">
        <v>3009</v>
      </c>
      <c r="G10243" s="98" t="str">
        <f>HYPERLINK("http://mirror.ff7data.com.ar/ff7/data/battle/battle.lgp/rqau.png","View Picture")</f>
        <v>View Picture</v>
      </c>
    </row>
    <row r="10244">
      <c r="A10244" s="55"/>
      <c r="B10244" s="119" t="s">
        <v>42585</v>
      </c>
      <c r="C10244" s="120" t="s">
        <v>4439</v>
      </c>
      <c r="D10244" s="31"/>
      <c r="F10244" s="121" t="s">
        <v>3009</v>
      </c>
      <c r="G10244" s="98" t="str">
        <f>HYPERLINK("http://mirror.ff7data.com.ar/ff7/data/battle/battle.lgp/rqav.png","View Picture")</f>
        <v>View Picture</v>
      </c>
    </row>
    <row r="10245">
      <c r="A10245" s="79"/>
      <c r="B10245" s="119" t="s">
        <v>42586</v>
      </c>
      <c r="C10245" s="120" t="s">
        <v>40553</v>
      </c>
      <c r="D10245" s="33" t="s">
        <v>42587</v>
      </c>
      <c r="F10245" s="121" t="s">
        <v>2756</v>
      </c>
      <c r="G10245" s="98" t="str">
        <f>HYPERLINK("http://mirror.ff7data.com.ar/ff7/data/battle/battle.lgp/rraa.png","View Picture")</f>
        <v>View Picture</v>
      </c>
    </row>
    <row r="10246">
      <c r="A10246" s="55"/>
      <c r="B10246" s="119" t="s">
        <v>42588</v>
      </c>
      <c r="C10246" s="120" t="s">
        <v>40556</v>
      </c>
      <c r="D10246" s="31"/>
      <c r="F10246" s="121" t="s">
        <v>2993</v>
      </c>
    </row>
    <row r="10247">
      <c r="A10247" s="55"/>
      <c r="B10247" s="119" t="s">
        <v>42589</v>
      </c>
      <c r="C10247" s="120" t="s">
        <v>26104</v>
      </c>
      <c r="D10247" s="33" t="s">
        <v>42590</v>
      </c>
      <c r="F10247" s="121" t="s">
        <v>1348</v>
      </c>
      <c r="G10247" s="98" t="str">
        <f>HYPERLINK("http://mirror.ff7data.com.ar/ff7/data/battle/battle.lgp/rrac.png","View Picture")</f>
        <v>View Picture</v>
      </c>
    </row>
    <row r="10248">
      <c r="A10248" s="79"/>
      <c r="B10248" s="119" t="s">
        <v>42591</v>
      </c>
      <c r="C10248" s="120" t="s">
        <v>26095</v>
      </c>
      <c r="D10248" s="33" t="s">
        <v>42592</v>
      </c>
      <c r="F10248" s="121" t="s">
        <v>1348</v>
      </c>
      <c r="G10248" s="98" t="str">
        <f>HYPERLINK("http://mirror.ff7data.com.ar/ff7/data/battle/battle.lgp/rrad.png","View Picture")</f>
        <v>View Picture</v>
      </c>
    </row>
    <row r="10249">
      <c r="A10249" s="55"/>
      <c r="B10249" s="119" t="s">
        <v>42593</v>
      </c>
      <c r="C10249" s="120" t="s">
        <v>6018</v>
      </c>
      <c r="D10249" s="33" t="s">
        <v>42590</v>
      </c>
      <c r="F10249" s="121" t="s">
        <v>1348</v>
      </c>
      <c r="G10249" s="98" t="str">
        <f>HYPERLINK("http://mirror.ff7data.com.ar/ff7/data/battle/battle.lgp/rrae.png","View Picture")</f>
        <v>View Picture</v>
      </c>
    </row>
    <row r="10250">
      <c r="A10250" s="55"/>
      <c r="B10250" s="119" t="s">
        <v>42594</v>
      </c>
      <c r="C10250" s="120" t="s">
        <v>26095</v>
      </c>
      <c r="D10250" s="33" t="s">
        <v>42590</v>
      </c>
      <c r="F10250" s="121" t="s">
        <v>1348</v>
      </c>
      <c r="G10250" s="98" t="str">
        <f>HYPERLINK("http://mirror.ff7data.com.ar/ff7/data/battle/battle.lgp/rraf.png","View Picture")</f>
        <v>View Picture</v>
      </c>
    </row>
    <row r="10251">
      <c r="A10251" s="55"/>
      <c r="B10251" s="119" t="s">
        <v>42595</v>
      </c>
      <c r="C10251" s="120" t="s">
        <v>26095</v>
      </c>
      <c r="D10251" s="33" t="s">
        <v>42590</v>
      </c>
      <c r="F10251" s="121" t="s">
        <v>1348</v>
      </c>
      <c r="G10251" s="98" t="str">
        <f>HYPERLINK("http://mirror.ff7data.com.ar/ff7/data/battle/battle.lgp/rrag.png","View Picture")</f>
        <v>View Picture</v>
      </c>
    </row>
    <row r="10252">
      <c r="A10252" s="55"/>
      <c r="B10252" s="119" t="s">
        <v>42596</v>
      </c>
      <c r="C10252" s="120" t="s">
        <v>26095</v>
      </c>
      <c r="D10252" s="33" t="s">
        <v>42597</v>
      </c>
      <c r="F10252" s="121" t="s">
        <v>1348</v>
      </c>
      <c r="G10252" s="98" t="str">
        <f>HYPERLINK("http://mirror.ff7data.com.ar/ff7/data/battle/battle.lgp/rrah.png","View Picture")</f>
        <v>View Picture</v>
      </c>
    </row>
    <row r="10253">
      <c r="A10253" s="55"/>
      <c r="B10253" s="119" t="s">
        <v>42598</v>
      </c>
      <c r="C10253" s="120" t="s">
        <v>26104</v>
      </c>
      <c r="D10253" s="33" t="s">
        <v>42597</v>
      </c>
      <c r="F10253" s="121" t="s">
        <v>1348</v>
      </c>
      <c r="G10253" s="98" t="str">
        <f>HYPERLINK("http://mirror.ff7data.com.ar/ff7/data/battle/battle.lgp/rrai.png","View Picture")</f>
        <v>View Picture</v>
      </c>
    </row>
    <row r="10254">
      <c r="A10254" s="55"/>
      <c r="B10254" s="119" t="s">
        <v>42599</v>
      </c>
      <c r="C10254" s="120" t="s">
        <v>26095</v>
      </c>
      <c r="D10254" s="33" t="s">
        <v>42597</v>
      </c>
      <c r="F10254" s="121" t="s">
        <v>1348</v>
      </c>
      <c r="G10254" s="98" t="str">
        <f>HYPERLINK("http://mirror.ff7data.com.ar/ff7/data/battle/battle.lgp/rraj.png","View Picture")</f>
        <v>View Picture</v>
      </c>
    </row>
    <row r="10255">
      <c r="A10255" s="55"/>
      <c r="B10255" s="119" t="s">
        <v>42600</v>
      </c>
      <c r="C10255" s="120" t="s">
        <v>4191</v>
      </c>
      <c r="D10255" s="31"/>
      <c r="F10255" s="121" t="s">
        <v>3009</v>
      </c>
      <c r="G10255" s="98" t="str">
        <f>HYPERLINK("http://mirror.ff7data.com.ar/ff7/data/battle/battle.lgp/rram.png","View Picture")</f>
        <v>View Picture</v>
      </c>
    </row>
    <row r="10256">
      <c r="A10256" s="55"/>
      <c r="B10256" s="119" t="s">
        <v>42601</v>
      </c>
      <c r="C10256" s="120" t="s">
        <v>3768</v>
      </c>
      <c r="D10256" s="31"/>
      <c r="F10256" s="121" t="s">
        <v>3009</v>
      </c>
      <c r="G10256" s="98" t="str">
        <f>HYPERLINK("http://mirror.ff7data.com.ar/ff7/data/battle/battle.lgp/rran.png","View Picture")</f>
        <v>View Picture</v>
      </c>
    </row>
    <row r="10257">
      <c r="A10257" s="55"/>
      <c r="B10257" s="119" t="s">
        <v>42602</v>
      </c>
      <c r="C10257" s="120" t="s">
        <v>7270</v>
      </c>
      <c r="D10257" s="31"/>
      <c r="F10257" s="121" t="s">
        <v>3009</v>
      </c>
      <c r="G10257" s="98" t="str">
        <f>HYPERLINK("http://mirror.ff7data.com.ar/ff7/data/battle/battle.lgp/rrao.png","View Picture")</f>
        <v>View Picture</v>
      </c>
    </row>
    <row r="10258">
      <c r="A10258" s="55"/>
      <c r="B10258" s="119" t="s">
        <v>42603</v>
      </c>
      <c r="C10258" s="120" t="s">
        <v>4846</v>
      </c>
      <c r="D10258" s="31"/>
      <c r="F10258" s="121" t="s">
        <v>3009</v>
      </c>
      <c r="G10258" s="98" t="str">
        <f>HYPERLINK("http://mirror.ff7data.com.ar/ff7/data/battle/battle.lgp/rrap.png","View Picture")</f>
        <v>View Picture</v>
      </c>
    </row>
    <row r="10259">
      <c r="A10259" s="55"/>
      <c r="B10259" s="119" t="s">
        <v>42604</v>
      </c>
      <c r="C10259" s="120" t="s">
        <v>4185</v>
      </c>
      <c r="D10259" s="31"/>
      <c r="F10259" s="121" t="s">
        <v>3009</v>
      </c>
      <c r="G10259" s="98" t="str">
        <f>HYPERLINK("http://mirror.ff7data.com.ar/ff7/data/battle/battle.lgp/rraq.png","View Picture")</f>
        <v>View Picture</v>
      </c>
    </row>
    <row r="10260">
      <c r="A10260" s="55"/>
      <c r="B10260" s="119" t="s">
        <v>42605</v>
      </c>
      <c r="C10260" s="120" t="s">
        <v>3343</v>
      </c>
      <c r="D10260" s="31"/>
      <c r="F10260" s="121" t="s">
        <v>3009</v>
      </c>
      <c r="G10260" s="98" t="str">
        <f>HYPERLINK("http://mirror.ff7data.com.ar/ff7/data/battle/battle.lgp/rrar.png","View Picture")</f>
        <v>View Picture</v>
      </c>
    </row>
    <row r="10261">
      <c r="A10261" s="55"/>
      <c r="B10261" s="119" t="s">
        <v>42606</v>
      </c>
      <c r="C10261" s="120" t="s">
        <v>5904</v>
      </c>
      <c r="D10261" s="31"/>
      <c r="F10261" s="121" t="s">
        <v>3009</v>
      </c>
      <c r="G10261" s="98" t="str">
        <f>HYPERLINK("http://mirror.ff7data.com.ar/ff7/data/battle/battle.lgp/rras.png","View Picture")</f>
        <v>View Picture</v>
      </c>
    </row>
    <row r="10262">
      <c r="A10262" s="55"/>
      <c r="B10262" s="119" t="s">
        <v>42607</v>
      </c>
      <c r="C10262" s="120" t="s">
        <v>5904</v>
      </c>
      <c r="D10262" s="31"/>
      <c r="F10262" s="121" t="s">
        <v>3009</v>
      </c>
      <c r="G10262" s="98" t="str">
        <f>HYPERLINK("http://mirror.ff7data.com.ar/ff7/data/battle/battle.lgp/rrat.png","View Picture")</f>
        <v>View Picture</v>
      </c>
    </row>
    <row r="10263">
      <c r="A10263" s="55"/>
      <c r="B10263" s="119" t="s">
        <v>42608</v>
      </c>
      <c r="C10263" s="120" t="s">
        <v>3481</v>
      </c>
      <c r="D10263" s="31"/>
      <c r="F10263" s="121" t="s">
        <v>3009</v>
      </c>
      <c r="G10263" s="98" t="str">
        <f>HYPERLINK("http://mirror.ff7data.com.ar/ff7/data/battle/battle.lgp/rrau.png","View Picture")</f>
        <v>View Picture</v>
      </c>
    </row>
    <row r="10264">
      <c r="A10264" s="55"/>
      <c r="B10264" s="119" t="s">
        <v>42609</v>
      </c>
      <c r="C10264" s="120" t="s">
        <v>3481</v>
      </c>
      <c r="D10264" s="31"/>
      <c r="F10264" s="121" t="s">
        <v>3009</v>
      </c>
      <c r="G10264" s="98" t="str">
        <f>HYPERLINK("http://mirror.ff7data.com.ar/ff7/data/battle/battle.lgp/rrav.png","View Picture")</f>
        <v>View Picture</v>
      </c>
    </row>
    <row r="10265">
      <c r="A10265" s="55"/>
      <c r="B10265" s="119" t="s">
        <v>42610</v>
      </c>
      <c r="C10265" s="120" t="s">
        <v>4057</v>
      </c>
      <c r="D10265" s="31"/>
      <c r="F10265" s="121" t="s">
        <v>3009</v>
      </c>
      <c r="G10265" s="98" t="str">
        <f>HYPERLINK("http://mirror.ff7data.com.ar/ff7/data/battle/battle.lgp/rraw.png","View Picture")</f>
        <v>View Picture</v>
      </c>
    </row>
    <row r="10266">
      <c r="A10266" s="55"/>
      <c r="B10266" s="119" t="s">
        <v>42611</v>
      </c>
      <c r="C10266" s="120" t="s">
        <v>4057</v>
      </c>
      <c r="D10266" s="31"/>
      <c r="F10266" s="121" t="s">
        <v>3009</v>
      </c>
      <c r="G10266" s="98" t="str">
        <f>HYPERLINK("http://mirror.ff7data.com.ar/ff7/data/battle/battle.lgp/rrax.png","View Picture")</f>
        <v>View Picture</v>
      </c>
    </row>
    <row r="10267">
      <c r="A10267" s="55"/>
      <c r="B10267" s="119" t="s">
        <v>42612</v>
      </c>
      <c r="C10267" s="120" t="s">
        <v>4057</v>
      </c>
      <c r="D10267" s="31"/>
      <c r="F10267" s="121" t="s">
        <v>3009</v>
      </c>
      <c r="G10267" s="98" t="str">
        <f>HYPERLINK("http://mirror.ff7data.com.ar/ff7/data/battle/battle.lgp/rray.png","View Picture")</f>
        <v>View Picture</v>
      </c>
    </row>
    <row r="10268">
      <c r="A10268" s="55"/>
      <c r="B10268" s="119" t="s">
        <v>42613</v>
      </c>
      <c r="C10268" s="120" t="s">
        <v>4185</v>
      </c>
      <c r="D10268" s="31"/>
      <c r="F10268" s="121" t="s">
        <v>3009</v>
      </c>
      <c r="G10268" s="98" t="str">
        <f>HYPERLINK("http://mirror.ff7data.com.ar/ff7/data/battle/battle.lgp/rraz.png","View Picture")</f>
        <v>View Picture</v>
      </c>
    </row>
    <row r="10269">
      <c r="A10269" s="55"/>
      <c r="B10269" s="119" t="s">
        <v>42614</v>
      </c>
      <c r="C10269" s="120" t="s">
        <v>4185</v>
      </c>
      <c r="D10269" s="31"/>
      <c r="F10269" s="121" t="s">
        <v>3009</v>
      </c>
      <c r="G10269" s="98" t="str">
        <f>HYPERLINK("http://mirror.ff7data.com.ar/ff7/data/battle/battle.lgp/rrba.png","View Picture")</f>
        <v>View Picture</v>
      </c>
    </row>
    <row r="10270">
      <c r="A10270" s="55"/>
      <c r="B10270" s="119" t="s">
        <v>42615</v>
      </c>
      <c r="C10270" s="120" t="s">
        <v>4357</v>
      </c>
      <c r="D10270" s="31"/>
      <c r="F10270" s="121" t="s">
        <v>3025</v>
      </c>
    </row>
    <row r="10271">
      <c r="A10271" s="21"/>
      <c r="B10271" s="119" t="s">
        <v>42616</v>
      </c>
      <c r="C10271" s="120" t="s">
        <v>12090</v>
      </c>
      <c r="D10271" s="33" t="s">
        <v>42617</v>
      </c>
      <c r="F10271" s="121" t="s">
        <v>2971</v>
      </c>
      <c r="G10271" s="98" t="str">
        <f>HYPERLINK("http://mirror.ff7data.com.ar/ff7/data/battle/battle.lgp/rsaa.png","View Picture")</f>
        <v>View Picture</v>
      </c>
      <c r="H10271" s="46" t="s">
        <v>42618</v>
      </c>
    </row>
    <row r="10272">
      <c r="A10272" s="55"/>
      <c r="B10272" s="119" t="s">
        <v>42619</v>
      </c>
      <c r="C10272" s="120" t="s">
        <v>8063</v>
      </c>
      <c r="D10272" s="33" t="s">
        <v>42620</v>
      </c>
      <c r="F10272" s="121" t="s">
        <v>2993</v>
      </c>
    </row>
    <row r="10273">
      <c r="A10273" s="55"/>
      <c r="B10273" s="119" t="s">
        <v>42621</v>
      </c>
      <c r="C10273" s="120" t="s">
        <v>3842</v>
      </c>
      <c r="D10273" s="33" t="s">
        <v>42620</v>
      </c>
      <c r="F10273" s="121" t="s">
        <v>3009</v>
      </c>
      <c r="G10273" s="98" t="str">
        <f>HYPERLINK("http://mirror.ff7data.com.ar/ff7/data/battle/battle.lgp/rsan.png","View Picture")</f>
        <v>View Picture</v>
      </c>
    </row>
    <row r="10274">
      <c r="A10274" s="55"/>
      <c r="B10274" s="119" t="s">
        <v>42622</v>
      </c>
      <c r="C10274" s="120" t="s">
        <v>3343</v>
      </c>
      <c r="D10274" s="33" t="s">
        <v>42620</v>
      </c>
      <c r="F10274" s="121" t="s">
        <v>3009</v>
      </c>
      <c r="G10274" s="98" t="str">
        <f>HYPERLINK("http://mirror.ff7data.com.ar/ff7/data/battle/battle.lgp/rsao.png","View Picture")</f>
        <v>View Picture</v>
      </c>
    </row>
    <row r="10275">
      <c r="A10275" s="55"/>
      <c r="B10275" s="119" t="s">
        <v>42623</v>
      </c>
      <c r="C10275" s="120" t="s">
        <v>4288</v>
      </c>
      <c r="D10275" s="33" t="s">
        <v>42620</v>
      </c>
      <c r="F10275" s="121" t="s">
        <v>3009</v>
      </c>
      <c r="G10275" s="98" t="str">
        <f>HYPERLINK("http://mirror.ff7data.com.ar/ff7/data/battle/battle.lgp/rsar.png","View Picture")</f>
        <v>View Picture</v>
      </c>
    </row>
    <row r="10276">
      <c r="A10276" s="55"/>
      <c r="B10276" s="119" t="s">
        <v>42624</v>
      </c>
      <c r="C10276" s="120" t="s">
        <v>4541</v>
      </c>
      <c r="D10276" s="33" t="s">
        <v>42620</v>
      </c>
      <c r="F10276" s="121" t="s">
        <v>3009</v>
      </c>
      <c r="G10276" s="98" t="str">
        <f>HYPERLINK("http://mirror.ff7data.com.ar/ff7/data/battle/battle.lgp/rsas.png","View Picture")</f>
        <v>View Picture</v>
      </c>
    </row>
    <row r="10277">
      <c r="A10277" s="55"/>
      <c r="B10277" s="119" t="s">
        <v>42625</v>
      </c>
      <c r="C10277" s="120" t="s">
        <v>4185</v>
      </c>
      <c r="D10277" s="33" t="s">
        <v>42620</v>
      </c>
      <c r="F10277" s="121" t="s">
        <v>3009</v>
      </c>
      <c r="G10277" s="98" t="str">
        <f>HYPERLINK("http://mirror.ff7data.com.ar/ff7/data/battle/battle.lgp/rsat.png","View Picture")</f>
        <v>View Picture</v>
      </c>
    </row>
    <row r="10278">
      <c r="A10278" s="55"/>
      <c r="B10278" s="119" t="s">
        <v>42626</v>
      </c>
      <c r="C10278" s="120" t="s">
        <v>4658</v>
      </c>
      <c r="D10278" s="33" t="s">
        <v>42620</v>
      </c>
      <c r="F10278" s="121" t="s">
        <v>3009</v>
      </c>
      <c r="G10278" s="98" t="str">
        <f>HYPERLINK("http://mirror.ff7data.com.ar/ff7/data/battle/battle.lgp/rsaw.png","View Picture")</f>
        <v>View Picture</v>
      </c>
    </row>
    <row r="10279">
      <c r="A10279" s="55"/>
      <c r="B10279" s="119" t="s">
        <v>42627</v>
      </c>
      <c r="C10279" s="120" t="s">
        <v>4541</v>
      </c>
      <c r="D10279" s="33" t="s">
        <v>42620</v>
      </c>
      <c r="F10279" s="121" t="s">
        <v>3009</v>
      </c>
      <c r="G10279" s="98" t="str">
        <f>HYPERLINK("http://mirror.ff7data.com.ar/ff7/data/battle/battle.lgp/rsax.png","View Picture")</f>
        <v>View Picture</v>
      </c>
    </row>
    <row r="10280">
      <c r="A10280" s="55"/>
      <c r="B10280" s="119" t="s">
        <v>42628</v>
      </c>
      <c r="C10280" s="120" t="s">
        <v>4185</v>
      </c>
      <c r="D10280" s="33" t="s">
        <v>42620</v>
      </c>
      <c r="F10280" s="121" t="s">
        <v>3009</v>
      </c>
      <c r="G10280" s="98" t="str">
        <f>HYPERLINK("http://mirror.ff7data.com.ar/ff7/data/battle/battle.lgp/rsay.png","View Picture")</f>
        <v>View Picture</v>
      </c>
    </row>
    <row r="10281">
      <c r="A10281" s="55"/>
      <c r="B10281" s="119" t="s">
        <v>42629</v>
      </c>
      <c r="C10281" s="120" t="s">
        <v>4185</v>
      </c>
      <c r="D10281" s="33" t="s">
        <v>42620</v>
      </c>
      <c r="F10281" s="121" t="s">
        <v>3009</v>
      </c>
      <c r="G10281" s="98" t="str">
        <f>HYPERLINK("http://mirror.ff7data.com.ar/ff7/data/battle/battle.lgp/rsba.png","View Picture")</f>
        <v>View Picture</v>
      </c>
    </row>
    <row r="10282">
      <c r="A10282" s="55"/>
      <c r="B10282" s="119" t="s">
        <v>42630</v>
      </c>
      <c r="C10282" s="120" t="s">
        <v>4696</v>
      </c>
      <c r="D10282" s="33" t="s">
        <v>42620</v>
      </c>
      <c r="F10282" s="121" t="s">
        <v>3009</v>
      </c>
      <c r="G10282" s="98" t="str">
        <f>HYPERLINK("http://mirror.ff7data.com.ar/ff7/data/battle/battle.lgp/rsbb.png","View Picture")</f>
        <v>View Picture</v>
      </c>
    </row>
    <row r="10283">
      <c r="A10283" s="55"/>
      <c r="B10283" s="119" t="s">
        <v>42631</v>
      </c>
      <c r="C10283" s="120" t="s">
        <v>4264</v>
      </c>
      <c r="D10283" s="33" t="s">
        <v>42620</v>
      </c>
      <c r="F10283" s="121" t="s">
        <v>3009</v>
      </c>
      <c r="G10283" s="98" t="str">
        <f>HYPERLINK("http://mirror.ff7data.com.ar/ff7/data/battle/battle.lgp/rsbc.png","View Picture")</f>
        <v>View Picture</v>
      </c>
    </row>
    <row r="10284">
      <c r="A10284" s="55"/>
      <c r="B10284" s="119" t="s">
        <v>42632</v>
      </c>
      <c r="C10284" s="120" t="s">
        <v>4439</v>
      </c>
      <c r="D10284" s="33" t="s">
        <v>42620</v>
      </c>
      <c r="F10284" s="121" t="s">
        <v>3009</v>
      </c>
      <c r="G10284" s="98" t="str">
        <f>HYPERLINK("http://mirror.ff7data.com.ar/ff7/data/battle/battle.lgp/rsbe.png","View Picture")</f>
        <v>View Picture</v>
      </c>
    </row>
    <row r="10285">
      <c r="A10285" s="55"/>
      <c r="B10285" s="119" t="s">
        <v>42633</v>
      </c>
      <c r="C10285" s="120" t="s">
        <v>4696</v>
      </c>
      <c r="D10285" s="33" t="s">
        <v>42620</v>
      </c>
      <c r="F10285" s="121" t="s">
        <v>3009</v>
      </c>
      <c r="G10285" s="98" t="str">
        <f>HYPERLINK("http://mirror.ff7data.com.ar/ff7/data/battle/battle.lgp/rsbf.png","View Picture")</f>
        <v>View Picture</v>
      </c>
    </row>
    <row r="10286">
      <c r="A10286" s="55"/>
      <c r="B10286" s="119" t="s">
        <v>42634</v>
      </c>
      <c r="C10286" s="120" t="s">
        <v>4732</v>
      </c>
      <c r="D10286" s="33" t="s">
        <v>42620</v>
      </c>
      <c r="F10286" s="121" t="s">
        <v>3009</v>
      </c>
      <c r="G10286" s="98" t="str">
        <f>HYPERLINK("http://mirror.ff7data.com.ar/ff7/data/battle/battle.lgp/rsbg.png","View Picture")</f>
        <v>View Picture</v>
      </c>
    </row>
    <row r="10287">
      <c r="A10287" s="55"/>
      <c r="B10287" s="119" t="s">
        <v>42635</v>
      </c>
      <c r="C10287" s="120" t="s">
        <v>4841</v>
      </c>
      <c r="D10287" s="33" t="s">
        <v>42620</v>
      </c>
      <c r="F10287" s="121" t="s">
        <v>3025</v>
      </c>
    </row>
    <row r="10288">
      <c r="A10288" s="82"/>
      <c r="B10288" s="119" t="s">
        <v>42636</v>
      </c>
      <c r="C10288" s="120" t="s">
        <v>3980</v>
      </c>
      <c r="D10288" s="33" t="s">
        <v>42637</v>
      </c>
      <c r="E10288" s="51" t="s">
        <v>1413</v>
      </c>
      <c r="F10288" s="121" t="s">
        <v>2971</v>
      </c>
      <c r="G10288" s="98" t="str">
        <f>HYPERLINK("http://mirror.ff7data.com.ar/ff7/data/battle/battle.lgp/rtaa.png","View Picture")</f>
        <v>View Picture</v>
      </c>
    </row>
    <row r="10289">
      <c r="A10289" s="55"/>
      <c r="B10289" s="119" t="s">
        <v>42638</v>
      </c>
      <c r="C10289" s="120" t="s">
        <v>4288</v>
      </c>
      <c r="D10289" s="33" t="s">
        <v>42639</v>
      </c>
      <c r="E10289" s="51" t="s">
        <v>1413</v>
      </c>
      <c r="F10289" s="121" t="s">
        <v>2993</v>
      </c>
    </row>
    <row r="10290">
      <c r="A10290" s="40"/>
      <c r="B10290" s="119" t="s">
        <v>42640</v>
      </c>
      <c r="C10290" s="120" t="s">
        <v>3671</v>
      </c>
      <c r="D10290" s="33" t="s">
        <v>42641</v>
      </c>
      <c r="E10290" s="51" t="s">
        <v>1413</v>
      </c>
      <c r="F10290" s="121" t="s">
        <v>1348</v>
      </c>
      <c r="G10290" s="98" t="str">
        <f>HYPERLINK("http://mirror.ff7data.com.ar/ff7/data/battle/battle.lgp/rtac.png","View Picture")</f>
        <v>View Picture</v>
      </c>
    </row>
    <row r="10291">
      <c r="A10291" s="40"/>
      <c r="B10291" s="119" t="s">
        <v>42642</v>
      </c>
      <c r="C10291" s="120" t="s">
        <v>7081</v>
      </c>
      <c r="D10291" s="33" t="s">
        <v>7631</v>
      </c>
      <c r="E10291" s="51" t="s">
        <v>1413</v>
      </c>
      <c r="F10291" s="121" t="s">
        <v>1348</v>
      </c>
      <c r="G10291" s="98" t="str">
        <f>HYPERLINK("http://mirror.ff7data.com.ar/ff7/data/battle/battle.lgp/rtad.png","View Picture")</f>
        <v>View Picture</v>
      </c>
    </row>
    <row r="10292">
      <c r="A10292" s="40"/>
      <c r="B10292" s="119" t="s">
        <v>42643</v>
      </c>
      <c r="C10292" s="120" t="s">
        <v>3842</v>
      </c>
      <c r="D10292" s="33" t="s">
        <v>3728</v>
      </c>
      <c r="E10292" s="51" t="s">
        <v>1413</v>
      </c>
      <c r="F10292" s="121" t="s">
        <v>3009</v>
      </c>
      <c r="G10292" s="98" t="str">
        <f>HYPERLINK("http://mirror.ff7data.com.ar/ff7/data/battle/battle.lgp/rtam.png","View Picture")</f>
        <v>View Picture</v>
      </c>
    </row>
    <row r="10293">
      <c r="A10293" s="40"/>
      <c r="B10293" s="119" t="s">
        <v>42644</v>
      </c>
      <c r="C10293" s="120" t="s">
        <v>11962</v>
      </c>
      <c r="D10293" s="33" t="s">
        <v>42645</v>
      </c>
      <c r="E10293" s="51" t="s">
        <v>1413</v>
      </c>
      <c r="F10293" s="121" t="s">
        <v>3009</v>
      </c>
      <c r="G10293" s="98" t="str">
        <f>HYPERLINK("http://mirror.ff7data.com.ar/ff7/data/battle/battle.lgp/rtan.png","View Picture")</f>
        <v>View Picture</v>
      </c>
    </row>
    <row r="10294">
      <c r="A10294" s="40"/>
      <c r="B10294" s="119" t="s">
        <v>42646</v>
      </c>
      <c r="C10294" s="120" t="s">
        <v>3573</v>
      </c>
      <c r="D10294" s="33" t="s">
        <v>3771</v>
      </c>
      <c r="E10294" s="51" t="s">
        <v>1413</v>
      </c>
      <c r="F10294" s="121" t="s">
        <v>3009</v>
      </c>
      <c r="G10294" s="98" t="str">
        <f>HYPERLINK("http://mirror.ff7data.com.ar/ff7/data/battle/battle.lgp/rtao.png","View Picture")</f>
        <v>View Picture</v>
      </c>
    </row>
    <row r="10295">
      <c r="A10295" s="40"/>
      <c r="B10295" s="119" t="s">
        <v>42647</v>
      </c>
      <c r="C10295" s="120" t="s">
        <v>3842</v>
      </c>
      <c r="D10295" s="33" t="s">
        <v>42648</v>
      </c>
      <c r="E10295" s="51" t="s">
        <v>1413</v>
      </c>
      <c r="F10295" s="121" t="s">
        <v>3009</v>
      </c>
      <c r="G10295" s="98" t="str">
        <f>HYPERLINK("http://mirror.ff7data.com.ar/ff7/data/battle/battle.lgp/rtar.png","View Picture")</f>
        <v>View Picture</v>
      </c>
    </row>
    <row r="10296">
      <c r="A10296" s="40"/>
      <c r="B10296" s="119" t="s">
        <v>42649</v>
      </c>
      <c r="C10296" s="120" t="s">
        <v>5419</v>
      </c>
      <c r="D10296" s="33" t="s">
        <v>42650</v>
      </c>
      <c r="E10296" s="51" t="s">
        <v>1413</v>
      </c>
      <c r="F10296" s="121" t="s">
        <v>3009</v>
      </c>
      <c r="G10296" s="98" t="str">
        <f>HYPERLINK("http://mirror.ff7data.com.ar/ff7/data/battle/battle.lgp/rtas.png","View Picture")</f>
        <v>View Picture</v>
      </c>
    </row>
    <row r="10297">
      <c r="A10297" s="40"/>
      <c r="B10297" s="119" t="s">
        <v>42651</v>
      </c>
      <c r="C10297" s="120" t="s">
        <v>4252</v>
      </c>
      <c r="D10297" s="33" t="s">
        <v>42652</v>
      </c>
      <c r="E10297" s="51" t="s">
        <v>1413</v>
      </c>
      <c r="F10297" s="121" t="s">
        <v>3009</v>
      </c>
      <c r="G10297" s="98" t="str">
        <f>HYPERLINK("http://mirror.ff7data.com.ar/ff7/data/battle/battle.lgp/rtat.png","View Picture")</f>
        <v>View Picture</v>
      </c>
    </row>
    <row r="10298">
      <c r="A10298" s="40"/>
      <c r="B10298" s="119" t="s">
        <v>42653</v>
      </c>
      <c r="C10298" s="120" t="s">
        <v>7165</v>
      </c>
      <c r="D10298" s="33" t="s">
        <v>42654</v>
      </c>
      <c r="E10298" s="51" t="s">
        <v>1413</v>
      </c>
      <c r="F10298" s="121" t="s">
        <v>3009</v>
      </c>
      <c r="G10298" s="98" t="str">
        <f>HYPERLINK("http://mirror.ff7data.com.ar/ff7/data/battle/battle.lgp/rtaw.png","View Picture")</f>
        <v>View Picture</v>
      </c>
    </row>
    <row r="10299">
      <c r="A10299" s="40"/>
      <c r="B10299" s="119" t="s">
        <v>42655</v>
      </c>
      <c r="C10299" s="120" t="s">
        <v>4264</v>
      </c>
      <c r="D10299" s="33" t="s">
        <v>42656</v>
      </c>
      <c r="E10299" s="51" t="s">
        <v>1413</v>
      </c>
      <c r="F10299" s="121" t="s">
        <v>3009</v>
      </c>
      <c r="G10299" s="98" t="str">
        <f>HYPERLINK("http://mirror.ff7data.com.ar/ff7/data/battle/battle.lgp/rtax.png","View Picture")</f>
        <v>View Picture</v>
      </c>
    </row>
    <row r="10300">
      <c r="A10300" s="40"/>
      <c r="B10300" s="119" t="s">
        <v>42657</v>
      </c>
      <c r="C10300" s="120" t="s">
        <v>4252</v>
      </c>
      <c r="D10300" s="33" t="s">
        <v>42658</v>
      </c>
      <c r="E10300" s="51" t="s">
        <v>1413</v>
      </c>
      <c r="F10300" s="121" t="s">
        <v>3009</v>
      </c>
      <c r="G10300" s="98" t="str">
        <f>HYPERLINK("http://mirror.ff7data.com.ar/ff7/data/battle/battle.lgp/rtay.png","View Picture")</f>
        <v>View Picture</v>
      </c>
    </row>
    <row r="10301">
      <c r="A10301" s="40"/>
      <c r="B10301" s="119" t="s">
        <v>42659</v>
      </c>
      <c r="C10301" s="120" t="s">
        <v>4439</v>
      </c>
      <c r="D10301" s="33" t="s">
        <v>42660</v>
      </c>
      <c r="E10301" s="51" t="s">
        <v>1413</v>
      </c>
      <c r="F10301" s="121" t="s">
        <v>3009</v>
      </c>
      <c r="G10301" s="98" t="str">
        <f>HYPERLINK("http://mirror.ff7data.com.ar/ff7/data/battle/battle.lgp/rtba.png","View Picture")</f>
        <v>View Picture</v>
      </c>
    </row>
    <row r="10302">
      <c r="A10302" s="40"/>
      <c r="B10302" s="119" t="s">
        <v>42661</v>
      </c>
      <c r="C10302" s="120" t="s">
        <v>10078</v>
      </c>
      <c r="D10302" s="33" t="s">
        <v>42662</v>
      </c>
      <c r="E10302" s="51" t="s">
        <v>1413</v>
      </c>
      <c r="F10302" s="121" t="s">
        <v>3009</v>
      </c>
      <c r="G10302" s="98" t="str">
        <f>HYPERLINK("http://mirror.ff7data.com.ar/ff7/data/battle/battle.lgp/rtbb.png","View Picture")</f>
        <v>View Picture</v>
      </c>
    </row>
    <row r="10303">
      <c r="A10303" s="40"/>
      <c r="B10303" s="119" t="s">
        <v>42663</v>
      </c>
      <c r="C10303" s="120" t="s">
        <v>6029</v>
      </c>
      <c r="D10303" s="33" t="s">
        <v>42664</v>
      </c>
      <c r="E10303" s="51" t="s">
        <v>1413</v>
      </c>
      <c r="F10303" s="121" t="s">
        <v>3009</v>
      </c>
      <c r="G10303" s="98" t="str">
        <f>HYPERLINK("http://mirror.ff7data.com.ar/ff7/data/battle/battle.lgp/rtbc.png","View Picture")</f>
        <v>View Picture</v>
      </c>
    </row>
    <row r="10304">
      <c r="A10304" s="40"/>
      <c r="B10304" s="119" t="s">
        <v>42665</v>
      </c>
      <c r="C10304" s="120" t="s">
        <v>4264</v>
      </c>
      <c r="D10304" s="33" t="s">
        <v>42666</v>
      </c>
      <c r="E10304" s="51" t="s">
        <v>1413</v>
      </c>
      <c r="F10304" s="121" t="s">
        <v>3009</v>
      </c>
      <c r="G10304" s="98" t="str">
        <f>HYPERLINK("http://mirror.ff7data.com.ar/ff7/data/battle/battle.lgp/rtbd.png","View Picture")</f>
        <v>View Picture</v>
      </c>
    </row>
    <row r="10305">
      <c r="A10305" s="40"/>
      <c r="B10305" s="119" t="s">
        <v>42667</v>
      </c>
      <c r="C10305" s="120" t="s">
        <v>4185</v>
      </c>
      <c r="D10305" s="33" t="s">
        <v>42668</v>
      </c>
      <c r="E10305" s="51" t="s">
        <v>1413</v>
      </c>
      <c r="F10305" s="121" t="s">
        <v>3009</v>
      </c>
      <c r="G10305" s="98" t="str">
        <f>HYPERLINK("http://mirror.ff7data.com.ar/ff7/data/battle/battle.lgp/rtbf.png","View Picture")</f>
        <v>View Picture</v>
      </c>
    </row>
    <row r="10306">
      <c r="A10306" s="40"/>
      <c r="B10306" s="119" t="s">
        <v>42669</v>
      </c>
      <c r="C10306" s="120" t="s">
        <v>7270</v>
      </c>
      <c r="D10306" s="33" t="s">
        <v>42670</v>
      </c>
      <c r="E10306" s="51" t="s">
        <v>1413</v>
      </c>
      <c r="F10306" s="121" t="s">
        <v>3009</v>
      </c>
      <c r="G10306" s="98" t="str">
        <f>HYPERLINK("http://mirror.ff7data.com.ar/ff7/data/battle/battle.lgp/rtbg.png","View Picture")</f>
        <v>View Picture</v>
      </c>
    </row>
    <row r="10307">
      <c r="A10307" s="40"/>
      <c r="B10307" s="119" t="s">
        <v>42671</v>
      </c>
      <c r="C10307" s="120" t="s">
        <v>6029</v>
      </c>
      <c r="D10307" s="33" t="s">
        <v>42672</v>
      </c>
      <c r="E10307" s="51" t="s">
        <v>1413</v>
      </c>
      <c r="F10307" s="121" t="s">
        <v>3009</v>
      </c>
      <c r="G10307" s="98" t="str">
        <f>HYPERLINK("http://mirror.ff7data.com.ar/ff7/data/battle/battle.lgp/rtbh.png","View Picture")</f>
        <v>View Picture</v>
      </c>
    </row>
    <row r="10308">
      <c r="A10308" s="40"/>
      <c r="B10308" s="119" t="s">
        <v>42673</v>
      </c>
      <c r="C10308" s="120" t="s">
        <v>4264</v>
      </c>
      <c r="D10308" s="33" t="s">
        <v>42674</v>
      </c>
      <c r="E10308" s="51" t="s">
        <v>1413</v>
      </c>
      <c r="F10308" s="121" t="s">
        <v>3009</v>
      </c>
      <c r="G10308" s="98" t="str">
        <f>HYPERLINK("http://mirror.ff7data.com.ar/ff7/data/battle/battle.lgp/rtbi.png","View Picture")</f>
        <v>View Picture</v>
      </c>
    </row>
    <row r="10309">
      <c r="A10309" s="40"/>
      <c r="B10309" s="119" t="s">
        <v>42675</v>
      </c>
      <c r="C10309" s="120" t="s">
        <v>13619</v>
      </c>
      <c r="D10309" s="33" t="s">
        <v>42676</v>
      </c>
      <c r="E10309" s="51" t="s">
        <v>1413</v>
      </c>
      <c r="F10309" s="121" t="s">
        <v>3009</v>
      </c>
      <c r="G10309" s="98" t="str">
        <f>HYPERLINK("http://mirror.ff7data.com.ar/ff7/data/battle/battle.lgp/rtck.png","View Picture")</f>
        <v>View Picture</v>
      </c>
    </row>
    <row r="10310">
      <c r="A10310" s="40"/>
      <c r="B10310" s="119" t="s">
        <v>42677</v>
      </c>
      <c r="C10310" s="120" t="s">
        <v>7081</v>
      </c>
      <c r="D10310" s="33" t="s">
        <v>42678</v>
      </c>
      <c r="E10310" s="51" t="s">
        <v>1413</v>
      </c>
      <c r="F10310" s="121" t="s">
        <v>3009</v>
      </c>
      <c r="G10310" s="98" t="str">
        <f>HYPERLINK("http://mirror.ff7data.com.ar/ff7/data/battle/battle.lgp/rtcl.png","View Picture")</f>
        <v>View Picture</v>
      </c>
    </row>
    <row r="10311">
      <c r="A10311" s="40"/>
      <c r="B10311" s="119" t="s">
        <v>42679</v>
      </c>
      <c r="C10311" s="120" t="s">
        <v>4240</v>
      </c>
      <c r="D10311" s="33" t="s">
        <v>42680</v>
      </c>
      <c r="E10311" s="51" t="s">
        <v>1413</v>
      </c>
      <c r="F10311" s="121" t="s">
        <v>3009</v>
      </c>
      <c r="G10311" s="98" t="str">
        <f>HYPERLINK("http://mirror.ff7data.com.ar/ff7/data/battle/battle.lgp/rtcm.png","View Picture")</f>
        <v>View Picture</v>
      </c>
    </row>
    <row r="10312">
      <c r="A10312" s="40"/>
      <c r="B10312" s="119" t="s">
        <v>42681</v>
      </c>
      <c r="C10312" s="120" t="s">
        <v>34499</v>
      </c>
      <c r="D10312" s="33" t="s">
        <v>42682</v>
      </c>
      <c r="E10312" s="51" t="s">
        <v>1413</v>
      </c>
      <c r="F10312" s="121" t="s">
        <v>3009</v>
      </c>
      <c r="G10312" s="98" t="str">
        <f>HYPERLINK("http://mirror.ff7data.com.ar/ff7/data/battle/battle.lgp/rtcn.png","View Picture")</f>
        <v>View Picture</v>
      </c>
    </row>
    <row r="10313">
      <c r="A10313" s="40"/>
      <c r="B10313" s="119" t="s">
        <v>42683</v>
      </c>
      <c r="C10313" s="120" t="s">
        <v>4146</v>
      </c>
      <c r="D10313" s="33" t="s">
        <v>42684</v>
      </c>
      <c r="E10313" s="51" t="s">
        <v>1413</v>
      </c>
      <c r="F10313" s="121" t="s">
        <v>3009</v>
      </c>
      <c r="G10313" s="98" t="str">
        <f>HYPERLINK("http://mirror.ff7data.com.ar/ff7/data/battle/battle.lgp/rtco.png","View Picture")</f>
        <v>View Picture</v>
      </c>
    </row>
    <row r="10314">
      <c r="A10314" s="40"/>
      <c r="B10314" s="119" t="s">
        <v>42685</v>
      </c>
      <c r="C10314" s="120" t="s">
        <v>7081</v>
      </c>
      <c r="D10314" s="33" t="s">
        <v>42686</v>
      </c>
      <c r="E10314" s="51" t="s">
        <v>1413</v>
      </c>
      <c r="F10314" s="121" t="s">
        <v>3009</v>
      </c>
      <c r="G10314" s="98" t="str">
        <f>HYPERLINK("http://mirror.ff7data.com.ar/ff7/data/battle/battle.lgp/rtcp.png","View Picture")</f>
        <v>View Picture</v>
      </c>
    </row>
    <row r="10315">
      <c r="A10315" s="40"/>
      <c r="B10315" s="119" t="s">
        <v>42687</v>
      </c>
      <c r="C10315" s="120" t="s">
        <v>26138</v>
      </c>
      <c r="D10315" s="33" t="s">
        <v>42688</v>
      </c>
      <c r="E10315" s="51" t="s">
        <v>1413</v>
      </c>
      <c r="F10315" s="121" t="s">
        <v>3009</v>
      </c>
      <c r="G10315" s="98" t="str">
        <f>HYPERLINK("http://mirror.ff7data.com.ar/ff7/data/battle/battle.lgp/rtcq.png","View Picture")</f>
        <v>View Picture</v>
      </c>
    </row>
    <row r="10316">
      <c r="A10316" s="40"/>
      <c r="B10316" s="119" t="s">
        <v>42689</v>
      </c>
      <c r="C10316" s="120" t="s">
        <v>7081</v>
      </c>
      <c r="D10316" s="33" t="s">
        <v>42690</v>
      </c>
      <c r="E10316" s="51" t="s">
        <v>1413</v>
      </c>
      <c r="F10316" s="121" t="s">
        <v>3009</v>
      </c>
      <c r="G10316" s="98" t="str">
        <f>HYPERLINK("http://mirror.ff7data.com.ar/ff7/data/battle/battle.lgp/rtcr.png","View Picture")</f>
        <v>View Picture</v>
      </c>
    </row>
    <row r="10317">
      <c r="A10317" s="40"/>
      <c r="B10317" s="119" t="s">
        <v>42691</v>
      </c>
      <c r="C10317" s="120" t="s">
        <v>9441</v>
      </c>
      <c r="D10317" s="33" t="s">
        <v>42692</v>
      </c>
      <c r="E10317" s="51" t="s">
        <v>1413</v>
      </c>
      <c r="F10317" s="121" t="s">
        <v>3009</v>
      </c>
      <c r="G10317" s="98" t="str">
        <f>HYPERLINK("http://mirror.ff7data.com.ar/ff7/data/battle/battle.lgp/rtcs.png","View Picture")</f>
        <v>View Picture</v>
      </c>
    </row>
    <row r="10318">
      <c r="A10318" s="40"/>
      <c r="B10318" s="119" t="s">
        <v>42693</v>
      </c>
      <c r="C10318" s="120" t="s">
        <v>12399</v>
      </c>
      <c r="D10318" s="33" t="s">
        <v>42694</v>
      </c>
      <c r="E10318" s="51" t="s">
        <v>1413</v>
      </c>
      <c r="F10318" s="121" t="s">
        <v>3009</v>
      </c>
      <c r="G10318" s="98" t="str">
        <f>HYPERLINK("http://mirror.ff7data.com.ar/ff7/data/battle/battle.lgp/rtct.png","View Picture")</f>
        <v>View Picture</v>
      </c>
    </row>
    <row r="10319">
      <c r="A10319" s="40"/>
      <c r="B10319" s="119" t="s">
        <v>42695</v>
      </c>
      <c r="C10319" s="120" t="s">
        <v>19628</v>
      </c>
      <c r="D10319" s="33" t="s">
        <v>42696</v>
      </c>
      <c r="E10319" s="51" t="s">
        <v>1413</v>
      </c>
      <c r="F10319" s="121" t="s">
        <v>3009</v>
      </c>
      <c r="G10319" s="98" t="str">
        <f>HYPERLINK("http://mirror.ff7data.com.ar/ff7/data/battle/battle.lgp/rtcu.png","View Picture")</f>
        <v>View Picture</v>
      </c>
    </row>
    <row r="10320">
      <c r="A10320" s="40"/>
      <c r="B10320" s="119" t="s">
        <v>42697</v>
      </c>
      <c r="C10320" s="120" t="s">
        <v>19628</v>
      </c>
      <c r="D10320" s="33" t="s">
        <v>42698</v>
      </c>
      <c r="E10320" s="51" t="s">
        <v>1413</v>
      </c>
      <c r="F10320" s="121" t="s">
        <v>3009</v>
      </c>
      <c r="G10320" s="98" t="str">
        <f>HYPERLINK("http://mirror.ff7data.com.ar/ff7/data/battle/battle.lgp/rtcv.png","View Picture")</f>
        <v>View Picture</v>
      </c>
    </row>
    <row r="10321">
      <c r="A10321" s="40"/>
      <c r="B10321" s="119" t="s">
        <v>42699</v>
      </c>
      <c r="C10321" s="120" t="s">
        <v>9571</v>
      </c>
      <c r="D10321" s="33" t="s">
        <v>42700</v>
      </c>
      <c r="E10321" s="51" t="s">
        <v>1413</v>
      </c>
      <c r="F10321" s="121" t="s">
        <v>3009</v>
      </c>
      <c r="G10321" s="98" t="str">
        <f>HYPERLINK("http://mirror.ff7data.com.ar/ff7/data/battle/battle.lgp/rtcw.png","View Picture")</f>
        <v>View Picture</v>
      </c>
    </row>
    <row r="10322">
      <c r="A10322" s="40"/>
      <c r="B10322" s="119" t="s">
        <v>42701</v>
      </c>
      <c r="C10322" s="120" t="s">
        <v>7501</v>
      </c>
      <c r="D10322" s="33" t="s">
        <v>42702</v>
      </c>
      <c r="E10322" s="51" t="s">
        <v>1413</v>
      </c>
      <c r="F10322" s="121" t="s">
        <v>3009</v>
      </c>
      <c r="G10322" s="98" t="str">
        <f>HYPERLINK("http://mirror.ff7data.com.ar/ff7/data/battle/battle.lgp/rtcx.png","View Picture")</f>
        <v>View Picture</v>
      </c>
    </row>
    <row r="10323">
      <c r="A10323" s="40"/>
      <c r="B10323" s="119" t="s">
        <v>42703</v>
      </c>
      <c r="C10323" s="120" t="s">
        <v>34499</v>
      </c>
      <c r="D10323" s="33" t="s">
        <v>42704</v>
      </c>
      <c r="E10323" s="51" t="s">
        <v>1413</v>
      </c>
      <c r="F10323" s="121" t="s">
        <v>3009</v>
      </c>
      <c r="G10323" s="98" t="str">
        <f>HYPERLINK("http://mirror.ff7data.com.ar/ff7/data/battle/battle.lgp/rtcy.png","View Picture")</f>
        <v>View Picture</v>
      </c>
    </row>
    <row r="10324">
      <c r="A10324" s="40"/>
      <c r="B10324" s="119" t="s">
        <v>42705</v>
      </c>
      <c r="C10324" s="120" t="s">
        <v>3626</v>
      </c>
      <c r="D10324" s="33" t="s">
        <v>42706</v>
      </c>
      <c r="E10324" s="51" t="s">
        <v>1413</v>
      </c>
      <c r="F10324" s="121" t="s">
        <v>3009</v>
      </c>
      <c r="G10324" s="98" t="str">
        <f>HYPERLINK("http://mirror.ff7data.com.ar/ff7/data/battle/battle.lgp/rtcz.png","View Picture")</f>
        <v>View Picture</v>
      </c>
    </row>
    <row r="10325">
      <c r="A10325" s="55"/>
      <c r="B10325" s="119" t="s">
        <v>42707</v>
      </c>
      <c r="C10325" s="120" t="s">
        <v>33181</v>
      </c>
      <c r="D10325" s="33" t="s">
        <v>42639</v>
      </c>
      <c r="E10325" s="51" t="s">
        <v>1413</v>
      </c>
      <c r="F10325" s="121" t="s">
        <v>3025</v>
      </c>
    </row>
    <row r="10326">
      <c r="A10326" s="82"/>
      <c r="B10326" s="119" t="s">
        <v>42708</v>
      </c>
      <c r="C10326" s="120" t="s">
        <v>4846</v>
      </c>
      <c r="D10326" s="33" t="s">
        <v>42709</v>
      </c>
      <c r="E10326" s="51" t="s">
        <v>1774</v>
      </c>
      <c r="F10326" s="121" t="s">
        <v>2971</v>
      </c>
      <c r="G10326" s="98" t="str">
        <f>HYPERLINK("http://mirror.ff7data.com.ar/ff7/data/battle/battle.lgp/ruaa.png","View Picture")</f>
        <v>View Picture</v>
      </c>
    </row>
    <row r="10327">
      <c r="A10327" s="55"/>
      <c r="B10327" s="119" t="s">
        <v>42710</v>
      </c>
      <c r="C10327" s="120" t="s">
        <v>4288</v>
      </c>
      <c r="D10327" s="33" t="s">
        <v>42711</v>
      </c>
      <c r="E10327" s="51" t="s">
        <v>1774</v>
      </c>
      <c r="F10327" s="121" t="s">
        <v>2993</v>
      </c>
    </row>
    <row r="10328">
      <c r="A10328" s="40"/>
      <c r="B10328" s="119" t="s">
        <v>42712</v>
      </c>
      <c r="C10328" s="120" t="s">
        <v>3671</v>
      </c>
      <c r="D10328" s="103" t="s">
        <v>7689</v>
      </c>
      <c r="E10328" s="51" t="s">
        <v>1774</v>
      </c>
      <c r="F10328" s="121" t="s">
        <v>1348</v>
      </c>
      <c r="G10328" s="98" t="str">
        <f>HYPERLINK("http://mirror.ff7data.com.ar/ff7/data/battle/battle.lgp/ruac.png","View Picture")</f>
        <v>View Picture</v>
      </c>
    </row>
    <row r="10329">
      <c r="A10329" s="40"/>
      <c r="B10329" s="119" t="s">
        <v>42713</v>
      </c>
      <c r="C10329" s="120" t="s">
        <v>7081</v>
      </c>
      <c r="D10329" s="103" t="s">
        <v>7694</v>
      </c>
      <c r="E10329" s="51" t="s">
        <v>1774</v>
      </c>
      <c r="F10329" s="121" t="s">
        <v>1348</v>
      </c>
      <c r="G10329" s="98" t="str">
        <f>HYPERLINK("http://mirror.ff7data.com.ar/ff7/data/battle/battle.lgp/ruad.png","View Picture")</f>
        <v>View Picture</v>
      </c>
    </row>
    <row r="10330">
      <c r="A10330" s="40"/>
      <c r="B10330" s="119" t="s">
        <v>42714</v>
      </c>
      <c r="C10330" s="120" t="s">
        <v>3318</v>
      </c>
      <c r="D10330" s="33" t="s">
        <v>42715</v>
      </c>
      <c r="E10330" s="51" t="s">
        <v>1774</v>
      </c>
      <c r="F10330" s="121" t="s">
        <v>3009</v>
      </c>
      <c r="G10330" s="98" t="str">
        <f>HYPERLINK("http://mirror.ff7data.com.ar/ff7/data/battle/battle.lgp/ruam.png","View Picture")</f>
        <v>View Picture</v>
      </c>
      <c r="H10330" s="46" t="s">
        <v>42716</v>
      </c>
    </row>
    <row r="10331">
      <c r="A10331" s="40"/>
      <c r="B10331" s="119" t="s">
        <v>42717</v>
      </c>
      <c r="C10331" s="120" t="s">
        <v>3318</v>
      </c>
      <c r="D10331" s="33" t="s">
        <v>7397</v>
      </c>
      <c r="E10331" s="51" t="s">
        <v>1774</v>
      </c>
      <c r="F10331" s="121" t="s">
        <v>3009</v>
      </c>
      <c r="G10331" s="98" t="str">
        <f>HYPERLINK("http://mirror.ff7data.com.ar/ff7/data/battle/battle.lgp/ruan.png","View Picture")</f>
        <v>View Picture</v>
      </c>
    </row>
    <row r="10332">
      <c r="A10332" s="40"/>
      <c r="B10332" s="119" t="s">
        <v>42718</v>
      </c>
      <c r="C10332" s="120" t="s">
        <v>4732</v>
      </c>
      <c r="D10332" s="33" t="s">
        <v>42719</v>
      </c>
      <c r="E10332" s="51" t="s">
        <v>1774</v>
      </c>
      <c r="F10332" s="121" t="s">
        <v>3009</v>
      </c>
      <c r="G10332" s="98" t="str">
        <f>HYPERLINK("http://mirror.ff7data.com.ar/ff7/data/battle/battle.lgp/ruap.png","View Picture")</f>
        <v>View Picture</v>
      </c>
    </row>
    <row r="10333">
      <c r="A10333" s="40"/>
      <c r="B10333" s="119" t="s">
        <v>42720</v>
      </c>
      <c r="C10333" s="120" t="s">
        <v>4288</v>
      </c>
      <c r="D10333" s="33" t="s">
        <v>42721</v>
      </c>
      <c r="E10333" s="51" t="s">
        <v>1774</v>
      </c>
      <c r="F10333" s="121" t="s">
        <v>3009</v>
      </c>
      <c r="G10333" s="98" t="str">
        <f>HYPERLINK("http://mirror.ff7data.com.ar/ff7/data/battle/battle.lgp/ruaq.png","View Picture")</f>
        <v>View Picture</v>
      </c>
    </row>
    <row r="10334">
      <c r="A10334" s="40"/>
      <c r="B10334" s="119" t="s">
        <v>42722</v>
      </c>
      <c r="C10334" s="120" t="s">
        <v>4288</v>
      </c>
      <c r="D10334" s="33" t="s">
        <v>42723</v>
      </c>
      <c r="E10334" s="51" t="s">
        <v>1774</v>
      </c>
      <c r="F10334" s="121" t="s">
        <v>3009</v>
      </c>
      <c r="G10334" s="98" t="str">
        <f>HYPERLINK("http://mirror.ff7data.com.ar/ff7/data/battle/battle.lgp/ruar.png","View Picture")</f>
        <v>View Picture</v>
      </c>
    </row>
    <row r="10335">
      <c r="A10335" s="40"/>
      <c r="B10335" s="119" t="s">
        <v>42724</v>
      </c>
      <c r="C10335" s="120" t="s">
        <v>7148</v>
      </c>
      <c r="D10335" s="33" t="s">
        <v>42725</v>
      </c>
      <c r="E10335" s="51" t="s">
        <v>1774</v>
      </c>
      <c r="F10335" s="121" t="s">
        <v>3009</v>
      </c>
      <c r="G10335" s="98" t="str">
        <f>HYPERLINK("http://mirror.ff7data.com.ar/ff7/data/battle/battle.lgp/ruas.png","View Picture")</f>
        <v>View Picture</v>
      </c>
    </row>
    <row r="10336">
      <c r="A10336" s="40"/>
      <c r="B10336" s="119" t="s">
        <v>42726</v>
      </c>
      <c r="C10336" s="120" t="s">
        <v>3658</v>
      </c>
      <c r="D10336" s="33" t="s">
        <v>42727</v>
      </c>
      <c r="E10336" s="51" t="s">
        <v>1774</v>
      </c>
      <c r="F10336" s="121" t="s">
        <v>3009</v>
      </c>
      <c r="G10336" s="98" t="str">
        <f>HYPERLINK("http://mirror.ff7data.com.ar/ff7/data/battle/battle.lgp/ruat.png","View Picture")</f>
        <v>View Picture</v>
      </c>
    </row>
    <row r="10337">
      <c r="A10337" s="40"/>
      <c r="B10337" s="119" t="s">
        <v>42728</v>
      </c>
      <c r="C10337" s="120" t="s">
        <v>3671</v>
      </c>
      <c r="D10337" s="33" t="s">
        <v>42729</v>
      </c>
      <c r="E10337" s="51" t="s">
        <v>1774</v>
      </c>
      <c r="F10337" s="121" t="s">
        <v>3009</v>
      </c>
      <c r="G10337" s="98" t="str">
        <f>HYPERLINK("http://mirror.ff7data.com.ar/ff7/data/battle/battle.lgp/ruau.png","View Picture")</f>
        <v>View Picture</v>
      </c>
    </row>
    <row r="10338">
      <c r="A10338" s="40"/>
      <c r="B10338" s="119" t="s">
        <v>42730</v>
      </c>
      <c r="C10338" s="120" t="s">
        <v>7165</v>
      </c>
      <c r="D10338" s="33" t="s">
        <v>42731</v>
      </c>
      <c r="E10338" s="51" t="s">
        <v>1774</v>
      </c>
      <c r="F10338" s="121" t="s">
        <v>3009</v>
      </c>
      <c r="G10338" s="98" t="str">
        <f>HYPERLINK("http://mirror.ff7data.com.ar/ff7/data/battle/battle.lgp/ruaw.png","View Picture")</f>
        <v>View Picture</v>
      </c>
    </row>
    <row r="10339">
      <c r="A10339" s="40"/>
      <c r="B10339" s="119" t="s">
        <v>42732</v>
      </c>
      <c r="C10339" s="120" t="s">
        <v>5891</v>
      </c>
      <c r="D10339" s="33" t="s">
        <v>42733</v>
      </c>
      <c r="E10339" s="51" t="s">
        <v>1774</v>
      </c>
      <c r="F10339" s="121" t="s">
        <v>3009</v>
      </c>
      <c r="G10339" s="98" t="str">
        <f>HYPERLINK("http://mirror.ff7data.com.ar/ff7/data/battle/battle.lgp/ruax.png","View Picture")</f>
        <v>View Picture</v>
      </c>
    </row>
    <row r="10340">
      <c r="A10340" s="40"/>
      <c r="B10340" s="119" t="s">
        <v>42734</v>
      </c>
      <c r="C10340" s="120" t="s">
        <v>10078</v>
      </c>
      <c r="D10340" s="33" t="s">
        <v>42735</v>
      </c>
      <c r="E10340" s="51" t="s">
        <v>1774</v>
      </c>
      <c r="F10340" s="121" t="s">
        <v>3009</v>
      </c>
      <c r="G10340" s="98" t="str">
        <f>HYPERLINK("http://mirror.ff7data.com.ar/ff7/data/battle/battle.lgp/ruay.png","View Picture")</f>
        <v>View Picture</v>
      </c>
    </row>
    <row r="10341">
      <c r="A10341" s="40"/>
      <c r="B10341" s="119" t="s">
        <v>42736</v>
      </c>
      <c r="C10341" s="120" t="s">
        <v>4372</v>
      </c>
      <c r="D10341" s="33" t="s">
        <v>42737</v>
      </c>
      <c r="E10341" s="51" t="s">
        <v>1774</v>
      </c>
      <c r="F10341" s="121" t="s">
        <v>3009</v>
      </c>
      <c r="G10341" s="98" t="str">
        <f>HYPERLINK("http://mirror.ff7data.com.ar/ff7/data/battle/battle.lgp/ruba.png","View Picture")</f>
        <v>View Picture</v>
      </c>
    </row>
    <row r="10342">
      <c r="A10342" s="40"/>
      <c r="B10342" s="119" t="s">
        <v>42738</v>
      </c>
      <c r="C10342" s="120" t="s">
        <v>4732</v>
      </c>
      <c r="D10342" s="33" t="s">
        <v>42739</v>
      </c>
      <c r="E10342" s="51" t="s">
        <v>1774</v>
      </c>
      <c r="F10342" s="121" t="s">
        <v>3009</v>
      </c>
      <c r="G10342" s="98" t="str">
        <f>HYPERLINK("http://mirror.ff7data.com.ar/ff7/data/battle/battle.lgp/rubb.png","View Picture")</f>
        <v>View Picture</v>
      </c>
    </row>
    <row r="10343">
      <c r="A10343" s="40"/>
      <c r="B10343" s="119" t="s">
        <v>42740</v>
      </c>
      <c r="C10343" s="120" t="s">
        <v>3658</v>
      </c>
      <c r="D10343" s="33" t="s">
        <v>42741</v>
      </c>
      <c r="E10343" s="51" t="s">
        <v>1774</v>
      </c>
      <c r="F10343" s="121" t="s">
        <v>3009</v>
      </c>
      <c r="G10343" s="98" t="str">
        <f>HYPERLINK("http://mirror.ff7data.com.ar/ff7/data/battle/battle.lgp/rubd.png","View Picture")</f>
        <v>View Picture</v>
      </c>
    </row>
    <row r="10344">
      <c r="A10344" s="40"/>
      <c r="B10344" s="119" t="s">
        <v>42742</v>
      </c>
      <c r="C10344" s="120" t="s">
        <v>5891</v>
      </c>
      <c r="D10344" s="33" t="s">
        <v>42743</v>
      </c>
      <c r="E10344" s="51" t="s">
        <v>1774</v>
      </c>
      <c r="F10344" s="121" t="s">
        <v>3009</v>
      </c>
      <c r="G10344" s="98" t="str">
        <f>HYPERLINK("http://mirror.ff7data.com.ar/ff7/data/battle/battle.lgp/rube.png","View Picture")</f>
        <v>View Picture</v>
      </c>
    </row>
    <row r="10345">
      <c r="A10345" s="40"/>
      <c r="B10345" s="119" t="s">
        <v>42744</v>
      </c>
      <c r="C10345" s="120" t="s">
        <v>10078</v>
      </c>
      <c r="D10345" s="33" t="s">
        <v>42745</v>
      </c>
      <c r="E10345" s="51" t="s">
        <v>1774</v>
      </c>
      <c r="F10345" s="121" t="s">
        <v>3009</v>
      </c>
      <c r="G10345" s="98" t="str">
        <f>HYPERLINK("http://mirror.ff7data.com.ar/ff7/data/battle/battle.lgp/rubf.png","View Picture")</f>
        <v>View Picture</v>
      </c>
    </row>
    <row r="10346">
      <c r="A10346" s="40"/>
      <c r="B10346" s="119" t="s">
        <v>42746</v>
      </c>
      <c r="C10346" s="120" t="s">
        <v>4372</v>
      </c>
      <c r="D10346" s="33" t="s">
        <v>42747</v>
      </c>
      <c r="E10346" s="51" t="s">
        <v>1774</v>
      </c>
      <c r="F10346" s="121" t="s">
        <v>3009</v>
      </c>
      <c r="G10346" s="98" t="str">
        <f>HYPERLINK("http://mirror.ff7data.com.ar/ff7/data/battle/battle.lgp/rubh.png","View Picture")</f>
        <v>View Picture</v>
      </c>
    </row>
    <row r="10347">
      <c r="A10347" s="40"/>
      <c r="B10347" s="119" t="s">
        <v>42748</v>
      </c>
      <c r="C10347" s="120" t="s">
        <v>4732</v>
      </c>
      <c r="D10347" s="33" t="s">
        <v>42749</v>
      </c>
      <c r="E10347" s="51" t="s">
        <v>1774</v>
      </c>
      <c r="F10347" s="121" t="s">
        <v>3009</v>
      </c>
      <c r="G10347" s="98" t="str">
        <f>HYPERLINK("http://mirror.ff7data.com.ar/ff7/data/battle/battle.lgp/rubi.png","View Picture")</f>
        <v>View Picture</v>
      </c>
    </row>
    <row r="10348">
      <c r="A10348" s="40"/>
      <c r="B10348" s="119" t="s">
        <v>42750</v>
      </c>
      <c r="C10348" s="120" t="s">
        <v>3614</v>
      </c>
      <c r="D10348" s="33" t="s">
        <v>42751</v>
      </c>
      <c r="E10348" s="51" t="s">
        <v>1774</v>
      </c>
      <c r="F10348" s="121" t="s">
        <v>3009</v>
      </c>
      <c r="G10348" s="98" t="str">
        <f>HYPERLINK("http://mirror.ff7data.com.ar/ff7/data/battle/battle.lgp/rubl.png","View Picture")</f>
        <v>View Picture</v>
      </c>
    </row>
    <row r="10349">
      <c r="A10349" s="40"/>
      <c r="B10349" s="119" t="s">
        <v>42752</v>
      </c>
      <c r="C10349" s="120" t="s">
        <v>7165</v>
      </c>
      <c r="D10349" s="33" t="s">
        <v>42753</v>
      </c>
      <c r="E10349" s="51" t="s">
        <v>1774</v>
      </c>
      <c r="F10349" s="121" t="s">
        <v>3009</v>
      </c>
      <c r="G10349" s="98" t="str">
        <f>HYPERLINK("http://mirror.ff7data.com.ar/ff7/data/battle/battle.lgp/rubm.png","View Picture")</f>
        <v>View Picture</v>
      </c>
    </row>
    <row r="10350">
      <c r="A10350" s="40"/>
      <c r="B10350" s="119" t="s">
        <v>42754</v>
      </c>
      <c r="C10350" s="120" t="s">
        <v>3614</v>
      </c>
      <c r="D10350" s="33" t="s">
        <v>42755</v>
      </c>
      <c r="E10350" s="51" t="s">
        <v>1774</v>
      </c>
      <c r="F10350" s="121" t="s">
        <v>3009</v>
      </c>
      <c r="G10350" s="98" t="str">
        <f>HYPERLINK("http://mirror.ff7data.com.ar/ff7/data/battle/battle.lgp/rubn.png","View Picture")</f>
        <v>View Picture</v>
      </c>
    </row>
    <row r="10351">
      <c r="A10351" s="40"/>
      <c r="B10351" s="119" t="s">
        <v>42756</v>
      </c>
      <c r="C10351" s="120" t="s">
        <v>7165</v>
      </c>
      <c r="D10351" s="33" t="s">
        <v>42757</v>
      </c>
      <c r="E10351" s="51" t="s">
        <v>1774</v>
      </c>
      <c r="F10351" s="121" t="s">
        <v>3009</v>
      </c>
      <c r="G10351" s="98" t="str">
        <f>HYPERLINK("http://mirror.ff7data.com.ar/ff7/data/battle/battle.lgp/rubq.png","View Picture")</f>
        <v>View Picture</v>
      </c>
    </row>
    <row r="10352">
      <c r="A10352" s="40"/>
      <c r="B10352" s="119" t="s">
        <v>42758</v>
      </c>
      <c r="C10352" s="120" t="s">
        <v>5419</v>
      </c>
      <c r="D10352" s="33" t="s">
        <v>42759</v>
      </c>
      <c r="E10352" s="51" t="s">
        <v>1774</v>
      </c>
      <c r="F10352" s="121" t="s">
        <v>3009</v>
      </c>
      <c r="G10352" s="98" t="str">
        <f>HYPERLINK("http://mirror.ff7data.com.ar/ff7/data/battle/battle.lgp/rubr.png","View Picture")</f>
        <v>View Picture</v>
      </c>
    </row>
    <row r="10353">
      <c r="A10353" s="40"/>
      <c r="B10353" s="119" t="s">
        <v>42760</v>
      </c>
      <c r="C10353" s="120" t="s">
        <v>4252</v>
      </c>
      <c r="D10353" s="33" t="s">
        <v>42761</v>
      </c>
      <c r="E10353" s="51" t="s">
        <v>1774</v>
      </c>
      <c r="F10353" s="121" t="s">
        <v>3009</v>
      </c>
      <c r="G10353" s="98" t="str">
        <f>HYPERLINK("http://mirror.ff7data.com.ar/ff7/data/battle/battle.lgp/ruck.png","View Picture")</f>
        <v>View Picture</v>
      </c>
    </row>
    <row r="10354">
      <c r="A10354" s="40"/>
      <c r="B10354" s="119" t="s">
        <v>42762</v>
      </c>
      <c r="C10354" s="120" t="s">
        <v>9290</v>
      </c>
      <c r="D10354" s="33" t="s">
        <v>42763</v>
      </c>
      <c r="E10354" s="51" t="s">
        <v>1774</v>
      </c>
      <c r="F10354" s="121" t="s">
        <v>3009</v>
      </c>
      <c r="G10354" s="98" t="str">
        <f>HYPERLINK("http://mirror.ff7data.com.ar/ff7/data/battle/battle.lgp/rucl.png","View Picture")</f>
        <v>View Picture</v>
      </c>
    </row>
    <row r="10355">
      <c r="A10355" s="40"/>
      <c r="B10355" s="119" t="s">
        <v>42764</v>
      </c>
      <c r="C10355" s="120" t="s">
        <v>19628</v>
      </c>
      <c r="D10355" s="33" t="s">
        <v>42765</v>
      </c>
      <c r="E10355" s="51" t="s">
        <v>1774</v>
      </c>
      <c r="F10355" s="121" t="s">
        <v>3009</v>
      </c>
      <c r="G10355" s="98" t="str">
        <f>HYPERLINK("http://mirror.ff7data.com.ar/ff7/data/battle/battle.lgp/rucm.png","View Picture")</f>
        <v>View Picture</v>
      </c>
    </row>
    <row r="10356">
      <c r="A10356" s="40"/>
      <c r="B10356" s="119" t="s">
        <v>42766</v>
      </c>
      <c r="C10356" s="120" t="s">
        <v>3412</v>
      </c>
      <c r="D10356" s="33" t="s">
        <v>42767</v>
      </c>
      <c r="E10356" s="51" t="s">
        <v>1774</v>
      </c>
      <c r="F10356" s="121" t="s">
        <v>3009</v>
      </c>
      <c r="G10356" s="98" t="str">
        <f>HYPERLINK("http://mirror.ff7data.com.ar/ff7/data/battle/battle.lgp/rucn.png","View Picture")</f>
        <v>View Picture</v>
      </c>
    </row>
    <row r="10357">
      <c r="A10357" s="40"/>
      <c r="B10357" s="119" t="s">
        <v>42768</v>
      </c>
      <c r="C10357" s="120" t="s">
        <v>13619</v>
      </c>
      <c r="D10357" s="33" t="s">
        <v>42769</v>
      </c>
      <c r="E10357" s="51" t="s">
        <v>1774</v>
      </c>
      <c r="F10357" s="121" t="s">
        <v>3009</v>
      </c>
      <c r="G10357" s="98" t="str">
        <f>HYPERLINK("http://mirror.ff7data.com.ar/ff7/data/battle/battle.lgp/ruco.png","View Picture")</f>
        <v>View Picture</v>
      </c>
    </row>
    <row r="10358">
      <c r="A10358" s="40"/>
      <c r="B10358" s="119" t="s">
        <v>42770</v>
      </c>
      <c r="C10358" s="120" t="s">
        <v>7501</v>
      </c>
      <c r="D10358" s="33" t="s">
        <v>42771</v>
      </c>
      <c r="E10358" s="51" t="s">
        <v>1774</v>
      </c>
      <c r="F10358" s="121" t="s">
        <v>3009</v>
      </c>
      <c r="G10358" s="98" t="str">
        <f>HYPERLINK("http://mirror.ff7data.com.ar/ff7/data/battle/battle.lgp/rucp.png","View Picture")</f>
        <v>View Picture</v>
      </c>
    </row>
    <row r="10359">
      <c r="A10359" s="40"/>
      <c r="B10359" s="119" t="s">
        <v>42772</v>
      </c>
      <c r="C10359" s="120" t="s">
        <v>19628</v>
      </c>
      <c r="D10359" s="33" t="s">
        <v>42773</v>
      </c>
      <c r="E10359" s="51" t="s">
        <v>1774</v>
      </c>
      <c r="F10359" s="121" t="s">
        <v>3009</v>
      </c>
      <c r="G10359" s="98" t="str">
        <f>HYPERLINK("http://mirror.ff7data.com.ar/ff7/data/battle/battle.lgp/rucq.png","View Picture")</f>
        <v>View Picture</v>
      </c>
    </row>
    <row r="10360">
      <c r="A10360" s="40"/>
      <c r="B10360" s="119" t="s">
        <v>42774</v>
      </c>
      <c r="C10360" s="120" t="s">
        <v>7062</v>
      </c>
      <c r="D10360" s="33" t="s">
        <v>42775</v>
      </c>
      <c r="E10360" s="51" t="s">
        <v>1774</v>
      </c>
      <c r="F10360" s="121" t="s">
        <v>3009</v>
      </c>
      <c r="G10360" s="98" t="str">
        <f>HYPERLINK("http://mirror.ff7data.com.ar/ff7/data/battle/battle.lgp/rucr.png","View Picture")</f>
        <v>View Picture</v>
      </c>
    </row>
    <row r="10361">
      <c r="A10361" s="40"/>
      <c r="B10361" s="119" t="s">
        <v>42776</v>
      </c>
      <c r="C10361" s="120" t="s">
        <v>4030</v>
      </c>
      <c r="D10361" s="33" t="s">
        <v>42777</v>
      </c>
      <c r="E10361" s="51" t="s">
        <v>1774</v>
      </c>
      <c r="F10361" s="121" t="s">
        <v>3009</v>
      </c>
      <c r="G10361" s="98" t="str">
        <f>HYPERLINK("http://mirror.ff7data.com.ar/ff7/data/battle/battle.lgp/rucs.png","View Picture")</f>
        <v>View Picture</v>
      </c>
    </row>
    <row r="10362">
      <c r="A10362" s="40"/>
      <c r="B10362" s="119" t="s">
        <v>42778</v>
      </c>
      <c r="C10362" s="120" t="s">
        <v>6830</v>
      </c>
      <c r="D10362" s="33" t="s">
        <v>42779</v>
      </c>
      <c r="E10362" s="51" t="s">
        <v>1774</v>
      </c>
      <c r="F10362" s="121" t="s">
        <v>3009</v>
      </c>
      <c r="G10362" s="98" t="str">
        <f>HYPERLINK("http://mirror.ff7data.com.ar/ff7/data/battle/battle.lgp/ruct.png","View Picture")</f>
        <v>View Picture</v>
      </c>
    </row>
    <row r="10363">
      <c r="A10363" s="40"/>
      <c r="B10363" s="119" t="s">
        <v>42780</v>
      </c>
      <c r="C10363" s="120" t="s">
        <v>7501</v>
      </c>
      <c r="D10363" s="33" t="s">
        <v>42781</v>
      </c>
      <c r="E10363" s="51" t="s">
        <v>1774</v>
      </c>
      <c r="F10363" s="121" t="s">
        <v>3009</v>
      </c>
      <c r="G10363" s="98" t="str">
        <f>HYPERLINK("http://mirror.ff7data.com.ar/ff7/data/battle/battle.lgp/rucu.png","View Picture")</f>
        <v>View Picture</v>
      </c>
    </row>
    <row r="10364">
      <c r="A10364" s="40"/>
      <c r="B10364" s="119" t="s">
        <v>42782</v>
      </c>
      <c r="C10364" s="120" t="s">
        <v>4252</v>
      </c>
      <c r="D10364" s="33" t="s">
        <v>42783</v>
      </c>
      <c r="E10364" s="51" t="s">
        <v>1774</v>
      </c>
      <c r="F10364" s="121" t="s">
        <v>3009</v>
      </c>
      <c r="G10364" s="98" t="str">
        <f>HYPERLINK("http://mirror.ff7data.com.ar/ff7/data/battle/battle.lgp/rucv.png","View Picture")</f>
        <v>View Picture</v>
      </c>
    </row>
    <row r="10365">
      <c r="A10365" s="40"/>
      <c r="B10365" s="119" t="s">
        <v>42784</v>
      </c>
      <c r="C10365" s="120" t="s">
        <v>5573</v>
      </c>
      <c r="D10365" s="33" t="s">
        <v>42785</v>
      </c>
      <c r="E10365" s="51" t="s">
        <v>1774</v>
      </c>
      <c r="F10365" s="121" t="s">
        <v>3009</v>
      </c>
      <c r="G10365" s="98" t="str">
        <f>HYPERLINK("http://mirror.ff7data.com.ar/ff7/data/battle/battle.lgp/rucw.png","View Picture")</f>
        <v>View Picture</v>
      </c>
    </row>
    <row r="10366">
      <c r="A10366" s="40"/>
      <c r="B10366" s="119" t="s">
        <v>42786</v>
      </c>
      <c r="C10366" s="120" t="s">
        <v>7501</v>
      </c>
      <c r="D10366" s="33" t="s">
        <v>42787</v>
      </c>
      <c r="E10366" s="51" t="s">
        <v>1774</v>
      </c>
      <c r="F10366" s="121" t="s">
        <v>3009</v>
      </c>
      <c r="G10366" s="98" t="str">
        <f>HYPERLINK("http://mirror.ff7data.com.ar/ff7/data/battle/battle.lgp/rucx.png","View Picture")</f>
        <v>View Picture</v>
      </c>
    </row>
    <row r="10367">
      <c r="A10367" s="40"/>
      <c r="B10367" s="119" t="s">
        <v>42788</v>
      </c>
      <c r="C10367" s="120" t="s">
        <v>3875</v>
      </c>
      <c r="D10367" s="33" t="s">
        <v>42789</v>
      </c>
      <c r="E10367" s="51" t="s">
        <v>1774</v>
      </c>
      <c r="F10367" s="121" t="s">
        <v>3009</v>
      </c>
      <c r="G10367" s="98" t="str">
        <f>HYPERLINK("http://mirror.ff7data.com.ar/ff7/data/battle/battle.lgp/rucy.png","View Picture")</f>
        <v>View Picture</v>
      </c>
    </row>
    <row r="10368">
      <c r="A10368" s="40"/>
      <c r="B10368" s="119" t="s">
        <v>42790</v>
      </c>
      <c r="C10368" s="120" t="s">
        <v>19628</v>
      </c>
      <c r="D10368" s="33" t="s">
        <v>42791</v>
      </c>
      <c r="E10368" s="51" t="s">
        <v>1774</v>
      </c>
      <c r="F10368" s="121" t="s">
        <v>3009</v>
      </c>
      <c r="G10368" s="98" t="str">
        <f>HYPERLINK("http://mirror.ff7data.com.ar/ff7/data/battle/battle.lgp/rucz.png","View Picture")</f>
        <v>View Picture</v>
      </c>
    </row>
    <row r="10369">
      <c r="A10369" s="55"/>
      <c r="B10369" s="119" t="s">
        <v>42792</v>
      </c>
      <c r="C10369" s="120" t="s">
        <v>3399</v>
      </c>
      <c r="D10369" s="33" t="s">
        <v>42711</v>
      </c>
      <c r="E10369" s="51" t="s">
        <v>1774</v>
      </c>
      <c r="F10369" s="121" t="s">
        <v>3025</v>
      </c>
    </row>
    <row r="10370">
      <c r="A10370" s="82"/>
      <c r="B10370" s="119" t="s">
        <v>42793</v>
      </c>
      <c r="C10370" s="120" t="s">
        <v>4209</v>
      </c>
      <c r="D10370" s="33" t="s">
        <v>42794</v>
      </c>
      <c r="E10370" s="51" t="s">
        <v>1425</v>
      </c>
      <c r="F10370" s="121" t="s">
        <v>2971</v>
      </c>
      <c r="G10370" s="98" t="str">
        <f>HYPERLINK("http://mirror.ff7data.com.ar/ff7/data/battle/battle.lgp/rvaa.png","View Picture")</f>
        <v>View Picture</v>
      </c>
    </row>
    <row r="10371">
      <c r="A10371" s="55"/>
      <c r="B10371" s="119" t="s">
        <v>42795</v>
      </c>
      <c r="C10371" s="120" t="s">
        <v>20274</v>
      </c>
      <c r="D10371" s="33" t="s">
        <v>42796</v>
      </c>
      <c r="E10371" s="51" t="s">
        <v>1425</v>
      </c>
      <c r="F10371" s="121" t="s">
        <v>2993</v>
      </c>
    </row>
    <row r="10372">
      <c r="A10372" s="40"/>
      <c r="B10372" s="119" t="s">
        <v>42797</v>
      </c>
      <c r="C10372" s="120" t="s">
        <v>7081</v>
      </c>
      <c r="D10372" s="33" t="s">
        <v>9705</v>
      </c>
      <c r="E10372" s="51" t="s">
        <v>1425</v>
      </c>
      <c r="F10372" s="121" t="s">
        <v>1348</v>
      </c>
      <c r="G10372" s="98" t="str">
        <f>HYPERLINK("http://mirror.ff7data.com.ar/ff7/data/battle/battle.lgp/rvac.png","View Picture")</f>
        <v>View Picture</v>
      </c>
    </row>
    <row r="10373">
      <c r="A10373" s="40"/>
      <c r="B10373" s="119" t="s">
        <v>42798</v>
      </c>
      <c r="C10373" s="120" t="s">
        <v>3671</v>
      </c>
      <c r="D10373" s="33" t="s">
        <v>9701</v>
      </c>
      <c r="E10373" s="51" t="s">
        <v>1425</v>
      </c>
      <c r="F10373" s="121" t="s">
        <v>1348</v>
      </c>
      <c r="G10373" s="98" t="str">
        <f>HYPERLINK("http://mirror.ff7data.com.ar/ff7/data/battle/battle.lgp/rvad.png","View Picture")</f>
        <v>View Picture</v>
      </c>
    </row>
    <row r="10374">
      <c r="A10374" s="40"/>
      <c r="B10374" s="119" t="s">
        <v>42799</v>
      </c>
      <c r="C10374" s="120" t="s">
        <v>3614</v>
      </c>
      <c r="D10374" s="33" t="s">
        <v>42800</v>
      </c>
      <c r="E10374" s="51" t="s">
        <v>1425</v>
      </c>
      <c r="F10374" s="121" t="s">
        <v>3009</v>
      </c>
      <c r="G10374" s="98" t="str">
        <f>HYPERLINK("http://mirror.ff7data.com.ar/ff7/data/battle/battle.lgp/rvam.png","View Picture")</f>
        <v>View Picture</v>
      </c>
    </row>
    <row r="10375">
      <c r="A10375" s="40"/>
      <c r="B10375" s="119" t="s">
        <v>42801</v>
      </c>
      <c r="C10375" s="120" t="s">
        <v>3465</v>
      </c>
      <c r="D10375" s="33" t="s">
        <v>42802</v>
      </c>
      <c r="E10375" s="51" t="s">
        <v>1425</v>
      </c>
      <c r="F10375" s="121" t="s">
        <v>3009</v>
      </c>
      <c r="G10375" s="98" t="str">
        <f>HYPERLINK("http://mirror.ff7data.com.ar/ff7/data/battle/battle.lgp/rvan.png","View Picture")</f>
        <v>View Picture</v>
      </c>
    </row>
    <row r="10376">
      <c r="A10376" s="40"/>
      <c r="B10376" s="119" t="s">
        <v>42803</v>
      </c>
      <c r="C10376" s="120" t="s">
        <v>3573</v>
      </c>
      <c r="D10376" s="33" t="s">
        <v>9698</v>
      </c>
      <c r="E10376" s="51" t="s">
        <v>1425</v>
      </c>
      <c r="F10376" s="121" t="s">
        <v>3009</v>
      </c>
      <c r="G10376" s="98" t="str">
        <f>HYPERLINK("http://mirror.ff7data.com.ar/ff7/data/battle/battle.lgp/rvao.png","View Picture")</f>
        <v>View Picture</v>
      </c>
    </row>
    <row r="10377">
      <c r="A10377" s="40"/>
      <c r="B10377" s="119" t="s">
        <v>42804</v>
      </c>
      <c r="C10377" s="120" t="s">
        <v>4288</v>
      </c>
      <c r="D10377" s="33" t="s">
        <v>42805</v>
      </c>
      <c r="E10377" s="51" t="s">
        <v>1425</v>
      </c>
      <c r="F10377" s="121" t="s">
        <v>3009</v>
      </c>
      <c r="G10377" s="98" t="str">
        <f>HYPERLINK("http://mirror.ff7data.com.ar/ff7/data/battle/battle.lgp/rvaq.png","View Picture")</f>
        <v>View Picture</v>
      </c>
    </row>
    <row r="10378">
      <c r="A10378" s="40"/>
      <c r="B10378" s="119" t="s">
        <v>42806</v>
      </c>
      <c r="C10378" s="120" t="s">
        <v>4288</v>
      </c>
      <c r="D10378" s="33" t="s">
        <v>42807</v>
      </c>
      <c r="E10378" s="51" t="s">
        <v>1425</v>
      </c>
      <c r="F10378" s="121" t="s">
        <v>3009</v>
      </c>
      <c r="G10378" s="98" t="str">
        <f>HYPERLINK("http://mirror.ff7data.com.ar/ff7/data/battle/battle.lgp/rvar.png","View Picture")</f>
        <v>View Picture</v>
      </c>
    </row>
    <row r="10379">
      <c r="A10379" s="40"/>
      <c r="B10379" s="119" t="s">
        <v>42808</v>
      </c>
      <c r="C10379" s="120" t="s">
        <v>4288</v>
      </c>
      <c r="D10379" s="33" t="s">
        <v>42809</v>
      </c>
      <c r="E10379" s="51" t="s">
        <v>1425</v>
      </c>
      <c r="F10379" s="121" t="s">
        <v>3009</v>
      </c>
      <c r="G10379" s="98" t="str">
        <f>HYPERLINK("http://mirror.ff7data.com.ar/ff7/data/battle/battle.lgp/rvas.png","View Picture")</f>
        <v>View Picture</v>
      </c>
    </row>
    <row r="10380">
      <c r="A10380" s="40"/>
      <c r="B10380" s="119" t="s">
        <v>42810</v>
      </c>
      <c r="C10380" s="120" t="s">
        <v>4696</v>
      </c>
      <c r="D10380" s="33" t="s">
        <v>42811</v>
      </c>
      <c r="E10380" s="51" t="s">
        <v>1425</v>
      </c>
      <c r="F10380" s="121" t="s">
        <v>3009</v>
      </c>
      <c r="G10380" s="98" t="str">
        <f>HYPERLINK("http://mirror.ff7data.com.ar/ff7/data/battle/battle.lgp/rvat.png","View Picture")</f>
        <v>View Picture</v>
      </c>
    </row>
    <row r="10381">
      <c r="A10381" s="40"/>
      <c r="B10381" s="119" t="s">
        <v>42812</v>
      </c>
      <c r="C10381" s="120" t="s">
        <v>4217</v>
      </c>
      <c r="D10381" s="33" t="s">
        <v>42813</v>
      </c>
      <c r="E10381" s="51" t="s">
        <v>1425</v>
      </c>
      <c r="F10381" s="121" t="s">
        <v>3009</v>
      </c>
      <c r="G10381" s="98" t="str">
        <f>HYPERLINK("http://mirror.ff7data.com.ar/ff7/data/battle/battle.lgp/rvaw.png","View Picture")</f>
        <v>View Picture</v>
      </c>
    </row>
    <row r="10382">
      <c r="A10382" s="40"/>
      <c r="B10382" s="119" t="s">
        <v>42814</v>
      </c>
      <c r="C10382" s="120" t="s">
        <v>4372</v>
      </c>
      <c r="D10382" s="33" t="s">
        <v>42815</v>
      </c>
      <c r="E10382" s="51" t="s">
        <v>1425</v>
      </c>
      <c r="F10382" s="121" t="s">
        <v>3009</v>
      </c>
      <c r="G10382" s="98" t="str">
        <f>HYPERLINK("http://mirror.ff7data.com.ar/ff7/data/battle/battle.lgp/rvax.png","View Picture")</f>
        <v>View Picture</v>
      </c>
    </row>
    <row r="10383">
      <c r="A10383" s="40"/>
      <c r="B10383" s="119" t="s">
        <v>42816</v>
      </c>
      <c r="C10383" s="120" t="s">
        <v>10078</v>
      </c>
      <c r="D10383" s="33" t="s">
        <v>42817</v>
      </c>
      <c r="E10383" s="51" t="s">
        <v>1425</v>
      </c>
      <c r="F10383" s="121" t="s">
        <v>3009</v>
      </c>
      <c r="G10383" s="98" t="str">
        <f>HYPERLINK("http://mirror.ff7data.com.ar/ff7/data/battle/battle.lgp/rvay.png","View Picture")</f>
        <v>View Picture</v>
      </c>
    </row>
    <row r="10384">
      <c r="A10384" s="40"/>
      <c r="B10384" s="119" t="s">
        <v>42818</v>
      </c>
      <c r="C10384" s="120" t="s">
        <v>4217</v>
      </c>
      <c r="D10384" s="33" t="s">
        <v>42819</v>
      </c>
      <c r="E10384" s="51" t="s">
        <v>1425</v>
      </c>
      <c r="F10384" s="121" t="s">
        <v>3009</v>
      </c>
      <c r="G10384" s="98" t="str">
        <f>HYPERLINK("http://mirror.ff7data.com.ar/ff7/data/battle/battle.lgp/rvbb.png","View Picture")</f>
        <v>View Picture</v>
      </c>
    </row>
    <row r="10385">
      <c r="A10385" s="40"/>
      <c r="B10385" s="119" t="s">
        <v>42820</v>
      </c>
      <c r="C10385" s="120" t="s">
        <v>4372</v>
      </c>
      <c r="D10385" s="33" t="s">
        <v>42821</v>
      </c>
      <c r="E10385" s="51" t="s">
        <v>1425</v>
      </c>
      <c r="F10385" s="121" t="s">
        <v>3009</v>
      </c>
      <c r="G10385" s="98" t="str">
        <f>HYPERLINK("http://mirror.ff7data.com.ar/ff7/data/battle/battle.lgp/rvbc.png","View Picture")</f>
        <v>View Picture</v>
      </c>
    </row>
    <row r="10386">
      <c r="A10386" s="40"/>
      <c r="B10386" s="119" t="s">
        <v>42822</v>
      </c>
      <c r="C10386" s="120" t="s">
        <v>10078</v>
      </c>
      <c r="D10386" s="33" t="s">
        <v>42823</v>
      </c>
      <c r="E10386" s="51" t="s">
        <v>1425</v>
      </c>
      <c r="F10386" s="121" t="s">
        <v>3009</v>
      </c>
      <c r="G10386" s="98" t="str">
        <f>HYPERLINK("http://mirror.ff7data.com.ar/ff7/data/battle/battle.lgp/rvbd.png","View Picture")</f>
        <v>View Picture</v>
      </c>
    </row>
    <row r="10387">
      <c r="A10387" s="40"/>
      <c r="B10387" s="119" t="s">
        <v>42824</v>
      </c>
      <c r="C10387" s="120" t="s">
        <v>6029</v>
      </c>
      <c r="D10387" s="33" t="s">
        <v>42825</v>
      </c>
      <c r="E10387" s="51" t="s">
        <v>1425</v>
      </c>
      <c r="F10387" s="121" t="s">
        <v>3009</v>
      </c>
      <c r="G10387" s="98" t="str">
        <f>HYPERLINK("http://mirror.ff7data.com.ar/ff7/data/battle/battle.lgp/rvbf.png","View Picture")</f>
        <v>View Picture</v>
      </c>
    </row>
    <row r="10388">
      <c r="A10388" s="40"/>
      <c r="B10388" s="119" t="s">
        <v>42826</v>
      </c>
      <c r="C10388" s="120" t="s">
        <v>3648</v>
      </c>
      <c r="D10388" s="33" t="s">
        <v>42827</v>
      </c>
      <c r="E10388" s="51" t="s">
        <v>1425</v>
      </c>
      <c r="F10388" s="121" t="s">
        <v>3009</v>
      </c>
      <c r="G10388" s="98" t="str">
        <f>HYPERLINK("http://mirror.ff7data.com.ar/ff7/data/battle/battle.lgp/rvbg.png","View Picture")</f>
        <v>View Picture</v>
      </c>
    </row>
    <row r="10389">
      <c r="A10389" s="40"/>
      <c r="B10389" s="119" t="s">
        <v>42828</v>
      </c>
      <c r="C10389" s="120" t="s">
        <v>6029</v>
      </c>
      <c r="D10389" s="33" t="s">
        <v>42829</v>
      </c>
      <c r="E10389" s="51" t="s">
        <v>1425</v>
      </c>
      <c r="F10389" s="121" t="s">
        <v>3009</v>
      </c>
      <c r="G10389" s="98" t="str">
        <f>HYPERLINK("http://mirror.ff7data.com.ar/ff7/data/battle/battle.lgp/rvbh.png","View Picture")</f>
        <v>View Picture</v>
      </c>
    </row>
    <row r="10390">
      <c r="A10390" s="40"/>
      <c r="B10390" s="119" t="s">
        <v>42830</v>
      </c>
      <c r="C10390" s="120" t="s">
        <v>4264</v>
      </c>
      <c r="D10390" s="33" t="s">
        <v>42831</v>
      </c>
      <c r="E10390" s="51" t="s">
        <v>1425</v>
      </c>
      <c r="F10390" s="121" t="s">
        <v>3009</v>
      </c>
      <c r="G10390" s="98" t="str">
        <f>HYPERLINK("http://mirror.ff7data.com.ar/ff7/data/battle/battle.lgp/rvbi.png","View Picture")</f>
        <v>View Picture</v>
      </c>
    </row>
    <row r="10391">
      <c r="A10391" s="40"/>
      <c r="B10391" s="119" t="s">
        <v>42832</v>
      </c>
      <c r="C10391" s="120" t="s">
        <v>4439</v>
      </c>
      <c r="D10391" s="33" t="s">
        <v>42833</v>
      </c>
      <c r="E10391" s="51" t="s">
        <v>1425</v>
      </c>
      <c r="F10391" s="121" t="s">
        <v>3009</v>
      </c>
      <c r="G10391" s="98" t="str">
        <f>HYPERLINK("http://mirror.ff7data.com.ar/ff7/data/battle/battle.lgp/rvbk.png","View Picture")</f>
        <v>View Picture</v>
      </c>
    </row>
    <row r="10392">
      <c r="A10392" s="40"/>
      <c r="B10392" s="119" t="s">
        <v>42834</v>
      </c>
      <c r="C10392" s="120" t="s">
        <v>4264</v>
      </c>
      <c r="D10392" s="33" t="s">
        <v>42835</v>
      </c>
      <c r="E10392" s="51" t="s">
        <v>1425</v>
      </c>
      <c r="F10392" s="121" t="s">
        <v>3009</v>
      </c>
      <c r="G10392" s="98" t="str">
        <f>HYPERLINK("http://mirror.ff7data.com.ar/ff7/data/battle/battle.lgp/rvbl.png","View Picture")</f>
        <v>View Picture</v>
      </c>
    </row>
    <row r="10393">
      <c r="A10393" s="40"/>
      <c r="B10393" s="119" t="s">
        <v>42836</v>
      </c>
      <c r="C10393" s="120" t="s">
        <v>6029</v>
      </c>
      <c r="D10393" s="33" t="s">
        <v>42837</v>
      </c>
      <c r="E10393" s="51" t="s">
        <v>1425</v>
      </c>
      <c r="F10393" s="121" t="s">
        <v>3009</v>
      </c>
      <c r="G10393" s="98" t="str">
        <f>HYPERLINK("http://mirror.ff7data.com.ar/ff7/data/battle/battle.lgp/rvbn.png","View Picture")</f>
        <v>View Picture</v>
      </c>
    </row>
    <row r="10394">
      <c r="A10394" s="40"/>
      <c r="B10394" s="119" t="s">
        <v>42838</v>
      </c>
      <c r="C10394" s="120" t="s">
        <v>3749</v>
      </c>
      <c r="D10394" s="33" t="s">
        <v>42839</v>
      </c>
      <c r="E10394" s="51" t="s">
        <v>1425</v>
      </c>
      <c r="F10394" s="121" t="s">
        <v>3009</v>
      </c>
      <c r="G10394" s="98" t="str">
        <f>HYPERLINK("http://mirror.ff7data.com.ar/ff7/data/battle/battle.lgp/rvbo.png","View Picture")</f>
        <v>View Picture</v>
      </c>
    </row>
    <row r="10395">
      <c r="A10395" s="40"/>
      <c r="B10395" s="119" t="s">
        <v>42840</v>
      </c>
      <c r="C10395" s="120" t="s">
        <v>6029</v>
      </c>
      <c r="D10395" s="33" t="s">
        <v>42841</v>
      </c>
      <c r="E10395" s="51" t="s">
        <v>1425</v>
      </c>
      <c r="F10395" s="121" t="s">
        <v>3009</v>
      </c>
      <c r="G10395" s="98" t="str">
        <f>HYPERLINK("http://mirror.ff7data.com.ar/ff7/data/battle/battle.lgp/rvbp.png","View Picture")</f>
        <v>View Picture</v>
      </c>
    </row>
    <row r="10396">
      <c r="A10396" s="40"/>
      <c r="B10396" s="119" t="s">
        <v>42842</v>
      </c>
      <c r="C10396" s="120" t="s">
        <v>4264</v>
      </c>
      <c r="D10396" s="33" t="s">
        <v>42843</v>
      </c>
      <c r="E10396" s="51" t="s">
        <v>1425</v>
      </c>
      <c r="F10396" s="121" t="s">
        <v>3009</v>
      </c>
      <c r="G10396" s="98" t="str">
        <f>HYPERLINK("http://mirror.ff7data.com.ar/ff7/data/battle/battle.lgp/rvbq.png","View Picture")</f>
        <v>View Picture</v>
      </c>
    </row>
    <row r="10397">
      <c r="A10397" s="40"/>
      <c r="B10397" s="119" t="s">
        <v>42844</v>
      </c>
      <c r="C10397" s="120" t="s">
        <v>3481</v>
      </c>
      <c r="D10397" s="33" t="s">
        <v>42845</v>
      </c>
      <c r="E10397" s="51" t="s">
        <v>1425</v>
      </c>
      <c r="F10397" s="121" t="s">
        <v>3009</v>
      </c>
      <c r="G10397" s="98" t="str">
        <f>HYPERLINK("http://mirror.ff7data.com.ar/ff7/data/battle/battle.lgp/rvck.png","View Picture")</f>
        <v>View Picture</v>
      </c>
    </row>
    <row r="10398">
      <c r="A10398" s="40"/>
      <c r="B10398" s="119" t="s">
        <v>42846</v>
      </c>
      <c r="C10398" s="120" t="s">
        <v>5573</v>
      </c>
      <c r="D10398" s="33" t="s">
        <v>42847</v>
      </c>
      <c r="E10398" s="51" t="s">
        <v>1425</v>
      </c>
      <c r="F10398" s="121" t="s">
        <v>3009</v>
      </c>
      <c r="G10398" s="98" t="str">
        <f>HYPERLINK("http://mirror.ff7data.com.ar/ff7/data/battle/battle.lgp/rvcl.png","View Picture")</f>
        <v>View Picture</v>
      </c>
    </row>
    <row r="10399">
      <c r="A10399" s="40"/>
      <c r="B10399" s="119" t="s">
        <v>42848</v>
      </c>
      <c r="C10399" s="120" t="s">
        <v>7894</v>
      </c>
      <c r="D10399" s="33" t="s">
        <v>42849</v>
      </c>
      <c r="E10399" s="51" t="s">
        <v>1425</v>
      </c>
      <c r="F10399" s="121" t="s">
        <v>3009</v>
      </c>
      <c r="G10399" s="98" t="str">
        <f>HYPERLINK("http://mirror.ff7data.com.ar/ff7/data/battle/battle.lgp/rvcm.png","View Picture")</f>
        <v>View Picture</v>
      </c>
    </row>
    <row r="10400">
      <c r="A10400" s="40"/>
      <c r="B10400" s="119" t="s">
        <v>42850</v>
      </c>
      <c r="C10400" s="120" t="s">
        <v>5925</v>
      </c>
      <c r="D10400" s="33" t="s">
        <v>42851</v>
      </c>
      <c r="E10400" s="51" t="s">
        <v>1425</v>
      </c>
      <c r="F10400" s="121" t="s">
        <v>3009</v>
      </c>
      <c r="G10400" s="98" t="str">
        <f>HYPERLINK("http://mirror.ff7data.com.ar/ff7/data/battle/battle.lgp/rvcn.png","View Picture")</f>
        <v>View Picture</v>
      </c>
    </row>
    <row r="10401">
      <c r="A10401" s="40"/>
      <c r="B10401" s="119" t="s">
        <v>42852</v>
      </c>
      <c r="C10401" s="120" t="s">
        <v>7129</v>
      </c>
      <c r="D10401" s="33" t="s">
        <v>42853</v>
      </c>
      <c r="E10401" s="51" t="s">
        <v>1425</v>
      </c>
      <c r="F10401" s="121" t="s">
        <v>3009</v>
      </c>
      <c r="G10401" s="98" t="str">
        <f>HYPERLINK("http://mirror.ff7data.com.ar/ff7/data/battle/battle.lgp/rvco.png","View Picture")</f>
        <v>View Picture</v>
      </c>
    </row>
    <row r="10402">
      <c r="A10402" s="40"/>
      <c r="B10402" s="119" t="s">
        <v>42854</v>
      </c>
      <c r="C10402" s="120" t="s">
        <v>5859</v>
      </c>
      <c r="D10402" s="33" t="s">
        <v>42855</v>
      </c>
      <c r="E10402" s="51" t="s">
        <v>1425</v>
      </c>
      <c r="F10402" s="121" t="s">
        <v>3009</v>
      </c>
      <c r="G10402" s="98" t="str">
        <f>HYPERLINK("http://mirror.ff7data.com.ar/ff7/data/battle/battle.lgp/rvcp.png","View Picture")</f>
        <v>View Picture</v>
      </c>
    </row>
    <row r="10403">
      <c r="A10403" s="40"/>
      <c r="B10403" s="119" t="s">
        <v>42856</v>
      </c>
      <c r="C10403" s="120" t="s">
        <v>18144</v>
      </c>
      <c r="D10403" s="33" t="s">
        <v>42857</v>
      </c>
      <c r="E10403" s="51" t="s">
        <v>1425</v>
      </c>
      <c r="F10403" s="121" t="s">
        <v>3009</v>
      </c>
      <c r="G10403" s="98" t="str">
        <f>HYPERLINK("http://mirror.ff7data.com.ar/ff7/data/battle/battle.lgp/rvcq.png","View Picture")</f>
        <v>View Picture</v>
      </c>
    </row>
    <row r="10404">
      <c r="A10404" s="40"/>
      <c r="B10404" s="119" t="s">
        <v>42858</v>
      </c>
      <c r="C10404" s="120" t="s">
        <v>5859</v>
      </c>
      <c r="D10404" s="33" t="s">
        <v>42859</v>
      </c>
      <c r="E10404" s="51" t="s">
        <v>1425</v>
      </c>
      <c r="F10404" s="121" t="s">
        <v>3009</v>
      </c>
      <c r="G10404" s="98" t="str">
        <f>HYPERLINK("http://mirror.ff7data.com.ar/ff7/data/battle/battle.lgp/rvcr.png","View Picture")</f>
        <v>View Picture</v>
      </c>
    </row>
    <row r="10405">
      <c r="A10405" s="40"/>
      <c r="B10405" s="119" t="s">
        <v>42860</v>
      </c>
      <c r="C10405" s="120" t="s">
        <v>3853</v>
      </c>
      <c r="D10405" s="33" t="s">
        <v>42861</v>
      </c>
      <c r="E10405" s="51" t="s">
        <v>1425</v>
      </c>
      <c r="F10405" s="121" t="s">
        <v>3009</v>
      </c>
      <c r="G10405" s="98" t="str">
        <f>HYPERLINK("http://mirror.ff7data.com.ar/ff7/data/battle/battle.lgp/rvcs.png","View Picture")</f>
        <v>View Picture</v>
      </c>
    </row>
    <row r="10406">
      <c r="A10406" s="40"/>
      <c r="B10406" s="119" t="s">
        <v>42862</v>
      </c>
      <c r="C10406" s="120" t="s">
        <v>9290</v>
      </c>
      <c r="D10406" s="33" t="s">
        <v>42863</v>
      </c>
      <c r="E10406" s="51" t="s">
        <v>1425</v>
      </c>
      <c r="F10406" s="121" t="s">
        <v>3009</v>
      </c>
      <c r="G10406" s="98" t="str">
        <f>HYPERLINK("http://mirror.ff7data.com.ar/ff7/data/battle/battle.lgp/rvct.png","View Picture")</f>
        <v>View Picture</v>
      </c>
    </row>
    <row r="10407">
      <c r="A10407" s="40"/>
      <c r="B10407" s="119" t="s">
        <v>42864</v>
      </c>
      <c r="C10407" s="120" t="s">
        <v>5925</v>
      </c>
      <c r="D10407" s="33" t="s">
        <v>42865</v>
      </c>
      <c r="E10407" s="51" t="s">
        <v>1425</v>
      </c>
      <c r="F10407" s="121" t="s">
        <v>3009</v>
      </c>
      <c r="G10407" s="98" t="str">
        <f>HYPERLINK("http://mirror.ff7data.com.ar/ff7/data/battle/battle.lgp/rvcu.png","View Picture")</f>
        <v>View Picture</v>
      </c>
    </row>
    <row r="10408">
      <c r="A10408" s="40"/>
      <c r="B10408" s="119" t="s">
        <v>42866</v>
      </c>
      <c r="C10408" s="120" t="s">
        <v>3481</v>
      </c>
      <c r="D10408" s="33" t="s">
        <v>42845</v>
      </c>
      <c r="E10408" s="51" t="s">
        <v>1425</v>
      </c>
      <c r="F10408" s="121" t="s">
        <v>3009</v>
      </c>
      <c r="G10408" s="98" t="str">
        <f>HYPERLINK("http://mirror.ff7data.com.ar/ff7/data/battle/battle.lgp/rvcv.png","View Picture")</f>
        <v>View Picture</v>
      </c>
      <c r="H10408" s="123" t="s">
        <v>42867</v>
      </c>
    </row>
    <row r="10409">
      <c r="A10409" s="40"/>
      <c r="B10409" s="119" t="s">
        <v>42868</v>
      </c>
      <c r="C10409" s="120" t="s">
        <v>3481</v>
      </c>
      <c r="D10409" s="33" t="s">
        <v>42845</v>
      </c>
      <c r="E10409" s="51" t="s">
        <v>1425</v>
      </c>
      <c r="F10409" s="121" t="s">
        <v>3009</v>
      </c>
      <c r="G10409" s="98" t="str">
        <f>HYPERLINK("http://mirror.ff7data.com.ar/ff7/data/battle/battle.lgp/rvcw.png","View Picture")</f>
        <v>View Picture</v>
      </c>
      <c r="H10409" s="123" t="s">
        <v>42867</v>
      </c>
    </row>
    <row r="10410">
      <c r="A10410" s="40"/>
      <c r="B10410" s="119" t="s">
        <v>42869</v>
      </c>
      <c r="C10410" s="120" t="s">
        <v>3481</v>
      </c>
      <c r="D10410" s="33" t="s">
        <v>42845</v>
      </c>
      <c r="E10410" s="51" t="s">
        <v>1425</v>
      </c>
      <c r="F10410" s="121" t="s">
        <v>3009</v>
      </c>
      <c r="G10410" s="98" t="str">
        <f>HYPERLINK("http://mirror.ff7data.com.ar/ff7/data/battle/battle.lgp/rvcx.png","View Picture")</f>
        <v>View Picture</v>
      </c>
      <c r="H10410" s="123" t="s">
        <v>42867</v>
      </c>
    </row>
    <row r="10411">
      <c r="A10411" s="40"/>
      <c r="B10411" s="119" t="s">
        <v>42870</v>
      </c>
      <c r="C10411" s="120" t="s">
        <v>3481</v>
      </c>
      <c r="D10411" s="33" t="s">
        <v>42845</v>
      </c>
      <c r="E10411" s="51" t="s">
        <v>1425</v>
      </c>
      <c r="F10411" s="121" t="s">
        <v>3009</v>
      </c>
      <c r="G10411" s="98" t="str">
        <f>HYPERLINK("http://mirror.ff7data.com.ar/ff7/data/battle/battle.lgp/rvcy.png","View Picture")</f>
        <v>View Picture</v>
      </c>
      <c r="H10411" s="123" t="s">
        <v>42867</v>
      </c>
    </row>
    <row r="10412">
      <c r="A10412" s="40"/>
      <c r="B10412" s="119" t="s">
        <v>42871</v>
      </c>
      <c r="C10412" s="120" t="s">
        <v>3481</v>
      </c>
      <c r="D10412" s="33" t="s">
        <v>42845</v>
      </c>
      <c r="E10412" s="51" t="s">
        <v>1425</v>
      </c>
      <c r="F10412" s="121" t="s">
        <v>3009</v>
      </c>
      <c r="G10412" s="98" t="str">
        <f>HYPERLINK("http://mirror.ff7data.com.ar/ff7/data/battle/battle.lgp/rvcz.png","View Picture")</f>
        <v>View Picture</v>
      </c>
      <c r="H10412" s="123" t="s">
        <v>42867</v>
      </c>
    </row>
    <row r="10413">
      <c r="A10413" s="55"/>
      <c r="B10413" s="119" t="s">
        <v>42872</v>
      </c>
      <c r="C10413" s="120" t="s">
        <v>26179</v>
      </c>
      <c r="D10413" s="33" t="s">
        <v>42796</v>
      </c>
      <c r="E10413" s="51" t="s">
        <v>1425</v>
      </c>
      <c r="F10413" s="121" t="s">
        <v>3025</v>
      </c>
    </row>
    <row r="10414">
      <c r="A10414" s="82"/>
      <c r="B10414" s="119" t="s">
        <v>42873</v>
      </c>
      <c r="C10414" s="120" t="s">
        <v>5993</v>
      </c>
      <c r="D10414" s="33" t="s">
        <v>42874</v>
      </c>
      <c r="E10414" s="51" t="s">
        <v>1760</v>
      </c>
      <c r="F10414" s="121" t="s">
        <v>2971</v>
      </c>
      <c r="G10414" s="98" t="str">
        <f>HYPERLINK("http://mirror.ff7data.com.ar/ff7/data/battle/battle.lgp/rwaa.png","View Picture")</f>
        <v>View Picture</v>
      </c>
      <c r="H10414" s="46" t="s">
        <v>42875</v>
      </c>
    </row>
    <row r="10415">
      <c r="A10415" s="55"/>
      <c r="B10415" s="119" t="s">
        <v>42876</v>
      </c>
      <c r="C10415" s="120" t="s">
        <v>4288</v>
      </c>
      <c r="D10415" s="33" t="s">
        <v>42877</v>
      </c>
      <c r="E10415" s="51" t="s">
        <v>1760</v>
      </c>
      <c r="F10415" s="121" t="s">
        <v>2993</v>
      </c>
    </row>
    <row r="10416">
      <c r="A10416" s="40"/>
      <c r="B10416" s="119" t="s">
        <v>42878</v>
      </c>
      <c r="C10416" s="120" t="s">
        <v>7081</v>
      </c>
      <c r="D10416" s="33" t="s">
        <v>42879</v>
      </c>
      <c r="E10416" s="51" t="s">
        <v>1760</v>
      </c>
      <c r="F10416" s="121" t="s">
        <v>1348</v>
      </c>
      <c r="G10416" s="98" t="str">
        <f>HYPERLINK("http://mirror.ff7data.com.ar/ff7/data/battle/battle.lgp/rwac.png","View Picture")</f>
        <v>View Picture</v>
      </c>
    </row>
    <row r="10417">
      <c r="A10417" s="40"/>
      <c r="B10417" s="119" t="s">
        <v>42880</v>
      </c>
      <c r="C10417" s="120" t="s">
        <v>3552</v>
      </c>
      <c r="D10417" s="33" t="s">
        <v>42881</v>
      </c>
      <c r="E10417" s="51" t="s">
        <v>1760</v>
      </c>
      <c r="F10417" s="121" t="s">
        <v>1348</v>
      </c>
      <c r="G10417" s="98" t="str">
        <f>HYPERLINK("http://mirror.ff7data.com.ar/ff7/data/battle/battle.lgp/rwad.png","View Picture")</f>
        <v>View Picture</v>
      </c>
    </row>
    <row r="10418">
      <c r="A10418" s="40"/>
      <c r="B10418" s="119" t="s">
        <v>42882</v>
      </c>
      <c r="C10418" s="120" t="s">
        <v>4719</v>
      </c>
      <c r="D10418" s="33" t="s">
        <v>42883</v>
      </c>
      <c r="E10418" s="51" t="s">
        <v>1760</v>
      </c>
      <c r="F10418" s="121" t="s">
        <v>3009</v>
      </c>
      <c r="G10418" s="98" t="str">
        <f>HYPERLINK("http://mirror.ff7data.com.ar/ff7/data/battle/battle.lgp/rwam.png","View Picture")</f>
        <v>View Picture</v>
      </c>
    </row>
    <row r="10419">
      <c r="A10419" s="40"/>
      <c r="B10419" s="119" t="s">
        <v>42884</v>
      </c>
      <c r="C10419" s="120" t="s">
        <v>8376</v>
      </c>
      <c r="D10419" s="33" t="s">
        <v>42885</v>
      </c>
      <c r="E10419" s="51" t="s">
        <v>1760</v>
      </c>
      <c r="F10419" s="121" t="s">
        <v>3009</v>
      </c>
      <c r="G10419" s="98" t="str">
        <f>HYPERLINK("http://mirror.ff7data.com.ar/ff7/data/battle/battle.lgp/rwao.png","View Picture")</f>
        <v>View Picture</v>
      </c>
    </row>
    <row r="10420">
      <c r="A10420" s="40"/>
      <c r="B10420" s="119" t="s">
        <v>42886</v>
      </c>
      <c r="C10420" s="120" t="s">
        <v>6029</v>
      </c>
      <c r="D10420" s="33" t="s">
        <v>42887</v>
      </c>
      <c r="E10420" s="51" t="s">
        <v>1760</v>
      </c>
      <c r="F10420" s="121" t="s">
        <v>3009</v>
      </c>
      <c r="G10420" s="98" t="str">
        <f>HYPERLINK("http://mirror.ff7data.com.ar/ff7/data/battle/battle.lgp/rwap.png","View Picture")</f>
        <v>View Picture</v>
      </c>
    </row>
    <row r="10421">
      <c r="A10421" s="40"/>
      <c r="B10421" s="119" t="s">
        <v>42888</v>
      </c>
      <c r="C10421" s="120" t="s">
        <v>4167</v>
      </c>
      <c r="D10421" s="33" t="s">
        <v>42889</v>
      </c>
      <c r="E10421" s="51" t="s">
        <v>1760</v>
      </c>
      <c r="F10421" s="121" t="s">
        <v>3009</v>
      </c>
      <c r="G10421" s="98" t="str">
        <f>HYPERLINK("http://mirror.ff7data.com.ar/ff7/data/battle/battle.lgp/rwaq.png","View Picture")</f>
        <v>View Picture</v>
      </c>
    </row>
    <row r="10422">
      <c r="A10422" s="40"/>
      <c r="B10422" s="119" t="s">
        <v>42890</v>
      </c>
      <c r="C10422" s="120" t="s">
        <v>4696</v>
      </c>
      <c r="D10422" s="33" t="s">
        <v>42891</v>
      </c>
      <c r="E10422" s="51" t="s">
        <v>1760</v>
      </c>
      <c r="F10422" s="121" t="s">
        <v>3009</v>
      </c>
      <c r="G10422" s="98" t="str">
        <f>HYPERLINK("http://mirror.ff7data.com.ar/ff7/data/battle/battle.lgp/rwas.png","View Picture")</f>
        <v>View Picture</v>
      </c>
    </row>
    <row r="10423">
      <c r="A10423" s="40"/>
      <c r="B10423" s="119" t="s">
        <v>42892</v>
      </c>
      <c r="C10423" s="120" t="s">
        <v>17230</v>
      </c>
      <c r="D10423" s="33" t="s">
        <v>42891</v>
      </c>
      <c r="E10423" s="51" t="s">
        <v>1760</v>
      </c>
      <c r="F10423" s="121" t="s">
        <v>3009</v>
      </c>
      <c r="G10423" s="98" t="str">
        <f>HYPERLINK("http://mirror.ff7data.com.ar/ff7/data/battle/battle.lgp/rwat.png","View Picture")</f>
        <v>View Picture</v>
      </c>
    </row>
    <row r="10424">
      <c r="A10424" s="40"/>
      <c r="B10424" s="119" t="s">
        <v>42893</v>
      </c>
      <c r="C10424" s="120" t="s">
        <v>8923</v>
      </c>
      <c r="D10424" s="33" t="s">
        <v>42891</v>
      </c>
      <c r="E10424" s="51" t="s">
        <v>1760</v>
      </c>
      <c r="F10424" s="121" t="s">
        <v>3009</v>
      </c>
      <c r="G10424" s="98" t="str">
        <f>HYPERLINK("http://mirror.ff7data.com.ar/ff7/data/battle/battle.lgp/rwau.png","View Picture")</f>
        <v>View Picture</v>
      </c>
    </row>
    <row r="10425">
      <c r="A10425" s="40"/>
      <c r="B10425" s="119" t="s">
        <v>42894</v>
      </c>
      <c r="C10425" s="120" t="s">
        <v>4696</v>
      </c>
      <c r="D10425" s="33" t="s">
        <v>42895</v>
      </c>
      <c r="E10425" s="51" t="s">
        <v>1760</v>
      </c>
      <c r="F10425" s="121" t="s">
        <v>3009</v>
      </c>
      <c r="G10425" s="98" t="str">
        <f>HYPERLINK("http://mirror.ff7data.com.ar/ff7/data/battle/battle.lgp/rwaw.png","View Picture")</f>
        <v>View Picture</v>
      </c>
    </row>
    <row r="10426">
      <c r="A10426" s="40"/>
      <c r="B10426" s="119" t="s">
        <v>42896</v>
      </c>
      <c r="C10426" s="120" t="s">
        <v>17230</v>
      </c>
      <c r="D10426" s="33" t="s">
        <v>42895</v>
      </c>
      <c r="E10426" s="51" t="s">
        <v>1760</v>
      </c>
      <c r="F10426" s="121" t="s">
        <v>3009</v>
      </c>
      <c r="G10426" s="98" t="str">
        <f>HYPERLINK("http://mirror.ff7data.com.ar/ff7/data/battle/battle.lgp/rwax.png","View Picture")</f>
        <v>View Picture</v>
      </c>
    </row>
    <row r="10427">
      <c r="A10427" s="40"/>
      <c r="B10427" s="119" t="s">
        <v>42897</v>
      </c>
      <c r="C10427" s="120" t="s">
        <v>8923</v>
      </c>
      <c r="D10427" s="33" t="s">
        <v>42895</v>
      </c>
      <c r="E10427" s="51" t="s">
        <v>1760</v>
      </c>
      <c r="F10427" s="121" t="s">
        <v>3009</v>
      </c>
      <c r="G10427" s="98" t="str">
        <f>HYPERLINK("http://mirror.ff7data.com.ar/ff7/data/battle/battle.lgp/rway.png","View Picture")</f>
        <v>View Picture</v>
      </c>
    </row>
    <row r="10428">
      <c r="A10428" s="40"/>
      <c r="B10428" s="119" t="s">
        <v>42898</v>
      </c>
      <c r="C10428" s="120" t="s">
        <v>4185</v>
      </c>
      <c r="D10428" s="33" t="s">
        <v>42899</v>
      </c>
      <c r="E10428" s="51" t="s">
        <v>1760</v>
      </c>
      <c r="F10428" s="121" t="s">
        <v>3009</v>
      </c>
      <c r="G10428" s="98" t="str">
        <f>HYPERLINK("http://mirror.ff7data.com.ar/ff7/data/battle/battle.lgp/rwba.png","View Picture")</f>
        <v>View Picture</v>
      </c>
    </row>
    <row r="10429">
      <c r="A10429" s="40"/>
      <c r="B10429" s="119" t="s">
        <v>42900</v>
      </c>
      <c r="C10429" s="120" t="s">
        <v>4185</v>
      </c>
      <c r="D10429" s="33" t="s">
        <v>42901</v>
      </c>
      <c r="E10429" s="51" t="s">
        <v>1760</v>
      </c>
      <c r="F10429" s="121" t="s">
        <v>3009</v>
      </c>
      <c r="G10429" s="98" t="str">
        <f>HYPERLINK("http://mirror.ff7data.com.ar/ff7/data/battle/battle.lgp/rwbc.png","View Picture")</f>
        <v>View Picture</v>
      </c>
    </row>
    <row r="10430">
      <c r="A10430" s="40"/>
      <c r="B10430" s="119" t="s">
        <v>42902</v>
      </c>
      <c r="C10430" s="120" t="s">
        <v>4719</v>
      </c>
      <c r="D10430" s="33" t="s">
        <v>42903</v>
      </c>
      <c r="E10430" s="51" t="s">
        <v>1760</v>
      </c>
      <c r="F10430" s="121" t="s">
        <v>3009</v>
      </c>
      <c r="G10430" s="98" t="str">
        <f>HYPERLINK("http://mirror.ff7data.com.ar/ff7/data/battle/battle.lgp/rwbd.png","View Picture")</f>
        <v>View Picture</v>
      </c>
    </row>
    <row r="10431">
      <c r="A10431" s="40"/>
      <c r="B10431" s="119" t="s">
        <v>42904</v>
      </c>
      <c r="C10431" s="120" t="s">
        <v>5891</v>
      </c>
      <c r="D10431" s="33" t="s">
        <v>42905</v>
      </c>
      <c r="E10431" s="51" t="s">
        <v>1760</v>
      </c>
      <c r="F10431" s="121" t="s">
        <v>3009</v>
      </c>
      <c r="G10431" s="98" t="str">
        <f>HYPERLINK("http://mirror.ff7data.com.ar/ff7/data/battle/battle.lgp/rwbe.png","View Picture")</f>
        <v>View Picture</v>
      </c>
    </row>
    <row r="10432">
      <c r="A10432" s="40"/>
      <c r="B10432" s="119" t="s">
        <v>42906</v>
      </c>
      <c r="C10432" s="120" t="s">
        <v>4288</v>
      </c>
      <c r="D10432" s="33" t="s">
        <v>42907</v>
      </c>
      <c r="E10432" s="51" t="s">
        <v>1760</v>
      </c>
      <c r="F10432" s="121" t="s">
        <v>3009</v>
      </c>
      <c r="G10432" s="98" t="str">
        <f>HYPERLINK("http://mirror.ff7data.com.ar/ff7/data/battle/battle.lgp/rwbf.png","View Picture")</f>
        <v>View Picture</v>
      </c>
    </row>
    <row r="10433">
      <c r="A10433" s="40"/>
      <c r="B10433" s="119" t="s">
        <v>42908</v>
      </c>
      <c r="C10433" s="120" t="s">
        <v>4439</v>
      </c>
      <c r="D10433" s="33" t="s">
        <v>42909</v>
      </c>
      <c r="E10433" s="51" t="s">
        <v>1760</v>
      </c>
      <c r="F10433" s="121" t="s">
        <v>3009</v>
      </c>
      <c r="G10433" s="98" t="str">
        <f>HYPERLINK("http://mirror.ff7data.com.ar/ff7/data/battle/battle.lgp/rwbg.png","View Picture")</f>
        <v>View Picture</v>
      </c>
    </row>
    <row r="10434">
      <c r="A10434" s="40"/>
      <c r="B10434" s="119" t="s">
        <v>42910</v>
      </c>
      <c r="C10434" s="120" t="s">
        <v>4185</v>
      </c>
      <c r="D10434" s="33" t="s">
        <v>42901</v>
      </c>
      <c r="E10434" s="51" t="s">
        <v>1760</v>
      </c>
      <c r="F10434" s="121" t="s">
        <v>3009</v>
      </c>
      <c r="G10434" s="98" t="str">
        <f>HYPERLINK("http://mirror.ff7data.com.ar/ff7/data/battle/battle.lgp/rwbi.png","View Picture")</f>
        <v>View Picture</v>
      </c>
    </row>
    <row r="10435">
      <c r="A10435" s="40"/>
      <c r="B10435" s="119" t="s">
        <v>42911</v>
      </c>
      <c r="C10435" s="120" t="s">
        <v>4476</v>
      </c>
      <c r="D10435" s="33" t="s">
        <v>42903</v>
      </c>
      <c r="E10435" s="51" t="s">
        <v>1760</v>
      </c>
      <c r="F10435" s="121" t="s">
        <v>3009</v>
      </c>
      <c r="G10435" s="98" t="str">
        <f>HYPERLINK("http://mirror.ff7data.com.ar/ff7/data/battle/battle.lgp/rwbj.png","View Picture")</f>
        <v>View Picture</v>
      </c>
    </row>
    <row r="10436">
      <c r="A10436" s="40"/>
      <c r="B10436" s="119" t="s">
        <v>42912</v>
      </c>
      <c r="C10436" s="120" t="s">
        <v>5891</v>
      </c>
      <c r="D10436" s="33" t="s">
        <v>42905</v>
      </c>
      <c r="E10436" s="51" t="s">
        <v>1760</v>
      </c>
      <c r="F10436" s="121" t="s">
        <v>3009</v>
      </c>
      <c r="G10436" s="98" t="str">
        <f>HYPERLINK("http://mirror.ff7data.com.ar/ff7/data/battle/battle.lgp/rwbk.png","View Picture")</f>
        <v>View Picture</v>
      </c>
    </row>
    <row r="10437">
      <c r="A10437" s="40"/>
      <c r="B10437" s="119" t="s">
        <v>42913</v>
      </c>
      <c r="C10437" s="120" t="s">
        <v>4288</v>
      </c>
      <c r="D10437" s="33" t="s">
        <v>42907</v>
      </c>
      <c r="E10437" s="51" t="s">
        <v>1760</v>
      </c>
      <c r="F10437" s="121" t="s">
        <v>3009</v>
      </c>
      <c r="G10437" s="98" t="str">
        <f>HYPERLINK("http://mirror.ff7data.com.ar/ff7/data/battle/battle.lgp/rwbl.png","View Picture")</f>
        <v>View Picture</v>
      </c>
    </row>
    <row r="10438">
      <c r="A10438" s="40"/>
      <c r="B10438" s="119" t="s">
        <v>42914</v>
      </c>
      <c r="C10438" s="120" t="s">
        <v>4439</v>
      </c>
      <c r="D10438" s="33" t="s">
        <v>42909</v>
      </c>
      <c r="E10438" s="51" t="s">
        <v>1760</v>
      </c>
      <c r="F10438" s="121" t="s">
        <v>3009</v>
      </c>
      <c r="G10438" s="98" t="str">
        <f>HYPERLINK("http://mirror.ff7data.com.ar/ff7/data/battle/battle.lgp/rwbm.png","View Picture")</f>
        <v>View Picture</v>
      </c>
    </row>
    <row r="10439">
      <c r="A10439" s="40"/>
      <c r="B10439" s="119" t="s">
        <v>42915</v>
      </c>
      <c r="C10439" s="120" t="s">
        <v>5419</v>
      </c>
      <c r="D10439" s="33" t="s">
        <v>42916</v>
      </c>
      <c r="E10439" s="51" t="s">
        <v>1760</v>
      </c>
      <c r="F10439" s="121" t="s">
        <v>3009</v>
      </c>
      <c r="G10439" s="98" t="str">
        <f>HYPERLINK("http://mirror.ff7data.com.ar/ff7/data/battle/battle.lgp/rwbo.png","View Picture")</f>
        <v>View Picture</v>
      </c>
    </row>
    <row r="10440">
      <c r="A10440" s="40"/>
      <c r="B10440" s="119" t="s">
        <v>42917</v>
      </c>
      <c r="C10440" s="120" t="s">
        <v>4732</v>
      </c>
      <c r="D10440" s="33" t="s">
        <v>42918</v>
      </c>
      <c r="E10440" s="51" t="s">
        <v>1760</v>
      </c>
      <c r="F10440" s="121" t="s">
        <v>3009</v>
      </c>
      <c r="G10440" s="98" t="str">
        <f>HYPERLINK("http://mirror.ff7data.com.ar/ff7/data/battle/battle.lgp/rwbp.png","View Picture")</f>
        <v>View Picture</v>
      </c>
    </row>
    <row r="10441">
      <c r="A10441" s="40"/>
      <c r="B10441" s="119" t="s">
        <v>42919</v>
      </c>
      <c r="C10441" s="120" t="s">
        <v>3842</v>
      </c>
      <c r="D10441" s="33" t="s">
        <v>42920</v>
      </c>
      <c r="E10441" s="51" t="s">
        <v>1760</v>
      </c>
      <c r="F10441" s="121" t="s">
        <v>3009</v>
      </c>
      <c r="G10441" s="98" t="str">
        <f>HYPERLINK("http://mirror.ff7data.com.ar/ff7/data/battle/battle.lgp/rwbq.png","View Picture")</f>
        <v>View Picture</v>
      </c>
    </row>
    <row r="10442">
      <c r="A10442" s="40"/>
      <c r="B10442" s="119" t="s">
        <v>42921</v>
      </c>
      <c r="C10442" s="120" t="s">
        <v>4288</v>
      </c>
      <c r="D10442" s="33" t="s">
        <v>42922</v>
      </c>
      <c r="E10442" s="51" t="s">
        <v>1760</v>
      </c>
      <c r="F10442" s="121" t="s">
        <v>3009</v>
      </c>
      <c r="G10442" s="98" t="str">
        <f>HYPERLINK("http://mirror.ff7data.com.ar/ff7/data/battle/battle.lgp/rwbr.png","View Picture")</f>
        <v>View Picture</v>
      </c>
    </row>
    <row r="10443">
      <c r="A10443" s="40"/>
      <c r="B10443" s="119" t="s">
        <v>42923</v>
      </c>
      <c r="C10443" s="120" t="s">
        <v>4185</v>
      </c>
      <c r="D10443" s="33" t="s">
        <v>42924</v>
      </c>
      <c r="E10443" s="51" t="s">
        <v>1760</v>
      </c>
      <c r="F10443" s="121" t="s">
        <v>3009</v>
      </c>
      <c r="G10443" s="98" t="str">
        <f>HYPERLINK("http://mirror.ff7data.com.ar/ff7/data/battle/battle.lgp/rwbs.png","View Picture")</f>
        <v>View Picture</v>
      </c>
    </row>
    <row r="10444">
      <c r="A10444" s="40"/>
      <c r="B10444" s="119" t="s">
        <v>42925</v>
      </c>
      <c r="C10444" s="120" t="s">
        <v>4288</v>
      </c>
      <c r="D10444" s="33" t="s">
        <v>42926</v>
      </c>
      <c r="E10444" s="51" t="s">
        <v>1760</v>
      </c>
      <c r="F10444" s="121" t="s">
        <v>3009</v>
      </c>
      <c r="G10444" s="98" t="str">
        <f>HYPERLINK("http://mirror.ff7data.com.ar/ff7/data/battle/battle.lgp/rwbu.png","View Picture")</f>
        <v>View Picture</v>
      </c>
    </row>
    <row r="10445">
      <c r="A10445" s="40"/>
      <c r="B10445" s="119" t="s">
        <v>42927</v>
      </c>
      <c r="C10445" s="120" t="s">
        <v>4264</v>
      </c>
      <c r="D10445" s="33" t="s">
        <v>42928</v>
      </c>
      <c r="E10445" s="51" t="s">
        <v>1760</v>
      </c>
      <c r="F10445" s="121" t="s">
        <v>3009</v>
      </c>
      <c r="G10445" s="98" t="str">
        <f>HYPERLINK("http://mirror.ff7data.com.ar/ff7/data/battle/battle.lgp/rwbv.png","View Picture")</f>
        <v>View Picture</v>
      </c>
    </row>
    <row r="10446">
      <c r="A10446" s="40"/>
      <c r="B10446" s="119" t="s">
        <v>42929</v>
      </c>
      <c r="C10446" s="120" t="s">
        <v>4288</v>
      </c>
      <c r="D10446" s="33" t="s">
        <v>42930</v>
      </c>
      <c r="E10446" s="51" t="s">
        <v>1760</v>
      </c>
      <c r="F10446" s="121" t="s">
        <v>3009</v>
      </c>
      <c r="G10446" s="98" t="str">
        <f>HYPERLINK("http://mirror.ff7data.com.ar/ff7/data/battle/battle.lgp/rwbw.png","View Picture")</f>
        <v>View Picture</v>
      </c>
    </row>
    <row r="10447">
      <c r="A10447" s="40"/>
      <c r="B10447" s="119" t="s">
        <v>42931</v>
      </c>
      <c r="C10447" s="120" t="s">
        <v>4288</v>
      </c>
      <c r="D10447" s="33" t="s">
        <v>42932</v>
      </c>
      <c r="E10447" s="51" t="s">
        <v>1760</v>
      </c>
      <c r="F10447" s="121" t="s">
        <v>3009</v>
      </c>
      <c r="G10447" s="98" t="str">
        <f>HYPERLINK("http://mirror.ff7data.com.ar/ff7/data/battle/battle.lgp/rwbx.png","View Picture")</f>
        <v>View Picture</v>
      </c>
    </row>
    <row r="10448">
      <c r="A10448" s="40"/>
      <c r="B10448" s="119" t="s">
        <v>42933</v>
      </c>
      <c r="C10448" s="120" t="s">
        <v>4707</v>
      </c>
      <c r="D10448" s="33" t="s">
        <v>42934</v>
      </c>
      <c r="E10448" s="51" t="s">
        <v>1760</v>
      </c>
      <c r="F10448" s="121" t="s">
        <v>3009</v>
      </c>
      <c r="G10448" s="98" t="str">
        <f>HYPERLINK("http://mirror.ff7data.com.ar/ff7/data/battle/battle.lgp/rwby.png","View Picture")</f>
        <v>View Picture</v>
      </c>
    </row>
    <row r="10449">
      <c r="A10449" s="40"/>
      <c r="B10449" s="119" t="s">
        <v>42935</v>
      </c>
      <c r="C10449" s="120" t="s">
        <v>3007</v>
      </c>
      <c r="D10449" s="33" t="s">
        <v>42936</v>
      </c>
      <c r="E10449" s="51" t="s">
        <v>1760</v>
      </c>
      <c r="F10449" s="121" t="s">
        <v>3009</v>
      </c>
      <c r="G10449" s="98" t="str">
        <f>HYPERLINK("http://mirror.ff7data.com.ar/ff7/data/battle/battle.lgp/rwbz.png","View Picture")</f>
        <v>View Picture</v>
      </c>
    </row>
    <row r="10450">
      <c r="A10450" s="40"/>
      <c r="B10450" s="119" t="s">
        <v>42937</v>
      </c>
      <c r="C10450" s="120" t="s">
        <v>5419</v>
      </c>
      <c r="D10450" s="33" t="s">
        <v>42938</v>
      </c>
      <c r="E10450" s="51" t="s">
        <v>1760</v>
      </c>
      <c r="F10450" s="121" t="s">
        <v>3009</v>
      </c>
      <c r="G10450" s="98" t="str">
        <f>HYPERLINK("http://mirror.ff7data.com.ar/ff7/data/battle/battle.lgp/rwcb.png","View Picture")</f>
        <v>View Picture</v>
      </c>
    </row>
    <row r="10451">
      <c r="A10451" s="40"/>
      <c r="B10451" s="119" t="s">
        <v>42939</v>
      </c>
      <c r="C10451" s="120" t="s">
        <v>4732</v>
      </c>
      <c r="D10451" s="33" t="s">
        <v>42940</v>
      </c>
      <c r="E10451" s="51" t="s">
        <v>1760</v>
      </c>
      <c r="F10451" s="121" t="s">
        <v>3009</v>
      </c>
      <c r="G10451" s="98" t="str">
        <f>HYPERLINK("http://mirror.ff7data.com.ar/ff7/data/battle/battle.lgp/rwcc.png","View Picture")</f>
        <v>View Picture</v>
      </c>
    </row>
    <row r="10452">
      <c r="A10452" s="40"/>
      <c r="B10452" s="119" t="s">
        <v>42941</v>
      </c>
      <c r="C10452" s="120" t="s">
        <v>3842</v>
      </c>
      <c r="D10452" s="33" t="s">
        <v>42942</v>
      </c>
      <c r="E10452" s="51" t="s">
        <v>1760</v>
      </c>
      <c r="F10452" s="121" t="s">
        <v>3009</v>
      </c>
      <c r="G10452" s="98" t="str">
        <f>HYPERLINK("http://mirror.ff7data.com.ar/ff7/data/battle/battle.lgp/rwcd.png","View Picture")</f>
        <v>View Picture</v>
      </c>
    </row>
    <row r="10453">
      <c r="A10453" s="40"/>
      <c r="B10453" s="119" t="s">
        <v>42943</v>
      </c>
      <c r="C10453" s="120" t="s">
        <v>4288</v>
      </c>
      <c r="D10453" s="33" t="s">
        <v>42944</v>
      </c>
      <c r="E10453" s="51" t="s">
        <v>1760</v>
      </c>
      <c r="F10453" s="121" t="s">
        <v>3009</v>
      </c>
      <c r="G10453" s="98" t="str">
        <f>HYPERLINK("http://mirror.ff7data.com.ar/ff7/data/battle/battle.lgp/rwce.png","View Picture")</f>
        <v>View Picture</v>
      </c>
    </row>
    <row r="10454">
      <c r="A10454" s="40"/>
      <c r="B10454" s="119" t="s">
        <v>42945</v>
      </c>
      <c r="C10454" s="120" t="s">
        <v>4185</v>
      </c>
      <c r="D10454" s="33" t="s">
        <v>42946</v>
      </c>
      <c r="E10454" s="51" t="s">
        <v>1760</v>
      </c>
      <c r="F10454" s="121" t="s">
        <v>3009</v>
      </c>
      <c r="G10454" s="98" t="str">
        <f>HYPERLINK("http://mirror.ff7data.com.ar/ff7/data/battle/battle.lgp/rwcf.png","View Picture")</f>
        <v>View Picture</v>
      </c>
    </row>
    <row r="10455">
      <c r="A10455" s="40"/>
      <c r="B10455" s="119" t="s">
        <v>42947</v>
      </c>
      <c r="C10455" s="120" t="s">
        <v>14878</v>
      </c>
      <c r="D10455" s="33" t="s">
        <v>42948</v>
      </c>
      <c r="E10455" s="51" t="s">
        <v>1760</v>
      </c>
      <c r="F10455" s="121" t="s">
        <v>3009</v>
      </c>
      <c r="G10455" s="159" t="s">
        <v>42949</v>
      </c>
      <c r="H10455" s="167" t="str">
        <f>HYPERLINK("http://mirror.ff7data.com.ar/ff7/redweapon/rwck.jpg","Concept Art")</f>
        <v>Concept Art</v>
      </c>
    </row>
    <row r="10456">
      <c r="A10456" s="40"/>
      <c r="B10456" s="119" t="s">
        <v>42950</v>
      </c>
      <c r="C10456" s="120" t="s">
        <v>14878</v>
      </c>
      <c r="D10456" s="33" t="s">
        <v>42951</v>
      </c>
      <c r="E10456" s="51" t="s">
        <v>1760</v>
      </c>
      <c r="F10456" s="121" t="s">
        <v>3009</v>
      </c>
      <c r="G10456" s="159" t="s">
        <v>42949</v>
      </c>
      <c r="H10456" s="167" t="str">
        <f>HYPERLINK("http://mirror.ff7data.com.ar/ff7/redweapon/rwcl.jpg","Concept Art")</f>
        <v>Concept Art</v>
      </c>
    </row>
    <row r="10457">
      <c r="A10457" s="40"/>
      <c r="B10457" s="119" t="s">
        <v>42952</v>
      </c>
      <c r="C10457" s="120" t="s">
        <v>14878</v>
      </c>
      <c r="D10457" s="33" t="s">
        <v>42953</v>
      </c>
      <c r="E10457" s="51" t="s">
        <v>1760</v>
      </c>
      <c r="F10457" s="121" t="s">
        <v>3009</v>
      </c>
      <c r="G10457" s="159" t="s">
        <v>42949</v>
      </c>
      <c r="H10457" s="167" t="str">
        <f>HYPERLINK("http://mirror.ff7data.com.ar/ff7/redweapon/rxcm.jpg","Concept Art")</f>
        <v>Concept Art</v>
      </c>
    </row>
    <row r="10458">
      <c r="A10458" s="40"/>
      <c r="B10458" s="119" t="s">
        <v>42954</v>
      </c>
      <c r="C10458" s="120" t="s">
        <v>14878</v>
      </c>
      <c r="D10458" s="33" t="s">
        <v>42955</v>
      </c>
      <c r="E10458" s="51" t="s">
        <v>1760</v>
      </c>
      <c r="F10458" s="121" t="s">
        <v>3009</v>
      </c>
      <c r="G10458" s="159" t="s">
        <v>42949</v>
      </c>
      <c r="H10458" s="167" t="str">
        <f>HYPERLINK("http://mirror.ff7data.com.ar/ff7/redweapon/rwcn.jpg","Concept Art")</f>
        <v>Concept Art</v>
      </c>
    </row>
    <row r="10459">
      <c r="A10459" s="40"/>
      <c r="B10459" s="119" t="s">
        <v>42956</v>
      </c>
      <c r="C10459" s="120" t="s">
        <v>14878</v>
      </c>
      <c r="D10459" s="33" t="s">
        <v>42957</v>
      </c>
      <c r="E10459" s="51" t="s">
        <v>1760</v>
      </c>
      <c r="F10459" s="121" t="s">
        <v>3009</v>
      </c>
      <c r="G10459" s="159" t="s">
        <v>42949</v>
      </c>
      <c r="H10459" s="167" t="str">
        <f>HYPERLINK("http://mirror.ff7data.com.ar/ff7/redweapon/rcwo.jpg","Concept Art")</f>
        <v>Concept Art</v>
      </c>
    </row>
    <row r="10460">
      <c r="A10460" s="40"/>
      <c r="B10460" s="119" t="s">
        <v>42958</v>
      </c>
      <c r="C10460" s="120" t="s">
        <v>14878</v>
      </c>
      <c r="D10460" s="33" t="s">
        <v>42959</v>
      </c>
      <c r="E10460" s="51" t="s">
        <v>1760</v>
      </c>
      <c r="F10460" s="121" t="s">
        <v>3009</v>
      </c>
      <c r="G10460" s="159" t="s">
        <v>42949</v>
      </c>
      <c r="H10460" s="167" t="str">
        <f>HYPERLINK("http://mirror.ff7data.com.ar/ff7/redweapon/rcwp.jpg","Concept Art")</f>
        <v>Concept Art</v>
      </c>
    </row>
    <row r="10461">
      <c r="A10461" s="40"/>
      <c r="B10461" s="119" t="s">
        <v>42960</v>
      </c>
      <c r="C10461" s="120" t="s">
        <v>14878</v>
      </c>
      <c r="D10461" s="33" t="s">
        <v>42961</v>
      </c>
      <c r="E10461" s="51" t="s">
        <v>1760</v>
      </c>
      <c r="F10461" s="121" t="s">
        <v>3009</v>
      </c>
      <c r="G10461" s="159" t="s">
        <v>42949</v>
      </c>
      <c r="H10461" s="167" t="str">
        <f>HYPERLINK("http://mirror.ff7data.com.ar/ff7/redweapon/rcwq.jpg","Concept Art")</f>
        <v>Concept Art</v>
      </c>
    </row>
    <row r="10462">
      <c r="A10462" s="40"/>
      <c r="B10462" s="119" t="s">
        <v>42962</v>
      </c>
      <c r="C10462" s="120" t="s">
        <v>14878</v>
      </c>
      <c r="D10462" s="33" t="s">
        <v>42963</v>
      </c>
      <c r="E10462" s="51" t="s">
        <v>1760</v>
      </c>
      <c r="F10462" s="121" t="s">
        <v>3009</v>
      </c>
      <c r="G10462" s="159" t="s">
        <v>42949</v>
      </c>
      <c r="H10462" s="167" t="str">
        <f>HYPERLINK("http://mirror.ff7data.com.ar/ff7/redweapon/rcwr.jpg","Concept Art")</f>
        <v>Concept Art</v>
      </c>
    </row>
    <row r="10463">
      <c r="A10463" s="40"/>
      <c r="B10463" s="119" t="s">
        <v>42964</v>
      </c>
      <c r="C10463" s="120" t="s">
        <v>14878</v>
      </c>
      <c r="D10463" s="33" t="s">
        <v>42965</v>
      </c>
      <c r="E10463" s="51" t="s">
        <v>1760</v>
      </c>
      <c r="F10463" s="121" t="s">
        <v>3009</v>
      </c>
      <c r="G10463" s="159" t="s">
        <v>42949</v>
      </c>
      <c r="H10463" s="167" t="str">
        <f>HYPERLINK("http://mirror.ff7data.com.ar/ff7/redweapon/rcws.jpg","Concept Art")</f>
        <v>Concept Art</v>
      </c>
    </row>
    <row r="10464">
      <c r="A10464" s="40"/>
      <c r="B10464" s="119" t="s">
        <v>42966</v>
      </c>
      <c r="C10464" s="120" t="s">
        <v>14878</v>
      </c>
      <c r="D10464" s="33" t="s">
        <v>42967</v>
      </c>
      <c r="E10464" s="51" t="s">
        <v>1760</v>
      </c>
      <c r="F10464" s="121" t="s">
        <v>3009</v>
      </c>
      <c r="G10464" s="159" t="s">
        <v>42949</v>
      </c>
      <c r="H10464" s="167" t="str">
        <f>HYPERLINK("http://mirror.ff7data.com.ar/ff7/redweapon/rcwt.jpg","Concept Art")</f>
        <v>Concept Art</v>
      </c>
    </row>
    <row r="10465">
      <c r="A10465" s="40"/>
      <c r="B10465" s="119" t="s">
        <v>42968</v>
      </c>
      <c r="C10465" s="120" t="s">
        <v>14878</v>
      </c>
      <c r="D10465" s="33" t="s">
        <v>42969</v>
      </c>
      <c r="E10465" s="51" t="s">
        <v>1760</v>
      </c>
      <c r="F10465" s="121" t="s">
        <v>3009</v>
      </c>
      <c r="G10465" s="159" t="s">
        <v>42949</v>
      </c>
      <c r="H10465" s="167" t="str">
        <f>HYPERLINK("http://mirror.ff7data.com.ar/ff7/redweapon/rcwu.jpg","Concept Art")</f>
        <v>Concept Art</v>
      </c>
    </row>
    <row r="10466">
      <c r="A10466" s="40"/>
      <c r="B10466" s="119" t="s">
        <v>42970</v>
      </c>
      <c r="C10466" s="120" t="s">
        <v>14878</v>
      </c>
      <c r="D10466" s="33" t="s">
        <v>42971</v>
      </c>
      <c r="E10466" s="51" t="s">
        <v>1760</v>
      </c>
      <c r="F10466" s="121" t="s">
        <v>3009</v>
      </c>
      <c r="G10466" s="159" t="s">
        <v>42949</v>
      </c>
      <c r="H10466" s="167" t="str">
        <f>HYPERLINK("http://mirror.ff7data.com.ar/ff7/redweapon/rcwv.jpg","Concept Art")</f>
        <v>Concept Art</v>
      </c>
    </row>
    <row r="10467">
      <c r="A10467" s="40"/>
      <c r="B10467" s="119" t="s">
        <v>42972</v>
      </c>
      <c r="C10467" s="120" t="s">
        <v>14878</v>
      </c>
      <c r="D10467" s="33" t="s">
        <v>42973</v>
      </c>
      <c r="E10467" s="51" t="s">
        <v>1760</v>
      </c>
      <c r="F10467" s="121" t="s">
        <v>3009</v>
      </c>
      <c r="G10467" s="159" t="s">
        <v>42949</v>
      </c>
      <c r="H10467" s="167" t="str">
        <f>HYPERLINK("http://mirror.ff7data.com.ar/ff7/redweapon/rcww.jpg","Concept Art")</f>
        <v>Concept Art</v>
      </c>
    </row>
    <row r="10468">
      <c r="A10468" s="40"/>
      <c r="B10468" s="119" t="s">
        <v>42974</v>
      </c>
      <c r="C10468" s="120" t="s">
        <v>14878</v>
      </c>
      <c r="D10468" s="33" t="s">
        <v>42975</v>
      </c>
      <c r="E10468" s="51" t="s">
        <v>1760</v>
      </c>
      <c r="F10468" s="121" t="s">
        <v>3009</v>
      </c>
      <c r="G10468" s="159" t="s">
        <v>42949</v>
      </c>
      <c r="H10468" s="167" t="str">
        <f>HYPERLINK("http://mirror.ff7data.com.ar/ff7/redweapon/rcwx.jpg","Concept Art")</f>
        <v>Concept Art</v>
      </c>
    </row>
    <row r="10469">
      <c r="A10469" s="40"/>
      <c r="B10469" s="119" t="s">
        <v>42976</v>
      </c>
      <c r="C10469" s="120" t="s">
        <v>14878</v>
      </c>
      <c r="D10469" s="33" t="s">
        <v>42948</v>
      </c>
      <c r="E10469" s="51" t="s">
        <v>1760</v>
      </c>
      <c r="F10469" s="121" t="s">
        <v>3009</v>
      </c>
      <c r="G10469" s="159" t="s">
        <v>42949</v>
      </c>
      <c r="H10469" s="46" t="s">
        <v>42977</v>
      </c>
    </row>
    <row r="10470">
      <c r="A10470" s="40"/>
      <c r="B10470" s="119" t="s">
        <v>42978</v>
      </c>
      <c r="C10470" s="120" t="s">
        <v>14878</v>
      </c>
      <c r="D10470" s="33" t="s">
        <v>42948</v>
      </c>
      <c r="E10470" s="51" t="s">
        <v>1760</v>
      </c>
      <c r="F10470" s="121" t="s">
        <v>3009</v>
      </c>
      <c r="G10470" s="159" t="s">
        <v>42949</v>
      </c>
      <c r="H10470" s="46" t="s">
        <v>42977</v>
      </c>
    </row>
    <row r="10471">
      <c r="A10471" s="55"/>
      <c r="B10471" s="119" t="s">
        <v>42979</v>
      </c>
      <c r="C10471" s="120" t="s">
        <v>26095</v>
      </c>
      <c r="D10471" s="33" t="s">
        <v>42877</v>
      </c>
      <c r="E10471" s="51" t="s">
        <v>1760</v>
      </c>
      <c r="F10471" s="121" t="s">
        <v>3025</v>
      </c>
    </row>
    <row r="10472">
      <c r="A10472" s="82"/>
      <c r="B10472" s="119" t="s">
        <v>42980</v>
      </c>
      <c r="C10472" s="120" t="s">
        <v>4209</v>
      </c>
      <c r="D10472" s="33" t="s">
        <v>42981</v>
      </c>
      <c r="E10472" s="51" t="s">
        <v>1790</v>
      </c>
      <c r="F10472" s="121" t="s">
        <v>2971</v>
      </c>
      <c r="G10472" s="98" t="str">
        <f>HYPERLINK("http://mirror.ff7data.com.ar/ff7/data/battle/battle.lgp/rxaa.png","View Picture")</f>
        <v>View Picture</v>
      </c>
    </row>
    <row r="10473">
      <c r="A10473" s="55"/>
      <c r="B10473" s="119" t="s">
        <v>42982</v>
      </c>
      <c r="C10473" s="120" t="s">
        <v>21725</v>
      </c>
      <c r="D10473" s="33" t="s">
        <v>42983</v>
      </c>
      <c r="E10473" s="51" t="s">
        <v>1790</v>
      </c>
      <c r="F10473" s="121" t="s">
        <v>2993</v>
      </c>
    </row>
    <row r="10474">
      <c r="A10474" s="40"/>
      <c r="B10474" s="119" t="s">
        <v>42984</v>
      </c>
      <c r="C10474" s="120" t="s">
        <v>3671</v>
      </c>
      <c r="D10474" s="33" t="s">
        <v>42983</v>
      </c>
      <c r="E10474" s="51" t="s">
        <v>1790</v>
      </c>
      <c r="F10474" s="121" t="s">
        <v>1348</v>
      </c>
      <c r="G10474" s="98" t="str">
        <f>HYPERLINK("http://mirror.ff7data.com.ar/ff7/data/battle/battle.lgp/rxac.png","View Picture")</f>
        <v>View Picture</v>
      </c>
    </row>
    <row r="10475">
      <c r="A10475" s="40"/>
      <c r="B10475" s="119" t="s">
        <v>42985</v>
      </c>
      <c r="C10475" s="120" t="s">
        <v>7081</v>
      </c>
      <c r="D10475" s="33" t="s">
        <v>42983</v>
      </c>
      <c r="E10475" s="51" t="s">
        <v>1790</v>
      </c>
      <c r="F10475" s="121" t="s">
        <v>1348</v>
      </c>
      <c r="G10475" s="98" t="str">
        <f>HYPERLINK("http://mirror.ff7data.com.ar/ff7/data/battle/battle.lgp/rxad.png","View Picture")</f>
        <v>View Picture</v>
      </c>
    </row>
    <row r="10476">
      <c r="A10476" s="40"/>
      <c r="B10476" s="119" t="s">
        <v>42986</v>
      </c>
      <c r="C10476" s="120" t="s">
        <v>7129</v>
      </c>
      <c r="D10476" s="33" t="s">
        <v>42987</v>
      </c>
      <c r="E10476" s="51" t="s">
        <v>1790</v>
      </c>
      <c r="F10476" s="121" t="s">
        <v>3009</v>
      </c>
      <c r="G10476" s="98" t="str">
        <f>HYPERLINK("http://mirror.ff7data.com.ar/ff7/data/battle/battle.lgp/rxam.png","View Picture")</f>
        <v>View Picture</v>
      </c>
    </row>
    <row r="10477">
      <c r="A10477" s="40"/>
      <c r="B10477" s="119" t="s">
        <v>42988</v>
      </c>
      <c r="C10477" s="120" t="s">
        <v>14502</v>
      </c>
      <c r="D10477" s="33" t="s">
        <v>42989</v>
      </c>
      <c r="E10477" s="51" t="s">
        <v>1790</v>
      </c>
      <c r="F10477" s="121" t="s">
        <v>3009</v>
      </c>
      <c r="G10477" s="98" t="str">
        <f>HYPERLINK("http://mirror.ff7data.com.ar/ff7/data/battle/battle.lgp/rxan.png","View Picture")</f>
        <v>View Picture</v>
      </c>
    </row>
    <row r="10478">
      <c r="A10478" s="40"/>
      <c r="B10478" s="119" t="s">
        <v>42990</v>
      </c>
      <c r="C10478" s="120" t="s">
        <v>4167</v>
      </c>
      <c r="D10478" s="33" t="s">
        <v>7818</v>
      </c>
      <c r="E10478" s="51" t="s">
        <v>1790</v>
      </c>
      <c r="F10478" s="121" t="s">
        <v>3009</v>
      </c>
      <c r="G10478" s="98" t="str">
        <f>HYPERLINK("http://mirror.ff7data.com.ar/ff7/data/battle/battle.lgp/rxao.png","View Picture")</f>
        <v>View Picture</v>
      </c>
    </row>
    <row r="10479">
      <c r="A10479" s="40"/>
      <c r="B10479" s="119" t="s">
        <v>42991</v>
      </c>
      <c r="C10479" s="120" t="s">
        <v>4264</v>
      </c>
      <c r="D10479" s="33" t="s">
        <v>42992</v>
      </c>
      <c r="E10479" s="51" t="s">
        <v>1790</v>
      </c>
      <c r="F10479" s="121" t="s">
        <v>3009</v>
      </c>
      <c r="G10479" s="98" t="str">
        <f>HYPERLINK("http://mirror.ff7data.com.ar/ff7/data/battle/battle.lgp/rxaq.png","View Picture")</f>
        <v>View Picture</v>
      </c>
    </row>
    <row r="10480">
      <c r="A10480" s="40"/>
      <c r="B10480" s="119" t="s">
        <v>42993</v>
      </c>
      <c r="C10480" s="120" t="s">
        <v>4264</v>
      </c>
      <c r="D10480" s="33" t="s">
        <v>42992</v>
      </c>
      <c r="E10480" s="51" t="s">
        <v>1790</v>
      </c>
      <c r="F10480" s="121" t="s">
        <v>3009</v>
      </c>
      <c r="G10480" s="98" t="str">
        <f>HYPERLINK("http://mirror.ff7data.com.ar/ff7/data/battle/battle.lgp/rxar.png","View Picture")</f>
        <v>View Picture</v>
      </c>
    </row>
    <row r="10481">
      <c r="A10481" s="40"/>
      <c r="B10481" s="119" t="s">
        <v>42994</v>
      </c>
      <c r="C10481" s="120" t="s">
        <v>8376</v>
      </c>
      <c r="D10481" s="33" t="s">
        <v>42995</v>
      </c>
      <c r="E10481" s="51" t="s">
        <v>1790</v>
      </c>
      <c r="F10481" s="121" t="s">
        <v>3009</v>
      </c>
      <c r="G10481" s="98" t="str">
        <f>HYPERLINK("http://mirror.ff7data.com.ar/ff7/data/battle/battle.lgp/rxau.png","View Picture")</f>
        <v>View Picture</v>
      </c>
    </row>
    <row r="10482">
      <c r="A10482" s="40"/>
      <c r="B10482" s="119" t="s">
        <v>42996</v>
      </c>
      <c r="C10482" s="120" t="s">
        <v>3648</v>
      </c>
      <c r="D10482" s="33" t="s">
        <v>42995</v>
      </c>
      <c r="E10482" s="51" t="s">
        <v>1790</v>
      </c>
      <c r="F10482" s="121" t="s">
        <v>3009</v>
      </c>
      <c r="G10482" s="98" t="str">
        <f>HYPERLINK("http://mirror.ff7data.com.ar/ff7/data/battle/battle.lgp/rxav.png","View Picture")</f>
        <v>View Picture</v>
      </c>
    </row>
    <row r="10483">
      <c r="A10483" s="40"/>
      <c r="B10483" s="119" t="s">
        <v>42997</v>
      </c>
      <c r="C10483" s="120" t="s">
        <v>5891</v>
      </c>
      <c r="D10483" s="33" t="s">
        <v>42995</v>
      </c>
      <c r="E10483" s="51" t="s">
        <v>1790</v>
      </c>
      <c r="F10483" s="121" t="s">
        <v>3009</v>
      </c>
      <c r="G10483" s="98" t="str">
        <f>HYPERLINK("http://mirror.ff7data.com.ar/ff7/data/battle/battle.lgp/rxaw.png","View Picture")</f>
        <v>View Picture</v>
      </c>
    </row>
    <row r="10484">
      <c r="A10484" s="40"/>
      <c r="B10484" s="119" t="s">
        <v>42998</v>
      </c>
      <c r="C10484" s="120" t="s">
        <v>10078</v>
      </c>
      <c r="D10484" s="33" t="s">
        <v>42999</v>
      </c>
      <c r="E10484" s="51" t="s">
        <v>1790</v>
      </c>
      <c r="F10484" s="121" t="s">
        <v>3009</v>
      </c>
      <c r="G10484" s="98" t="str">
        <f>HYPERLINK("http://mirror.ff7data.com.ar/ff7/data/battle/battle.lgp/rxax.png","View Picture")</f>
        <v>View Picture</v>
      </c>
    </row>
    <row r="10485">
      <c r="A10485" s="40"/>
      <c r="B10485" s="119" t="s">
        <v>43000</v>
      </c>
      <c r="C10485" s="120" t="s">
        <v>29777</v>
      </c>
      <c r="D10485" s="33" t="s">
        <v>43001</v>
      </c>
      <c r="E10485" s="51" t="s">
        <v>1790</v>
      </c>
      <c r="F10485" s="121" t="s">
        <v>3009</v>
      </c>
      <c r="G10485" s="98" t="str">
        <f>HYPERLINK("http://mirror.ff7data.com.ar/ff7/data/battle/battle.lgp/rxaz.png","View Picture")</f>
        <v>View Picture</v>
      </c>
    </row>
    <row r="10486">
      <c r="A10486" s="40"/>
      <c r="B10486" s="119" t="s">
        <v>43002</v>
      </c>
      <c r="C10486" s="120" t="s">
        <v>4719</v>
      </c>
      <c r="D10486" s="33" t="s">
        <v>43003</v>
      </c>
      <c r="E10486" s="51" t="s">
        <v>1790</v>
      </c>
      <c r="F10486" s="121" t="s">
        <v>3009</v>
      </c>
      <c r="G10486" s="98" t="str">
        <f>HYPERLINK("http://mirror.ff7data.com.ar/ff7/data/battle/battle.lgp/rxbc.png","View Picture")</f>
        <v>View Picture</v>
      </c>
    </row>
    <row r="10487">
      <c r="A10487" s="40"/>
      <c r="B10487" s="119" t="s">
        <v>43004</v>
      </c>
      <c r="C10487" s="120" t="s">
        <v>6029</v>
      </c>
      <c r="D10487" s="33" t="s">
        <v>43005</v>
      </c>
      <c r="E10487" s="51" t="s">
        <v>1790</v>
      </c>
      <c r="F10487" s="121" t="s">
        <v>3009</v>
      </c>
      <c r="G10487" s="98" t="str">
        <f>HYPERLINK("http://mirror.ff7data.com.ar/ff7/data/battle/battle.lgp/rxbd.png","View Picture")</f>
        <v>View Picture</v>
      </c>
    </row>
    <row r="10488">
      <c r="A10488" s="40"/>
      <c r="B10488" s="119" t="s">
        <v>43006</v>
      </c>
      <c r="C10488" s="120" t="s">
        <v>10078</v>
      </c>
      <c r="D10488" s="33" t="s">
        <v>43007</v>
      </c>
      <c r="E10488" s="51" t="s">
        <v>1790</v>
      </c>
      <c r="F10488" s="121" t="s">
        <v>3009</v>
      </c>
      <c r="G10488" s="98" t="str">
        <f>HYPERLINK("http://mirror.ff7data.com.ar/ff7/data/battle/battle.lgp/rxbe.png","View Picture")</f>
        <v>View Picture</v>
      </c>
    </row>
    <row r="10489">
      <c r="A10489" s="40"/>
      <c r="B10489" s="119" t="s">
        <v>43008</v>
      </c>
      <c r="C10489" s="120" t="s">
        <v>5967</v>
      </c>
      <c r="D10489" s="33" t="s">
        <v>43009</v>
      </c>
      <c r="E10489" s="51" t="s">
        <v>1790</v>
      </c>
      <c r="F10489" s="121" t="s">
        <v>3009</v>
      </c>
      <c r="G10489" s="98" t="str">
        <f>HYPERLINK("http://mirror.ff7data.com.ar/ff7/data/battle/battle.lgp/rxbg.png","View Picture")</f>
        <v>View Picture</v>
      </c>
    </row>
    <row r="10490">
      <c r="A10490" s="40"/>
      <c r="B10490" s="119" t="s">
        <v>43010</v>
      </c>
      <c r="C10490" s="120" t="s">
        <v>4217</v>
      </c>
      <c r="D10490" s="33" t="s">
        <v>43011</v>
      </c>
      <c r="E10490" s="51" t="s">
        <v>1790</v>
      </c>
      <c r="F10490" s="121" t="s">
        <v>3009</v>
      </c>
      <c r="G10490" s="98" t="str">
        <f>HYPERLINK("http://mirror.ff7data.com.ar/ff7/data/battle/battle.lgp/rxbh.png","View Picture")</f>
        <v>View Picture</v>
      </c>
    </row>
    <row r="10491">
      <c r="A10491" s="40"/>
      <c r="B10491" s="119" t="s">
        <v>43012</v>
      </c>
      <c r="C10491" s="120" t="s">
        <v>4372</v>
      </c>
      <c r="D10491" s="33" t="s">
        <v>43013</v>
      </c>
      <c r="E10491" s="51" t="s">
        <v>1790</v>
      </c>
      <c r="F10491" s="121" t="s">
        <v>3009</v>
      </c>
      <c r="G10491" s="98" t="str">
        <f>HYPERLINK("http://mirror.ff7data.com.ar/ff7/data/battle/battle.lgp/rxbi.png","View Picture")</f>
        <v>View Picture</v>
      </c>
    </row>
    <row r="10492">
      <c r="A10492" s="40"/>
      <c r="B10492" s="119" t="s">
        <v>43014</v>
      </c>
      <c r="C10492" s="120" t="s">
        <v>4439</v>
      </c>
      <c r="D10492" s="33" t="s">
        <v>43015</v>
      </c>
      <c r="E10492" s="51" t="s">
        <v>1790</v>
      </c>
      <c r="F10492" s="121" t="s">
        <v>3009</v>
      </c>
      <c r="G10492" s="98" t="str">
        <f>HYPERLINK("http://mirror.ff7data.com.ar/ff7/data/battle/battle.lgp/rxbk.png","View Picture")</f>
        <v>View Picture</v>
      </c>
    </row>
    <row r="10493">
      <c r="A10493" s="40"/>
      <c r="B10493" s="119" t="s">
        <v>43016</v>
      </c>
      <c r="C10493" s="120" t="s">
        <v>3648</v>
      </c>
      <c r="D10493" s="33" t="s">
        <v>43017</v>
      </c>
      <c r="E10493" s="51" t="s">
        <v>1790</v>
      </c>
      <c r="F10493" s="121" t="s">
        <v>3009</v>
      </c>
      <c r="G10493" s="98" t="str">
        <f>HYPERLINK("http://mirror.ff7data.com.ar/ff7/data/battle/battle.lgp/rxbm.png","View Picture")</f>
        <v>View Picture</v>
      </c>
    </row>
    <row r="10494">
      <c r="A10494" s="40"/>
      <c r="B10494" s="119" t="s">
        <v>43018</v>
      </c>
      <c r="C10494" s="120" t="s">
        <v>4252</v>
      </c>
      <c r="D10494" s="33" t="s">
        <v>43019</v>
      </c>
      <c r="E10494" s="51" t="s">
        <v>1790</v>
      </c>
      <c r="F10494" s="121" t="s">
        <v>3009</v>
      </c>
      <c r="G10494" s="98" t="str">
        <f>HYPERLINK("http://mirror.ff7data.com.ar/ff7/data/battle/battle.lgp/rxbn.png","View Picture")</f>
        <v>View Picture</v>
      </c>
    </row>
    <row r="10495">
      <c r="A10495" s="40"/>
      <c r="B10495" s="119" t="s">
        <v>43020</v>
      </c>
      <c r="C10495" s="120" t="s">
        <v>4372</v>
      </c>
      <c r="D10495" s="33" t="s">
        <v>43021</v>
      </c>
      <c r="E10495" s="51" t="s">
        <v>1790</v>
      </c>
      <c r="F10495" s="121" t="s">
        <v>3009</v>
      </c>
      <c r="G10495" s="98" t="str">
        <f>HYPERLINK("http://mirror.ff7data.com.ar/ff7/data/battle/battle.lgp/rxbo.png","View Picture")</f>
        <v>View Picture</v>
      </c>
    </row>
    <row r="10496">
      <c r="A10496" s="40"/>
      <c r="B10496" s="119" t="s">
        <v>43022</v>
      </c>
      <c r="C10496" s="120" t="s">
        <v>4439</v>
      </c>
      <c r="D10496" s="33" t="s">
        <v>43023</v>
      </c>
      <c r="E10496" s="51" t="s">
        <v>1790</v>
      </c>
      <c r="F10496" s="121" t="s">
        <v>3009</v>
      </c>
      <c r="G10496" s="98" t="str">
        <f>HYPERLINK("http://mirror.ff7data.com.ar/ff7/data/battle/battle.lgp/rxbq.png","View Picture")</f>
        <v>View Picture</v>
      </c>
    </row>
    <row r="10497">
      <c r="A10497" s="40"/>
      <c r="B10497" s="119" t="s">
        <v>43024</v>
      </c>
      <c r="C10497" s="120" t="s">
        <v>5925</v>
      </c>
      <c r="D10497" s="33" t="s">
        <v>43025</v>
      </c>
      <c r="E10497" s="51" t="s">
        <v>1790</v>
      </c>
      <c r="F10497" s="121" t="s">
        <v>3009</v>
      </c>
      <c r="G10497" s="98" t="str">
        <f>HYPERLINK("http://mirror.ff7data.com.ar/ff7/data/battle/battle.lgp/rxck.png","View Picture")</f>
        <v>View Picture</v>
      </c>
    </row>
    <row r="10498">
      <c r="A10498" s="40"/>
      <c r="B10498" s="119" t="s">
        <v>43026</v>
      </c>
      <c r="C10498" s="120" t="s">
        <v>5904</v>
      </c>
      <c r="D10498" s="33" t="s">
        <v>43027</v>
      </c>
      <c r="E10498" s="51" t="s">
        <v>1790</v>
      </c>
      <c r="F10498" s="121" t="s">
        <v>3009</v>
      </c>
      <c r="G10498" s="98" t="str">
        <f>HYPERLINK("http://mirror.ff7data.com.ar/ff7/data/battle/battle.lgp/rxcl.png","View Picture")</f>
        <v>View Picture</v>
      </c>
    </row>
    <row r="10499">
      <c r="A10499" s="40"/>
      <c r="B10499" s="119" t="s">
        <v>43028</v>
      </c>
      <c r="C10499" s="120" t="s">
        <v>7501</v>
      </c>
      <c r="D10499" s="33" t="s">
        <v>43029</v>
      </c>
      <c r="E10499" s="51" t="s">
        <v>1790</v>
      </c>
      <c r="F10499" s="121" t="s">
        <v>3009</v>
      </c>
      <c r="G10499" s="98" t="str">
        <f>HYPERLINK("http://mirror.ff7data.com.ar/ff7/data/battle/battle.lgp/rxcm.png","View Picture")</f>
        <v>View Picture</v>
      </c>
    </row>
    <row r="10500">
      <c r="A10500" s="40"/>
      <c r="B10500" s="119" t="s">
        <v>43030</v>
      </c>
      <c r="C10500" s="120" t="s">
        <v>5859</v>
      </c>
      <c r="D10500" s="33" t="s">
        <v>43031</v>
      </c>
      <c r="E10500" s="51" t="s">
        <v>1790</v>
      </c>
      <c r="F10500" s="121" t="s">
        <v>3009</v>
      </c>
      <c r="G10500" s="98" t="str">
        <f>HYPERLINK("http://mirror.ff7data.com.ar/ff7/data/battle/battle.lgp/rxcn.png","View Picture")</f>
        <v>View Picture</v>
      </c>
    </row>
    <row r="10501">
      <c r="A10501" s="40"/>
      <c r="B10501" s="119" t="s">
        <v>43032</v>
      </c>
      <c r="C10501" s="120" t="s">
        <v>7129</v>
      </c>
      <c r="D10501" s="33" t="s">
        <v>43033</v>
      </c>
      <c r="E10501" s="51" t="s">
        <v>1790</v>
      </c>
      <c r="F10501" s="121" t="s">
        <v>3009</v>
      </c>
      <c r="G10501" s="98" t="str">
        <f>HYPERLINK("http://mirror.ff7data.com.ar/ff7/data/battle/battle.lgp/rxco.png","View Picture")</f>
        <v>View Picture</v>
      </c>
    </row>
    <row r="10502">
      <c r="A10502" s="40"/>
      <c r="B10502" s="119" t="s">
        <v>43034</v>
      </c>
      <c r="C10502" s="120" t="s">
        <v>7062</v>
      </c>
      <c r="D10502" s="33" t="s">
        <v>43035</v>
      </c>
      <c r="E10502" s="51" t="s">
        <v>1790</v>
      </c>
      <c r="F10502" s="121" t="s">
        <v>3009</v>
      </c>
      <c r="G10502" s="98" t="str">
        <f>HYPERLINK("http://mirror.ff7data.com.ar/ff7/data/battle/battle.lgp/rxcp.png","View Picture")</f>
        <v>View Picture</v>
      </c>
    </row>
    <row r="10503">
      <c r="A10503" s="40"/>
      <c r="B10503" s="119" t="s">
        <v>43036</v>
      </c>
      <c r="C10503" s="120" t="s">
        <v>9571</v>
      </c>
      <c r="D10503" s="33" t="s">
        <v>43037</v>
      </c>
      <c r="E10503" s="51" t="s">
        <v>1790</v>
      </c>
      <c r="F10503" s="121" t="s">
        <v>3009</v>
      </c>
      <c r="G10503" s="98" t="str">
        <f>HYPERLINK("http://mirror.ff7data.com.ar/ff7/data/battle/battle.lgp/rxcq.png","View Picture")</f>
        <v>View Picture</v>
      </c>
    </row>
    <row r="10504">
      <c r="A10504" s="40"/>
      <c r="B10504" s="119" t="s">
        <v>43038</v>
      </c>
      <c r="C10504" s="120" t="s">
        <v>11962</v>
      </c>
      <c r="D10504" s="33" t="s">
        <v>43039</v>
      </c>
      <c r="E10504" s="51" t="s">
        <v>1790</v>
      </c>
      <c r="F10504" s="121" t="s">
        <v>3009</v>
      </c>
      <c r="G10504" s="98" t="str">
        <f>HYPERLINK("http://mirror.ff7data.com.ar/ff7/data/battle/battle.lgp/rxcr.png","View Picture")</f>
        <v>View Picture</v>
      </c>
    </row>
    <row r="10505">
      <c r="A10505" s="40"/>
      <c r="B10505" s="119" t="s">
        <v>43040</v>
      </c>
      <c r="C10505" s="120" t="s">
        <v>18406</v>
      </c>
      <c r="D10505" s="33" t="s">
        <v>43041</v>
      </c>
      <c r="E10505" s="51" t="s">
        <v>1790</v>
      </c>
      <c r="F10505" s="121" t="s">
        <v>3009</v>
      </c>
      <c r="G10505" s="98" t="str">
        <f>HYPERLINK("http://mirror.ff7data.com.ar/ff7/data/battle/battle.lgp/rxcs.png","View Picture")</f>
        <v>View Picture</v>
      </c>
    </row>
    <row r="10506">
      <c r="A10506" s="40"/>
      <c r="B10506" s="119" t="s">
        <v>43042</v>
      </c>
      <c r="C10506" s="120" t="s">
        <v>3519</v>
      </c>
      <c r="D10506" s="33" t="s">
        <v>43043</v>
      </c>
      <c r="E10506" s="51" t="s">
        <v>1790</v>
      </c>
      <c r="F10506" s="121" t="s">
        <v>3009</v>
      </c>
      <c r="G10506" s="98" t="str">
        <f>HYPERLINK("http://mirror.ff7data.com.ar/ff7/data/battle/battle.lgp/rxct.png","View Picture")</f>
        <v>View Picture</v>
      </c>
    </row>
    <row r="10507">
      <c r="A10507" s="40"/>
      <c r="B10507" s="119" t="s">
        <v>43044</v>
      </c>
      <c r="C10507" s="120" t="s">
        <v>14815</v>
      </c>
      <c r="D10507" s="33" t="s">
        <v>43045</v>
      </c>
      <c r="E10507" s="51" t="s">
        <v>1790</v>
      </c>
      <c r="F10507" s="121" t="s">
        <v>3009</v>
      </c>
      <c r="G10507" s="98" t="str">
        <f>HYPERLINK("http://mirror.ff7data.com.ar/ff7/data/battle/battle.lgp/rxcu.png","View Picture")</f>
        <v>View Picture</v>
      </c>
    </row>
    <row r="10508">
      <c r="A10508" s="40"/>
      <c r="B10508" s="119" t="s">
        <v>43046</v>
      </c>
      <c r="C10508" s="120" t="s">
        <v>11261</v>
      </c>
      <c r="D10508" s="33" t="s">
        <v>43047</v>
      </c>
      <c r="E10508" s="51" t="s">
        <v>1790</v>
      </c>
      <c r="F10508" s="121" t="s">
        <v>3009</v>
      </c>
      <c r="G10508" s="98" t="str">
        <f>HYPERLINK("http://mirror.ff7data.com.ar/ff7/data/battle/battle.lgp/rxcv.png","View Picture")</f>
        <v>View Picture</v>
      </c>
    </row>
    <row r="10509">
      <c r="A10509" s="40"/>
      <c r="B10509" s="119" t="s">
        <v>43048</v>
      </c>
      <c r="C10509" s="120" t="s">
        <v>3445</v>
      </c>
      <c r="D10509" s="33" t="s">
        <v>43049</v>
      </c>
      <c r="E10509" s="51" t="s">
        <v>1790</v>
      </c>
      <c r="F10509" s="121" t="s">
        <v>3009</v>
      </c>
      <c r="G10509" s="98" t="str">
        <f>HYPERLINK("http://mirror.ff7data.com.ar/ff7/data/battle/battle.lgp/rxcw.png","View Picture")</f>
        <v>View Picture</v>
      </c>
    </row>
    <row r="10510">
      <c r="A10510" s="40"/>
      <c r="B10510" s="119" t="s">
        <v>43050</v>
      </c>
      <c r="C10510" s="120" t="s">
        <v>24176</v>
      </c>
      <c r="D10510" s="33" t="s">
        <v>43051</v>
      </c>
      <c r="E10510" s="51" t="s">
        <v>1790</v>
      </c>
      <c r="F10510" s="121" t="s">
        <v>3009</v>
      </c>
      <c r="G10510" s="98" t="str">
        <f>HYPERLINK("http://mirror.ff7data.com.ar/ff7/data/battle/battle.lgp/rxcx.png","View Picture")</f>
        <v>View Picture</v>
      </c>
    </row>
    <row r="10511">
      <c r="A10511" s="40"/>
      <c r="B10511" s="119" t="s">
        <v>43052</v>
      </c>
      <c r="C10511" s="120" t="s">
        <v>5925</v>
      </c>
      <c r="D10511" s="33" t="s">
        <v>43025</v>
      </c>
      <c r="E10511" s="51" t="s">
        <v>1790</v>
      </c>
      <c r="F10511" s="121" t="s">
        <v>3009</v>
      </c>
      <c r="G10511" s="98" t="str">
        <f>HYPERLINK("http://mirror.ff7data.com.ar/ff7/data/battle/battle.lgp/rxcy.png","View Picture")</f>
        <v>View Picture</v>
      </c>
      <c r="H10511" s="123" t="s">
        <v>42867</v>
      </c>
    </row>
    <row r="10512">
      <c r="A10512" s="40"/>
      <c r="B10512" s="119" t="s">
        <v>43053</v>
      </c>
      <c r="C10512" s="120" t="s">
        <v>5925</v>
      </c>
      <c r="D10512" s="33" t="s">
        <v>43025</v>
      </c>
      <c r="E10512" s="51" t="s">
        <v>1790</v>
      </c>
      <c r="F10512" s="121" t="s">
        <v>3009</v>
      </c>
      <c r="G10512" s="98" t="str">
        <f>HYPERLINK("http://mirror.ff7data.com.ar/ff7/data/battle/battle.lgp/rxcz.png","View Picture")</f>
        <v>View Picture</v>
      </c>
      <c r="H10512" s="123" t="s">
        <v>42867</v>
      </c>
    </row>
    <row r="10513">
      <c r="A10513" s="55"/>
      <c r="B10513" s="119" t="s">
        <v>43054</v>
      </c>
      <c r="C10513" s="120" t="s">
        <v>4012</v>
      </c>
      <c r="D10513" s="33" t="s">
        <v>42983</v>
      </c>
      <c r="E10513" s="51" t="s">
        <v>1790</v>
      </c>
      <c r="F10513" s="121" t="s">
        <v>3025</v>
      </c>
    </row>
    <row r="10514">
      <c r="A10514" s="82"/>
      <c r="B10514" s="119" t="s">
        <v>43055</v>
      </c>
      <c r="C10514" s="120" t="s">
        <v>5993</v>
      </c>
      <c r="D10514" s="33" t="s">
        <v>43056</v>
      </c>
      <c r="E10514" s="51" t="s">
        <v>1753</v>
      </c>
      <c r="F10514" s="121" t="s">
        <v>2971</v>
      </c>
      <c r="G10514" s="98" t="str">
        <f>HYPERLINK("http://mirror.ff7data.com.ar/ff7/data/battle/battle.lgp/ryaa.png","View Picture")</f>
        <v>View Picture</v>
      </c>
    </row>
    <row r="10515">
      <c r="A10515" s="55"/>
      <c r="B10515" s="119" t="s">
        <v>43057</v>
      </c>
      <c r="C10515" s="120" t="s">
        <v>4565</v>
      </c>
      <c r="D10515" s="33" t="s">
        <v>43058</v>
      </c>
      <c r="E10515" s="51" t="s">
        <v>1753</v>
      </c>
      <c r="F10515" s="121" t="s">
        <v>2993</v>
      </c>
    </row>
    <row r="10516">
      <c r="A10516" s="40"/>
      <c r="B10516" s="119" t="s">
        <v>43059</v>
      </c>
      <c r="C10516" s="120" t="s">
        <v>7081</v>
      </c>
      <c r="D10516" s="33" t="s">
        <v>43060</v>
      </c>
      <c r="E10516" s="51" t="s">
        <v>1753</v>
      </c>
      <c r="F10516" s="121" t="s">
        <v>1348</v>
      </c>
      <c r="G10516" s="98" t="str">
        <f>HYPERLINK("http://mirror.ff7data.com.ar/ff7/data/battle/battle.lgp/ryac.png","View Picture")</f>
        <v>View Picture</v>
      </c>
    </row>
    <row r="10517">
      <c r="A10517" s="40"/>
      <c r="B10517" s="119" t="s">
        <v>43061</v>
      </c>
      <c r="C10517" s="120" t="s">
        <v>5419</v>
      </c>
      <c r="D10517" s="33" t="s">
        <v>43062</v>
      </c>
      <c r="E10517" s="51" t="s">
        <v>1753</v>
      </c>
      <c r="F10517" s="121" t="s">
        <v>3009</v>
      </c>
      <c r="G10517" s="98" t="str">
        <f>HYPERLINK("http://mirror.ff7data.com.ar/ff7/data/battle/battle.lgp/ryan.png","View Picture")</f>
        <v>View Picture</v>
      </c>
    </row>
    <row r="10518">
      <c r="A10518" s="40"/>
      <c r="B10518" s="119" t="s">
        <v>43063</v>
      </c>
      <c r="C10518" s="120" t="s">
        <v>6029</v>
      </c>
      <c r="D10518" s="33" t="s">
        <v>43064</v>
      </c>
      <c r="E10518" s="51" t="s">
        <v>1753</v>
      </c>
      <c r="F10518" s="121" t="s">
        <v>3009</v>
      </c>
      <c r="G10518" s="98" t="str">
        <f>HYPERLINK("http://mirror.ff7data.com.ar/ff7/data/battle/battle.lgp/ryao.png","View Picture")</f>
        <v>View Picture</v>
      </c>
    </row>
    <row r="10519">
      <c r="A10519" s="40"/>
      <c r="B10519" s="119" t="s">
        <v>43065</v>
      </c>
      <c r="C10519" s="120" t="s">
        <v>5419</v>
      </c>
      <c r="D10519" s="33" t="s">
        <v>43066</v>
      </c>
      <c r="E10519" s="51" t="s">
        <v>1753</v>
      </c>
      <c r="F10519" s="121" t="s">
        <v>3009</v>
      </c>
      <c r="G10519" s="98" t="str">
        <f>HYPERLINK("http://mirror.ff7data.com.ar/ff7/data/battle/battle.lgp/ryaq.png","View Picture")</f>
        <v>View Picture</v>
      </c>
    </row>
    <row r="10520">
      <c r="A10520" s="40"/>
      <c r="B10520" s="119" t="s">
        <v>43067</v>
      </c>
      <c r="C10520" s="120" t="s">
        <v>6029</v>
      </c>
      <c r="D10520" s="33" t="s">
        <v>43068</v>
      </c>
      <c r="E10520" s="51" t="s">
        <v>1753</v>
      </c>
      <c r="F10520" s="121" t="s">
        <v>3009</v>
      </c>
      <c r="G10520" s="98" t="str">
        <f>HYPERLINK("http://mirror.ff7data.com.ar/ff7/data/battle/battle.lgp/ryar.png","View Picture")</f>
        <v>View Picture</v>
      </c>
    </row>
    <row r="10521">
      <c r="A10521" s="40"/>
      <c r="B10521" s="119" t="s">
        <v>43069</v>
      </c>
      <c r="C10521" s="120" t="s">
        <v>4841</v>
      </c>
      <c r="D10521" s="33" t="s">
        <v>43070</v>
      </c>
      <c r="E10521" s="51" t="s">
        <v>1753</v>
      </c>
      <c r="F10521" s="121" t="s">
        <v>3009</v>
      </c>
      <c r="G10521" s="98" t="str">
        <f>HYPERLINK("http://mirror.ff7data.com.ar/ff7/data/battle/battle.lgp/ryas.png","View Picture")</f>
        <v>View Picture</v>
      </c>
    </row>
    <row r="10522">
      <c r="A10522" s="40"/>
      <c r="B10522" s="119" t="s">
        <v>43071</v>
      </c>
      <c r="C10522" s="120" t="s">
        <v>6029</v>
      </c>
      <c r="D10522" s="33" t="s">
        <v>43072</v>
      </c>
      <c r="E10522" s="51" t="s">
        <v>1753</v>
      </c>
      <c r="F10522" s="121" t="s">
        <v>3009</v>
      </c>
      <c r="G10522" s="98" t="str">
        <f>HYPERLINK("http://mirror.ff7data.com.ar/ff7/data/battle/battle.lgp/ryav.png","View Picture")</f>
        <v>View Picture</v>
      </c>
    </row>
    <row r="10523">
      <c r="A10523" s="40"/>
      <c r="B10523" s="119" t="s">
        <v>43073</v>
      </c>
      <c r="C10523" s="120" t="s">
        <v>5419</v>
      </c>
      <c r="D10523" s="33" t="s">
        <v>43074</v>
      </c>
      <c r="E10523" s="51" t="s">
        <v>1753</v>
      </c>
      <c r="F10523" s="121" t="s">
        <v>3009</v>
      </c>
      <c r="G10523" s="98" t="str">
        <f>HYPERLINK("http://mirror.ff7data.com.ar/ff7/data/battle/battle.lgp/ryaw.png","View Picture")</f>
        <v>View Picture</v>
      </c>
    </row>
    <row r="10524">
      <c r="A10524" s="40"/>
      <c r="B10524" s="119" t="s">
        <v>43075</v>
      </c>
      <c r="C10524" s="120" t="s">
        <v>12399</v>
      </c>
      <c r="D10524" s="33" t="s">
        <v>43076</v>
      </c>
      <c r="E10524" s="51" t="s">
        <v>1753</v>
      </c>
      <c r="F10524" s="121" t="s">
        <v>3009</v>
      </c>
      <c r="G10524" s="98" t="str">
        <f>HYPERLINK("http://mirror.ff7data.com.ar/ff7/data/battle/battle.lgp/ryaz.png","View Picture")</f>
        <v>View Picture</v>
      </c>
    </row>
    <row r="10525">
      <c r="A10525" s="40"/>
      <c r="B10525" s="119" t="s">
        <v>43077</v>
      </c>
      <c r="C10525" s="120" t="s">
        <v>36266</v>
      </c>
      <c r="D10525" s="33" t="s">
        <v>43078</v>
      </c>
      <c r="E10525" s="51" t="s">
        <v>1753</v>
      </c>
      <c r="F10525" s="121" t="s">
        <v>3009</v>
      </c>
      <c r="G10525" s="98" t="str">
        <f>HYPERLINK("http://mirror.ff7data.com.ar/ff7/data/battle/battle.lgp/ryba.png","View Picture")</f>
        <v>View Picture</v>
      </c>
    </row>
    <row r="10526">
      <c r="A10526" s="40"/>
      <c r="B10526" s="119" t="s">
        <v>43079</v>
      </c>
      <c r="C10526" s="120" t="s">
        <v>4439</v>
      </c>
      <c r="D10526" s="33" t="s">
        <v>43080</v>
      </c>
      <c r="E10526" s="51" t="s">
        <v>1753</v>
      </c>
      <c r="F10526" s="121" t="s">
        <v>3009</v>
      </c>
      <c r="G10526" s="98" t="str">
        <f>HYPERLINK("http://mirror.ff7data.com.ar/ff7/data/battle/battle.lgp/rybd.png","View Picture")</f>
        <v>View Picture</v>
      </c>
    </row>
    <row r="10527">
      <c r="A10527" s="40"/>
      <c r="B10527" s="119" t="s">
        <v>43081</v>
      </c>
      <c r="C10527" s="120" t="s">
        <v>4439</v>
      </c>
      <c r="D10527" s="33" t="s">
        <v>43082</v>
      </c>
      <c r="E10527" s="51" t="s">
        <v>1753</v>
      </c>
      <c r="F10527" s="121" t="s">
        <v>3009</v>
      </c>
      <c r="G10527" s="98" t="str">
        <f>HYPERLINK("http://mirror.ff7data.com.ar/ff7/data/battle/battle.lgp/rybe.png","View Picture")</f>
        <v>View Picture</v>
      </c>
    </row>
    <row r="10528">
      <c r="A10528" s="40"/>
      <c r="B10528" s="119" t="s">
        <v>43083</v>
      </c>
      <c r="C10528" s="120" t="s">
        <v>6029</v>
      </c>
      <c r="D10528" s="33" t="s">
        <v>43084</v>
      </c>
      <c r="E10528" s="51" t="s">
        <v>1753</v>
      </c>
      <c r="F10528" s="121" t="s">
        <v>3009</v>
      </c>
      <c r="G10528" s="98" t="str">
        <f>HYPERLINK("http://mirror.ff7data.com.ar/ff7/data/battle/battle.lgp/rybf.png","View Picture")</f>
        <v>View Picture</v>
      </c>
    </row>
    <row r="10529">
      <c r="A10529" s="40"/>
      <c r="B10529" s="119" t="s">
        <v>43085</v>
      </c>
      <c r="C10529" s="120" t="s">
        <v>4439</v>
      </c>
      <c r="D10529" s="33" t="s">
        <v>43086</v>
      </c>
      <c r="E10529" s="51" t="s">
        <v>1753</v>
      </c>
      <c r="F10529" s="121" t="s">
        <v>3009</v>
      </c>
      <c r="G10529" s="98" t="str">
        <f>HYPERLINK("http://mirror.ff7data.com.ar/ff7/data/battle/battle.lgp/rybi.png","View Picture")</f>
        <v>View Picture</v>
      </c>
    </row>
    <row r="10530">
      <c r="A10530" s="40"/>
      <c r="B10530" s="119" t="s">
        <v>43087</v>
      </c>
      <c r="C10530" s="120" t="s">
        <v>4439</v>
      </c>
      <c r="D10530" s="33" t="s">
        <v>43088</v>
      </c>
      <c r="E10530" s="51" t="s">
        <v>1753</v>
      </c>
      <c r="F10530" s="121" t="s">
        <v>3009</v>
      </c>
      <c r="G10530" s="98" t="str">
        <f>HYPERLINK("http://mirror.ff7data.com.ar/ff7/data/battle/battle.lgp/rybj.png","View Picture")</f>
        <v>View Picture</v>
      </c>
    </row>
    <row r="10531">
      <c r="A10531" s="40"/>
      <c r="B10531" s="119" t="s">
        <v>43089</v>
      </c>
      <c r="C10531" s="120" t="s">
        <v>6029</v>
      </c>
      <c r="D10531" s="33" t="s">
        <v>43090</v>
      </c>
      <c r="E10531" s="51" t="s">
        <v>1753</v>
      </c>
      <c r="F10531" s="121" t="s">
        <v>3009</v>
      </c>
      <c r="G10531" s="98" t="str">
        <f>HYPERLINK("http://mirror.ff7data.com.ar/ff7/data/battle/battle.lgp/rybk.png","View Picture")</f>
        <v>View Picture</v>
      </c>
    </row>
    <row r="10532">
      <c r="A10532" s="40"/>
      <c r="B10532" s="119" t="s">
        <v>43091</v>
      </c>
      <c r="C10532" s="120" t="s">
        <v>10217</v>
      </c>
      <c r="D10532" s="33" t="s">
        <v>43092</v>
      </c>
      <c r="E10532" s="51" t="s">
        <v>1753</v>
      </c>
      <c r="F10532" s="121" t="s">
        <v>3009</v>
      </c>
      <c r="G10532" s="98" t="str">
        <f>HYPERLINK("http://mirror.ff7data.com.ar/ff7/data/battle/battle.lgp/rybm.png","View Picture")</f>
        <v>View Picture</v>
      </c>
    </row>
    <row r="10533">
      <c r="A10533" s="40"/>
      <c r="B10533" s="119" t="s">
        <v>43093</v>
      </c>
      <c r="C10533" s="120" t="s">
        <v>4372</v>
      </c>
      <c r="D10533" s="33" t="s">
        <v>43094</v>
      </c>
      <c r="E10533" s="51" t="s">
        <v>1753</v>
      </c>
      <c r="F10533" s="121" t="s">
        <v>3009</v>
      </c>
      <c r="G10533" s="98" t="str">
        <f>HYPERLINK("http://mirror.ff7data.com.ar/ff7/data/battle/battle.lgp/rybo.png","View Picture")</f>
        <v>View Picture</v>
      </c>
    </row>
    <row r="10534">
      <c r="A10534" s="40"/>
      <c r="B10534" s="119" t="s">
        <v>43095</v>
      </c>
      <c r="C10534" s="120" t="s">
        <v>4264</v>
      </c>
      <c r="D10534" s="33" t="s">
        <v>43096</v>
      </c>
      <c r="E10534" s="51" t="s">
        <v>1753</v>
      </c>
      <c r="F10534" s="121" t="s">
        <v>3009</v>
      </c>
      <c r="G10534" s="98" t="str">
        <f>HYPERLINK("http://mirror.ff7data.com.ar/ff7/data/battle/battle.lgp/rybp.png","View Picture")</f>
        <v>View Picture</v>
      </c>
    </row>
    <row r="10535">
      <c r="A10535" s="40"/>
      <c r="B10535" s="119" t="s">
        <v>43097</v>
      </c>
      <c r="C10535" s="120" t="s">
        <v>4372</v>
      </c>
      <c r="D10535" s="33" t="s">
        <v>43098</v>
      </c>
      <c r="E10535" s="51" t="s">
        <v>1753</v>
      </c>
      <c r="F10535" s="121" t="s">
        <v>3009</v>
      </c>
      <c r="G10535" s="98" t="str">
        <f>HYPERLINK("http://mirror.ff7data.com.ar/ff7/data/battle/battle.lgp/rybq.png","View Picture")</f>
        <v>View Picture</v>
      </c>
    </row>
    <row r="10536">
      <c r="A10536" s="40"/>
      <c r="B10536" s="119" t="s">
        <v>43099</v>
      </c>
      <c r="C10536" s="120" t="s">
        <v>4696</v>
      </c>
      <c r="D10536" s="33" t="s">
        <v>43100</v>
      </c>
      <c r="E10536" s="51" t="s">
        <v>1753</v>
      </c>
      <c r="F10536" s="121" t="s">
        <v>3009</v>
      </c>
      <c r="G10536" s="98" t="str">
        <f>HYPERLINK("http://mirror.ff7data.com.ar/ff7/data/battle/battle.lgp/rybs.png","View Picture")</f>
        <v>View Picture</v>
      </c>
    </row>
    <row r="10537">
      <c r="A10537" s="40"/>
      <c r="B10537" s="119" t="s">
        <v>43101</v>
      </c>
      <c r="C10537" s="120" t="s">
        <v>4696</v>
      </c>
      <c r="D10537" s="33" t="s">
        <v>43102</v>
      </c>
      <c r="E10537" s="51" t="s">
        <v>1753</v>
      </c>
      <c r="F10537" s="121" t="s">
        <v>3009</v>
      </c>
      <c r="G10537" s="98" t="str">
        <f>HYPERLINK("http://mirror.ff7data.com.ar/ff7/data/battle/battle.lgp/rybt.png","View Picture")</f>
        <v>View Picture</v>
      </c>
    </row>
    <row r="10538">
      <c r="A10538" s="40"/>
      <c r="B10538" s="119" t="s">
        <v>43103</v>
      </c>
      <c r="C10538" s="120" t="s">
        <v>4707</v>
      </c>
      <c r="D10538" s="33" t="s">
        <v>43104</v>
      </c>
      <c r="E10538" s="51" t="s">
        <v>1753</v>
      </c>
      <c r="F10538" s="121" t="s">
        <v>3009</v>
      </c>
      <c r="G10538" s="98" t="str">
        <f>HYPERLINK("http://mirror.ff7data.com.ar/ff7/data/battle/battle.lgp/rybu.png","View Picture")</f>
        <v>View Picture</v>
      </c>
    </row>
    <row r="10539">
      <c r="A10539" s="40"/>
      <c r="B10539" s="119" t="s">
        <v>43105</v>
      </c>
      <c r="C10539" s="120" t="s">
        <v>4372</v>
      </c>
      <c r="D10539" s="33" t="s">
        <v>43106</v>
      </c>
      <c r="E10539" s="51" t="s">
        <v>1753</v>
      </c>
      <c r="F10539" s="121" t="s">
        <v>3009</v>
      </c>
      <c r="G10539" s="98" t="str">
        <f>HYPERLINK("http://mirror.ff7data.com.ar/ff7/data/battle/battle.lgp/rybw.png","View Picture")</f>
        <v>View Picture</v>
      </c>
    </row>
    <row r="10540">
      <c r="A10540" s="40"/>
      <c r="B10540" s="119" t="s">
        <v>43107</v>
      </c>
      <c r="C10540" s="120" t="s">
        <v>4264</v>
      </c>
      <c r="D10540" s="33" t="s">
        <v>43108</v>
      </c>
      <c r="E10540" s="51" t="s">
        <v>1753</v>
      </c>
      <c r="F10540" s="121" t="s">
        <v>3009</v>
      </c>
      <c r="G10540" s="98" t="str">
        <f>HYPERLINK("http://mirror.ff7data.com.ar/ff7/data/battle/battle.lgp/rybx.png","View Picture")</f>
        <v>View Picture</v>
      </c>
    </row>
    <row r="10541">
      <c r="A10541" s="40"/>
      <c r="B10541" s="119" t="s">
        <v>43109</v>
      </c>
      <c r="C10541" s="120" t="s">
        <v>6029</v>
      </c>
      <c r="D10541" s="33" t="s">
        <v>43110</v>
      </c>
      <c r="E10541" s="51" t="s">
        <v>1753</v>
      </c>
      <c r="F10541" s="121" t="s">
        <v>3009</v>
      </c>
      <c r="G10541" s="98" t="str">
        <f>HYPERLINK("http://mirror.ff7data.com.ar/ff7/data/battle/battle.lgp/ryby.png","View Picture")</f>
        <v>View Picture</v>
      </c>
    </row>
    <row r="10542">
      <c r="A10542" s="40"/>
      <c r="B10542" s="119" t="s">
        <v>43111</v>
      </c>
      <c r="C10542" s="120" t="s">
        <v>5967</v>
      </c>
      <c r="D10542" s="33" t="s">
        <v>43112</v>
      </c>
      <c r="E10542" s="51" t="s">
        <v>1753</v>
      </c>
      <c r="F10542" s="121" t="s">
        <v>3009</v>
      </c>
      <c r="G10542" s="98" t="str">
        <f>HYPERLINK("http://mirror.ff7data.com.ar/ff7/data/battle/battle.lgp/rybz.png","View Picture")</f>
        <v>View Picture</v>
      </c>
    </row>
    <row r="10543">
      <c r="A10543" s="40"/>
      <c r="B10543" s="119" t="s">
        <v>43113</v>
      </c>
      <c r="C10543" s="120" t="s">
        <v>7270</v>
      </c>
      <c r="D10543" s="33" t="s">
        <v>43114</v>
      </c>
      <c r="E10543" s="51" t="s">
        <v>1753</v>
      </c>
      <c r="F10543" s="121" t="s">
        <v>3009</v>
      </c>
      <c r="G10543" s="98" t="str">
        <f>HYPERLINK("http://mirror.ff7data.com.ar/ff7/data/battle/battle.lgp/rycb.png","View Picture")</f>
        <v>View Picture</v>
      </c>
    </row>
    <row r="10544">
      <c r="A10544" s="40"/>
      <c r="B10544" s="119" t="s">
        <v>43115</v>
      </c>
      <c r="C10544" s="120" t="s">
        <v>6029</v>
      </c>
      <c r="D10544" s="33" t="s">
        <v>43116</v>
      </c>
      <c r="E10544" s="51" t="s">
        <v>1753</v>
      </c>
      <c r="F10544" s="121" t="s">
        <v>3009</v>
      </c>
      <c r="G10544" s="98" t="str">
        <f>HYPERLINK("http://mirror.ff7data.com.ar/ff7/data/battle/battle.lgp/ryce.png","View Picture")</f>
        <v>View Picture</v>
      </c>
    </row>
    <row r="10545">
      <c r="A10545" s="40"/>
      <c r="B10545" s="119" t="s">
        <v>43117</v>
      </c>
      <c r="C10545" s="120" t="s">
        <v>5419</v>
      </c>
      <c r="D10545" s="33" t="s">
        <v>43118</v>
      </c>
      <c r="E10545" s="51" t="s">
        <v>1753</v>
      </c>
      <c r="F10545" s="121" t="s">
        <v>3009</v>
      </c>
      <c r="G10545" s="98" t="str">
        <f>HYPERLINK("http://mirror.ff7data.com.ar/ff7/data/battle/battle.lgp/rycf.png","View Picture")</f>
        <v>View Picture</v>
      </c>
    </row>
    <row r="10546">
      <c r="A10546" s="40"/>
      <c r="B10546" s="119" t="s">
        <v>43119</v>
      </c>
      <c r="C10546" s="120" t="s">
        <v>4185</v>
      </c>
      <c r="D10546" s="33" t="s">
        <v>43120</v>
      </c>
      <c r="E10546" s="51" t="s">
        <v>1753</v>
      </c>
      <c r="F10546" s="121" t="s">
        <v>3009</v>
      </c>
      <c r="G10546" s="98" t="str">
        <f>HYPERLINK("http://mirror.ff7data.com.ar/ff7/data/battle/battle.lgp/ryck.png","View Picture")</f>
        <v>View Picture</v>
      </c>
    </row>
    <row r="10547">
      <c r="A10547" s="40"/>
      <c r="B10547" s="119" t="s">
        <v>43121</v>
      </c>
      <c r="C10547" s="120" t="s">
        <v>4185</v>
      </c>
      <c r="D10547" s="33" t="s">
        <v>43122</v>
      </c>
      <c r="E10547" s="51" t="s">
        <v>1753</v>
      </c>
      <c r="F10547" s="121" t="s">
        <v>3009</v>
      </c>
      <c r="G10547" s="98" t="str">
        <f>HYPERLINK("http://mirror.ff7data.com.ar/ff7/data/battle/battle.lgp/rycl.png","View Picture")</f>
        <v>View Picture</v>
      </c>
    </row>
    <row r="10548">
      <c r="A10548" s="40"/>
      <c r="B10548" s="119" t="s">
        <v>43123</v>
      </c>
      <c r="C10548" s="120" t="s">
        <v>4185</v>
      </c>
      <c r="D10548" s="33" t="s">
        <v>43124</v>
      </c>
      <c r="E10548" s="51" t="s">
        <v>1753</v>
      </c>
      <c r="F10548" s="121" t="s">
        <v>3009</v>
      </c>
      <c r="G10548" s="98" t="str">
        <f>HYPERLINK("http://mirror.ff7data.com.ar/ff7/data/battle/battle.lgp/rycm.png","View Picture")</f>
        <v>View Picture</v>
      </c>
    </row>
    <row r="10549">
      <c r="A10549" s="40"/>
      <c r="B10549" s="119" t="s">
        <v>43125</v>
      </c>
      <c r="C10549" s="120" t="s">
        <v>4185</v>
      </c>
      <c r="D10549" s="33" t="s">
        <v>43126</v>
      </c>
      <c r="E10549" s="51" t="s">
        <v>1753</v>
      </c>
      <c r="F10549" s="121" t="s">
        <v>3009</v>
      </c>
      <c r="G10549" s="98" t="str">
        <f>HYPERLINK("http://mirror.ff7data.com.ar/ff7/data/battle/battle.lgp/rycn.png","View Picture")</f>
        <v>View Picture</v>
      </c>
    </row>
    <row r="10550">
      <c r="A10550" s="40"/>
      <c r="B10550" s="119" t="s">
        <v>43127</v>
      </c>
      <c r="C10550" s="120" t="s">
        <v>4185</v>
      </c>
      <c r="D10550" s="33" t="s">
        <v>43128</v>
      </c>
      <c r="E10550" s="51" t="s">
        <v>1753</v>
      </c>
      <c r="F10550" s="121" t="s">
        <v>3009</v>
      </c>
      <c r="G10550" s="98" t="str">
        <f>HYPERLINK("http://mirror.ff7data.com.ar/ff7/data/battle/battle.lgp/ryco.png","View Picture")</f>
        <v>View Picture</v>
      </c>
    </row>
    <row r="10551">
      <c r="A10551" s="40"/>
      <c r="B10551" s="119" t="s">
        <v>43129</v>
      </c>
      <c r="C10551" s="120" t="s">
        <v>4185</v>
      </c>
      <c r="D10551" s="33" t="s">
        <v>43130</v>
      </c>
      <c r="E10551" s="51" t="s">
        <v>1753</v>
      </c>
      <c r="F10551" s="121" t="s">
        <v>3009</v>
      </c>
      <c r="G10551" s="98" t="str">
        <f>HYPERLINK("http://mirror.ff7data.com.ar/ff7/data/battle/battle.lgp/rycp.png","View Picture")</f>
        <v>View Picture</v>
      </c>
    </row>
    <row r="10552">
      <c r="A10552" s="40"/>
      <c r="B10552" s="119" t="s">
        <v>43131</v>
      </c>
      <c r="C10552" s="120" t="s">
        <v>4185</v>
      </c>
      <c r="D10552" s="33" t="s">
        <v>43132</v>
      </c>
      <c r="E10552" s="51" t="s">
        <v>1753</v>
      </c>
      <c r="F10552" s="121" t="s">
        <v>3009</v>
      </c>
      <c r="G10552" s="98" t="str">
        <f>HYPERLINK("http://mirror.ff7data.com.ar/ff7/data/battle/battle.lgp/rycq.png","View Picture")</f>
        <v>View Picture</v>
      </c>
    </row>
    <row r="10553">
      <c r="A10553" s="40"/>
      <c r="B10553" s="119" t="s">
        <v>43133</v>
      </c>
      <c r="C10553" s="120" t="s">
        <v>6029</v>
      </c>
      <c r="D10553" s="33" t="s">
        <v>43134</v>
      </c>
      <c r="E10553" s="51" t="s">
        <v>1753</v>
      </c>
      <c r="F10553" s="121" t="s">
        <v>3009</v>
      </c>
      <c r="G10553" s="98" t="str">
        <f>HYPERLINK("http://mirror.ff7data.com.ar/ff7/data/battle/battle.lgp/rycr.png","View Picture")</f>
        <v>View Picture</v>
      </c>
    </row>
    <row r="10554">
      <c r="A10554" s="40"/>
      <c r="B10554" s="119" t="s">
        <v>43135</v>
      </c>
      <c r="C10554" s="120" t="s">
        <v>5573</v>
      </c>
      <c r="D10554" s="33" t="s">
        <v>43136</v>
      </c>
      <c r="E10554" s="51" t="s">
        <v>1753</v>
      </c>
      <c r="F10554" s="121" t="s">
        <v>3009</v>
      </c>
      <c r="G10554" s="98" t="str">
        <f>HYPERLINK("http://mirror.ff7data.com.ar/ff7/data/battle/battle.lgp/rycs.png","View Picture")</f>
        <v>View Picture</v>
      </c>
    </row>
    <row r="10555">
      <c r="A10555" s="40"/>
      <c r="B10555" s="119" t="s">
        <v>43137</v>
      </c>
      <c r="C10555" s="120" t="s">
        <v>6029</v>
      </c>
      <c r="D10555" s="33" t="s">
        <v>43138</v>
      </c>
      <c r="E10555" s="51" t="s">
        <v>1753</v>
      </c>
      <c r="F10555" s="121" t="s">
        <v>3009</v>
      </c>
      <c r="G10555" s="98" t="str">
        <f>HYPERLINK("http://mirror.ff7data.com.ar/ff7/data/battle/battle.lgp/ryct.png","View Picture")</f>
        <v>View Picture</v>
      </c>
    </row>
    <row r="10556">
      <c r="A10556" s="40"/>
      <c r="B10556" s="119" t="s">
        <v>43139</v>
      </c>
      <c r="C10556" s="120" t="s">
        <v>4240</v>
      </c>
      <c r="D10556" s="33" t="s">
        <v>43140</v>
      </c>
      <c r="E10556" s="51" t="s">
        <v>1753</v>
      </c>
      <c r="F10556" s="121" t="s">
        <v>3009</v>
      </c>
      <c r="G10556" s="98" t="str">
        <f>HYPERLINK("http://mirror.ff7data.com.ar/ff7/data/battle/battle.lgp/rycu.png","View Picture")</f>
        <v>View Picture</v>
      </c>
    </row>
    <row r="10557">
      <c r="A10557" s="40"/>
      <c r="B10557" s="119" t="s">
        <v>43141</v>
      </c>
      <c r="C10557" s="120" t="s">
        <v>10955</v>
      </c>
      <c r="D10557" s="33" t="s">
        <v>43142</v>
      </c>
      <c r="E10557" s="51" t="s">
        <v>1753</v>
      </c>
      <c r="F10557" s="121" t="s">
        <v>3009</v>
      </c>
      <c r="G10557" s="98" t="str">
        <f>HYPERLINK("http://mirror.ff7data.com.ar/ff7/data/battle/battle.lgp/rycv.png","View Picture")</f>
        <v>View Picture</v>
      </c>
    </row>
    <row r="10558">
      <c r="A10558" s="40"/>
      <c r="B10558" s="119" t="s">
        <v>43143</v>
      </c>
      <c r="C10558" s="120" t="s">
        <v>26433</v>
      </c>
      <c r="D10558" s="33" t="s">
        <v>43144</v>
      </c>
      <c r="E10558" s="51" t="s">
        <v>1753</v>
      </c>
      <c r="F10558" s="121" t="s">
        <v>3009</v>
      </c>
      <c r="G10558" s="98" t="str">
        <f>HYPERLINK("http://mirror.ff7data.com.ar/ff7/data/battle/battle.lgp/rycw.png","View Picture")</f>
        <v>View Picture</v>
      </c>
    </row>
    <row r="10559">
      <c r="A10559" s="40"/>
      <c r="B10559" s="119" t="s">
        <v>43145</v>
      </c>
      <c r="C10559" s="120" t="s">
        <v>4185</v>
      </c>
      <c r="D10559" s="33" t="s">
        <v>43146</v>
      </c>
      <c r="E10559" s="51" t="s">
        <v>1753</v>
      </c>
      <c r="F10559" s="121" t="s">
        <v>3009</v>
      </c>
      <c r="G10559" s="98" t="str">
        <f>HYPERLINK("http://mirror.ff7data.com.ar/ff7/data/battle/battle.lgp/rycx.png","View Picture")</f>
        <v>View Picture</v>
      </c>
    </row>
    <row r="10560">
      <c r="A10560" s="40"/>
      <c r="B10560" s="119" t="s">
        <v>43147</v>
      </c>
      <c r="C10560" s="120" t="s">
        <v>4185</v>
      </c>
      <c r="D10560" s="33" t="s">
        <v>43120</v>
      </c>
      <c r="E10560" s="51" t="s">
        <v>1753</v>
      </c>
      <c r="F10560" s="121" t="s">
        <v>3009</v>
      </c>
      <c r="G10560" s="98" t="str">
        <f>HYPERLINK("http://mirror.ff7data.com.ar/ff7/data/battle/battle.lgp/rycy.png","View Picture")</f>
        <v>View Picture</v>
      </c>
      <c r="H10560" s="46" t="s">
        <v>42867</v>
      </c>
    </row>
    <row r="10561">
      <c r="A10561" s="40"/>
      <c r="B10561" s="119" t="s">
        <v>43148</v>
      </c>
      <c r="C10561" s="120" t="s">
        <v>4185</v>
      </c>
      <c r="D10561" s="33" t="s">
        <v>43120</v>
      </c>
      <c r="E10561" s="51" t="s">
        <v>1753</v>
      </c>
      <c r="F10561" s="121" t="s">
        <v>3009</v>
      </c>
      <c r="G10561" s="98" t="str">
        <f>HYPERLINK("http://mirror.ff7data.com.ar/ff7/data/battle/battle.lgp/rycz.png","View Picture")</f>
        <v>View Picture</v>
      </c>
      <c r="H10561" s="46" t="s">
        <v>42867</v>
      </c>
    </row>
    <row r="10562">
      <c r="A10562" s="55"/>
      <c r="B10562" s="119" t="s">
        <v>43149</v>
      </c>
      <c r="C10562" s="120" t="s">
        <v>4012</v>
      </c>
      <c r="D10562" s="33" t="s">
        <v>43058</v>
      </c>
      <c r="E10562" s="51" t="s">
        <v>1753</v>
      </c>
      <c r="F10562" s="121" t="s">
        <v>3025</v>
      </c>
    </row>
    <row r="10563">
      <c r="A10563" s="82"/>
      <c r="B10563" s="119" t="s">
        <v>43150</v>
      </c>
      <c r="C10563" s="120" t="s">
        <v>6802</v>
      </c>
      <c r="D10563" s="33" t="s">
        <v>43151</v>
      </c>
      <c r="E10563" s="51" t="s">
        <v>1408</v>
      </c>
      <c r="F10563" s="121" t="s">
        <v>2971</v>
      </c>
      <c r="G10563" s="98" t="str">
        <f>HYPERLINK("http://mirror.ff7data.com.ar/ff7/data/battle/battle.lgp/rzaa.png","View Picture")</f>
        <v>View Picture</v>
      </c>
    </row>
    <row r="10564">
      <c r="A10564" s="55"/>
      <c r="B10564" s="119" t="s">
        <v>43152</v>
      </c>
      <c r="C10564" s="120" t="s">
        <v>4288</v>
      </c>
      <c r="D10564" s="33" t="s">
        <v>43153</v>
      </c>
      <c r="E10564" s="51" t="s">
        <v>1408</v>
      </c>
      <c r="F10564" s="121" t="s">
        <v>2993</v>
      </c>
    </row>
    <row r="10565">
      <c r="A10565" s="40"/>
      <c r="B10565" s="119" t="s">
        <v>43154</v>
      </c>
      <c r="C10565" s="120" t="s">
        <v>3671</v>
      </c>
      <c r="D10565" s="33" t="s">
        <v>7764</v>
      </c>
      <c r="E10565" s="51" t="s">
        <v>1408</v>
      </c>
      <c r="F10565" s="121" t="s">
        <v>1348</v>
      </c>
      <c r="G10565" s="98" t="str">
        <f>HYPERLINK("http://mirror.ff7data.com.ar/ff7/data/battle/battle.lgp/rzac.png","View Picture")</f>
        <v>View Picture</v>
      </c>
    </row>
    <row r="10566">
      <c r="A10566" s="40"/>
      <c r="B10566" s="119" t="s">
        <v>43155</v>
      </c>
      <c r="C10566" s="120" t="s">
        <v>3671</v>
      </c>
      <c r="D10566" s="33" t="s">
        <v>43156</v>
      </c>
      <c r="E10566" s="51" t="s">
        <v>1408</v>
      </c>
      <c r="F10566" s="121" t="s">
        <v>1348</v>
      </c>
      <c r="G10566" s="98" t="str">
        <f>HYPERLINK("http://mirror.ff7data.com.ar/ff7/data/battle/battle.lgp/rzad.png","View Picture")</f>
        <v>View Picture</v>
      </c>
    </row>
    <row r="10567">
      <c r="A10567" s="40"/>
      <c r="B10567" s="119" t="s">
        <v>43157</v>
      </c>
      <c r="C10567" s="120" t="s">
        <v>3671</v>
      </c>
      <c r="D10567" s="33" t="s">
        <v>7759</v>
      </c>
      <c r="E10567" s="51" t="s">
        <v>1408</v>
      </c>
      <c r="F10567" s="121" t="s">
        <v>1348</v>
      </c>
      <c r="G10567" s="98" t="str">
        <f>HYPERLINK("http://mirror.ff7data.com.ar/ff7/data/battle/battle.lgp/rzae.png","View Picture")</f>
        <v>View Picture</v>
      </c>
    </row>
    <row r="10568">
      <c r="A10568" s="40"/>
      <c r="B10568" s="119" t="s">
        <v>43158</v>
      </c>
      <c r="C10568" s="120" t="s">
        <v>7270</v>
      </c>
      <c r="D10568" s="33" t="s">
        <v>7154</v>
      </c>
      <c r="E10568" s="51" t="s">
        <v>1408</v>
      </c>
      <c r="F10568" s="121" t="s">
        <v>3009</v>
      </c>
      <c r="G10568" s="98" t="str">
        <f>HYPERLINK("http://mirror.ff7data.com.ar/ff7/data/battle/battle.lgp/rzam.png","View Picture")</f>
        <v>View Picture</v>
      </c>
    </row>
    <row r="10569">
      <c r="A10569" s="40"/>
      <c r="B10569" s="119" t="s">
        <v>43159</v>
      </c>
      <c r="C10569" s="120" t="s">
        <v>4156</v>
      </c>
      <c r="D10569" s="33" t="s">
        <v>43160</v>
      </c>
      <c r="E10569" s="51" t="s">
        <v>1408</v>
      </c>
      <c r="F10569" s="121" t="s">
        <v>3009</v>
      </c>
      <c r="G10569" s="98" t="str">
        <f>HYPERLINK("http://mirror.ff7data.com.ar/ff7/data/battle/battle.lgp/rzan.png","View Picture")</f>
        <v>View Picture</v>
      </c>
    </row>
    <row r="10570">
      <c r="A10570" s="40"/>
      <c r="B10570" s="119" t="s">
        <v>43161</v>
      </c>
      <c r="C10570" s="120" t="s">
        <v>6018</v>
      </c>
      <c r="D10570" s="33" t="s">
        <v>7172</v>
      </c>
      <c r="E10570" s="51" t="s">
        <v>1408</v>
      </c>
      <c r="F10570" s="121" t="s">
        <v>3009</v>
      </c>
      <c r="G10570" s="98" t="str">
        <f>HYPERLINK("http://mirror.ff7data.com.ar/ff7/data/battle/battle.lgp/rzao.png","View Picture")</f>
        <v>View Picture</v>
      </c>
    </row>
    <row r="10571">
      <c r="A10571" s="40"/>
      <c r="B10571" s="119" t="s">
        <v>43162</v>
      </c>
      <c r="C10571" s="120" t="s">
        <v>10078</v>
      </c>
      <c r="D10571" s="33" t="s">
        <v>43163</v>
      </c>
      <c r="E10571" s="51" t="s">
        <v>1408</v>
      </c>
      <c r="F10571" s="121" t="s">
        <v>3009</v>
      </c>
      <c r="G10571" s="98" t="str">
        <f>HYPERLINK("http://mirror.ff7data.com.ar/ff7/data/battle/battle.lgp/rzas.png","View Picture")</f>
        <v>View Picture</v>
      </c>
    </row>
    <row r="10572">
      <c r="A10572" s="40"/>
      <c r="B10572" s="119" t="s">
        <v>43164</v>
      </c>
      <c r="C10572" s="120" t="s">
        <v>3768</v>
      </c>
      <c r="D10572" s="33" t="s">
        <v>43165</v>
      </c>
      <c r="E10572" s="51" t="s">
        <v>1408</v>
      </c>
      <c r="F10572" s="121" t="s">
        <v>3009</v>
      </c>
      <c r="G10572" s="98" t="str">
        <f>HYPERLINK("http://mirror.ff7data.com.ar/ff7/data/battle/battle.lgp/rzat.png","View Picture")</f>
        <v>View Picture</v>
      </c>
    </row>
    <row r="10573">
      <c r="A10573" s="40"/>
      <c r="B10573" s="119" t="s">
        <v>43166</v>
      </c>
      <c r="C10573" s="120" t="s">
        <v>7165</v>
      </c>
      <c r="D10573" s="33" t="s">
        <v>43167</v>
      </c>
      <c r="E10573" s="51" t="s">
        <v>1408</v>
      </c>
      <c r="F10573" s="121" t="s">
        <v>3009</v>
      </c>
      <c r="G10573" s="98" t="str">
        <f>HYPERLINK("http://mirror.ff7data.com.ar/ff7/data/battle/battle.lgp/rzau.png","View Picture")</f>
        <v>View Picture</v>
      </c>
    </row>
    <row r="10574">
      <c r="A10574" s="40"/>
      <c r="B10574" s="119" t="s">
        <v>43168</v>
      </c>
      <c r="C10574" s="120" t="s">
        <v>4396</v>
      </c>
      <c r="D10574" s="33" t="s">
        <v>43169</v>
      </c>
      <c r="E10574" s="51" t="s">
        <v>1408</v>
      </c>
      <c r="F10574" s="121" t="s">
        <v>3009</v>
      </c>
      <c r="G10574" s="98" t="str">
        <f>HYPERLINK("http://mirror.ff7data.com.ar/ff7/data/battle/battle.lgp/rzaw.png","View Picture")</f>
        <v>View Picture</v>
      </c>
    </row>
    <row r="10575">
      <c r="A10575" s="40"/>
      <c r="B10575" s="119" t="s">
        <v>43170</v>
      </c>
      <c r="C10575" s="120" t="s">
        <v>4185</v>
      </c>
      <c r="D10575" s="33" t="s">
        <v>43171</v>
      </c>
      <c r="E10575" s="51" t="s">
        <v>1408</v>
      </c>
      <c r="F10575" s="121" t="s">
        <v>3009</v>
      </c>
      <c r="G10575" s="98" t="str">
        <f>HYPERLINK("http://mirror.ff7data.com.ar/ff7/data/battle/battle.lgp/rzax.png","View Picture")</f>
        <v>View Picture</v>
      </c>
    </row>
    <row r="10576">
      <c r="A10576" s="40"/>
      <c r="B10576" s="119" t="s">
        <v>43172</v>
      </c>
      <c r="C10576" s="120" t="s">
        <v>4217</v>
      </c>
      <c r="D10576" s="33" t="s">
        <v>43173</v>
      </c>
      <c r="E10576" s="51" t="s">
        <v>1408</v>
      </c>
      <c r="F10576" s="121" t="s">
        <v>3009</v>
      </c>
      <c r="G10576" s="98" t="str">
        <f>HYPERLINK("http://mirror.ff7data.com.ar/ff7/data/battle/battle.lgp/rzba.png","View Picture")</f>
        <v>View Picture</v>
      </c>
    </row>
    <row r="10577">
      <c r="A10577" s="40"/>
      <c r="B10577" s="119" t="s">
        <v>43174</v>
      </c>
      <c r="C10577" s="120" t="s">
        <v>3768</v>
      </c>
      <c r="D10577" s="33" t="s">
        <v>43175</v>
      </c>
      <c r="E10577" s="51" t="s">
        <v>1408</v>
      </c>
      <c r="F10577" s="121" t="s">
        <v>3009</v>
      </c>
      <c r="G10577" s="98" t="str">
        <f>HYPERLINK("http://mirror.ff7data.com.ar/ff7/data/battle/battle.lgp/rzbb.png","View Picture")</f>
        <v>View Picture</v>
      </c>
    </row>
    <row r="10578">
      <c r="A10578" s="40"/>
      <c r="B10578" s="119" t="s">
        <v>43176</v>
      </c>
      <c r="C10578" s="120" t="s">
        <v>7165</v>
      </c>
      <c r="D10578" s="33" t="s">
        <v>43177</v>
      </c>
      <c r="E10578" s="51" t="s">
        <v>1408</v>
      </c>
      <c r="F10578" s="121" t="s">
        <v>3009</v>
      </c>
      <c r="G10578" s="98" t="str">
        <f>HYPERLINK("http://mirror.ff7data.com.ar/ff7/data/battle/battle.lgp/rzbc.png","View Picture")</f>
        <v>View Picture</v>
      </c>
    </row>
    <row r="10579">
      <c r="A10579" s="40"/>
      <c r="B10579" s="119" t="s">
        <v>43178</v>
      </c>
      <c r="C10579" s="120" t="s">
        <v>4719</v>
      </c>
      <c r="D10579" s="33" t="s">
        <v>43179</v>
      </c>
      <c r="E10579" s="51" t="s">
        <v>1408</v>
      </c>
      <c r="F10579" s="121" t="s">
        <v>3009</v>
      </c>
      <c r="G10579" s="98" t="str">
        <f>HYPERLINK("http://mirror.ff7data.com.ar/ff7/data/battle/battle.lgp/rzbe.png","View Picture")</f>
        <v>View Picture</v>
      </c>
    </row>
    <row r="10580">
      <c r="A10580" s="40"/>
      <c r="B10580" s="119" t="s">
        <v>43180</v>
      </c>
      <c r="C10580" s="120" t="s">
        <v>3658</v>
      </c>
      <c r="D10580" s="33" t="s">
        <v>43181</v>
      </c>
      <c r="E10580" s="51" t="s">
        <v>1408</v>
      </c>
      <c r="F10580" s="121" t="s">
        <v>3009</v>
      </c>
      <c r="G10580" s="98" t="str">
        <f>HYPERLINK("http://mirror.ff7data.com.ar/ff7/data/battle/battle.lgp/rzbf.png","View Picture")</f>
        <v>View Picture</v>
      </c>
    </row>
    <row r="10581">
      <c r="A10581" s="40"/>
      <c r="B10581" s="119" t="s">
        <v>43182</v>
      </c>
      <c r="C10581" s="120" t="s">
        <v>4476</v>
      </c>
      <c r="D10581" s="33" t="s">
        <v>43183</v>
      </c>
      <c r="E10581" s="51" t="s">
        <v>1408</v>
      </c>
      <c r="F10581" s="121" t="s">
        <v>3009</v>
      </c>
      <c r="G10581" s="98" t="str">
        <f>HYPERLINK("http://mirror.ff7data.com.ar/ff7/data/battle/battle.lgp/rzbg.png","View Picture")</f>
        <v>View Picture</v>
      </c>
    </row>
    <row r="10582">
      <c r="A10582" s="40"/>
      <c r="B10582" s="119" t="s">
        <v>43184</v>
      </c>
      <c r="C10582" s="120" t="s">
        <v>4732</v>
      </c>
      <c r="D10582" s="33" t="s">
        <v>43185</v>
      </c>
      <c r="E10582" s="51" t="s">
        <v>1408</v>
      </c>
      <c r="F10582" s="121" t="s">
        <v>3009</v>
      </c>
      <c r="G10582" s="98" t="str">
        <f>HYPERLINK("http://mirror.ff7data.com.ar/ff7/data/battle/battle.lgp/rzbi.png","View Picture")</f>
        <v>View Picture</v>
      </c>
    </row>
    <row r="10583">
      <c r="A10583" s="40"/>
      <c r="B10583" s="119" t="s">
        <v>43186</v>
      </c>
      <c r="C10583" s="120" t="s">
        <v>4719</v>
      </c>
      <c r="D10583" s="33" t="s">
        <v>43187</v>
      </c>
      <c r="E10583" s="51" t="s">
        <v>1408</v>
      </c>
      <c r="F10583" s="121" t="s">
        <v>3009</v>
      </c>
      <c r="G10583" s="98" t="str">
        <f>HYPERLINK("http://mirror.ff7data.com.ar/ff7/data/battle/battle.lgp/rzbk.png","View Picture")</f>
        <v>View Picture</v>
      </c>
    </row>
    <row r="10584">
      <c r="A10584" s="40"/>
      <c r="B10584" s="119" t="s">
        <v>43188</v>
      </c>
      <c r="C10584" s="120" t="s">
        <v>3658</v>
      </c>
      <c r="D10584" s="33" t="s">
        <v>43189</v>
      </c>
      <c r="E10584" s="51" t="s">
        <v>1408</v>
      </c>
      <c r="F10584" s="121" t="s">
        <v>3009</v>
      </c>
      <c r="G10584" s="98" t="str">
        <f>HYPERLINK("http://mirror.ff7data.com.ar/ff7/data/battle/battle.lgp/rzbl.png","View Picture")</f>
        <v>View Picture</v>
      </c>
    </row>
    <row r="10585">
      <c r="A10585" s="40"/>
      <c r="B10585" s="119" t="s">
        <v>43190</v>
      </c>
      <c r="C10585" s="120" t="s">
        <v>6029</v>
      </c>
      <c r="D10585" s="33" t="s">
        <v>43191</v>
      </c>
      <c r="E10585" s="51" t="s">
        <v>1408</v>
      </c>
      <c r="F10585" s="121" t="s">
        <v>3009</v>
      </c>
      <c r="G10585" s="98" t="str">
        <f>HYPERLINK("http://mirror.ff7data.com.ar/ff7/data/battle/battle.lgp/rzbm.png","View Picture")</f>
        <v>View Picture</v>
      </c>
    </row>
    <row r="10586">
      <c r="A10586" s="40"/>
      <c r="B10586" s="119" t="s">
        <v>43192</v>
      </c>
      <c r="C10586" s="120" t="s">
        <v>4732</v>
      </c>
      <c r="D10586" s="33" t="s">
        <v>43193</v>
      </c>
      <c r="E10586" s="51" t="s">
        <v>1408</v>
      </c>
      <c r="F10586" s="121" t="s">
        <v>3009</v>
      </c>
      <c r="G10586" s="98" t="str">
        <f>HYPERLINK("http://mirror.ff7data.com.ar/ff7/data/battle/battle.lgp/rzbo.png","View Picture")</f>
        <v>View Picture</v>
      </c>
    </row>
    <row r="10587">
      <c r="A10587" s="40"/>
      <c r="B10587" s="119" t="s">
        <v>43194</v>
      </c>
      <c r="C10587" s="120" t="s">
        <v>3412</v>
      </c>
      <c r="D10587" s="33" t="s">
        <v>43195</v>
      </c>
      <c r="E10587" s="51" t="s">
        <v>1408</v>
      </c>
      <c r="F10587" s="121" t="s">
        <v>3009</v>
      </c>
      <c r="G10587" s="98" t="str">
        <f>HYPERLINK("http://mirror.ff7data.com.ar/ff7/data/battle/battle.lgp/rzck.png","View Picture")</f>
        <v>View Picture</v>
      </c>
    </row>
    <row r="10588">
      <c r="A10588" s="40"/>
      <c r="B10588" s="119" t="s">
        <v>43196</v>
      </c>
      <c r="C10588" s="120" t="s">
        <v>7129</v>
      </c>
      <c r="D10588" s="33" t="s">
        <v>43197</v>
      </c>
      <c r="E10588" s="51" t="s">
        <v>1408</v>
      </c>
      <c r="F10588" s="121" t="s">
        <v>3009</v>
      </c>
      <c r="G10588" s="98" t="str">
        <f>HYPERLINK("http://mirror.ff7data.com.ar/ff7/data/battle/battle.lgp/rzcl.png","View Picture")</f>
        <v>View Picture</v>
      </c>
    </row>
    <row r="10589">
      <c r="A10589" s="40"/>
      <c r="B10589" s="119" t="s">
        <v>43198</v>
      </c>
      <c r="C10589" s="120" t="s">
        <v>6830</v>
      </c>
      <c r="D10589" s="33" t="s">
        <v>43199</v>
      </c>
      <c r="E10589" s="51" t="s">
        <v>1408</v>
      </c>
      <c r="F10589" s="121" t="s">
        <v>3009</v>
      </c>
      <c r="G10589" s="98" t="str">
        <f>HYPERLINK("http://mirror.ff7data.com.ar/ff7/data/battle/battle.lgp/rzcm.png","View Picture")</f>
        <v>View Picture</v>
      </c>
    </row>
    <row r="10590">
      <c r="A10590" s="40"/>
      <c r="B10590" s="119" t="s">
        <v>43200</v>
      </c>
      <c r="C10590" s="120" t="s">
        <v>5925</v>
      </c>
      <c r="D10590" s="33" t="s">
        <v>43201</v>
      </c>
      <c r="E10590" s="51" t="s">
        <v>1408</v>
      </c>
      <c r="F10590" s="121" t="s">
        <v>3009</v>
      </c>
      <c r="G10590" s="98" t="str">
        <f>HYPERLINK("http://mirror.ff7data.com.ar/ff7/data/battle/battle.lgp/rzcn.png","View Picture")</f>
        <v>View Picture</v>
      </c>
    </row>
    <row r="10591">
      <c r="A10591" s="40"/>
      <c r="B10591" s="119" t="s">
        <v>43202</v>
      </c>
      <c r="C10591" s="120" t="s">
        <v>7501</v>
      </c>
      <c r="D10591" s="33" t="s">
        <v>43203</v>
      </c>
      <c r="E10591" s="51" t="s">
        <v>1408</v>
      </c>
      <c r="F10591" s="121" t="s">
        <v>3009</v>
      </c>
      <c r="G10591" s="98" t="str">
        <f>HYPERLINK("http://mirror.ff7data.com.ar/ff7/data/battle/battle.lgp/rzco.png","View Picture")</f>
        <v>View Picture</v>
      </c>
    </row>
    <row r="10592">
      <c r="A10592" s="40"/>
      <c r="B10592" s="119" t="s">
        <v>43204</v>
      </c>
      <c r="C10592" s="120" t="s">
        <v>10955</v>
      </c>
      <c r="D10592" s="33" t="s">
        <v>43205</v>
      </c>
      <c r="E10592" s="51" t="s">
        <v>1408</v>
      </c>
      <c r="F10592" s="121" t="s">
        <v>3009</v>
      </c>
      <c r="G10592" s="98" t="str">
        <f>HYPERLINK("http://mirror.ff7data.com.ar/ff7/data/battle/battle.lgp/rzcp.png","View Picture")</f>
        <v>View Picture</v>
      </c>
    </row>
    <row r="10593">
      <c r="A10593" s="40"/>
      <c r="B10593" s="119" t="s">
        <v>43206</v>
      </c>
      <c r="C10593" s="120" t="s">
        <v>19628</v>
      </c>
      <c r="D10593" s="33" t="s">
        <v>43207</v>
      </c>
      <c r="E10593" s="51" t="s">
        <v>1408</v>
      </c>
      <c r="F10593" s="121" t="s">
        <v>3009</v>
      </c>
      <c r="G10593" s="98" t="str">
        <f>HYPERLINK("http://mirror.ff7data.com.ar/ff7/data/battle/battle.lgp/rzcq.png","View Picture")</f>
        <v>View Picture</v>
      </c>
    </row>
    <row r="10594">
      <c r="A10594" s="40"/>
      <c r="B10594" s="119" t="s">
        <v>43208</v>
      </c>
      <c r="C10594" s="120" t="s">
        <v>4030</v>
      </c>
      <c r="D10594" s="33" t="s">
        <v>43209</v>
      </c>
      <c r="E10594" s="51" t="s">
        <v>1408</v>
      </c>
      <c r="F10594" s="121" t="s">
        <v>3009</v>
      </c>
      <c r="G10594" s="98" t="str">
        <f>HYPERLINK("http://mirror.ff7data.com.ar/ff7/data/battle/battle.lgp/rzcr.png","View Picture")</f>
        <v>View Picture</v>
      </c>
    </row>
    <row r="10595">
      <c r="A10595" s="40"/>
      <c r="B10595" s="119" t="s">
        <v>43210</v>
      </c>
      <c r="C10595" s="120" t="s">
        <v>5573</v>
      </c>
      <c r="D10595" s="33" t="s">
        <v>43211</v>
      </c>
      <c r="E10595" s="51" t="s">
        <v>1408</v>
      </c>
      <c r="F10595" s="121" t="s">
        <v>3009</v>
      </c>
      <c r="G10595" s="98" t="str">
        <f>HYPERLINK("http://mirror.ff7data.com.ar/ff7/data/battle/battle.lgp/rzcs.png","View Picture")</f>
        <v>View Picture</v>
      </c>
    </row>
    <row r="10596">
      <c r="A10596" s="40"/>
      <c r="B10596" s="119" t="s">
        <v>43212</v>
      </c>
      <c r="C10596" s="120" t="s">
        <v>18406</v>
      </c>
      <c r="D10596" s="33" t="s">
        <v>43213</v>
      </c>
      <c r="E10596" s="51" t="s">
        <v>1408</v>
      </c>
      <c r="F10596" s="121" t="s">
        <v>3009</v>
      </c>
      <c r="G10596" s="98" t="str">
        <f>HYPERLINK("http://mirror.ff7data.com.ar/ff7/data/battle/battle.lgp/rzct.png","View Picture")</f>
        <v>View Picture</v>
      </c>
    </row>
    <row r="10597">
      <c r="A10597" s="40"/>
      <c r="B10597" s="119" t="s">
        <v>43214</v>
      </c>
      <c r="C10597" s="120" t="s">
        <v>3853</v>
      </c>
      <c r="D10597" s="33" t="s">
        <v>43215</v>
      </c>
      <c r="E10597" s="51" t="s">
        <v>1408</v>
      </c>
      <c r="F10597" s="121" t="s">
        <v>3009</v>
      </c>
      <c r="G10597" s="98" t="str">
        <f>HYPERLINK("http://mirror.ff7data.com.ar/ff7/data/battle/battle.lgp/rzcu.png","View Picture")</f>
        <v>View Picture</v>
      </c>
    </row>
    <row r="10598">
      <c r="A10598" s="40"/>
      <c r="B10598" s="119" t="s">
        <v>43216</v>
      </c>
      <c r="C10598" s="120" t="s">
        <v>5573</v>
      </c>
      <c r="D10598" s="33" t="s">
        <v>43217</v>
      </c>
      <c r="E10598" s="51" t="s">
        <v>1408</v>
      </c>
      <c r="F10598" s="121" t="s">
        <v>3009</v>
      </c>
      <c r="G10598" s="98" t="str">
        <f>HYPERLINK("http://mirror.ff7data.com.ar/ff7/data/battle/battle.lgp/rzcv.png","View Picture")</f>
        <v>View Picture</v>
      </c>
    </row>
    <row r="10599">
      <c r="A10599" s="40"/>
      <c r="B10599" s="119" t="s">
        <v>43218</v>
      </c>
      <c r="C10599" s="120" t="s">
        <v>9441</v>
      </c>
      <c r="D10599" s="33" t="s">
        <v>43219</v>
      </c>
      <c r="E10599" s="51" t="s">
        <v>1408</v>
      </c>
      <c r="F10599" s="121" t="s">
        <v>3009</v>
      </c>
      <c r="G10599" s="98" t="str">
        <f>HYPERLINK("http://mirror.ff7data.com.ar/ff7/data/battle/battle.lgp/rzcw.png","View Picture")</f>
        <v>View Picture</v>
      </c>
    </row>
    <row r="10600">
      <c r="A10600" s="40"/>
      <c r="B10600" s="119" t="s">
        <v>43220</v>
      </c>
      <c r="C10600" s="120" t="s">
        <v>10955</v>
      </c>
      <c r="D10600" s="33" t="s">
        <v>43221</v>
      </c>
      <c r="E10600" s="51" t="s">
        <v>1408</v>
      </c>
      <c r="F10600" s="121" t="s">
        <v>3009</v>
      </c>
      <c r="G10600" s="98" t="str">
        <f>HYPERLINK("http://mirror.ff7data.com.ar/ff7/data/battle/battle.lgp/rzcx.png","View Picture")</f>
        <v>View Picture</v>
      </c>
    </row>
    <row r="10601">
      <c r="A10601" s="40"/>
      <c r="B10601" s="119" t="s">
        <v>43222</v>
      </c>
      <c r="C10601" s="120" t="s">
        <v>3412</v>
      </c>
      <c r="D10601" s="33" t="s">
        <v>43195</v>
      </c>
      <c r="E10601" s="51" t="s">
        <v>1408</v>
      </c>
      <c r="F10601" s="121" t="s">
        <v>3009</v>
      </c>
      <c r="G10601" s="98" t="str">
        <f>HYPERLINK("http://mirror.ff7data.com.ar/ff7/data/battle/battle.lgp/rzcy.png","View Picture")</f>
        <v>View Picture</v>
      </c>
      <c r="H10601" s="46" t="s">
        <v>42867</v>
      </c>
    </row>
    <row r="10602">
      <c r="A10602" s="40"/>
      <c r="B10602" s="119" t="s">
        <v>43223</v>
      </c>
      <c r="C10602" s="120" t="s">
        <v>3412</v>
      </c>
      <c r="D10602" s="33" t="s">
        <v>43195</v>
      </c>
      <c r="E10602" s="51" t="s">
        <v>1408</v>
      </c>
      <c r="F10602" s="121" t="s">
        <v>3009</v>
      </c>
      <c r="G10602" s="98" t="str">
        <f>HYPERLINK("http://mirror.ff7data.com.ar/ff7/data/battle/battle.lgp/rzcz.png","View Picture")</f>
        <v>View Picture</v>
      </c>
      <c r="H10602" s="46" t="s">
        <v>42867</v>
      </c>
    </row>
    <row r="10603">
      <c r="A10603" s="55"/>
      <c r="B10603" s="119" t="s">
        <v>43224</v>
      </c>
      <c r="C10603" s="120" t="s">
        <v>3399</v>
      </c>
      <c r="D10603" s="33" t="s">
        <v>43153</v>
      </c>
      <c r="E10603" s="51" t="s">
        <v>1408</v>
      </c>
      <c r="F10603" s="121" t="s">
        <v>3025</v>
      </c>
    </row>
    <row r="10604">
      <c r="A10604" s="82"/>
      <c r="B10604" s="119" t="s">
        <v>43225</v>
      </c>
      <c r="C10604" s="120" t="s">
        <v>3007</v>
      </c>
      <c r="D10604" s="33" t="s">
        <v>39536</v>
      </c>
      <c r="E10604" s="17" t="s">
        <v>1769</v>
      </c>
      <c r="F10604" s="168" t="s">
        <v>2971</v>
      </c>
      <c r="G10604" s="98" t="str">
        <f>HYPERLINK("http://mirror.ff7data.com.ar/ff7/data/battle/battle.lgp/saaa.png","View Picture")</f>
        <v>View Picture</v>
      </c>
    </row>
    <row r="10605">
      <c r="A10605" s="55"/>
      <c r="B10605" s="119" t="s">
        <v>43226</v>
      </c>
      <c r="C10605" s="120" t="s">
        <v>16866</v>
      </c>
      <c r="D10605" s="33" t="s">
        <v>39538</v>
      </c>
      <c r="E10605" s="17" t="s">
        <v>1769</v>
      </c>
      <c r="F10605" s="168" t="s">
        <v>2993</v>
      </c>
    </row>
    <row r="10606">
      <c r="A10606" s="40"/>
      <c r="B10606" s="119" t="s">
        <v>43227</v>
      </c>
      <c r="C10606" s="120" t="s">
        <v>7081</v>
      </c>
      <c r="D10606" s="33" t="s">
        <v>10372</v>
      </c>
      <c r="E10606" s="17" t="s">
        <v>1769</v>
      </c>
      <c r="F10606" s="168" t="s">
        <v>1348</v>
      </c>
      <c r="G10606" s="98" t="str">
        <f>HYPERLINK("http://mirror.ff7data.com.ar/ff7/data/battle/battle.lgp/saac.png","View Picture")</f>
        <v>View Picture</v>
      </c>
    </row>
    <row r="10607">
      <c r="A10607" s="40"/>
      <c r="B10607" s="119" t="s">
        <v>43228</v>
      </c>
      <c r="C10607" s="120" t="s">
        <v>3671</v>
      </c>
      <c r="D10607" s="33" t="s">
        <v>10369</v>
      </c>
      <c r="E10607" s="17" t="s">
        <v>1769</v>
      </c>
      <c r="F10607" s="168" t="s">
        <v>1348</v>
      </c>
      <c r="G10607" s="98" t="str">
        <f>HYPERLINK("http://mirror.ff7data.com.ar/ff7/data/battle/battle.lgp/saad.png","View Picture")</f>
        <v>View Picture</v>
      </c>
    </row>
    <row r="10608">
      <c r="A10608" s="40"/>
      <c r="B10608" s="119" t="s">
        <v>43229</v>
      </c>
      <c r="C10608" s="120" t="s">
        <v>4167</v>
      </c>
      <c r="D10608" s="33" t="s">
        <v>43230</v>
      </c>
      <c r="E10608" s="17" t="s">
        <v>1769</v>
      </c>
      <c r="F10608" s="168" t="s">
        <v>3009</v>
      </c>
      <c r="G10608" s="98" t="str">
        <f>HYPERLINK("http://mirror.ff7data.com.ar/ff7/data/battle/battle.lgp/saam.png","View Picture")</f>
        <v>View Picture</v>
      </c>
    </row>
    <row r="10609">
      <c r="A10609" s="40"/>
      <c r="B10609" s="119" t="s">
        <v>43231</v>
      </c>
      <c r="C10609" s="120" t="s">
        <v>4046</v>
      </c>
      <c r="D10609" s="33" t="s">
        <v>10366</v>
      </c>
      <c r="E10609" s="17" t="s">
        <v>1769</v>
      </c>
      <c r="F10609" s="168" t="s">
        <v>3009</v>
      </c>
      <c r="G10609" s="98" t="str">
        <f>HYPERLINK("http://mirror.ff7data.com.ar/ff7/data/battle/battle.lgp/saan.png","View Picture")</f>
        <v>View Picture</v>
      </c>
    </row>
    <row r="10610">
      <c r="A10610" s="40"/>
      <c r="B10610" s="119" t="s">
        <v>43232</v>
      </c>
      <c r="C10610" s="120" t="s">
        <v>4264</v>
      </c>
      <c r="D10610" s="33" t="s">
        <v>43233</v>
      </c>
      <c r="E10610" s="17" t="s">
        <v>1769</v>
      </c>
      <c r="F10610" s="168" t="s">
        <v>3009</v>
      </c>
      <c r="G10610" s="98" t="str">
        <f>HYPERLINK("http://mirror.ff7data.com.ar/ff7/data/battle/battle.lgp/saap.png","View Picture")</f>
        <v>View Picture</v>
      </c>
    </row>
    <row r="10611">
      <c r="A10611" s="40"/>
      <c r="B10611" s="119" t="s">
        <v>43234</v>
      </c>
      <c r="C10611" s="120" t="s">
        <v>4288</v>
      </c>
      <c r="D10611" s="33" t="s">
        <v>43235</v>
      </c>
      <c r="E10611" s="17" t="s">
        <v>1769</v>
      </c>
      <c r="F10611" s="168" t="s">
        <v>3009</v>
      </c>
      <c r="G10611" s="98" t="str">
        <f>HYPERLINK("http://mirror.ff7data.com.ar/ff7/data/battle/battle.lgp/saaq.png","View Picture")</f>
        <v>View Picture</v>
      </c>
    </row>
    <row r="10612">
      <c r="A10612" s="40"/>
      <c r="B10612" s="119" t="s">
        <v>43236</v>
      </c>
      <c r="C10612" s="120" t="s">
        <v>4288</v>
      </c>
      <c r="D10612" s="33" t="s">
        <v>43237</v>
      </c>
      <c r="E10612" s="17" t="s">
        <v>1769</v>
      </c>
      <c r="F10612" s="168" t="s">
        <v>3009</v>
      </c>
      <c r="G10612" s="98" t="str">
        <f>HYPERLINK("http://mirror.ff7data.com.ar/ff7/data/battle/battle.lgp/saar.png","View Picture")</f>
        <v>View Picture</v>
      </c>
    </row>
    <row r="10613">
      <c r="A10613" s="40"/>
      <c r="B10613" s="119" t="s">
        <v>43238</v>
      </c>
      <c r="C10613" s="120" t="s">
        <v>4288</v>
      </c>
      <c r="D10613" s="33" t="s">
        <v>43239</v>
      </c>
      <c r="E10613" s="17" t="s">
        <v>1769</v>
      </c>
      <c r="F10613" s="168" t="s">
        <v>3009</v>
      </c>
      <c r="G10613" s="98" t="str">
        <f>HYPERLINK("http://mirror.ff7data.com.ar/ff7/data/battle/battle.lgp/saas.png","View Picture")</f>
        <v>View Picture</v>
      </c>
    </row>
    <row r="10614">
      <c r="A10614" s="40"/>
      <c r="B10614" s="119" t="s">
        <v>43240</v>
      </c>
      <c r="C10614" s="120" t="s">
        <v>4696</v>
      </c>
      <c r="D10614" s="33" t="s">
        <v>43241</v>
      </c>
      <c r="E10614" s="17" t="s">
        <v>1769</v>
      </c>
      <c r="F10614" s="168" t="s">
        <v>3009</v>
      </c>
      <c r="G10614" s="98" t="str">
        <f>HYPERLINK("http://mirror.ff7data.com.ar/ff7/data/battle/battle.lgp/saat.png","View Picture")</f>
        <v>View Picture</v>
      </c>
    </row>
    <row r="10615">
      <c r="A10615" s="40"/>
      <c r="B10615" s="119" t="s">
        <v>43242</v>
      </c>
      <c r="C10615" s="120" t="s">
        <v>4288</v>
      </c>
      <c r="D10615" s="33" t="s">
        <v>43243</v>
      </c>
      <c r="E10615" s="17" t="s">
        <v>1769</v>
      </c>
      <c r="F10615" s="168" t="s">
        <v>3009</v>
      </c>
      <c r="G10615" s="98" t="str">
        <f>HYPERLINK("http://mirror.ff7data.com.ar/ff7/data/battle/battle.lgp/saav.png","View Picture")</f>
        <v>View Picture</v>
      </c>
    </row>
    <row r="10616">
      <c r="A10616" s="40"/>
      <c r="B10616" s="119" t="s">
        <v>43244</v>
      </c>
      <c r="C10616" s="120" t="s">
        <v>4288</v>
      </c>
      <c r="D10616" s="33" t="s">
        <v>43245</v>
      </c>
      <c r="E10616" s="17" t="s">
        <v>1769</v>
      </c>
      <c r="F10616" s="168" t="s">
        <v>3009</v>
      </c>
      <c r="G10616" s="98" t="str">
        <f>HYPERLINK("http://mirror.ff7data.com.ar/ff7/data/battle/battle.lgp/saaw.png","View Picture")</f>
        <v>View Picture</v>
      </c>
    </row>
    <row r="10617">
      <c r="A10617" s="40"/>
      <c r="B10617" s="119" t="s">
        <v>43246</v>
      </c>
      <c r="C10617" s="120" t="s">
        <v>4288</v>
      </c>
      <c r="D10617" s="33" t="s">
        <v>43247</v>
      </c>
      <c r="E10617" s="17" t="s">
        <v>1769</v>
      </c>
      <c r="F10617" s="168" t="s">
        <v>3009</v>
      </c>
      <c r="G10617" s="98" t="str">
        <f>HYPERLINK("http://mirror.ff7data.com.ar/ff7/data/battle/battle.lgp/saax.png","View Picture")</f>
        <v>View Picture</v>
      </c>
    </row>
    <row r="10618">
      <c r="A10618" s="40"/>
      <c r="B10618" s="119" t="s">
        <v>43248</v>
      </c>
      <c r="C10618" s="120" t="s">
        <v>4288</v>
      </c>
      <c r="D10618" s="33" t="s">
        <v>43249</v>
      </c>
      <c r="E10618" s="17" t="s">
        <v>1769</v>
      </c>
      <c r="F10618" s="168" t="s">
        <v>3009</v>
      </c>
      <c r="G10618" s="98" t="str">
        <f>HYPERLINK("http://mirror.ff7data.com.ar/ff7/data/battle/battle.lgp/saay.png","View Picture")</f>
        <v>View Picture</v>
      </c>
    </row>
    <row r="10619">
      <c r="A10619" s="40"/>
      <c r="B10619" s="119" t="s">
        <v>43250</v>
      </c>
      <c r="C10619" s="120" t="s">
        <v>4696</v>
      </c>
      <c r="D10619" s="33" t="s">
        <v>43251</v>
      </c>
      <c r="E10619" s="17" t="s">
        <v>1769</v>
      </c>
      <c r="F10619" s="168" t="s">
        <v>3009</v>
      </c>
      <c r="G10619" s="98" t="str">
        <f>HYPERLINK("http://mirror.ff7data.com.ar/ff7/data/battle/battle.lgp/saaz.png","View Picture")</f>
        <v>View Picture</v>
      </c>
    </row>
    <row r="10620">
      <c r="A10620" s="40"/>
      <c r="B10620" s="119" t="s">
        <v>43252</v>
      </c>
      <c r="C10620" s="120" t="s">
        <v>4288</v>
      </c>
      <c r="D10620" s="33" t="s">
        <v>43253</v>
      </c>
      <c r="E10620" s="17" t="s">
        <v>1769</v>
      </c>
      <c r="F10620" s="168" t="s">
        <v>3009</v>
      </c>
      <c r="G10620" s="98" t="str">
        <f>HYPERLINK("http://mirror.ff7data.com.ar/ff7/data/battle/battle.lgp/sabb.png","View Picture")</f>
        <v>View Picture</v>
      </c>
    </row>
    <row r="10621">
      <c r="A10621" s="40"/>
      <c r="B10621" s="119" t="s">
        <v>43254</v>
      </c>
      <c r="C10621" s="120" t="s">
        <v>4288</v>
      </c>
      <c r="D10621" s="33" t="s">
        <v>43255</v>
      </c>
      <c r="E10621" s="17" t="s">
        <v>1769</v>
      </c>
      <c r="F10621" s="168" t="s">
        <v>3009</v>
      </c>
      <c r="G10621" s="98" t="str">
        <f>HYPERLINK("http://mirror.ff7data.com.ar/ff7/data/battle/battle.lgp/sabc.png","View Picture")</f>
        <v>View Picture</v>
      </c>
    </row>
    <row r="10622">
      <c r="A10622" s="40"/>
      <c r="B10622" s="119" t="s">
        <v>43256</v>
      </c>
      <c r="C10622" s="120" t="s">
        <v>4288</v>
      </c>
      <c r="D10622" s="33" t="s">
        <v>43257</v>
      </c>
      <c r="E10622" s="17" t="s">
        <v>1769</v>
      </c>
      <c r="F10622" s="168" t="s">
        <v>3009</v>
      </c>
      <c r="G10622" s="98" t="str">
        <f>HYPERLINK("http://mirror.ff7data.com.ar/ff7/data/battle/battle.lgp/sabd.png","View Picture")</f>
        <v>View Picture</v>
      </c>
    </row>
    <row r="10623">
      <c r="A10623" s="40"/>
      <c r="B10623" s="119" t="s">
        <v>43258</v>
      </c>
      <c r="C10623" s="120" t="s">
        <v>4288</v>
      </c>
      <c r="D10623" s="33" t="s">
        <v>43259</v>
      </c>
      <c r="E10623" s="17" t="s">
        <v>1769</v>
      </c>
      <c r="F10623" s="168" t="s">
        <v>3009</v>
      </c>
      <c r="G10623" s="98" t="str">
        <f>HYPERLINK("http://mirror.ff7data.com.ar/ff7/data/battle/battle.lgp/sabe.png","View Picture")</f>
        <v>View Picture</v>
      </c>
    </row>
    <row r="10624">
      <c r="A10624" s="40"/>
      <c r="B10624" s="119" t="s">
        <v>43260</v>
      </c>
      <c r="C10624" s="120" t="s">
        <v>4696</v>
      </c>
      <c r="D10624" s="33" t="s">
        <v>43261</v>
      </c>
      <c r="E10624" s="17" t="s">
        <v>1769</v>
      </c>
      <c r="F10624" s="168" t="s">
        <v>3009</v>
      </c>
      <c r="G10624" s="98" t="str">
        <f>HYPERLINK("http://mirror.ff7data.com.ar/ff7/data/battle/battle.lgp/sabf.png","View Picture")</f>
        <v>View Picture</v>
      </c>
    </row>
    <row r="10625">
      <c r="A10625" s="40"/>
      <c r="B10625" s="119" t="s">
        <v>43262</v>
      </c>
      <c r="C10625" s="120" t="s">
        <v>3648</v>
      </c>
      <c r="D10625" s="33" t="s">
        <v>43263</v>
      </c>
      <c r="E10625" s="17" t="s">
        <v>1769</v>
      </c>
      <c r="F10625" s="168" t="s">
        <v>3009</v>
      </c>
      <c r="G10625" s="98" t="str">
        <f>HYPERLINK("http://mirror.ff7data.com.ar/ff7/data/battle/battle.lgp/sabg.png","View Picture")</f>
        <v>View Picture</v>
      </c>
    </row>
    <row r="10626">
      <c r="A10626" s="40"/>
      <c r="B10626" s="119" t="s">
        <v>43264</v>
      </c>
      <c r="C10626" s="120" t="s">
        <v>6029</v>
      </c>
      <c r="D10626" s="33" t="s">
        <v>43265</v>
      </c>
      <c r="E10626" s="17" t="s">
        <v>1769</v>
      </c>
      <c r="F10626" s="168" t="s">
        <v>3009</v>
      </c>
      <c r="G10626" s="98" t="str">
        <f>HYPERLINK("http://mirror.ff7data.com.ar/ff7/data/battle/battle.lgp/sabi.png","View Picture")</f>
        <v>View Picture</v>
      </c>
    </row>
    <row r="10627">
      <c r="A10627" s="40"/>
      <c r="B10627" s="119" t="s">
        <v>43266</v>
      </c>
      <c r="C10627" s="120" t="s">
        <v>3481</v>
      </c>
      <c r="D10627" s="33" t="s">
        <v>43267</v>
      </c>
      <c r="E10627" s="17" t="s">
        <v>1769</v>
      </c>
      <c r="F10627" s="168" t="s">
        <v>3009</v>
      </c>
      <c r="G10627" s="98" t="str">
        <f>HYPERLINK("http://mirror.ff7data.com.ar/ff7/data/battle/battle.lgp/sabj.png","View Picture")</f>
        <v>View Picture</v>
      </c>
    </row>
    <row r="10628">
      <c r="A10628" s="40"/>
      <c r="B10628" s="119" t="s">
        <v>43268</v>
      </c>
      <c r="C10628" s="120" t="s">
        <v>4185</v>
      </c>
      <c r="D10628" s="33" t="s">
        <v>43269</v>
      </c>
      <c r="E10628" s="17" t="s">
        <v>1769</v>
      </c>
      <c r="F10628" s="168" t="s">
        <v>3009</v>
      </c>
      <c r="G10628" s="98" t="str">
        <f>HYPERLINK("http://mirror.ff7data.com.ar/ff7/data/battle/battle.lgp/sabk.png","View Picture")</f>
        <v>View Picture</v>
      </c>
    </row>
    <row r="10629">
      <c r="A10629" s="40"/>
      <c r="B10629" s="119" t="s">
        <v>43270</v>
      </c>
      <c r="C10629" s="120" t="s">
        <v>4732</v>
      </c>
      <c r="D10629" s="33" t="s">
        <v>43271</v>
      </c>
      <c r="E10629" s="17" t="s">
        <v>1769</v>
      </c>
      <c r="F10629" s="168" t="s">
        <v>3009</v>
      </c>
      <c r="G10629" s="98" t="str">
        <f>HYPERLINK("http://mirror.ff7data.com.ar/ff7/data/battle/battle.lgp/sabl.png","View Picture")</f>
        <v>View Picture</v>
      </c>
    </row>
    <row r="10630">
      <c r="A10630" s="40"/>
      <c r="B10630" s="119" t="s">
        <v>43272</v>
      </c>
      <c r="C10630" s="120" t="s">
        <v>4057</v>
      </c>
      <c r="D10630" s="33" t="s">
        <v>43273</v>
      </c>
      <c r="E10630" s="17" t="s">
        <v>1769</v>
      </c>
      <c r="F10630" s="168" t="s">
        <v>3009</v>
      </c>
      <c r="G10630" s="98" t="str">
        <f>HYPERLINK("http://mirror.ff7data.com.ar/ff7/data/battle/battle.lgp/sabn.png","View Picture")</f>
        <v>View Picture</v>
      </c>
    </row>
    <row r="10631">
      <c r="A10631" s="40"/>
      <c r="B10631" s="119" t="s">
        <v>43274</v>
      </c>
      <c r="C10631" s="120" t="s">
        <v>5419</v>
      </c>
      <c r="D10631" s="33" t="s">
        <v>43275</v>
      </c>
      <c r="E10631" s="17" t="s">
        <v>1769</v>
      </c>
      <c r="F10631" s="168" t="s">
        <v>3009</v>
      </c>
      <c r="G10631" s="98" t="str">
        <f>HYPERLINK("http://mirror.ff7data.com.ar/ff7/data/battle/battle.lgp/sabp.png","View Picture")</f>
        <v>View Picture</v>
      </c>
    </row>
    <row r="10632">
      <c r="A10632" s="40"/>
      <c r="B10632" s="119" t="s">
        <v>43276</v>
      </c>
      <c r="C10632" s="120" t="s">
        <v>35082</v>
      </c>
      <c r="D10632" s="33" t="s">
        <v>43277</v>
      </c>
      <c r="E10632" s="17" t="s">
        <v>1769</v>
      </c>
      <c r="F10632" s="168" t="s">
        <v>3009</v>
      </c>
      <c r="G10632" s="98" t="str">
        <f>HYPERLINK("http://mirror.ff7data.com.ar/ff7/data/battle/battle.lgp/sabr.png","View Picture")</f>
        <v>View Picture</v>
      </c>
    </row>
    <row r="10633">
      <c r="A10633" s="40"/>
      <c r="B10633" s="119" t="s">
        <v>43278</v>
      </c>
      <c r="C10633" s="120" t="s">
        <v>6029</v>
      </c>
      <c r="D10633" s="33" t="s">
        <v>43279</v>
      </c>
      <c r="E10633" s="17" t="s">
        <v>1769</v>
      </c>
      <c r="F10633" s="168" t="s">
        <v>3009</v>
      </c>
      <c r="G10633" s="98" t="str">
        <f>HYPERLINK("http://mirror.ff7data.com.ar/ff7/data/battle/battle.lgp/sabt.png","View Picture")</f>
        <v>View Picture</v>
      </c>
    </row>
    <row r="10634">
      <c r="A10634" s="40"/>
      <c r="B10634" s="119" t="s">
        <v>43280</v>
      </c>
      <c r="C10634" s="120" t="s">
        <v>3481</v>
      </c>
      <c r="D10634" s="33" t="s">
        <v>43281</v>
      </c>
      <c r="E10634" s="17" t="s">
        <v>1769</v>
      </c>
      <c r="F10634" s="168" t="s">
        <v>3009</v>
      </c>
      <c r="G10634" s="98" t="str">
        <f>HYPERLINK("http://mirror.ff7data.com.ar/ff7/data/battle/battle.lgp/sabu.png","View Picture")</f>
        <v>View Picture</v>
      </c>
    </row>
    <row r="10635">
      <c r="A10635" s="40"/>
      <c r="B10635" s="119" t="s">
        <v>43282</v>
      </c>
      <c r="C10635" s="120" t="s">
        <v>4185</v>
      </c>
      <c r="D10635" s="33" t="s">
        <v>43283</v>
      </c>
      <c r="E10635" s="17" t="s">
        <v>1769</v>
      </c>
      <c r="F10635" s="168" t="s">
        <v>3009</v>
      </c>
      <c r="G10635" s="98" t="str">
        <f>HYPERLINK("http://mirror.ff7data.com.ar/ff7/data/battle/battle.lgp/sabv.png","View Picture")</f>
        <v>View Picture</v>
      </c>
    </row>
    <row r="10636">
      <c r="A10636" s="40"/>
      <c r="B10636" s="119" t="s">
        <v>43284</v>
      </c>
      <c r="C10636" s="120" t="s">
        <v>4732</v>
      </c>
      <c r="D10636" s="33" t="s">
        <v>43285</v>
      </c>
      <c r="E10636" s="17" t="s">
        <v>1769</v>
      </c>
      <c r="F10636" s="168" t="s">
        <v>3009</v>
      </c>
      <c r="G10636" s="98" t="str">
        <f>HYPERLINK("http://mirror.ff7data.com.ar/ff7/data/battle/battle.lgp/sabw.png","View Picture")</f>
        <v>View Picture</v>
      </c>
    </row>
    <row r="10637">
      <c r="A10637" s="40"/>
      <c r="B10637" s="119" t="s">
        <v>43286</v>
      </c>
      <c r="C10637" s="120" t="s">
        <v>8649</v>
      </c>
      <c r="D10637" s="33" t="s">
        <v>43287</v>
      </c>
      <c r="E10637" s="17" t="s">
        <v>1769</v>
      </c>
      <c r="F10637" s="168" t="s">
        <v>3009</v>
      </c>
      <c r="G10637" s="98" t="str">
        <f>HYPERLINK("http://mirror.ff7data.com.ar/ff7/data/battle/battle.lgp/sabz.png","View Picture")</f>
        <v>View Picture</v>
      </c>
    </row>
    <row r="10638">
      <c r="A10638" s="40"/>
      <c r="B10638" s="119" t="s">
        <v>43288</v>
      </c>
      <c r="C10638" s="120" t="s">
        <v>4288</v>
      </c>
      <c r="D10638" s="33" t="s">
        <v>43289</v>
      </c>
      <c r="E10638" s="17" t="s">
        <v>1769</v>
      </c>
      <c r="F10638" s="168" t="s">
        <v>3009</v>
      </c>
      <c r="G10638" s="98" t="str">
        <f>HYPERLINK("http://mirror.ff7data.com.ar/ff7/data/battle/battle.lgp/saca.png","View Picture")</f>
        <v>View Picture</v>
      </c>
    </row>
    <row r="10639">
      <c r="A10639" s="40"/>
      <c r="B10639" s="119" t="s">
        <v>43290</v>
      </c>
      <c r="C10639" s="120" t="s">
        <v>3355</v>
      </c>
      <c r="D10639" s="33" t="s">
        <v>43291</v>
      </c>
      <c r="E10639" s="17" t="s">
        <v>1769</v>
      </c>
      <c r="F10639" s="168" t="s">
        <v>3009</v>
      </c>
      <c r="G10639" s="98" t="str">
        <f>HYPERLINK("http://mirror.ff7data.com.ar/ff7/data/battle/battle.lgp/sacb.png","View Picture")</f>
        <v>View Picture</v>
      </c>
    </row>
    <row r="10640">
      <c r="A10640" s="40"/>
      <c r="B10640" s="119" t="s">
        <v>43292</v>
      </c>
      <c r="C10640" s="120" t="s">
        <v>8649</v>
      </c>
      <c r="D10640" s="33" t="s">
        <v>43293</v>
      </c>
      <c r="E10640" s="17" t="s">
        <v>1769</v>
      </c>
      <c r="F10640" s="168" t="s">
        <v>3009</v>
      </c>
      <c r="G10640" s="98" t="str">
        <f>HYPERLINK("http://mirror.ff7data.com.ar/ff7/data/battle/battle.lgp/sace.png","View Picture")</f>
        <v>View Picture</v>
      </c>
    </row>
    <row r="10641">
      <c r="A10641" s="40"/>
      <c r="B10641" s="119" t="s">
        <v>43294</v>
      </c>
      <c r="C10641" s="120" t="s">
        <v>4288</v>
      </c>
      <c r="D10641" s="33" t="s">
        <v>43295</v>
      </c>
      <c r="E10641" s="17" t="s">
        <v>1769</v>
      </c>
      <c r="F10641" s="168" t="s">
        <v>3009</v>
      </c>
      <c r="G10641" s="98" t="str">
        <f>HYPERLINK("http://mirror.ff7data.com.ar/ff7/data/battle/battle.lgp/sacf.png","View Picture")</f>
        <v>View Picture</v>
      </c>
    </row>
    <row r="10642">
      <c r="A10642" s="40"/>
      <c r="B10642" s="119" t="s">
        <v>43296</v>
      </c>
      <c r="C10642" s="120" t="s">
        <v>7301</v>
      </c>
      <c r="D10642" s="33" t="s">
        <v>43297</v>
      </c>
      <c r="E10642" s="17" t="s">
        <v>1769</v>
      </c>
      <c r="F10642" s="168" t="s">
        <v>3009</v>
      </c>
      <c r="G10642" s="98" t="str">
        <f>HYPERLINK("http://mirror.ff7data.com.ar/ff7/data/battle/battle.lgp/sacg.png","View Picture")</f>
        <v>View Picture</v>
      </c>
    </row>
    <row r="10643">
      <c r="A10643" s="40"/>
      <c r="B10643" s="119" t="s">
        <v>43298</v>
      </c>
      <c r="C10643" s="120" t="s">
        <v>10955</v>
      </c>
      <c r="D10643" s="33" t="s">
        <v>10395</v>
      </c>
      <c r="E10643" s="17" t="s">
        <v>1769</v>
      </c>
      <c r="F10643" s="168" t="s">
        <v>3009</v>
      </c>
      <c r="G10643" s="98" t="str">
        <f>HYPERLINK("http://mirror.ff7data.com.ar/ff7/data/battle/battle.lgp/sack.png","View Picture")</f>
        <v>View Picture</v>
      </c>
    </row>
    <row r="10644">
      <c r="A10644" s="40"/>
      <c r="B10644" s="119" t="s">
        <v>43299</v>
      </c>
      <c r="C10644" s="120" t="s">
        <v>10955</v>
      </c>
      <c r="D10644" s="33" t="s">
        <v>10395</v>
      </c>
      <c r="E10644" s="17" t="s">
        <v>1769</v>
      </c>
      <c r="F10644" s="168" t="s">
        <v>3009</v>
      </c>
      <c r="G10644" s="98" t="str">
        <f>HYPERLINK("http://mirror.ff7data.com.ar/ff7/data/battle/battle.lgp/sacl.png","View Picture")</f>
        <v>View Picture</v>
      </c>
      <c r="H10644" s="46" t="s">
        <v>42867</v>
      </c>
    </row>
    <row r="10645">
      <c r="A10645" s="40"/>
      <c r="B10645" s="119" t="s">
        <v>43300</v>
      </c>
      <c r="C10645" s="120" t="s">
        <v>10955</v>
      </c>
      <c r="D10645" s="33" t="s">
        <v>10395</v>
      </c>
      <c r="E10645" s="17" t="s">
        <v>1769</v>
      </c>
      <c r="F10645" s="168" t="s">
        <v>3009</v>
      </c>
      <c r="G10645" s="98" t="str">
        <f>HYPERLINK("http://mirror.ff7data.com.ar/ff7/data/battle/battle.lgp/sacm.png","View Picture")</f>
        <v>View Picture</v>
      </c>
      <c r="H10645" s="46" t="s">
        <v>42867</v>
      </c>
    </row>
    <row r="10646">
      <c r="A10646" s="40"/>
      <c r="B10646" s="119" t="s">
        <v>43301</v>
      </c>
      <c r="C10646" s="120" t="s">
        <v>10955</v>
      </c>
      <c r="D10646" s="33" t="s">
        <v>10395</v>
      </c>
      <c r="E10646" s="17" t="s">
        <v>1769</v>
      </c>
      <c r="F10646" s="168" t="s">
        <v>3009</v>
      </c>
      <c r="G10646" s="98" t="str">
        <f>HYPERLINK("http://mirror.ff7data.com.ar/ff7/data/battle/battle.lgp/sacn.png","View Picture")</f>
        <v>View Picture</v>
      </c>
      <c r="H10646" s="46" t="s">
        <v>42867</v>
      </c>
    </row>
    <row r="10647">
      <c r="A10647" s="40"/>
      <c r="B10647" s="119" t="s">
        <v>43302</v>
      </c>
      <c r="C10647" s="120" t="s">
        <v>10955</v>
      </c>
      <c r="D10647" s="33" t="s">
        <v>10395</v>
      </c>
      <c r="E10647" s="17" t="s">
        <v>1769</v>
      </c>
      <c r="F10647" s="168" t="s">
        <v>3009</v>
      </c>
      <c r="G10647" s="98" t="str">
        <f>HYPERLINK("http://mirror.ff7data.com.ar/ff7/data/battle/battle.lgp/saco.png","View Picture")</f>
        <v>View Picture</v>
      </c>
      <c r="H10647" s="46" t="s">
        <v>42867</v>
      </c>
    </row>
    <row r="10648">
      <c r="A10648" s="40"/>
      <c r="B10648" s="119" t="s">
        <v>43303</v>
      </c>
      <c r="C10648" s="120" t="s">
        <v>10955</v>
      </c>
      <c r="D10648" s="33" t="s">
        <v>10395</v>
      </c>
      <c r="E10648" s="17" t="s">
        <v>1769</v>
      </c>
      <c r="F10648" s="168" t="s">
        <v>3009</v>
      </c>
      <c r="G10648" s="98" t="str">
        <f>HYPERLINK("http://mirror.ff7data.com.ar/ff7/data/battle/battle.lgp/sacp.png","View Picture")</f>
        <v>View Picture</v>
      </c>
      <c r="H10648" s="46" t="s">
        <v>42867</v>
      </c>
    </row>
    <row r="10649">
      <c r="A10649" s="40"/>
      <c r="B10649" s="119" t="s">
        <v>43304</v>
      </c>
      <c r="C10649" s="120" t="s">
        <v>10955</v>
      </c>
      <c r="D10649" s="33" t="s">
        <v>10395</v>
      </c>
      <c r="E10649" s="17" t="s">
        <v>1769</v>
      </c>
      <c r="F10649" s="168" t="s">
        <v>3009</v>
      </c>
      <c r="G10649" s="98" t="str">
        <f>HYPERLINK("http://mirror.ff7data.com.ar/ff7/data/battle/battle.lgp/sacq.png","View Picture")</f>
        <v>View Picture</v>
      </c>
      <c r="H10649" s="46" t="s">
        <v>42867</v>
      </c>
    </row>
    <row r="10650">
      <c r="A10650" s="40"/>
      <c r="B10650" s="119" t="s">
        <v>43305</v>
      </c>
      <c r="C10650" s="120" t="s">
        <v>10955</v>
      </c>
      <c r="D10650" s="33" t="s">
        <v>10395</v>
      </c>
      <c r="E10650" s="17" t="s">
        <v>1769</v>
      </c>
      <c r="F10650" s="168" t="s">
        <v>3009</v>
      </c>
      <c r="G10650" s="98" t="str">
        <f>HYPERLINK("http://mirror.ff7data.com.ar/ff7/data/battle/battle.lgp/sacr.png","View Picture")</f>
        <v>View Picture</v>
      </c>
      <c r="H10650" s="46" t="s">
        <v>42867</v>
      </c>
    </row>
    <row r="10651">
      <c r="A10651" s="40"/>
      <c r="B10651" s="119" t="s">
        <v>43306</v>
      </c>
      <c r="C10651" s="120" t="s">
        <v>10955</v>
      </c>
      <c r="D10651" s="33" t="s">
        <v>10395</v>
      </c>
      <c r="E10651" s="17" t="s">
        <v>1769</v>
      </c>
      <c r="F10651" s="168" t="s">
        <v>3009</v>
      </c>
      <c r="G10651" s="98" t="str">
        <f>HYPERLINK("http://mirror.ff7data.com.ar/ff7/data/battle/battle.lgp/sacs.png","View Picture")</f>
        <v>View Picture</v>
      </c>
      <c r="H10651" s="46" t="s">
        <v>42867</v>
      </c>
    </row>
    <row r="10652">
      <c r="A10652" s="40"/>
      <c r="B10652" s="119" t="s">
        <v>43307</v>
      </c>
      <c r="C10652" s="120" t="s">
        <v>10955</v>
      </c>
      <c r="D10652" s="33" t="s">
        <v>10395</v>
      </c>
      <c r="E10652" s="17" t="s">
        <v>1769</v>
      </c>
      <c r="F10652" s="168" t="s">
        <v>3009</v>
      </c>
      <c r="G10652" s="98" t="str">
        <f>HYPERLINK("http://mirror.ff7data.com.ar/ff7/data/battle/battle.lgp/sact.png","View Picture")</f>
        <v>View Picture</v>
      </c>
      <c r="H10652" s="46" t="s">
        <v>42867</v>
      </c>
    </row>
    <row r="10653">
      <c r="A10653" s="40"/>
      <c r="B10653" s="119" t="s">
        <v>43308</v>
      </c>
      <c r="C10653" s="120" t="s">
        <v>10955</v>
      </c>
      <c r="D10653" s="33" t="s">
        <v>10395</v>
      </c>
      <c r="E10653" s="17" t="s">
        <v>1769</v>
      </c>
      <c r="F10653" s="168" t="s">
        <v>3009</v>
      </c>
      <c r="G10653" s="98" t="str">
        <f>HYPERLINK("http://mirror.ff7data.com.ar/ff7/data/battle/battle.lgp/sacu.png","View Picture")</f>
        <v>View Picture</v>
      </c>
      <c r="H10653" s="46" t="s">
        <v>42867</v>
      </c>
    </row>
    <row r="10654">
      <c r="A10654" s="40"/>
      <c r="B10654" s="119" t="s">
        <v>43309</v>
      </c>
      <c r="C10654" s="120" t="s">
        <v>10955</v>
      </c>
      <c r="D10654" s="33" t="s">
        <v>10395</v>
      </c>
      <c r="E10654" s="17" t="s">
        <v>1769</v>
      </c>
      <c r="F10654" s="168" t="s">
        <v>3009</v>
      </c>
      <c r="G10654" s="98" t="str">
        <f>HYPERLINK("http://mirror.ff7data.com.ar/ff7/data/battle/battle.lgp/sacv.png","View Picture")</f>
        <v>View Picture</v>
      </c>
      <c r="H10654" s="46" t="s">
        <v>42867</v>
      </c>
    </row>
    <row r="10655">
      <c r="A10655" s="40"/>
      <c r="B10655" s="119" t="s">
        <v>43310</v>
      </c>
      <c r="C10655" s="120" t="s">
        <v>10955</v>
      </c>
      <c r="D10655" s="33" t="s">
        <v>10395</v>
      </c>
      <c r="E10655" s="17" t="s">
        <v>1769</v>
      </c>
      <c r="F10655" s="168" t="s">
        <v>3009</v>
      </c>
      <c r="G10655" s="98" t="str">
        <f>HYPERLINK("http://mirror.ff7data.com.ar/ff7/data/battle/battle.lgp/sacw.png","View Picture")</f>
        <v>View Picture</v>
      </c>
      <c r="H10655" s="46" t="s">
        <v>42867</v>
      </c>
    </row>
    <row r="10656">
      <c r="A10656" s="40"/>
      <c r="B10656" s="119" t="s">
        <v>43311</v>
      </c>
      <c r="C10656" s="120" t="s">
        <v>10955</v>
      </c>
      <c r="D10656" s="33" t="s">
        <v>10395</v>
      </c>
      <c r="E10656" s="17" t="s">
        <v>1769</v>
      </c>
      <c r="F10656" s="168" t="s">
        <v>3009</v>
      </c>
      <c r="G10656" s="98" t="str">
        <f>HYPERLINK("http://mirror.ff7data.com.ar/ff7/data/battle/battle.lgp/sacx.png","View Picture")</f>
        <v>View Picture</v>
      </c>
      <c r="H10656" s="46" t="s">
        <v>42867</v>
      </c>
    </row>
    <row r="10657">
      <c r="A10657" s="40"/>
      <c r="B10657" s="119" t="s">
        <v>43312</v>
      </c>
      <c r="C10657" s="120" t="s">
        <v>10955</v>
      </c>
      <c r="D10657" s="33" t="s">
        <v>10395</v>
      </c>
      <c r="E10657" s="17" t="s">
        <v>1769</v>
      </c>
      <c r="F10657" s="168" t="s">
        <v>3009</v>
      </c>
      <c r="G10657" s="98" t="str">
        <f>HYPERLINK("http://mirror.ff7data.com.ar/ff7/data/battle/battle.lgp/sacy.png","View Picture")</f>
        <v>View Picture</v>
      </c>
      <c r="H10657" s="46" t="s">
        <v>42867</v>
      </c>
    </row>
    <row r="10658">
      <c r="A10658" s="40"/>
      <c r="B10658" s="119" t="s">
        <v>43313</v>
      </c>
      <c r="C10658" s="120" t="s">
        <v>10955</v>
      </c>
      <c r="D10658" s="33" t="s">
        <v>10395</v>
      </c>
      <c r="E10658" s="17" t="s">
        <v>1769</v>
      </c>
      <c r="F10658" s="168" t="s">
        <v>3009</v>
      </c>
      <c r="G10658" s="98" t="str">
        <f>HYPERLINK("http://mirror.ff7data.com.ar/ff7/data/battle/battle.lgp/sacz.png","View Picture")</f>
        <v>View Picture</v>
      </c>
      <c r="H10658" s="46" t="s">
        <v>42867</v>
      </c>
    </row>
    <row r="10659">
      <c r="A10659" s="55"/>
      <c r="B10659" s="119" t="s">
        <v>43314</v>
      </c>
      <c r="C10659" s="120" t="s">
        <v>4191</v>
      </c>
      <c r="D10659" s="33" t="s">
        <v>39538</v>
      </c>
      <c r="E10659" s="17" t="s">
        <v>1769</v>
      </c>
      <c r="F10659" s="168" t="s">
        <v>3025</v>
      </c>
    </row>
    <row r="10660">
      <c r="A10660" s="82"/>
      <c r="B10660" s="119" t="s">
        <v>43315</v>
      </c>
      <c r="C10660" s="120" t="s">
        <v>11751</v>
      </c>
      <c r="D10660" s="33" t="s">
        <v>43316</v>
      </c>
      <c r="E10660" s="17" t="s">
        <v>1399</v>
      </c>
      <c r="F10660" s="168" t="s">
        <v>2971</v>
      </c>
      <c r="G10660" s="98" t="str">
        <f>HYPERLINK("http://mirror.ff7data.com.ar/ff7/data/battle/battle.lgp/sbaa.png","View Picture")</f>
        <v>View Picture</v>
      </c>
    </row>
    <row r="10661">
      <c r="A10661" s="55"/>
      <c r="B10661" s="119" t="s">
        <v>43317</v>
      </c>
      <c r="C10661" s="120" t="s">
        <v>4288</v>
      </c>
      <c r="D10661" s="33" t="s">
        <v>43318</v>
      </c>
      <c r="E10661" s="17" t="s">
        <v>1399</v>
      </c>
      <c r="F10661" s="168" t="s">
        <v>2993</v>
      </c>
    </row>
    <row r="10662">
      <c r="A10662" s="40"/>
      <c r="B10662" s="119" t="s">
        <v>43319</v>
      </c>
      <c r="C10662" s="120" t="s">
        <v>7081</v>
      </c>
      <c r="D10662" s="33" t="s">
        <v>43320</v>
      </c>
      <c r="E10662" s="17" t="s">
        <v>1399</v>
      </c>
      <c r="F10662" s="168" t="s">
        <v>1348</v>
      </c>
      <c r="G10662" s="98" t="str">
        <f>HYPERLINK("http://mirror.ff7data.com.ar/ff7/data/battle/battle.lgp/sbac.png","View Picture")</f>
        <v>View Picture</v>
      </c>
    </row>
    <row r="10663">
      <c r="A10663" s="40"/>
      <c r="B10663" s="119" t="s">
        <v>43321</v>
      </c>
      <c r="C10663" s="120" t="s">
        <v>7081</v>
      </c>
      <c r="D10663" s="33" t="s">
        <v>43322</v>
      </c>
      <c r="E10663" s="17" t="s">
        <v>1399</v>
      </c>
      <c r="F10663" s="168" t="s">
        <v>1348</v>
      </c>
      <c r="G10663" s="98" t="str">
        <f>HYPERLINK("http://mirror.ff7data.com.ar/ff7/data/battle/battle.lgp/sbad.png","View Picture")</f>
        <v>View Picture</v>
      </c>
    </row>
    <row r="10664">
      <c r="A10664" s="40"/>
      <c r="B10664" s="119" t="s">
        <v>43323</v>
      </c>
      <c r="C10664" s="120" t="s">
        <v>3671</v>
      </c>
      <c r="D10664" s="33" t="s">
        <v>43324</v>
      </c>
      <c r="E10664" s="17" t="s">
        <v>1399</v>
      </c>
      <c r="F10664" s="168" t="s">
        <v>1348</v>
      </c>
      <c r="G10664" s="98" t="str">
        <f>HYPERLINK("http://mirror.ff7data.com.ar/ff7/data/battle/battle.lgp/sbae.png","View Picture")</f>
        <v>View Picture</v>
      </c>
    </row>
    <row r="10665">
      <c r="A10665" s="40"/>
      <c r="B10665" s="119" t="s">
        <v>43325</v>
      </c>
      <c r="C10665" s="120" t="s">
        <v>7501</v>
      </c>
      <c r="D10665" s="33" t="s">
        <v>43326</v>
      </c>
      <c r="E10665" s="17" t="s">
        <v>1399</v>
      </c>
      <c r="F10665" s="168" t="s">
        <v>3009</v>
      </c>
      <c r="G10665" s="98" t="str">
        <f>HYPERLINK("http://mirror.ff7data.com.ar/ff7/data/battle/battle.lgp/sbam.png","View Picture")</f>
        <v>View Picture</v>
      </c>
    </row>
    <row r="10666">
      <c r="A10666" s="40"/>
      <c r="B10666" s="119" t="s">
        <v>43327</v>
      </c>
      <c r="C10666" s="120" t="s">
        <v>4167</v>
      </c>
      <c r="D10666" s="33" t="s">
        <v>43328</v>
      </c>
      <c r="E10666" s="17" t="s">
        <v>1399</v>
      </c>
      <c r="F10666" s="168" t="s">
        <v>3009</v>
      </c>
      <c r="G10666" s="98" t="str">
        <f>HYPERLINK("http://mirror.ff7data.com.ar/ff7/data/battle/battle.lgp/sban.png","View Picture")</f>
        <v>View Picture</v>
      </c>
    </row>
    <row r="10667">
      <c r="A10667" s="40"/>
      <c r="B10667" s="119" t="s">
        <v>43329</v>
      </c>
      <c r="C10667" s="120" t="s">
        <v>3318</v>
      </c>
      <c r="D10667" s="33" t="s">
        <v>7898</v>
      </c>
      <c r="E10667" s="17" t="s">
        <v>1399</v>
      </c>
      <c r="F10667" s="168" t="s">
        <v>3009</v>
      </c>
      <c r="G10667" s="98" t="str">
        <f>HYPERLINK("http://mirror.ff7data.com.ar/ff7/data/battle/battle.lgp/sbao.png","View Picture")</f>
        <v>View Picture</v>
      </c>
    </row>
    <row r="10668">
      <c r="A10668" s="40"/>
      <c r="B10668" s="119" t="s">
        <v>43330</v>
      </c>
      <c r="C10668" s="120" t="s">
        <v>3749</v>
      </c>
      <c r="D10668" s="33" t="s">
        <v>43331</v>
      </c>
      <c r="E10668" s="17" t="s">
        <v>1399</v>
      </c>
      <c r="F10668" s="168" t="s">
        <v>3009</v>
      </c>
      <c r="G10668" s="98" t="str">
        <f>HYPERLINK("http://mirror.ff7data.com.ar/ff7/data/battle/battle.lgp/sbar.png","View Picture")</f>
        <v>View Picture</v>
      </c>
    </row>
    <row r="10669">
      <c r="A10669" s="40"/>
      <c r="B10669" s="119" t="s">
        <v>43332</v>
      </c>
      <c r="C10669" s="120" t="s">
        <v>3412</v>
      </c>
      <c r="D10669" s="33" t="s">
        <v>43333</v>
      </c>
      <c r="E10669" s="17" t="s">
        <v>1399</v>
      </c>
      <c r="F10669" s="168" t="s">
        <v>3009</v>
      </c>
      <c r="G10669" s="98" t="str">
        <f>HYPERLINK("http://mirror.ff7data.com.ar/ff7/data/battle/battle.lgp/sbas.png","View Picture")</f>
        <v>View Picture</v>
      </c>
    </row>
    <row r="10670">
      <c r="A10670" s="40"/>
      <c r="B10670" s="119" t="s">
        <v>43334</v>
      </c>
      <c r="C10670" s="120" t="s">
        <v>3648</v>
      </c>
      <c r="D10670" s="33" t="s">
        <v>43335</v>
      </c>
      <c r="E10670" s="17" t="s">
        <v>1399</v>
      </c>
      <c r="F10670" s="168" t="s">
        <v>3009</v>
      </c>
      <c r="G10670" s="98" t="str">
        <f>HYPERLINK("http://mirror.ff7data.com.ar/ff7/data/battle/battle.lgp/sbat.png","View Picture")</f>
        <v>View Picture</v>
      </c>
    </row>
    <row r="10671">
      <c r="A10671" s="40"/>
      <c r="B10671" s="119" t="s">
        <v>43336</v>
      </c>
      <c r="C10671" s="120" t="s">
        <v>4357</v>
      </c>
      <c r="D10671" s="33" t="s">
        <v>43337</v>
      </c>
      <c r="E10671" s="17" t="s">
        <v>1399</v>
      </c>
      <c r="F10671" s="168" t="s">
        <v>3009</v>
      </c>
      <c r="G10671" s="98" t="str">
        <f>HYPERLINK("http://mirror.ff7data.com.ar/ff7/data/battle/battle.lgp/sbaw.png","View Picture")</f>
        <v>View Picture</v>
      </c>
    </row>
    <row r="10672">
      <c r="A10672" s="40"/>
      <c r="B10672" s="119" t="s">
        <v>43338</v>
      </c>
      <c r="C10672" s="120" t="s">
        <v>10078</v>
      </c>
      <c r="D10672" s="33" t="s">
        <v>43339</v>
      </c>
      <c r="E10672" s="17" t="s">
        <v>1399</v>
      </c>
      <c r="F10672" s="168" t="s">
        <v>3009</v>
      </c>
      <c r="G10672" s="98" t="str">
        <f>HYPERLINK("http://mirror.ff7data.com.ar/ff7/data/battle/battle.lgp/sbax.png","View Picture")</f>
        <v>View Picture</v>
      </c>
    </row>
    <row r="10673">
      <c r="A10673" s="40"/>
      <c r="B10673" s="119" t="s">
        <v>43340</v>
      </c>
      <c r="C10673" s="120" t="s">
        <v>4057</v>
      </c>
      <c r="D10673" s="33" t="s">
        <v>43341</v>
      </c>
      <c r="E10673" s="17" t="s">
        <v>1399</v>
      </c>
      <c r="F10673" s="168" t="s">
        <v>3009</v>
      </c>
      <c r="G10673" s="98" t="str">
        <f>HYPERLINK("http://mirror.ff7data.com.ar/ff7/data/battle/battle.lgp/sbaz.png","View Picture")</f>
        <v>View Picture</v>
      </c>
    </row>
    <row r="10674">
      <c r="A10674" s="40"/>
      <c r="B10674" s="119" t="s">
        <v>43342</v>
      </c>
      <c r="C10674" s="120" t="s">
        <v>3648</v>
      </c>
      <c r="D10674" s="33" t="s">
        <v>43343</v>
      </c>
      <c r="E10674" s="17" t="s">
        <v>1399</v>
      </c>
      <c r="F10674" s="168" t="s">
        <v>3009</v>
      </c>
      <c r="G10674" s="98" t="str">
        <f>HYPERLINK("http://mirror.ff7data.com.ar/ff7/data/battle/battle.lgp/sbba.png","View Picture")</f>
        <v>View Picture</v>
      </c>
    </row>
    <row r="10675">
      <c r="A10675" s="40"/>
      <c r="B10675" s="119" t="s">
        <v>43344</v>
      </c>
      <c r="C10675" s="120" t="s">
        <v>7165</v>
      </c>
      <c r="D10675" s="33" t="s">
        <v>43345</v>
      </c>
      <c r="E10675" s="17" t="s">
        <v>1399</v>
      </c>
      <c r="F10675" s="168" t="s">
        <v>3009</v>
      </c>
      <c r="G10675" s="98" t="str">
        <f>HYPERLINK("http://mirror.ff7data.com.ar/ff7/data/battle/battle.lgp/sbbb.png","View Picture")</f>
        <v>View Picture</v>
      </c>
    </row>
    <row r="10676">
      <c r="A10676" s="40"/>
      <c r="B10676" s="119" t="s">
        <v>43346</v>
      </c>
      <c r="C10676" s="120" t="s">
        <v>4057</v>
      </c>
      <c r="D10676" s="33" t="s">
        <v>43347</v>
      </c>
      <c r="E10676" s="17" t="s">
        <v>1399</v>
      </c>
      <c r="F10676" s="168" t="s">
        <v>3009</v>
      </c>
      <c r="G10676" s="98" t="str">
        <f>HYPERLINK("http://mirror.ff7data.com.ar/ff7/data/battle/battle.lgp/sbbc.png","View Picture")</f>
        <v>View Picture</v>
      </c>
    </row>
    <row r="10677">
      <c r="A10677" s="40"/>
      <c r="B10677" s="119" t="s">
        <v>43348</v>
      </c>
      <c r="C10677" s="120" t="s">
        <v>4057</v>
      </c>
      <c r="D10677" s="33" t="s">
        <v>43349</v>
      </c>
      <c r="E10677" s="17" t="s">
        <v>1399</v>
      </c>
      <c r="F10677" s="168" t="s">
        <v>3009</v>
      </c>
      <c r="G10677" s="98" t="str">
        <f>HYPERLINK("http://mirror.ff7data.com.ar/ff7/data/battle/battle.lgp/sbbe.png","View Picture")</f>
        <v>View Picture</v>
      </c>
    </row>
    <row r="10678">
      <c r="A10678" s="40"/>
      <c r="B10678" s="119" t="s">
        <v>43350</v>
      </c>
      <c r="C10678" s="120" t="s">
        <v>3648</v>
      </c>
      <c r="D10678" s="33" t="s">
        <v>43351</v>
      </c>
      <c r="E10678" s="17" t="s">
        <v>1399</v>
      </c>
      <c r="F10678" s="168" t="s">
        <v>3009</v>
      </c>
      <c r="G10678" s="98" t="str">
        <f>HYPERLINK("http://mirror.ff7data.com.ar/ff7/data/battle/battle.lgp/sbbf.png","View Picture")</f>
        <v>View Picture</v>
      </c>
    </row>
    <row r="10679">
      <c r="A10679" s="40"/>
      <c r="B10679" s="119" t="s">
        <v>43352</v>
      </c>
      <c r="C10679" s="120" t="s">
        <v>3658</v>
      </c>
      <c r="D10679" s="33" t="s">
        <v>43353</v>
      </c>
      <c r="E10679" s="17" t="s">
        <v>1399</v>
      </c>
      <c r="F10679" s="168" t="s">
        <v>3009</v>
      </c>
      <c r="G10679" s="98" t="str">
        <f>HYPERLINK("http://mirror.ff7data.com.ar/ff7/data/battle/battle.lgp/sbbg.png","View Picture")</f>
        <v>View Picture</v>
      </c>
    </row>
    <row r="10680">
      <c r="A10680" s="40"/>
      <c r="B10680" s="119" t="s">
        <v>43354</v>
      </c>
      <c r="C10680" s="120" t="s">
        <v>5419</v>
      </c>
      <c r="D10680" s="33" t="s">
        <v>43355</v>
      </c>
      <c r="E10680" s="17" t="s">
        <v>1399</v>
      </c>
      <c r="F10680" s="168" t="s">
        <v>3009</v>
      </c>
      <c r="G10680" s="98" t="str">
        <f>HYPERLINK("http://mirror.ff7data.com.ar/ff7/data/battle/battle.lgp/sbbh.png","View Picture")</f>
        <v>View Picture</v>
      </c>
    </row>
    <row r="10681">
      <c r="A10681" s="40"/>
      <c r="B10681" s="119" t="s">
        <v>43356</v>
      </c>
      <c r="C10681" s="120" t="s">
        <v>9041</v>
      </c>
      <c r="D10681" s="33" t="s">
        <v>43357</v>
      </c>
      <c r="E10681" s="17" t="s">
        <v>1399</v>
      </c>
      <c r="F10681" s="168" t="s">
        <v>3009</v>
      </c>
      <c r="G10681" s="98" t="str">
        <f>HYPERLINK("http://mirror.ff7data.com.ar/ff7/data/battle/battle.lgp/sbck.png","View Picture")</f>
        <v>View Picture</v>
      </c>
    </row>
    <row r="10682">
      <c r="A10682" s="40"/>
      <c r="B10682" s="119" t="s">
        <v>43358</v>
      </c>
      <c r="C10682" s="120" t="s">
        <v>14980</v>
      </c>
      <c r="D10682" s="33" t="s">
        <v>43359</v>
      </c>
      <c r="E10682" s="17" t="s">
        <v>1399</v>
      </c>
      <c r="F10682" s="168" t="s">
        <v>3009</v>
      </c>
      <c r="G10682" s="98" t="str">
        <f>HYPERLINK("http://mirror.ff7data.com.ar/ff7/data/battle/battle.lgp/sbcl.png","View Picture")</f>
        <v>View Picture</v>
      </c>
    </row>
    <row r="10683">
      <c r="A10683" s="40"/>
      <c r="B10683" s="119" t="s">
        <v>43360</v>
      </c>
      <c r="C10683" s="120" t="s">
        <v>18406</v>
      </c>
      <c r="D10683" s="33" t="s">
        <v>43361</v>
      </c>
      <c r="E10683" s="17" t="s">
        <v>1399</v>
      </c>
      <c r="F10683" s="168" t="s">
        <v>3009</v>
      </c>
      <c r="G10683" s="98" t="str">
        <f>HYPERLINK("http://mirror.ff7data.com.ar/ff7/data/battle/battle.lgp/sbcm.png","View Picture")</f>
        <v>View Picture</v>
      </c>
    </row>
    <row r="10684">
      <c r="A10684" s="40"/>
      <c r="B10684" s="119" t="s">
        <v>43362</v>
      </c>
      <c r="C10684" s="120" t="s">
        <v>4240</v>
      </c>
      <c r="D10684" s="33" t="s">
        <v>43363</v>
      </c>
      <c r="E10684" s="17" t="s">
        <v>1399</v>
      </c>
      <c r="F10684" s="168" t="s">
        <v>3009</v>
      </c>
      <c r="G10684" s="98" t="str">
        <f>HYPERLINK("http://mirror.ff7data.com.ar/ff7/data/battle/battle.lgp/sbcn.png","View Picture")</f>
        <v>View Picture</v>
      </c>
    </row>
    <row r="10685">
      <c r="A10685" s="40"/>
      <c r="B10685" s="119" t="s">
        <v>43364</v>
      </c>
      <c r="C10685" s="120" t="s">
        <v>3875</v>
      </c>
      <c r="D10685" s="33" t="s">
        <v>43365</v>
      </c>
      <c r="E10685" s="17" t="s">
        <v>1399</v>
      </c>
      <c r="F10685" s="168" t="s">
        <v>3009</v>
      </c>
      <c r="G10685" s="98" t="str">
        <f>HYPERLINK("http://mirror.ff7data.com.ar/ff7/data/battle/battle.lgp/sbco.png","View Picture")</f>
        <v>View Picture</v>
      </c>
    </row>
    <row r="10686">
      <c r="A10686" s="40"/>
      <c r="B10686" s="119" t="s">
        <v>43366</v>
      </c>
      <c r="C10686" s="120" t="s">
        <v>7062</v>
      </c>
      <c r="D10686" s="33" t="s">
        <v>43367</v>
      </c>
      <c r="E10686" s="17" t="s">
        <v>1399</v>
      </c>
      <c r="F10686" s="168" t="s">
        <v>3009</v>
      </c>
      <c r="G10686" s="98" t="str">
        <f>HYPERLINK("http://mirror.ff7data.com.ar/ff7/data/battle/battle.lgp/sbcp.png","View Picture")</f>
        <v>View Picture</v>
      </c>
    </row>
    <row r="10687">
      <c r="A10687" s="40"/>
      <c r="B10687" s="119" t="s">
        <v>43368</v>
      </c>
      <c r="C10687" s="120" t="s">
        <v>14980</v>
      </c>
      <c r="D10687" s="33" t="s">
        <v>43369</v>
      </c>
      <c r="E10687" s="17" t="s">
        <v>1399</v>
      </c>
      <c r="F10687" s="168" t="s">
        <v>3009</v>
      </c>
      <c r="G10687" s="98" t="str">
        <f>HYPERLINK("http://mirror.ff7data.com.ar/ff7/data/battle/battle.lgp/sbcq.png","View Picture")</f>
        <v>View Picture</v>
      </c>
    </row>
    <row r="10688">
      <c r="A10688" s="40"/>
      <c r="B10688" s="119" t="s">
        <v>43370</v>
      </c>
      <c r="C10688" s="120" t="s">
        <v>8261</v>
      </c>
      <c r="D10688" s="33" t="s">
        <v>43371</v>
      </c>
      <c r="E10688" s="17" t="s">
        <v>1399</v>
      </c>
      <c r="F10688" s="168" t="s">
        <v>3009</v>
      </c>
      <c r="G10688" s="98" t="str">
        <f>HYPERLINK("http://mirror.ff7data.com.ar/ff7/data/battle/battle.lgp/sbcr.png","View Picture")</f>
        <v>View Picture</v>
      </c>
    </row>
    <row r="10689">
      <c r="A10689" s="40"/>
      <c r="B10689" s="119" t="s">
        <v>43372</v>
      </c>
      <c r="C10689" s="120" t="s">
        <v>7062</v>
      </c>
      <c r="D10689" s="33" t="s">
        <v>43373</v>
      </c>
      <c r="E10689" s="17" t="s">
        <v>1399</v>
      </c>
      <c r="F10689" s="168" t="s">
        <v>3009</v>
      </c>
      <c r="G10689" s="98" t="str">
        <f>HYPERLINK("http://mirror.ff7data.com.ar/ff7/data/battle/battle.lgp/sbcs.png","View Picture")</f>
        <v>View Picture</v>
      </c>
    </row>
    <row r="10690">
      <c r="A10690" s="40"/>
      <c r="B10690" s="119" t="s">
        <v>43374</v>
      </c>
      <c r="C10690" s="120" t="s">
        <v>7062</v>
      </c>
      <c r="D10690" s="33" t="s">
        <v>43375</v>
      </c>
      <c r="E10690" s="17" t="s">
        <v>1399</v>
      </c>
      <c r="F10690" s="168" t="s">
        <v>3009</v>
      </c>
      <c r="G10690" s="98" t="str">
        <f>HYPERLINK("http://mirror.ff7data.com.ar/ff7/data/battle/battle.lgp/sbct.png","View Picture")</f>
        <v>View Picture</v>
      </c>
    </row>
    <row r="10691">
      <c r="A10691" s="40"/>
      <c r="B10691" s="119" t="s">
        <v>43376</v>
      </c>
      <c r="C10691" s="120" t="s">
        <v>7081</v>
      </c>
      <c r="D10691" s="33" t="s">
        <v>43377</v>
      </c>
      <c r="E10691" s="17" t="s">
        <v>1399</v>
      </c>
      <c r="F10691" s="168" t="s">
        <v>3009</v>
      </c>
      <c r="G10691" s="98" t="str">
        <f>HYPERLINK("http://mirror.ff7data.com.ar/ff7/data/battle/battle.lgp/sbcu.png","View Picture")</f>
        <v>View Picture</v>
      </c>
    </row>
    <row r="10692">
      <c r="A10692" s="40"/>
      <c r="B10692" s="119" t="s">
        <v>43378</v>
      </c>
      <c r="C10692" s="120" t="s">
        <v>18144</v>
      </c>
      <c r="D10692" s="33" t="s">
        <v>43379</v>
      </c>
      <c r="E10692" s="17" t="s">
        <v>1399</v>
      </c>
      <c r="F10692" s="168" t="s">
        <v>3009</v>
      </c>
      <c r="G10692" s="98" t="str">
        <f>HYPERLINK("http://mirror.ff7data.com.ar/ff7/data/battle/battle.lgp/sbcv.png","View Picture")</f>
        <v>View Picture</v>
      </c>
    </row>
    <row r="10693">
      <c r="A10693" s="40"/>
      <c r="B10693" s="119" t="s">
        <v>43380</v>
      </c>
      <c r="C10693" s="120" t="s">
        <v>7081</v>
      </c>
      <c r="D10693" s="33" t="s">
        <v>43381</v>
      </c>
      <c r="E10693" s="17" t="s">
        <v>1399</v>
      </c>
      <c r="F10693" s="168" t="s">
        <v>3009</v>
      </c>
      <c r="G10693" s="98" t="str">
        <f>HYPERLINK("http://mirror.ff7data.com.ar/ff7/data/battle/battle.lgp/sbcw.png","View Picture")</f>
        <v>View Picture</v>
      </c>
    </row>
    <row r="10694">
      <c r="A10694" s="40"/>
      <c r="B10694" s="119" t="s">
        <v>43382</v>
      </c>
      <c r="C10694" s="120" t="s">
        <v>5925</v>
      </c>
      <c r="D10694" s="33" t="s">
        <v>43383</v>
      </c>
      <c r="E10694" s="17" t="s">
        <v>1399</v>
      </c>
      <c r="F10694" s="168" t="s">
        <v>3009</v>
      </c>
      <c r="G10694" s="98" t="str">
        <f>HYPERLINK("http://mirror.ff7data.com.ar/ff7/data/battle/battle.lgp/sbcx.png","View Picture")</f>
        <v>View Picture</v>
      </c>
    </row>
    <row r="10695">
      <c r="A10695" s="40"/>
      <c r="B10695" s="119" t="s">
        <v>43384</v>
      </c>
      <c r="C10695" s="120" t="s">
        <v>10195</v>
      </c>
      <c r="D10695" s="33" t="s">
        <v>43385</v>
      </c>
      <c r="E10695" s="17" t="s">
        <v>1399</v>
      </c>
      <c r="F10695" s="168" t="s">
        <v>3009</v>
      </c>
      <c r="G10695" s="98" t="str">
        <f>HYPERLINK("http://mirror.ff7data.com.ar/ff7/data/battle/battle.lgp/sbcy.png","View Picture")</f>
        <v>View Picture</v>
      </c>
    </row>
    <row r="10696">
      <c r="A10696" s="40"/>
      <c r="B10696" s="119" t="s">
        <v>43386</v>
      </c>
      <c r="C10696" s="120" t="s">
        <v>7471</v>
      </c>
      <c r="D10696" s="33" t="s">
        <v>43387</v>
      </c>
      <c r="E10696" s="17" t="s">
        <v>1399</v>
      </c>
      <c r="F10696" s="168" t="s">
        <v>3009</v>
      </c>
      <c r="G10696" s="98" t="str">
        <f>HYPERLINK("http://mirror.ff7data.com.ar/ff7/data/battle/battle.lgp/sbcz.png","View Picture")</f>
        <v>View Picture</v>
      </c>
    </row>
    <row r="10697">
      <c r="A10697" s="55"/>
      <c r="B10697" s="119" t="s">
        <v>43388</v>
      </c>
      <c r="C10697" s="120" t="s">
        <v>33181</v>
      </c>
      <c r="D10697" s="33" t="s">
        <v>43318</v>
      </c>
      <c r="E10697" s="17" t="s">
        <v>1399</v>
      </c>
      <c r="F10697" s="168" t="s">
        <v>3025</v>
      </c>
    </row>
    <row r="10698">
      <c r="A10698" s="82"/>
      <c r="B10698" s="119" t="s">
        <v>43389</v>
      </c>
      <c r="C10698" s="120" t="s">
        <v>11751</v>
      </c>
      <c r="D10698" s="33" t="s">
        <v>43316</v>
      </c>
      <c r="E10698" s="17" t="s">
        <v>1389</v>
      </c>
      <c r="F10698" s="168" t="s">
        <v>2971</v>
      </c>
      <c r="G10698" s="98" t="str">
        <f>HYPERLINK("http://mirror.ff7data.com.ar/ff7/data/battle/battle.lgp/scaa.png","View Picture")</f>
        <v>View Picture</v>
      </c>
    </row>
    <row r="10699">
      <c r="A10699" s="55"/>
      <c r="B10699" s="119" t="s">
        <v>43390</v>
      </c>
      <c r="C10699" s="120" t="s">
        <v>4288</v>
      </c>
      <c r="D10699" s="33" t="s">
        <v>43318</v>
      </c>
      <c r="E10699" s="17" t="s">
        <v>1389</v>
      </c>
      <c r="F10699" s="168" t="s">
        <v>2993</v>
      </c>
    </row>
    <row r="10700">
      <c r="A10700" s="40"/>
      <c r="B10700" s="119" t="s">
        <v>43391</v>
      </c>
      <c r="C10700" s="120" t="s">
        <v>7081</v>
      </c>
      <c r="D10700" s="33" t="s">
        <v>43320</v>
      </c>
      <c r="E10700" s="17" t="s">
        <v>1389</v>
      </c>
      <c r="F10700" s="168" t="s">
        <v>1348</v>
      </c>
      <c r="G10700" s="98" t="str">
        <f>HYPERLINK("http://mirror.ff7data.com.ar/ff7/data/battle/battle.lgp/scac.png","View Picture")</f>
        <v>View Picture</v>
      </c>
    </row>
    <row r="10701">
      <c r="A10701" s="40"/>
      <c r="B10701" s="119" t="s">
        <v>43392</v>
      </c>
      <c r="C10701" s="120" t="s">
        <v>7081</v>
      </c>
      <c r="D10701" s="33" t="s">
        <v>43322</v>
      </c>
      <c r="E10701" s="17" t="s">
        <v>1389</v>
      </c>
      <c r="F10701" s="168" t="s">
        <v>1348</v>
      </c>
      <c r="G10701" s="98" t="str">
        <f>HYPERLINK("http://mirror.ff7data.com.ar/ff7/data/battle/battle.lgp/scad.png","View Picture")</f>
        <v>View Picture</v>
      </c>
    </row>
    <row r="10702">
      <c r="A10702" s="40"/>
      <c r="B10702" s="119" t="s">
        <v>43393</v>
      </c>
      <c r="C10702" s="120" t="s">
        <v>3671</v>
      </c>
      <c r="D10702" s="33" t="s">
        <v>43324</v>
      </c>
      <c r="E10702" s="17" t="s">
        <v>1389</v>
      </c>
      <c r="F10702" s="168" t="s">
        <v>3009</v>
      </c>
      <c r="G10702" s="98" t="str">
        <f>HYPERLINK("http://mirror.ff7data.com.ar/ff7/data/battle/battle.lgp/scae.png","View Picture")</f>
        <v>View Picture</v>
      </c>
    </row>
    <row r="10703">
      <c r="A10703" s="40"/>
      <c r="B10703" s="119" t="s">
        <v>43394</v>
      </c>
      <c r="C10703" s="120" t="s">
        <v>7501</v>
      </c>
      <c r="D10703" s="33" t="s">
        <v>43326</v>
      </c>
      <c r="E10703" s="17" t="s">
        <v>1389</v>
      </c>
      <c r="F10703" s="168" t="s">
        <v>3009</v>
      </c>
      <c r="G10703" s="98" t="str">
        <f>HYPERLINK("http://mirror.ff7data.com.ar/ff7/data/battle/battle.lgp/scam.png","View Picture")</f>
        <v>View Picture</v>
      </c>
    </row>
    <row r="10704">
      <c r="A10704" s="40"/>
      <c r="B10704" s="119" t="s">
        <v>43395</v>
      </c>
      <c r="C10704" s="120" t="s">
        <v>4167</v>
      </c>
      <c r="D10704" s="33" t="s">
        <v>43328</v>
      </c>
      <c r="E10704" s="17" t="s">
        <v>1389</v>
      </c>
      <c r="F10704" s="168" t="s">
        <v>3009</v>
      </c>
      <c r="G10704" s="98" t="str">
        <f>HYPERLINK("http://mirror.ff7data.com.ar/ff7/data/battle/battle.lgp/scan.png","View Picture")</f>
        <v>View Picture</v>
      </c>
    </row>
    <row r="10705">
      <c r="A10705" s="40"/>
      <c r="B10705" s="119" t="s">
        <v>43396</v>
      </c>
      <c r="C10705" s="120" t="s">
        <v>3318</v>
      </c>
      <c r="D10705" s="33" t="s">
        <v>7898</v>
      </c>
      <c r="E10705" s="17" t="s">
        <v>1389</v>
      </c>
      <c r="F10705" s="168" t="s">
        <v>3009</v>
      </c>
      <c r="G10705" s="98" t="str">
        <f>HYPERLINK("http://mirror.ff7data.com.ar/ff7/data/battle/battle.lgp/scao.png","View Picture")</f>
        <v>View Picture</v>
      </c>
    </row>
    <row r="10706">
      <c r="A10706" s="40"/>
      <c r="B10706" s="119" t="s">
        <v>43397</v>
      </c>
      <c r="C10706" s="120" t="s">
        <v>3749</v>
      </c>
      <c r="D10706" s="33" t="s">
        <v>43331</v>
      </c>
      <c r="E10706" s="17" t="s">
        <v>1389</v>
      </c>
      <c r="F10706" s="168" t="s">
        <v>3009</v>
      </c>
      <c r="G10706" s="98" t="str">
        <f>HYPERLINK("http://mirror.ff7data.com.ar/ff7/data/battle/battle.lgp/scar.png","View Picture")</f>
        <v>View Picture</v>
      </c>
    </row>
    <row r="10707">
      <c r="A10707" s="40"/>
      <c r="B10707" s="119" t="s">
        <v>43398</v>
      </c>
      <c r="C10707" s="120" t="s">
        <v>3412</v>
      </c>
      <c r="D10707" s="33" t="s">
        <v>43333</v>
      </c>
      <c r="E10707" s="17" t="s">
        <v>1389</v>
      </c>
      <c r="F10707" s="168" t="s">
        <v>3009</v>
      </c>
      <c r="G10707" s="98" t="str">
        <f>HYPERLINK("http://mirror.ff7data.com.ar/ff7/data/battle/battle.lgp/scas.png","View Picture")</f>
        <v>View Picture</v>
      </c>
    </row>
    <row r="10708">
      <c r="A10708" s="40"/>
      <c r="B10708" s="119" t="s">
        <v>43399</v>
      </c>
      <c r="C10708" s="120" t="s">
        <v>3648</v>
      </c>
      <c r="D10708" s="33" t="s">
        <v>43335</v>
      </c>
      <c r="E10708" s="17" t="s">
        <v>1389</v>
      </c>
      <c r="F10708" s="168" t="s">
        <v>3009</v>
      </c>
      <c r="G10708" s="98" t="str">
        <f>HYPERLINK("http://mirror.ff7data.com.ar/ff7/data/battle/battle.lgp/scat.png","View Picture")</f>
        <v>View Picture</v>
      </c>
    </row>
    <row r="10709">
      <c r="A10709" s="40"/>
      <c r="B10709" s="119" t="s">
        <v>43400</v>
      </c>
      <c r="C10709" s="120" t="s">
        <v>4357</v>
      </c>
      <c r="D10709" s="33" t="s">
        <v>43337</v>
      </c>
      <c r="E10709" s="17" t="s">
        <v>1389</v>
      </c>
      <c r="F10709" s="168" t="s">
        <v>3009</v>
      </c>
      <c r="G10709" s="98" t="str">
        <f>HYPERLINK("http://mirror.ff7data.com.ar/ff7/data/battle/battle.lgp/scaw.png","View Picture")</f>
        <v>View Picture</v>
      </c>
    </row>
    <row r="10710">
      <c r="A10710" s="40"/>
      <c r="B10710" s="119" t="s">
        <v>43401</v>
      </c>
      <c r="C10710" s="120" t="s">
        <v>10078</v>
      </c>
      <c r="D10710" s="33" t="s">
        <v>43339</v>
      </c>
      <c r="E10710" s="17" t="s">
        <v>1389</v>
      </c>
      <c r="F10710" s="168" t="s">
        <v>3009</v>
      </c>
      <c r="G10710" s="98" t="str">
        <f>HYPERLINK("http://mirror.ff7data.com.ar/ff7/data/battle/battle.lgp/scax.png","View Picture")</f>
        <v>View Picture</v>
      </c>
    </row>
    <row r="10711">
      <c r="A10711" s="40"/>
      <c r="B10711" s="119" t="s">
        <v>43402</v>
      </c>
      <c r="C10711" s="120" t="s">
        <v>4057</v>
      </c>
      <c r="D10711" s="33" t="s">
        <v>43341</v>
      </c>
      <c r="E10711" s="17" t="s">
        <v>1389</v>
      </c>
      <c r="F10711" s="168" t="s">
        <v>3009</v>
      </c>
      <c r="G10711" s="98" t="str">
        <f>HYPERLINK("http://mirror.ff7data.com.ar/ff7/data/battle/battle.lgp/scaz.png","View Picture")</f>
        <v>View Picture</v>
      </c>
    </row>
    <row r="10712">
      <c r="A10712" s="40"/>
      <c r="B10712" s="119" t="s">
        <v>43403</v>
      </c>
      <c r="C10712" s="120" t="s">
        <v>3648</v>
      </c>
      <c r="D10712" s="33" t="s">
        <v>43343</v>
      </c>
      <c r="E10712" s="17" t="s">
        <v>1389</v>
      </c>
      <c r="F10712" s="168" t="s">
        <v>3009</v>
      </c>
      <c r="G10712" s="98" t="str">
        <f>HYPERLINK("http://mirror.ff7data.com.ar/ff7/data/battle/battle.lgp/scba.png","View Picture")</f>
        <v>View Picture</v>
      </c>
    </row>
    <row r="10713">
      <c r="A10713" s="40"/>
      <c r="B10713" s="119" t="s">
        <v>43404</v>
      </c>
      <c r="C10713" s="120" t="s">
        <v>7165</v>
      </c>
      <c r="D10713" s="33" t="s">
        <v>43345</v>
      </c>
      <c r="E10713" s="17" t="s">
        <v>1389</v>
      </c>
      <c r="F10713" s="168" t="s">
        <v>3009</v>
      </c>
      <c r="G10713" s="98" t="str">
        <f>HYPERLINK("http://mirror.ff7data.com.ar/ff7/data/battle/battle.lgp/scbb.png","View Picture")</f>
        <v>View Picture</v>
      </c>
    </row>
    <row r="10714">
      <c r="A10714" s="40"/>
      <c r="B10714" s="119" t="s">
        <v>43405</v>
      </c>
      <c r="C10714" s="120" t="s">
        <v>4057</v>
      </c>
      <c r="D10714" s="33" t="s">
        <v>43347</v>
      </c>
      <c r="E10714" s="17" t="s">
        <v>1389</v>
      </c>
      <c r="F10714" s="168" t="s">
        <v>3009</v>
      </c>
      <c r="G10714" s="98" t="str">
        <f>HYPERLINK("http://mirror.ff7data.com.ar/ff7/data/battle/battle.lgp/scbc.png","View Picture")</f>
        <v>View Picture</v>
      </c>
    </row>
    <row r="10715">
      <c r="A10715" s="40"/>
      <c r="B10715" s="119" t="s">
        <v>43406</v>
      </c>
      <c r="C10715" s="120" t="s">
        <v>4057</v>
      </c>
      <c r="D10715" s="33" t="s">
        <v>43349</v>
      </c>
      <c r="E10715" s="17" t="s">
        <v>1389</v>
      </c>
      <c r="F10715" s="168" t="s">
        <v>3009</v>
      </c>
      <c r="G10715" s="98" t="str">
        <f>HYPERLINK("http://mirror.ff7data.com.ar/ff7/data/battle/battle.lgp/scbe.png","View Picture")</f>
        <v>View Picture</v>
      </c>
    </row>
    <row r="10716">
      <c r="A10716" s="40"/>
      <c r="B10716" s="119" t="s">
        <v>43407</v>
      </c>
      <c r="C10716" s="120" t="s">
        <v>3648</v>
      </c>
      <c r="D10716" s="33" t="s">
        <v>43351</v>
      </c>
      <c r="E10716" s="17" t="s">
        <v>1389</v>
      </c>
      <c r="F10716" s="168" t="s">
        <v>3009</v>
      </c>
      <c r="G10716" s="98" t="str">
        <f>HYPERLINK("http://mirror.ff7data.com.ar/ff7/data/battle/battle.lgp/scbf.png","View Picture")</f>
        <v>View Picture</v>
      </c>
    </row>
    <row r="10717">
      <c r="A10717" s="40"/>
      <c r="B10717" s="119" t="s">
        <v>43408</v>
      </c>
      <c r="C10717" s="120" t="s">
        <v>3658</v>
      </c>
      <c r="D10717" s="33" t="s">
        <v>43353</v>
      </c>
      <c r="E10717" s="17" t="s">
        <v>1389</v>
      </c>
      <c r="F10717" s="168" t="s">
        <v>3009</v>
      </c>
      <c r="G10717" s="98" t="str">
        <f>HYPERLINK("http://mirror.ff7data.com.ar/ff7/data/battle/battle.lgp/scbg.png","View Picture")</f>
        <v>View Picture</v>
      </c>
    </row>
    <row r="10718">
      <c r="A10718" s="40"/>
      <c r="B10718" s="119" t="s">
        <v>43409</v>
      </c>
      <c r="C10718" s="120" t="s">
        <v>5419</v>
      </c>
      <c r="D10718" s="33" t="s">
        <v>43355</v>
      </c>
      <c r="E10718" s="17" t="s">
        <v>1389</v>
      </c>
      <c r="F10718" s="168" t="s">
        <v>3009</v>
      </c>
      <c r="G10718" s="98" t="str">
        <f>HYPERLINK("http://mirror.ff7data.com.ar/ff7/data/battle/battle.lgp/scbh.png","View Picture")</f>
        <v>View Picture</v>
      </c>
    </row>
    <row r="10719">
      <c r="A10719" s="40"/>
      <c r="B10719" s="119" t="s">
        <v>43410</v>
      </c>
      <c r="C10719" s="120" t="s">
        <v>9041</v>
      </c>
      <c r="D10719" s="33" t="s">
        <v>43357</v>
      </c>
      <c r="E10719" s="17" t="s">
        <v>1389</v>
      </c>
      <c r="F10719" s="168" t="s">
        <v>3009</v>
      </c>
      <c r="G10719" s="98" t="str">
        <f>HYPERLINK("http://mirror.ff7data.com.ar/ff7/data/battle/battle.lgp/scck.png","View Picture")</f>
        <v>View Picture</v>
      </c>
    </row>
    <row r="10720">
      <c r="A10720" s="40"/>
      <c r="B10720" s="119" t="s">
        <v>43411</v>
      </c>
      <c r="C10720" s="120" t="s">
        <v>14980</v>
      </c>
      <c r="D10720" s="33" t="s">
        <v>43359</v>
      </c>
      <c r="E10720" s="17" t="s">
        <v>1389</v>
      </c>
      <c r="F10720" s="168" t="s">
        <v>3009</v>
      </c>
      <c r="G10720" s="98" t="str">
        <f>HYPERLINK("http://mirror.ff7data.com.ar/ff7/data/battle/battle.lgp/sccl.png","View Picture")</f>
        <v>View Picture</v>
      </c>
    </row>
    <row r="10721">
      <c r="A10721" s="40"/>
      <c r="B10721" s="119" t="s">
        <v>43412</v>
      </c>
      <c r="C10721" s="120" t="s">
        <v>18406</v>
      </c>
      <c r="D10721" s="33" t="s">
        <v>43361</v>
      </c>
      <c r="E10721" s="17" t="s">
        <v>1389</v>
      </c>
      <c r="F10721" s="168" t="s">
        <v>3009</v>
      </c>
      <c r="G10721" s="98" t="str">
        <f>HYPERLINK("http://mirror.ff7data.com.ar/ff7/data/battle/battle.lgp/sccm.png","View Picture")</f>
        <v>View Picture</v>
      </c>
    </row>
    <row r="10722">
      <c r="A10722" s="40"/>
      <c r="B10722" s="119" t="s">
        <v>43413</v>
      </c>
      <c r="C10722" s="120" t="s">
        <v>4240</v>
      </c>
      <c r="D10722" s="33" t="s">
        <v>43363</v>
      </c>
      <c r="E10722" s="17" t="s">
        <v>1389</v>
      </c>
      <c r="F10722" s="168" t="s">
        <v>3009</v>
      </c>
      <c r="G10722" s="98" t="str">
        <f>HYPERLINK("http://mirror.ff7data.com.ar/ff7/data/battle/battle.lgp/sccn.png","View Picture")</f>
        <v>View Picture</v>
      </c>
    </row>
    <row r="10723">
      <c r="A10723" s="40"/>
      <c r="B10723" s="119" t="s">
        <v>43414</v>
      </c>
      <c r="C10723" s="120" t="s">
        <v>3875</v>
      </c>
      <c r="D10723" s="33" t="s">
        <v>43365</v>
      </c>
      <c r="E10723" s="17" t="s">
        <v>1389</v>
      </c>
      <c r="F10723" s="168" t="s">
        <v>3009</v>
      </c>
      <c r="G10723" s="98" t="str">
        <f>HYPERLINK("http://mirror.ff7data.com.ar/ff7/data/battle/battle.lgp/scco.png","View Picture")</f>
        <v>View Picture</v>
      </c>
    </row>
    <row r="10724">
      <c r="A10724" s="40"/>
      <c r="B10724" s="119" t="s">
        <v>43415</v>
      </c>
      <c r="C10724" s="120" t="s">
        <v>7062</v>
      </c>
      <c r="D10724" s="33" t="s">
        <v>43367</v>
      </c>
      <c r="E10724" s="17" t="s">
        <v>1389</v>
      </c>
      <c r="F10724" s="168" t="s">
        <v>3009</v>
      </c>
      <c r="G10724" s="98" t="str">
        <f>HYPERLINK("http://mirror.ff7data.com.ar/ff7/data/battle/battle.lgp/sccp.png","View Picture")</f>
        <v>View Picture</v>
      </c>
    </row>
    <row r="10725">
      <c r="A10725" s="40"/>
      <c r="B10725" s="119" t="s">
        <v>43416</v>
      </c>
      <c r="C10725" s="120" t="s">
        <v>14980</v>
      </c>
      <c r="D10725" s="33" t="s">
        <v>43369</v>
      </c>
      <c r="E10725" s="17" t="s">
        <v>1389</v>
      </c>
      <c r="F10725" s="168" t="s">
        <v>3009</v>
      </c>
      <c r="G10725" s="98" t="str">
        <f>HYPERLINK("http://mirror.ff7data.com.ar/ff7/data/battle/battle.lgp/sccq.png","View Picture")</f>
        <v>View Picture</v>
      </c>
    </row>
    <row r="10726">
      <c r="A10726" s="40"/>
      <c r="B10726" s="119" t="s">
        <v>43417</v>
      </c>
      <c r="C10726" s="120" t="s">
        <v>8261</v>
      </c>
      <c r="D10726" s="33" t="s">
        <v>43371</v>
      </c>
      <c r="E10726" s="17" t="s">
        <v>1389</v>
      </c>
      <c r="F10726" s="168" t="s">
        <v>3009</v>
      </c>
      <c r="G10726" s="98" t="str">
        <f>HYPERLINK("http://mirror.ff7data.com.ar/ff7/data/battle/battle.lgp/sccr.png","View Picture")</f>
        <v>View Picture</v>
      </c>
    </row>
    <row r="10727">
      <c r="A10727" s="40"/>
      <c r="B10727" s="119" t="s">
        <v>43418</v>
      </c>
      <c r="C10727" s="120" t="s">
        <v>7062</v>
      </c>
      <c r="D10727" s="33" t="s">
        <v>43373</v>
      </c>
      <c r="E10727" s="17" t="s">
        <v>1389</v>
      </c>
      <c r="F10727" s="168" t="s">
        <v>3009</v>
      </c>
      <c r="G10727" s="98" t="str">
        <f>HYPERLINK("http://mirror.ff7data.com.ar/ff7/data/battle/battle.lgp/sccs.png","View Picture")</f>
        <v>View Picture</v>
      </c>
    </row>
    <row r="10728">
      <c r="A10728" s="40"/>
      <c r="B10728" s="119" t="s">
        <v>43419</v>
      </c>
      <c r="C10728" s="120" t="s">
        <v>7062</v>
      </c>
      <c r="D10728" s="33" t="s">
        <v>43375</v>
      </c>
      <c r="E10728" s="17" t="s">
        <v>1389</v>
      </c>
      <c r="F10728" s="168" t="s">
        <v>3009</v>
      </c>
      <c r="G10728" s="98" t="str">
        <f>HYPERLINK("http://mirror.ff7data.com.ar/ff7/data/battle/battle.lgp/scct.png","View Picture")</f>
        <v>View Picture</v>
      </c>
    </row>
    <row r="10729">
      <c r="A10729" s="40"/>
      <c r="B10729" s="119" t="s">
        <v>43420</v>
      </c>
      <c r="C10729" s="120" t="s">
        <v>7081</v>
      </c>
      <c r="D10729" s="33" t="s">
        <v>43377</v>
      </c>
      <c r="E10729" s="17" t="s">
        <v>1389</v>
      </c>
      <c r="F10729" s="168" t="s">
        <v>3009</v>
      </c>
      <c r="G10729" s="98" t="str">
        <f>HYPERLINK("http://mirror.ff7data.com.ar/ff7/data/battle/battle.lgp/sccu.png","View Picture")</f>
        <v>View Picture</v>
      </c>
    </row>
    <row r="10730">
      <c r="A10730" s="40"/>
      <c r="B10730" s="119" t="s">
        <v>43421</v>
      </c>
      <c r="C10730" s="120" t="s">
        <v>18144</v>
      </c>
      <c r="D10730" s="33" t="s">
        <v>43379</v>
      </c>
      <c r="E10730" s="17" t="s">
        <v>1389</v>
      </c>
      <c r="F10730" s="168" t="s">
        <v>3009</v>
      </c>
      <c r="G10730" s="98" t="str">
        <f>HYPERLINK("http://mirror.ff7data.com.ar/ff7/data/battle/battle.lgp/sccv.png","View Picture")</f>
        <v>View Picture</v>
      </c>
    </row>
    <row r="10731">
      <c r="A10731" s="40"/>
      <c r="B10731" s="119" t="s">
        <v>43422</v>
      </c>
      <c r="C10731" s="120" t="s">
        <v>7081</v>
      </c>
      <c r="D10731" s="33" t="s">
        <v>43381</v>
      </c>
      <c r="E10731" s="17" t="s">
        <v>1389</v>
      </c>
      <c r="F10731" s="168" t="s">
        <v>3009</v>
      </c>
      <c r="G10731" s="98" t="str">
        <f>HYPERLINK("http://mirror.ff7data.com.ar/ff7/data/battle/battle.lgp/sccw.png","View Picture")</f>
        <v>View Picture</v>
      </c>
    </row>
    <row r="10732">
      <c r="A10732" s="40"/>
      <c r="B10732" s="119" t="s">
        <v>43423</v>
      </c>
      <c r="C10732" s="120" t="s">
        <v>5925</v>
      </c>
      <c r="D10732" s="33" t="s">
        <v>43383</v>
      </c>
      <c r="E10732" s="17" t="s">
        <v>1389</v>
      </c>
      <c r="F10732" s="168" t="s">
        <v>3009</v>
      </c>
      <c r="G10732" s="98" t="str">
        <f>HYPERLINK("http://mirror.ff7data.com.ar/ff7/data/battle/battle.lgp/sccx.png","View Picture")</f>
        <v>View Picture</v>
      </c>
    </row>
    <row r="10733">
      <c r="A10733" s="40"/>
      <c r="B10733" s="119" t="s">
        <v>43424</v>
      </c>
      <c r="C10733" s="120" t="s">
        <v>10195</v>
      </c>
      <c r="D10733" s="33" t="s">
        <v>43385</v>
      </c>
      <c r="E10733" s="17" t="s">
        <v>1389</v>
      </c>
      <c r="F10733" s="168" t="s">
        <v>3009</v>
      </c>
      <c r="G10733" s="98" t="str">
        <f>HYPERLINK("http://mirror.ff7data.com.ar/ff7/data/battle/battle.lgp/sccy.png","View Picture")</f>
        <v>View Picture</v>
      </c>
    </row>
    <row r="10734">
      <c r="A10734" s="40"/>
      <c r="B10734" s="119" t="s">
        <v>43425</v>
      </c>
      <c r="C10734" s="120" t="s">
        <v>7471</v>
      </c>
      <c r="D10734" s="33" t="s">
        <v>43387</v>
      </c>
      <c r="E10734" s="17" t="s">
        <v>1389</v>
      </c>
      <c r="F10734" s="168" t="s">
        <v>3009</v>
      </c>
      <c r="G10734" s="98" t="str">
        <f>HYPERLINK("http://mirror.ff7data.com.ar/ff7/data/battle/battle.lgp/sccz.png","View Picture")</f>
        <v>View Picture</v>
      </c>
    </row>
    <row r="10735">
      <c r="A10735" s="55"/>
      <c r="B10735" s="119" t="s">
        <v>43426</v>
      </c>
      <c r="C10735" s="120" t="s">
        <v>8550</v>
      </c>
      <c r="D10735" s="33" t="s">
        <v>43318</v>
      </c>
      <c r="E10735" s="17" t="s">
        <v>1389</v>
      </c>
      <c r="F10735" s="168" t="s">
        <v>3025</v>
      </c>
    </row>
    <row r="10736">
      <c r="A10736" s="82"/>
      <c r="B10736" s="119" t="s">
        <v>43427</v>
      </c>
      <c r="C10736" s="120" t="s">
        <v>11751</v>
      </c>
      <c r="D10736" s="33" t="s">
        <v>43316</v>
      </c>
      <c r="E10736" s="17" t="s">
        <v>1393</v>
      </c>
      <c r="F10736" s="168" t="s">
        <v>2971</v>
      </c>
      <c r="G10736" s="98" t="str">
        <f>HYPERLINK("http://mirror.ff7data.com.ar/ff7/data/battle/battle.lgp/sdaa.png","View Picture")</f>
        <v>View Picture</v>
      </c>
    </row>
    <row r="10737">
      <c r="A10737" s="55"/>
      <c r="B10737" s="119" t="s">
        <v>43428</v>
      </c>
      <c r="C10737" s="120" t="s">
        <v>11112</v>
      </c>
      <c r="D10737" s="33" t="s">
        <v>43318</v>
      </c>
      <c r="E10737" s="17" t="s">
        <v>1393</v>
      </c>
      <c r="F10737" s="168" t="s">
        <v>2993</v>
      </c>
    </row>
    <row r="10738">
      <c r="A10738" s="40"/>
      <c r="B10738" s="119" t="s">
        <v>43429</v>
      </c>
      <c r="C10738" s="120" t="s">
        <v>7081</v>
      </c>
      <c r="D10738" s="33" t="s">
        <v>43320</v>
      </c>
      <c r="E10738" s="17" t="s">
        <v>1393</v>
      </c>
      <c r="F10738" s="168" t="s">
        <v>1348</v>
      </c>
      <c r="G10738" s="98" t="str">
        <f>HYPERLINK("http://mirror.ff7data.com.ar/ff7/data/battle/battle.lgp/sdac.png","View Picture")</f>
        <v>View Picture</v>
      </c>
    </row>
    <row r="10739">
      <c r="A10739" s="40"/>
      <c r="B10739" s="119" t="s">
        <v>43430</v>
      </c>
      <c r="C10739" s="120" t="s">
        <v>7081</v>
      </c>
      <c r="D10739" s="33" t="s">
        <v>43322</v>
      </c>
      <c r="E10739" s="17" t="s">
        <v>1393</v>
      </c>
      <c r="F10739" s="168" t="s">
        <v>1348</v>
      </c>
      <c r="G10739" s="98" t="str">
        <f>HYPERLINK("http://mirror.ff7data.com.ar/ff7/data/battle/battle.lgp/sdad.png","View Picture")</f>
        <v>View Picture</v>
      </c>
    </row>
    <row r="10740">
      <c r="A10740" s="40"/>
      <c r="B10740" s="119" t="s">
        <v>43431</v>
      </c>
      <c r="C10740" s="120" t="s">
        <v>3671</v>
      </c>
      <c r="D10740" s="33" t="s">
        <v>43324</v>
      </c>
      <c r="E10740" s="17" t="s">
        <v>1393</v>
      </c>
      <c r="F10740" s="168" t="s">
        <v>3009</v>
      </c>
      <c r="G10740" s="98" t="str">
        <f>HYPERLINK("http://mirror.ff7data.com.ar/ff7/data/battle/battle.lgp/sdae.png","View Picture")</f>
        <v>View Picture</v>
      </c>
    </row>
    <row r="10741">
      <c r="A10741" s="40"/>
      <c r="B10741" s="119" t="s">
        <v>43432</v>
      </c>
      <c r="C10741" s="120" t="s">
        <v>7501</v>
      </c>
      <c r="D10741" s="33" t="s">
        <v>43326</v>
      </c>
      <c r="E10741" s="17" t="s">
        <v>1393</v>
      </c>
      <c r="F10741" s="168" t="s">
        <v>3009</v>
      </c>
      <c r="G10741" s="98" t="str">
        <f>HYPERLINK("http://mirror.ff7data.com.ar/ff7/data/battle/battle.lgp/sdam.png","View Picture")</f>
        <v>View Picture</v>
      </c>
    </row>
    <row r="10742">
      <c r="A10742" s="40"/>
      <c r="B10742" s="119" t="s">
        <v>43433</v>
      </c>
      <c r="C10742" s="120" t="s">
        <v>4167</v>
      </c>
      <c r="D10742" s="33" t="s">
        <v>43328</v>
      </c>
      <c r="E10742" s="17" t="s">
        <v>1393</v>
      </c>
      <c r="F10742" s="168" t="s">
        <v>3009</v>
      </c>
      <c r="G10742" s="98" t="str">
        <f>HYPERLINK("http://mirror.ff7data.com.ar/ff7/data/battle/battle.lgp/sdan.png","View Picture")</f>
        <v>View Picture</v>
      </c>
    </row>
    <row r="10743">
      <c r="A10743" s="40"/>
      <c r="B10743" s="119" t="s">
        <v>43434</v>
      </c>
      <c r="C10743" s="120" t="s">
        <v>3318</v>
      </c>
      <c r="D10743" s="33" t="s">
        <v>7898</v>
      </c>
      <c r="E10743" s="17" t="s">
        <v>1393</v>
      </c>
      <c r="F10743" s="168" t="s">
        <v>3009</v>
      </c>
      <c r="G10743" s="98" t="str">
        <f>HYPERLINK("http://mirror.ff7data.com.ar/ff7/data/battle/battle.lgp/sdao.png","View Picture")</f>
        <v>View Picture</v>
      </c>
    </row>
    <row r="10744">
      <c r="A10744" s="40"/>
      <c r="B10744" s="119" t="s">
        <v>43435</v>
      </c>
      <c r="C10744" s="120" t="s">
        <v>3749</v>
      </c>
      <c r="D10744" s="33" t="s">
        <v>43331</v>
      </c>
      <c r="E10744" s="17" t="s">
        <v>1393</v>
      </c>
      <c r="F10744" s="168" t="s">
        <v>3009</v>
      </c>
      <c r="G10744" s="98" t="str">
        <f>HYPERLINK("http://mirror.ff7data.com.ar/ff7/data/battle/battle.lgp/sdar.png","View Picture")</f>
        <v>View Picture</v>
      </c>
    </row>
    <row r="10745">
      <c r="A10745" s="40"/>
      <c r="B10745" s="119" t="s">
        <v>43436</v>
      </c>
      <c r="C10745" s="120" t="s">
        <v>3412</v>
      </c>
      <c r="D10745" s="33" t="s">
        <v>43333</v>
      </c>
      <c r="E10745" s="17" t="s">
        <v>1393</v>
      </c>
      <c r="F10745" s="168" t="s">
        <v>3009</v>
      </c>
      <c r="G10745" s="98" t="str">
        <f>HYPERLINK("http://mirror.ff7data.com.ar/ff7/data/battle/battle.lgp/sdas.png","View Picture")</f>
        <v>View Picture</v>
      </c>
    </row>
    <row r="10746">
      <c r="A10746" s="40"/>
      <c r="B10746" s="119" t="s">
        <v>43437</v>
      </c>
      <c r="C10746" s="120" t="s">
        <v>3648</v>
      </c>
      <c r="D10746" s="33" t="s">
        <v>43335</v>
      </c>
      <c r="E10746" s="17" t="s">
        <v>1393</v>
      </c>
      <c r="F10746" s="168" t="s">
        <v>3009</v>
      </c>
      <c r="G10746" s="98" t="str">
        <f>HYPERLINK("http://mirror.ff7data.com.ar/ff7/data/battle/battle.lgp/sdat.png","View Picture")</f>
        <v>View Picture</v>
      </c>
    </row>
    <row r="10747">
      <c r="A10747" s="40"/>
      <c r="B10747" s="119" t="s">
        <v>43438</v>
      </c>
      <c r="C10747" s="120" t="s">
        <v>4357</v>
      </c>
      <c r="D10747" s="33" t="s">
        <v>43337</v>
      </c>
      <c r="E10747" s="17" t="s">
        <v>1393</v>
      </c>
      <c r="F10747" s="168" t="s">
        <v>3009</v>
      </c>
      <c r="G10747" s="98" t="str">
        <f>HYPERLINK("http://mirror.ff7data.com.ar/ff7/data/battle/battle.lgp/sdaw.png","View Picture")</f>
        <v>View Picture</v>
      </c>
    </row>
    <row r="10748">
      <c r="A10748" s="40"/>
      <c r="B10748" s="119" t="s">
        <v>43439</v>
      </c>
      <c r="C10748" s="120" t="s">
        <v>10078</v>
      </c>
      <c r="D10748" s="33" t="s">
        <v>43339</v>
      </c>
      <c r="E10748" s="17" t="s">
        <v>1393</v>
      </c>
      <c r="F10748" s="168" t="s">
        <v>3009</v>
      </c>
      <c r="G10748" s="98" t="str">
        <f>HYPERLINK("http://mirror.ff7data.com.ar/ff7/data/battle/battle.lgp/sdax.png","View Picture")</f>
        <v>View Picture</v>
      </c>
    </row>
    <row r="10749">
      <c r="A10749" s="40"/>
      <c r="B10749" s="119" t="s">
        <v>43440</v>
      </c>
      <c r="C10749" s="120" t="s">
        <v>4057</v>
      </c>
      <c r="D10749" s="33" t="s">
        <v>43341</v>
      </c>
      <c r="E10749" s="17" t="s">
        <v>1393</v>
      </c>
      <c r="F10749" s="168" t="s">
        <v>3009</v>
      </c>
      <c r="G10749" s="98" t="str">
        <f>HYPERLINK("http://mirror.ff7data.com.ar/ff7/data/battle/battle.lgp/sdaz.png","View Picture")</f>
        <v>View Picture</v>
      </c>
    </row>
    <row r="10750">
      <c r="A10750" s="40"/>
      <c r="B10750" s="119" t="s">
        <v>43441</v>
      </c>
      <c r="C10750" s="120" t="s">
        <v>3648</v>
      </c>
      <c r="D10750" s="33" t="s">
        <v>43343</v>
      </c>
      <c r="E10750" s="17" t="s">
        <v>1393</v>
      </c>
      <c r="F10750" s="168" t="s">
        <v>3009</v>
      </c>
      <c r="G10750" s="98" t="str">
        <f>HYPERLINK("http://mirror.ff7data.com.ar/ff7/data/battle/battle.lgp/sdba.png","View Picture")</f>
        <v>View Picture</v>
      </c>
    </row>
    <row r="10751">
      <c r="A10751" s="40"/>
      <c r="B10751" s="119" t="s">
        <v>43442</v>
      </c>
      <c r="C10751" s="120" t="s">
        <v>7165</v>
      </c>
      <c r="D10751" s="33" t="s">
        <v>43345</v>
      </c>
      <c r="E10751" s="17" t="s">
        <v>1393</v>
      </c>
      <c r="F10751" s="168" t="s">
        <v>3009</v>
      </c>
      <c r="G10751" s="98" t="str">
        <f>HYPERLINK("http://mirror.ff7data.com.ar/ff7/data/battle/battle.lgp/sdbb.png","View Picture")</f>
        <v>View Picture</v>
      </c>
    </row>
    <row r="10752">
      <c r="A10752" s="40"/>
      <c r="B10752" s="119" t="s">
        <v>43443</v>
      </c>
      <c r="C10752" s="120" t="s">
        <v>4057</v>
      </c>
      <c r="D10752" s="33" t="s">
        <v>43347</v>
      </c>
      <c r="E10752" s="17" t="s">
        <v>1393</v>
      </c>
      <c r="F10752" s="168" t="s">
        <v>3009</v>
      </c>
      <c r="G10752" s="98" t="str">
        <f>HYPERLINK("http://mirror.ff7data.com.ar/ff7/data/battle/battle.lgp/sdbc.png","View Picture")</f>
        <v>View Picture</v>
      </c>
    </row>
    <row r="10753">
      <c r="A10753" s="40"/>
      <c r="B10753" s="119" t="s">
        <v>43444</v>
      </c>
      <c r="C10753" s="120" t="s">
        <v>4057</v>
      </c>
      <c r="D10753" s="33" t="s">
        <v>43349</v>
      </c>
      <c r="E10753" s="17" t="s">
        <v>1393</v>
      </c>
      <c r="F10753" s="168" t="s">
        <v>3009</v>
      </c>
      <c r="G10753" s="98" t="str">
        <f>HYPERLINK("http://mirror.ff7data.com.ar/ff7/data/battle/battle.lgp/sdbe.png","View Picture")</f>
        <v>View Picture</v>
      </c>
    </row>
    <row r="10754">
      <c r="A10754" s="40"/>
      <c r="B10754" s="119" t="s">
        <v>43445</v>
      </c>
      <c r="C10754" s="120" t="s">
        <v>3648</v>
      </c>
      <c r="D10754" s="33" t="s">
        <v>43351</v>
      </c>
      <c r="E10754" s="17" t="s">
        <v>1393</v>
      </c>
      <c r="F10754" s="168" t="s">
        <v>3009</v>
      </c>
      <c r="G10754" s="98" t="str">
        <f>HYPERLINK("http://mirror.ff7data.com.ar/ff7/data/battle/battle.lgp/sdbf.png","View Picture")</f>
        <v>View Picture</v>
      </c>
    </row>
    <row r="10755">
      <c r="A10755" s="40"/>
      <c r="B10755" s="119" t="s">
        <v>43446</v>
      </c>
      <c r="C10755" s="120" t="s">
        <v>3658</v>
      </c>
      <c r="D10755" s="33" t="s">
        <v>43353</v>
      </c>
      <c r="E10755" s="17" t="s">
        <v>1393</v>
      </c>
      <c r="F10755" s="168" t="s">
        <v>3009</v>
      </c>
      <c r="G10755" s="98" t="str">
        <f>HYPERLINK("http://mirror.ff7data.com.ar/ff7/data/battle/battle.lgp/sdbg.png","View Picture")</f>
        <v>View Picture</v>
      </c>
    </row>
    <row r="10756">
      <c r="A10756" s="40"/>
      <c r="B10756" s="119" t="s">
        <v>43447</v>
      </c>
      <c r="C10756" s="120" t="s">
        <v>5419</v>
      </c>
      <c r="D10756" s="33" t="s">
        <v>43355</v>
      </c>
      <c r="E10756" s="17" t="s">
        <v>1393</v>
      </c>
      <c r="F10756" s="168" t="s">
        <v>3009</v>
      </c>
      <c r="G10756" s="98" t="str">
        <f>HYPERLINK("http://mirror.ff7data.com.ar/ff7/data/battle/battle.lgp/sdbh.png","View Picture")</f>
        <v>View Picture</v>
      </c>
    </row>
    <row r="10757">
      <c r="A10757" s="40"/>
      <c r="B10757" s="119" t="s">
        <v>43448</v>
      </c>
      <c r="C10757" s="120" t="s">
        <v>9041</v>
      </c>
      <c r="D10757" s="33" t="s">
        <v>43357</v>
      </c>
      <c r="E10757" s="17" t="s">
        <v>1393</v>
      </c>
      <c r="F10757" s="168" t="s">
        <v>3009</v>
      </c>
      <c r="G10757" s="98" t="str">
        <f>HYPERLINK("http://mirror.ff7data.com.ar/ff7/data/battle/battle.lgp/sdck.png","View Picture")</f>
        <v>View Picture</v>
      </c>
    </row>
    <row r="10758">
      <c r="A10758" s="40"/>
      <c r="B10758" s="119" t="s">
        <v>43449</v>
      </c>
      <c r="C10758" s="120" t="s">
        <v>14980</v>
      </c>
      <c r="D10758" s="33" t="s">
        <v>43359</v>
      </c>
      <c r="E10758" s="17" t="s">
        <v>1393</v>
      </c>
      <c r="F10758" s="168" t="s">
        <v>3009</v>
      </c>
      <c r="G10758" s="98" t="str">
        <f>HYPERLINK("http://mirror.ff7data.com.ar/ff7/data/battle/battle.lgp/sdcl.png","View Picture")</f>
        <v>View Picture</v>
      </c>
    </row>
    <row r="10759">
      <c r="A10759" s="40"/>
      <c r="B10759" s="119" t="s">
        <v>43450</v>
      </c>
      <c r="C10759" s="120" t="s">
        <v>18406</v>
      </c>
      <c r="D10759" s="33" t="s">
        <v>43361</v>
      </c>
      <c r="E10759" s="17" t="s">
        <v>1393</v>
      </c>
      <c r="F10759" s="168" t="s">
        <v>3009</v>
      </c>
      <c r="G10759" s="98" t="str">
        <f>HYPERLINK("http://mirror.ff7data.com.ar/ff7/data/battle/battle.lgp/sdcm.png","View Picture")</f>
        <v>View Picture</v>
      </c>
    </row>
    <row r="10760">
      <c r="A10760" s="40"/>
      <c r="B10760" s="119" t="s">
        <v>43451</v>
      </c>
      <c r="C10760" s="120" t="s">
        <v>4240</v>
      </c>
      <c r="D10760" s="33" t="s">
        <v>43363</v>
      </c>
      <c r="E10760" s="17" t="s">
        <v>1393</v>
      </c>
      <c r="F10760" s="168" t="s">
        <v>3009</v>
      </c>
      <c r="G10760" s="98" t="str">
        <f>HYPERLINK("http://mirror.ff7data.com.ar/ff7/data/battle/battle.lgp/sdcn.png","View Picture")</f>
        <v>View Picture</v>
      </c>
    </row>
    <row r="10761">
      <c r="A10761" s="40"/>
      <c r="B10761" s="119" t="s">
        <v>43452</v>
      </c>
      <c r="C10761" s="120" t="s">
        <v>3875</v>
      </c>
      <c r="D10761" s="33" t="s">
        <v>43365</v>
      </c>
      <c r="E10761" s="17" t="s">
        <v>1393</v>
      </c>
      <c r="F10761" s="168" t="s">
        <v>3009</v>
      </c>
      <c r="G10761" s="98" t="str">
        <f>HYPERLINK("http://mirror.ff7data.com.ar/ff7/data/battle/battle.lgp/sdco.png","View Picture")</f>
        <v>View Picture</v>
      </c>
    </row>
    <row r="10762">
      <c r="A10762" s="40"/>
      <c r="B10762" s="119" t="s">
        <v>43453</v>
      </c>
      <c r="C10762" s="120" t="s">
        <v>7062</v>
      </c>
      <c r="D10762" s="33" t="s">
        <v>43367</v>
      </c>
      <c r="E10762" s="17" t="s">
        <v>1393</v>
      </c>
      <c r="F10762" s="168" t="s">
        <v>3009</v>
      </c>
      <c r="G10762" s="98" t="str">
        <f>HYPERLINK("http://mirror.ff7data.com.ar/ff7/data/battle/battle.lgp/sdcp.png","View Picture")</f>
        <v>View Picture</v>
      </c>
    </row>
    <row r="10763">
      <c r="A10763" s="40"/>
      <c r="B10763" s="119" t="s">
        <v>43454</v>
      </c>
      <c r="C10763" s="120" t="s">
        <v>14980</v>
      </c>
      <c r="D10763" s="33" t="s">
        <v>43369</v>
      </c>
      <c r="E10763" s="17" t="s">
        <v>1393</v>
      </c>
      <c r="F10763" s="168" t="s">
        <v>3009</v>
      </c>
      <c r="G10763" s="98" t="str">
        <f>HYPERLINK("http://mirror.ff7data.com.ar/ff7/data/battle/battle.lgp/sdcq.png","View Picture")</f>
        <v>View Picture</v>
      </c>
    </row>
    <row r="10764">
      <c r="A10764" s="40"/>
      <c r="B10764" s="119" t="s">
        <v>43455</v>
      </c>
      <c r="C10764" s="120" t="s">
        <v>8261</v>
      </c>
      <c r="D10764" s="33" t="s">
        <v>43371</v>
      </c>
      <c r="E10764" s="17" t="s">
        <v>1393</v>
      </c>
      <c r="F10764" s="168" t="s">
        <v>3009</v>
      </c>
      <c r="G10764" s="98" t="str">
        <f>HYPERLINK("http://mirror.ff7data.com.ar/ff7/data/battle/battle.lgp/sdcr.png","View Picture")</f>
        <v>View Picture</v>
      </c>
    </row>
    <row r="10765">
      <c r="A10765" s="40"/>
      <c r="B10765" s="119" t="s">
        <v>43456</v>
      </c>
      <c r="C10765" s="120" t="s">
        <v>7062</v>
      </c>
      <c r="D10765" s="33" t="s">
        <v>43373</v>
      </c>
      <c r="E10765" s="17" t="s">
        <v>1393</v>
      </c>
      <c r="F10765" s="168" t="s">
        <v>3009</v>
      </c>
      <c r="G10765" s="98" t="str">
        <f>HYPERLINK("http://mirror.ff7data.com.ar/ff7/data/battle/battle.lgp/sdcs.png","View Picture")</f>
        <v>View Picture</v>
      </c>
    </row>
    <row r="10766">
      <c r="A10766" s="40"/>
      <c r="B10766" s="119" t="s">
        <v>43457</v>
      </c>
      <c r="C10766" s="120" t="s">
        <v>7062</v>
      </c>
      <c r="D10766" s="33" t="s">
        <v>43375</v>
      </c>
      <c r="E10766" s="17" t="s">
        <v>1393</v>
      </c>
      <c r="F10766" s="168" t="s">
        <v>3009</v>
      </c>
      <c r="G10766" s="98" t="str">
        <f>HYPERLINK("http://mirror.ff7data.com.ar/ff7/data/battle/battle.lgp/sdct.png","View Picture")</f>
        <v>View Picture</v>
      </c>
    </row>
    <row r="10767">
      <c r="A10767" s="40"/>
      <c r="B10767" s="119" t="s">
        <v>43458</v>
      </c>
      <c r="C10767" s="120" t="s">
        <v>7081</v>
      </c>
      <c r="D10767" s="33" t="s">
        <v>43377</v>
      </c>
      <c r="E10767" s="17" t="s">
        <v>1393</v>
      </c>
      <c r="F10767" s="168" t="s">
        <v>3009</v>
      </c>
      <c r="G10767" s="98" t="str">
        <f>HYPERLINK("http://mirror.ff7data.com.ar/ff7/data/battle/battle.lgp/sdcu.png","View Picture")</f>
        <v>View Picture</v>
      </c>
    </row>
    <row r="10768">
      <c r="A10768" s="40"/>
      <c r="B10768" s="119" t="s">
        <v>43459</v>
      </c>
      <c r="C10768" s="120" t="s">
        <v>18144</v>
      </c>
      <c r="D10768" s="33" t="s">
        <v>43379</v>
      </c>
      <c r="E10768" s="17" t="s">
        <v>1393</v>
      </c>
      <c r="F10768" s="168" t="s">
        <v>3009</v>
      </c>
      <c r="G10768" s="98" t="str">
        <f>HYPERLINK("http://mirror.ff7data.com.ar/ff7/data/battle/battle.lgp/sdcv.png","View Picture")</f>
        <v>View Picture</v>
      </c>
    </row>
    <row r="10769">
      <c r="A10769" s="40"/>
      <c r="B10769" s="119" t="s">
        <v>43460</v>
      </c>
      <c r="C10769" s="120" t="s">
        <v>7081</v>
      </c>
      <c r="D10769" s="33" t="s">
        <v>43381</v>
      </c>
      <c r="E10769" s="17" t="s">
        <v>1393</v>
      </c>
      <c r="F10769" s="168" t="s">
        <v>3009</v>
      </c>
      <c r="G10769" s="98" t="str">
        <f>HYPERLINK("http://mirror.ff7data.com.ar/ff7/data/battle/battle.lgp/sdcw.png","View Picture")</f>
        <v>View Picture</v>
      </c>
    </row>
    <row r="10770">
      <c r="A10770" s="40"/>
      <c r="B10770" s="119" t="s">
        <v>43461</v>
      </c>
      <c r="C10770" s="120" t="s">
        <v>5925</v>
      </c>
      <c r="D10770" s="33" t="s">
        <v>43383</v>
      </c>
      <c r="E10770" s="17" t="s">
        <v>1393</v>
      </c>
      <c r="F10770" s="168" t="s">
        <v>3009</v>
      </c>
      <c r="G10770" s="98" t="str">
        <f>HYPERLINK("http://mirror.ff7data.com.ar/ff7/data/battle/battle.lgp/sdcx.png","View Picture")</f>
        <v>View Picture</v>
      </c>
    </row>
    <row r="10771">
      <c r="A10771" s="40"/>
      <c r="B10771" s="119" t="s">
        <v>43462</v>
      </c>
      <c r="C10771" s="120" t="s">
        <v>10195</v>
      </c>
      <c r="D10771" s="33" t="s">
        <v>43385</v>
      </c>
      <c r="E10771" s="17" t="s">
        <v>1393</v>
      </c>
      <c r="F10771" s="168" t="s">
        <v>3009</v>
      </c>
      <c r="G10771" s="98" t="str">
        <f>HYPERLINK("http://mirror.ff7data.com.ar/ff7/data/battle/battle.lgp/sdcy.png","View Picture")</f>
        <v>View Picture</v>
      </c>
    </row>
    <row r="10772">
      <c r="A10772" s="40"/>
      <c r="B10772" s="119" t="s">
        <v>43463</v>
      </c>
      <c r="C10772" s="120" t="s">
        <v>7471</v>
      </c>
      <c r="D10772" s="33" t="s">
        <v>43387</v>
      </c>
      <c r="E10772" s="17" t="s">
        <v>1393</v>
      </c>
      <c r="F10772" s="168" t="s">
        <v>3009</v>
      </c>
      <c r="G10772" s="98" t="str">
        <f>HYPERLINK("http://mirror.ff7data.com.ar/ff7/data/battle/battle.lgp/sdcz.png","View Picture")</f>
        <v>View Picture</v>
      </c>
    </row>
    <row r="10773">
      <c r="A10773" s="55"/>
      <c r="B10773" s="119" t="s">
        <v>43464</v>
      </c>
      <c r="C10773" s="120" t="s">
        <v>8550</v>
      </c>
      <c r="D10773" s="33" t="s">
        <v>43318</v>
      </c>
      <c r="E10773" s="17" t="s">
        <v>1393</v>
      </c>
      <c r="F10773" s="168" t="s">
        <v>3025</v>
      </c>
    </row>
    <row r="10774">
      <c r="A10774" s="82"/>
      <c r="B10774" s="119" t="s">
        <v>43465</v>
      </c>
      <c r="C10774" s="120" t="s">
        <v>11751</v>
      </c>
      <c r="D10774" s="33" t="s">
        <v>43316</v>
      </c>
      <c r="E10774" s="51" t="s">
        <v>1395</v>
      </c>
      <c r="F10774" s="121" t="s">
        <v>2971</v>
      </c>
      <c r="G10774" s="98" t="str">
        <f>HYPERLINK("http://mirror.ff7data.com.ar/ff7/data/battle/battle.lgp/seaa.png","View Picture")</f>
        <v>View Picture</v>
      </c>
    </row>
    <row r="10775">
      <c r="A10775" s="55"/>
      <c r="B10775" s="119" t="s">
        <v>43466</v>
      </c>
      <c r="C10775" s="120" t="s">
        <v>11112</v>
      </c>
      <c r="D10775" s="33" t="s">
        <v>43318</v>
      </c>
      <c r="E10775" s="51" t="s">
        <v>1395</v>
      </c>
      <c r="F10775" s="121" t="s">
        <v>2993</v>
      </c>
    </row>
    <row r="10776">
      <c r="A10776" s="40"/>
      <c r="B10776" s="119" t="s">
        <v>43467</v>
      </c>
      <c r="C10776" s="120" t="s">
        <v>7081</v>
      </c>
      <c r="D10776" s="33" t="s">
        <v>43320</v>
      </c>
      <c r="E10776" s="51" t="s">
        <v>1395</v>
      </c>
      <c r="F10776" s="121" t="s">
        <v>1348</v>
      </c>
      <c r="G10776" s="98" t="str">
        <f>HYPERLINK("http://mirror.ff7data.com.ar/ff7/data/battle/battle.lgp/seac.png","View Picture")</f>
        <v>View Picture</v>
      </c>
    </row>
    <row r="10777">
      <c r="A10777" s="40"/>
      <c r="B10777" s="119" t="s">
        <v>43468</v>
      </c>
      <c r="C10777" s="120" t="s">
        <v>7081</v>
      </c>
      <c r="D10777" s="33" t="s">
        <v>43322</v>
      </c>
      <c r="E10777" s="51" t="s">
        <v>1395</v>
      </c>
      <c r="F10777" s="121" t="s">
        <v>1348</v>
      </c>
      <c r="G10777" s="98" t="str">
        <f>HYPERLINK("http://mirror.ff7data.com.ar/ff7/data/battle/battle.lgp/sead.png","View Picture")</f>
        <v>View Picture</v>
      </c>
    </row>
    <row r="10778">
      <c r="A10778" s="40"/>
      <c r="B10778" s="119" t="s">
        <v>43469</v>
      </c>
      <c r="C10778" s="120" t="s">
        <v>3671</v>
      </c>
      <c r="D10778" s="33" t="s">
        <v>43324</v>
      </c>
      <c r="E10778" s="51" t="s">
        <v>1395</v>
      </c>
      <c r="F10778" s="121" t="s">
        <v>3009</v>
      </c>
      <c r="G10778" s="98" t="str">
        <f>HYPERLINK("http://mirror.ff7data.com.ar/ff7/data/battle/battle.lgp/seae.png","View Picture")</f>
        <v>View Picture</v>
      </c>
    </row>
    <row r="10779">
      <c r="A10779" s="40"/>
      <c r="B10779" s="119" t="s">
        <v>43470</v>
      </c>
      <c r="C10779" s="120" t="s">
        <v>7501</v>
      </c>
      <c r="D10779" s="33" t="s">
        <v>43326</v>
      </c>
      <c r="E10779" s="51" t="s">
        <v>1395</v>
      </c>
      <c r="F10779" s="121" t="s">
        <v>3009</v>
      </c>
      <c r="G10779" s="98" t="str">
        <f>HYPERLINK("http://mirror.ff7data.com.ar/ff7/data/battle/battle.lgp/seam.png","View Picture")</f>
        <v>View Picture</v>
      </c>
    </row>
    <row r="10780">
      <c r="A10780" s="40"/>
      <c r="B10780" s="119" t="s">
        <v>43471</v>
      </c>
      <c r="C10780" s="120" t="s">
        <v>4167</v>
      </c>
      <c r="D10780" s="33" t="s">
        <v>43328</v>
      </c>
      <c r="E10780" s="51" t="s">
        <v>1395</v>
      </c>
      <c r="F10780" s="121" t="s">
        <v>3009</v>
      </c>
      <c r="G10780" s="98" t="str">
        <f>HYPERLINK("http://mirror.ff7data.com.ar/ff7/data/battle/battle.lgp/sean.png","View Picture")</f>
        <v>View Picture</v>
      </c>
    </row>
    <row r="10781">
      <c r="A10781" s="40"/>
      <c r="B10781" s="119" t="s">
        <v>43472</v>
      </c>
      <c r="C10781" s="120" t="s">
        <v>3318</v>
      </c>
      <c r="D10781" s="33" t="s">
        <v>7898</v>
      </c>
      <c r="E10781" s="51" t="s">
        <v>1395</v>
      </c>
      <c r="F10781" s="121" t="s">
        <v>3009</v>
      </c>
      <c r="G10781" s="98" t="str">
        <f>HYPERLINK("http://mirror.ff7data.com.ar/ff7/data/battle/battle.lgp/seao.png","View Picture")</f>
        <v>View Picture</v>
      </c>
    </row>
    <row r="10782">
      <c r="A10782" s="40"/>
      <c r="B10782" s="119" t="s">
        <v>43473</v>
      </c>
      <c r="C10782" s="120" t="s">
        <v>3749</v>
      </c>
      <c r="D10782" s="33" t="s">
        <v>43331</v>
      </c>
      <c r="E10782" s="51" t="s">
        <v>1395</v>
      </c>
      <c r="F10782" s="121" t="s">
        <v>3009</v>
      </c>
      <c r="G10782" s="98" t="str">
        <f>HYPERLINK("http://mirror.ff7data.com.ar/ff7/data/battle/battle.lgp/sear.png","View Picture")</f>
        <v>View Picture</v>
      </c>
    </row>
    <row r="10783">
      <c r="A10783" s="40"/>
      <c r="B10783" s="119" t="s">
        <v>43474</v>
      </c>
      <c r="C10783" s="120" t="s">
        <v>3412</v>
      </c>
      <c r="D10783" s="33" t="s">
        <v>43333</v>
      </c>
      <c r="E10783" s="51" t="s">
        <v>1395</v>
      </c>
      <c r="F10783" s="121" t="s">
        <v>3009</v>
      </c>
      <c r="G10783" s="98" t="str">
        <f>HYPERLINK("http://mirror.ff7data.com.ar/ff7/data/battle/battle.lgp/seas.png","View Picture")</f>
        <v>View Picture</v>
      </c>
    </row>
    <row r="10784">
      <c r="A10784" s="40"/>
      <c r="B10784" s="119" t="s">
        <v>43475</v>
      </c>
      <c r="C10784" s="120" t="s">
        <v>3648</v>
      </c>
      <c r="D10784" s="33" t="s">
        <v>43335</v>
      </c>
      <c r="E10784" s="51" t="s">
        <v>1395</v>
      </c>
      <c r="F10784" s="121" t="s">
        <v>3009</v>
      </c>
      <c r="G10784" s="98" t="str">
        <f>HYPERLINK("http://mirror.ff7data.com.ar/ff7/data/battle/battle.lgp/seat.png","View Picture")</f>
        <v>View Picture</v>
      </c>
    </row>
    <row r="10785">
      <c r="A10785" s="40"/>
      <c r="B10785" s="119" t="s">
        <v>43476</v>
      </c>
      <c r="C10785" s="120" t="s">
        <v>4357</v>
      </c>
      <c r="D10785" s="33" t="s">
        <v>43337</v>
      </c>
      <c r="E10785" s="51" t="s">
        <v>1395</v>
      </c>
      <c r="F10785" s="121" t="s">
        <v>3009</v>
      </c>
      <c r="G10785" s="98" t="str">
        <f>HYPERLINK("http://mirror.ff7data.com.ar/ff7/data/battle/battle.lgp/seaw.png","View Picture")</f>
        <v>View Picture</v>
      </c>
    </row>
    <row r="10786">
      <c r="A10786" s="40"/>
      <c r="B10786" s="119" t="s">
        <v>43477</v>
      </c>
      <c r="C10786" s="120" t="s">
        <v>10078</v>
      </c>
      <c r="D10786" s="33" t="s">
        <v>43339</v>
      </c>
      <c r="E10786" s="51" t="s">
        <v>1395</v>
      </c>
      <c r="F10786" s="121" t="s">
        <v>3009</v>
      </c>
      <c r="G10786" s="98" t="str">
        <f>HYPERLINK("http://mirror.ff7data.com.ar/ff7/data/battle/battle.lgp/seax.png","View Picture")</f>
        <v>View Picture</v>
      </c>
    </row>
    <row r="10787">
      <c r="A10787" s="40"/>
      <c r="B10787" s="119" t="s">
        <v>43478</v>
      </c>
      <c r="C10787" s="120" t="s">
        <v>4057</v>
      </c>
      <c r="D10787" s="33" t="s">
        <v>43341</v>
      </c>
      <c r="E10787" s="51" t="s">
        <v>1395</v>
      </c>
      <c r="F10787" s="121" t="s">
        <v>3009</v>
      </c>
      <c r="G10787" s="98" t="str">
        <f>HYPERLINK("http://mirror.ff7data.com.ar/ff7/data/battle/battle.lgp/seaz.png","View Picture")</f>
        <v>View Picture</v>
      </c>
    </row>
    <row r="10788">
      <c r="A10788" s="40"/>
      <c r="B10788" s="119" t="s">
        <v>43479</v>
      </c>
      <c r="C10788" s="120" t="s">
        <v>3648</v>
      </c>
      <c r="D10788" s="33" t="s">
        <v>43343</v>
      </c>
      <c r="E10788" s="51" t="s">
        <v>1395</v>
      </c>
      <c r="F10788" s="121" t="s">
        <v>3009</v>
      </c>
      <c r="G10788" s="98" t="str">
        <f>HYPERLINK("http://mirror.ff7data.com.ar/ff7/data/battle/battle.lgp/seba.png","View Picture")</f>
        <v>View Picture</v>
      </c>
    </row>
    <row r="10789">
      <c r="A10789" s="40"/>
      <c r="B10789" s="119" t="s">
        <v>43480</v>
      </c>
      <c r="C10789" s="120" t="s">
        <v>7165</v>
      </c>
      <c r="D10789" s="33" t="s">
        <v>43345</v>
      </c>
      <c r="E10789" s="51" t="s">
        <v>1395</v>
      </c>
      <c r="F10789" s="121" t="s">
        <v>3009</v>
      </c>
      <c r="G10789" s="98" t="str">
        <f>HYPERLINK("http://mirror.ff7data.com.ar/ff7/data/battle/battle.lgp/sebb.png","View Picture")</f>
        <v>View Picture</v>
      </c>
    </row>
    <row r="10790">
      <c r="A10790" s="40"/>
      <c r="B10790" s="119" t="s">
        <v>43481</v>
      </c>
      <c r="C10790" s="120" t="s">
        <v>4057</v>
      </c>
      <c r="D10790" s="33" t="s">
        <v>43347</v>
      </c>
      <c r="E10790" s="51" t="s">
        <v>1395</v>
      </c>
      <c r="F10790" s="121" t="s">
        <v>3009</v>
      </c>
      <c r="G10790" s="98" t="str">
        <f>HYPERLINK("http://mirror.ff7data.com.ar/ff7/data/battle/battle.lgp/sebc.png","View Picture")</f>
        <v>View Picture</v>
      </c>
    </row>
    <row r="10791">
      <c r="A10791" s="40"/>
      <c r="B10791" s="119" t="s">
        <v>43482</v>
      </c>
      <c r="C10791" s="120" t="s">
        <v>4057</v>
      </c>
      <c r="D10791" s="33" t="s">
        <v>43349</v>
      </c>
      <c r="E10791" s="51" t="s">
        <v>1395</v>
      </c>
      <c r="F10791" s="121" t="s">
        <v>3009</v>
      </c>
      <c r="G10791" s="98" t="str">
        <f>HYPERLINK("http://mirror.ff7data.com.ar/ff7/data/battle/battle.lgp/sebe.png","View Picture")</f>
        <v>View Picture</v>
      </c>
    </row>
    <row r="10792">
      <c r="A10792" s="40"/>
      <c r="B10792" s="119" t="s">
        <v>43483</v>
      </c>
      <c r="C10792" s="120" t="s">
        <v>3648</v>
      </c>
      <c r="D10792" s="33" t="s">
        <v>43351</v>
      </c>
      <c r="E10792" s="51" t="s">
        <v>1395</v>
      </c>
      <c r="F10792" s="121" t="s">
        <v>3009</v>
      </c>
      <c r="G10792" s="98" t="str">
        <f>HYPERLINK("http://mirror.ff7data.com.ar/ff7/data/battle/battle.lgp/sebf.png","View Picture")</f>
        <v>View Picture</v>
      </c>
    </row>
    <row r="10793">
      <c r="A10793" s="40"/>
      <c r="B10793" s="119" t="s">
        <v>43484</v>
      </c>
      <c r="C10793" s="120" t="s">
        <v>3658</v>
      </c>
      <c r="D10793" s="33" t="s">
        <v>43353</v>
      </c>
      <c r="E10793" s="51" t="s">
        <v>1395</v>
      </c>
      <c r="F10793" s="121" t="s">
        <v>3009</v>
      </c>
      <c r="G10793" s="98" t="str">
        <f>HYPERLINK("http://mirror.ff7data.com.ar/ff7/data/battle/battle.lgp/sebg.png","View Picture")</f>
        <v>View Picture</v>
      </c>
    </row>
    <row r="10794">
      <c r="A10794" s="40"/>
      <c r="B10794" s="119" t="s">
        <v>43485</v>
      </c>
      <c r="C10794" s="120" t="s">
        <v>5419</v>
      </c>
      <c r="D10794" s="33" t="s">
        <v>43355</v>
      </c>
      <c r="E10794" s="51" t="s">
        <v>1395</v>
      </c>
      <c r="F10794" s="121" t="s">
        <v>3009</v>
      </c>
      <c r="G10794" s="98" t="str">
        <f>HYPERLINK("http://mirror.ff7data.com.ar/ff7/data/battle/battle.lgp/sebh.png","View Picture")</f>
        <v>View Picture</v>
      </c>
    </row>
    <row r="10795">
      <c r="A10795" s="40"/>
      <c r="B10795" s="119" t="s">
        <v>43486</v>
      </c>
      <c r="C10795" s="120" t="s">
        <v>9041</v>
      </c>
      <c r="D10795" s="33" t="s">
        <v>43357</v>
      </c>
      <c r="E10795" s="51" t="s">
        <v>1395</v>
      </c>
      <c r="F10795" s="121" t="s">
        <v>3009</v>
      </c>
      <c r="G10795" s="98" t="str">
        <f>HYPERLINK("http://mirror.ff7data.com.ar/ff7/data/battle/battle.lgp/seck.png","View Picture")</f>
        <v>View Picture</v>
      </c>
    </row>
    <row r="10796">
      <c r="A10796" s="40"/>
      <c r="B10796" s="119" t="s">
        <v>43487</v>
      </c>
      <c r="C10796" s="120" t="s">
        <v>14980</v>
      </c>
      <c r="D10796" s="33" t="s">
        <v>43359</v>
      </c>
      <c r="E10796" s="51" t="s">
        <v>1395</v>
      </c>
      <c r="F10796" s="121" t="s">
        <v>3009</v>
      </c>
      <c r="G10796" s="98" t="str">
        <f>HYPERLINK("http://mirror.ff7data.com.ar/ff7/data/battle/battle.lgp/secl.png","View Picture")</f>
        <v>View Picture</v>
      </c>
    </row>
    <row r="10797">
      <c r="A10797" s="40"/>
      <c r="B10797" s="119" t="s">
        <v>43488</v>
      </c>
      <c r="C10797" s="120" t="s">
        <v>18406</v>
      </c>
      <c r="D10797" s="33" t="s">
        <v>43361</v>
      </c>
      <c r="E10797" s="51" t="s">
        <v>1395</v>
      </c>
      <c r="F10797" s="121" t="s">
        <v>3009</v>
      </c>
      <c r="G10797" s="98" t="str">
        <f>HYPERLINK("http://mirror.ff7data.com.ar/ff7/data/battle/battle.lgp/secm.png","View Picture")</f>
        <v>View Picture</v>
      </c>
    </row>
    <row r="10798">
      <c r="A10798" s="40"/>
      <c r="B10798" s="119" t="s">
        <v>43489</v>
      </c>
      <c r="C10798" s="120" t="s">
        <v>4240</v>
      </c>
      <c r="D10798" s="33" t="s">
        <v>43363</v>
      </c>
      <c r="E10798" s="51" t="s">
        <v>1395</v>
      </c>
      <c r="F10798" s="121" t="s">
        <v>3009</v>
      </c>
      <c r="G10798" s="98" t="str">
        <f>HYPERLINK("http://mirror.ff7data.com.ar/ff7/data/battle/battle.lgp/secn.png","View Picture")</f>
        <v>View Picture</v>
      </c>
    </row>
    <row r="10799">
      <c r="A10799" s="40"/>
      <c r="B10799" s="119" t="s">
        <v>43490</v>
      </c>
      <c r="C10799" s="120" t="s">
        <v>3875</v>
      </c>
      <c r="D10799" s="33" t="s">
        <v>43365</v>
      </c>
      <c r="E10799" s="51" t="s">
        <v>1395</v>
      </c>
      <c r="F10799" s="121" t="s">
        <v>3009</v>
      </c>
      <c r="G10799" s="98" t="str">
        <f>HYPERLINK("http://mirror.ff7data.com.ar/ff7/data/battle/battle.lgp/seco.png","View Picture")</f>
        <v>View Picture</v>
      </c>
    </row>
    <row r="10800">
      <c r="A10800" s="40"/>
      <c r="B10800" s="119" t="s">
        <v>43491</v>
      </c>
      <c r="C10800" s="120" t="s">
        <v>7062</v>
      </c>
      <c r="D10800" s="33" t="s">
        <v>43367</v>
      </c>
      <c r="E10800" s="51" t="s">
        <v>1395</v>
      </c>
      <c r="F10800" s="121" t="s">
        <v>3009</v>
      </c>
      <c r="G10800" s="98" t="str">
        <f>HYPERLINK("http://mirror.ff7data.com.ar/ff7/data/battle/battle.lgp/secp.png","View Picture")</f>
        <v>View Picture</v>
      </c>
    </row>
    <row r="10801">
      <c r="A10801" s="40"/>
      <c r="B10801" s="119" t="s">
        <v>43492</v>
      </c>
      <c r="C10801" s="120" t="s">
        <v>14980</v>
      </c>
      <c r="D10801" s="33" t="s">
        <v>43369</v>
      </c>
      <c r="E10801" s="51" t="s">
        <v>1395</v>
      </c>
      <c r="F10801" s="121" t="s">
        <v>3009</v>
      </c>
      <c r="G10801" s="98" t="str">
        <f>HYPERLINK("http://mirror.ff7data.com.ar/ff7/data/battle/battle.lgp/secq.png","View Picture")</f>
        <v>View Picture</v>
      </c>
    </row>
    <row r="10802">
      <c r="A10802" s="40"/>
      <c r="B10802" s="119" t="s">
        <v>43493</v>
      </c>
      <c r="C10802" s="120" t="s">
        <v>8261</v>
      </c>
      <c r="D10802" s="33" t="s">
        <v>43371</v>
      </c>
      <c r="E10802" s="51" t="s">
        <v>1395</v>
      </c>
      <c r="F10802" s="121" t="s">
        <v>3009</v>
      </c>
      <c r="G10802" s="98" t="str">
        <f>HYPERLINK("http://mirror.ff7data.com.ar/ff7/data/battle/battle.lgp/secr.png","View Picture")</f>
        <v>View Picture</v>
      </c>
    </row>
    <row r="10803">
      <c r="A10803" s="40"/>
      <c r="B10803" s="119" t="s">
        <v>43494</v>
      </c>
      <c r="C10803" s="120" t="s">
        <v>7062</v>
      </c>
      <c r="D10803" s="33" t="s">
        <v>43373</v>
      </c>
      <c r="E10803" s="51" t="s">
        <v>1395</v>
      </c>
      <c r="F10803" s="121" t="s">
        <v>3009</v>
      </c>
      <c r="G10803" s="98" t="str">
        <f>HYPERLINK("http://mirror.ff7data.com.ar/ff7/data/battle/battle.lgp/secs.png","View Picture")</f>
        <v>View Picture</v>
      </c>
    </row>
    <row r="10804">
      <c r="A10804" s="40"/>
      <c r="B10804" s="119" t="s">
        <v>43495</v>
      </c>
      <c r="C10804" s="120" t="s">
        <v>7062</v>
      </c>
      <c r="D10804" s="33" t="s">
        <v>43375</v>
      </c>
      <c r="E10804" s="51" t="s">
        <v>1395</v>
      </c>
      <c r="F10804" s="121" t="s">
        <v>3009</v>
      </c>
      <c r="G10804" s="98" t="str">
        <f>HYPERLINK("http://mirror.ff7data.com.ar/ff7/data/battle/battle.lgp/sect.png","View Picture")</f>
        <v>View Picture</v>
      </c>
    </row>
    <row r="10805">
      <c r="A10805" s="40"/>
      <c r="B10805" s="119" t="s">
        <v>43496</v>
      </c>
      <c r="C10805" s="120" t="s">
        <v>7081</v>
      </c>
      <c r="D10805" s="33" t="s">
        <v>43377</v>
      </c>
      <c r="E10805" s="51" t="s">
        <v>1395</v>
      </c>
      <c r="F10805" s="121" t="s">
        <v>3009</v>
      </c>
      <c r="G10805" s="98" t="str">
        <f>HYPERLINK("http://mirror.ff7data.com.ar/ff7/data/battle/battle.lgp/secu.png","View Picture")</f>
        <v>View Picture</v>
      </c>
    </row>
    <row r="10806">
      <c r="A10806" s="40"/>
      <c r="B10806" s="119" t="s">
        <v>43497</v>
      </c>
      <c r="C10806" s="120" t="s">
        <v>18144</v>
      </c>
      <c r="D10806" s="33" t="s">
        <v>43379</v>
      </c>
      <c r="E10806" s="51" t="s">
        <v>1395</v>
      </c>
      <c r="F10806" s="121" t="s">
        <v>3009</v>
      </c>
      <c r="G10806" s="98" t="str">
        <f>HYPERLINK("http://mirror.ff7data.com.ar/ff7/data/battle/battle.lgp/secv.png","View Picture")</f>
        <v>View Picture</v>
      </c>
    </row>
    <row r="10807">
      <c r="A10807" s="40"/>
      <c r="B10807" s="119" t="s">
        <v>43498</v>
      </c>
      <c r="C10807" s="120" t="s">
        <v>7081</v>
      </c>
      <c r="D10807" s="33" t="s">
        <v>43381</v>
      </c>
      <c r="E10807" s="51" t="s">
        <v>1395</v>
      </c>
      <c r="F10807" s="121" t="s">
        <v>3009</v>
      </c>
      <c r="G10807" s="98" t="str">
        <f>HYPERLINK("http://mirror.ff7data.com.ar/ff7/data/battle/battle.lgp/secw.png","View Picture")</f>
        <v>View Picture</v>
      </c>
    </row>
    <row r="10808">
      <c r="A10808" s="40"/>
      <c r="B10808" s="119" t="s">
        <v>43499</v>
      </c>
      <c r="C10808" s="120" t="s">
        <v>5925</v>
      </c>
      <c r="D10808" s="33" t="s">
        <v>43383</v>
      </c>
      <c r="E10808" s="51" t="s">
        <v>1395</v>
      </c>
      <c r="F10808" s="121" t="s">
        <v>3009</v>
      </c>
      <c r="G10808" s="98" t="str">
        <f>HYPERLINK("http://mirror.ff7data.com.ar/ff7/data/battle/battle.lgp/secx.png","View Picture")</f>
        <v>View Picture</v>
      </c>
    </row>
    <row r="10809">
      <c r="A10809" s="40"/>
      <c r="B10809" s="119" t="s">
        <v>43500</v>
      </c>
      <c r="C10809" s="120" t="s">
        <v>10195</v>
      </c>
      <c r="D10809" s="33" t="s">
        <v>43385</v>
      </c>
      <c r="E10809" s="51" t="s">
        <v>1395</v>
      </c>
      <c r="F10809" s="121" t="s">
        <v>3009</v>
      </c>
      <c r="G10809" s="98" t="str">
        <f>HYPERLINK("http://mirror.ff7data.com.ar/ff7/data/battle/battle.lgp/secy.png","View Picture")</f>
        <v>View Picture</v>
      </c>
    </row>
    <row r="10810">
      <c r="A10810" s="40"/>
      <c r="B10810" s="119" t="s">
        <v>43501</v>
      </c>
      <c r="C10810" s="120" t="s">
        <v>7471</v>
      </c>
      <c r="D10810" s="33" t="s">
        <v>43387</v>
      </c>
      <c r="E10810" s="51" t="s">
        <v>1395</v>
      </c>
      <c r="F10810" s="121" t="s">
        <v>3009</v>
      </c>
      <c r="G10810" s="98" t="str">
        <f>HYPERLINK("http://mirror.ff7data.com.ar/ff7/data/battle/battle.lgp/secz.png","View Picture")</f>
        <v>View Picture</v>
      </c>
    </row>
    <row r="10811">
      <c r="A10811" s="55"/>
      <c r="B10811" s="119" t="s">
        <v>43502</v>
      </c>
      <c r="C10811" s="120" t="s">
        <v>8550</v>
      </c>
      <c r="D10811" s="33" t="s">
        <v>43318</v>
      </c>
      <c r="E10811" s="51" t="s">
        <v>1395</v>
      </c>
      <c r="F10811" s="121" t="s">
        <v>3025</v>
      </c>
    </row>
    <row r="10812" ht="22.5" customHeight="1">
      <c r="A10812" s="82"/>
      <c r="B10812" s="119" t="s">
        <v>43503</v>
      </c>
      <c r="C10812" s="120" t="s">
        <v>3007</v>
      </c>
      <c r="D10812" s="33" t="s">
        <v>43504</v>
      </c>
      <c r="E10812" s="17" t="s">
        <v>1786</v>
      </c>
      <c r="F10812" s="168" t="s">
        <v>2971</v>
      </c>
      <c r="G10812" s="98" t="str">
        <f>HYPERLINK("http://mirror.ff7data.com.ar/ff7/data/battle/battle.lgp/sfaa.png","View Picture")</f>
        <v>View Picture</v>
      </c>
      <c r="H10812" s="46" t="s">
        <v>43505</v>
      </c>
    </row>
    <row r="10813" ht="22.5" customHeight="1">
      <c r="A10813" s="55"/>
      <c r="B10813" s="119" t="s">
        <v>43506</v>
      </c>
      <c r="C10813" s="120" t="s">
        <v>26041</v>
      </c>
      <c r="D10813" s="33" t="s">
        <v>43507</v>
      </c>
      <c r="E10813" s="17" t="s">
        <v>1786</v>
      </c>
      <c r="F10813" s="168" t="s">
        <v>2993</v>
      </c>
      <c r="H10813" s="46" t="s">
        <v>43508</v>
      </c>
    </row>
    <row r="10814">
      <c r="A10814" s="40"/>
      <c r="B10814" s="119" t="s">
        <v>43509</v>
      </c>
      <c r="C10814" s="120" t="s">
        <v>3671</v>
      </c>
      <c r="D10814" s="33" t="s">
        <v>8088</v>
      </c>
      <c r="E10814" s="17" t="s">
        <v>1786</v>
      </c>
      <c r="F10814" s="168" t="s">
        <v>1348</v>
      </c>
      <c r="G10814" s="98" t="str">
        <f>HYPERLINK("http://mirror.ff7data.com.ar/ff7/data/battle/battle.lgp/sfac.png","View Picture")</f>
        <v>View Picture</v>
      </c>
      <c r="H10814" s="46" t="s">
        <v>43510</v>
      </c>
    </row>
    <row r="10815">
      <c r="A10815" s="40"/>
      <c r="B10815" s="119" t="s">
        <v>43511</v>
      </c>
      <c r="C10815" s="120" t="s">
        <v>7081</v>
      </c>
      <c r="D10815" s="33" t="s">
        <v>8095</v>
      </c>
      <c r="E10815" s="17" t="s">
        <v>1786</v>
      </c>
      <c r="F10815" s="168" t="s">
        <v>1348</v>
      </c>
      <c r="G10815" s="98" t="str">
        <f>HYPERLINK("http://mirror.ff7data.com.ar/ff7/data/battle/battle.lgp/sfad.png","View Picture")</f>
        <v>View Picture</v>
      </c>
      <c r="H10815" s="46" t="s">
        <v>43510</v>
      </c>
    </row>
    <row r="10816">
      <c r="A10816" s="40"/>
      <c r="B10816" s="119" t="s">
        <v>43512</v>
      </c>
      <c r="C10816" s="120" t="s">
        <v>9441</v>
      </c>
      <c r="D10816" s="33" t="s">
        <v>43513</v>
      </c>
      <c r="E10816" s="17" t="s">
        <v>1786</v>
      </c>
      <c r="F10816" s="168" t="s">
        <v>3009</v>
      </c>
      <c r="G10816" s="98" t="str">
        <f>HYPERLINK("http://mirror.ff7data.com.ar/ff7/data/battle/battle.lgp/sfam.png","View Picture")</f>
        <v>View Picture</v>
      </c>
      <c r="H10816" s="46" t="s">
        <v>43510</v>
      </c>
    </row>
    <row r="10817">
      <c r="A10817" s="40"/>
      <c r="B10817" s="119" t="s">
        <v>43514</v>
      </c>
      <c r="C10817" s="120" t="s">
        <v>4191</v>
      </c>
      <c r="D10817" s="33" t="s">
        <v>8085</v>
      </c>
      <c r="E10817" s="17" t="s">
        <v>1786</v>
      </c>
      <c r="F10817" s="168" t="s">
        <v>3009</v>
      </c>
      <c r="G10817" s="98" t="str">
        <f>HYPERLINK("http://mirror.ff7data.com.ar/ff7/data/battle/battle.lgp/sfan.png","View Picture")</f>
        <v>View Picture</v>
      </c>
      <c r="H10817" s="46" t="s">
        <v>43510</v>
      </c>
    </row>
    <row r="10818">
      <c r="A10818" s="40"/>
      <c r="B10818" s="119" t="s">
        <v>43515</v>
      </c>
      <c r="C10818" s="120" t="s">
        <v>4439</v>
      </c>
      <c r="D10818" s="33" t="s">
        <v>43516</v>
      </c>
      <c r="E10818" s="17" t="s">
        <v>1786</v>
      </c>
      <c r="F10818" s="168" t="s">
        <v>3009</v>
      </c>
      <c r="G10818" s="98" t="str">
        <f>HYPERLINK("http://mirror.ff7data.com.ar/ff7/data/battle/battle.lgp/sfap.png","View Picture")</f>
        <v>View Picture</v>
      </c>
      <c r="H10818" s="46" t="s">
        <v>43510</v>
      </c>
    </row>
    <row r="10819">
      <c r="A10819" s="40"/>
      <c r="B10819" s="119" t="s">
        <v>43517</v>
      </c>
      <c r="C10819" s="120" t="s">
        <v>4264</v>
      </c>
      <c r="D10819" s="33" t="s">
        <v>43518</v>
      </c>
      <c r="E10819" s="17" t="s">
        <v>1786</v>
      </c>
      <c r="F10819" s="168" t="s">
        <v>3009</v>
      </c>
      <c r="G10819" s="98" t="str">
        <f>HYPERLINK("http://mirror.ff7data.com.ar/ff7/data/battle/battle.lgp/sfaq.png","View Picture")</f>
        <v>View Picture</v>
      </c>
      <c r="H10819" s="46" t="s">
        <v>43510</v>
      </c>
    </row>
    <row r="10820">
      <c r="A10820" s="40"/>
      <c r="B10820" s="119" t="s">
        <v>43519</v>
      </c>
      <c r="C10820" s="120" t="s">
        <v>4883</v>
      </c>
      <c r="D10820" s="33" t="s">
        <v>43518</v>
      </c>
      <c r="E10820" s="17" t="s">
        <v>1786</v>
      </c>
      <c r="F10820" s="168" t="s">
        <v>3009</v>
      </c>
      <c r="G10820" s="98" t="str">
        <f>HYPERLINK("http://mirror.ff7data.com.ar/ff7/data/battle/battle.lgp/sfar.png","View Picture")</f>
        <v>View Picture</v>
      </c>
      <c r="H10820" s="46" t="s">
        <v>43510</v>
      </c>
    </row>
    <row r="10821">
      <c r="A10821" s="40"/>
      <c r="B10821" s="119" t="s">
        <v>43520</v>
      </c>
      <c r="C10821" s="120" t="s">
        <v>7148</v>
      </c>
      <c r="D10821" s="33" t="s">
        <v>43518</v>
      </c>
      <c r="E10821" s="17" t="s">
        <v>1786</v>
      </c>
      <c r="F10821" s="168" t="s">
        <v>3009</v>
      </c>
      <c r="G10821" s="98" t="str">
        <f>HYPERLINK("http://mirror.ff7data.com.ar/ff7/data/battle/battle.lgp/sfat.png","View Picture")</f>
        <v>View Picture</v>
      </c>
      <c r="H10821" s="46" t="s">
        <v>43510</v>
      </c>
    </row>
    <row r="10822">
      <c r="A10822" s="40"/>
      <c r="B10822" s="119" t="s">
        <v>43521</v>
      </c>
      <c r="C10822" s="120" t="s">
        <v>3007</v>
      </c>
      <c r="D10822" s="33" t="s">
        <v>43518</v>
      </c>
      <c r="E10822" s="17" t="s">
        <v>1786</v>
      </c>
      <c r="F10822" s="168" t="s">
        <v>3009</v>
      </c>
      <c r="G10822" s="98" t="str">
        <f>HYPERLINK("http://mirror.ff7data.com.ar/ff7/data/battle/battle.lgp/sfau.png","View Picture")</f>
        <v>View Picture</v>
      </c>
      <c r="H10822" s="46" t="s">
        <v>43510</v>
      </c>
    </row>
    <row r="10823">
      <c r="A10823" s="40"/>
      <c r="B10823" s="119" t="s">
        <v>43522</v>
      </c>
      <c r="C10823" s="120" t="s">
        <v>24131</v>
      </c>
      <c r="D10823" s="33" t="s">
        <v>43518</v>
      </c>
      <c r="E10823" s="17" t="s">
        <v>1786</v>
      </c>
      <c r="F10823" s="168" t="s">
        <v>3009</v>
      </c>
      <c r="G10823" s="98" t="str">
        <f>HYPERLINK("http://mirror.ff7data.com.ar/ff7/data/battle/battle.lgp/sfax.png","View Picture")</f>
        <v>View Picture</v>
      </c>
      <c r="H10823" s="46" t="s">
        <v>43510</v>
      </c>
    </row>
    <row r="10824">
      <c r="A10824" s="40"/>
      <c r="B10824" s="119" t="s">
        <v>43523</v>
      </c>
      <c r="C10824" s="120" t="s">
        <v>24131</v>
      </c>
      <c r="D10824" s="33" t="s">
        <v>43518</v>
      </c>
      <c r="E10824" s="17" t="s">
        <v>1786</v>
      </c>
      <c r="F10824" s="168" t="s">
        <v>3009</v>
      </c>
      <c r="G10824" s="98" t="str">
        <f>HYPERLINK("http://mirror.ff7data.com.ar/ff7/data/battle/battle.lgp/sfay.png","View Picture")</f>
        <v>View Picture</v>
      </c>
      <c r="H10824" s="46" t="s">
        <v>43510</v>
      </c>
    </row>
    <row r="10825">
      <c r="A10825" s="40"/>
      <c r="B10825" s="119" t="s">
        <v>43524</v>
      </c>
      <c r="C10825" s="120" t="s">
        <v>28156</v>
      </c>
      <c r="D10825" s="33" t="s">
        <v>43518</v>
      </c>
      <c r="E10825" s="17" t="s">
        <v>1786</v>
      </c>
      <c r="F10825" s="168" t="s">
        <v>3009</v>
      </c>
      <c r="G10825" s="98" t="str">
        <f>HYPERLINK("http://mirror.ff7data.com.ar/ff7/data/battle/battle.lgp/sfaz.png","View Picture")</f>
        <v>View Picture</v>
      </c>
      <c r="H10825" s="46" t="s">
        <v>43510</v>
      </c>
    </row>
    <row r="10826">
      <c r="A10826" s="40"/>
      <c r="B10826" s="119" t="s">
        <v>43525</v>
      </c>
      <c r="C10826" s="120" t="s">
        <v>24131</v>
      </c>
      <c r="D10826" s="33" t="s">
        <v>43518</v>
      </c>
      <c r="E10826" s="17" t="s">
        <v>1786</v>
      </c>
      <c r="F10826" s="168" t="s">
        <v>3009</v>
      </c>
      <c r="G10826" s="98" t="str">
        <f>HYPERLINK("http://mirror.ff7data.com.ar/ff7/data/battle/battle.lgp/sfbb.png","View Picture")</f>
        <v>View Picture</v>
      </c>
      <c r="H10826" s="46" t="s">
        <v>43510</v>
      </c>
    </row>
    <row r="10827">
      <c r="A10827" s="40"/>
      <c r="B10827" s="119" t="s">
        <v>43526</v>
      </c>
      <c r="C10827" s="120" t="s">
        <v>24131</v>
      </c>
      <c r="D10827" s="33" t="s">
        <v>43518</v>
      </c>
      <c r="E10827" s="17" t="s">
        <v>1786</v>
      </c>
      <c r="F10827" s="168" t="s">
        <v>3009</v>
      </c>
      <c r="G10827" s="98" t="str">
        <f>HYPERLINK("http://mirror.ff7data.com.ar/ff7/data/battle/battle.lgp/sfbc.png","View Picture")</f>
        <v>View Picture</v>
      </c>
      <c r="H10827" s="46" t="s">
        <v>43510</v>
      </c>
    </row>
    <row r="10828">
      <c r="A10828" s="40"/>
      <c r="B10828" s="119" t="s">
        <v>43527</v>
      </c>
      <c r="C10828" s="120" t="s">
        <v>20391</v>
      </c>
      <c r="D10828" s="33" t="s">
        <v>43518</v>
      </c>
      <c r="E10828" s="17" t="s">
        <v>1786</v>
      </c>
      <c r="F10828" s="168" t="s">
        <v>3009</v>
      </c>
      <c r="G10828" s="98" t="str">
        <f>HYPERLINK("http://mirror.ff7data.com.ar/ff7/data/battle/battle.lgp/sfbd.png","View Picture")</f>
        <v>View Picture</v>
      </c>
      <c r="H10828" s="46" t="s">
        <v>43510</v>
      </c>
    </row>
    <row r="10829">
      <c r="A10829" s="40"/>
      <c r="B10829" s="119" t="s">
        <v>43528</v>
      </c>
      <c r="C10829" s="120" t="s">
        <v>24131</v>
      </c>
      <c r="D10829" s="33" t="s">
        <v>43518</v>
      </c>
      <c r="E10829" s="17" t="s">
        <v>1786</v>
      </c>
      <c r="F10829" s="168" t="s">
        <v>3009</v>
      </c>
      <c r="G10829" s="98" t="str">
        <f>HYPERLINK("http://mirror.ff7data.com.ar/ff7/data/battle/battle.lgp/sfbf.png","View Picture")</f>
        <v>View Picture</v>
      </c>
      <c r="H10829" s="46" t="s">
        <v>43510</v>
      </c>
    </row>
    <row r="10830">
      <c r="A10830" s="40"/>
      <c r="B10830" s="119" t="s">
        <v>43529</v>
      </c>
      <c r="C10830" s="120" t="s">
        <v>36699</v>
      </c>
      <c r="D10830" s="33" t="s">
        <v>43518</v>
      </c>
      <c r="E10830" s="17" t="s">
        <v>1786</v>
      </c>
      <c r="F10830" s="168" t="s">
        <v>3009</v>
      </c>
      <c r="G10830" s="98" t="str">
        <f>HYPERLINK("http://mirror.ff7data.com.ar/ff7/data/battle/battle.lgp/sfbg.png","View Picture")</f>
        <v>View Picture</v>
      </c>
      <c r="H10830" s="46" t="s">
        <v>43510</v>
      </c>
    </row>
    <row r="10831">
      <c r="A10831" s="40"/>
      <c r="B10831" s="119" t="s">
        <v>43530</v>
      </c>
      <c r="C10831" s="120" t="s">
        <v>20391</v>
      </c>
      <c r="D10831" s="33" t="s">
        <v>43518</v>
      </c>
      <c r="E10831" s="17" t="s">
        <v>1786</v>
      </c>
      <c r="F10831" s="168" t="s">
        <v>3009</v>
      </c>
      <c r="G10831" s="98" t="str">
        <f>HYPERLINK("http://mirror.ff7data.com.ar/ff7/data/battle/battle.lgp/sfbh.png","View Picture")</f>
        <v>View Picture</v>
      </c>
      <c r="H10831" s="46" t="s">
        <v>43510</v>
      </c>
    </row>
    <row r="10832">
      <c r="A10832" s="40"/>
      <c r="B10832" s="119" t="s">
        <v>43531</v>
      </c>
      <c r="C10832" s="120" t="s">
        <v>24131</v>
      </c>
      <c r="D10832" s="33" t="s">
        <v>43518</v>
      </c>
      <c r="E10832" s="17" t="s">
        <v>1786</v>
      </c>
      <c r="F10832" s="168" t="s">
        <v>3009</v>
      </c>
      <c r="G10832" s="98" t="str">
        <f>HYPERLINK("http://mirror.ff7data.com.ar/ff7/data/battle/battle.lgp/sfbj.png","View Picture")</f>
        <v>View Picture</v>
      </c>
      <c r="H10832" s="46" t="s">
        <v>43510</v>
      </c>
    </row>
    <row r="10833">
      <c r="A10833" s="40"/>
      <c r="B10833" s="119" t="s">
        <v>43532</v>
      </c>
      <c r="C10833" s="120" t="s">
        <v>30420</v>
      </c>
      <c r="D10833" s="33" t="s">
        <v>43518</v>
      </c>
      <c r="E10833" s="17" t="s">
        <v>1786</v>
      </c>
      <c r="F10833" s="168" t="s">
        <v>3009</v>
      </c>
      <c r="G10833" s="98" t="str">
        <f>HYPERLINK("http://mirror.ff7data.com.ar/ff7/data/battle/battle.lgp/sfbk.png","View Picture")</f>
        <v>View Picture</v>
      </c>
      <c r="H10833" s="46" t="s">
        <v>43510</v>
      </c>
    </row>
    <row r="10834">
      <c r="A10834" s="40"/>
      <c r="B10834" s="119" t="s">
        <v>43533</v>
      </c>
      <c r="C10834" s="120" t="s">
        <v>28156</v>
      </c>
      <c r="D10834" s="33" t="s">
        <v>43518</v>
      </c>
      <c r="E10834" s="17" t="s">
        <v>1786</v>
      </c>
      <c r="F10834" s="168" t="s">
        <v>3009</v>
      </c>
      <c r="G10834" s="98" t="str">
        <f>HYPERLINK("http://mirror.ff7data.com.ar/ff7/data/battle/battle.lgp/sfbl.png","View Picture")</f>
        <v>View Picture</v>
      </c>
      <c r="H10834" s="46" t="s">
        <v>43510</v>
      </c>
    </row>
    <row r="10835">
      <c r="A10835" s="40"/>
      <c r="B10835" s="119" t="s">
        <v>43534</v>
      </c>
      <c r="C10835" s="120" t="s">
        <v>5891</v>
      </c>
      <c r="D10835" s="33" t="s">
        <v>43535</v>
      </c>
      <c r="E10835" s="17" t="s">
        <v>1786</v>
      </c>
      <c r="F10835" s="168" t="s">
        <v>3009</v>
      </c>
      <c r="G10835" s="98" t="str">
        <f>HYPERLINK("http://mirror.ff7data.com.ar/ff7/data/battle/battle.lgp/sfbm.png","View Picture")</f>
        <v>View Picture</v>
      </c>
      <c r="H10835" s="46" t="s">
        <v>43510</v>
      </c>
    </row>
    <row r="10836">
      <c r="A10836" s="40"/>
      <c r="B10836" s="119" t="s">
        <v>43536</v>
      </c>
      <c r="C10836" s="120" t="s">
        <v>6029</v>
      </c>
      <c r="D10836" s="33" t="s">
        <v>43537</v>
      </c>
      <c r="E10836" s="17" t="s">
        <v>1786</v>
      </c>
      <c r="F10836" s="168" t="s">
        <v>3009</v>
      </c>
      <c r="G10836" s="98" t="str">
        <f>HYPERLINK("http://mirror.ff7data.com.ar/ff7/data/battle/battle.lgp/sfbo.png","View Picture")</f>
        <v>View Picture</v>
      </c>
      <c r="H10836" s="46" t="s">
        <v>43510</v>
      </c>
    </row>
    <row r="10837">
      <c r="A10837" s="40"/>
      <c r="B10837" s="119" t="s">
        <v>43538</v>
      </c>
      <c r="C10837" s="120" t="s">
        <v>3355</v>
      </c>
      <c r="D10837" s="33" t="s">
        <v>43539</v>
      </c>
      <c r="E10837" s="17" t="s">
        <v>1786</v>
      </c>
      <c r="F10837" s="168" t="s">
        <v>3009</v>
      </c>
      <c r="G10837" s="98" t="str">
        <f>HYPERLINK("http://mirror.ff7data.com.ar/ff7/data/battle/battle.lgp/sfbp.png","View Picture")</f>
        <v>View Picture</v>
      </c>
      <c r="H10837" s="46" t="s">
        <v>43510</v>
      </c>
    </row>
    <row r="10838">
      <c r="A10838" s="40"/>
      <c r="B10838" s="119" t="s">
        <v>43540</v>
      </c>
      <c r="C10838" s="120" t="s">
        <v>6029</v>
      </c>
      <c r="D10838" s="33" t="s">
        <v>43541</v>
      </c>
      <c r="E10838" s="17" t="s">
        <v>1786</v>
      </c>
      <c r="F10838" s="168" t="s">
        <v>3009</v>
      </c>
      <c r="G10838" s="98" t="str">
        <f>HYPERLINK("http://mirror.ff7data.com.ar/ff7/data/battle/battle.lgp/sfbq.png","View Picture")</f>
        <v>View Picture</v>
      </c>
      <c r="H10838" s="46" t="s">
        <v>43510</v>
      </c>
    </row>
    <row r="10839">
      <c r="A10839" s="40"/>
      <c r="B10839" s="119" t="s">
        <v>43542</v>
      </c>
      <c r="C10839" s="120" t="s">
        <v>43543</v>
      </c>
      <c r="D10839" s="33" t="s">
        <v>43544</v>
      </c>
      <c r="E10839" s="17" t="s">
        <v>1786</v>
      </c>
      <c r="F10839" s="168" t="s">
        <v>3009</v>
      </c>
      <c r="G10839" s="98" t="str">
        <f>HYPERLINK("http://mirror.ff7data.com.ar/ff7/data/battle/battle.lgp/sfbr.png","View Picture")</f>
        <v>View Picture</v>
      </c>
      <c r="H10839" s="46" t="s">
        <v>43510</v>
      </c>
    </row>
    <row r="10840">
      <c r="A10840" s="40"/>
      <c r="B10840" s="119" t="s">
        <v>43545</v>
      </c>
      <c r="C10840" s="120" t="s">
        <v>4476</v>
      </c>
      <c r="D10840" s="33" t="s">
        <v>43546</v>
      </c>
      <c r="E10840" s="17" t="s">
        <v>1786</v>
      </c>
      <c r="F10840" s="168" t="s">
        <v>3009</v>
      </c>
      <c r="G10840" s="98" t="str">
        <f>HYPERLINK("http://mirror.ff7data.com.ar/ff7/data/battle/battle.lgp/sfbt.png","View Picture")</f>
        <v>View Picture</v>
      </c>
      <c r="H10840" s="46" t="s">
        <v>43510</v>
      </c>
    </row>
    <row r="10841">
      <c r="A10841" s="40"/>
      <c r="B10841" s="119" t="s">
        <v>43547</v>
      </c>
      <c r="C10841" s="120" t="s">
        <v>7301</v>
      </c>
      <c r="D10841" s="33" t="s">
        <v>43548</v>
      </c>
      <c r="E10841" s="17" t="s">
        <v>1786</v>
      </c>
      <c r="F10841" s="168" t="s">
        <v>3009</v>
      </c>
      <c r="G10841" s="98" t="str">
        <f>HYPERLINK("http://mirror.ff7data.com.ar/ff7/data/battle/battle.lgp/sfbu.png","View Picture")</f>
        <v>View Picture</v>
      </c>
      <c r="H10841" s="46" t="s">
        <v>43510</v>
      </c>
    </row>
    <row r="10842">
      <c r="A10842" s="40"/>
      <c r="B10842" s="119" t="s">
        <v>43549</v>
      </c>
      <c r="C10842" s="120" t="s">
        <v>6029</v>
      </c>
      <c r="D10842" s="33" t="s">
        <v>43550</v>
      </c>
      <c r="E10842" s="17" t="s">
        <v>1786</v>
      </c>
      <c r="F10842" s="168" t="s">
        <v>3009</v>
      </c>
      <c r="G10842" s="98" t="str">
        <f>HYPERLINK("http://mirror.ff7data.com.ar/ff7/data/battle/battle.lgp/sfbv.png","View Picture")</f>
        <v>View Picture</v>
      </c>
      <c r="H10842" s="46" t="s">
        <v>43510</v>
      </c>
    </row>
    <row r="10843">
      <c r="A10843" s="40"/>
      <c r="B10843" s="119" t="s">
        <v>43551</v>
      </c>
      <c r="C10843" s="120" t="s">
        <v>43543</v>
      </c>
      <c r="D10843" s="33" t="s">
        <v>43552</v>
      </c>
      <c r="E10843" s="17" t="s">
        <v>1786</v>
      </c>
      <c r="F10843" s="168" t="s">
        <v>3009</v>
      </c>
      <c r="G10843" s="98" t="str">
        <f>HYPERLINK("http://mirror.ff7data.com.ar/ff7/data/battle/battle.lgp/sfbw.png","View Picture")</f>
        <v>View Picture</v>
      </c>
      <c r="H10843" s="46" t="s">
        <v>43510</v>
      </c>
    </row>
    <row r="10844">
      <c r="A10844" s="40"/>
      <c r="B10844" s="119" t="s">
        <v>43553</v>
      </c>
      <c r="C10844" s="120" t="s">
        <v>4217</v>
      </c>
      <c r="D10844" s="33" t="s">
        <v>43554</v>
      </c>
      <c r="E10844" s="17" t="s">
        <v>1786</v>
      </c>
      <c r="F10844" s="168" t="s">
        <v>3009</v>
      </c>
      <c r="G10844" s="98" t="str">
        <f>HYPERLINK("http://mirror.ff7data.com.ar/ff7/data/battle/battle.lgp/sfbz.png","View Picture")</f>
        <v>View Picture</v>
      </c>
      <c r="H10844" s="46" t="s">
        <v>43510</v>
      </c>
    </row>
    <row r="10845">
      <c r="A10845" s="40"/>
      <c r="B10845" s="119" t="s">
        <v>43555</v>
      </c>
      <c r="C10845" s="120" t="s">
        <v>5891</v>
      </c>
      <c r="D10845" s="33" t="s">
        <v>43556</v>
      </c>
      <c r="E10845" s="17" t="s">
        <v>1786</v>
      </c>
      <c r="F10845" s="168" t="s">
        <v>3009</v>
      </c>
      <c r="G10845" s="98" t="str">
        <f>HYPERLINK("http://mirror.ff7data.com.ar/ff7/data/battle/battle.lgp/sfca.png","View Picture")</f>
        <v>View Picture</v>
      </c>
      <c r="H10845" s="46" t="s">
        <v>43510</v>
      </c>
    </row>
    <row r="10846">
      <c r="A10846" s="40"/>
      <c r="B10846" s="119" t="s">
        <v>43557</v>
      </c>
      <c r="C10846" s="120" t="s">
        <v>5203</v>
      </c>
      <c r="D10846" s="33" t="s">
        <v>43558</v>
      </c>
      <c r="E10846" s="17" t="s">
        <v>1786</v>
      </c>
      <c r="F10846" s="168" t="s">
        <v>3009</v>
      </c>
      <c r="G10846" s="98" t="str">
        <f>HYPERLINK("http://mirror.ff7data.com.ar/ff7/data/battle/battle.lgp/sfcb.png","View Picture")</f>
        <v>View Picture</v>
      </c>
      <c r="H10846" s="46" t="s">
        <v>43510</v>
      </c>
    </row>
    <row r="10847">
      <c r="A10847" s="40"/>
      <c r="B10847" s="119" t="s">
        <v>43559</v>
      </c>
      <c r="C10847" s="120" t="s">
        <v>3648</v>
      </c>
      <c r="D10847" s="33" t="s">
        <v>43560</v>
      </c>
      <c r="E10847" s="17" t="s">
        <v>1786</v>
      </c>
      <c r="F10847" s="168" t="s">
        <v>3009</v>
      </c>
      <c r="G10847" s="98" t="str">
        <f>HYPERLINK("http://mirror.ff7data.com.ar/ff7/data/battle/battle.lgp/sfce.png","View Picture")</f>
        <v>View Picture</v>
      </c>
      <c r="H10847" s="46" t="s">
        <v>43510</v>
      </c>
    </row>
    <row r="10848">
      <c r="A10848" s="40"/>
      <c r="B10848" s="119" t="s">
        <v>43561</v>
      </c>
      <c r="C10848" s="120" t="s">
        <v>4719</v>
      </c>
      <c r="D10848" s="33" t="s">
        <v>43562</v>
      </c>
      <c r="E10848" s="17" t="s">
        <v>1786</v>
      </c>
      <c r="F10848" s="168" t="s">
        <v>3009</v>
      </c>
      <c r="G10848" s="98" t="str">
        <f>HYPERLINK("http://mirror.ff7data.com.ar/ff7/data/battle/battle.lgp/sfcf.png","View Picture")</f>
        <v>View Picture</v>
      </c>
      <c r="H10848" s="46" t="s">
        <v>43510</v>
      </c>
    </row>
    <row r="10849">
      <c r="A10849" s="40"/>
      <c r="B10849" s="119" t="s">
        <v>43563</v>
      </c>
      <c r="C10849" s="120" t="s">
        <v>3723</v>
      </c>
      <c r="D10849" s="33" t="s">
        <v>43564</v>
      </c>
      <c r="E10849" s="17" t="s">
        <v>1786</v>
      </c>
      <c r="F10849" s="168" t="s">
        <v>3009</v>
      </c>
      <c r="G10849" s="98" t="str">
        <f>HYPERLINK("http://mirror.ff7data.com.ar/ff7/data/battle/battle.lgp/sfcg.png","View Picture")</f>
        <v>View Picture</v>
      </c>
      <c r="H10849" s="46" t="s">
        <v>43510</v>
      </c>
    </row>
    <row r="10850">
      <c r="A10850" s="40"/>
      <c r="B10850" s="119" t="s">
        <v>43565</v>
      </c>
      <c r="C10850" s="120" t="s">
        <v>8376</v>
      </c>
      <c r="D10850" s="33" t="s">
        <v>43566</v>
      </c>
      <c r="E10850" s="17" t="s">
        <v>1786</v>
      </c>
      <c r="F10850" s="168" t="s">
        <v>3009</v>
      </c>
      <c r="G10850" s="98" t="str">
        <f>HYPERLINK("http://mirror.ff7data.com.ar/ff7/data/battle/battle.lgp/sfck.png","View Picture")</f>
        <v>View Picture</v>
      </c>
      <c r="H10850" s="46" t="s">
        <v>43510</v>
      </c>
    </row>
    <row r="10851">
      <c r="A10851" s="40"/>
      <c r="B10851" s="119" t="s">
        <v>43567</v>
      </c>
      <c r="C10851" s="120" t="s">
        <v>5925</v>
      </c>
      <c r="D10851" s="33" t="s">
        <v>43568</v>
      </c>
      <c r="E10851" s="17" t="s">
        <v>1786</v>
      </c>
      <c r="F10851" s="168" t="s">
        <v>3009</v>
      </c>
      <c r="G10851" s="98" t="str">
        <f>HYPERLINK("http://mirror.ff7data.com.ar/ff7/data/battle/battle.lgp/sfcl.png","View Picture")</f>
        <v>View Picture</v>
      </c>
      <c r="H10851" s="46" t="s">
        <v>43510</v>
      </c>
    </row>
    <row r="10852">
      <c r="A10852" s="40"/>
      <c r="B10852" s="119" t="s">
        <v>43569</v>
      </c>
      <c r="C10852" s="120" t="s">
        <v>3875</v>
      </c>
      <c r="D10852" s="33" t="s">
        <v>43570</v>
      </c>
      <c r="E10852" s="17" t="s">
        <v>1786</v>
      </c>
      <c r="F10852" s="168" t="s">
        <v>3009</v>
      </c>
      <c r="G10852" s="98" t="str">
        <f>HYPERLINK("http://mirror.ff7data.com.ar/ff7/data/battle/battle.lgp/sfcm.png","View Picture")</f>
        <v>View Picture</v>
      </c>
      <c r="H10852" s="46" t="s">
        <v>43510</v>
      </c>
    </row>
    <row r="10853">
      <c r="A10853" s="40"/>
      <c r="B10853" s="119" t="s">
        <v>43571</v>
      </c>
      <c r="C10853" s="120" t="s">
        <v>7129</v>
      </c>
      <c r="D10853" s="33" t="s">
        <v>43572</v>
      </c>
      <c r="E10853" s="17" t="s">
        <v>1786</v>
      </c>
      <c r="F10853" s="168" t="s">
        <v>3009</v>
      </c>
      <c r="G10853" s="98" t="str">
        <f>HYPERLINK("http://mirror.ff7data.com.ar/ff7/data/battle/battle.lgp/sfcn.png","View Picture")</f>
        <v>View Picture</v>
      </c>
      <c r="H10853" s="46" t="s">
        <v>43510</v>
      </c>
    </row>
    <row r="10854">
      <c r="A10854" s="40"/>
      <c r="B10854" s="119" t="s">
        <v>43573</v>
      </c>
      <c r="C10854" s="120" t="s">
        <v>3875</v>
      </c>
      <c r="D10854" s="33" t="s">
        <v>43574</v>
      </c>
      <c r="E10854" s="17" t="s">
        <v>1786</v>
      </c>
      <c r="F10854" s="168" t="s">
        <v>3009</v>
      </c>
      <c r="G10854" s="98" t="str">
        <f>HYPERLINK("http://mirror.ff7data.com.ar/ff7/data/battle/battle.lgp/sfco.png","View Picture")</f>
        <v>View Picture</v>
      </c>
      <c r="H10854" s="46" t="s">
        <v>43510</v>
      </c>
    </row>
    <row r="10855">
      <c r="A10855" s="40"/>
      <c r="B10855" s="119" t="s">
        <v>43575</v>
      </c>
      <c r="C10855" s="120" t="s">
        <v>5573</v>
      </c>
      <c r="D10855" s="33" t="s">
        <v>43576</v>
      </c>
      <c r="E10855" s="17" t="s">
        <v>1786</v>
      </c>
      <c r="F10855" s="168" t="s">
        <v>3009</v>
      </c>
      <c r="G10855" s="98" t="str">
        <f>HYPERLINK("http://mirror.ff7data.com.ar/ff7/data/battle/battle.lgp/sfcp.png","View Picture")</f>
        <v>View Picture</v>
      </c>
      <c r="H10855" s="46" t="s">
        <v>43510</v>
      </c>
    </row>
    <row r="10856">
      <c r="A10856" s="40"/>
      <c r="B10856" s="119" t="s">
        <v>43577</v>
      </c>
      <c r="C10856" s="120" t="s">
        <v>13619</v>
      </c>
      <c r="D10856" s="33" t="s">
        <v>43578</v>
      </c>
      <c r="E10856" s="17" t="s">
        <v>1786</v>
      </c>
      <c r="F10856" s="168" t="s">
        <v>3009</v>
      </c>
      <c r="G10856" s="98" t="str">
        <f>HYPERLINK("http://mirror.ff7data.com.ar/ff7/data/battle/battle.lgp/sfcq.png","View Picture")</f>
        <v>View Picture</v>
      </c>
      <c r="H10856" s="46" t="s">
        <v>43510</v>
      </c>
    </row>
    <row r="10857">
      <c r="A10857" s="40"/>
      <c r="B10857" s="119" t="s">
        <v>43579</v>
      </c>
      <c r="C10857" s="120" t="s">
        <v>13619</v>
      </c>
      <c r="D10857" s="33" t="s">
        <v>43580</v>
      </c>
      <c r="E10857" s="17" t="s">
        <v>1786</v>
      </c>
      <c r="F10857" s="168" t="s">
        <v>3009</v>
      </c>
      <c r="G10857" s="98" t="str">
        <f>HYPERLINK("http://mirror.ff7data.com.ar/ff7/data/battle/battle.lgp/sfcr.png","View Picture")</f>
        <v>View Picture</v>
      </c>
      <c r="H10857" s="46" t="s">
        <v>43510</v>
      </c>
    </row>
    <row r="10858">
      <c r="A10858" s="40"/>
      <c r="B10858" s="119" t="s">
        <v>43581</v>
      </c>
      <c r="C10858" s="120" t="s">
        <v>10955</v>
      </c>
      <c r="D10858" s="33" t="s">
        <v>43582</v>
      </c>
      <c r="E10858" s="17" t="s">
        <v>1786</v>
      </c>
      <c r="F10858" s="168" t="s">
        <v>3009</v>
      </c>
      <c r="G10858" s="98" t="str">
        <f>HYPERLINK("http://mirror.ff7data.com.ar/ff7/data/battle/battle.lgp/sfcs.png","View Picture")</f>
        <v>View Picture</v>
      </c>
      <c r="H10858" s="46" t="s">
        <v>43510</v>
      </c>
    </row>
    <row r="10859">
      <c r="A10859" s="40"/>
      <c r="B10859" s="119" t="s">
        <v>43583</v>
      </c>
      <c r="C10859" s="120" t="s">
        <v>3875</v>
      </c>
      <c r="D10859" s="33" t="s">
        <v>43584</v>
      </c>
      <c r="E10859" s="17" t="s">
        <v>1786</v>
      </c>
      <c r="F10859" s="168" t="s">
        <v>3009</v>
      </c>
      <c r="G10859" s="98" t="str">
        <f>HYPERLINK("http://mirror.ff7data.com.ar/ff7/data/battle/battle.lgp/sfct.png","View Picture")</f>
        <v>View Picture</v>
      </c>
      <c r="H10859" s="46" t="s">
        <v>43510</v>
      </c>
    </row>
    <row r="10860">
      <c r="A10860" s="40"/>
      <c r="B10860" s="119" t="s">
        <v>43585</v>
      </c>
      <c r="C10860" s="120" t="s">
        <v>4030</v>
      </c>
      <c r="D10860" s="33" t="s">
        <v>43586</v>
      </c>
      <c r="E10860" s="17" t="s">
        <v>1786</v>
      </c>
      <c r="F10860" s="168" t="s">
        <v>3009</v>
      </c>
      <c r="G10860" s="98" t="str">
        <f>HYPERLINK("http://mirror.ff7data.com.ar/ff7/data/battle/battle.lgp/sfcu.png","View Picture")</f>
        <v>View Picture</v>
      </c>
      <c r="H10860" s="46" t="s">
        <v>43510</v>
      </c>
    </row>
    <row r="10861">
      <c r="A10861" s="40"/>
      <c r="B10861" s="119" t="s">
        <v>43587</v>
      </c>
      <c r="C10861" s="120" t="s">
        <v>18406</v>
      </c>
      <c r="D10861" s="33" t="s">
        <v>43588</v>
      </c>
      <c r="E10861" s="17" t="s">
        <v>1786</v>
      </c>
      <c r="F10861" s="168" t="s">
        <v>3009</v>
      </c>
      <c r="G10861" s="98" t="str">
        <f>HYPERLINK("http://mirror.ff7data.com.ar/ff7/data/battle/battle.lgp/sfcv.png","View Picture")</f>
        <v>View Picture</v>
      </c>
      <c r="H10861" s="46" t="s">
        <v>43510</v>
      </c>
    </row>
    <row r="10862">
      <c r="A10862" s="40"/>
      <c r="B10862" s="119" t="s">
        <v>43589</v>
      </c>
      <c r="C10862" s="120" t="s">
        <v>13619</v>
      </c>
      <c r="D10862" s="33" t="s">
        <v>43590</v>
      </c>
      <c r="E10862" s="17" t="s">
        <v>1786</v>
      </c>
      <c r="F10862" s="168" t="s">
        <v>3009</v>
      </c>
      <c r="G10862" s="98" t="str">
        <f>HYPERLINK("http://mirror.ff7data.com.ar/ff7/data/battle/battle.lgp/sfcw.png","View Picture")</f>
        <v>View Picture</v>
      </c>
      <c r="H10862" s="46" t="s">
        <v>43510</v>
      </c>
    </row>
    <row r="10863">
      <c r="A10863" s="40"/>
      <c r="B10863" s="119" t="s">
        <v>43591</v>
      </c>
      <c r="C10863" s="120" t="s">
        <v>8376</v>
      </c>
      <c r="D10863" s="33" t="s">
        <v>43566</v>
      </c>
      <c r="E10863" s="17" t="s">
        <v>1786</v>
      </c>
      <c r="F10863" s="168" t="s">
        <v>3009</v>
      </c>
      <c r="G10863" s="98" t="str">
        <f>HYPERLINK("http://mirror.ff7data.com.ar/ff7/data/battle/battle.lgp/sfcx.png","View Picture")</f>
        <v>View Picture</v>
      </c>
      <c r="H10863" s="46" t="s">
        <v>43510</v>
      </c>
    </row>
    <row r="10864">
      <c r="A10864" s="40"/>
      <c r="B10864" s="119" t="s">
        <v>43592</v>
      </c>
      <c r="C10864" s="120" t="s">
        <v>8376</v>
      </c>
      <c r="D10864" s="33" t="s">
        <v>43566</v>
      </c>
      <c r="E10864" s="17" t="s">
        <v>1786</v>
      </c>
      <c r="F10864" s="168" t="s">
        <v>3009</v>
      </c>
      <c r="G10864" s="98" t="str">
        <f>HYPERLINK("http://mirror.ff7data.com.ar/ff7/data/battle/battle.lgp/sfcy.png","View Picture")</f>
        <v>View Picture</v>
      </c>
      <c r="H10864" s="46" t="s">
        <v>43510</v>
      </c>
    </row>
    <row r="10865">
      <c r="A10865" s="40"/>
      <c r="B10865" s="119" t="s">
        <v>43593</v>
      </c>
      <c r="C10865" s="120" t="s">
        <v>8376</v>
      </c>
      <c r="D10865" s="33" t="s">
        <v>43566</v>
      </c>
      <c r="E10865" s="17" t="s">
        <v>1786</v>
      </c>
      <c r="F10865" s="168" t="s">
        <v>3009</v>
      </c>
      <c r="G10865" s="98" t="str">
        <f>HYPERLINK("http://mirror.ff7data.com.ar/ff7/data/battle/battle.lgp/sfcz.png","View Picture")</f>
        <v>View Picture</v>
      </c>
      <c r="H10865" s="46" t="s">
        <v>43510</v>
      </c>
    </row>
    <row r="10866">
      <c r="A10866" s="55"/>
      <c r="B10866" s="119" t="s">
        <v>43594</v>
      </c>
      <c r="C10866" s="120" t="s">
        <v>4012</v>
      </c>
      <c r="D10866" s="33" t="s">
        <v>43507</v>
      </c>
      <c r="E10866" s="17" t="s">
        <v>1786</v>
      </c>
      <c r="F10866" s="168" t="s">
        <v>3025</v>
      </c>
    </row>
    <row r="10867" ht="22.5" customHeight="1">
      <c r="A10867" s="82"/>
      <c r="B10867" s="119" t="s">
        <v>43595</v>
      </c>
      <c r="C10867" s="120" t="s">
        <v>3007</v>
      </c>
      <c r="D10867" s="33" t="s">
        <v>43504</v>
      </c>
      <c r="E10867" s="17" t="s">
        <v>1778</v>
      </c>
      <c r="F10867" s="168" t="s">
        <v>2971</v>
      </c>
      <c r="G10867" s="98" t="str">
        <f>HYPERLINK("http://mirror.ff7data.com.ar/ff7/data/battle/battle.lgp/sgaa.png","View Picture")</f>
        <v>View Picture</v>
      </c>
      <c r="H10867" s="46" t="s">
        <v>43505</v>
      </c>
    </row>
    <row r="10868" ht="22.5" customHeight="1">
      <c r="A10868" s="55"/>
      <c r="B10868" s="119" t="s">
        <v>43596</v>
      </c>
      <c r="C10868" s="120" t="s">
        <v>26763</v>
      </c>
      <c r="D10868" s="33" t="s">
        <v>43507</v>
      </c>
      <c r="E10868" s="17" t="s">
        <v>1778</v>
      </c>
      <c r="F10868" s="168" t="s">
        <v>2993</v>
      </c>
      <c r="H10868" s="46" t="s">
        <v>43597</v>
      </c>
    </row>
    <row r="10869">
      <c r="A10869" s="40"/>
      <c r="B10869" s="119" t="s">
        <v>43598</v>
      </c>
      <c r="C10869" s="120" t="s">
        <v>3671</v>
      </c>
      <c r="D10869" s="33" t="s">
        <v>8088</v>
      </c>
      <c r="E10869" s="17" t="s">
        <v>1778</v>
      </c>
      <c r="F10869" s="168" t="s">
        <v>1348</v>
      </c>
      <c r="G10869" s="98" t="str">
        <f>HYPERLINK("http://mirror.ff7data.com.ar/ff7/data/battle/battle.lgp/sgac.png","View Picture")</f>
        <v>View Picture</v>
      </c>
    </row>
    <row r="10870">
      <c r="A10870" s="40"/>
      <c r="B10870" s="119" t="s">
        <v>43599</v>
      </c>
      <c r="C10870" s="120" t="s">
        <v>7081</v>
      </c>
      <c r="D10870" s="33" t="s">
        <v>8095</v>
      </c>
      <c r="E10870" s="17" t="s">
        <v>1778</v>
      </c>
      <c r="F10870" s="168" t="s">
        <v>1348</v>
      </c>
      <c r="G10870" s="98" t="str">
        <f>HYPERLINK("http://mirror.ff7data.com.ar/ff7/data/battle/battle.lgp/sgad.png","View Picture")</f>
        <v>View Picture</v>
      </c>
    </row>
    <row r="10871">
      <c r="A10871" s="40"/>
      <c r="B10871" s="119" t="s">
        <v>43600</v>
      </c>
      <c r="C10871" s="120" t="s">
        <v>9441</v>
      </c>
      <c r="D10871" s="33" t="s">
        <v>43513</v>
      </c>
      <c r="E10871" s="17" t="s">
        <v>1778</v>
      </c>
      <c r="F10871" s="168" t="s">
        <v>3009</v>
      </c>
      <c r="G10871" s="98" t="str">
        <f>HYPERLINK("http://mirror.ff7data.com.ar/ff7/data/battle/battle.lgp/sgam.png","View Picture")</f>
        <v>View Picture</v>
      </c>
    </row>
    <row r="10872">
      <c r="A10872" s="40"/>
      <c r="B10872" s="119" t="s">
        <v>43601</v>
      </c>
      <c r="C10872" s="120" t="s">
        <v>4191</v>
      </c>
      <c r="D10872" s="33" t="s">
        <v>8085</v>
      </c>
      <c r="E10872" s="17" t="s">
        <v>1778</v>
      </c>
      <c r="F10872" s="168" t="s">
        <v>3009</v>
      </c>
      <c r="G10872" s="98" t="str">
        <f>HYPERLINK("http://mirror.ff7data.com.ar/ff7/data/battle/battle.lgp/sgan.png","View Picture")</f>
        <v>View Picture</v>
      </c>
    </row>
    <row r="10873">
      <c r="A10873" s="40"/>
      <c r="B10873" s="119" t="s">
        <v>43602</v>
      </c>
      <c r="C10873" s="120" t="s">
        <v>4439</v>
      </c>
      <c r="D10873" s="33" t="s">
        <v>43516</v>
      </c>
      <c r="E10873" s="17" t="s">
        <v>1778</v>
      </c>
      <c r="F10873" s="168" t="s">
        <v>3009</v>
      </c>
      <c r="G10873" s="98" t="str">
        <f>HYPERLINK("http://mirror.ff7data.com.ar/ff7/data/battle/battle.lgp/sgap.png","View Picture")</f>
        <v>View Picture</v>
      </c>
    </row>
    <row r="10874">
      <c r="A10874" s="40"/>
      <c r="B10874" s="119" t="s">
        <v>43603</v>
      </c>
      <c r="C10874" s="120" t="s">
        <v>4264</v>
      </c>
      <c r="D10874" s="33" t="s">
        <v>43518</v>
      </c>
      <c r="E10874" s="17" t="s">
        <v>1778</v>
      </c>
      <c r="F10874" s="168" t="s">
        <v>3009</v>
      </c>
      <c r="G10874" s="98" t="str">
        <f>HYPERLINK("http://mirror.ff7data.com.ar/ff7/data/battle/battle.lgp/sgaq.png","View Picture")</f>
        <v>View Picture</v>
      </c>
    </row>
    <row r="10875">
      <c r="A10875" s="40"/>
      <c r="B10875" s="119" t="s">
        <v>43604</v>
      </c>
      <c r="C10875" s="120" t="s">
        <v>4883</v>
      </c>
      <c r="D10875" s="33" t="s">
        <v>43518</v>
      </c>
      <c r="E10875" s="17" t="s">
        <v>1778</v>
      </c>
      <c r="F10875" s="168" t="s">
        <v>3009</v>
      </c>
      <c r="G10875" s="98" t="str">
        <f>HYPERLINK("http://mirror.ff7data.com.ar/ff7/data/battle/battle.lgp/sgar.png","View Picture")</f>
        <v>View Picture</v>
      </c>
    </row>
    <row r="10876">
      <c r="A10876" s="40"/>
      <c r="B10876" s="119" t="s">
        <v>43605</v>
      </c>
      <c r="C10876" s="120" t="s">
        <v>7148</v>
      </c>
      <c r="D10876" s="33" t="s">
        <v>43518</v>
      </c>
      <c r="E10876" s="17" t="s">
        <v>1778</v>
      </c>
      <c r="F10876" s="168" t="s">
        <v>3009</v>
      </c>
      <c r="G10876" s="98" t="str">
        <f>HYPERLINK("http://mirror.ff7data.com.ar/ff7/data/battle/battle.lgp/sgat.png","View Picture")</f>
        <v>View Picture</v>
      </c>
    </row>
    <row r="10877">
      <c r="A10877" s="40"/>
      <c r="B10877" s="119" t="s">
        <v>43606</v>
      </c>
      <c r="C10877" s="120" t="s">
        <v>3007</v>
      </c>
      <c r="D10877" s="33" t="s">
        <v>43518</v>
      </c>
      <c r="E10877" s="17" t="s">
        <v>1778</v>
      </c>
      <c r="F10877" s="168" t="s">
        <v>3009</v>
      </c>
      <c r="G10877" s="98" t="str">
        <f>HYPERLINK("http://mirror.ff7data.com.ar/ff7/data/battle/battle.lgp/sgau.png","View Picture")</f>
        <v>View Picture</v>
      </c>
    </row>
    <row r="10878">
      <c r="A10878" s="40"/>
      <c r="B10878" s="119" t="s">
        <v>43607</v>
      </c>
      <c r="C10878" s="120" t="s">
        <v>24131</v>
      </c>
      <c r="D10878" s="33" t="s">
        <v>43518</v>
      </c>
      <c r="E10878" s="17" t="s">
        <v>1778</v>
      </c>
      <c r="F10878" s="168" t="s">
        <v>3009</v>
      </c>
      <c r="G10878" s="98" t="str">
        <f>HYPERLINK("http://mirror.ff7data.com.ar/ff7/data/battle/battle.lgp/sgax.png","View Picture")</f>
        <v>View Picture</v>
      </c>
    </row>
    <row r="10879">
      <c r="A10879" s="40"/>
      <c r="B10879" s="119" t="s">
        <v>43608</v>
      </c>
      <c r="C10879" s="120" t="s">
        <v>24131</v>
      </c>
      <c r="D10879" s="33" t="s">
        <v>43518</v>
      </c>
      <c r="E10879" s="17" t="s">
        <v>1778</v>
      </c>
      <c r="F10879" s="168" t="s">
        <v>3009</v>
      </c>
      <c r="G10879" s="98" t="str">
        <f>HYPERLINK("http://mirror.ff7data.com.ar/ff7/data/battle/battle.lgp/sgay.png","View Picture")</f>
        <v>View Picture</v>
      </c>
    </row>
    <row r="10880">
      <c r="A10880" s="40"/>
      <c r="B10880" s="119" t="s">
        <v>43609</v>
      </c>
      <c r="C10880" s="120" t="s">
        <v>28156</v>
      </c>
      <c r="D10880" s="33" t="s">
        <v>43518</v>
      </c>
      <c r="E10880" s="17" t="s">
        <v>1778</v>
      </c>
      <c r="F10880" s="168" t="s">
        <v>3009</v>
      </c>
      <c r="G10880" s="98" t="str">
        <f>HYPERLINK("http://mirror.ff7data.com.ar/ff7/data/battle/battle.lgp/sgaz.png","View Picture")</f>
        <v>View Picture</v>
      </c>
    </row>
    <row r="10881">
      <c r="A10881" s="40"/>
      <c r="B10881" s="119" t="s">
        <v>43610</v>
      </c>
      <c r="C10881" s="120" t="s">
        <v>24131</v>
      </c>
      <c r="D10881" s="33" t="s">
        <v>43518</v>
      </c>
      <c r="E10881" s="17" t="s">
        <v>1778</v>
      </c>
      <c r="F10881" s="168" t="s">
        <v>3009</v>
      </c>
      <c r="G10881" s="98" t="str">
        <f>HYPERLINK("http://mirror.ff7data.com.ar/ff7/data/battle/battle.lgp/sgbb.png","View Picture")</f>
        <v>View Picture</v>
      </c>
    </row>
    <row r="10882">
      <c r="A10882" s="40"/>
      <c r="B10882" s="119" t="s">
        <v>43611</v>
      </c>
      <c r="C10882" s="120" t="s">
        <v>24131</v>
      </c>
      <c r="D10882" s="33" t="s">
        <v>43518</v>
      </c>
      <c r="E10882" s="17" t="s">
        <v>1778</v>
      </c>
      <c r="F10882" s="168" t="s">
        <v>3009</v>
      </c>
      <c r="G10882" s="98" t="str">
        <f>HYPERLINK("http://mirror.ff7data.com.ar/ff7/data/battle/battle.lgp/sgbc.png","View Picture")</f>
        <v>View Picture</v>
      </c>
    </row>
    <row r="10883">
      <c r="A10883" s="40"/>
      <c r="B10883" s="119" t="s">
        <v>43612</v>
      </c>
      <c r="C10883" s="120" t="s">
        <v>20391</v>
      </c>
      <c r="D10883" s="33" t="s">
        <v>43518</v>
      </c>
      <c r="E10883" s="17" t="s">
        <v>1778</v>
      </c>
      <c r="F10883" s="168" t="s">
        <v>3009</v>
      </c>
      <c r="G10883" s="98" t="str">
        <f>HYPERLINK("http://mirror.ff7data.com.ar/ff7/data/battle/battle.lgp/sgbd.png","View Picture")</f>
        <v>View Picture</v>
      </c>
    </row>
    <row r="10884">
      <c r="A10884" s="40"/>
      <c r="B10884" s="119" t="s">
        <v>43613</v>
      </c>
      <c r="C10884" s="120" t="s">
        <v>24131</v>
      </c>
      <c r="D10884" s="33" t="s">
        <v>43518</v>
      </c>
      <c r="E10884" s="17" t="s">
        <v>1778</v>
      </c>
      <c r="F10884" s="168" t="s">
        <v>3009</v>
      </c>
      <c r="G10884" s="98" t="str">
        <f>HYPERLINK("http://mirror.ff7data.com.ar/ff7/data/battle/battle.lgp/sgbf.png","View Picture")</f>
        <v>View Picture</v>
      </c>
    </row>
    <row r="10885">
      <c r="A10885" s="40"/>
      <c r="B10885" s="119" t="s">
        <v>43614</v>
      </c>
      <c r="C10885" s="120" t="s">
        <v>36699</v>
      </c>
      <c r="D10885" s="33" t="s">
        <v>43518</v>
      </c>
      <c r="E10885" s="17" t="s">
        <v>1778</v>
      </c>
      <c r="F10885" s="168" t="s">
        <v>3009</v>
      </c>
      <c r="G10885" s="98" t="str">
        <f>HYPERLINK("http://mirror.ff7data.com.ar/ff7/data/battle/battle.lgp/sgbg.png","View Picture")</f>
        <v>View Picture</v>
      </c>
    </row>
    <row r="10886">
      <c r="A10886" s="40"/>
      <c r="B10886" s="119" t="s">
        <v>43615</v>
      </c>
      <c r="C10886" s="120" t="s">
        <v>20391</v>
      </c>
      <c r="D10886" s="33" t="s">
        <v>43518</v>
      </c>
      <c r="E10886" s="17" t="s">
        <v>1778</v>
      </c>
      <c r="F10886" s="168" t="s">
        <v>3009</v>
      </c>
      <c r="G10886" s="98" t="str">
        <f>HYPERLINK("http://mirror.ff7data.com.ar/ff7/data/battle/battle.lgp/sgbh.png","View Picture")</f>
        <v>View Picture</v>
      </c>
    </row>
    <row r="10887">
      <c r="A10887" s="40"/>
      <c r="B10887" s="119" t="s">
        <v>43616</v>
      </c>
      <c r="C10887" s="120" t="s">
        <v>24131</v>
      </c>
      <c r="D10887" s="33" t="s">
        <v>43518</v>
      </c>
      <c r="E10887" s="17" t="s">
        <v>1778</v>
      </c>
      <c r="F10887" s="168" t="s">
        <v>3009</v>
      </c>
      <c r="G10887" s="98" t="str">
        <f>HYPERLINK("http://mirror.ff7data.com.ar/ff7/data/battle/battle.lgp/sgbj.png","View Picture")</f>
        <v>View Picture</v>
      </c>
    </row>
    <row r="10888">
      <c r="A10888" s="40"/>
      <c r="B10888" s="119" t="s">
        <v>43617</v>
      </c>
      <c r="C10888" s="120" t="s">
        <v>30420</v>
      </c>
      <c r="D10888" s="33" t="s">
        <v>43518</v>
      </c>
      <c r="E10888" s="17" t="s">
        <v>1778</v>
      </c>
      <c r="F10888" s="168" t="s">
        <v>3009</v>
      </c>
      <c r="G10888" s="98" t="str">
        <f>HYPERLINK("http://mirror.ff7data.com.ar/ff7/data/battle/battle.lgp/sgbk.png","View Picture")</f>
        <v>View Picture</v>
      </c>
    </row>
    <row r="10889">
      <c r="A10889" s="40"/>
      <c r="B10889" s="119" t="s">
        <v>43618</v>
      </c>
      <c r="C10889" s="120" t="s">
        <v>28156</v>
      </c>
      <c r="D10889" s="33" t="s">
        <v>43518</v>
      </c>
      <c r="E10889" s="17" t="s">
        <v>1778</v>
      </c>
      <c r="F10889" s="168" t="s">
        <v>3009</v>
      </c>
      <c r="G10889" s="98" t="str">
        <f>HYPERLINK("http://mirror.ff7data.com.ar/ff7/data/battle/battle.lgp/sgbl.png","View Picture")</f>
        <v>View Picture</v>
      </c>
    </row>
    <row r="10890">
      <c r="A10890" s="40"/>
      <c r="B10890" s="119" t="s">
        <v>43619</v>
      </c>
      <c r="C10890" s="120" t="s">
        <v>5891</v>
      </c>
      <c r="D10890" s="33" t="s">
        <v>43535</v>
      </c>
      <c r="E10890" s="17" t="s">
        <v>1778</v>
      </c>
      <c r="F10890" s="168" t="s">
        <v>3009</v>
      </c>
      <c r="G10890" s="98" t="str">
        <f>HYPERLINK("http://mirror.ff7data.com.ar/ff7/data/battle/battle.lgp/sgbm.png","View Picture")</f>
        <v>View Picture</v>
      </c>
    </row>
    <row r="10891">
      <c r="A10891" s="40"/>
      <c r="B10891" s="119" t="s">
        <v>43620</v>
      </c>
      <c r="C10891" s="120" t="s">
        <v>6029</v>
      </c>
      <c r="D10891" s="33" t="s">
        <v>43537</v>
      </c>
      <c r="E10891" s="17" t="s">
        <v>1778</v>
      </c>
      <c r="F10891" s="168" t="s">
        <v>3009</v>
      </c>
      <c r="G10891" s="98" t="str">
        <f>HYPERLINK("http://mirror.ff7data.com.ar/ff7/data/battle/battle.lgp/sgbo.png","View Picture")</f>
        <v>View Picture</v>
      </c>
    </row>
    <row r="10892">
      <c r="A10892" s="40"/>
      <c r="B10892" s="119" t="s">
        <v>43621</v>
      </c>
      <c r="C10892" s="120" t="s">
        <v>3355</v>
      </c>
      <c r="D10892" s="33" t="s">
        <v>43539</v>
      </c>
      <c r="E10892" s="17" t="s">
        <v>1778</v>
      </c>
      <c r="F10892" s="168" t="s">
        <v>3009</v>
      </c>
      <c r="G10892" s="98" t="str">
        <f>HYPERLINK("http://mirror.ff7data.com.ar/ff7/data/battle/battle.lgp/sgbp.png","View Picture")</f>
        <v>View Picture</v>
      </c>
    </row>
    <row r="10893">
      <c r="A10893" s="40"/>
      <c r="B10893" s="119" t="s">
        <v>43622</v>
      </c>
      <c r="C10893" s="120" t="s">
        <v>6029</v>
      </c>
      <c r="D10893" s="33" t="s">
        <v>43541</v>
      </c>
      <c r="E10893" s="17" t="s">
        <v>1778</v>
      </c>
      <c r="F10893" s="168" t="s">
        <v>3009</v>
      </c>
      <c r="G10893" s="98" t="str">
        <f>HYPERLINK("http://mirror.ff7data.com.ar/ff7/data/battle/battle.lgp/sgbq.png","View Picture")</f>
        <v>View Picture</v>
      </c>
    </row>
    <row r="10894">
      <c r="A10894" s="40"/>
      <c r="B10894" s="119" t="s">
        <v>43623</v>
      </c>
      <c r="C10894" s="120" t="s">
        <v>43543</v>
      </c>
      <c r="D10894" s="33" t="s">
        <v>43544</v>
      </c>
      <c r="E10894" s="17" t="s">
        <v>1778</v>
      </c>
      <c r="F10894" s="168" t="s">
        <v>3009</v>
      </c>
      <c r="G10894" s="98" t="str">
        <f>HYPERLINK("http://mirror.ff7data.com.ar/ff7/data/battle/battle.lgp/sgbr.png","View Picture")</f>
        <v>View Picture</v>
      </c>
    </row>
    <row r="10895">
      <c r="A10895" s="40"/>
      <c r="B10895" s="119" t="s">
        <v>43624</v>
      </c>
      <c r="C10895" s="120" t="s">
        <v>4476</v>
      </c>
      <c r="D10895" s="33" t="s">
        <v>43546</v>
      </c>
      <c r="E10895" s="17" t="s">
        <v>1778</v>
      </c>
      <c r="F10895" s="168" t="s">
        <v>3009</v>
      </c>
      <c r="G10895" s="98" t="str">
        <f>HYPERLINK("http://mirror.ff7data.com.ar/ff7/data/battle/battle.lgp/sgbt.png","View Picture")</f>
        <v>View Picture</v>
      </c>
    </row>
    <row r="10896">
      <c r="A10896" s="40"/>
      <c r="B10896" s="119" t="s">
        <v>43625</v>
      </c>
      <c r="C10896" s="120" t="s">
        <v>7301</v>
      </c>
      <c r="D10896" s="33" t="s">
        <v>43548</v>
      </c>
      <c r="E10896" s="17" t="s">
        <v>1778</v>
      </c>
      <c r="F10896" s="168" t="s">
        <v>3009</v>
      </c>
      <c r="G10896" s="98" t="str">
        <f>HYPERLINK("http://mirror.ff7data.com.ar/ff7/data/battle/battle.lgp/sgbu.png","View Picture")</f>
        <v>View Picture</v>
      </c>
    </row>
    <row r="10897">
      <c r="A10897" s="40"/>
      <c r="B10897" s="119" t="s">
        <v>43626</v>
      </c>
      <c r="C10897" s="120" t="s">
        <v>6029</v>
      </c>
      <c r="D10897" s="33" t="s">
        <v>43550</v>
      </c>
      <c r="E10897" s="17" t="s">
        <v>1778</v>
      </c>
      <c r="F10897" s="168" t="s">
        <v>3009</v>
      </c>
      <c r="G10897" s="98" t="str">
        <f>HYPERLINK("http://mirror.ff7data.com.ar/ff7/data/battle/battle.lgp/sgbv.png","View Picture")</f>
        <v>View Picture</v>
      </c>
    </row>
    <row r="10898">
      <c r="A10898" s="40"/>
      <c r="B10898" s="119" t="s">
        <v>43627</v>
      </c>
      <c r="C10898" s="120" t="s">
        <v>43543</v>
      </c>
      <c r="D10898" s="33" t="s">
        <v>43552</v>
      </c>
      <c r="E10898" s="17" t="s">
        <v>1778</v>
      </c>
      <c r="F10898" s="168" t="s">
        <v>3009</v>
      </c>
      <c r="G10898" s="98" t="str">
        <f>HYPERLINK("http://mirror.ff7data.com.ar/ff7/data/battle/battle.lgp/sgbw.png","View Picture")</f>
        <v>View Picture</v>
      </c>
    </row>
    <row r="10899">
      <c r="A10899" s="40"/>
      <c r="B10899" s="119" t="s">
        <v>43628</v>
      </c>
      <c r="C10899" s="120" t="s">
        <v>4217</v>
      </c>
      <c r="D10899" s="33" t="s">
        <v>43554</v>
      </c>
      <c r="E10899" s="17" t="s">
        <v>1778</v>
      </c>
      <c r="F10899" s="168" t="s">
        <v>3009</v>
      </c>
      <c r="G10899" s="98" t="str">
        <f>HYPERLINK("http://mirror.ff7data.com.ar/ff7/data/battle/battle.lgp/sgbz.png","View Picture")</f>
        <v>View Picture</v>
      </c>
    </row>
    <row r="10900">
      <c r="A10900" s="40"/>
      <c r="B10900" s="119" t="s">
        <v>43629</v>
      </c>
      <c r="C10900" s="120" t="s">
        <v>5891</v>
      </c>
      <c r="D10900" s="33" t="s">
        <v>43556</v>
      </c>
      <c r="E10900" s="17" t="s">
        <v>1778</v>
      </c>
      <c r="F10900" s="168" t="s">
        <v>3009</v>
      </c>
      <c r="G10900" s="98" t="str">
        <f>HYPERLINK("http://mirror.ff7data.com.ar/ff7/data/battle/battle.lgp/sgca.png","View Picture")</f>
        <v>View Picture</v>
      </c>
    </row>
    <row r="10901">
      <c r="A10901" s="40"/>
      <c r="B10901" s="119" t="s">
        <v>43630</v>
      </c>
      <c r="C10901" s="120" t="s">
        <v>5203</v>
      </c>
      <c r="D10901" s="33" t="s">
        <v>43558</v>
      </c>
      <c r="E10901" s="17" t="s">
        <v>1778</v>
      </c>
      <c r="F10901" s="168" t="s">
        <v>3009</v>
      </c>
      <c r="G10901" s="98" t="str">
        <f>HYPERLINK("http://mirror.ff7data.com.ar/ff7/data/battle/battle.lgp/sgcb.png","View Picture")</f>
        <v>View Picture</v>
      </c>
    </row>
    <row r="10902">
      <c r="A10902" s="40"/>
      <c r="B10902" s="119" t="s">
        <v>43631</v>
      </c>
      <c r="C10902" s="120" t="s">
        <v>3648</v>
      </c>
      <c r="D10902" s="33" t="s">
        <v>43560</v>
      </c>
      <c r="E10902" s="17" t="s">
        <v>1778</v>
      </c>
      <c r="F10902" s="168" t="s">
        <v>3009</v>
      </c>
      <c r="G10902" s="98" t="str">
        <f>HYPERLINK("http://mirror.ff7data.com.ar/ff7/data/battle/battle.lgp/sgce.png","View Picture")</f>
        <v>View Picture</v>
      </c>
    </row>
    <row r="10903">
      <c r="A10903" s="40"/>
      <c r="B10903" s="119" t="s">
        <v>43632</v>
      </c>
      <c r="C10903" s="120" t="s">
        <v>4719</v>
      </c>
      <c r="D10903" s="33" t="s">
        <v>43562</v>
      </c>
      <c r="E10903" s="17" t="s">
        <v>1778</v>
      </c>
      <c r="F10903" s="168" t="s">
        <v>3009</v>
      </c>
      <c r="G10903" s="98" t="str">
        <f>HYPERLINK("http://mirror.ff7data.com.ar/ff7/data/battle/battle.lgp/sgcf.png","View Picture")</f>
        <v>View Picture</v>
      </c>
    </row>
    <row r="10904">
      <c r="A10904" s="40"/>
      <c r="B10904" s="119" t="s">
        <v>43633</v>
      </c>
      <c r="C10904" s="120" t="s">
        <v>3723</v>
      </c>
      <c r="D10904" s="33" t="s">
        <v>43564</v>
      </c>
      <c r="E10904" s="17" t="s">
        <v>1778</v>
      </c>
      <c r="F10904" s="168" t="s">
        <v>3009</v>
      </c>
      <c r="G10904" s="98" t="str">
        <f>HYPERLINK("http://mirror.ff7data.com.ar/ff7/data/battle/battle.lgp/sgcg.png","View Picture")</f>
        <v>View Picture</v>
      </c>
    </row>
    <row r="10905">
      <c r="A10905" s="40"/>
      <c r="B10905" s="119" t="s">
        <v>43634</v>
      </c>
      <c r="C10905" s="120" t="s">
        <v>8376</v>
      </c>
      <c r="D10905" s="33" t="s">
        <v>43566</v>
      </c>
      <c r="E10905" s="17" t="s">
        <v>1778</v>
      </c>
      <c r="F10905" s="168" t="s">
        <v>3009</v>
      </c>
      <c r="G10905" s="98" t="str">
        <f>HYPERLINK("http://mirror.ff7data.com.ar/ff7/data/battle/battle.lgp/sgck.png","View Picture")</f>
        <v>View Picture</v>
      </c>
    </row>
    <row r="10906">
      <c r="A10906" s="40"/>
      <c r="B10906" s="119" t="s">
        <v>43635</v>
      </c>
      <c r="C10906" s="120" t="s">
        <v>5925</v>
      </c>
      <c r="D10906" s="33" t="s">
        <v>43568</v>
      </c>
      <c r="E10906" s="17" t="s">
        <v>1778</v>
      </c>
      <c r="F10906" s="168" t="s">
        <v>3009</v>
      </c>
      <c r="G10906" s="98" t="str">
        <f>HYPERLINK("http://mirror.ff7data.com.ar/ff7/data/battle/battle.lgp/sgcl.png","View Picture")</f>
        <v>View Picture</v>
      </c>
    </row>
    <row r="10907">
      <c r="A10907" s="40"/>
      <c r="B10907" s="119" t="s">
        <v>43636</v>
      </c>
      <c r="C10907" s="120" t="s">
        <v>3875</v>
      </c>
      <c r="D10907" s="33" t="s">
        <v>43570</v>
      </c>
      <c r="E10907" s="17" t="s">
        <v>1778</v>
      </c>
      <c r="F10907" s="168" t="s">
        <v>3009</v>
      </c>
      <c r="G10907" s="98" t="str">
        <f>HYPERLINK("http://mirror.ff7data.com.ar/ff7/data/battle/battle.lgp/sgcm.png","View Picture")</f>
        <v>View Picture</v>
      </c>
    </row>
    <row r="10908">
      <c r="A10908" s="40"/>
      <c r="B10908" s="119" t="s">
        <v>43637</v>
      </c>
      <c r="C10908" s="120" t="s">
        <v>7129</v>
      </c>
      <c r="D10908" s="33" t="s">
        <v>43572</v>
      </c>
      <c r="E10908" s="17" t="s">
        <v>1778</v>
      </c>
      <c r="F10908" s="168" t="s">
        <v>3009</v>
      </c>
      <c r="G10908" s="98" t="str">
        <f>HYPERLINK("http://mirror.ff7data.com.ar/ff7/data/battle/battle.lgp/sgcn.png","View Picture")</f>
        <v>View Picture</v>
      </c>
    </row>
    <row r="10909">
      <c r="A10909" s="40"/>
      <c r="B10909" s="119" t="s">
        <v>43638</v>
      </c>
      <c r="C10909" s="120" t="s">
        <v>3875</v>
      </c>
      <c r="D10909" s="33" t="s">
        <v>43574</v>
      </c>
      <c r="E10909" s="17" t="s">
        <v>1778</v>
      </c>
      <c r="F10909" s="168" t="s">
        <v>3009</v>
      </c>
      <c r="G10909" s="98" t="str">
        <f>HYPERLINK("http://mirror.ff7data.com.ar/ff7/data/battle/battle.lgp/sgco.png","View Picture")</f>
        <v>View Picture</v>
      </c>
    </row>
    <row r="10910">
      <c r="A10910" s="40"/>
      <c r="B10910" s="119" t="s">
        <v>43639</v>
      </c>
      <c r="C10910" s="120" t="s">
        <v>5573</v>
      </c>
      <c r="D10910" s="33" t="s">
        <v>43576</v>
      </c>
      <c r="E10910" s="17" t="s">
        <v>1778</v>
      </c>
      <c r="F10910" s="168" t="s">
        <v>3009</v>
      </c>
      <c r="G10910" s="98" t="str">
        <f>HYPERLINK("http://mirror.ff7data.com.ar/ff7/data/battle/battle.lgp/sgcp.png","View Picture")</f>
        <v>View Picture</v>
      </c>
    </row>
    <row r="10911">
      <c r="A10911" s="40"/>
      <c r="B10911" s="119" t="s">
        <v>43640</v>
      </c>
      <c r="C10911" s="120" t="s">
        <v>13619</v>
      </c>
      <c r="D10911" s="33" t="s">
        <v>43578</v>
      </c>
      <c r="E10911" s="17" t="s">
        <v>1778</v>
      </c>
      <c r="F10911" s="168" t="s">
        <v>3009</v>
      </c>
      <c r="G10911" s="98" t="str">
        <f>HYPERLINK("http://mirror.ff7data.com.ar/ff7/data/battle/battle.lgp/sgcq.png","View Picture")</f>
        <v>View Picture</v>
      </c>
    </row>
    <row r="10912">
      <c r="A10912" s="40"/>
      <c r="B10912" s="119" t="s">
        <v>43641</v>
      </c>
      <c r="C10912" s="120" t="s">
        <v>13619</v>
      </c>
      <c r="D10912" s="33" t="s">
        <v>43580</v>
      </c>
      <c r="E10912" s="17" t="s">
        <v>1778</v>
      </c>
      <c r="F10912" s="168" t="s">
        <v>3009</v>
      </c>
      <c r="G10912" s="98" t="str">
        <f>HYPERLINK("http://mirror.ff7data.com.ar/ff7/data/battle/battle.lgp/sgcr.png","View Picture")</f>
        <v>View Picture</v>
      </c>
    </row>
    <row r="10913">
      <c r="A10913" s="40"/>
      <c r="B10913" s="119" t="s">
        <v>43642</v>
      </c>
      <c r="C10913" s="120" t="s">
        <v>10955</v>
      </c>
      <c r="D10913" s="33" t="s">
        <v>43582</v>
      </c>
      <c r="E10913" s="17" t="s">
        <v>1778</v>
      </c>
      <c r="F10913" s="168" t="s">
        <v>3009</v>
      </c>
      <c r="G10913" s="98" t="str">
        <f>HYPERLINK("http://mirror.ff7data.com.ar/ff7/data/battle/battle.lgp/sgcs.png","View Picture")</f>
        <v>View Picture</v>
      </c>
    </row>
    <row r="10914">
      <c r="A10914" s="40"/>
      <c r="B10914" s="119" t="s">
        <v>43643</v>
      </c>
      <c r="C10914" s="120" t="s">
        <v>3875</v>
      </c>
      <c r="D10914" s="33" t="s">
        <v>43584</v>
      </c>
      <c r="E10914" s="17" t="s">
        <v>1778</v>
      </c>
      <c r="F10914" s="168" t="s">
        <v>3009</v>
      </c>
      <c r="G10914" s="98" t="str">
        <f>HYPERLINK("http://mirror.ff7data.com.ar/ff7/data/battle/battle.lgp/sgct.png","View Picture")</f>
        <v>View Picture</v>
      </c>
    </row>
    <row r="10915">
      <c r="A10915" s="40"/>
      <c r="B10915" s="119" t="s">
        <v>43644</v>
      </c>
      <c r="C10915" s="120" t="s">
        <v>4030</v>
      </c>
      <c r="D10915" s="33" t="s">
        <v>43586</v>
      </c>
      <c r="E10915" s="17" t="s">
        <v>1778</v>
      </c>
      <c r="F10915" s="168" t="s">
        <v>3009</v>
      </c>
      <c r="G10915" s="98" t="str">
        <f>HYPERLINK("http://mirror.ff7data.com.ar/ff7/data/battle/battle.lgp/sgcu.png","View Picture")</f>
        <v>View Picture</v>
      </c>
    </row>
    <row r="10916">
      <c r="A10916" s="40"/>
      <c r="B10916" s="119" t="s">
        <v>43645</v>
      </c>
      <c r="C10916" s="120" t="s">
        <v>18406</v>
      </c>
      <c r="D10916" s="33" t="s">
        <v>43588</v>
      </c>
      <c r="E10916" s="17" t="s">
        <v>1778</v>
      </c>
      <c r="F10916" s="168" t="s">
        <v>3009</v>
      </c>
      <c r="G10916" s="98" t="str">
        <f>HYPERLINK("http://mirror.ff7data.com.ar/ff7/data/battle/battle.lgp/sgcv.png","View Picture")</f>
        <v>View Picture</v>
      </c>
    </row>
    <row r="10917">
      <c r="A10917" s="40"/>
      <c r="B10917" s="119" t="s">
        <v>43646</v>
      </c>
      <c r="C10917" s="120" t="s">
        <v>13619</v>
      </c>
      <c r="D10917" s="33" t="s">
        <v>43590</v>
      </c>
      <c r="E10917" s="17" t="s">
        <v>1778</v>
      </c>
      <c r="F10917" s="168" t="s">
        <v>3009</v>
      </c>
      <c r="G10917" s="98" t="str">
        <f>HYPERLINK("http://mirror.ff7data.com.ar/ff7/data/battle/battle.lgp/sgcw.png","View Picture")</f>
        <v>View Picture</v>
      </c>
    </row>
    <row r="10918">
      <c r="A10918" s="40"/>
      <c r="B10918" s="119" t="s">
        <v>43647</v>
      </c>
      <c r="C10918" s="120" t="s">
        <v>8376</v>
      </c>
      <c r="D10918" s="33" t="s">
        <v>43566</v>
      </c>
      <c r="E10918" s="17" t="s">
        <v>1778</v>
      </c>
      <c r="F10918" s="168" t="s">
        <v>3009</v>
      </c>
      <c r="G10918" s="98" t="str">
        <f>HYPERLINK("http://mirror.ff7data.com.ar/ff7/data/battle/battle.lgp/sgcx.png","View Picture")</f>
        <v>View Picture</v>
      </c>
      <c r="H10918" s="123" t="s">
        <v>42867</v>
      </c>
    </row>
    <row r="10919">
      <c r="A10919" s="40"/>
      <c r="B10919" s="119" t="s">
        <v>43648</v>
      </c>
      <c r="C10919" s="120" t="s">
        <v>8376</v>
      </c>
      <c r="D10919" s="33" t="s">
        <v>43566</v>
      </c>
      <c r="E10919" s="17" t="s">
        <v>1778</v>
      </c>
      <c r="F10919" s="168" t="s">
        <v>3009</v>
      </c>
      <c r="G10919" s="98" t="str">
        <f>HYPERLINK("http://mirror.ff7data.com.ar/ff7/data/battle/battle.lgp/sgcy.png","View Picture")</f>
        <v>View Picture</v>
      </c>
      <c r="H10919" s="123" t="s">
        <v>42867</v>
      </c>
    </row>
    <row r="10920">
      <c r="A10920" s="40"/>
      <c r="B10920" s="119" t="s">
        <v>43649</v>
      </c>
      <c r="C10920" s="120" t="s">
        <v>8376</v>
      </c>
      <c r="D10920" s="33" t="s">
        <v>43566</v>
      </c>
      <c r="E10920" s="17" t="s">
        <v>1778</v>
      </c>
      <c r="F10920" s="168" t="s">
        <v>3009</v>
      </c>
      <c r="G10920" s="98" t="str">
        <f>HYPERLINK("http://mirror.ff7data.com.ar/ff7/data/battle/battle.lgp/sgcz.png","View Picture")</f>
        <v>View Picture</v>
      </c>
      <c r="H10920" s="123" t="s">
        <v>42867</v>
      </c>
    </row>
    <row r="10921">
      <c r="A10921" s="55"/>
      <c r="B10921" s="119" t="s">
        <v>43650</v>
      </c>
      <c r="C10921" s="120" t="s">
        <v>4012</v>
      </c>
      <c r="D10921" s="33" t="s">
        <v>43507</v>
      </c>
      <c r="E10921" s="17" t="s">
        <v>1778</v>
      </c>
      <c r="F10921" s="168" t="s">
        <v>3025</v>
      </c>
    </row>
    <row r="10922" ht="22.5" customHeight="1">
      <c r="A10922" s="82"/>
      <c r="B10922" s="119" t="s">
        <v>43651</v>
      </c>
      <c r="C10922" s="120" t="s">
        <v>3007</v>
      </c>
      <c r="D10922" s="33" t="s">
        <v>43504</v>
      </c>
      <c r="E10922" s="17" t="s">
        <v>1783</v>
      </c>
      <c r="F10922" s="168" t="s">
        <v>2971</v>
      </c>
      <c r="G10922" s="98" t="str">
        <f>HYPERLINK("http://mirror.ff7data.com.ar/ff7/data/battle/battle.lgp/shaa.png","View Picture")</f>
        <v>View Picture</v>
      </c>
      <c r="H10922" s="123" t="s">
        <v>43505</v>
      </c>
    </row>
    <row r="10923" ht="22.5" customHeight="1">
      <c r="A10923" s="55"/>
      <c r="B10923" s="119" t="s">
        <v>43652</v>
      </c>
      <c r="C10923" s="120" t="s">
        <v>26763</v>
      </c>
      <c r="D10923" s="33" t="s">
        <v>43507</v>
      </c>
      <c r="E10923" s="17" t="s">
        <v>1783</v>
      </c>
      <c r="F10923" s="168" t="s">
        <v>2993</v>
      </c>
      <c r="H10923" s="123" t="s">
        <v>43653</v>
      </c>
    </row>
    <row r="10924">
      <c r="A10924" s="40"/>
      <c r="B10924" s="119" t="s">
        <v>43654</v>
      </c>
      <c r="C10924" s="120" t="s">
        <v>3671</v>
      </c>
      <c r="D10924" s="169" t="s">
        <v>8088</v>
      </c>
      <c r="E10924" s="17" t="s">
        <v>1783</v>
      </c>
      <c r="F10924" s="168" t="s">
        <v>1348</v>
      </c>
      <c r="G10924" s="98" t="str">
        <f>HYPERLINK("http://mirror.ff7data.com.ar/ff7/data/battle/battle.lgp/shac.png","View Picture")</f>
        <v>View Picture</v>
      </c>
    </row>
    <row r="10925">
      <c r="A10925" s="40"/>
      <c r="B10925" s="119" t="s">
        <v>43655</v>
      </c>
      <c r="C10925" s="120" t="s">
        <v>7081</v>
      </c>
      <c r="D10925" s="169" t="s">
        <v>8095</v>
      </c>
      <c r="E10925" s="17" t="s">
        <v>1783</v>
      </c>
      <c r="F10925" s="168" t="s">
        <v>1348</v>
      </c>
      <c r="G10925" s="98" t="str">
        <f>HYPERLINK("http://mirror.ff7data.com.ar/ff7/data/battle/battle.lgp/shad.png","View Picture")</f>
        <v>View Picture</v>
      </c>
    </row>
    <row r="10926">
      <c r="A10926" s="40"/>
      <c r="B10926" s="119" t="s">
        <v>43656</v>
      </c>
      <c r="C10926" s="120" t="s">
        <v>9441</v>
      </c>
      <c r="D10926" s="169" t="s">
        <v>43513</v>
      </c>
      <c r="E10926" s="17" t="s">
        <v>1783</v>
      </c>
      <c r="F10926" s="168" t="s">
        <v>3009</v>
      </c>
      <c r="G10926" s="98" t="str">
        <f>HYPERLINK("http://mirror.ff7data.com.ar/ff7/data/battle/battle.lgp/sham.png","View Picture")</f>
        <v>View Picture</v>
      </c>
    </row>
    <row r="10927">
      <c r="A10927" s="40"/>
      <c r="B10927" s="119" t="s">
        <v>43657</v>
      </c>
      <c r="C10927" s="120" t="s">
        <v>4191</v>
      </c>
      <c r="D10927" s="169" t="s">
        <v>8085</v>
      </c>
      <c r="E10927" s="17" t="s">
        <v>1783</v>
      </c>
      <c r="F10927" s="168" t="s">
        <v>3009</v>
      </c>
      <c r="G10927" s="98" t="str">
        <f>HYPERLINK("http://mirror.ff7data.com.ar/ff7/data/battle/battle.lgp/shan.png","View Picture")</f>
        <v>View Picture</v>
      </c>
    </row>
    <row r="10928">
      <c r="A10928" s="40"/>
      <c r="B10928" s="119" t="s">
        <v>43658</v>
      </c>
      <c r="C10928" s="120" t="s">
        <v>4439</v>
      </c>
      <c r="D10928" s="169" t="s">
        <v>43516</v>
      </c>
      <c r="E10928" s="17" t="s">
        <v>1783</v>
      </c>
      <c r="F10928" s="168" t="s">
        <v>3009</v>
      </c>
      <c r="G10928" s="98" t="str">
        <f>HYPERLINK("http://mirror.ff7data.com.ar/ff7/data/battle/battle.lgp/shap.png","View Picture")</f>
        <v>View Picture</v>
      </c>
    </row>
    <row r="10929">
      <c r="A10929" s="40"/>
      <c r="B10929" s="119" t="s">
        <v>43659</v>
      </c>
      <c r="C10929" s="120" t="s">
        <v>4264</v>
      </c>
      <c r="D10929" s="169" t="s">
        <v>43518</v>
      </c>
      <c r="E10929" s="17" t="s">
        <v>1783</v>
      </c>
      <c r="F10929" s="168" t="s">
        <v>3009</v>
      </c>
      <c r="G10929" s="98" t="str">
        <f>HYPERLINK("http://mirror.ff7data.com.ar/ff7/data/battle/battle.lgp/shaq.png","View Picture")</f>
        <v>View Picture</v>
      </c>
    </row>
    <row r="10930">
      <c r="A10930" s="40"/>
      <c r="B10930" s="119" t="s">
        <v>43660</v>
      </c>
      <c r="C10930" s="120" t="s">
        <v>4883</v>
      </c>
      <c r="D10930" s="169" t="s">
        <v>43518</v>
      </c>
      <c r="E10930" s="17" t="s">
        <v>1783</v>
      </c>
      <c r="F10930" s="168" t="s">
        <v>3009</v>
      </c>
      <c r="G10930" s="98" t="str">
        <f>HYPERLINK("http://mirror.ff7data.com.ar/ff7/data/battle/battle.lgp/shar.png","View Picture")</f>
        <v>View Picture</v>
      </c>
    </row>
    <row r="10931">
      <c r="A10931" s="40"/>
      <c r="B10931" s="119" t="s">
        <v>43661</v>
      </c>
      <c r="C10931" s="120" t="s">
        <v>7148</v>
      </c>
      <c r="D10931" s="169" t="s">
        <v>43518</v>
      </c>
      <c r="E10931" s="17" t="s">
        <v>1783</v>
      </c>
      <c r="F10931" s="168" t="s">
        <v>3009</v>
      </c>
      <c r="G10931" s="98" t="str">
        <f>HYPERLINK("http://mirror.ff7data.com.ar/ff7/data/battle/battle.lgp/shat.png","View Picture")</f>
        <v>View Picture</v>
      </c>
    </row>
    <row r="10932">
      <c r="A10932" s="40"/>
      <c r="B10932" s="119" t="s">
        <v>43662</v>
      </c>
      <c r="C10932" s="120" t="s">
        <v>3007</v>
      </c>
      <c r="D10932" s="169" t="s">
        <v>43518</v>
      </c>
      <c r="E10932" s="17" t="s">
        <v>1783</v>
      </c>
      <c r="F10932" s="168" t="s">
        <v>3009</v>
      </c>
      <c r="G10932" s="98" t="str">
        <f>HYPERLINK("http://mirror.ff7data.com.ar/ff7/data/battle/battle.lgp/shau.png","View Picture")</f>
        <v>View Picture</v>
      </c>
    </row>
    <row r="10933">
      <c r="A10933" s="40"/>
      <c r="B10933" s="119" t="s">
        <v>43663</v>
      </c>
      <c r="C10933" s="120" t="s">
        <v>24131</v>
      </c>
      <c r="D10933" s="169" t="s">
        <v>43518</v>
      </c>
      <c r="E10933" s="17" t="s">
        <v>1783</v>
      </c>
      <c r="F10933" s="168" t="s">
        <v>3009</v>
      </c>
      <c r="G10933" s="98" t="str">
        <f>HYPERLINK("http://mirror.ff7data.com.ar/ff7/data/battle/battle.lgp/shax.png","View Picture")</f>
        <v>View Picture</v>
      </c>
    </row>
    <row r="10934">
      <c r="A10934" s="40"/>
      <c r="B10934" s="119" t="s">
        <v>43664</v>
      </c>
      <c r="C10934" s="120" t="s">
        <v>24131</v>
      </c>
      <c r="D10934" s="169" t="s">
        <v>43518</v>
      </c>
      <c r="E10934" s="17" t="s">
        <v>1783</v>
      </c>
      <c r="F10934" s="168" t="s">
        <v>3009</v>
      </c>
      <c r="G10934" s="98" t="str">
        <f>HYPERLINK("http://mirror.ff7data.com.ar/ff7/data/battle/battle.lgp/shay.png","View Picture")</f>
        <v>View Picture</v>
      </c>
    </row>
    <row r="10935">
      <c r="A10935" s="40"/>
      <c r="B10935" s="119" t="s">
        <v>43665</v>
      </c>
      <c r="C10935" s="120" t="s">
        <v>28156</v>
      </c>
      <c r="D10935" s="169" t="s">
        <v>43518</v>
      </c>
      <c r="E10935" s="17" t="s">
        <v>1783</v>
      </c>
      <c r="F10935" s="168" t="s">
        <v>3009</v>
      </c>
      <c r="G10935" s="98" t="str">
        <f>HYPERLINK("http://mirror.ff7data.com.ar/ff7/data/battle/battle.lgp/shaz.png","View Picture")</f>
        <v>View Picture</v>
      </c>
    </row>
    <row r="10936">
      <c r="A10936" s="40"/>
      <c r="B10936" s="119" t="s">
        <v>43666</v>
      </c>
      <c r="C10936" s="120" t="s">
        <v>24131</v>
      </c>
      <c r="D10936" s="169" t="s">
        <v>43518</v>
      </c>
      <c r="E10936" s="17" t="s">
        <v>1783</v>
      </c>
      <c r="F10936" s="168" t="s">
        <v>3009</v>
      </c>
      <c r="G10936" s="98" t="str">
        <f>HYPERLINK("http://mirror.ff7data.com.ar/ff7/data/battle/battle.lgp/shbb.png","View Picture")</f>
        <v>View Picture</v>
      </c>
    </row>
    <row r="10937">
      <c r="A10937" s="40"/>
      <c r="B10937" s="119" t="s">
        <v>43667</v>
      </c>
      <c r="C10937" s="120" t="s">
        <v>24131</v>
      </c>
      <c r="D10937" s="169" t="s">
        <v>43518</v>
      </c>
      <c r="E10937" s="17" t="s">
        <v>1783</v>
      </c>
      <c r="F10937" s="168" t="s">
        <v>3009</v>
      </c>
      <c r="G10937" s="98" t="str">
        <f>HYPERLINK("http://mirror.ff7data.com.ar/ff7/data/battle/battle.lgp/shbc.png","View Picture")</f>
        <v>View Picture</v>
      </c>
    </row>
    <row r="10938">
      <c r="A10938" s="40"/>
      <c r="B10938" s="119" t="s">
        <v>43668</v>
      </c>
      <c r="C10938" s="120" t="s">
        <v>20391</v>
      </c>
      <c r="D10938" s="169" t="s">
        <v>43518</v>
      </c>
      <c r="E10938" s="17" t="s">
        <v>1783</v>
      </c>
      <c r="F10938" s="168" t="s">
        <v>3009</v>
      </c>
      <c r="G10938" s="98" t="str">
        <f>HYPERLINK("http://mirror.ff7data.com.ar/ff7/data/battle/battle.lgp/shbd.png","View Picture")</f>
        <v>View Picture</v>
      </c>
    </row>
    <row r="10939">
      <c r="A10939" s="40"/>
      <c r="B10939" s="119" t="s">
        <v>43669</v>
      </c>
      <c r="C10939" s="120" t="s">
        <v>24131</v>
      </c>
      <c r="D10939" s="169" t="s">
        <v>43518</v>
      </c>
      <c r="E10939" s="17" t="s">
        <v>1783</v>
      </c>
      <c r="F10939" s="168" t="s">
        <v>3009</v>
      </c>
      <c r="G10939" s="98" t="str">
        <f>HYPERLINK("http://mirror.ff7data.com.ar/ff7/data/battle/battle.lgp/shbf.png","View Picture")</f>
        <v>View Picture</v>
      </c>
    </row>
    <row r="10940">
      <c r="A10940" s="40"/>
      <c r="B10940" s="119" t="s">
        <v>43670</v>
      </c>
      <c r="C10940" s="120" t="s">
        <v>36699</v>
      </c>
      <c r="D10940" s="169" t="s">
        <v>43518</v>
      </c>
      <c r="E10940" s="17" t="s">
        <v>1783</v>
      </c>
      <c r="F10940" s="168" t="s">
        <v>3009</v>
      </c>
      <c r="G10940" s="98" t="str">
        <f>HYPERLINK("http://mirror.ff7data.com.ar/ff7/data/battle/battle.lgp/shbg.png","View Picture")</f>
        <v>View Picture</v>
      </c>
    </row>
    <row r="10941">
      <c r="A10941" s="40"/>
      <c r="B10941" s="119" t="s">
        <v>43671</v>
      </c>
      <c r="C10941" s="120" t="s">
        <v>20391</v>
      </c>
      <c r="D10941" s="169" t="s">
        <v>43518</v>
      </c>
      <c r="E10941" s="17" t="s">
        <v>1783</v>
      </c>
      <c r="F10941" s="168" t="s">
        <v>3009</v>
      </c>
      <c r="G10941" s="98" t="str">
        <f>HYPERLINK("http://mirror.ff7data.com.ar/ff7/data/battle/battle.lgp/shbh.png","View Picture")</f>
        <v>View Picture</v>
      </c>
    </row>
    <row r="10942">
      <c r="A10942" s="40"/>
      <c r="B10942" s="119" t="s">
        <v>43672</v>
      </c>
      <c r="C10942" s="120" t="s">
        <v>24131</v>
      </c>
      <c r="D10942" s="169" t="s">
        <v>43518</v>
      </c>
      <c r="E10942" s="17" t="s">
        <v>1783</v>
      </c>
      <c r="F10942" s="168" t="s">
        <v>3009</v>
      </c>
      <c r="G10942" s="98" t="str">
        <f>HYPERLINK("http://mirror.ff7data.com.ar/ff7/data/battle/battle.lgp/shbj.png","View Picture")</f>
        <v>View Picture</v>
      </c>
    </row>
    <row r="10943">
      <c r="A10943" s="40"/>
      <c r="B10943" s="119" t="s">
        <v>43673</v>
      </c>
      <c r="C10943" s="120" t="s">
        <v>30420</v>
      </c>
      <c r="D10943" s="169" t="s">
        <v>43518</v>
      </c>
      <c r="E10943" s="17" t="s">
        <v>1783</v>
      </c>
      <c r="F10943" s="168" t="s">
        <v>3009</v>
      </c>
      <c r="G10943" s="98" t="str">
        <f>HYPERLINK("http://mirror.ff7data.com.ar/ff7/data/battle/battle.lgp/shbk.png","View Picture")</f>
        <v>View Picture</v>
      </c>
    </row>
    <row r="10944">
      <c r="A10944" s="40"/>
      <c r="B10944" s="119" t="s">
        <v>43674</v>
      </c>
      <c r="C10944" s="120" t="s">
        <v>28156</v>
      </c>
      <c r="D10944" s="169" t="s">
        <v>43518</v>
      </c>
      <c r="E10944" s="17" t="s">
        <v>1783</v>
      </c>
      <c r="F10944" s="168" t="s">
        <v>3009</v>
      </c>
      <c r="G10944" s="98" t="str">
        <f>HYPERLINK("http://mirror.ff7data.com.ar/ff7/data/battle/battle.lgp/shbl.png","View Picture")</f>
        <v>View Picture</v>
      </c>
    </row>
    <row r="10945">
      <c r="A10945" s="40"/>
      <c r="B10945" s="119" t="s">
        <v>43675</v>
      </c>
      <c r="C10945" s="120" t="s">
        <v>5891</v>
      </c>
      <c r="D10945" s="169" t="s">
        <v>43535</v>
      </c>
      <c r="E10945" s="17" t="s">
        <v>1783</v>
      </c>
      <c r="F10945" s="168" t="s">
        <v>3009</v>
      </c>
      <c r="G10945" s="98" t="str">
        <f>HYPERLINK("http://mirror.ff7data.com.ar/ff7/data/battle/battle.lgp/shbm.png","View Picture")</f>
        <v>View Picture</v>
      </c>
    </row>
    <row r="10946">
      <c r="A10946" s="40"/>
      <c r="B10946" s="119" t="s">
        <v>43676</v>
      </c>
      <c r="C10946" s="120" t="s">
        <v>6029</v>
      </c>
      <c r="D10946" s="169" t="s">
        <v>43537</v>
      </c>
      <c r="E10946" s="17" t="s">
        <v>1783</v>
      </c>
      <c r="F10946" s="168" t="s">
        <v>3009</v>
      </c>
      <c r="G10946" s="98" t="str">
        <f>HYPERLINK("http://mirror.ff7data.com.ar/ff7/data/battle/battle.lgp/shbo.png","View Picture")</f>
        <v>View Picture</v>
      </c>
    </row>
    <row r="10947">
      <c r="A10947" s="40"/>
      <c r="B10947" s="119" t="s">
        <v>43677</v>
      </c>
      <c r="C10947" s="120" t="s">
        <v>3355</v>
      </c>
      <c r="D10947" s="169" t="s">
        <v>43539</v>
      </c>
      <c r="E10947" s="17" t="s">
        <v>1783</v>
      </c>
      <c r="F10947" s="168" t="s">
        <v>3009</v>
      </c>
      <c r="G10947" s="98" t="str">
        <f>HYPERLINK("http://mirror.ff7data.com.ar/ff7/data/battle/battle.lgp/shbp.png","View Picture")</f>
        <v>View Picture</v>
      </c>
    </row>
    <row r="10948">
      <c r="A10948" s="40"/>
      <c r="B10948" s="119" t="s">
        <v>43678</v>
      </c>
      <c r="C10948" s="120" t="s">
        <v>6029</v>
      </c>
      <c r="D10948" s="169" t="s">
        <v>43541</v>
      </c>
      <c r="E10948" s="17" t="s">
        <v>1783</v>
      </c>
      <c r="F10948" s="168" t="s">
        <v>3009</v>
      </c>
      <c r="G10948" s="98" t="str">
        <f>HYPERLINK("http://mirror.ff7data.com.ar/ff7/data/battle/battle.lgp/shbq.png","View Picture")</f>
        <v>View Picture</v>
      </c>
    </row>
    <row r="10949">
      <c r="A10949" s="40"/>
      <c r="B10949" s="119" t="s">
        <v>43679</v>
      </c>
      <c r="C10949" s="120" t="s">
        <v>43543</v>
      </c>
      <c r="D10949" s="169" t="s">
        <v>43544</v>
      </c>
      <c r="E10949" s="17" t="s">
        <v>1783</v>
      </c>
      <c r="F10949" s="168" t="s">
        <v>3009</v>
      </c>
      <c r="G10949" s="98" t="str">
        <f>HYPERLINK("http://mirror.ff7data.com.ar/ff7/data/battle/battle.lgp/shbr.png","View Picture")</f>
        <v>View Picture</v>
      </c>
    </row>
    <row r="10950">
      <c r="A10950" s="40"/>
      <c r="B10950" s="119" t="s">
        <v>43680</v>
      </c>
      <c r="C10950" s="120" t="s">
        <v>4476</v>
      </c>
      <c r="D10950" s="169" t="s">
        <v>43546</v>
      </c>
      <c r="E10950" s="17" t="s">
        <v>1783</v>
      </c>
      <c r="F10950" s="168" t="s">
        <v>3009</v>
      </c>
      <c r="G10950" s="98" t="str">
        <f>HYPERLINK("http://mirror.ff7data.com.ar/ff7/data/battle/battle.lgp/shbt.png","View Picture")</f>
        <v>View Picture</v>
      </c>
    </row>
    <row r="10951">
      <c r="A10951" s="40"/>
      <c r="B10951" s="119" t="s">
        <v>43681</v>
      </c>
      <c r="C10951" s="120" t="s">
        <v>7301</v>
      </c>
      <c r="D10951" s="169" t="s">
        <v>43548</v>
      </c>
      <c r="E10951" s="17" t="s">
        <v>1783</v>
      </c>
      <c r="F10951" s="168" t="s">
        <v>3009</v>
      </c>
      <c r="G10951" s="98" t="str">
        <f>HYPERLINK("http://mirror.ff7data.com.ar/ff7/data/battle/battle.lgp/shbu.png","View Picture")</f>
        <v>View Picture</v>
      </c>
    </row>
    <row r="10952">
      <c r="A10952" s="40"/>
      <c r="B10952" s="119" t="s">
        <v>43682</v>
      </c>
      <c r="C10952" s="120" t="s">
        <v>6029</v>
      </c>
      <c r="D10952" s="169" t="s">
        <v>43550</v>
      </c>
      <c r="E10952" s="17" t="s">
        <v>1783</v>
      </c>
      <c r="F10952" s="168" t="s">
        <v>3009</v>
      </c>
      <c r="G10952" s="98" t="str">
        <f>HYPERLINK("http://mirror.ff7data.com.ar/ff7/data/battle/battle.lgp/shbv.png","View Picture")</f>
        <v>View Picture</v>
      </c>
    </row>
    <row r="10953">
      <c r="A10953" s="40"/>
      <c r="B10953" s="119" t="s">
        <v>43683</v>
      </c>
      <c r="C10953" s="120" t="s">
        <v>43543</v>
      </c>
      <c r="D10953" s="169" t="s">
        <v>43552</v>
      </c>
      <c r="E10953" s="17" t="s">
        <v>1783</v>
      </c>
      <c r="F10953" s="168" t="s">
        <v>3009</v>
      </c>
      <c r="G10953" s="98" t="str">
        <f>HYPERLINK("http://mirror.ff7data.com.ar/ff7/data/battle/battle.lgp/shbw.png","View Picture")</f>
        <v>View Picture</v>
      </c>
    </row>
    <row r="10954">
      <c r="A10954" s="40"/>
      <c r="B10954" s="119" t="s">
        <v>43684</v>
      </c>
      <c r="C10954" s="120" t="s">
        <v>4217</v>
      </c>
      <c r="D10954" s="169" t="s">
        <v>43554</v>
      </c>
      <c r="E10954" s="17" t="s">
        <v>1783</v>
      </c>
      <c r="F10954" s="168" t="s">
        <v>3009</v>
      </c>
      <c r="G10954" s="98" t="str">
        <f>HYPERLINK("http://mirror.ff7data.com.ar/ff7/data/battle/battle.lgp/shbz.png","View Picture")</f>
        <v>View Picture</v>
      </c>
    </row>
    <row r="10955">
      <c r="A10955" s="40"/>
      <c r="B10955" s="119" t="s">
        <v>43685</v>
      </c>
      <c r="C10955" s="120" t="s">
        <v>5891</v>
      </c>
      <c r="D10955" s="169" t="s">
        <v>43556</v>
      </c>
      <c r="E10955" s="17" t="s">
        <v>1783</v>
      </c>
      <c r="F10955" s="168" t="s">
        <v>3009</v>
      </c>
      <c r="G10955" s="98" t="str">
        <f>HYPERLINK("http://mirror.ff7data.com.ar/ff7/data/battle/battle.lgp/shca.png","View Picture")</f>
        <v>View Picture</v>
      </c>
    </row>
    <row r="10956">
      <c r="A10956" s="40"/>
      <c r="B10956" s="119" t="s">
        <v>43686</v>
      </c>
      <c r="C10956" s="120" t="s">
        <v>5203</v>
      </c>
      <c r="D10956" s="169" t="s">
        <v>43558</v>
      </c>
      <c r="E10956" s="17" t="s">
        <v>1783</v>
      </c>
      <c r="F10956" s="168" t="s">
        <v>3009</v>
      </c>
      <c r="G10956" s="98" t="str">
        <f>HYPERLINK("http://mirror.ff7data.com.ar/ff7/data/battle/battle.lgp/shcb.png","View Picture")</f>
        <v>View Picture</v>
      </c>
    </row>
    <row r="10957">
      <c r="A10957" s="40"/>
      <c r="B10957" s="119" t="s">
        <v>43687</v>
      </c>
      <c r="C10957" s="120" t="s">
        <v>3648</v>
      </c>
      <c r="D10957" s="169" t="s">
        <v>43560</v>
      </c>
      <c r="E10957" s="17" t="s">
        <v>1783</v>
      </c>
      <c r="F10957" s="168" t="s">
        <v>3009</v>
      </c>
      <c r="G10957" s="98" t="str">
        <f>HYPERLINK("http://mirror.ff7data.com.ar/ff7/data/battle/battle.lgp/shce.png","View Picture")</f>
        <v>View Picture</v>
      </c>
    </row>
    <row r="10958">
      <c r="A10958" s="40"/>
      <c r="B10958" s="119" t="s">
        <v>43688</v>
      </c>
      <c r="C10958" s="120" t="s">
        <v>4719</v>
      </c>
      <c r="D10958" s="169" t="s">
        <v>43562</v>
      </c>
      <c r="E10958" s="17" t="s">
        <v>1783</v>
      </c>
      <c r="F10958" s="168" t="s">
        <v>3009</v>
      </c>
      <c r="G10958" s="98" t="str">
        <f>HYPERLINK("http://mirror.ff7data.com.ar/ff7/data/battle/battle.lgp/shcf.png","View Picture")</f>
        <v>View Picture</v>
      </c>
    </row>
    <row r="10959">
      <c r="A10959" s="40"/>
      <c r="B10959" s="119" t="s">
        <v>43689</v>
      </c>
      <c r="C10959" s="120" t="s">
        <v>3723</v>
      </c>
      <c r="D10959" s="169" t="s">
        <v>43564</v>
      </c>
      <c r="E10959" s="17" t="s">
        <v>1783</v>
      </c>
      <c r="F10959" s="168" t="s">
        <v>3009</v>
      </c>
      <c r="G10959" s="98" t="str">
        <f>HYPERLINK("http://mirror.ff7data.com.ar/ff7/data/battle/battle.lgp/shcg.png","View Picture")</f>
        <v>View Picture</v>
      </c>
    </row>
    <row r="10960">
      <c r="A10960" s="40"/>
      <c r="B10960" s="119" t="s">
        <v>43690</v>
      </c>
      <c r="C10960" s="120" t="s">
        <v>8376</v>
      </c>
      <c r="D10960" s="169" t="s">
        <v>43566</v>
      </c>
      <c r="E10960" s="17" t="s">
        <v>1783</v>
      </c>
      <c r="F10960" s="168" t="s">
        <v>3009</v>
      </c>
      <c r="G10960" s="98" t="str">
        <f>HYPERLINK("http://mirror.ff7data.com.ar/ff7/data/battle/battle.lgp/shck.png","View Picture")</f>
        <v>View Picture</v>
      </c>
    </row>
    <row r="10961">
      <c r="A10961" s="40"/>
      <c r="B10961" s="119" t="s">
        <v>43691</v>
      </c>
      <c r="C10961" s="120" t="s">
        <v>5925</v>
      </c>
      <c r="D10961" s="169" t="s">
        <v>43568</v>
      </c>
      <c r="E10961" s="17" t="s">
        <v>1783</v>
      </c>
      <c r="F10961" s="168" t="s">
        <v>3009</v>
      </c>
      <c r="G10961" s="98" t="str">
        <f>HYPERLINK("http://mirror.ff7data.com.ar/ff7/data/battle/battle.lgp/shcl.png","View Picture")</f>
        <v>View Picture</v>
      </c>
    </row>
    <row r="10962">
      <c r="A10962" s="40"/>
      <c r="B10962" s="119" t="s">
        <v>43692</v>
      </c>
      <c r="C10962" s="120" t="s">
        <v>3875</v>
      </c>
      <c r="D10962" s="169" t="s">
        <v>43570</v>
      </c>
      <c r="E10962" s="17" t="s">
        <v>1783</v>
      </c>
      <c r="F10962" s="168" t="s">
        <v>3009</v>
      </c>
      <c r="G10962" s="98" t="str">
        <f>HYPERLINK("http://mirror.ff7data.com.ar/ff7/data/battle/battle.lgp/shcm.png","View Picture")</f>
        <v>View Picture</v>
      </c>
    </row>
    <row r="10963">
      <c r="A10963" s="40"/>
      <c r="B10963" s="119" t="s">
        <v>43693</v>
      </c>
      <c r="C10963" s="120" t="s">
        <v>7129</v>
      </c>
      <c r="D10963" s="169" t="s">
        <v>43572</v>
      </c>
      <c r="E10963" s="17" t="s">
        <v>1783</v>
      </c>
      <c r="F10963" s="168" t="s">
        <v>3009</v>
      </c>
      <c r="G10963" s="98" t="str">
        <f>HYPERLINK("http://mirror.ff7data.com.ar/ff7/data/battle/battle.lgp/shcn.png","View Picture")</f>
        <v>View Picture</v>
      </c>
    </row>
    <row r="10964">
      <c r="A10964" s="40"/>
      <c r="B10964" s="119" t="s">
        <v>43694</v>
      </c>
      <c r="C10964" s="120" t="s">
        <v>3875</v>
      </c>
      <c r="D10964" s="169" t="s">
        <v>43574</v>
      </c>
      <c r="E10964" s="17" t="s">
        <v>1783</v>
      </c>
      <c r="F10964" s="168" t="s">
        <v>3009</v>
      </c>
      <c r="G10964" s="98" t="str">
        <f>HYPERLINK("http://mirror.ff7data.com.ar/ff7/data/battle/battle.lgp/shco.png","View Picture")</f>
        <v>View Picture</v>
      </c>
    </row>
    <row r="10965">
      <c r="A10965" s="40"/>
      <c r="B10965" s="119" t="s">
        <v>43695</v>
      </c>
      <c r="C10965" s="120" t="s">
        <v>5573</v>
      </c>
      <c r="D10965" s="169" t="s">
        <v>43576</v>
      </c>
      <c r="E10965" s="17" t="s">
        <v>1783</v>
      </c>
      <c r="F10965" s="168" t="s">
        <v>3009</v>
      </c>
      <c r="G10965" s="98" t="str">
        <f>HYPERLINK("http://mirror.ff7data.com.ar/ff7/data/battle/battle.lgp/shcp.png","View Picture")</f>
        <v>View Picture</v>
      </c>
    </row>
    <row r="10966">
      <c r="A10966" s="40"/>
      <c r="B10966" s="119" t="s">
        <v>43696</v>
      </c>
      <c r="C10966" s="120" t="s">
        <v>13619</v>
      </c>
      <c r="D10966" s="169" t="s">
        <v>43578</v>
      </c>
      <c r="E10966" s="17" t="s">
        <v>1783</v>
      </c>
      <c r="F10966" s="168" t="s">
        <v>3009</v>
      </c>
      <c r="G10966" s="98" t="str">
        <f>HYPERLINK("http://mirror.ff7data.com.ar/ff7/data/battle/battle.lgp/shcq.png","View Picture")</f>
        <v>View Picture</v>
      </c>
    </row>
    <row r="10967">
      <c r="A10967" s="40"/>
      <c r="B10967" s="119" t="s">
        <v>43697</v>
      </c>
      <c r="C10967" s="120" t="s">
        <v>13619</v>
      </c>
      <c r="D10967" s="169" t="s">
        <v>43580</v>
      </c>
      <c r="E10967" s="17" t="s">
        <v>1783</v>
      </c>
      <c r="F10967" s="168" t="s">
        <v>3009</v>
      </c>
      <c r="G10967" s="98" t="str">
        <f>HYPERLINK("http://mirror.ff7data.com.ar/ff7/data/battle/battle.lgp/shcr.png","View Picture")</f>
        <v>View Picture</v>
      </c>
    </row>
    <row r="10968">
      <c r="A10968" s="40"/>
      <c r="B10968" s="119" t="s">
        <v>43698</v>
      </c>
      <c r="C10968" s="120" t="s">
        <v>10955</v>
      </c>
      <c r="D10968" s="169" t="s">
        <v>43582</v>
      </c>
      <c r="E10968" s="17" t="s">
        <v>1783</v>
      </c>
      <c r="F10968" s="168" t="s">
        <v>3009</v>
      </c>
      <c r="G10968" s="98" t="str">
        <f>HYPERLINK("http://mirror.ff7data.com.ar/ff7/data/battle/battle.lgp/shcs.png","View Picture")</f>
        <v>View Picture</v>
      </c>
    </row>
    <row r="10969">
      <c r="A10969" s="40"/>
      <c r="B10969" s="119" t="s">
        <v>43699</v>
      </c>
      <c r="C10969" s="120" t="s">
        <v>3875</v>
      </c>
      <c r="D10969" s="169" t="s">
        <v>43584</v>
      </c>
      <c r="E10969" s="17" t="s">
        <v>1783</v>
      </c>
      <c r="F10969" s="168" t="s">
        <v>3009</v>
      </c>
      <c r="G10969" s="98" t="str">
        <f>HYPERLINK("http://mirror.ff7data.com.ar/ff7/data/battle/battle.lgp/shct.png","View Picture")</f>
        <v>View Picture</v>
      </c>
    </row>
    <row r="10970">
      <c r="A10970" s="40"/>
      <c r="B10970" s="119" t="s">
        <v>43700</v>
      </c>
      <c r="C10970" s="120" t="s">
        <v>4030</v>
      </c>
      <c r="D10970" s="169" t="s">
        <v>43586</v>
      </c>
      <c r="E10970" s="17" t="s">
        <v>1783</v>
      </c>
      <c r="F10970" s="168" t="s">
        <v>3009</v>
      </c>
      <c r="G10970" s="98" t="str">
        <f>HYPERLINK("http://mirror.ff7data.com.ar/ff7/data/battle/battle.lgp/shcu.png","View Picture")</f>
        <v>View Picture</v>
      </c>
    </row>
    <row r="10971">
      <c r="A10971" s="40"/>
      <c r="B10971" s="119" t="s">
        <v>43701</v>
      </c>
      <c r="C10971" s="120" t="s">
        <v>18406</v>
      </c>
      <c r="D10971" s="169" t="s">
        <v>43588</v>
      </c>
      <c r="E10971" s="17" t="s">
        <v>1783</v>
      </c>
      <c r="F10971" s="168" t="s">
        <v>3009</v>
      </c>
      <c r="G10971" s="98" t="str">
        <f>HYPERLINK("http://mirror.ff7data.com.ar/ff7/data/battle/battle.lgp/shcv.png","View Picture")</f>
        <v>View Picture</v>
      </c>
    </row>
    <row r="10972">
      <c r="A10972" s="40"/>
      <c r="B10972" s="119" t="s">
        <v>43702</v>
      </c>
      <c r="C10972" s="120" t="s">
        <v>13619</v>
      </c>
      <c r="D10972" s="169" t="s">
        <v>43590</v>
      </c>
      <c r="E10972" s="17" t="s">
        <v>1783</v>
      </c>
      <c r="F10972" s="168" t="s">
        <v>3009</v>
      </c>
      <c r="G10972" s="98" t="str">
        <f>HYPERLINK("http://mirror.ff7data.com.ar/ff7/data/battle/battle.lgp/shcw.png","View Picture")</f>
        <v>View Picture</v>
      </c>
    </row>
    <row r="10973">
      <c r="A10973" s="40"/>
      <c r="B10973" s="119" t="s">
        <v>43703</v>
      </c>
      <c r="C10973" s="120" t="s">
        <v>8376</v>
      </c>
      <c r="D10973" s="169" t="s">
        <v>43566</v>
      </c>
      <c r="E10973" s="17" t="s">
        <v>1783</v>
      </c>
      <c r="F10973" s="168" t="s">
        <v>3009</v>
      </c>
      <c r="G10973" s="98" t="str">
        <f>HYPERLINK("http://mirror.ff7data.com.ar/ff7/data/battle/battle.lgp/shcx.png","View Picture")</f>
        <v>View Picture</v>
      </c>
      <c r="H10973" s="123" t="s">
        <v>42867</v>
      </c>
    </row>
    <row r="10974">
      <c r="A10974" s="40"/>
      <c r="B10974" s="119" t="s">
        <v>43704</v>
      </c>
      <c r="C10974" s="120" t="s">
        <v>8376</v>
      </c>
      <c r="D10974" s="169" t="s">
        <v>43566</v>
      </c>
      <c r="E10974" s="17" t="s">
        <v>1783</v>
      </c>
      <c r="F10974" s="168" t="s">
        <v>3009</v>
      </c>
      <c r="G10974" s="98" t="str">
        <f>HYPERLINK("http://mirror.ff7data.com.ar/ff7/data/battle/battle.lgp/shcy.png","View Picture")</f>
        <v>View Picture</v>
      </c>
      <c r="H10974" s="123" t="s">
        <v>42867</v>
      </c>
    </row>
    <row r="10975">
      <c r="A10975" s="40"/>
      <c r="B10975" s="119" t="s">
        <v>43705</v>
      </c>
      <c r="C10975" s="120" t="s">
        <v>8376</v>
      </c>
      <c r="D10975" s="169" t="s">
        <v>43566</v>
      </c>
      <c r="E10975" s="17" t="s">
        <v>1783</v>
      </c>
      <c r="F10975" s="168" t="s">
        <v>3009</v>
      </c>
      <c r="G10975" s="98" t="str">
        <f>HYPERLINK("http://mirror.ff7data.com.ar/ff7/data/battle/battle.lgp/shcz.png","View Picture")</f>
        <v>View Picture</v>
      </c>
      <c r="H10975" s="123" t="s">
        <v>42867</v>
      </c>
    </row>
    <row r="10976">
      <c r="A10976" s="55"/>
      <c r="B10976" s="119" t="s">
        <v>43706</v>
      </c>
      <c r="C10976" s="120" t="s">
        <v>26179</v>
      </c>
      <c r="D10976" s="33" t="s">
        <v>43507</v>
      </c>
      <c r="E10976" s="17" t="s">
        <v>1783</v>
      </c>
      <c r="F10976" s="168" t="s">
        <v>3025</v>
      </c>
    </row>
    <row r="10977">
      <c r="A10977" s="82"/>
      <c r="B10977" s="119" t="s">
        <v>43707</v>
      </c>
      <c r="C10977" s="120" t="s">
        <v>3980</v>
      </c>
      <c r="D10977" s="33" t="s">
        <v>42637</v>
      </c>
      <c r="E10977" s="51" t="s">
        <v>1748</v>
      </c>
      <c r="F10977" s="121" t="s">
        <v>2971</v>
      </c>
      <c r="G10977" s="98" t="str">
        <f>HYPERLINK("http://mirror.ff7data.com.ar/ff7/data/battle/battle.lgp/siaa.png","View Picture")</f>
        <v>View Picture</v>
      </c>
      <c r="H10977" s="46" t="s">
        <v>43708</v>
      </c>
    </row>
    <row r="10978">
      <c r="A10978" s="55"/>
      <c r="B10978" s="119" t="s">
        <v>43709</v>
      </c>
      <c r="C10978" s="120" t="s">
        <v>4288</v>
      </c>
      <c r="D10978" s="33" t="s">
        <v>42639</v>
      </c>
      <c r="E10978" s="51" t="s">
        <v>1748</v>
      </c>
      <c r="F10978" s="121" t="s">
        <v>2993</v>
      </c>
      <c r="H10978" s="46" t="s">
        <v>3002</v>
      </c>
    </row>
    <row r="10979">
      <c r="A10979" s="40"/>
      <c r="B10979" s="119" t="s">
        <v>43710</v>
      </c>
      <c r="C10979" s="120" t="s">
        <v>26095</v>
      </c>
      <c r="D10979" s="33" t="s">
        <v>42641</v>
      </c>
      <c r="E10979" s="51" t="s">
        <v>1748</v>
      </c>
      <c r="F10979" s="121" t="s">
        <v>1348</v>
      </c>
      <c r="G10979" s="98" t="str">
        <f>HYPERLINK("http://mirror.ff7data.com.ar/ff7/data/battle/battle.lgp/siac.png","View Picture")</f>
        <v>View Picture</v>
      </c>
    </row>
    <row r="10980">
      <c r="A10980" s="40"/>
      <c r="B10980" s="119" t="s">
        <v>43711</v>
      </c>
      <c r="C10980" s="120" t="s">
        <v>13619</v>
      </c>
      <c r="D10980" s="33" t="s">
        <v>3728</v>
      </c>
      <c r="E10980" s="51" t="s">
        <v>1748</v>
      </c>
      <c r="F10980" s="121" t="s">
        <v>3009</v>
      </c>
      <c r="G10980" s="98" t="str">
        <f>HYPERLINK("http://mirror.ff7data.com.ar/ff7/data/battle/battle.lgp/siam.png","View Picture")</f>
        <v>View Picture</v>
      </c>
    </row>
    <row r="10981">
      <c r="A10981" s="40"/>
      <c r="B10981" s="119" t="s">
        <v>43712</v>
      </c>
      <c r="C10981" s="120" t="s">
        <v>40766</v>
      </c>
      <c r="D10981" s="33" t="s">
        <v>42645</v>
      </c>
      <c r="E10981" s="51" t="s">
        <v>1748</v>
      </c>
      <c r="F10981" s="121" t="s">
        <v>3009</v>
      </c>
      <c r="G10981" s="98" t="str">
        <f>HYPERLINK("http://mirror.ff7data.com.ar/ff7/data/battle/battle.lgp/sian.png","View Picture")</f>
        <v>View Picture</v>
      </c>
    </row>
    <row r="10982">
      <c r="A10982" s="40"/>
      <c r="B10982" s="119" t="s">
        <v>43713</v>
      </c>
      <c r="C10982" s="120" t="s">
        <v>11918</v>
      </c>
      <c r="D10982" s="33" t="s">
        <v>3771</v>
      </c>
      <c r="E10982" s="51" t="s">
        <v>1748</v>
      </c>
      <c r="F10982" s="121" t="s">
        <v>3009</v>
      </c>
      <c r="G10982" s="98" t="str">
        <f>HYPERLINK("http://mirror.ff7data.com.ar/ff7/data/battle/battle.lgp/siao.png","View Picture")</f>
        <v>View Picture</v>
      </c>
    </row>
    <row r="10983">
      <c r="A10983" s="40"/>
      <c r="B10983" s="119" t="s">
        <v>43714</v>
      </c>
      <c r="C10983" s="120" t="s">
        <v>3318</v>
      </c>
      <c r="D10983" s="33" t="s">
        <v>42648</v>
      </c>
      <c r="E10983" s="51" t="s">
        <v>1748</v>
      </c>
      <c r="F10983" s="121" t="s">
        <v>3009</v>
      </c>
      <c r="G10983" s="98" t="str">
        <f>HYPERLINK("http://mirror.ff7data.com.ar/ff7/data/battle/battle.lgp/siar.png","View Picture")</f>
        <v>View Picture</v>
      </c>
    </row>
    <row r="10984">
      <c r="A10984" s="40"/>
      <c r="B10984" s="119" t="s">
        <v>43715</v>
      </c>
      <c r="C10984" s="120" t="s">
        <v>7115</v>
      </c>
      <c r="D10984" s="33" t="s">
        <v>42650</v>
      </c>
      <c r="E10984" s="51" t="s">
        <v>1748</v>
      </c>
      <c r="F10984" s="121" t="s">
        <v>3009</v>
      </c>
      <c r="G10984" s="98" t="str">
        <f>HYPERLINK("http://mirror.ff7data.com.ar/ff7/data/battle/battle.lgp/sias.png","View Picture")</f>
        <v>View Picture</v>
      </c>
    </row>
    <row r="10985">
      <c r="A10985" s="40"/>
      <c r="B10985" s="119" t="s">
        <v>43716</v>
      </c>
      <c r="C10985" s="120" t="s">
        <v>11261</v>
      </c>
      <c r="D10985" s="33" t="s">
        <v>42652</v>
      </c>
      <c r="E10985" s="51" t="s">
        <v>1748</v>
      </c>
      <c r="F10985" s="121" t="s">
        <v>3009</v>
      </c>
      <c r="G10985" s="98" t="str">
        <f>HYPERLINK("http://mirror.ff7data.com.ar/ff7/data/battle/battle.lgp/siat.png","View Picture")</f>
        <v>View Picture</v>
      </c>
    </row>
    <row r="10986">
      <c r="A10986" s="40"/>
      <c r="B10986" s="119" t="s">
        <v>43717</v>
      </c>
      <c r="C10986" s="120" t="s">
        <v>3637</v>
      </c>
      <c r="D10986" s="33" t="s">
        <v>42654</v>
      </c>
      <c r="E10986" s="51" t="s">
        <v>1748</v>
      </c>
      <c r="F10986" s="121" t="s">
        <v>3009</v>
      </c>
      <c r="G10986" s="98" t="str">
        <f>HYPERLINK("http://mirror.ff7data.com.ar/ff7/data/battle/battle.lgp/siaw.png","View Picture")</f>
        <v>View Picture</v>
      </c>
    </row>
    <row r="10987">
      <c r="A10987" s="40"/>
      <c r="B10987" s="119" t="s">
        <v>43718</v>
      </c>
      <c r="C10987" s="120" t="s">
        <v>5904</v>
      </c>
      <c r="D10987" s="33" t="s">
        <v>42656</v>
      </c>
      <c r="E10987" s="51" t="s">
        <v>1748</v>
      </c>
      <c r="F10987" s="121" t="s">
        <v>3009</v>
      </c>
      <c r="G10987" s="98" t="str">
        <f>HYPERLINK("http://mirror.ff7data.com.ar/ff7/data/battle/battle.lgp/siax.png","View Picture")</f>
        <v>View Picture</v>
      </c>
    </row>
    <row r="10988">
      <c r="A10988" s="40"/>
      <c r="B10988" s="119" t="s">
        <v>43719</v>
      </c>
      <c r="C10988" s="120" t="s">
        <v>3434</v>
      </c>
      <c r="D10988" s="33" t="s">
        <v>42658</v>
      </c>
      <c r="E10988" s="51" t="s">
        <v>1748</v>
      </c>
      <c r="F10988" s="121" t="s">
        <v>3009</v>
      </c>
      <c r="G10988" s="98" t="str">
        <f>HYPERLINK("http://mirror.ff7data.com.ar/ff7/data/battle/battle.lgp/siay.png","View Picture")</f>
        <v>View Picture</v>
      </c>
    </row>
    <row r="10989">
      <c r="A10989" s="40"/>
      <c r="B10989" s="119" t="s">
        <v>43720</v>
      </c>
      <c r="C10989" s="120" t="s">
        <v>9600</v>
      </c>
      <c r="D10989" s="33" t="s">
        <v>42660</v>
      </c>
      <c r="E10989" s="51" t="s">
        <v>1748</v>
      </c>
      <c r="F10989" s="121" t="s">
        <v>3009</v>
      </c>
      <c r="G10989" s="98" t="str">
        <f>HYPERLINK("http://mirror.ff7data.com.ar/ff7/data/battle/battle.lgp/siba.png","View Picture")</f>
        <v>View Picture</v>
      </c>
    </row>
    <row r="10990">
      <c r="A10990" s="40"/>
      <c r="B10990" s="119" t="s">
        <v>43721</v>
      </c>
      <c r="C10990" s="120" t="s">
        <v>9571</v>
      </c>
      <c r="D10990" s="33" t="s">
        <v>42662</v>
      </c>
      <c r="E10990" s="51" t="s">
        <v>1748</v>
      </c>
      <c r="F10990" s="121" t="s">
        <v>3009</v>
      </c>
      <c r="G10990" s="98" t="str">
        <f>HYPERLINK("http://mirror.ff7data.com.ar/ff7/data/battle/battle.lgp/sibb.png","View Picture")</f>
        <v>View Picture</v>
      </c>
    </row>
    <row r="10991">
      <c r="A10991" s="40"/>
      <c r="B10991" s="119" t="s">
        <v>43722</v>
      </c>
      <c r="C10991" s="120" t="s">
        <v>3481</v>
      </c>
      <c r="D10991" s="33" t="s">
        <v>42664</v>
      </c>
      <c r="E10991" s="51" t="s">
        <v>1748</v>
      </c>
      <c r="F10991" s="121" t="s">
        <v>3009</v>
      </c>
      <c r="G10991" s="98" t="str">
        <f>HYPERLINK("http://mirror.ff7data.com.ar/ff7/data/battle/battle.lgp/sibc.png","View Picture")</f>
        <v>View Picture</v>
      </c>
    </row>
    <row r="10992">
      <c r="A10992" s="40"/>
      <c r="B10992" s="119" t="s">
        <v>43723</v>
      </c>
      <c r="C10992" s="120" t="s">
        <v>7871</v>
      </c>
      <c r="D10992" s="33" t="s">
        <v>42666</v>
      </c>
      <c r="E10992" s="51" t="s">
        <v>1748</v>
      </c>
      <c r="F10992" s="121" t="s">
        <v>3009</v>
      </c>
      <c r="G10992" s="98" t="str">
        <f>HYPERLINK("http://mirror.ff7data.com.ar/ff7/data/battle/battle.lgp/sibd.png","View Picture")</f>
        <v>View Picture</v>
      </c>
    </row>
    <row r="10993">
      <c r="A10993" s="40"/>
      <c r="B10993" s="119" t="s">
        <v>43724</v>
      </c>
      <c r="C10993" s="120" t="s">
        <v>7129</v>
      </c>
      <c r="D10993" s="33" t="s">
        <v>42668</v>
      </c>
      <c r="E10993" s="51" t="s">
        <v>1748</v>
      </c>
      <c r="F10993" s="121" t="s">
        <v>3009</v>
      </c>
      <c r="G10993" s="98" t="str">
        <f>HYPERLINK("http://mirror.ff7data.com.ar/ff7/data/battle/battle.lgp/sibf.png","View Picture")</f>
        <v>View Picture</v>
      </c>
    </row>
    <row r="10994">
      <c r="A10994" s="40"/>
      <c r="B10994" s="119" t="s">
        <v>43725</v>
      </c>
      <c r="C10994" s="120" t="s">
        <v>9441</v>
      </c>
      <c r="D10994" s="33" t="s">
        <v>42670</v>
      </c>
      <c r="E10994" s="51" t="s">
        <v>1748</v>
      </c>
      <c r="F10994" s="121" t="s">
        <v>3009</v>
      </c>
      <c r="G10994" s="98" t="str">
        <f>HYPERLINK("http://mirror.ff7data.com.ar/ff7/data/battle/battle.lgp/sibg.png","View Picture")</f>
        <v>View Picture</v>
      </c>
    </row>
    <row r="10995">
      <c r="A10995" s="40"/>
      <c r="B10995" s="119" t="s">
        <v>43726</v>
      </c>
      <c r="C10995" s="120" t="s">
        <v>3481</v>
      </c>
      <c r="D10995" s="33" t="s">
        <v>42672</v>
      </c>
      <c r="E10995" s="51" t="s">
        <v>1748</v>
      </c>
      <c r="F10995" s="121" t="s">
        <v>3009</v>
      </c>
      <c r="G10995" s="98" t="str">
        <f>HYPERLINK("http://mirror.ff7data.com.ar/ff7/data/battle/battle.lgp/sibh.png","View Picture")</f>
        <v>View Picture</v>
      </c>
    </row>
    <row r="10996">
      <c r="A10996" s="40"/>
      <c r="B10996" s="119" t="s">
        <v>43727</v>
      </c>
      <c r="C10996" s="120" t="s">
        <v>7871</v>
      </c>
      <c r="D10996" s="33" t="s">
        <v>42674</v>
      </c>
      <c r="E10996" s="51" t="s">
        <v>1748</v>
      </c>
      <c r="F10996" s="121" t="s">
        <v>3009</v>
      </c>
      <c r="G10996" s="98" t="str">
        <f>HYPERLINK("http://mirror.ff7data.com.ar/ff7/data/battle/battle.lgp/sibi.png","View Picture")</f>
        <v>View Picture</v>
      </c>
    </row>
    <row r="10997">
      <c r="A10997" s="40"/>
      <c r="B10997" s="119" t="s">
        <v>43728</v>
      </c>
      <c r="C10997" s="120" t="s">
        <v>13619</v>
      </c>
      <c r="D10997" s="33" t="s">
        <v>42676</v>
      </c>
      <c r="E10997" s="51" t="s">
        <v>1748</v>
      </c>
      <c r="F10997" s="121" t="s">
        <v>3009</v>
      </c>
      <c r="G10997" s="98" t="str">
        <f>HYPERLINK("http://mirror.ff7data.com.ar/ff7/data/battle/battle.lgp/sick.png","View Picture")</f>
        <v>View Picture</v>
      </c>
    </row>
    <row r="10998">
      <c r="A10998" s="40"/>
      <c r="B10998" s="119" t="s">
        <v>43729</v>
      </c>
      <c r="C10998" s="120" t="s">
        <v>7081</v>
      </c>
      <c r="D10998" s="33" t="s">
        <v>42678</v>
      </c>
      <c r="E10998" s="51" t="s">
        <v>1748</v>
      </c>
      <c r="F10998" s="121" t="s">
        <v>3009</v>
      </c>
      <c r="G10998" s="98" t="str">
        <f>HYPERLINK("http://mirror.ff7data.com.ar/ff7/data/battle/battle.lgp/sicl.png","View Picture")</f>
        <v>View Picture</v>
      </c>
    </row>
    <row r="10999">
      <c r="A10999" s="40"/>
      <c r="B10999" s="119" t="s">
        <v>43730</v>
      </c>
      <c r="C10999" s="120" t="s">
        <v>4240</v>
      </c>
      <c r="D10999" s="33" t="s">
        <v>42680</v>
      </c>
      <c r="E10999" s="51" t="s">
        <v>1748</v>
      </c>
      <c r="F10999" s="121" t="s">
        <v>3009</v>
      </c>
      <c r="G10999" s="98" t="str">
        <f>HYPERLINK("http://mirror.ff7data.com.ar/ff7/data/battle/battle.lgp/sicm.png","View Picture")</f>
        <v>View Picture</v>
      </c>
    </row>
    <row r="11000">
      <c r="A11000" s="40"/>
      <c r="B11000" s="119" t="s">
        <v>43731</v>
      </c>
      <c r="C11000" s="120" t="s">
        <v>34499</v>
      </c>
      <c r="D11000" s="33" t="s">
        <v>42682</v>
      </c>
      <c r="E11000" s="51" t="s">
        <v>1748</v>
      </c>
      <c r="F11000" s="121" t="s">
        <v>3009</v>
      </c>
      <c r="G11000" s="98" t="str">
        <f>HYPERLINK("http://mirror.ff7data.com.ar/ff7/data/battle/battle.lgp/sicn.png","View Picture")</f>
        <v>View Picture</v>
      </c>
    </row>
    <row r="11001">
      <c r="A11001" s="40"/>
      <c r="B11001" s="119" t="s">
        <v>43732</v>
      </c>
      <c r="C11001" s="120" t="s">
        <v>4146</v>
      </c>
      <c r="D11001" s="33" t="s">
        <v>42684</v>
      </c>
      <c r="E11001" s="51" t="s">
        <v>1748</v>
      </c>
      <c r="F11001" s="121" t="s">
        <v>3009</v>
      </c>
      <c r="G11001" s="98" t="str">
        <f>HYPERLINK("http://mirror.ff7data.com.ar/ff7/data/battle/battle.lgp/sico.png","View Picture")</f>
        <v>View Picture</v>
      </c>
    </row>
    <row r="11002">
      <c r="A11002" s="40"/>
      <c r="B11002" s="119" t="s">
        <v>43733</v>
      </c>
      <c r="C11002" s="120" t="s">
        <v>7081</v>
      </c>
      <c r="D11002" s="33" t="s">
        <v>42686</v>
      </c>
      <c r="E11002" s="51" t="s">
        <v>1748</v>
      </c>
      <c r="F11002" s="121" t="s">
        <v>3009</v>
      </c>
      <c r="G11002" s="98" t="str">
        <f>HYPERLINK("http://mirror.ff7data.com.ar/ff7/data/battle/battle.lgp/sicp.png","View Picture")</f>
        <v>View Picture</v>
      </c>
    </row>
    <row r="11003">
      <c r="A11003" s="40"/>
      <c r="B11003" s="119" t="s">
        <v>43734</v>
      </c>
      <c r="C11003" s="120" t="s">
        <v>26138</v>
      </c>
      <c r="D11003" s="33" t="s">
        <v>42688</v>
      </c>
      <c r="E11003" s="51" t="s">
        <v>1748</v>
      </c>
      <c r="F11003" s="121" t="s">
        <v>3009</v>
      </c>
      <c r="G11003" s="98" t="str">
        <f>HYPERLINK("http://mirror.ff7data.com.ar/ff7/data/battle/battle.lgp/sicq.png","View Picture")</f>
        <v>View Picture</v>
      </c>
    </row>
    <row r="11004">
      <c r="A11004" s="40"/>
      <c r="B11004" s="119" t="s">
        <v>43735</v>
      </c>
      <c r="C11004" s="120" t="s">
        <v>7081</v>
      </c>
      <c r="D11004" s="33" t="s">
        <v>42690</v>
      </c>
      <c r="E11004" s="51" t="s">
        <v>1748</v>
      </c>
      <c r="F11004" s="121" t="s">
        <v>3009</v>
      </c>
      <c r="G11004" s="98" t="str">
        <f>HYPERLINK("http://mirror.ff7data.com.ar/ff7/data/battle/battle.lgp/sicr.png","View Picture")</f>
        <v>View Picture</v>
      </c>
    </row>
    <row r="11005">
      <c r="A11005" s="40"/>
      <c r="B11005" s="119" t="s">
        <v>43736</v>
      </c>
      <c r="C11005" s="120" t="s">
        <v>9441</v>
      </c>
      <c r="D11005" s="33" t="s">
        <v>42692</v>
      </c>
      <c r="E11005" s="51" t="s">
        <v>1748</v>
      </c>
      <c r="F11005" s="121" t="s">
        <v>3009</v>
      </c>
      <c r="G11005" s="98" t="str">
        <f>HYPERLINK("http://mirror.ff7data.com.ar/ff7/data/battle/battle.lgp/sics.png","View Picture")</f>
        <v>View Picture</v>
      </c>
    </row>
    <row r="11006">
      <c r="A11006" s="40"/>
      <c r="B11006" s="119" t="s">
        <v>43737</v>
      </c>
      <c r="C11006" s="120" t="s">
        <v>12399</v>
      </c>
      <c r="D11006" s="33" t="s">
        <v>42694</v>
      </c>
      <c r="E11006" s="51" t="s">
        <v>1748</v>
      </c>
      <c r="F11006" s="121" t="s">
        <v>3009</v>
      </c>
      <c r="G11006" s="98" t="str">
        <f>HYPERLINK("http://mirror.ff7data.com.ar/ff7/data/battle/battle.lgp/sict.png","View Picture")</f>
        <v>View Picture</v>
      </c>
    </row>
    <row r="11007">
      <c r="A11007" s="40"/>
      <c r="B11007" s="119" t="s">
        <v>43738</v>
      </c>
      <c r="C11007" s="120" t="s">
        <v>19628</v>
      </c>
      <c r="D11007" s="33" t="s">
        <v>42696</v>
      </c>
      <c r="E11007" s="51" t="s">
        <v>1748</v>
      </c>
      <c r="F11007" s="121" t="s">
        <v>3009</v>
      </c>
      <c r="G11007" s="98" t="str">
        <f>HYPERLINK("http://mirror.ff7data.com.ar/ff7/data/battle/battle.lgp/sicu.png","View Picture")</f>
        <v>View Picture</v>
      </c>
    </row>
    <row r="11008">
      <c r="A11008" s="40"/>
      <c r="B11008" s="119" t="s">
        <v>43739</v>
      </c>
      <c r="C11008" s="120" t="s">
        <v>19628</v>
      </c>
      <c r="D11008" s="33" t="s">
        <v>42698</v>
      </c>
      <c r="E11008" s="51" t="s">
        <v>1748</v>
      </c>
      <c r="F11008" s="121" t="s">
        <v>3009</v>
      </c>
      <c r="G11008" s="98" t="str">
        <f>HYPERLINK("http://mirror.ff7data.com.ar/ff7/data/battle/battle.lgp/sicv.png","View Picture")</f>
        <v>View Picture</v>
      </c>
    </row>
    <row r="11009">
      <c r="A11009" s="40"/>
      <c r="B11009" s="119" t="s">
        <v>43740</v>
      </c>
      <c r="C11009" s="120" t="s">
        <v>9571</v>
      </c>
      <c r="D11009" s="33" t="s">
        <v>42700</v>
      </c>
      <c r="E11009" s="51" t="s">
        <v>1748</v>
      </c>
      <c r="F11009" s="121" t="s">
        <v>3009</v>
      </c>
      <c r="G11009" s="98" t="str">
        <f>HYPERLINK("http://mirror.ff7data.com.ar/ff7/data/battle/battle.lgp/sicw.png","View Picture")</f>
        <v>View Picture</v>
      </c>
    </row>
    <row r="11010">
      <c r="A11010" s="40"/>
      <c r="B11010" s="119" t="s">
        <v>43741</v>
      </c>
      <c r="C11010" s="120" t="s">
        <v>7501</v>
      </c>
      <c r="D11010" s="33" t="s">
        <v>42702</v>
      </c>
      <c r="E11010" s="51" t="s">
        <v>1748</v>
      </c>
      <c r="F11010" s="121" t="s">
        <v>3009</v>
      </c>
      <c r="G11010" s="98" t="str">
        <f>HYPERLINK("http://mirror.ff7data.com.ar/ff7/data/battle/battle.lgp/sicx.png","View Picture")</f>
        <v>View Picture</v>
      </c>
    </row>
    <row r="11011">
      <c r="A11011" s="40"/>
      <c r="B11011" s="119" t="s">
        <v>43742</v>
      </c>
      <c r="C11011" s="120" t="s">
        <v>34499</v>
      </c>
      <c r="D11011" s="33" t="s">
        <v>42704</v>
      </c>
      <c r="E11011" s="51" t="s">
        <v>1748</v>
      </c>
      <c r="F11011" s="121" t="s">
        <v>3009</v>
      </c>
      <c r="G11011" s="98" t="str">
        <f>HYPERLINK("http://mirror.ff7data.com.ar/ff7/data/battle/battle.lgp/sicy.png","View Picture")</f>
        <v>View Picture</v>
      </c>
    </row>
    <row r="11012">
      <c r="A11012" s="40"/>
      <c r="B11012" s="119" t="s">
        <v>43743</v>
      </c>
      <c r="C11012" s="120" t="s">
        <v>3626</v>
      </c>
      <c r="D11012" s="33" t="s">
        <v>42706</v>
      </c>
      <c r="E11012" s="51" t="s">
        <v>1748</v>
      </c>
      <c r="F11012" s="121" t="s">
        <v>3009</v>
      </c>
      <c r="G11012" s="98" t="str">
        <f>HYPERLINK("http://mirror.ff7data.com.ar/ff7/data/battle/battle.lgp/sicz.png","View Picture")</f>
        <v>View Picture</v>
      </c>
    </row>
    <row r="11013">
      <c r="A11013" s="55"/>
      <c r="B11013" s="119" t="s">
        <v>43744</v>
      </c>
      <c r="C11013" s="120" t="s">
        <v>33181</v>
      </c>
      <c r="D11013" s="33" t="s">
        <v>42639</v>
      </c>
      <c r="E11013" s="51" t="s">
        <v>1748</v>
      </c>
      <c r="F11013" s="121" t="s">
        <v>3025</v>
      </c>
      <c r="H11013" s="46" t="s">
        <v>3002</v>
      </c>
    </row>
    <row r="11014">
      <c r="A11014" s="82"/>
      <c r="B11014" s="119" t="s">
        <v>43745</v>
      </c>
      <c r="C11014" s="120" t="s">
        <v>6789</v>
      </c>
      <c r="D11014" s="33" t="s">
        <v>43746</v>
      </c>
      <c r="E11014" s="17" t="s">
        <v>1737</v>
      </c>
      <c r="F11014" s="168" t="s">
        <v>2971</v>
      </c>
      <c r="G11014" s="98" t="str">
        <f>HYPERLINK("http://mirror.ff7data.com.ar/ff7/data/battle/battle.lgp/sjaa.png","View Picture")</f>
        <v>View Picture</v>
      </c>
    </row>
    <row r="11015">
      <c r="A11015" s="55"/>
      <c r="B11015" s="119" t="s">
        <v>43747</v>
      </c>
      <c r="C11015" s="120" t="s">
        <v>16848</v>
      </c>
      <c r="D11015" s="33" t="s">
        <v>43748</v>
      </c>
      <c r="E11015" s="17" t="s">
        <v>1737</v>
      </c>
      <c r="F11015" s="168" t="s">
        <v>2993</v>
      </c>
      <c r="H11015" s="46" t="s">
        <v>3002</v>
      </c>
    </row>
    <row r="11016">
      <c r="A11016" s="40"/>
      <c r="B11016" s="119" t="s">
        <v>43749</v>
      </c>
      <c r="C11016" s="120" t="s">
        <v>3768</v>
      </c>
      <c r="D11016" s="33" t="s">
        <v>43750</v>
      </c>
      <c r="E11016" s="17" t="s">
        <v>1737</v>
      </c>
      <c r="F11016" s="168" t="s">
        <v>3009</v>
      </c>
      <c r="G11016" s="98" t="str">
        <f>HYPERLINK("http://mirror.ff7data.com.ar/ff7/data/battle/battle.lgp/sjam.png","View Picture")</f>
        <v>View Picture</v>
      </c>
    </row>
    <row r="11017">
      <c r="A11017" s="40"/>
      <c r="B11017" s="119" t="s">
        <v>43751</v>
      </c>
      <c r="C11017" s="120" t="s">
        <v>4156</v>
      </c>
      <c r="D11017" s="33" t="s">
        <v>43752</v>
      </c>
      <c r="E11017" s="17" t="s">
        <v>1737</v>
      </c>
      <c r="F11017" s="168" t="s">
        <v>3009</v>
      </c>
      <c r="G11017" s="98" t="str">
        <f>HYPERLINK("http://mirror.ff7data.com.ar/ff7/data/battle/battle.lgp/sjan.png","View Picture")</f>
        <v>View Picture</v>
      </c>
    </row>
    <row r="11018">
      <c r="A11018" s="40"/>
      <c r="B11018" s="119" t="s">
        <v>43753</v>
      </c>
      <c r="C11018" s="120" t="s">
        <v>4217</v>
      </c>
      <c r="D11018" s="33" t="s">
        <v>43754</v>
      </c>
      <c r="E11018" s="17" t="s">
        <v>1737</v>
      </c>
      <c r="F11018" s="168" t="s">
        <v>3009</v>
      </c>
      <c r="G11018" s="98" t="str">
        <f>HYPERLINK("http://mirror.ff7data.com.ar/ff7/data/battle/battle.lgp/sjap.png","View Picture")</f>
        <v>View Picture</v>
      </c>
    </row>
    <row r="11019">
      <c r="A11019" s="40"/>
      <c r="B11019" s="119" t="s">
        <v>43755</v>
      </c>
      <c r="C11019" s="120" t="s">
        <v>4372</v>
      </c>
      <c r="D11019" s="33" t="s">
        <v>43756</v>
      </c>
      <c r="E11019" s="17" t="s">
        <v>1737</v>
      </c>
      <c r="F11019" s="168" t="s">
        <v>3009</v>
      </c>
      <c r="G11019" s="98" t="str">
        <f>HYPERLINK("http://mirror.ff7data.com.ar/ff7/data/battle/battle.lgp/sjaq.png","View Picture")</f>
        <v>View Picture</v>
      </c>
    </row>
    <row r="11020">
      <c r="A11020" s="40"/>
      <c r="B11020" s="119" t="s">
        <v>43757</v>
      </c>
      <c r="C11020" s="120" t="s">
        <v>4476</v>
      </c>
      <c r="D11020" s="33" t="s">
        <v>43758</v>
      </c>
      <c r="E11020" s="17" t="s">
        <v>1737</v>
      </c>
      <c r="F11020" s="168" t="s">
        <v>3009</v>
      </c>
      <c r="G11020" s="98" t="str">
        <f>HYPERLINK("http://mirror.ff7data.com.ar/ff7/data/battle/battle.lgp/sjar.png","View Picture")</f>
        <v>View Picture</v>
      </c>
    </row>
    <row r="11021">
      <c r="A11021" s="40"/>
      <c r="B11021" s="119" t="s">
        <v>43759</v>
      </c>
      <c r="C11021" s="120" t="s">
        <v>4439</v>
      </c>
      <c r="D11021" s="33" t="s">
        <v>43760</v>
      </c>
      <c r="E11021" s="17" t="s">
        <v>1737</v>
      </c>
      <c r="F11021" s="168" t="s">
        <v>3009</v>
      </c>
      <c r="G11021" s="98" t="str">
        <f>HYPERLINK("http://mirror.ff7data.com.ar/ff7/data/battle/battle.lgp/sjat.png","View Picture")</f>
        <v>View Picture</v>
      </c>
    </row>
    <row r="11022">
      <c r="A11022" s="40"/>
      <c r="B11022" s="119" t="s">
        <v>43761</v>
      </c>
      <c r="C11022" s="120" t="s">
        <v>4264</v>
      </c>
      <c r="D11022" s="33" t="s">
        <v>43762</v>
      </c>
      <c r="E11022" s="17" t="s">
        <v>1737</v>
      </c>
      <c r="F11022" s="168" t="s">
        <v>3009</v>
      </c>
      <c r="G11022" s="98" t="str">
        <f>HYPERLINK("http://mirror.ff7data.com.ar/ff7/data/battle/battle.lgp/sjav.png","View Picture")</f>
        <v>View Picture</v>
      </c>
    </row>
    <row r="11023">
      <c r="A11023" s="40"/>
      <c r="B11023" s="119" t="s">
        <v>43763</v>
      </c>
      <c r="C11023" s="120" t="s">
        <v>43764</v>
      </c>
      <c r="D11023" s="33" t="s">
        <v>43762</v>
      </c>
      <c r="E11023" s="17" t="s">
        <v>1737</v>
      </c>
      <c r="F11023" s="168" t="s">
        <v>3009</v>
      </c>
      <c r="G11023" s="98" t="str">
        <f>HYPERLINK("http://mirror.ff7data.com.ar/ff7/data/battle/battle.lgp/sjax.png","View Picture")</f>
        <v>View Picture</v>
      </c>
    </row>
    <row r="11024">
      <c r="A11024" s="40"/>
      <c r="B11024" s="119" t="s">
        <v>43765</v>
      </c>
      <c r="C11024" s="120" t="s">
        <v>43764</v>
      </c>
      <c r="D11024" s="33" t="s">
        <v>43762</v>
      </c>
      <c r="E11024" s="17" t="s">
        <v>1737</v>
      </c>
      <c r="F11024" s="168" t="s">
        <v>3009</v>
      </c>
      <c r="G11024" s="98" t="str">
        <f>HYPERLINK("http://mirror.ff7data.com.ar/ff7/data/battle/battle.lgp/sjaz.png","View Picture")</f>
        <v>View Picture</v>
      </c>
    </row>
    <row r="11025">
      <c r="A11025" s="40"/>
      <c r="B11025" s="119" t="s">
        <v>43766</v>
      </c>
      <c r="C11025" s="120" t="s">
        <v>3573</v>
      </c>
      <c r="D11025" s="33" t="s">
        <v>43767</v>
      </c>
      <c r="E11025" s="17" t="s">
        <v>1737</v>
      </c>
      <c r="F11025" s="168" t="s">
        <v>3009</v>
      </c>
      <c r="G11025" s="98" t="str">
        <f>HYPERLINK("http://mirror.ff7data.com.ar/ff7/data/battle/battle.lgp/sjbb.png","View Picture")</f>
        <v>View Picture</v>
      </c>
    </row>
    <row r="11026">
      <c r="A11026" s="40"/>
      <c r="B11026" s="119" t="s">
        <v>43768</v>
      </c>
      <c r="C11026" s="120" t="s">
        <v>3648</v>
      </c>
      <c r="D11026" s="33" t="s">
        <v>43769</v>
      </c>
      <c r="E11026" s="17" t="s">
        <v>1737</v>
      </c>
      <c r="F11026" s="168" t="s">
        <v>3009</v>
      </c>
      <c r="G11026" s="98" t="str">
        <f>HYPERLINK("http://mirror.ff7data.com.ar/ff7/data/battle/battle.lgp/sjbd.png","View Picture")</f>
        <v>View Picture</v>
      </c>
    </row>
    <row r="11027">
      <c r="A11027" s="40"/>
      <c r="B11027" s="119" t="s">
        <v>43770</v>
      </c>
      <c r="C11027" s="120" t="s">
        <v>4217</v>
      </c>
      <c r="D11027" s="33" t="s">
        <v>43771</v>
      </c>
      <c r="E11027" s="17" t="s">
        <v>1737</v>
      </c>
      <c r="F11027" s="168" t="s">
        <v>3009</v>
      </c>
      <c r="G11027" s="98" t="str">
        <f>HYPERLINK("http://mirror.ff7data.com.ar/ff7/data/battle/battle.lgp/sjbf.png","View Picture")</f>
        <v>View Picture</v>
      </c>
    </row>
    <row r="11028">
      <c r="A11028" s="40"/>
      <c r="B11028" s="119" t="s">
        <v>43772</v>
      </c>
      <c r="C11028" s="120" t="s">
        <v>4372</v>
      </c>
      <c r="D11028" s="33" t="s">
        <v>43773</v>
      </c>
      <c r="E11028" s="17" t="s">
        <v>1737</v>
      </c>
      <c r="F11028" s="168" t="s">
        <v>3009</v>
      </c>
      <c r="G11028" s="98" t="str">
        <f>HYPERLINK("http://mirror.ff7data.com.ar/ff7/data/battle/battle.lgp/sjbg.png","View Picture")</f>
        <v>View Picture</v>
      </c>
    </row>
    <row r="11029">
      <c r="A11029" s="40"/>
      <c r="B11029" s="119" t="s">
        <v>43774</v>
      </c>
      <c r="C11029" s="120" t="s">
        <v>4476</v>
      </c>
      <c r="D11029" s="33" t="s">
        <v>43775</v>
      </c>
      <c r="E11029" s="17" t="s">
        <v>1737</v>
      </c>
      <c r="F11029" s="168" t="s">
        <v>3009</v>
      </c>
      <c r="G11029" s="98" t="str">
        <f>HYPERLINK("http://mirror.ff7data.com.ar/ff7/data/battle/battle.lgp/sjbh.png","View Picture")</f>
        <v>View Picture</v>
      </c>
    </row>
    <row r="11030">
      <c r="A11030" s="40"/>
      <c r="B11030" s="119" t="s">
        <v>43776</v>
      </c>
      <c r="C11030" s="120" t="s">
        <v>4264</v>
      </c>
      <c r="D11030" s="33" t="s">
        <v>43777</v>
      </c>
      <c r="E11030" s="17" t="s">
        <v>1737</v>
      </c>
      <c r="F11030" s="168" t="s">
        <v>3009</v>
      </c>
      <c r="G11030" s="98" t="str">
        <f>HYPERLINK("http://mirror.ff7data.com.ar/ff7/data/battle/battle.lgp/sjbj.png","View Picture")</f>
        <v>View Picture</v>
      </c>
    </row>
    <row r="11031">
      <c r="A11031" s="40"/>
      <c r="B11031" s="119" t="s">
        <v>43778</v>
      </c>
      <c r="C11031" s="120" t="s">
        <v>42247</v>
      </c>
      <c r="D11031" s="33" t="s">
        <v>43777</v>
      </c>
      <c r="E11031" s="17" t="s">
        <v>1737</v>
      </c>
      <c r="F11031" s="168" t="s">
        <v>3009</v>
      </c>
      <c r="G11031" s="98" t="str">
        <f>HYPERLINK("http://mirror.ff7data.com.ar/ff7/data/battle/battle.lgp/sjbl.png","View Picture")</f>
        <v>View Picture</v>
      </c>
    </row>
    <row r="11032">
      <c r="A11032" s="40"/>
      <c r="B11032" s="119" t="s">
        <v>43779</v>
      </c>
      <c r="C11032" s="120" t="s">
        <v>43764</v>
      </c>
      <c r="D11032" s="33" t="s">
        <v>43777</v>
      </c>
      <c r="E11032" s="17" t="s">
        <v>1737</v>
      </c>
      <c r="F11032" s="168" t="s">
        <v>3009</v>
      </c>
      <c r="G11032" s="98" t="str">
        <f>HYPERLINK("http://mirror.ff7data.com.ar/ff7/data/battle/battle.lgp/sjbn.png","View Picture")</f>
        <v>View Picture</v>
      </c>
    </row>
    <row r="11033">
      <c r="A11033" s="40"/>
      <c r="B11033" s="119" t="s">
        <v>43780</v>
      </c>
      <c r="C11033" s="120" t="s">
        <v>4439</v>
      </c>
      <c r="D11033" s="33" t="s">
        <v>43781</v>
      </c>
      <c r="E11033" s="17" t="s">
        <v>1737</v>
      </c>
      <c r="F11033" s="168" t="s">
        <v>3009</v>
      </c>
      <c r="G11033" s="98" t="str">
        <f>HYPERLINK("http://mirror.ff7data.com.ar/ff7/data/battle/battle.lgp/sjbp.png","View Picture")</f>
        <v>View Picture</v>
      </c>
    </row>
    <row r="11034">
      <c r="A11034" s="40"/>
      <c r="B11034" s="119" t="s">
        <v>43782</v>
      </c>
      <c r="C11034" s="120" t="s">
        <v>5419</v>
      </c>
      <c r="D11034" s="33" t="s">
        <v>43783</v>
      </c>
      <c r="E11034" s="17" t="s">
        <v>1737</v>
      </c>
      <c r="F11034" s="168" t="s">
        <v>3009</v>
      </c>
      <c r="G11034" s="98" t="str">
        <f>HYPERLINK("http://mirror.ff7data.com.ar/ff7/data/battle/battle.lgp/sjbr.png","View Picture")</f>
        <v>View Picture</v>
      </c>
    </row>
    <row r="11035">
      <c r="A11035" s="40"/>
      <c r="B11035" s="119" t="s">
        <v>43784</v>
      </c>
      <c r="C11035" s="120" t="s">
        <v>4476</v>
      </c>
      <c r="D11035" s="33" t="s">
        <v>43785</v>
      </c>
      <c r="E11035" s="17" t="s">
        <v>1737</v>
      </c>
      <c r="F11035" s="168" t="s">
        <v>3009</v>
      </c>
      <c r="G11035" s="98" t="str">
        <f>HYPERLINK("http://mirror.ff7data.com.ar/ff7/data/battle/battle.lgp/sjbs.png","View Picture")</f>
        <v>View Picture</v>
      </c>
    </row>
    <row r="11036">
      <c r="A11036" s="40"/>
      <c r="B11036" s="119" t="s">
        <v>43786</v>
      </c>
      <c r="C11036" s="120" t="s">
        <v>3648</v>
      </c>
      <c r="D11036" s="33" t="s">
        <v>43787</v>
      </c>
      <c r="E11036" s="17" t="s">
        <v>1737</v>
      </c>
      <c r="F11036" s="168" t="s">
        <v>3009</v>
      </c>
      <c r="G11036" s="98" t="str">
        <f>HYPERLINK("http://mirror.ff7data.com.ar/ff7/data/battle/battle.lgp/sjbt.png","View Picture")</f>
        <v>View Picture</v>
      </c>
    </row>
    <row r="11037">
      <c r="A11037" s="40"/>
      <c r="B11037" s="119" t="s">
        <v>43788</v>
      </c>
      <c r="C11037" s="120" t="s">
        <v>5891</v>
      </c>
      <c r="D11037" s="33" t="s">
        <v>43789</v>
      </c>
      <c r="E11037" s="17" t="s">
        <v>1737</v>
      </c>
      <c r="F11037" s="168" t="s">
        <v>3009</v>
      </c>
      <c r="G11037" s="98" t="str">
        <f>HYPERLINK("http://mirror.ff7data.com.ar/ff7/data/battle/battle.lgp/sjbv.png","View Picture")</f>
        <v>View Picture</v>
      </c>
    </row>
    <row r="11038">
      <c r="A11038" s="40"/>
      <c r="B11038" s="119" t="s">
        <v>43790</v>
      </c>
      <c r="C11038" s="120" t="s">
        <v>4601</v>
      </c>
      <c r="D11038" s="33" t="s">
        <v>43791</v>
      </c>
      <c r="E11038" s="17" t="s">
        <v>1737</v>
      </c>
      <c r="F11038" s="168" t="s">
        <v>3009</v>
      </c>
      <c r="G11038" s="98" t="str">
        <f>HYPERLINK("http://mirror.ff7data.com.ar/ff7/data/battle/battle.lgp/sjbw.png","View Picture")</f>
        <v>View Picture</v>
      </c>
    </row>
    <row r="11039">
      <c r="A11039" s="40"/>
      <c r="B11039" s="119" t="s">
        <v>43792</v>
      </c>
      <c r="C11039" s="120" t="s">
        <v>7148</v>
      </c>
      <c r="D11039" s="33" t="s">
        <v>43793</v>
      </c>
      <c r="E11039" s="17" t="s">
        <v>1737</v>
      </c>
      <c r="F11039" s="168" t="s">
        <v>3009</v>
      </c>
      <c r="G11039" s="98" t="str">
        <f>HYPERLINK("http://mirror.ff7data.com.ar/ff7/data/battle/battle.lgp/sjbx.png","View Picture")</f>
        <v>View Picture</v>
      </c>
    </row>
    <row r="11040">
      <c r="A11040" s="40"/>
      <c r="B11040" s="119" t="s">
        <v>43794</v>
      </c>
      <c r="C11040" s="120" t="s">
        <v>7148</v>
      </c>
      <c r="D11040" s="33" t="s">
        <v>43795</v>
      </c>
      <c r="E11040" s="17" t="s">
        <v>1737</v>
      </c>
      <c r="F11040" s="168" t="s">
        <v>3009</v>
      </c>
      <c r="G11040" s="98" t="str">
        <f>HYPERLINK("http://mirror.ff7data.com.ar/ff7/data/battle/battle.lgp/sjby.png","View Picture")</f>
        <v>View Picture</v>
      </c>
    </row>
    <row r="11041">
      <c r="A11041" s="40"/>
      <c r="B11041" s="119" t="s">
        <v>43796</v>
      </c>
      <c r="C11041" s="120" t="s">
        <v>7148</v>
      </c>
      <c r="D11041" s="33" t="s">
        <v>43797</v>
      </c>
      <c r="E11041" s="17" t="s">
        <v>1737</v>
      </c>
      <c r="F11041" s="168" t="s">
        <v>3009</v>
      </c>
      <c r="G11041" s="98" t="str">
        <f>HYPERLINK("http://mirror.ff7data.com.ar/ff7/data/battle/battle.lgp/sjbz.png","View Picture")</f>
        <v>View Picture</v>
      </c>
    </row>
    <row r="11042">
      <c r="A11042" s="40"/>
      <c r="B11042" s="119" t="s">
        <v>43798</v>
      </c>
      <c r="C11042" s="120" t="s">
        <v>7148</v>
      </c>
      <c r="D11042" s="33" t="s">
        <v>43799</v>
      </c>
      <c r="E11042" s="17" t="s">
        <v>1737</v>
      </c>
      <c r="F11042" s="168" t="s">
        <v>3009</v>
      </c>
      <c r="G11042" s="98" t="str">
        <f>HYPERLINK("http://mirror.ff7data.com.ar/ff7/data/battle/battle.lgp/sjca.png","View Picture")</f>
        <v>View Picture</v>
      </c>
    </row>
    <row r="11043">
      <c r="A11043" s="40"/>
      <c r="B11043" s="119" t="s">
        <v>43800</v>
      </c>
      <c r="C11043" s="120" t="s">
        <v>7148</v>
      </c>
      <c r="D11043" s="33" t="s">
        <v>43801</v>
      </c>
      <c r="E11043" s="17" t="s">
        <v>1737</v>
      </c>
      <c r="F11043" s="168" t="s">
        <v>3009</v>
      </c>
      <c r="G11043" s="98" t="str">
        <f>HYPERLINK("http://mirror.ff7data.com.ar/ff7/data/battle/battle.lgp/sjcb.png","View Picture")</f>
        <v>View Picture</v>
      </c>
    </row>
    <row r="11044">
      <c r="A11044" s="40"/>
      <c r="B11044" s="119" t="s">
        <v>43802</v>
      </c>
      <c r="C11044" s="120" t="s">
        <v>7148</v>
      </c>
      <c r="D11044" s="33" t="s">
        <v>43803</v>
      </c>
      <c r="E11044" s="17" t="s">
        <v>1737</v>
      </c>
      <c r="F11044" s="168" t="s">
        <v>3009</v>
      </c>
      <c r="G11044" s="98" t="str">
        <f>HYPERLINK("http://mirror.ff7data.com.ar/ff7/data/battle/battle.lgp/sjcc.png","View Picture")</f>
        <v>View Picture</v>
      </c>
    </row>
    <row r="11045">
      <c r="A11045" s="40"/>
      <c r="B11045" s="119" t="s">
        <v>43804</v>
      </c>
      <c r="C11045" s="120" t="s">
        <v>3007</v>
      </c>
      <c r="D11045" s="33" t="s">
        <v>43805</v>
      </c>
      <c r="E11045" s="17" t="s">
        <v>1737</v>
      </c>
      <c r="F11045" s="168" t="s">
        <v>3009</v>
      </c>
      <c r="G11045" s="98" t="str">
        <f>HYPERLINK("http://mirror.ff7data.com.ar/ff7/data/battle/battle.lgp/sjcd.png","View Picture")</f>
        <v>View Picture</v>
      </c>
    </row>
    <row r="11046">
      <c r="A11046" s="40"/>
      <c r="B11046" s="119" t="s">
        <v>43806</v>
      </c>
      <c r="C11046" s="120" t="s">
        <v>4057</v>
      </c>
      <c r="D11046" s="33" t="s">
        <v>43807</v>
      </c>
      <c r="E11046" s="17" t="s">
        <v>1737</v>
      </c>
      <c r="F11046" s="168" t="s">
        <v>3009</v>
      </c>
      <c r="G11046" s="98" t="str">
        <f>HYPERLINK("http://mirror.ff7data.com.ar/ff7/data/battle/battle.lgp/sjcf.png","View Picture")</f>
        <v>View Picture</v>
      </c>
    </row>
    <row r="11047">
      <c r="A11047" s="40"/>
      <c r="B11047" s="119" t="s">
        <v>43808</v>
      </c>
      <c r="C11047" s="120" t="s">
        <v>4476</v>
      </c>
      <c r="D11047" s="33" t="s">
        <v>43809</v>
      </c>
      <c r="E11047" s="17" t="s">
        <v>1737</v>
      </c>
      <c r="F11047" s="168" t="s">
        <v>3009</v>
      </c>
      <c r="G11047" s="98" t="str">
        <f>HYPERLINK("http://mirror.ff7data.com.ar/ff7/data/battle/battle.lgp/sjcg.png","View Picture")</f>
        <v>View Picture</v>
      </c>
    </row>
    <row r="11048">
      <c r="A11048" s="40"/>
      <c r="B11048" s="119" t="s">
        <v>43810</v>
      </c>
      <c r="C11048" s="120" t="s">
        <v>3648</v>
      </c>
      <c r="D11048" s="33" t="s">
        <v>43811</v>
      </c>
      <c r="E11048" s="17" t="s">
        <v>1737</v>
      </c>
      <c r="F11048" s="168" t="s">
        <v>3009</v>
      </c>
      <c r="G11048" s="98" t="str">
        <f>HYPERLINK("http://mirror.ff7data.com.ar/ff7/data/battle/battle.lgp/sjch.png","View Picture")</f>
        <v>View Picture</v>
      </c>
    </row>
    <row r="11049">
      <c r="A11049" s="55"/>
      <c r="B11049" s="119" t="s">
        <v>43812</v>
      </c>
      <c r="C11049" s="120" t="s">
        <v>40766</v>
      </c>
      <c r="D11049" s="33" t="s">
        <v>43748</v>
      </c>
      <c r="E11049" s="17" t="s">
        <v>1737</v>
      </c>
      <c r="F11049" s="168" t="s">
        <v>3025</v>
      </c>
      <c r="H11049" s="46" t="s">
        <v>3002</v>
      </c>
    </row>
    <row r="11050">
      <c r="A11050" s="82"/>
      <c r="B11050" s="119" t="s">
        <v>43813</v>
      </c>
      <c r="C11050" s="120" t="s">
        <v>4196</v>
      </c>
      <c r="D11050" s="33" t="s">
        <v>43814</v>
      </c>
      <c r="E11050" s="17" t="s">
        <v>1417</v>
      </c>
      <c r="F11050" s="168" t="s">
        <v>2971</v>
      </c>
      <c r="G11050" s="98" t="str">
        <f>HYPERLINK("http://mirror.ff7data.com.ar/ff7/data/battle/battle.lgp/skaa.png","View Picture")</f>
        <v>View Picture</v>
      </c>
    </row>
    <row r="11051">
      <c r="A11051" s="55"/>
      <c r="B11051" s="119" t="s">
        <v>43815</v>
      </c>
      <c r="C11051" s="120" t="s">
        <v>26381</v>
      </c>
      <c r="D11051" s="169" t="s">
        <v>43816</v>
      </c>
      <c r="E11051" s="17" t="s">
        <v>1417</v>
      </c>
      <c r="F11051" s="168" t="s">
        <v>2993</v>
      </c>
      <c r="H11051" s="46" t="s">
        <v>3002</v>
      </c>
    </row>
    <row r="11052">
      <c r="A11052" s="40"/>
      <c r="B11052" s="119" t="s">
        <v>43817</v>
      </c>
      <c r="C11052" s="120" t="s">
        <v>8376</v>
      </c>
      <c r="D11052" s="33" t="s">
        <v>43818</v>
      </c>
      <c r="E11052" s="17" t="s">
        <v>1417</v>
      </c>
      <c r="F11052" s="168" t="s">
        <v>3009</v>
      </c>
      <c r="G11052" s="98" t="str">
        <f>HYPERLINK("http://mirror.ff7data.com.ar/ff7/data/battle/battle.lgp/skam.png","View Picture")</f>
        <v>View Picture</v>
      </c>
    </row>
    <row r="11053">
      <c r="A11053" s="40"/>
      <c r="B11053" s="119" t="s">
        <v>43819</v>
      </c>
      <c r="C11053" s="120" t="s">
        <v>3853</v>
      </c>
      <c r="D11053" s="33" t="s">
        <v>43820</v>
      </c>
      <c r="E11053" s="17" t="s">
        <v>1417</v>
      </c>
      <c r="F11053" s="168" t="s">
        <v>3009</v>
      </c>
      <c r="G11053" s="98" t="str">
        <f>HYPERLINK("http://mirror.ff7data.com.ar/ff7/data/battle/battle.lgp/skan.png","View Picture")</f>
        <v>View Picture</v>
      </c>
    </row>
    <row r="11054">
      <c r="A11054" s="40"/>
      <c r="B11054" s="119" t="s">
        <v>43821</v>
      </c>
      <c r="C11054" s="120" t="s">
        <v>33181</v>
      </c>
      <c r="D11054" s="33" t="s">
        <v>43822</v>
      </c>
      <c r="E11054" s="17" t="s">
        <v>1417</v>
      </c>
      <c r="F11054" s="168" t="s">
        <v>3009</v>
      </c>
      <c r="G11054" s="98" t="str">
        <f>HYPERLINK("http://mirror.ff7data.com.ar/ff7/data/battle/battle.lgp/skao.png","View Picture")</f>
        <v>View Picture</v>
      </c>
    </row>
    <row r="11055">
      <c r="A11055" s="40"/>
      <c r="B11055" s="119" t="s">
        <v>43823</v>
      </c>
      <c r="C11055" s="120" t="s">
        <v>13957</v>
      </c>
      <c r="D11055" s="33" t="s">
        <v>43824</v>
      </c>
      <c r="E11055" s="17" t="s">
        <v>1417</v>
      </c>
      <c r="F11055" s="168" t="s">
        <v>3009</v>
      </c>
      <c r="G11055" s="98" t="str">
        <f>HYPERLINK("http://mirror.ff7data.com.ar/ff7/data/battle/battle.lgp/skar.png","View Picture")</f>
        <v>View Picture</v>
      </c>
    </row>
    <row r="11056">
      <c r="A11056" s="40"/>
      <c r="B11056" s="119" t="s">
        <v>43825</v>
      </c>
      <c r="C11056" s="120" t="s">
        <v>8376</v>
      </c>
      <c r="D11056" s="33" t="s">
        <v>43826</v>
      </c>
      <c r="E11056" s="17" t="s">
        <v>1417</v>
      </c>
      <c r="F11056" s="168" t="s">
        <v>3009</v>
      </c>
      <c r="G11056" s="98" t="str">
        <f>HYPERLINK("http://mirror.ff7data.com.ar/ff7/data/battle/battle.lgp/skas.png","View Picture")</f>
        <v>View Picture</v>
      </c>
    </row>
    <row r="11057">
      <c r="A11057" s="40"/>
      <c r="B11057" s="119" t="s">
        <v>43827</v>
      </c>
      <c r="C11057" s="120" t="s">
        <v>4357</v>
      </c>
      <c r="D11057" s="33" t="s">
        <v>43828</v>
      </c>
      <c r="E11057" s="17" t="s">
        <v>1417</v>
      </c>
      <c r="F11057" s="168" t="s">
        <v>3009</v>
      </c>
      <c r="G11057" s="98" t="str">
        <f>HYPERLINK("http://mirror.ff7data.com.ar/ff7/data/battle/battle.lgp/skat.png","View Picture")</f>
        <v>View Picture</v>
      </c>
    </row>
    <row r="11058">
      <c r="A11058" s="40"/>
      <c r="B11058" s="119" t="s">
        <v>43829</v>
      </c>
      <c r="C11058" s="120" t="s">
        <v>4185</v>
      </c>
      <c r="D11058" s="33" t="s">
        <v>43830</v>
      </c>
      <c r="E11058" s="17" t="s">
        <v>1417</v>
      </c>
      <c r="F11058" s="168" t="s">
        <v>3009</v>
      </c>
      <c r="G11058" s="98" t="str">
        <f>HYPERLINK("http://mirror.ff7data.com.ar/ff7/data/battle/battle.lgp/skau.png","View Picture")</f>
        <v>View Picture</v>
      </c>
    </row>
    <row r="11059">
      <c r="A11059" s="40"/>
      <c r="B11059" s="119" t="s">
        <v>43831</v>
      </c>
      <c r="C11059" s="120" t="s">
        <v>4732</v>
      </c>
      <c r="D11059" s="33" t="s">
        <v>43832</v>
      </c>
      <c r="E11059" s="17" t="s">
        <v>1417</v>
      </c>
      <c r="F11059" s="168" t="s">
        <v>3009</v>
      </c>
      <c r="G11059" s="98" t="str">
        <f>HYPERLINK("http://mirror.ff7data.com.ar/ff7/data/battle/battle.lgp/skaw.png","View Picture")</f>
        <v>View Picture</v>
      </c>
    </row>
    <row r="11060">
      <c r="A11060" s="40"/>
      <c r="B11060" s="119" t="s">
        <v>43833</v>
      </c>
      <c r="C11060" s="120" t="s">
        <v>8376</v>
      </c>
      <c r="D11060" s="33" t="s">
        <v>43834</v>
      </c>
      <c r="E11060" s="17" t="s">
        <v>1417</v>
      </c>
      <c r="F11060" s="168" t="s">
        <v>3009</v>
      </c>
      <c r="G11060" s="98" t="str">
        <f>HYPERLINK("http://mirror.ff7data.com.ar/ff7/data/battle/battle.lgp/skaz.png","View Picture")</f>
        <v>View Picture</v>
      </c>
    </row>
    <row r="11061">
      <c r="A11061" s="40"/>
      <c r="B11061" s="119" t="s">
        <v>43835</v>
      </c>
      <c r="C11061" s="120" t="s">
        <v>3768</v>
      </c>
      <c r="D11061" s="33" t="s">
        <v>43836</v>
      </c>
      <c r="E11061" s="17" t="s">
        <v>1417</v>
      </c>
      <c r="F11061" s="168" t="s">
        <v>3009</v>
      </c>
      <c r="G11061" s="98" t="str">
        <f>HYPERLINK("http://mirror.ff7data.com.ar/ff7/data/battle/battle.lgp/skba.png","View Picture")</f>
        <v>View Picture</v>
      </c>
    </row>
    <row r="11062">
      <c r="A11062" s="40"/>
      <c r="B11062" s="119" t="s">
        <v>43837</v>
      </c>
      <c r="C11062" s="120" t="s">
        <v>4057</v>
      </c>
      <c r="D11062" s="33" t="s">
        <v>43838</v>
      </c>
      <c r="E11062" s="17" t="s">
        <v>1417</v>
      </c>
      <c r="F11062" s="168" t="s">
        <v>3009</v>
      </c>
      <c r="G11062" s="98" t="str">
        <f>HYPERLINK("http://mirror.ff7data.com.ar/ff7/data/battle/battle.lgp/skbb.png","View Picture")</f>
        <v>View Picture</v>
      </c>
    </row>
    <row r="11063">
      <c r="A11063" s="40"/>
      <c r="B11063" s="119" t="s">
        <v>43839</v>
      </c>
      <c r="C11063" s="120" t="s">
        <v>4264</v>
      </c>
      <c r="D11063" s="33" t="s">
        <v>43840</v>
      </c>
      <c r="E11063" s="17" t="s">
        <v>1417</v>
      </c>
      <c r="F11063" s="168" t="s">
        <v>3009</v>
      </c>
      <c r="G11063" s="98" t="str">
        <f>HYPERLINK("http://mirror.ff7data.com.ar/ff7/data/battle/battle.lgp/skbd.png","View Picture")</f>
        <v>View Picture</v>
      </c>
    </row>
    <row r="11064">
      <c r="A11064" s="40"/>
      <c r="B11064" s="119" t="s">
        <v>43841</v>
      </c>
      <c r="C11064" s="120" t="s">
        <v>4732</v>
      </c>
      <c r="D11064" s="33" t="s">
        <v>43842</v>
      </c>
      <c r="E11064" s="17" t="s">
        <v>1417</v>
      </c>
      <c r="F11064" s="168" t="s">
        <v>3009</v>
      </c>
      <c r="G11064" s="98" t="str">
        <f>HYPERLINK("http://mirror.ff7data.com.ar/ff7/data/battle/battle.lgp/skbe.png","View Picture")</f>
        <v>View Picture</v>
      </c>
    </row>
    <row r="11065">
      <c r="A11065" s="40"/>
      <c r="B11065" s="119" t="s">
        <v>43843</v>
      </c>
      <c r="C11065" s="120" t="s">
        <v>7165</v>
      </c>
      <c r="D11065" s="33" t="s">
        <v>43844</v>
      </c>
      <c r="E11065" s="17" t="s">
        <v>1417</v>
      </c>
      <c r="F11065" s="168" t="s">
        <v>3009</v>
      </c>
      <c r="G11065" s="98" t="str">
        <f>HYPERLINK("http://mirror.ff7data.com.ar/ff7/data/battle/battle.lgp/skbg.png","View Picture")</f>
        <v>View Picture</v>
      </c>
    </row>
    <row r="11066">
      <c r="A11066" s="40"/>
      <c r="B11066" s="119" t="s">
        <v>43845</v>
      </c>
      <c r="C11066" s="120" t="s">
        <v>4372</v>
      </c>
      <c r="D11066" s="33" t="s">
        <v>43846</v>
      </c>
      <c r="E11066" s="17" t="s">
        <v>1417</v>
      </c>
      <c r="F11066" s="168" t="s">
        <v>3009</v>
      </c>
      <c r="G11066" s="98" t="str">
        <f>HYPERLINK("http://mirror.ff7data.com.ar/ff7/data/battle/battle.lgp/skbh.png","View Picture")</f>
        <v>View Picture</v>
      </c>
    </row>
    <row r="11067">
      <c r="A11067" s="40"/>
      <c r="B11067" s="119" t="s">
        <v>43847</v>
      </c>
      <c r="C11067" s="120" t="s">
        <v>3842</v>
      </c>
      <c r="D11067" s="33" t="s">
        <v>43848</v>
      </c>
      <c r="E11067" s="17" t="s">
        <v>1417</v>
      </c>
      <c r="F11067" s="168" t="s">
        <v>3009</v>
      </c>
      <c r="G11067" s="98" t="str">
        <f>HYPERLINK("http://mirror.ff7data.com.ar/ff7/data/battle/battle.lgp/skbi.png","View Picture")</f>
        <v>View Picture</v>
      </c>
    </row>
    <row r="11068">
      <c r="A11068" s="40"/>
      <c r="B11068" s="119" t="s">
        <v>43849</v>
      </c>
      <c r="C11068" s="120" t="s">
        <v>5419</v>
      </c>
      <c r="D11068" s="33" t="s">
        <v>43850</v>
      </c>
      <c r="E11068" s="17" t="s">
        <v>1417</v>
      </c>
      <c r="F11068" s="168" t="s">
        <v>3009</v>
      </c>
      <c r="G11068" s="98" t="str">
        <f>HYPERLINK("http://mirror.ff7data.com.ar/ff7/data/battle/battle.lgp/skbk.png","View Picture")</f>
        <v>View Picture</v>
      </c>
    </row>
    <row r="11069">
      <c r="A11069" s="40"/>
      <c r="B11069" s="119" t="s">
        <v>43851</v>
      </c>
      <c r="C11069" s="120" t="s">
        <v>4372</v>
      </c>
      <c r="D11069" s="33" t="s">
        <v>43852</v>
      </c>
      <c r="E11069" s="17" t="s">
        <v>1417</v>
      </c>
      <c r="F11069" s="168" t="s">
        <v>3009</v>
      </c>
      <c r="G11069" s="98" t="str">
        <f>HYPERLINK("http://mirror.ff7data.com.ar/ff7/data/battle/battle.lgp/skbl.png","View Picture")</f>
        <v>View Picture</v>
      </c>
    </row>
    <row r="11070">
      <c r="A11070" s="40"/>
      <c r="B11070" s="119" t="s">
        <v>43853</v>
      </c>
      <c r="C11070" s="120" t="s">
        <v>3842</v>
      </c>
      <c r="D11070" s="33" t="s">
        <v>43854</v>
      </c>
      <c r="E11070" s="17" t="s">
        <v>1417</v>
      </c>
      <c r="F11070" s="168" t="s">
        <v>3009</v>
      </c>
      <c r="G11070" s="98" t="str">
        <f>HYPERLINK("http://mirror.ff7data.com.ar/ff7/data/battle/battle.lgp/skbm.png","View Picture")</f>
        <v>View Picture</v>
      </c>
    </row>
    <row r="11071">
      <c r="A11071" s="55"/>
      <c r="B11071" s="119" t="s">
        <v>43855</v>
      </c>
      <c r="C11071" s="120" t="s">
        <v>4122</v>
      </c>
      <c r="D11071" s="33" t="s">
        <v>43816</v>
      </c>
      <c r="E11071" s="17" t="s">
        <v>1417</v>
      </c>
      <c r="F11071" s="168" t="s">
        <v>3025</v>
      </c>
      <c r="H11071" s="46" t="s">
        <v>3002</v>
      </c>
    </row>
    <row r="11072">
      <c r="A11072" s="82"/>
      <c r="B11072" s="119" t="s">
        <v>43856</v>
      </c>
      <c r="C11072" s="120" t="s">
        <v>4846</v>
      </c>
      <c r="D11072" s="33" t="s">
        <v>43857</v>
      </c>
      <c r="E11072" s="17" t="s">
        <v>1743</v>
      </c>
      <c r="F11072" s="168" t="s">
        <v>2971</v>
      </c>
      <c r="G11072" s="98" t="str">
        <f>HYPERLINK("http://mirror.ff7data.com.ar/ff7/data/battle/battle.lgp/slaa.png","View Picture")</f>
        <v>View Picture</v>
      </c>
    </row>
    <row r="11073">
      <c r="A11073" s="55"/>
      <c r="B11073" s="119" t="s">
        <v>43858</v>
      </c>
      <c r="C11073" s="120" t="s">
        <v>18731</v>
      </c>
      <c r="D11073" s="33" t="s">
        <v>43859</v>
      </c>
      <c r="E11073" s="17" t="s">
        <v>1743</v>
      </c>
      <c r="F11073" s="168" t="s">
        <v>2993</v>
      </c>
      <c r="H11073" s="46" t="s">
        <v>3002</v>
      </c>
    </row>
    <row r="11074">
      <c r="A11074" s="40"/>
      <c r="B11074" s="119" t="s">
        <v>43860</v>
      </c>
      <c r="C11074" s="120" t="s">
        <v>4372</v>
      </c>
      <c r="D11074" s="33" t="s">
        <v>43861</v>
      </c>
      <c r="E11074" s="17" t="s">
        <v>1743</v>
      </c>
      <c r="F11074" s="168" t="s">
        <v>3009</v>
      </c>
      <c r="G11074" s="98" t="str">
        <f>HYPERLINK("http://mirror.ff7data.com.ar/ff7/data/battle/battle.lgp/slam.png","View Picture")</f>
        <v>View Picture</v>
      </c>
    </row>
    <row r="11075">
      <c r="A11075" s="40"/>
      <c r="B11075" s="119" t="s">
        <v>43862</v>
      </c>
      <c r="C11075" s="120" t="s">
        <v>14502</v>
      </c>
      <c r="D11075" s="33" t="s">
        <v>43863</v>
      </c>
      <c r="E11075" s="17" t="s">
        <v>1743</v>
      </c>
      <c r="F11075" s="168" t="s">
        <v>3009</v>
      </c>
      <c r="G11075" s="98" t="str">
        <f>HYPERLINK("http://mirror.ff7data.com.ar/ff7/data/battle/battle.lgp/slan.png","View Picture")</f>
        <v>View Picture</v>
      </c>
    </row>
    <row r="11076">
      <c r="A11076" s="40"/>
      <c r="B11076" s="119" t="s">
        <v>43864</v>
      </c>
      <c r="C11076" s="120" t="s">
        <v>7148</v>
      </c>
      <c r="D11076" s="33" t="s">
        <v>43865</v>
      </c>
      <c r="E11076" s="17" t="s">
        <v>1743</v>
      </c>
      <c r="F11076" s="168" t="s">
        <v>3009</v>
      </c>
      <c r="G11076" s="98" t="str">
        <f>HYPERLINK("http://mirror.ff7data.com.ar/ff7/data/battle/battle.lgp/slao.png","View Picture")</f>
        <v>View Picture</v>
      </c>
    </row>
    <row r="11077">
      <c r="A11077" s="40"/>
      <c r="B11077" s="119" t="s">
        <v>43866</v>
      </c>
      <c r="C11077" s="120" t="s">
        <v>4228</v>
      </c>
      <c r="D11077" s="33" t="s">
        <v>43867</v>
      </c>
      <c r="E11077" s="17" t="s">
        <v>1743</v>
      </c>
      <c r="F11077" s="168" t="s">
        <v>3009</v>
      </c>
      <c r="G11077" s="98" t="str">
        <f>HYPERLINK("http://mirror.ff7data.com.ar/ff7/data/battle/battle.lgp/slap.png","View Picture")</f>
        <v>View Picture</v>
      </c>
    </row>
    <row r="11078">
      <c r="A11078" s="40"/>
      <c r="B11078" s="119" t="s">
        <v>43868</v>
      </c>
      <c r="C11078" s="120" t="s">
        <v>4732</v>
      </c>
      <c r="D11078" s="33" t="s">
        <v>43869</v>
      </c>
      <c r="E11078" s="17" t="s">
        <v>1743</v>
      </c>
      <c r="F11078" s="168" t="s">
        <v>3009</v>
      </c>
      <c r="G11078" s="98" t="str">
        <f>HYPERLINK("http://mirror.ff7data.com.ar/ff7/data/battle/battle.lgp/slar.png","View Picture")</f>
        <v>View Picture</v>
      </c>
    </row>
    <row r="11079">
      <c r="A11079" s="40"/>
      <c r="B11079" s="119" t="s">
        <v>43870</v>
      </c>
      <c r="C11079" s="120" t="s">
        <v>4707</v>
      </c>
      <c r="D11079" s="33" t="s">
        <v>43871</v>
      </c>
      <c r="E11079" s="17" t="s">
        <v>1743</v>
      </c>
      <c r="F11079" s="168" t="s">
        <v>3009</v>
      </c>
      <c r="G11079" s="98" t="str">
        <f>HYPERLINK("http://mirror.ff7data.com.ar/ff7/data/battle/battle.lgp/slas.png","View Picture")</f>
        <v>View Picture</v>
      </c>
    </row>
    <row r="11080">
      <c r="A11080" s="40"/>
      <c r="B11080" s="119" t="s">
        <v>43872</v>
      </c>
      <c r="C11080" s="120" t="s">
        <v>4696</v>
      </c>
      <c r="D11080" s="33" t="s">
        <v>43873</v>
      </c>
      <c r="E11080" s="17" t="s">
        <v>1743</v>
      </c>
      <c r="F11080" s="168" t="s">
        <v>3009</v>
      </c>
      <c r="G11080" s="98" t="str">
        <f>HYPERLINK("http://mirror.ff7data.com.ar/ff7/data/battle/battle.lgp/slat.png","View Picture")</f>
        <v>View Picture</v>
      </c>
    </row>
    <row r="11081">
      <c r="A11081" s="40"/>
      <c r="B11081" s="119" t="s">
        <v>43874</v>
      </c>
      <c r="C11081" s="120" t="s">
        <v>3614</v>
      </c>
      <c r="D11081" s="33" t="s">
        <v>43875</v>
      </c>
      <c r="E11081" s="17" t="s">
        <v>1743</v>
      </c>
      <c r="F11081" s="168" t="s">
        <v>3009</v>
      </c>
      <c r="G11081" s="98" t="str">
        <f>HYPERLINK("http://mirror.ff7data.com.ar/ff7/data/battle/battle.lgp/slaw.png","View Picture")</f>
        <v>View Picture</v>
      </c>
    </row>
    <row r="11082">
      <c r="A11082" s="40"/>
      <c r="B11082" s="119" t="s">
        <v>43876</v>
      </c>
      <c r="C11082" s="120" t="s">
        <v>3355</v>
      </c>
      <c r="D11082" s="33" t="s">
        <v>43877</v>
      </c>
      <c r="E11082" s="17" t="s">
        <v>1743</v>
      </c>
      <c r="F11082" s="168" t="s">
        <v>3009</v>
      </c>
      <c r="G11082" s="98" t="str">
        <f>HYPERLINK("http://mirror.ff7data.com.ar/ff7/data/battle/battle.lgp/slax.png","View Picture")</f>
        <v>View Picture</v>
      </c>
    </row>
    <row r="11083">
      <c r="A11083" s="40"/>
      <c r="B11083" s="119" t="s">
        <v>43878</v>
      </c>
      <c r="C11083" s="120" t="s">
        <v>6029</v>
      </c>
      <c r="D11083" s="33" t="s">
        <v>43879</v>
      </c>
      <c r="E11083" s="17" t="s">
        <v>1743</v>
      </c>
      <c r="F11083" s="168" t="s">
        <v>3009</v>
      </c>
      <c r="G11083" s="98" t="str">
        <f>HYPERLINK("http://mirror.ff7data.com.ar/ff7/data/battle/battle.lgp/slay.png","View Picture")</f>
        <v>View Picture</v>
      </c>
    </row>
    <row r="11084">
      <c r="A11084" s="40"/>
      <c r="B11084" s="119" t="s">
        <v>43880</v>
      </c>
      <c r="C11084" s="120" t="s">
        <v>4439</v>
      </c>
      <c r="D11084" s="33" t="s">
        <v>43881</v>
      </c>
      <c r="E11084" s="17" t="s">
        <v>1743</v>
      </c>
      <c r="F11084" s="168" t="s">
        <v>3009</v>
      </c>
      <c r="G11084" s="98" t="str">
        <f>HYPERLINK("http://mirror.ff7data.com.ar/ff7/data/battle/battle.lgp/slba.png","View Picture")</f>
        <v>View Picture</v>
      </c>
    </row>
    <row r="11085">
      <c r="A11085" s="40"/>
      <c r="B11085" s="119" t="s">
        <v>43882</v>
      </c>
      <c r="C11085" s="120" t="s">
        <v>4732</v>
      </c>
      <c r="D11085" s="33" t="s">
        <v>43883</v>
      </c>
      <c r="E11085" s="17" t="s">
        <v>1743</v>
      </c>
      <c r="F11085" s="168" t="s">
        <v>3009</v>
      </c>
      <c r="G11085" s="98" t="str">
        <f>HYPERLINK("http://mirror.ff7data.com.ar/ff7/data/battle/battle.lgp/slbc.png","View Picture")</f>
        <v>View Picture</v>
      </c>
    </row>
    <row r="11086">
      <c r="A11086" s="40"/>
      <c r="B11086" s="119" t="s">
        <v>43884</v>
      </c>
      <c r="C11086" s="120" t="s">
        <v>4252</v>
      </c>
      <c r="D11086" s="33" t="s">
        <v>43885</v>
      </c>
      <c r="E11086" s="17" t="s">
        <v>1743</v>
      </c>
      <c r="F11086" s="168" t="s">
        <v>3009</v>
      </c>
      <c r="G11086" s="98" t="str">
        <f>HYPERLINK("http://mirror.ff7data.com.ar/ff7/data/battle/battle.lgp/slbf.png","View Picture")</f>
        <v>View Picture</v>
      </c>
    </row>
    <row r="11087">
      <c r="A11087" s="40"/>
      <c r="B11087" s="119" t="s">
        <v>43886</v>
      </c>
      <c r="C11087" s="120" t="s">
        <v>3355</v>
      </c>
      <c r="D11087" s="33" t="s">
        <v>43887</v>
      </c>
      <c r="E11087" s="17" t="s">
        <v>1743</v>
      </c>
      <c r="F11087" s="168" t="s">
        <v>3009</v>
      </c>
      <c r="G11087" s="98" t="str">
        <f>HYPERLINK("http://mirror.ff7data.com.ar/ff7/data/battle/battle.lgp/slbg.png","View Picture")</f>
        <v>View Picture</v>
      </c>
    </row>
    <row r="11088">
      <c r="A11088" s="40"/>
      <c r="B11088" s="119" t="s">
        <v>43888</v>
      </c>
      <c r="C11088" s="120" t="s">
        <v>7871</v>
      </c>
      <c r="D11088" s="33" t="s">
        <v>43889</v>
      </c>
      <c r="E11088" s="17" t="s">
        <v>1743</v>
      </c>
      <c r="F11088" s="168" t="s">
        <v>3009</v>
      </c>
      <c r="G11088" s="98" t="str">
        <f>HYPERLINK("http://mirror.ff7data.com.ar/ff7/data/battle/battle.lgp/slbh.png","View Picture")</f>
        <v>View Picture</v>
      </c>
    </row>
    <row r="11089">
      <c r="A11089" s="40"/>
      <c r="B11089" s="119" t="s">
        <v>43890</v>
      </c>
      <c r="C11089" s="120" t="s">
        <v>4841</v>
      </c>
      <c r="D11089" s="33" t="s">
        <v>43891</v>
      </c>
      <c r="E11089" s="17" t="s">
        <v>1743</v>
      </c>
      <c r="F11089" s="168" t="s">
        <v>3009</v>
      </c>
      <c r="G11089" s="98" t="str">
        <f>HYPERLINK("http://mirror.ff7data.com.ar/ff7/data/battle/battle.lgp/slbj.png","View Picture")</f>
        <v>View Picture</v>
      </c>
    </row>
    <row r="11090">
      <c r="A11090" s="40"/>
      <c r="B11090" s="119" t="s">
        <v>43892</v>
      </c>
      <c r="C11090" s="120" t="s">
        <v>4476</v>
      </c>
      <c r="D11090" s="33" t="s">
        <v>43893</v>
      </c>
      <c r="E11090" s="17" t="s">
        <v>1743</v>
      </c>
      <c r="F11090" s="168" t="s">
        <v>3009</v>
      </c>
      <c r="G11090" s="98" t="str">
        <f>HYPERLINK("http://mirror.ff7data.com.ar/ff7/data/battle/battle.lgp/slbl.png","View Picture")</f>
        <v>View Picture</v>
      </c>
    </row>
    <row r="11091">
      <c r="A11091" s="40"/>
      <c r="B11091" s="119" t="s">
        <v>43894</v>
      </c>
      <c r="C11091" s="120" t="s">
        <v>3519</v>
      </c>
      <c r="D11091" s="33" t="s">
        <v>43895</v>
      </c>
      <c r="E11091" s="17" t="s">
        <v>1743</v>
      </c>
      <c r="F11091" s="168" t="s">
        <v>3009</v>
      </c>
      <c r="G11091" s="98" t="str">
        <f>HYPERLINK("http://mirror.ff7data.com.ar/ff7/data/battle/battle.lgp/slbm.png","View Picture")</f>
        <v>View Picture</v>
      </c>
    </row>
    <row r="11092">
      <c r="A11092" s="40"/>
      <c r="B11092" s="119" t="s">
        <v>43896</v>
      </c>
      <c r="C11092" s="120" t="s">
        <v>5891</v>
      </c>
      <c r="D11092" s="33" t="s">
        <v>43897</v>
      </c>
      <c r="E11092" s="17" t="s">
        <v>1743</v>
      </c>
      <c r="F11092" s="168" t="s">
        <v>3009</v>
      </c>
      <c r="G11092" s="98" t="str">
        <f>HYPERLINK("http://mirror.ff7data.com.ar/ff7/data/battle/battle.lgp/slbn.png","View Picture")</f>
        <v>View Picture</v>
      </c>
    </row>
    <row r="11093">
      <c r="A11093" s="40"/>
      <c r="B11093" s="119" t="s">
        <v>43898</v>
      </c>
      <c r="C11093" s="120" t="s">
        <v>4476</v>
      </c>
      <c r="D11093" s="33" t="s">
        <v>43899</v>
      </c>
      <c r="E11093" s="17" t="s">
        <v>1743</v>
      </c>
      <c r="F11093" s="168" t="s">
        <v>3009</v>
      </c>
      <c r="G11093" s="98" t="str">
        <f>HYPERLINK("http://mirror.ff7data.com.ar/ff7/data/battle/battle.lgp/slbp.png","View Picture")</f>
        <v>View Picture</v>
      </c>
    </row>
    <row r="11094">
      <c r="A11094" s="40"/>
      <c r="B11094" s="119" t="s">
        <v>43900</v>
      </c>
      <c r="C11094" s="120" t="s">
        <v>3519</v>
      </c>
      <c r="D11094" s="33" t="s">
        <v>43901</v>
      </c>
      <c r="E11094" s="17" t="s">
        <v>1743</v>
      </c>
      <c r="F11094" s="168" t="s">
        <v>3009</v>
      </c>
      <c r="G11094" s="98" t="str">
        <f>HYPERLINK("http://mirror.ff7data.com.ar/ff7/data/battle/battle.lgp/slbq.png","View Picture")</f>
        <v>View Picture</v>
      </c>
    </row>
    <row r="11095">
      <c r="A11095" s="40"/>
      <c r="B11095" s="119" t="s">
        <v>43902</v>
      </c>
      <c r="C11095" s="120" t="s">
        <v>5891</v>
      </c>
      <c r="D11095" s="33" t="s">
        <v>43903</v>
      </c>
      <c r="E11095" s="17" t="s">
        <v>1743</v>
      </c>
      <c r="F11095" s="168" t="s">
        <v>3009</v>
      </c>
      <c r="G11095" s="98" t="str">
        <f>HYPERLINK("http://mirror.ff7data.com.ar/ff7/data/battle/battle.lgp/slbr.png","View Picture")</f>
        <v>View Picture</v>
      </c>
    </row>
    <row r="11096">
      <c r="A11096" s="55"/>
      <c r="B11096" s="119" t="s">
        <v>43904</v>
      </c>
      <c r="C11096" s="120" t="s">
        <v>37143</v>
      </c>
      <c r="D11096" s="33" t="s">
        <v>43859</v>
      </c>
      <c r="E11096" s="17" t="s">
        <v>1743</v>
      </c>
      <c r="F11096" s="168" t="s">
        <v>3025</v>
      </c>
      <c r="H11096" s="46" t="s">
        <v>3002</v>
      </c>
    </row>
    <row r="11097">
      <c r="A11097" s="82"/>
      <c r="B11097" s="119" t="s">
        <v>43905</v>
      </c>
      <c r="C11097" s="120" t="s">
        <v>4209</v>
      </c>
      <c r="D11097" s="33" t="s">
        <v>43906</v>
      </c>
      <c r="E11097" s="17" t="s">
        <v>1403</v>
      </c>
      <c r="F11097" s="168" t="s">
        <v>2971</v>
      </c>
      <c r="G11097" s="98" t="str">
        <f>HYPERLINK("http://mirror.ff7data.com.ar/ff7/data/battle/battle.lgp/smaa.png","View Picture")</f>
        <v>View Picture</v>
      </c>
    </row>
    <row r="11098">
      <c r="A11098" s="55"/>
      <c r="B11098" s="119" t="s">
        <v>43907</v>
      </c>
      <c r="C11098" s="120" t="s">
        <v>4707</v>
      </c>
      <c r="D11098" s="33" t="s">
        <v>43908</v>
      </c>
      <c r="E11098" s="17" t="s">
        <v>1403</v>
      </c>
      <c r="F11098" s="168" t="s">
        <v>2993</v>
      </c>
      <c r="H11098" s="46" t="s">
        <v>3002</v>
      </c>
    </row>
    <row r="11099">
      <c r="A11099" s="40"/>
      <c r="B11099" s="119" t="s">
        <v>43909</v>
      </c>
      <c r="C11099" s="120" t="s">
        <v>5891</v>
      </c>
      <c r="D11099" s="33" t="s">
        <v>43910</v>
      </c>
      <c r="E11099" s="17" t="s">
        <v>1403</v>
      </c>
      <c r="F11099" s="168" t="s">
        <v>3009</v>
      </c>
      <c r="G11099" s="98" t="str">
        <f>HYPERLINK("http://mirror.ff7data.com.ar/ff7/data/battle/battle.lgp/smam.png","View Picture")</f>
        <v>View Picture</v>
      </c>
    </row>
    <row r="11100">
      <c r="A11100" s="40"/>
      <c r="B11100" s="119" t="s">
        <v>43911</v>
      </c>
      <c r="C11100" s="120" t="s">
        <v>19628</v>
      </c>
      <c r="D11100" s="33" t="s">
        <v>43912</v>
      </c>
      <c r="E11100" s="17" t="s">
        <v>1403</v>
      </c>
      <c r="F11100" s="168" t="s">
        <v>3009</v>
      </c>
      <c r="G11100" s="98" t="str">
        <f>HYPERLINK("http://mirror.ff7data.com.ar/ff7/data/battle/battle.lgp/sman.png","View Picture")</f>
        <v>View Picture</v>
      </c>
    </row>
    <row r="11101">
      <c r="A11101" s="40"/>
      <c r="B11101" s="119" t="s">
        <v>43913</v>
      </c>
      <c r="C11101" s="120" t="s">
        <v>4476</v>
      </c>
      <c r="D11101" s="33" t="s">
        <v>43914</v>
      </c>
      <c r="E11101" s="17" t="s">
        <v>1403</v>
      </c>
      <c r="F11101" s="168" t="s">
        <v>3009</v>
      </c>
      <c r="G11101" s="98" t="str">
        <f>HYPERLINK("http://mirror.ff7data.com.ar/ff7/data/battle/battle.lgp/smao.png","View Picture")</f>
        <v>View Picture</v>
      </c>
    </row>
    <row r="11102">
      <c r="A11102" s="40"/>
      <c r="B11102" s="119" t="s">
        <v>43915</v>
      </c>
      <c r="C11102" s="120" t="s">
        <v>4046</v>
      </c>
      <c r="D11102" s="33" t="s">
        <v>43916</v>
      </c>
      <c r="E11102" s="17" t="s">
        <v>1403</v>
      </c>
      <c r="F11102" s="168" t="s">
        <v>3009</v>
      </c>
      <c r="G11102" s="98" t="str">
        <f>HYPERLINK("http://mirror.ff7data.com.ar/ff7/data/battle/battle.lgp/smap.png","View Picture")</f>
        <v>View Picture</v>
      </c>
    </row>
    <row r="11103">
      <c r="A11103" s="40"/>
      <c r="B11103" s="119" t="s">
        <v>43917</v>
      </c>
      <c r="C11103" s="120" t="s">
        <v>10078</v>
      </c>
      <c r="D11103" s="33" t="s">
        <v>43918</v>
      </c>
      <c r="E11103" s="17" t="s">
        <v>1403</v>
      </c>
      <c r="F11103" s="168" t="s">
        <v>3009</v>
      </c>
      <c r="G11103" s="98" t="str">
        <f>HYPERLINK("http://mirror.ff7data.com.ar/ff7/data/battle/battle.lgp/smas.png","View Picture")</f>
        <v>View Picture</v>
      </c>
    </row>
    <row r="11104">
      <c r="A11104" s="40"/>
      <c r="B11104" s="119" t="s">
        <v>43919</v>
      </c>
      <c r="C11104" s="120" t="s">
        <v>5419</v>
      </c>
      <c r="D11104" s="33" t="s">
        <v>43920</v>
      </c>
      <c r="E11104" s="17" t="s">
        <v>1403</v>
      </c>
      <c r="F11104" s="168" t="s">
        <v>3009</v>
      </c>
      <c r="G11104" s="98" t="str">
        <f>HYPERLINK("http://mirror.ff7data.com.ar/ff7/data/battle/battle.lgp/smat.png","View Picture")</f>
        <v>View Picture</v>
      </c>
    </row>
    <row r="11105">
      <c r="A11105" s="40"/>
      <c r="B11105" s="119" t="s">
        <v>43921</v>
      </c>
      <c r="C11105" s="120" t="s">
        <v>3648</v>
      </c>
      <c r="D11105" s="33" t="s">
        <v>43922</v>
      </c>
      <c r="E11105" s="17" t="s">
        <v>1403</v>
      </c>
      <c r="F11105" s="168" t="s">
        <v>3009</v>
      </c>
      <c r="G11105" s="98" t="str">
        <f>HYPERLINK("http://mirror.ff7data.com.ar/ff7/data/battle/battle.lgp/smau.png","View Picture")</f>
        <v>View Picture</v>
      </c>
    </row>
    <row r="11106">
      <c r="A11106" s="40"/>
      <c r="B11106" s="119" t="s">
        <v>43923</v>
      </c>
      <c r="C11106" s="120" t="s">
        <v>4252</v>
      </c>
      <c r="D11106" s="33" t="s">
        <v>43924</v>
      </c>
      <c r="E11106" s="17" t="s">
        <v>1403</v>
      </c>
      <c r="F11106" s="168" t="s">
        <v>3009</v>
      </c>
      <c r="G11106" s="98" t="str">
        <f>HYPERLINK("http://mirror.ff7data.com.ar/ff7/data/battle/battle.lgp/smaw.png","View Picture")</f>
        <v>View Picture</v>
      </c>
    </row>
    <row r="11107">
      <c r="A11107" s="40"/>
      <c r="B11107" s="119" t="s">
        <v>43925</v>
      </c>
      <c r="C11107" s="120" t="s">
        <v>9112</v>
      </c>
      <c r="D11107" s="33" t="s">
        <v>43924</v>
      </c>
      <c r="E11107" s="17" t="s">
        <v>1403</v>
      </c>
      <c r="F11107" s="168" t="s">
        <v>3009</v>
      </c>
      <c r="G11107" s="98" t="str">
        <f>HYPERLINK("http://mirror.ff7data.com.ar/ff7/data/battle/battle.lgp/smax.png","View Picture")</f>
        <v>View Picture</v>
      </c>
    </row>
    <row r="11108">
      <c r="A11108" s="40"/>
      <c r="B11108" s="119" t="s">
        <v>43926</v>
      </c>
      <c r="C11108" s="120" t="s">
        <v>4185</v>
      </c>
      <c r="D11108" s="33" t="s">
        <v>43924</v>
      </c>
      <c r="E11108" s="17" t="s">
        <v>1403</v>
      </c>
      <c r="F11108" s="168" t="s">
        <v>3009</v>
      </c>
      <c r="G11108" s="98" t="str">
        <f>HYPERLINK("http://mirror.ff7data.com.ar/ff7/data/battle/battle.lgp/smay.png","View Picture")</f>
        <v>View Picture</v>
      </c>
    </row>
    <row r="11109">
      <c r="A11109" s="40"/>
      <c r="B11109" s="119" t="s">
        <v>43927</v>
      </c>
      <c r="C11109" s="120" t="s">
        <v>4252</v>
      </c>
      <c r="D11109" s="33" t="s">
        <v>43928</v>
      </c>
      <c r="E11109" s="17" t="s">
        <v>1403</v>
      </c>
      <c r="F11109" s="168" t="s">
        <v>3009</v>
      </c>
      <c r="G11109" s="98" t="str">
        <f>HYPERLINK("http://mirror.ff7data.com.ar/ff7/data/battle/battle.lgp/smbb.png","View Picture")</f>
        <v>View Picture</v>
      </c>
    </row>
    <row r="11110">
      <c r="A11110" s="40"/>
      <c r="B11110" s="119" t="s">
        <v>43929</v>
      </c>
      <c r="C11110" s="120" t="s">
        <v>9112</v>
      </c>
      <c r="D11110" s="33" t="s">
        <v>43928</v>
      </c>
      <c r="E11110" s="17" t="s">
        <v>1403</v>
      </c>
      <c r="F11110" s="168" t="s">
        <v>3009</v>
      </c>
      <c r="G11110" s="98" t="str">
        <f>HYPERLINK("http://mirror.ff7data.com.ar/ff7/data/battle/battle.lgp/smbc.png","View Picture")</f>
        <v>View Picture</v>
      </c>
    </row>
    <row r="11111">
      <c r="A11111" s="40"/>
      <c r="B11111" s="119" t="s">
        <v>43930</v>
      </c>
      <c r="C11111" s="120" t="s">
        <v>4185</v>
      </c>
      <c r="D11111" s="33" t="s">
        <v>43928</v>
      </c>
      <c r="E11111" s="17" t="s">
        <v>1403</v>
      </c>
      <c r="F11111" s="168" t="s">
        <v>3009</v>
      </c>
      <c r="G11111" s="98" t="str">
        <f>HYPERLINK("http://mirror.ff7data.com.ar/ff7/data/battle/battle.lgp/smbd.png","View Picture")</f>
        <v>View Picture</v>
      </c>
    </row>
    <row r="11112">
      <c r="A11112" s="40"/>
      <c r="B11112" s="119" t="s">
        <v>43931</v>
      </c>
      <c r="C11112" s="120" t="s">
        <v>10078</v>
      </c>
      <c r="D11112" s="33" t="s">
        <v>43932</v>
      </c>
      <c r="E11112" s="17" t="s">
        <v>1403</v>
      </c>
      <c r="F11112" s="168" t="s">
        <v>3009</v>
      </c>
      <c r="G11112" s="98" t="str">
        <f>HYPERLINK("http://mirror.ff7data.com.ar/ff7/data/battle/battle.lgp/smbf.png","View Picture")</f>
        <v>View Picture</v>
      </c>
    </row>
    <row r="11113">
      <c r="A11113" s="40"/>
      <c r="B11113" s="119" t="s">
        <v>43933</v>
      </c>
      <c r="C11113" s="120" t="s">
        <v>5419</v>
      </c>
      <c r="D11113" s="33" t="s">
        <v>43934</v>
      </c>
      <c r="E11113" s="17" t="s">
        <v>1403</v>
      </c>
      <c r="F11113" s="168" t="s">
        <v>3009</v>
      </c>
      <c r="G11113" s="98" t="str">
        <f>HYPERLINK("http://mirror.ff7data.com.ar/ff7/data/battle/battle.lgp/smbg.png","View Picture")</f>
        <v>View Picture</v>
      </c>
    </row>
    <row r="11114">
      <c r="A11114" s="40"/>
      <c r="B11114" s="119" t="s">
        <v>43935</v>
      </c>
      <c r="C11114" s="120" t="s">
        <v>3648</v>
      </c>
      <c r="D11114" s="33" t="s">
        <v>43936</v>
      </c>
      <c r="E11114" s="17" t="s">
        <v>1403</v>
      </c>
      <c r="F11114" s="168" t="s">
        <v>3009</v>
      </c>
      <c r="G11114" s="98" t="str">
        <f>HYPERLINK("http://mirror.ff7data.com.ar/ff7/data/battle/battle.lgp/smbh.png","View Picture")</f>
        <v>View Picture</v>
      </c>
    </row>
    <row r="11115">
      <c r="A11115" s="55"/>
      <c r="B11115" s="119" t="s">
        <v>43937</v>
      </c>
      <c r="C11115" s="120" t="s">
        <v>7270</v>
      </c>
      <c r="D11115" s="33" t="s">
        <v>43938</v>
      </c>
      <c r="E11115" s="17" t="s">
        <v>1403</v>
      </c>
      <c r="F11115" s="168" t="s">
        <v>3009</v>
      </c>
      <c r="G11115" s="98" t="str">
        <f>HYPERLINK("http://mirror.ff7data.com.ar/ff7/data/battle/battle.lgp/smbi.png","View Picture")</f>
        <v>View Picture</v>
      </c>
    </row>
    <row r="11116">
      <c r="A11116" s="40"/>
      <c r="B11116" s="119" t="s">
        <v>43939</v>
      </c>
      <c r="C11116" s="120" t="s">
        <v>3658</v>
      </c>
      <c r="D11116" s="33" t="s">
        <v>43940</v>
      </c>
      <c r="E11116" s="17" t="s">
        <v>1403</v>
      </c>
      <c r="F11116" s="168" t="s">
        <v>3009</v>
      </c>
      <c r="G11116" s="98" t="str">
        <f>HYPERLINK("http://mirror.ff7data.com.ar/ff7/data/battle/battle.lgp/smbk.png","View Picture")</f>
        <v>View Picture</v>
      </c>
    </row>
    <row r="11117">
      <c r="A11117" s="40"/>
      <c r="B11117" s="119" t="s">
        <v>43941</v>
      </c>
      <c r="C11117" s="120" t="s">
        <v>4719</v>
      </c>
      <c r="D11117" s="33" t="s">
        <v>43942</v>
      </c>
      <c r="E11117" s="17" t="s">
        <v>1403</v>
      </c>
      <c r="F11117" s="168" t="s">
        <v>3009</v>
      </c>
      <c r="G11117" s="98" t="str">
        <f>HYPERLINK("http://mirror.ff7data.com.ar/ff7/data/battle/battle.lgp/smbl.png","View Picture")</f>
        <v>View Picture</v>
      </c>
    </row>
    <row r="11118">
      <c r="A11118" s="40"/>
      <c r="B11118" s="119" t="s">
        <v>43943</v>
      </c>
      <c r="C11118" s="120" t="s">
        <v>5419</v>
      </c>
      <c r="D11118" s="33" t="s">
        <v>43944</v>
      </c>
      <c r="E11118" s="17" t="s">
        <v>1403</v>
      </c>
      <c r="F11118" s="168" t="s">
        <v>3009</v>
      </c>
      <c r="G11118" s="98" t="str">
        <f>HYPERLINK("http://mirror.ff7data.com.ar/ff7/data/battle/battle.lgp/smbm.png","View Picture")</f>
        <v>View Picture</v>
      </c>
    </row>
    <row r="11119">
      <c r="A11119" s="40"/>
      <c r="B11119" s="119" t="s">
        <v>43945</v>
      </c>
      <c r="C11119" s="120" t="s">
        <v>3658</v>
      </c>
      <c r="D11119" s="33" t="s">
        <v>43946</v>
      </c>
      <c r="E11119" s="17" t="s">
        <v>1403</v>
      </c>
      <c r="F11119" s="168" t="s">
        <v>3009</v>
      </c>
      <c r="G11119" s="98" t="str">
        <f>HYPERLINK("http://mirror.ff7data.com.ar/ff7/data/battle/battle.lgp/smbo.png","View Picture")</f>
        <v>View Picture</v>
      </c>
    </row>
    <row r="11120">
      <c r="A11120" s="40"/>
      <c r="B11120" s="119" t="s">
        <v>43947</v>
      </c>
      <c r="C11120" s="120" t="s">
        <v>4719</v>
      </c>
      <c r="D11120" s="33" t="s">
        <v>43948</v>
      </c>
      <c r="E11120" s="17" t="s">
        <v>1403</v>
      </c>
      <c r="F11120" s="168" t="s">
        <v>3009</v>
      </c>
      <c r="G11120" s="98" t="str">
        <f>HYPERLINK("http://mirror.ff7data.com.ar/ff7/data/battle/battle.lgp/smbp.png","View Picture")</f>
        <v>View Picture</v>
      </c>
    </row>
    <row r="11121">
      <c r="A11121" s="40"/>
      <c r="B11121" s="119" t="s">
        <v>43949</v>
      </c>
      <c r="C11121" s="120" t="s">
        <v>5419</v>
      </c>
      <c r="D11121" s="33" t="s">
        <v>43950</v>
      </c>
      <c r="E11121" s="17" t="s">
        <v>1403</v>
      </c>
      <c r="F11121" s="168" t="s">
        <v>3009</v>
      </c>
      <c r="G11121" s="98" t="str">
        <f>HYPERLINK("http://mirror.ff7data.com.ar/ff7/data/battle/battle.lgp/smbq.png","View Picture")</f>
        <v>View Picture</v>
      </c>
    </row>
    <row r="11122">
      <c r="A11122" s="55"/>
      <c r="B11122" s="119" t="s">
        <v>43951</v>
      </c>
      <c r="C11122" s="120" t="s">
        <v>6010</v>
      </c>
      <c r="D11122" s="33" t="s">
        <v>43938</v>
      </c>
      <c r="E11122" s="17" t="s">
        <v>1403</v>
      </c>
      <c r="F11122" s="168" t="s">
        <v>3025</v>
      </c>
      <c r="H11122" s="46" t="s">
        <v>3002</v>
      </c>
    </row>
    <row r="11123">
      <c r="A11123" s="55"/>
      <c r="B11123" s="170"/>
      <c r="C11123" s="171"/>
      <c r="D11123" s="31"/>
      <c r="E11123" s="126"/>
      <c r="F11123" s="172"/>
    </row>
    <row r="11124">
      <c r="A11124" s="55"/>
      <c r="B11124" s="173" t="s">
        <v>43952</v>
      </c>
    </row>
    <row r="11125">
      <c r="A11125" s="40"/>
      <c r="B11125" s="119" t="s">
        <v>5207</v>
      </c>
      <c r="C11125" s="120" t="s">
        <v>3299</v>
      </c>
      <c r="D11125" s="33" t="s">
        <v>117</v>
      </c>
      <c r="E11125" s="51" t="s">
        <v>116</v>
      </c>
      <c r="F11125" s="121" t="s">
        <v>2971</v>
      </c>
      <c r="G11125" s="98" t="str">
        <f>HYPERLINK("http://mirror.ff7data.com.ar/ff7/data/battle/battle.lgp/ataa.png","View Picture")</f>
        <v>View Picture</v>
      </c>
      <c r="H11125" s="46" t="s">
        <v>43953</v>
      </c>
    </row>
    <row r="11126">
      <c r="A11126" s="40"/>
      <c r="B11126" s="119" t="s">
        <v>4455</v>
      </c>
      <c r="C11126" s="120" t="s">
        <v>4456</v>
      </c>
      <c r="D11126" s="20" t="s">
        <v>111</v>
      </c>
      <c r="E11126" s="39" t="s">
        <v>109</v>
      </c>
      <c r="F11126" s="121" t="s">
        <v>2971</v>
      </c>
      <c r="G11126" s="98" t="str">
        <f>HYPERLINK("http://mirror.ff7data.com.ar/ff7/data/battle/battle.lgp/araa.png","View Picture")</f>
        <v>View Picture</v>
      </c>
      <c r="H11126" s="46" t="s">
        <v>43953</v>
      </c>
    </row>
    <row r="11127">
      <c r="A11127" s="21"/>
      <c r="B11127" s="119" t="s">
        <v>7599</v>
      </c>
      <c r="C11127" s="120" t="s">
        <v>7600</v>
      </c>
      <c r="D11127" s="33" t="s">
        <v>196</v>
      </c>
      <c r="E11127" s="51" t="s">
        <v>195</v>
      </c>
      <c r="F11127" s="121" t="s">
        <v>2971</v>
      </c>
      <c r="G11127" s="98" t="str">
        <f>HYPERLINK("http://mirror.ff7data.com.ar/ff7/data/battle/battle.lgp/bgaa.png","View Picture")</f>
        <v>View Picture</v>
      </c>
      <c r="H11127" s="46" t="s">
        <v>43954</v>
      </c>
    </row>
    <row r="11128">
      <c r="A11128" s="21"/>
      <c r="B11128" s="119" t="s">
        <v>5576</v>
      </c>
      <c r="C11128" s="120" t="s">
        <v>3980</v>
      </c>
      <c r="D11128" s="33" t="s">
        <v>120</v>
      </c>
      <c r="E11128" s="51" t="s">
        <v>119</v>
      </c>
      <c r="F11128" s="121" t="s">
        <v>2971</v>
      </c>
      <c r="G11128" s="98" t="str">
        <f>HYPERLINK("http://mirror.ff7data.com.ar/ff7/data/battle/battle.lgp/auaa.png","View Picture")</f>
        <v>View Picture</v>
      </c>
      <c r="H11128" s="46" t="s">
        <v>43954</v>
      </c>
    </row>
    <row r="11129">
      <c r="A11129" s="40"/>
      <c r="B11129" s="119" t="s">
        <v>4194</v>
      </c>
      <c r="C11129" s="120" t="s">
        <v>4196</v>
      </c>
      <c r="D11129" s="33" t="s">
        <v>107</v>
      </c>
      <c r="E11129" s="39" t="s">
        <v>106</v>
      </c>
      <c r="F11129" s="121" t="s">
        <v>2971</v>
      </c>
      <c r="G11129" s="98" t="str">
        <f>HYPERLINK("http://mirror.ff7data.com.ar/ff7/data/battle/battle.lgp/aqaa.png","View Picture")</f>
        <v>View Picture</v>
      </c>
      <c r="H11129" s="46" t="s">
        <v>43955</v>
      </c>
    </row>
    <row r="11130">
      <c r="A11130" s="21"/>
      <c r="B11130" s="119" t="s">
        <v>5711</v>
      </c>
      <c r="C11130" s="120" t="s">
        <v>4456</v>
      </c>
      <c r="D11130" s="33" t="s">
        <v>123</v>
      </c>
      <c r="E11130" s="51" t="s">
        <v>122</v>
      </c>
      <c r="F11130" s="121" t="s">
        <v>2971</v>
      </c>
      <c r="G11130" s="98" t="str">
        <f>HYPERLINK("http://mirror.ff7data.com.ar/ff7/data/battle/battle.lgp/avaa.png","View Picture")</f>
        <v>View Picture</v>
      </c>
      <c r="H11130" s="46" t="s">
        <v>43953</v>
      </c>
    </row>
    <row r="11131">
      <c r="A11131" s="21"/>
      <c r="B11131" s="119" t="s">
        <v>8003</v>
      </c>
      <c r="C11131" s="120" t="s">
        <v>8004</v>
      </c>
      <c r="D11131" s="33" t="s">
        <v>208</v>
      </c>
      <c r="E11131" s="51" t="s">
        <v>207</v>
      </c>
      <c r="F11131" s="121" t="s">
        <v>2971</v>
      </c>
      <c r="G11131" s="98" t="str">
        <f>HYPERLINK("http://mirror.ff7data.com.ar/ff7/data/battle/battle.lgp/biaa.png","View Picture")</f>
        <v>View Picture</v>
      </c>
      <c r="H11131" s="46" t="s">
        <v>43953</v>
      </c>
    </row>
    <row r="11132">
      <c r="A11132" s="21"/>
      <c r="B11132" s="119" t="s">
        <v>9046</v>
      </c>
      <c r="C11132" s="120" t="s">
        <v>4456</v>
      </c>
      <c r="D11132" s="33" t="s">
        <v>43956</v>
      </c>
      <c r="E11132" s="51" t="s">
        <v>222</v>
      </c>
      <c r="F11132" s="121" t="s">
        <v>2971</v>
      </c>
      <c r="G11132" s="98" t="str">
        <f>HYPERLINK("http://mirror.ff7data.com.ar/ff7/data/battle/battle.lgp/bnaa.png","View Picture")</f>
        <v>View Picture</v>
      </c>
      <c r="H11132" s="46" t="s">
        <v>43954</v>
      </c>
    </row>
    <row r="11133">
      <c r="A11133" s="40"/>
      <c r="B11133" s="119" t="s">
        <v>4845</v>
      </c>
      <c r="C11133" s="120" t="s">
        <v>4846</v>
      </c>
      <c r="D11133" s="33" t="s">
        <v>43957</v>
      </c>
      <c r="E11133" s="39" t="s">
        <v>113</v>
      </c>
      <c r="F11133" s="121" t="s">
        <v>2971</v>
      </c>
      <c r="G11133" s="98" t="str">
        <f>HYPERLINK("http://mirror.ff7data.com.ar/ff7/data/battle/battle.lgp/asaa.png","View Picture")</f>
        <v>View Picture</v>
      </c>
      <c r="H11133" s="46" t="s">
        <v>43954</v>
      </c>
    </row>
    <row r="11134">
      <c r="A11134" s="21"/>
      <c r="B11134" s="119" t="s">
        <v>7098</v>
      </c>
      <c r="C11134" s="120" t="s">
        <v>4096</v>
      </c>
      <c r="D11134" s="33" t="s">
        <v>180</v>
      </c>
      <c r="E11134" s="51" t="s">
        <v>179</v>
      </c>
      <c r="F11134" s="121" t="s">
        <v>2971</v>
      </c>
      <c r="G11134" s="98" t="str">
        <f>HYPERLINK("http://mirror.ff7data.com.ar/ff7/data/battle/battle.lgp/bbaa.png","View Picture")</f>
        <v>View Picture</v>
      </c>
      <c r="H11134" s="46" t="s">
        <v>43954</v>
      </c>
    </row>
    <row r="11135">
      <c r="A11135" s="55"/>
      <c r="B11135" s="119" t="s">
        <v>23610</v>
      </c>
      <c r="C11135" s="120" t="s">
        <v>11208</v>
      </c>
      <c r="D11135" s="33" t="s">
        <v>467</v>
      </c>
      <c r="E11135" s="51" t="s">
        <v>463</v>
      </c>
      <c r="F11135" s="121" t="s">
        <v>2971</v>
      </c>
      <c r="G11135" s="98" t="str">
        <f>HYPERLINK("http://mirror.ff7data.com.ar/ff7/data/battle/battle.lgp/efaa.png","View Picture")</f>
        <v>View Picture</v>
      </c>
      <c r="H11135" s="46" t="s">
        <v>43953</v>
      </c>
    </row>
    <row r="11136">
      <c r="A11136" s="21"/>
      <c r="B11136" s="119" t="s">
        <v>9972</v>
      </c>
      <c r="C11136" s="120" t="s">
        <v>9973</v>
      </c>
      <c r="D11136" s="33" t="s">
        <v>244</v>
      </c>
      <c r="E11136" s="51" t="s">
        <v>242</v>
      </c>
      <c r="F11136" s="121" t="s">
        <v>2971</v>
      </c>
      <c r="G11136" s="98" t="str">
        <f>HYPERLINK("http://mirror.ff7data.com.ar/ff7/data/battle/battle.lgp/braa.png","View Picture")</f>
        <v>View Picture</v>
      </c>
      <c r="H11136" s="46" t="s">
        <v>43953</v>
      </c>
    </row>
    <row r="11137">
      <c r="A11137" s="21"/>
      <c r="B11137" s="119" t="s">
        <v>8842</v>
      </c>
      <c r="C11137" s="120" t="s">
        <v>8845</v>
      </c>
      <c r="D11137" s="33" t="s">
        <v>220</v>
      </c>
      <c r="E11137" s="51" t="s">
        <v>219</v>
      </c>
      <c r="F11137" s="121" t="s">
        <v>2971</v>
      </c>
      <c r="G11137" s="98" t="str">
        <f>HYPERLINK("http://mirror.ff7data.com.ar/ff7/data/battle/battle.lgp/bmaa.png","View Picture")</f>
        <v>View Picture</v>
      </c>
      <c r="H11137" s="46" t="s">
        <v>43954</v>
      </c>
    </row>
    <row r="11138">
      <c r="A11138" s="84"/>
      <c r="B11138" s="119" t="s">
        <v>13193</v>
      </c>
      <c r="C11138" s="120" t="s">
        <v>4109</v>
      </c>
      <c r="D11138" s="33" t="s">
        <v>311</v>
      </c>
      <c r="E11138" s="51" t="s">
        <v>310</v>
      </c>
      <c r="F11138" s="121" t="s">
        <v>2971</v>
      </c>
      <c r="G11138" s="98" t="str">
        <f>HYPERLINK("http://mirror.ff7data.com.ar/ff7/data/battle/battle.lgp/claa.png","View Picture")</f>
        <v>View Picture</v>
      </c>
      <c r="H11138" s="46" t="s">
        <v>43954</v>
      </c>
    </row>
    <row r="11139">
      <c r="A11139" s="84"/>
      <c r="B11139" s="119" t="s">
        <v>18046</v>
      </c>
      <c r="C11139" s="120" t="s">
        <v>18047</v>
      </c>
      <c r="D11139" s="33" t="s">
        <v>376</v>
      </c>
      <c r="E11139" s="51" t="s">
        <v>374</v>
      </c>
      <c r="F11139" s="121" t="s">
        <v>2971</v>
      </c>
      <c r="G11139" s="98" t="str">
        <f>HYPERLINK("http://mirror.ff7data.com.ar/ff7/data/battle/battle.lgp/dfaa.png","View Picture")</f>
        <v>View Picture</v>
      </c>
      <c r="H11139" s="46" t="s">
        <v>43954</v>
      </c>
    </row>
    <row r="11140">
      <c r="A11140" s="84"/>
      <c r="B11140" s="119" t="s">
        <v>15534</v>
      </c>
      <c r="C11140" s="120" t="s">
        <v>6802</v>
      </c>
      <c r="D11140" s="33" t="s">
        <v>43958</v>
      </c>
      <c r="E11140" s="147" t="s">
        <v>347</v>
      </c>
      <c r="F11140" s="121" t="s">
        <v>2971</v>
      </c>
      <c r="G11140" s="98" t="str">
        <f>HYPERLINK("http://mirror.ff7data.com.ar/ff7/data/battle/battle.lgp/cwaa.png","View Picture")</f>
        <v>View Picture</v>
      </c>
      <c r="H11140" s="46" t="s">
        <v>43953</v>
      </c>
    </row>
    <row r="11141">
      <c r="A11141" s="84"/>
      <c r="B11141" s="119" t="s">
        <v>21902</v>
      </c>
      <c r="C11141" s="120" t="s">
        <v>10179</v>
      </c>
      <c r="D11141" s="33" t="s">
        <v>435</v>
      </c>
      <c r="E11141" s="51" t="s">
        <v>437</v>
      </c>
      <c r="F11141" s="121" t="s">
        <v>2971</v>
      </c>
      <c r="G11141" s="98" t="str">
        <f>HYPERLINK("http://mirror.ff7data.com.ar/ff7/data/battle/battle.lgp/dwaa.png","View Picture")</f>
        <v>View Picture</v>
      </c>
      <c r="H11141" s="46" t="s">
        <v>43954</v>
      </c>
    </row>
    <row r="11142">
      <c r="A11142" s="84"/>
      <c r="B11142" s="119" t="s">
        <v>20080</v>
      </c>
      <c r="C11142" s="120" t="s">
        <v>2989</v>
      </c>
      <c r="D11142" s="33" t="s">
        <v>402</v>
      </c>
      <c r="E11142" s="51" t="s">
        <v>401</v>
      </c>
      <c r="F11142" s="121" t="s">
        <v>2971</v>
      </c>
      <c r="G11142" s="98" t="str">
        <f>HYPERLINK("http://mirror.ff7data.com.ar/ff7/data/battle/battle.lgp/dlaa.png","View Picture")</f>
        <v>View Picture</v>
      </c>
      <c r="H11142" s="46" t="s">
        <v>43954</v>
      </c>
    </row>
    <row r="11143">
      <c r="A11143" s="84"/>
      <c r="B11143" s="119" t="s">
        <v>12939</v>
      </c>
      <c r="C11143" s="120" t="s">
        <v>4846</v>
      </c>
      <c r="D11143" s="33" t="s">
        <v>308</v>
      </c>
      <c r="E11143" s="51" t="s">
        <v>307</v>
      </c>
      <c r="F11143" s="121" t="s">
        <v>2971</v>
      </c>
      <c r="G11143" s="98" t="str">
        <f>HYPERLINK("http://mirror.ff7data.com.ar/ff7/data/battle/battle.lgp/ckaa.png","View Picture")</f>
        <v>View Picture</v>
      </c>
      <c r="H11143" s="46" t="s">
        <v>43953</v>
      </c>
    </row>
    <row r="11144">
      <c r="A11144" s="84"/>
      <c r="B11144" s="119" t="s">
        <v>17672</v>
      </c>
      <c r="C11144" s="120" t="s">
        <v>4468</v>
      </c>
      <c r="D11144" s="33" t="s">
        <v>372</v>
      </c>
      <c r="E11144" s="51" t="s">
        <v>371</v>
      </c>
      <c r="F11144" s="121" t="s">
        <v>2971</v>
      </c>
      <c r="G11144" s="98" t="str">
        <f>HYPERLINK("http://mirror.ff7data.com.ar/ff7/data/battle/battle.lgp/deaa.png","View Picture")</f>
        <v>View Picture</v>
      </c>
      <c r="H11144" s="46" t="s">
        <v>43953</v>
      </c>
    </row>
    <row r="11145">
      <c r="A11145" s="55"/>
      <c r="B11145" s="119" t="s">
        <v>21974</v>
      </c>
      <c r="C11145" s="120" t="s">
        <v>4109</v>
      </c>
      <c r="D11145" s="33" t="s">
        <v>438</v>
      </c>
      <c r="E11145" s="51" t="s">
        <v>437</v>
      </c>
      <c r="F11145" s="121" t="s">
        <v>2971</v>
      </c>
      <c r="G11145" s="98" t="str">
        <f>HYPERLINK("http://mirror.ff7data.com.ar/ff7/data/battle/battle.lgp/dxaa.png","View Picture")</f>
        <v>View Picture</v>
      </c>
      <c r="H11145" s="46" t="s">
        <v>43954</v>
      </c>
    </row>
    <row r="11146">
      <c r="A11146" s="84"/>
      <c r="B11146" s="119" t="s">
        <v>16503</v>
      </c>
      <c r="C11146" s="120" t="s">
        <v>9973</v>
      </c>
      <c r="D11146" s="33" t="s">
        <v>363</v>
      </c>
      <c r="E11146" s="39" t="s">
        <v>362</v>
      </c>
      <c r="F11146" s="121" t="s">
        <v>2971</v>
      </c>
      <c r="G11146" s="98" t="str">
        <f>HYPERLINK("http://mirror.ff7data.com.ar/ff7/data/battle/battle.lgp/dbaa.png","View Picture")</f>
        <v>View Picture</v>
      </c>
      <c r="H11146" s="46" t="s">
        <v>43954</v>
      </c>
    </row>
    <row r="11147">
      <c r="A11147" s="21"/>
      <c r="B11147" s="119" t="s">
        <v>9779</v>
      </c>
      <c r="C11147" s="120" t="s">
        <v>4196</v>
      </c>
      <c r="D11147" s="33" t="s">
        <v>238</v>
      </c>
      <c r="E11147" s="51" t="s">
        <v>236</v>
      </c>
      <c r="F11147" s="121" t="s">
        <v>2971</v>
      </c>
      <c r="G11147" s="98" t="str">
        <f>HYPERLINK("http://mirror.ff7data.com.ar/ff7/data/battle/battle.lgp/bqaa.png","View Picture")</f>
        <v>View Picture</v>
      </c>
      <c r="H11147" s="46" t="s">
        <v>43954</v>
      </c>
    </row>
    <row r="11148">
      <c r="A11148" s="55"/>
      <c r="B11148" s="119" t="s">
        <v>31821</v>
      </c>
      <c r="C11148" s="120" t="s">
        <v>3299</v>
      </c>
      <c r="D11148" s="33" t="s">
        <v>598</v>
      </c>
      <c r="E11148" s="51" t="s">
        <v>597</v>
      </c>
      <c r="F11148" s="121" t="s">
        <v>2971</v>
      </c>
      <c r="G11148" s="98" t="str">
        <f>HYPERLINK("http://mirror.ff7data.com.ar/ff7/data/battle/battle.lgp/fnaa.png","View Picture")</f>
        <v>View Picture</v>
      </c>
      <c r="H11148" s="46" t="s">
        <v>43954</v>
      </c>
    </row>
    <row r="11149">
      <c r="A11149" s="55"/>
      <c r="B11149" s="119" t="s">
        <v>28082</v>
      </c>
      <c r="C11149" s="120" t="s">
        <v>9973</v>
      </c>
      <c r="D11149" s="33" t="s">
        <v>549</v>
      </c>
      <c r="E11149" s="51" t="s">
        <v>548</v>
      </c>
      <c r="F11149" s="121" t="s">
        <v>2971</v>
      </c>
      <c r="G11149" s="98" t="str">
        <f>HYPERLINK("http://mirror.ff7data.com.ar/ff7/data/battle/battle.lgp/ezaa.png","View Picture")</f>
        <v>View Picture</v>
      </c>
      <c r="H11149" s="46" t="s">
        <v>43953</v>
      </c>
    </row>
    <row r="11150">
      <c r="A11150" s="55"/>
      <c r="B11150" s="119" t="s">
        <v>25896</v>
      </c>
      <c r="C11150" s="120" t="s">
        <v>12090</v>
      </c>
      <c r="D11150" s="33" t="s">
        <v>509</v>
      </c>
      <c r="E11150" s="51" t="s">
        <v>507</v>
      </c>
      <c r="F11150" s="121" t="s">
        <v>2971</v>
      </c>
      <c r="G11150" s="98" t="str">
        <f>HYPERLINK("http://mirror.ff7data.com.ar/ff7/data/battle/battle.lgp/epaa.png","View Picture")</f>
        <v>View Picture</v>
      </c>
      <c r="H11150" s="46" t="s">
        <v>43954</v>
      </c>
    </row>
    <row r="11151">
      <c r="A11151" s="55"/>
      <c r="B11151" s="119" t="s">
        <v>25668</v>
      </c>
      <c r="C11151" s="120" t="s">
        <v>9973</v>
      </c>
      <c r="D11151" s="33" t="s">
        <v>505</v>
      </c>
      <c r="E11151" s="51" t="s">
        <v>504</v>
      </c>
      <c r="F11151" s="121" t="s">
        <v>2971</v>
      </c>
      <c r="G11151" s="98" t="str">
        <f>HYPERLINK("http://mirror.ff7data.com.ar/ff7/data/battle/battle.lgp/eoaa.png","View Picture")</f>
        <v>View Picture</v>
      </c>
      <c r="H11151" s="46" t="s">
        <v>43954</v>
      </c>
    </row>
    <row r="11152">
      <c r="A11152" s="55"/>
      <c r="B11152" s="119" t="s">
        <v>34389</v>
      </c>
      <c r="C11152" s="120" t="s">
        <v>9973</v>
      </c>
      <c r="D11152" s="33" t="s">
        <v>678</v>
      </c>
      <c r="E11152" s="51" t="s">
        <v>676</v>
      </c>
      <c r="F11152" s="121" t="s">
        <v>2971</v>
      </c>
      <c r="G11152" s="98" t="str">
        <f>HYPERLINK("http://mirror.ff7data.com.ar/ff7/data/battle/battle.lgp/geaa.png","View Picture")</f>
        <v>View Picture</v>
      </c>
      <c r="H11152" s="46" t="s">
        <v>43954</v>
      </c>
    </row>
    <row r="11153">
      <c r="A11153" s="84"/>
      <c r="B11153" s="119" t="s">
        <v>18336</v>
      </c>
      <c r="C11153" s="120" t="s">
        <v>7606</v>
      </c>
      <c r="D11153" s="33" t="s">
        <v>381</v>
      </c>
      <c r="E11153" s="51" t="s">
        <v>379</v>
      </c>
      <c r="F11153" s="121" t="s">
        <v>2971</v>
      </c>
      <c r="G11153" s="98" t="str">
        <f>HYPERLINK("http://mirror.ff7data.com.ar/ff7/data/battle/battle.lgp/dgaa.png","View Picture")</f>
        <v>View Picture</v>
      </c>
      <c r="H11153" s="46" t="s">
        <v>43954</v>
      </c>
    </row>
    <row r="11154">
      <c r="A11154" s="55"/>
      <c r="B11154" s="119" t="s">
        <v>33702</v>
      </c>
      <c r="C11154" s="120" t="s">
        <v>3557</v>
      </c>
      <c r="D11154" s="33" t="s">
        <v>663</v>
      </c>
      <c r="E11154" s="51" t="s">
        <v>661</v>
      </c>
      <c r="F11154" s="121" t="s">
        <v>2971</v>
      </c>
      <c r="G11154" s="98" t="str">
        <f>HYPERLINK("http://mirror.ff7data.com.ar/ff7/data/battle/battle.lgp/gbaa.png","View Picture")</f>
        <v>View Picture</v>
      </c>
      <c r="H11154" s="46" t="s">
        <v>43959</v>
      </c>
    </row>
    <row r="11155">
      <c r="A11155" s="84"/>
      <c r="B11155" s="119" t="s">
        <v>21465</v>
      </c>
      <c r="C11155" s="120" t="s">
        <v>4196</v>
      </c>
      <c r="D11155" s="33" t="s">
        <v>43960</v>
      </c>
      <c r="E11155" s="51" t="s">
        <v>419</v>
      </c>
      <c r="F11155" s="121" t="s">
        <v>2971</v>
      </c>
      <c r="G11155" s="98" t="str">
        <f>HYPERLINK("http://mirror.ff7data.com.ar/ff7/data/battle/battle.lgp/draa.png","View Picture")</f>
        <v>View Picture</v>
      </c>
      <c r="H11155" s="46" t="s">
        <v>43953</v>
      </c>
    </row>
    <row r="11156">
      <c r="A11156" s="84"/>
      <c r="B11156" s="119" t="s">
        <v>16318</v>
      </c>
      <c r="C11156" s="120" t="s">
        <v>8241</v>
      </c>
      <c r="D11156" s="33" t="s">
        <v>357</v>
      </c>
      <c r="E11156" s="39" t="s">
        <v>356</v>
      </c>
      <c r="F11156" s="121" t="s">
        <v>2971</v>
      </c>
      <c r="G11156" s="98" t="str">
        <f>HYPERLINK("http://mirror.ff7data.com.ar/ff7/data/battle/battle.lgp/czaa.png","View Picture")</f>
        <v>View Picture</v>
      </c>
      <c r="H11156" s="46" t="s">
        <v>43954</v>
      </c>
    </row>
    <row r="11157">
      <c r="A11157" s="84"/>
      <c r="B11157" s="119" t="s">
        <v>16463</v>
      </c>
      <c r="C11157" s="120" t="s">
        <v>11721</v>
      </c>
      <c r="D11157" s="33" t="s">
        <v>43961</v>
      </c>
      <c r="E11157" s="147" t="s">
        <v>359</v>
      </c>
      <c r="F11157" s="121" t="s">
        <v>2971</v>
      </c>
      <c r="G11157" s="98" t="str">
        <f>HYPERLINK("http://mirror.ff7data.com.ar/ff7/data/battle/battle.lgp/daaa.png","View Picture")</f>
        <v>View Picture</v>
      </c>
      <c r="H11157" s="46" t="s">
        <v>43954</v>
      </c>
    </row>
    <row r="11158">
      <c r="A11158" s="21"/>
      <c r="B11158" s="119" t="s">
        <v>7122</v>
      </c>
      <c r="C11158" s="120" t="s">
        <v>3980</v>
      </c>
      <c r="D11158" s="33" t="s">
        <v>43962</v>
      </c>
      <c r="E11158" s="51" t="s">
        <v>182</v>
      </c>
      <c r="F11158" s="121" t="s">
        <v>2971</v>
      </c>
      <c r="G11158" s="98" t="str">
        <f>HYPERLINK("http://mirror.ff7data.com.ar/ff7/data/battle/battle.lgp/bcaa.png","View Picture")</f>
        <v>View Picture</v>
      </c>
      <c r="H11158" s="46" t="s">
        <v>43954</v>
      </c>
    </row>
    <row r="11159">
      <c r="A11159" s="84"/>
      <c r="B11159" s="119" t="s">
        <v>7066</v>
      </c>
      <c r="C11159" s="120" t="s">
        <v>4096</v>
      </c>
      <c r="D11159" s="33" t="s">
        <v>144</v>
      </c>
      <c r="E11159" s="51" t="s">
        <v>143</v>
      </c>
      <c r="F11159" s="121" t="s">
        <v>2971</v>
      </c>
      <c r="G11159" s="98" t="str">
        <f>HYPERLINK("http://mirror.ff7data.com.ar/ff7/data/battle/battle.lgp/baaa.png","View Picture")</f>
        <v>View Picture</v>
      </c>
      <c r="H11159" s="46" t="s">
        <v>43954</v>
      </c>
    </row>
    <row r="11160">
      <c r="A11160" s="55"/>
      <c r="B11160" s="119" t="s">
        <v>28809</v>
      </c>
      <c r="C11160" s="120" t="s">
        <v>4196</v>
      </c>
      <c r="D11160" s="33" t="s">
        <v>555</v>
      </c>
      <c r="E11160" s="51" t="s">
        <v>554</v>
      </c>
      <c r="F11160" s="121" t="s">
        <v>2971</v>
      </c>
      <c r="G11160" s="98" t="str">
        <f>HYPERLINK("http://mirror.ff7data.com.ar/ff7/data/battle/battle.lgp/fbaa.png","View Picture")</f>
        <v>View Picture</v>
      </c>
      <c r="H11160" s="46" t="s">
        <v>43953</v>
      </c>
    </row>
    <row r="11161">
      <c r="A11161" s="21"/>
      <c r="B11161" s="119" t="s">
        <v>35421</v>
      </c>
      <c r="C11161" s="120" t="s">
        <v>8004</v>
      </c>
      <c r="D11161" s="33" t="s">
        <v>43963</v>
      </c>
      <c r="E11161" s="51" t="s">
        <v>771</v>
      </c>
      <c r="F11161" s="121" t="s">
        <v>2971</v>
      </c>
      <c r="G11161" s="98" t="str">
        <f>HYPERLINK("http://mirror.ff7data.com.ar/ff7/data/battle/battle.lgp/gvaa.png","View Picture")</f>
        <v>View Picture</v>
      </c>
      <c r="H11161" s="46" t="s">
        <v>43953</v>
      </c>
    </row>
    <row r="11162">
      <c r="A11162" s="21"/>
      <c r="B11162" s="119" t="s">
        <v>35789</v>
      </c>
      <c r="C11162" s="120" t="s">
        <v>35790</v>
      </c>
      <c r="D11162" s="33" t="s">
        <v>43964</v>
      </c>
      <c r="E11162" s="51" t="s">
        <v>820</v>
      </c>
      <c r="F11162" s="121" t="s">
        <v>2971</v>
      </c>
      <c r="G11162" s="98" t="str">
        <f>HYPERLINK("http://mirror.ff7data.com.ar/ff7/data/battle/battle.lgp/heaa.png","View Picture")</f>
        <v>View Picture</v>
      </c>
      <c r="H11162" s="46" t="s">
        <v>43954</v>
      </c>
    </row>
    <row r="11163">
      <c r="A11163" s="82"/>
      <c r="B11163" s="119" t="s">
        <v>35897</v>
      </c>
      <c r="C11163" s="120" t="s">
        <v>14867</v>
      </c>
      <c r="D11163" s="33" t="s">
        <v>841</v>
      </c>
      <c r="E11163" s="51" t="s">
        <v>839</v>
      </c>
      <c r="F11163" s="121" t="s">
        <v>2971</v>
      </c>
      <c r="G11163" s="98" t="str">
        <f>HYPERLINK("http://mirror.ff7data.com.ar/ff7/data/battle/battle.lgp/hiaa.png","View Picture")</f>
        <v>View Picture</v>
      </c>
      <c r="H11163" s="46" t="s">
        <v>43953</v>
      </c>
    </row>
    <row r="11164">
      <c r="A11164" s="55"/>
      <c r="B11164" s="119" t="s">
        <v>34641</v>
      </c>
      <c r="C11164" s="120" t="s">
        <v>9973</v>
      </c>
      <c r="D11164" s="33" t="s">
        <v>689</v>
      </c>
      <c r="E11164" s="51" t="s">
        <v>688</v>
      </c>
      <c r="F11164" s="121" t="s">
        <v>2971</v>
      </c>
      <c r="G11164" s="98" t="str">
        <f>HYPERLINK("http://mirror.ff7data.com.ar/ff7/data/battle/battle.lgp/ghaa.png","View Picture")</f>
        <v>View Picture</v>
      </c>
      <c r="H11164" s="46" t="s">
        <v>43954</v>
      </c>
    </row>
    <row r="11165">
      <c r="A11165" s="21"/>
      <c r="B11165" s="119" t="s">
        <v>6787</v>
      </c>
      <c r="C11165" s="120" t="s">
        <v>6789</v>
      </c>
      <c r="D11165" s="33" t="s">
        <v>140</v>
      </c>
      <c r="E11165" s="51" t="s">
        <v>138</v>
      </c>
      <c r="F11165" s="121" t="s">
        <v>2971</v>
      </c>
      <c r="G11165" s="98" t="str">
        <f>HYPERLINK("http://mirror.ff7data.com.ar/ff7/data/battle/battle.lgp/azaa.png","View Picture")</f>
        <v>View Picture</v>
      </c>
      <c r="H11165" s="46" t="s">
        <v>43954</v>
      </c>
    </row>
    <row r="11166">
      <c r="A11166" s="55"/>
      <c r="B11166" s="119" t="s">
        <v>32528</v>
      </c>
      <c r="C11166" s="120" t="s">
        <v>3980</v>
      </c>
      <c r="D11166" s="33" t="s">
        <v>613</v>
      </c>
      <c r="E11166" s="51" t="s">
        <v>612</v>
      </c>
      <c r="F11166" s="121" t="s">
        <v>2971</v>
      </c>
      <c r="G11166" s="98" t="str">
        <f>HYPERLINK("http://mirror.ff7data.com.ar/ff7/data/battle/battle.lgp/fsaa.png","View Picture")</f>
        <v>View Picture</v>
      </c>
      <c r="H11166" s="46" t="s">
        <v>43954</v>
      </c>
    </row>
    <row r="11167">
      <c r="A11167" s="21"/>
      <c r="B11167" s="119" t="s">
        <v>11933</v>
      </c>
      <c r="C11167" s="120" t="s">
        <v>4196</v>
      </c>
      <c r="D11167" s="33" t="s">
        <v>43965</v>
      </c>
      <c r="E11167" s="51" t="s">
        <v>288</v>
      </c>
      <c r="F11167" s="121" t="s">
        <v>2971</v>
      </c>
      <c r="G11167" s="98" t="str">
        <f>HYPERLINK("http://mirror.ff7data.com.ar/ff7/data/battle/battle.lgp/ceaa.png","View Picture")</f>
        <v>View Picture</v>
      </c>
      <c r="H11167" s="46" t="s">
        <v>43953</v>
      </c>
    </row>
    <row r="11168">
      <c r="A11168" s="21"/>
      <c r="B11168" s="119" t="s">
        <v>7241</v>
      </c>
      <c r="C11168" s="120" t="s">
        <v>6611</v>
      </c>
      <c r="D11168" s="33" t="s">
        <v>186</v>
      </c>
      <c r="E11168" s="51" t="s">
        <v>185</v>
      </c>
      <c r="F11168" s="121" t="s">
        <v>2971</v>
      </c>
      <c r="G11168" s="98" t="str">
        <f>HYPERLINK("http://mirror.ff7data.com.ar/ff7/data/battle/battle.lgp/bdaa.png","View Picture")</f>
        <v>View Picture</v>
      </c>
      <c r="H11168" s="46" t="s">
        <v>43953</v>
      </c>
    </row>
    <row r="11169">
      <c r="A11169" s="21"/>
      <c r="B11169" s="119" t="s">
        <v>11206</v>
      </c>
      <c r="C11169" s="120" t="s">
        <v>11208</v>
      </c>
      <c r="D11169" s="33" t="s">
        <v>271</v>
      </c>
      <c r="E11169" s="51" t="s">
        <v>270</v>
      </c>
      <c r="F11169" s="121" t="s">
        <v>2971</v>
      </c>
      <c r="G11169" s="98" t="str">
        <f>HYPERLINK("http://mirror.ff7data.com.ar/ff7/data/battle/battle.lgp/byaa.png","View Picture")</f>
        <v>View Picture</v>
      </c>
      <c r="H11169" s="46" t="s">
        <v>43954</v>
      </c>
    </row>
    <row r="11170">
      <c r="A11170" s="21"/>
      <c r="B11170" s="119" t="s">
        <v>6610</v>
      </c>
      <c r="C11170" s="120" t="s">
        <v>6611</v>
      </c>
      <c r="D11170" s="33" t="s">
        <v>135</v>
      </c>
      <c r="E11170" s="51" t="s">
        <v>133</v>
      </c>
      <c r="F11170" s="121" t="s">
        <v>2971</v>
      </c>
      <c r="G11170" s="98" t="str">
        <f>HYPERLINK("http://mirror.ff7data.com.ar/ff7/data/battle/battle.lgp/ayaa.png","View Picture")</f>
        <v>View Picture</v>
      </c>
      <c r="H11170" s="46" t="s">
        <v>43954</v>
      </c>
    </row>
    <row r="11171">
      <c r="A11171" s="21"/>
      <c r="B11171" s="119" t="s">
        <v>11750</v>
      </c>
      <c r="C11171" s="120" t="s">
        <v>11751</v>
      </c>
      <c r="D11171" s="33" t="s">
        <v>286</v>
      </c>
      <c r="E11171" s="51" t="s">
        <v>285</v>
      </c>
      <c r="F11171" s="121" t="s">
        <v>2971</v>
      </c>
      <c r="G11171" s="98" t="str">
        <f>HYPERLINK("http://mirror.ff7data.com.ar/ff7/data/battle/battle.lgp/cdaa.png","View Picture")</f>
        <v>View Picture</v>
      </c>
      <c r="H11171" s="46" t="s">
        <v>43954</v>
      </c>
    </row>
    <row r="11172">
      <c r="A11172" s="55"/>
      <c r="B11172" s="119" t="s">
        <v>31264</v>
      </c>
      <c r="C11172" s="120" t="s">
        <v>3557</v>
      </c>
      <c r="D11172" s="33" t="s">
        <v>590</v>
      </c>
      <c r="E11172" s="51" t="s">
        <v>588</v>
      </c>
      <c r="F11172" s="121" t="s">
        <v>2971</v>
      </c>
      <c r="G11172" s="98" t="str">
        <f>HYPERLINK("http://mirror.ff7data.com.ar/ff7/data/battle/battle.lgp/flaa.png","View Picture")</f>
        <v>View Picture</v>
      </c>
      <c r="H11172" s="46" t="s">
        <v>43954</v>
      </c>
    </row>
    <row r="11173">
      <c r="A11173" s="84"/>
      <c r="B11173" s="119" t="s">
        <v>16746</v>
      </c>
      <c r="C11173" s="120" t="s">
        <v>6802</v>
      </c>
      <c r="D11173" s="33" t="s">
        <v>366</v>
      </c>
      <c r="E11173" s="39" t="s">
        <v>365</v>
      </c>
      <c r="F11173" s="121" t="s">
        <v>2971</v>
      </c>
      <c r="G11173" s="98" t="str">
        <f>HYPERLINK("http://mirror.ff7data.com.ar/ff7/data/battle/battle.lgp/dcaa.png","View Picture")</f>
        <v>View Picture</v>
      </c>
      <c r="H11173" s="46" t="s">
        <v>43954</v>
      </c>
    </row>
    <row r="11174">
      <c r="A11174" s="84"/>
      <c r="B11174" s="119" t="s">
        <v>21668</v>
      </c>
      <c r="C11174" s="120" t="s">
        <v>2989</v>
      </c>
      <c r="D11174" s="33" t="s">
        <v>43966</v>
      </c>
      <c r="E11174" s="51" t="s">
        <v>431</v>
      </c>
      <c r="F11174" s="121" t="s">
        <v>2971</v>
      </c>
      <c r="G11174" s="98" t="str">
        <f>HYPERLINK("http://mirror.ff7data.com.ar/ff7/data/battle/battle.lgp/dvaa.png","View Picture")</f>
        <v>View Picture</v>
      </c>
      <c r="H11174" s="46" t="s">
        <v>43953</v>
      </c>
    </row>
    <row r="11175">
      <c r="A11175" s="55"/>
      <c r="B11175" s="119" t="s">
        <v>28331</v>
      </c>
      <c r="C11175" s="120" t="s">
        <v>6789</v>
      </c>
      <c r="D11175" s="33" t="s">
        <v>552</v>
      </c>
      <c r="E11175" s="51" t="s">
        <v>551</v>
      </c>
      <c r="F11175" s="121" t="s">
        <v>2971</v>
      </c>
      <c r="G11175" s="98" t="str">
        <f>HYPERLINK("http://mirror.ff7data.com.ar/ff7/data/battle/battle.lgp/faaa.png","View Picture")</f>
        <v>View Picture</v>
      </c>
      <c r="H11175" s="46" t="s">
        <v>43954</v>
      </c>
    </row>
    <row r="11176">
      <c r="A11176" s="21"/>
      <c r="B11176" s="119" t="s">
        <v>6338</v>
      </c>
      <c r="C11176" s="120" t="s">
        <v>2989</v>
      </c>
      <c r="D11176" s="33" t="s">
        <v>43967</v>
      </c>
      <c r="E11176" s="51" t="s">
        <v>129</v>
      </c>
      <c r="F11176" s="121" t="s">
        <v>2971</v>
      </c>
      <c r="G11176" s="98" t="str">
        <f>HYPERLINK("http://mirror.ff7data.com.ar/ff7/data/battle/battle.lgp/axaa.png","View Picture")</f>
        <v>View Picture</v>
      </c>
      <c r="H11176" s="46" t="s">
        <v>43954</v>
      </c>
    </row>
    <row r="11177">
      <c r="A11177" s="55"/>
      <c r="B11177" s="119" t="s">
        <v>35372</v>
      </c>
      <c r="C11177" s="120" t="s">
        <v>9973</v>
      </c>
      <c r="D11177" s="33" t="s">
        <v>767</v>
      </c>
      <c r="E11177" s="51" t="s">
        <v>765</v>
      </c>
      <c r="F11177" s="121" t="s">
        <v>2971</v>
      </c>
      <c r="G11177" s="98" t="str">
        <f>HYPERLINK("http://mirror.ff7data.com.ar/ff7/data/battle/battle.lgp/guaa.png","View Picture")</f>
        <v>View Picture</v>
      </c>
      <c r="H11177" s="46" t="s">
        <v>43954</v>
      </c>
    </row>
    <row r="11178">
      <c r="A11178" s="55"/>
      <c r="B11178" s="119" t="s">
        <v>23704</v>
      </c>
      <c r="C11178" s="120" t="s">
        <v>9973</v>
      </c>
      <c r="D11178" s="33" t="s">
        <v>474</v>
      </c>
      <c r="E11178" s="51" t="s">
        <v>473</v>
      </c>
      <c r="F11178" s="121" t="s">
        <v>2971</v>
      </c>
      <c r="G11178" s="98" t="str">
        <f>HYPERLINK("http://mirror.ff7data.com.ar/ff7/data/battle/battle.lgp/egaa.png","View Picture")</f>
        <v>View Picture</v>
      </c>
      <c r="H11178" s="46" t="s">
        <v>43954</v>
      </c>
    </row>
    <row r="11179">
      <c r="A11179" s="55"/>
      <c r="B11179" s="119" t="s">
        <v>25518</v>
      </c>
      <c r="C11179" s="120" t="s">
        <v>2989</v>
      </c>
      <c r="D11179" s="33" t="s">
        <v>500</v>
      </c>
      <c r="E11179" s="51" t="s">
        <v>498</v>
      </c>
      <c r="F11179" s="121" t="s">
        <v>2971</v>
      </c>
      <c r="G11179" s="98" t="str">
        <f>HYPERLINK("http://mirror.ff7data.com.ar/ff7/data/battle/battle.lgp/enaa.png","View Picture")</f>
        <v>View Picture</v>
      </c>
      <c r="H11179" s="46" t="s">
        <v>43959</v>
      </c>
    </row>
    <row r="11180">
      <c r="A11180" s="21"/>
      <c r="B11180" s="119" t="s">
        <v>37584</v>
      </c>
      <c r="C11180" s="120" t="s">
        <v>8241</v>
      </c>
      <c r="D11180" s="33" t="s">
        <v>1205</v>
      </c>
      <c r="E11180" s="51" t="s">
        <v>1203</v>
      </c>
      <c r="F11180" s="121" t="s">
        <v>2971</v>
      </c>
      <c r="G11180" s="98" t="str">
        <f>HYPERLINK("http://mirror.ff7data.com.ar/ff7/data/battle/battle.lgp/jxaa.png","View Picture")</f>
        <v>View Picture</v>
      </c>
      <c r="H11180" s="46" t="s">
        <v>43954</v>
      </c>
    </row>
    <row r="11181">
      <c r="A11181" s="21"/>
      <c r="B11181" s="119" t="s">
        <v>12384</v>
      </c>
      <c r="C11181" s="120" t="s">
        <v>8241</v>
      </c>
      <c r="D11181" s="33" t="s">
        <v>298</v>
      </c>
      <c r="E11181" s="51" t="s">
        <v>297</v>
      </c>
      <c r="F11181" s="121" t="s">
        <v>2971</v>
      </c>
      <c r="G11181" s="98" t="str">
        <f>HYPERLINK("http://mirror.ff7data.com.ar/ff7/data/battle/battle.lgp/chaa.png","View Picture")</f>
        <v>View Picture</v>
      </c>
      <c r="H11181" s="46" t="s">
        <v>43954</v>
      </c>
    </row>
    <row r="11182">
      <c r="A11182" s="55"/>
      <c r="B11182" s="119" t="s">
        <v>25171</v>
      </c>
      <c r="C11182" s="120" t="s">
        <v>6789</v>
      </c>
      <c r="D11182" s="33" t="s">
        <v>495</v>
      </c>
      <c r="E11182" s="51" t="s">
        <v>492</v>
      </c>
      <c r="F11182" s="121" t="s">
        <v>2971</v>
      </c>
      <c r="G11182" s="98" t="str">
        <f>HYPERLINK("http://mirror.ff7data.com.ar/ff7/data/battle/battle.lgp/emaa.png","View Picture")</f>
        <v>View Picture</v>
      </c>
      <c r="H11182" s="46" t="s">
        <v>43954</v>
      </c>
    </row>
    <row r="11183">
      <c r="A11183" s="21"/>
      <c r="B11183" s="119" t="s">
        <v>38353</v>
      </c>
      <c r="C11183" s="120" t="s">
        <v>8004</v>
      </c>
      <c r="D11183" s="33" t="s">
        <v>1330</v>
      </c>
      <c r="E11183" s="51" t="s">
        <v>1328</v>
      </c>
      <c r="F11183" s="121" t="s">
        <v>2971</v>
      </c>
      <c r="G11183" s="98" t="str">
        <f>HYPERLINK("http://mirror.ff7data.com.ar/ff7/data/battle/battle.lgp/kzaa.png","View Picture")</f>
        <v>View Picture</v>
      </c>
      <c r="H11183" s="46" t="s">
        <v>43954</v>
      </c>
    </row>
    <row r="11184">
      <c r="A11184" s="55"/>
      <c r="B11184" s="119" t="s">
        <v>37099</v>
      </c>
      <c r="C11184" s="120" t="s">
        <v>6802</v>
      </c>
      <c r="D11184" s="33" t="s">
        <v>1085</v>
      </c>
      <c r="E11184" s="51" t="s">
        <v>1083</v>
      </c>
      <c r="F11184" s="121" t="s">
        <v>2971</v>
      </c>
      <c r="G11184" s="98" t="str">
        <f>HYPERLINK("http://mirror.ff7data.com.ar/ff7/data/battle/battle.lgp/izaa.png","View Picture")</f>
        <v>View Picture</v>
      </c>
      <c r="H11184" s="46" t="s">
        <v>43954</v>
      </c>
    </row>
    <row r="11185">
      <c r="A11185" s="21"/>
      <c r="B11185" s="119" t="s">
        <v>37779</v>
      </c>
      <c r="C11185" s="120" t="s">
        <v>8004</v>
      </c>
      <c r="D11185" s="33" t="s">
        <v>43968</v>
      </c>
      <c r="E11185" s="51" t="s">
        <v>1244</v>
      </c>
      <c r="F11185" s="121" t="s">
        <v>2971</v>
      </c>
      <c r="G11185" s="98" t="str">
        <f>HYPERLINK("http://mirror.ff7data.com.ar/ff7/data/battle/battle.lgp/kgaa.png","View Picture")</f>
        <v>View Picture</v>
      </c>
      <c r="H11185" s="46" t="s">
        <v>43954</v>
      </c>
    </row>
    <row r="11186">
      <c r="A11186" s="55"/>
      <c r="B11186" s="119" t="s">
        <v>24638</v>
      </c>
      <c r="C11186" s="120" t="s">
        <v>6802</v>
      </c>
      <c r="D11186" s="33" t="s">
        <v>486</v>
      </c>
      <c r="E11186" s="51" t="s">
        <v>485</v>
      </c>
      <c r="F11186" s="121" t="s">
        <v>2971</v>
      </c>
      <c r="G11186" s="98" t="str">
        <f>HYPERLINK("http://mirror.ff7data.com.ar/ff7/data/battle/battle.lgp/ekaa.png","View Picture")</f>
        <v>View Picture</v>
      </c>
      <c r="H11186" s="46" t="s">
        <v>43954</v>
      </c>
    </row>
    <row r="11187">
      <c r="A11187" s="21"/>
      <c r="B11187" s="119" t="s">
        <v>8379</v>
      </c>
      <c r="C11187" s="120" t="s">
        <v>8241</v>
      </c>
      <c r="D11187" s="33" t="s">
        <v>43969</v>
      </c>
      <c r="E11187" s="51" t="s">
        <v>213</v>
      </c>
      <c r="F11187" s="121" t="s">
        <v>2971</v>
      </c>
      <c r="G11187" s="98" t="str">
        <f>HYPERLINK("http://mirror.ff7data.com.ar/ff7/data/battle/battle.lgp/bkaa.png","View Picture")</f>
        <v>View Picture</v>
      </c>
      <c r="H11187" s="46" t="s">
        <v>43959</v>
      </c>
    </row>
    <row r="11188">
      <c r="A11188" s="21"/>
      <c r="B11188" s="119" t="s">
        <v>37899</v>
      </c>
      <c r="C11188" s="120" t="s">
        <v>4468</v>
      </c>
      <c r="D11188" s="33" t="s">
        <v>1262</v>
      </c>
      <c r="E11188" s="51" t="s">
        <v>1261</v>
      </c>
      <c r="F11188" s="121" t="s">
        <v>2971</v>
      </c>
      <c r="G11188" s="98" t="str">
        <f>HYPERLINK("http://mirror.ff7data.com.ar/ff7/data/battle/battle.lgp/kkaa.png","View Picture")</f>
        <v>View Picture</v>
      </c>
      <c r="H11188" s="46" t="s">
        <v>43954</v>
      </c>
    </row>
    <row r="11189">
      <c r="A11189" s="55"/>
      <c r="B11189" s="119" t="s">
        <v>39737</v>
      </c>
      <c r="C11189" s="120" t="s">
        <v>11208</v>
      </c>
      <c r="D11189" s="33" t="s">
        <v>1610</v>
      </c>
      <c r="E11189" s="51" t="s">
        <v>1609</v>
      </c>
      <c r="F11189" s="121" t="s">
        <v>2971</v>
      </c>
      <c r="G11189" s="98" t="str">
        <f>HYPERLINK("http://mirror.ff7data.com.ar/ff7/data/battle/battle.lgp/mzaa.png","View Picture")</f>
        <v>View Picture</v>
      </c>
      <c r="H11189" s="46" t="s">
        <v>43954</v>
      </c>
    </row>
    <row r="11190">
      <c r="A11190" s="55"/>
      <c r="B11190" s="174"/>
    </row>
    <row r="11191">
      <c r="A11191" s="55"/>
      <c r="B11191" s="174"/>
      <c r="D11191" s="47" t="s">
        <v>43970</v>
      </c>
    </row>
    <row r="11192">
      <c r="A11192" s="55"/>
      <c r="B11192" s="174"/>
      <c r="D11192" s="47" t="s">
        <v>43971</v>
      </c>
    </row>
    <row r="11193">
      <c r="A11193" s="55"/>
      <c r="B11193" s="174"/>
    </row>
  </sheetData>
  <mergeCells count="5">
    <mergeCell ref="B2:K2"/>
    <mergeCell ref="B3:C3"/>
    <mergeCell ref="D3:F3"/>
    <mergeCell ref="G3:I3"/>
    <mergeCell ref="B11124:H1112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8.0"/>
    <col customWidth="1" min="2" max="2" width="9.57"/>
    <col customWidth="1" min="3" max="3" width="40.71"/>
    <col customWidth="1" min="4" max="4" width="19.14"/>
    <col customWidth="1" min="5" max="5" width="14.86"/>
    <col customWidth="1" min="6" max="6" width="24.43"/>
    <col customWidth="1" min="7" max="7" width="13.29"/>
    <col customWidth="1" min="8" max="9" width="3.29"/>
    <col customWidth="1" min="10" max="10" width="16.0"/>
  </cols>
  <sheetData>
    <row r="1">
      <c r="A1" s="1" t="s">
        <v>0</v>
      </c>
      <c r="B1" s="4" t="s">
        <v>4</v>
      </c>
      <c r="C1" s="2" t="s">
        <v>5</v>
      </c>
      <c r="D1" s="2" t="s">
        <v>11</v>
      </c>
      <c r="E1" s="2" t="s">
        <v>12</v>
      </c>
      <c r="F1" s="2" t="s">
        <v>7</v>
      </c>
      <c r="G1" s="2" t="s">
        <v>13</v>
      </c>
      <c r="H1" s="8"/>
      <c r="I1" s="8"/>
      <c r="J1" s="4" t="s">
        <v>9</v>
      </c>
    </row>
    <row r="2">
      <c r="A2" s="12"/>
      <c r="B2" s="12"/>
      <c r="C2" s="12"/>
      <c r="D2" s="12"/>
      <c r="E2" s="12"/>
      <c r="F2" s="12"/>
      <c r="G2" s="12"/>
      <c r="H2" s="12"/>
      <c r="I2" s="12"/>
      <c r="J2" s="12"/>
    </row>
    <row r="3">
      <c r="A3" s="129" t="s">
        <v>7532</v>
      </c>
      <c r="B3" s="130" t="s">
        <v>7540</v>
      </c>
      <c r="C3" s="111"/>
      <c r="D3" s="111"/>
      <c r="E3" s="111"/>
      <c r="F3" s="111"/>
      <c r="G3" s="111"/>
      <c r="H3" s="111"/>
      <c r="I3" s="111"/>
      <c r="J3" s="113"/>
    </row>
    <row r="4">
      <c r="A4" s="131" t="s">
        <v>7547</v>
      </c>
      <c r="B4" s="132" t="str">
        <f>HYPERLINK("http://wiki.qhimm.com/FF7/LGP_format","LGP files are the files you actually see on your FF7 folders and they are a compression that holds files like the ones listed below. Link to Qhimm wiki explanation.")</f>
        <v>LGP files are the files you actually see on your FF7 folders and they are a compression that holds files like the ones listed below. Link to Qhimm wiki explanation.</v>
      </c>
      <c r="C4" s="111"/>
      <c r="D4" s="111"/>
      <c r="E4" s="111"/>
      <c r="F4" s="111"/>
      <c r="G4" s="111"/>
      <c r="H4" s="111"/>
      <c r="I4" s="111"/>
      <c r="J4" s="113"/>
    </row>
    <row r="5">
      <c r="A5" s="131" t="s">
        <v>7559</v>
      </c>
      <c r="B5" s="132" t="str">
        <f>HYPERLINK("http://wiki.qhimm.com/PSX/HRC","HRC files are the skeleton of the model, it merges all the polygons and textures. Link to Qhimm wiki explanation (Note is the PSX version).")</f>
        <v>HRC files are the skeleton of the model, it merges all the polygons and textures. Link to Qhimm wiki explanation (Note is the PSX version).</v>
      </c>
      <c r="C5" s="111"/>
      <c r="D5" s="111"/>
      <c r="E5" s="111"/>
      <c r="F5" s="111"/>
      <c r="G5" s="111"/>
      <c r="H5" s="111"/>
      <c r="I5" s="111"/>
      <c r="J5" s="113"/>
    </row>
    <row r="6">
      <c r="A6" s="131" t="s">
        <v>7567</v>
      </c>
      <c r="B6" s="132" t="str">
        <f>HYPERLINK("http://wiki.qhimm.com/FF7/P","P files are polygons of a model, they don't know it's texture, bone or animation. Link to Qhimm wiki explanation.")</f>
        <v>P files are polygons of a model, they don't know it's texture, bone or animation. Link to Qhimm wiki explanation.</v>
      </c>
      <c r="C6" s="111"/>
      <c r="D6" s="111"/>
      <c r="E6" s="111"/>
      <c r="F6" s="111"/>
      <c r="G6" s="111"/>
      <c r="H6" s="111"/>
      <c r="I6" s="111"/>
      <c r="J6" s="113"/>
    </row>
    <row r="7">
      <c r="A7" s="131" t="s">
        <v>7575</v>
      </c>
      <c r="B7" s="132" t="str">
        <f>HYPERLINK("http://wiki.qhimm.com/PSX/RSD","RSD files are the files which references a given polygon and its texture. Link to Qhimm wiki explanation (Note is the PSX version).")</f>
        <v>RSD files are the files which references a given polygon and its texture. Link to Qhimm wiki explanation (Note is the PSX version).</v>
      </c>
      <c r="C7" s="111"/>
      <c r="D7" s="111"/>
      <c r="E7" s="111"/>
      <c r="F7" s="111"/>
      <c r="G7" s="111"/>
      <c r="H7" s="111"/>
      <c r="I7" s="111"/>
      <c r="J7" s="113"/>
    </row>
    <row r="8">
      <c r="A8" s="131" t="s">
        <v>7579</v>
      </c>
      <c r="B8" s="132" t="str">
        <f>HYPERLINK("http://wiki.qhimm.com/FF7/TEX_format","TEX files are textures, these textures can be model textures, font, background etc. Link to Qhimm wiki explanation.")</f>
        <v>TEX files are textures, these textures can be model textures, font, background etc. Link to Qhimm wiki explanation.</v>
      </c>
      <c r="C8" s="111"/>
      <c r="D8" s="111"/>
      <c r="E8" s="111"/>
      <c r="F8" s="111"/>
      <c r="G8" s="111"/>
      <c r="H8" s="111"/>
      <c r="I8" s="111"/>
      <c r="J8" s="113"/>
    </row>
    <row r="9">
      <c r="A9" s="131" t="s">
        <v>7586</v>
      </c>
      <c r="B9" s="133" t="s">
        <v>7587</v>
      </c>
      <c r="C9" s="111"/>
      <c r="D9" s="111"/>
      <c r="E9" s="111"/>
      <c r="F9" s="111"/>
      <c r="G9" s="111"/>
      <c r="H9" s="111"/>
      <c r="I9" s="111"/>
      <c r="J9" s="113"/>
    </row>
    <row r="10">
      <c r="A10" s="34"/>
      <c r="B10" s="34"/>
      <c r="C10" s="34"/>
      <c r="D10" s="34"/>
      <c r="E10" s="34"/>
      <c r="F10" s="34"/>
      <c r="G10" s="34"/>
      <c r="H10" s="34"/>
      <c r="I10" s="34"/>
      <c r="J10" s="34"/>
    </row>
    <row r="11" ht="90.0" customHeight="1">
      <c r="B11" s="19"/>
      <c r="C11" s="47" t="s">
        <v>7594</v>
      </c>
      <c r="E11" s="46" t="s">
        <v>7595</v>
      </c>
    </row>
    <row r="12">
      <c r="A12" s="134" t="s">
        <v>152</v>
      </c>
      <c r="B12" s="68"/>
      <c r="C12" s="31"/>
    </row>
    <row r="13">
      <c r="A13" s="56" t="s">
        <v>7602</v>
      </c>
      <c r="B13" s="82"/>
      <c r="C13" s="33" t="s">
        <v>7608</v>
      </c>
      <c r="E13" s="46" t="s">
        <v>7609</v>
      </c>
      <c r="F13" s="46" t="s">
        <v>7612</v>
      </c>
    </row>
    <row r="14">
      <c r="A14" s="56" t="s">
        <v>7614</v>
      </c>
      <c r="B14" s="82"/>
      <c r="C14" s="33" t="s">
        <v>7615</v>
      </c>
      <c r="E14" s="46" t="s">
        <v>7616</v>
      </c>
    </row>
    <row r="15">
      <c r="A15" s="56" t="s">
        <v>7617</v>
      </c>
      <c r="B15" s="82"/>
      <c r="C15" s="33" t="s">
        <v>7615</v>
      </c>
      <c r="E15" s="46" t="s">
        <v>7618</v>
      </c>
    </row>
    <row r="16">
      <c r="A16" s="56" t="s">
        <v>7619</v>
      </c>
      <c r="B16" s="82"/>
      <c r="C16" s="33" t="s">
        <v>7620</v>
      </c>
      <c r="E16" s="46" t="s">
        <v>7616</v>
      </c>
    </row>
    <row r="17">
      <c r="A17" s="56" t="s">
        <v>7621</v>
      </c>
      <c r="B17" s="82"/>
      <c r="C17" s="33" t="s">
        <v>7620</v>
      </c>
      <c r="E17" s="46" t="s">
        <v>7618</v>
      </c>
    </row>
    <row r="18">
      <c r="A18" s="56" t="s">
        <v>7622</v>
      </c>
      <c r="B18" s="82"/>
      <c r="C18" s="33" t="s">
        <v>3771</v>
      </c>
      <c r="E18" s="46" t="s">
        <v>7616</v>
      </c>
    </row>
    <row r="19">
      <c r="A19" s="56" t="s">
        <v>7625</v>
      </c>
      <c r="B19" s="82"/>
      <c r="C19" s="33" t="s">
        <v>3771</v>
      </c>
      <c r="E19" s="46" t="s">
        <v>7618</v>
      </c>
    </row>
    <row r="20">
      <c r="A20" s="56" t="s">
        <v>7627</v>
      </c>
      <c r="B20" s="79"/>
      <c r="C20" s="33" t="s">
        <v>7628</v>
      </c>
      <c r="E20" s="46" t="s">
        <v>1348</v>
      </c>
    </row>
    <row r="21">
      <c r="A21" s="56" t="s">
        <v>7629</v>
      </c>
      <c r="B21" s="79"/>
      <c r="C21" s="33" t="s">
        <v>7628</v>
      </c>
      <c r="E21" s="46" t="s">
        <v>1348</v>
      </c>
    </row>
    <row r="22">
      <c r="A22" s="56" t="s">
        <v>7630</v>
      </c>
      <c r="B22" s="79"/>
      <c r="C22" s="33" t="s">
        <v>7631</v>
      </c>
      <c r="E22" s="46" t="s">
        <v>1348</v>
      </c>
    </row>
    <row r="23">
      <c r="A23" s="56" t="s">
        <v>7632</v>
      </c>
      <c r="B23" s="21"/>
      <c r="C23" s="33" t="s">
        <v>7635</v>
      </c>
      <c r="E23" s="46" t="s">
        <v>7616</v>
      </c>
    </row>
    <row r="24">
      <c r="A24" s="56" t="s">
        <v>7637</v>
      </c>
      <c r="B24" s="21"/>
      <c r="C24" s="33" t="s">
        <v>7635</v>
      </c>
      <c r="E24" s="46" t="s">
        <v>7618</v>
      </c>
    </row>
    <row r="25">
      <c r="A25" s="56" t="s">
        <v>7638</v>
      </c>
      <c r="B25" s="21"/>
      <c r="C25" s="33" t="s">
        <v>7639</v>
      </c>
      <c r="E25" s="46" t="s">
        <v>7616</v>
      </c>
    </row>
    <row r="26">
      <c r="A26" s="56" t="s">
        <v>7640</v>
      </c>
      <c r="B26" s="21"/>
      <c r="C26" s="33" t="s">
        <v>7639</v>
      </c>
      <c r="E26" s="46" t="s">
        <v>7618</v>
      </c>
    </row>
    <row r="27">
      <c r="A27" s="56" t="s">
        <v>7641</v>
      </c>
      <c r="B27" s="21"/>
      <c r="C27" s="33" t="s">
        <v>7642</v>
      </c>
      <c r="E27" s="46" t="s">
        <v>7616</v>
      </c>
    </row>
    <row r="28">
      <c r="A28" s="56" t="s">
        <v>7643</v>
      </c>
      <c r="B28" s="21"/>
      <c r="C28" s="33" t="s">
        <v>7642</v>
      </c>
      <c r="E28" s="46" t="s">
        <v>7618</v>
      </c>
    </row>
    <row r="29">
      <c r="A29" s="56" t="s">
        <v>7644</v>
      </c>
      <c r="B29" s="21"/>
      <c r="C29" s="33" t="s">
        <v>7635</v>
      </c>
      <c r="E29" s="46" t="s">
        <v>7616</v>
      </c>
    </row>
    <row r="30">
      <c r="A30" s="56" t="s">
        <v>7645</v>
      </c>
      <c r="B30" s="21"/>
      <c r="C30" s="33" t="s">
        <v>7635</v>
      </c>
      <c r="E30" s="46" t="s">
        <v>7618</v>
      </c>
    </row>
    <row r="31">
      <c r="A31" s="56" t="s">
        <v>7648</v>
      </c>
      <c r="B31" s="21"/>
      <c r="C31" s="33" t="s">
        <v>7639</v>
      </c>
      <c r="E31" s="46" t="s">
        <v>7616</v>
      </c>
    </row>
    <row r="32">
      <c r="A32" s="56" t="s">
        <v>7649</v>
      </c>
      <c r="B32" s="21"/>
      <c r="C32" s="33" t="s">
        <v>7639</v>
      </c>
      <c r="E32" s="46" t="s">
        <v>7618</v>
      </c>
    </row>
    <row r="33">
      <c r="A33" s="56" t="s">
        <v>7650</v>
      </c>
      <c r="B33" s="21"/>
      <c r="C33" s="33" t="s">
        <v>7642</v>
      </c>
      <c r="E33" s="46" t="s">
        <v>7616</v>
      </c>
    </row>
    <row r="34">
      <c r="A34" s="56" t="s">
        <v>7651</v>
      </c>
      <c r="B34" s="21"/>
      <c r="C34" s="33" t="s">
        <v>7642</v>
      </c>
      <c r="E34" s="46" t="s">
        <v>7618</v>
      </c>
    </row>
    <row r="35">
      <c r="A35" s="56" t="s">
        <v>7652</v>
      </c>
      <c r="B35" s="21"/>
      <c r="C35" s="33" t="s">
        <v>7653</v>
      </c>
      <c r="E35" s="46" t="s">
        <v>7616</v>
      </c>
    </row>
    <row r="36">
      <c r="A36" s="56" t="s">
        <v>7654</v>
      </c>
      <c r="B36" s="21"/>
      <c r="C36" s="33" t="s">
        <v>7653</v>
      </c>
      <c r="E36" s="46" t="s">
        <v>7618</v>
      </c>
    </row>
    <row r="37">
      <c r="A37" s="56" t="s">
        <v>7655</v>
      </c>
      <c r="B37" s="21"/>
      <c r="C37" s="33" t="s">
        <v>7656</v>
      </c>
      <c r="E37" s="46" t="s">
        <v>7616</v>
      </c>
    </row>
    <row r="38">
      <c r="A38" s="56" t="s">
        <v>7658</v>
      </c>
      <c r="B38" s="21"/>
      <c r="C38" s="33" t="s">
        <v>7656</v>
      </c>
      <c r="E38" s="46" t="s">
        <v>7618</v>
      </c>
    </row>
    <row r="39">
      <c r="A39" s="56" t="s">
        <v>7661</v>
      </c>
      <c r="B39" s="21"/>
      <c r="C39" s="33" t="s">
        <v>3924</v>
      </c>
      <c r="E39" s="46" t="s">
        <v>7616</v>
      </c>
    </row>
    <row r="40">
      <c r="A40" s="56" t="s">
        <v>7662</v>
      </c>
      <c r="B40" s="21"/>
      <c r="C40" s="33" t="s">
        <v>3924</v>
      </c>
      <c r="E40" s="46" t="s">
        <v>7618</v>
      </c>
    </row>
    <row r="41">
      <c r="A41" s="56" t="s">
        <v>7663</v>
      </c>
      <c r="B41" s="21"/>
      <c r="C41" s="33" t="s">
        <v>7653</v>
      </c>
      <c r="E41" s="46" t="s">
        <v>7616</v>
      </c>
    </row>
    <row r="42">
      <c r="A42" s="56" t="s">
        <v>7664</v>
      </c>
      <c r="B42" s="21"/>
      <c r="C42" s="33" t="s">
        <v>7653</v>
      </c>
      <c r="E42" s="46" t="s">
        <v>7618</v>
      </c>
    </row>
    <row r="43">
      <c r="A43" s="56" t="s">
        <v>7665</v>
      </c>
      <c r="B43" s="21"/>
      <c r="C43" s="33" t="s">
        <v>7656</v>
      </c>
      <c r="E43" s="46" t="s">
        <v>7616</v>
      </c>
    </row>
    <row r="44">
      <c r="A44" s="56" t="s">
        <v>7666</v>
      </c>
      <c r="B44" s="21"/>
      <c r="C44" s="33" t="s">
        <v>7656</v>
      </c>
      <c r="E44" s="46" t="s">
        <v>7618</v>
      </c>
    </row>
    <row r="45">
      <c r="A45" s="56" t="s">
        <v>7667</v>
      </c>
      <c r="B45" s="21"/>
      <c r="C45" s="33" t="s">
        <v>3924</v>
      </c>
      <c r="E45" s="46" t="s">
        <v>7616</v>
      </c>
    </row>
    <row r="46">
      <c r="A46" s="56" t="s">
        <v>7671</v>
      </c>
      <c r="B46" s="21"/>
      <c r="C46" s="33" t="s">
        <v>3924</v>
      </c>
      <c r="E46" s="46" t="s">
        <v>7618</v>
      </c>
    </row>
    <row r="47">
      <c r="A47" s="56" t="s">
        <v>7672</v>
      </c>
      <c r="B47" s="55"/>
      <c r="C47" s="33" t="s">
        <v>1414</v>
      </c>
      <c r="E47" s="46" t="s">
        <v>3366</v>
      </c>
    </row>
    <row r="48">
      <c r="A48" s="56" t="s">
        <v>7673</v>
      </c>
      <c r="B48" s="55"/>
      <c r="C48" s="33" t="s">
        <v>1414</v>
      </c>
      <c r="E48" s="46" t="s">
        <v>3366</v>
      </c>
    </row>
    <row r="49">
      <c r="A49" s="56" t="s">
        <v>7674</v>
      </c>
      <c r="B49" s="55"/>
      <c r="C49" s="33" t="s">
        <v>1775</v>
      </c>
      <c r="E49" s="46" t="s">
        <v>3366</v>
      </c>
    </row>
    <row r="50">
      <c r="A50" s="56" t="s">
        <v>7675</v>
      </c>
      <c r="B50" s="82"/>
      <c r="C50" s="33" t="s">
        <v>7676</v>
      </c>
      <c r="E50" s="46" t="s">
        <v>7609</v>
      </c>
    </row>
    <row r="51">
      <c r="A51" s="56" t="s">
        <v>7678</v>
      </c>
      <c r="B51" s="82"/>
      <c r="C51" s="33" t="s">
        <v>7680</v>
      </c>
      <c r="E51" s="46" t="s">
        <v>7616</v>
      </c>
    </row>
    <row r="52">
      <c r="A52" s="56" t="s">
        <v>7682</v>
      </c>
      <c r="B52" s="82"/>
      <c r="C52" s="33" t="s">
        <v>7680</v>
      </c>
      <c r="E52" s="46" t="s">
        <v>7618</v>
      </c>
    </row>
    <row r="53">
      <c r="A53" s="56" t="s">
        <v>7683</v>
      </c>
      <c r="B53" s="82"/>
      <c r="C53" s="33" t="s">
        <v>7684</v>
      </c>
      <c r="E53" s="46" t="s">
        <v>7616</v>
      </c>
    </row>
    <row r="54">
      <c r="A54" s="56" t="s">
        <v>7685</v>
      </c>
      <c r="B54" s="82"/>
      <c r="C54" s="33" t="s">
        <v>7684</v>
      </c>
      <c r="E54" s="46" t="s">
        <v>7618</v>
      </c>
    </row>
    <row r="55">
      <c r="A55" s="56" t="s">
        <v>7686</v>
      </c>
      <c r="B55" s="82"/>
      <c r="C55" s="33" t="s">
        <v>7397</v>
      </c>
      <c r="E55" s="46" t="s">
        <v>7616</v>
      </c>
    </row>
    <row r="56">
      <c r="A56" s="56" t="s">
        <v>7687</v>
      </c>
      <c r="B56" s="82"/>
      <c r="C56" s="33" t="s">
        <v>7397</v>
      </c>
      <c r="E56" s="46" t="s">
        <v>7618</v>
      </c>
    </row>
    <row r="57">
      <c r="A57" s="56" t="s">
        <v>7688</v>
      </c>
      <c r="B57" s="79"/>
      <c r="C57" s="33" t="s">
        <v>7689</v>
      </c>
      <c r="E57" s="46" t="s">
        <v>1348</v>
      </c>
    </row>
    <row r="58">
      <c r="A58" s="56" t="s">
        <v>7690</v>
      </c>
      <c r="B58" s="79"/>
      <c r="C58" s="33" t="s">
        <v>7689</v>
      </c>
      <c r="E58" s="46" t="s">
        <v>1348</v>
      </c>
    </row>
    <row r="59">
      <c r="A59" s="56" t="s">
        <v>7692</v>
      </c>
      <c r="B59" s="79"/>
      <c r="C59" s="33" t="s">
        <v>7694</v>
      </c>
      <c r="E59" s="46" t="s">
        <v>1348</v>
      </c>
    </row>
    <row r="60">
      <c r="A60" s="56" t="s">
        <v>7695</v>
      </c>
      <c r="B60" s="82"/>
      <c r="C60" s="33" t="s">
        <v>7697</v>
      </c>
      <c r="E60" s="46" t="s">
        <v>7616</v>
      </c>
    </row>
    <row r="61">
      <c r="A61" s="56" t="s">
        <v>7698</v>
      </c>
      <c r="B61" s="82"/>
      <c r="C61" s="33" t="s">
        <v>7697</v>
      </c>
      <c r="E61" s="46" t="s">
        <v>7618</v>
      </c>
    </row>
    <row r="62">
      <c r="A62" s="56" t="s">
        <v>7699</v>
      </c>
      <c r="B62" s="21"/>
      <c r="C62" s="33" t="s">
        <v>7700</v>
      </c>
      <c r="E62" s="46" t="s">
        <v>7616</v>
      </c>
    </row>
    <row r="63">
      <c r="A63" s="56" t="s">
        <v>7701</v>
      </c>
      <c r="B63" s="21"/>
      <c r="C63" s="33" t="s">
        <v>7700</v>
      </c>
      <c r="E63" s="46" t="s">
        <v>7618</v>
      </c>
    </row>
    <row r="64">
      <c r="A64" s="56" t="s">
        <v>7702</v>
      </c>
      <c r="B64" s="21"/>
      <c r="C64" s="33" t="s">
        <v>7703</v>
      </c>
      <c r="E64" s="46" t="s">
        <v>7616</v>
      </c>
    </row>
    <row r="65">
      <c r="A65" s="56" t="s">
        <v>7704</v>
      </c>
      <c r="B65" s="21"/>
      <c r="C65" s="33" t="s">
        <v>7703</v>
      </c>
      <c r="E65" s="46" t="s">
        <v>7618</v>
      </c>
    </row>
    <row r="66">
      <c r="A66" s="56" t="s">
        <v>7705</v>
      </c>
      <c r="B66" s="21"/>
      <c r="C66" s="33" t="s">
        <v>7707</v>
      </c>
      <c r="E66" s="46" t="s">
        <v>7616</v>
      </c>
    </row>
    <row r="67">
      <c r="A67" s="56" t="s">
        <v>7709</v>
      </c>
      <c r="B67" s="21"/>
      <c r="C67" s="33" t="s">
        <v>7707</v>
      </c>
      <c r="E67" s="46" t="s">
        <v>7618</v>
      </c>
    </row>
    <row r="68">
      <c r="A68" s="56" t="s">
        <v>7710</v>
      </c>
      <c r="B68" s="21"/>
      <c r="C68" s="33" t="s">
        <v>7712</v>
      </c>
      <c r="E68" s="46" t="s">
        <v>7616</v>
      </c>
    </row>
    <row r="69">
      <c r="A69" s="56" t="s">
        <v>7713</v>
      </c>
      <c r="B69" s="21"/>
      <c r="C69" s="33" t="s">
        <v>7712</v>
      </c>
      <c r="E69" s="46" t="s">
        <v>7618</v>
      </c>
    </row>
    <row r="70">
      <c r="A70" s="56" t="s">
        <v>7714</v>
      </c>
      <c r="B70" s="21"/>
      <c r="C70" s="33" t="s">
        <v>7700</v>
      </c>
      <c r="E70" s="46" t="s">
        <v>7616</v>
      </c>
    </row>
    <row r="71">
      <c r="A71" s="56" t="s">
        <v>7715</v>
      </c>
      <c r="B71" s="21"/>
      <c r="C71" s="33" t="s">
        <v>7700</v>
      </c>
      <c r="E71" s="46" t="s">
        <v>7618</v>
      </c>
    </row>
    <row r="72">
      <c r="A72" s="56" t="s">
        <v>7716</v>
      </c>
      <c r="B72" s="21"/>
      <c r="C72" s="33" t="s">
        <v>7707</v>
      </c>
      <c r="E72" s="46" t="s">
        <v>7616</v>
      </c>
    </row>
    <row r="73">
      <c r="A73" s="56" t="s">
        <v>7717</v>
      </c>
      <c r="B73" s="21"/>
      <c r="C73" s="33" t="s">
        <v>7707</v>
      </c>
      <c r="E73" s="46" t="s">
        <v>7618</v>
      </c>
    </row>
    <row r="74">
      <c r="A74" s="56" t="s">
        <v>7718</v>
      </c>
      <c r="B74" s="21"/>
      <c r="C74" s="33" t="s">
        <v>7712</v>
      </c>
      <c r="E74" s="46" t="s">
        <v>7616</v>
      </c>
    </row>
    <row r="75">
      <c r="A75" s="56" t="s">
        <v>7721</v>
      </c>
      <c r="B75" s="21"/>
      <c r="C75" s="33" t="s">
        <v>7712</v>
      </c>
      <c r="E75" s="46" t="s">
        <v>7618</v>
      </c>
    </row>
    <row r="76">
      <c r="A76" s="56" t="s">
        <v>7722</v>
      </c>
      <c r="B76" s="21"/>
      <c r="C76" s="33" t="s">
        <v>7723</v>
      </c>
      <c r="E76" s="46" t="s">
        <v>7616</v>
      </c>
    </row>
    <row r="77">
      <c r="A77" s="56" t="s">
        <v>7724</v>
      </c>
      <c r="B77" s="21"/>
      <c r="C77" s="33" t="s">
        <v>7723</v>
      </c>
      <c r="E77" s="46" t="s">
        <v>7618</v>
      </c>
    </row>
    <row r="78">
      <c r="A78" s="56" t="s">
        <v>7725</v>
      </c>
      <c r="B78" s="21"/>
      <c r="C78" s="33" t="s">
        <v>7726</v>
      </c>
      <c r="E78" s="46" t="s">
        <v>7616</v>
      </c>
    </row>
    <row r="79">
      <c r="A79" s="56" t="s">
        <v>7727</v>
      </c>
      <c r="B79" s="21"/>
      <c r="C79" s="33" t="s">
        <v>7726</v>
      </c>
      <c r="E79" s="46" t="s">
        <v>7618</v>
      </c>
    </row>
    <row r="80">
      <c r="A80" s="56" t="s">
        <v>7728</v>
      </c>
      <c r="B80" s="21"/>
      <c r="C80" s="33" t="s">
        <v>7452</v>
      </c>
      <c r="E80" s="46" t="s">
        <v>7616</v>
      </c>
    </row>
    <row r="81">
      <c r="A81" s="56" t="s">
        <v>7729</v>
      </c>
      <c r="B81" s="21"/>
      <c r="C81" s="33" t="s">
        <v>7452</v>
      </c>
      <c r="E81" s="46" t="s">
        <v>7618</v>
      </c>
    </row>
    <row r="82">
      <c r="A82" s="56" t="s">
        <v>7731</v>
      </c>
      <c r="B82" s="21"/>
      <c r="C82" s="33" t="s">
        <v>7723</v>
      </c>
      <c r="E82" s="46" t="s">
        <v>7616</v>
      </c>
    </row>
    <row r="83">
      <c r="A83" s="56" t="s">
        <v>7733</v>
      </c>
      <c r="B83" s="21"/>
      <c r="C83" s="33" t="s">
        <v>7723</v>
      </c>
      <c r="E83" s="46" t="s">
        <v>7618</v>
      </c>
    </row>
    <row r="84">
      <c r="A84" s="56" t="s">
        <v>7734</v>
      </c>
      <c r="B84" s="21"/>
      <c r="C84" s="33" t="s">
        <v>7726</v>
      </c>
      <c r="E84" s="46" t="s">
        <v>7616</v>
      </c>
    </row>
    <row r="85">
      <c r="A85" s="56" t="s">
        <v>7735</v>
      </c>
      <c r="B85" s="21"/>
      <c r="C85" s="33" t="s">
        <v>7726</v>
      </c>
      <c r="E85" s="46" t="s">
        <v>7618</v>
      </c>
    </row>
    <row r="86">
      <c r="A86" s="56" t="s">
        <v>7736</v>
      </c>
      <c r="B86" s="21"/>
      <c r="C86" s="33" t="s">
        <v>7452</v>
      </c>
      <c r="E86" s="46" t="s">
        <v>7616</v>
      </c>
    </row>
    <row r="87">
      <c r="A87" s="56" t="s">
        <v>7737</v>
      </c>
      <c r="B87" s="21"/>
      <c r="C87" s="33" t="s">
        <v>7452</v>
      </c>
      <c r="E87" s="46" t="s">
        <v>7618</v>
      </c>
    </row>
    <row r="88">
      <c r="A88" s="56" t="s">
        <v>7738</v>
      </c>
      <c r="B88" s="55"/>
      <c r="C88" s="33" t="s">
        <v>1775</v>
      </c>
      <c r="E88" s="46" t="s">
        <v>3366</v>
      </c>
    </row>
    <row r="89">
      <c r="A89" s="56" t="s">
        <v>7739</v>
      </c>
      <c r="B89" s="55"/>
      <c r="C89" s="33" t="s">
        <v>1775</v>
      </c>
      <c r="E89" s="46" t="s">
        <v>3366</v>
      </c>
    </row>
    <row r="90">
      <c r="A90" s="56" t="s">
        <v>7742</v>
      </c>
      <c r="B90" s="55"/>
      <c r="C90" s="33" t="s">
        <v>1775</v>
      </c>
      <c r="E90" s="46" t="s">
        <v>3366</v>
      </c>
    </row>
    <row r="91">
      <c r="A91" s="56" t="s">
        <v>7744</v>
      </c>
      <c r="B91" s="82"/>
      <c r="C91" s="33" t="s">
        <v>7745</v>
      </c>
      <c r="E91" s="46" t="s">
        <v>7609</v>
      </c>
    </row>
    <row r="92">
      <c r="A92" s="56" t="s">
        <v>7746</v>
      </c>
      <c r="B92" s="82"/>
      <c r="C92" s="33" t="s">
        <v>7747</v>
      </c>
      <c r="E92" s="46" t="s">
        <v>7616</v>
      </c>
    </row>
    <row r="93">
      <c r="A93" s="56" t="s">
        <v>7748</v>
      </c>
      <c r="B93" s="82"/>
      <c r="C93" s="33" t="s">
        <v>7747</v>
      </c>
      <c r="E93" s="46" t="s">
        <v>7618</v>
      </c>
    </row>
    <row r="94">
      <c r="A94" s="56" t="s">
        <v>7749</v>
      </c>
      <c r="B94" s="82"/>
      <c r="C94" s="33" t="s">
        <v>7750</v>
      </c>
      <c r="E94" s="46" t="s">
        <v>7616</v>
      </c>
    </row>
    <row r="95">
      <c r="A95" s="56" t="s">
        <v>7751</v>
      </c>
      <c r="B95" s="82"/>
      <c r="C95" s="33" t="s">
        <v>7750</v>
      </c>
      <c r="E95" s="46" t="s">
        <v>7618</v>
      </c>
    </row>
    <row r="96">
      <c r="A96" s="56" t="s">
        <v>7752</v>
      </c>
      <c r="B96" s="82"/>
      <c r="C96" s="33" t="s">
        <v>7172</v>
      </c>
      <c r="E96" s="46" t="s">
        <v>7616</v>
      </c>
    </row>
    <row r="97">
      <c r="A97" s="56" t="s">
        <v>7755</v>
      </c>
      <c r="B97" s="82"/>
      <c r="C97" s="33" t="s">
        <v>7172</v>
      </c>
      <c r="E97" s="46" t="s">
        <v>7618</v>
      </c>
    </row>
    <row r="98">
      <c r="A98" s="56" t="s">
        <v>7758</v>
      </c>
      <c r="B98" s="79"/>
      <c r="C98" s="33" t="s">
        <v>7759</v>
      </c>
      <c r="E98" s="46" t="s">
        <v>1348</v>
      </c>
    </row>
    <row r="99">
      <c r="A99" s="56" t="s">
        <v>7760</v>
      </c>
      <c r="B99" s="79"/>
      <c r="C99" s="33" t="s">
        <v>7759</v>
      </c>
      <c r="E99" s="46" t="s">
        <v>1348</v>
      </c>
    </row>
    <row r="100">
      <c r="A100" s="56" t="s">
        <v>7763</v>
      </c>
      <c r="B100" s="79"/>
      <c r="C100" s="33" t="s">
        <v>7764</v>
      </c>
      <c r="E100" s="46" t="s">
        <v>1348</v>
      </c>
    </row>
    <row r="101">
      <c r="A101" s="56" t="s">
        <v>7765</v>
      </c>
      <c r="B101" s="21"/>
      <c r="C101" s="33" t="s">
        <v>7766</v>
      </c>
      <c r="E101" s="46" t="s">
        <v>7616</v>
      </c>
    </row>
    <row r="102">
      <c r="A102" s="56" t="s">
        <v>7767</v>
      </c>
      <c r="B102" s="21"/>
      <c r="C102" s="33" t="s">
        <v>7766</v>
      </c>
      <c r="E102" s="46" t="s">
        <v>7618</v>
      </c>
    </row>
    <row r="103">
      <c r="A103" s="56" t="s">
        <v>7769</v>
      </c>
      <c r="B103" s="21"/>
      <c r="C103" s="33" t="s">
        <v>7770</v>
      </c>
      <c r="E103" s="46" t="s">
        <v>7616</v>
      </c>
    </row>
    <row r="104">
      <c r="A104" s="56" t="s">
        <v>7771</v>
      </c>
      <c r="B104" s="21"/>
      <c r="C104" s="33" t="s">
        <v>7770</v>
      </c>
      <c r="E104" s="46" t="s">
        <v>7618</v>
      </c>
    </row>
    <row r="105">
      <c r="A105" s="56" t="s">
        <v>7772</v>
      </c>
      <c r="B105" s="21"/>
      <c r="C105" s="33" t="s">
        <v>7773</v>
      </c>
      <c r="E105" s="46" t="s">
        <v>7616</v>
      </c>
    </row>
    <row r="106">
      <c r="A106" s="56" t="s">
        <v>7776</v>
      </c>
      <c r="B106" s="21"/>
      <c r="C106" s="33" t="s">
        <v>7773</v>
      </c>
      <c r="E106" s="46" t="s">
        <v>7618</v>
      </c>
    </row>
    <row r="107">
      <c r="A107" s="56" t="s">
        <v>7777</v>
      </c>
      <c r="B107" s="21"/>
      <c r="C107" s="33" t="s">
        <v>7766</v>
      </c>
      <c r="E107" s="46" t="s">
        <v>7616</v>
      </c>
    </row>
    <row r="108">
      <c r="A108" s="56" t="s">
        <v>7778</v>
      </c>
      <c r="B108" s="21"/>
      <c r="C108" s="33" t="s">
        <v>7766</v>
      </c>
      <c r="E108" s="46" t="s">
        <v>7618</v>
      </c>
    </row>
    <row r="109">
      <c r="A109" s="56" t="s">
        <v>7779</v>
      </c>
      <c r="B109" s="21"/>
      <c r="C109" s="33" t="s">
        <v>7770</v>
      </c>
      <c r="E109" s="46" t="s">
        <v>7616</v>
      </c>
    </row>
    <row r="110">
      <c r="A110" s="56" t="s">
        <v>7780</v>
      </c>
      <c r="B110" s="21"/>
      <c r="C110" s="33" t="s">
        <v>7770</v>
      </c>
      <c r="E110" s="46" t="s">
        <v>7618</v>
      </c>
    </row>
    <row r="111">
      <c r="A111" s="56" t="s">
        <v>7782</v>
      </c>
      <c r="B111" s="21"/>
      <c r="C111" s="33" t="s">
        <v>7773</v>
      </c>
      <c r="E111" s="46" t="s">
        <v>7616</v>
      </c>
    </row>
    <row r="112">
      <c r="A112" s="56" t="s">
        <v>7784</v>
      </c>
      <c r="B112" s="21"/>
      <c r="C112" s="33" t="s">
        <v>7773</v>
      </c>
      <c r="E112" s="46" t="s">
        <v>7618</v>
      </c>
    </row>
    <row r="113">
      <c r="A113" s="56" t="s">
        <v>7785</v>
      </c>
      <c r="B113" s="21"/>
      <c r="C113" s="33" t="s">
        <v>7786</v>
      </c>
      <c r="E113" s="46" t="s">
        <v>7616</v>
      </c>
    </row>
    <row r="114">
      <c r="A114" s="56" t="s">
        <v>7787</v>
      </c>
      <c r="B114" s="21"/>
      <c r="C114" s="33" t="s">
        <v>7786</v>
      </c>
      <c r="E114" s="46" t="s">
        <v>7618</v>
      </c>
    </row>
    <row r="115">
      <c r="A115" s="56" t="s">
        <v>7788</v>
      </c>
      <c r="B115" s="21"/>
      <c r="C115" s="33" t="s">
        <v>7789</v>
      </c>
      <c r="E115" s="46" t="s">
        <v>7616</v>
      </c>
    </row>
    <row r="116">
      <c r="A116" s="56" t="s">
        <v>7791</v>
      </c>
      <c r="B116" s="21"/>
      <c r="C116" s="33" t="s">
        <v>7789</v>
      </c>
      <c r="E116" s="46" t="s">
        <v>7618</v>
      </c>
    </row>
    <row r="117">
      <c r="A117" s="56" t="s">
        <v>7792</v>
      </c>
      <c r="B117" s="21"/>
      <c r="C117" s="33" t="s">
        <v>7300</v>
      </c>
      <c r="E117" s="46" t="s">
        <v>7616</v>
      </c>
    </row>
    <row r="118">
      <c r="A118" s="56" t="s">
        <v>7793</v>
      </c>
      <c r="B118" s="21"/>
      <c r="C118" s="33" t="s">
        <v>7300</v>
      </c>
      <c r="E118" s="46" t="s">
        <v>7618</v>
      </c>
    </row>
    <row r="119">
      <c r="A119" s="56" t="s">
        <v>7795</v>
      </c>
      <c r="B119" s="21"/>
      <c r="C119" s="33" t="s">
        <v>7786</v>
      </c>
      <c r="E119" s="46" t="s">
        <v>7616</v>
      </c>
    </row>
    <row r="120">
      <c r="A120" s="56" t="s">
        <v>7796</v>
      </c>
      <c r="B120" s="21"/>
      <c r="C120" s="33" t="s">
        <v>7786</v>
      </c>
      <c r="E120" s="46" t="s">
        <v>7618</v>
      </c>
    </row>
    <row r="121">
      <c r="A121" s="56" t="s">
        <v>7797</v>
      </c>
      <c r="B121" s="21"/>
      <c r="C121" s="33" t="s">
        <v>7789</v>
      </c>
      <c r="E121" s="46" t="s">
        <v>7616</v>
      </c>
    </row>
    <row r="122">
      <c r="A122" s="56" t="s">
        <v>7798</v>
      </c>
      <c r="B122" s="21"/>
      <c r="C122" s="33" t="s">
        <v>7789</v>
      </c>
      <c r="E122" s="46" t="s">
        <v>7618</v>
      </c>
    </row>
    <row r="123">
      <c r="A123" s="56" t="s">
        <v>7800</v>
      </c>
      <c r="B123" s="21"/>
      <c r="C123" s="33" t="s">
        <v>7300</v>
      </c>
      <c r="E123" s="46" t="s">
        <v>7616</v>
      </c>
    </row>
    <row r="124">
      <c r="A124" s="56" t="s">
        <v>7802</v>
      </c>
      <c r="B124" s="21"/>
      <c r="C124" s="33" t="s">
        <v>7300</v>
      </c>
      <c r="E124" s="46" t="s">
        <v>7618</v>
      </c>
    </row>
    <row r="125">
      <c r="A125" s="56" t="s">
        <v>7803</v>
      </c>
      <c r="B125" s="55"/>
      <c r="C125" s="33" t="s">
        <v>1410</v>
      </c>
      <c r="E125" s="46" t="s">
        <v>3366</v>
      </c>
    </row>
    <row r="126">
      <c r="A126" s="56" t="s">
        <v>7804</v>
      </c>
      <c r="B126" s="55"/>
      <c r="C126" s="33" t="s">
        <v>1410</v>
      </c>
      <c r="E126" s="46" t="s">
        <v>3366</v>
      </c>
    </row>
    <row r="127">
      <c r="A127" s="56" t="s">
        <v>7805</v>
      </c>
      <c r="B127" s="55"/>
      <c r="C127" s="33" t="s">
        <v>1791</v>
      </c>
      <c r="E127" s="46" t="s">
        <v>3366</v>
      </c>
    </row>
    <row r="128">
      <c r="A128" s="56" t="s">
        <v>7808</v>
      </c>
      <c r="B128" s="82"/>
      <c r="C128" s="33" t="s">
        <v>7809</v>
      </c>
      <c r="E128" s="46" t="s">
        <v>7609</v>
      </c>
    </row>
    <row r="129">
      <c r="A129" s="56" t="s">
        <v>7810</v>
      </c>
      <c r="B129" s="82"/>
      <c r="C129" s="33" t="s">
        <v>7811</v>
      </c>
      <c r="E129" s="46" t="s">
        <v>7616</v>
      </c>
    </row>
    <row r="130">
      <c r="A130" s="56" t="s">
        <v>7812</v>
      </c>
      <c r="B130" s="82"/>
      <c r="C130" s="33" t="s">
        <v>7811</v>
      </c>
      <c r="E130" s="46" t="s">
        <v>7618</v>
      </c>
    </row>
    <row r="131">
      <c r="A131" s="56" t="s">
        <v>7813</v>
      </c>
      <c r="B131" s="82"/>
      <c r="C131" s="33" t="s">
        <v>7814</v>
      </c>
      <c r="E131" s="46" t="s">
        <v>7616</v>
      </c>
    </row>
    <row r="132">
      <c r="A132" s="56" t="s">
        <v>7815</v>
      </c>
      <c r="B132" s="82"/>
      <c r="C132" s="33" t="s">
        <v>7814</v>
      </c>
      <c r="E132" s="46" t="s">
        <v>7618</v>
      </c>
    </row>
    <row r="133">
      <c r="A133" s="56" t="s">
        <v>7817</v>
      </c>
      <c r="B133" s="82"/>
      <c r="C133" s="33" t="s">
        <v>7818</v>
      </c>
      <c r="E133" s="46" t="s">
        <v>7616</v>
      </c>
    </row>
    <row r="134">
      <c r="A134" s="56" t="s">
        <v>7819</v>
      </c>
      <c r="B134" s="82"/>
      <c r="C134" s="33" t="s">
        <v>7818</v>
      </c>
      <c r="E134" s="46" t="s">
        <v>7618</v>
      </c>
    </row>
    <row r="135">
      <c r="A135" s="56" t="s">
        <v>7821</v>
      </c>
      <c r="B135" s="79"/>
      <c r="C135" s="33" t="s">
        <v>7822</v>
      </c>
      <c r="E135" s="46" t="s">
        <v>1348</v>
      </c>
    </row>
    <row r="136">
      <c r="A136" s="56" t="s">
        <v>7823</v>
      </c>
      <c r="B136" s="79"/>
      <c r="C136" s="33" t="s">
        <v>7822</v>
      </c>
      <c r="E136" s="46" t="s">
        <v>1348</v>
      </c>
    </row>
    <row r="137">
      <c r="A137" s="56" t="s">
        <v>7824</v>
      </c>
      <c r="B137" s="79"/>
      <c r="C137" s="33" t="s">
        <v>7825</v>
      </c>
      <c r="E137" s="46" t="s">
        <v>1348</v>
      </c>
    </row>
    <row r="138">
      <c r="A138" s="56" t="s">
        <v>7826</v>
      </c>
      <c r="B138" s="21"/>
      <c r="C138" s="33" t="s">
        <v>7828</v>
      </c>
      <c r="E138" s="46" t="s">
        <v>7616</v>
      </c>
    </row>
    <row r="139">
      <c r="A139" s="56" t="s">
        <v>7829</v>
      </c>
      <c r="B139" s="21"/>
      <c r="C139" s="33" t="s">
        <v>7828</v>
      </c>
      <c r="E139" s="46" t="s">
        <v>7618</v>
      </c>
    </row>
    <row r="140">
      <c r="A140" s="56" t="s">
        <v>7831</v>
      </c>
      <c r="B140" s="21"/>
      <c r="C140" s="33" t="s">
        <v>7828</v>
      </c>
      <c r="E140" s="46" t="s">
        <v>7616</v>
      </c>
    </row>
    <row r="141">
      <c r="A141" s="56" t="s">
        <v>7832</v>
      </c>
      <c r="B141" s="21"/>
      <c r="C141" s="33" t="s">
        <v>7828</v>
      </c>
      <c r="E141" s="46" t="s">
        <v>7618</v>
      </c>
    </row>
    <row r="142">
      <c r="A142" s="56" t="s">
        <v>7833</v>
      </c>
      <c r="B142" s="82"/>
      <c r="C142" s="33" t="s">
        <v>7834</v>
      </c>
      <c r="E142" s="46" t="s">
        <v>7616</v>
      </c>
    </row>
    <row r="143">
      <c r="A143" s="56" t="s">
        <v>7835</v>
      </c>
      <c r="B143" s="82"/>
      <c r="C143" s="33" t="s">
        <v>7834</v>
      </c>
      <c r="E143" s="46" t="s">
        <v>7618</v>
      </c>
    </row>
    <row r="144">
      <c r="A144" s="56" t="s">
        <v>7837</v>
      </c>
      <c r="B144" s="82"/>
      <c r="C144" s="33" t="s">
        <v>7839</v>
      </c>
      <c r="E144" s="46" t="s">
        <v>7616</v>
      </c>
    </row>
    <row r="145">
      <c r="A145" s="56" t="s">
        <v>7840</v>
      </c>
      <c r="B145" s="82"/>
      <c r="C145" s="33" t="s">
        <v>7839</v>
      </c>
      <c r="E145" s="46" t="s">
        <v>7618</v>
      </c>
    </row>
    <row r="146">
      <c r="A146" s="56" t="s">
        <v>7841</v>
      </c>
      <c r="B146" s="82"/>
      <c r="C146" s="33" t="s">
        <v>7842</v>
      </c>
      <c r="E146" s="46" t="s">
        <v>7616</v>
      </c>
    </row>
    <row r="147">
      <c r="A147" s="56" t="s">
        <v>7843</v>
      </c>
      <c r="B147" s="82"/>
      <c r="C147" s="33" t="s">
        <v>7842</v>
      </c>
      <c r="E147" s="46" t="s">
        <v>7618</v>
      </c>
    </row>
    <row r="148">
      <c r="A148" s="56" t="s">
        <v>7844</v>
      </c>
      <c r="B148" s="82"/>
      <c r="C148" s="33" t="s">
        <v>7846</v>
      </c>
      <c r="E148" s="46" t="s">
        <v>7616</v>
      </c>
    </row>
    <row r="149">
      <c r="A149" s="56" t="s">
        <v>7848</v>
      </c>
      <c r="B149" s="82"/>
      <c r="C149" s="33" t="s">
        <v>7846</v>
      </c>
      <c r="E149" s="46" t="s">
        <v>7618</v>
      </c>
    </row>
    <row r="150">
      <c r="A150" s="56" t="s">
        <v>7849</v>
      </c>
      <c r="B150" s="82"/>
      <c r="C150" s="33" t="s">
        <v>7850</v>
      </c>
      <c r="E150" s="46" t="s">
        <v>7616</v>
      </c>
    </row>
    <row r="151">
      <c r="A151" s="56" t="s">
        <v>7851</v>
      </c>
      <c r="B151" s="82"/>
      <c r="C151" s="33" t="s">
        <v>7850</v>
      </c>
      <c r="E151" s="46" t="s">
        <v>7618</v>
      </c>
    </row>
    <row r="152">
      <c r="A152" s="56" t="s">
        <v>7852</v>
      </c>
      <c r="B152" s="21"/>
      <c r="C152" s="33" t="s">
        <v>7853</v>
      </c>
      <c r="E152" s="46" t="s">
        <v>7616</v>
      </c>
    </row>
    <row r="153">
      <c r="A153" s="56" t="s">
        <v>7854</v>
      </c>
      <c r="B153" s="21"/>
      <c r="C153" s="33" t="s">
        <v>7853</v>
      </c>
      <c r="E153" s="46" t="s">
        <v>7618</v>
      </c>
    </row>
    <row r="154">
      <c r="A154" s="56" t="s">
        <v>7857</v>
      </c>
      <c r="B154" s="21"/>
      <c r="C154" s="33" t="s">
        <v>7858</v>
      </c>
      <c r="E154" s="46" t="s">
        <v>7616</v>
      </c>
    </row>
    <row r="155">
      <c r="A155" s="56" t="s">
        <v>7859</v>
      </c>
      <c r="B155" s="21"/>
      <c r="C155" s="33" t="s">
        <v>7858</v>
      </c>
      <c r="E155" s="46" t="s">
        <v>7618</v>
      </c>
    </row>
    <row r="156">
      <c r="A156" s="56" t="s">
        <v>7860</v>
      </c>
      <c r="B156" s="21"/>
      <c r="C156" s="33" t="s">
        <v>7861</v>
      </c>
      <c r="E156" s="46" t="s">
        <v>7616</v>
      </c>
    </row>
    <row r="157">
      <c r="A157" s="56" t="s">
        <v>7862</v>
      </c>
      <c r="B157" s="21"/>
      <c r="C157" s="33" t="s">
        <v>7861</v>
      </c>
      <c r="E157" s="46" t="s">
        <v>7618</v>
      </c>
    </row>
    <row r="158">
      <c r="A158" s="56" t="s">
        <v>7864</v>
      </c>
      <c r="B158" s="21"/>
      <c r="C158" s="33" t="s">
        <v>7853</v>
      </c>
      <c r="E158" s="46" t="s">
        <v>7616</v>
      </c>
    </row>
    <row r="159">
      <c r="A159" s="56" t="s">
        <v>7865</v>
      </c>
      <c r="B159" s="21"/>
      <c r="C159" s="33" t="s">
        <v>7853</v>
      </c>
      <c r="E159" s="46" t="s">
        <v>7618</v>
      </c>
    </row>
    <row r="160">
      <c r="A160" s="56" t="s">
        <v>7867</v>
      </c>
      <c r="B160" s="21"/>
      <c r="C160" s="33" t="s">
        <v>7858</v>
      </c>
      <c r="E160" s="46" t="s">
        <v>7616</v>
      </c>
    </row>
    <row r="161">
      <c r="A161" s="56" t="s">
        <v>7868</v>
      </c>
      <c r="B161" s="21"/>
      <c r="C161" s="33" t="s">
        <v>7858</v>
      </c>
      <c r="E161" s="46" t="s">
        <v>7618</v>
      </c>
    </row>
    <row r="162">
      <c r="A162" s="56" t="s">
        <v>7870</v>
      </c>
      <c r="B162" s="21"/>
      <c r="C162" s="33" t="s">
        <v>7861</v>
      </c>
      <c r="E162" s="46" t="s">
        <v>7616</v>
      </c>
    </row>
    <row r="163">
      <c r="A163" s="56" t="s">
        <v>7872</v>
      </c>
      <c r="B163" s="21"/>
      <c r="C163" s="33" t="s">
        <v>7861</v>
      </c>
      <c r="E163" s="46" t="s">
        <v>7618</v>
      </c>
    </row>
    <row r="164">
      <c r="A164" s="56" t="s">
        <v>7874</v>
      </c>
      <c r="B164" s="55"/>
      <c r="C164" s="33" t="s">
        <v>1791</v>
      </c>
      <c r="E164" s="46" t="s">
        <v>3366</v>
      </c>
    </row>
    <row r="165">
      <c r="A165" s="56" t="s">
        <v>7875</v>
      </c>
      <c r="B165" s="55"/>
      <c r="C165" s="33" t="s">
        <v>1791</v>
      </c>
      <c r="E165" s="46" t="s">
        <v>3366</v>
      </c>
    </row>
    <row r="166">
      <c r="A166" s="56" t="s">
        <v>7876</v>
      </c>
      <c r="B166" s="55"/>
      <c r="C166" s="33" t="s">
        <v>1791</v>
      </c>
      <c r="E166" s="46" t="s">
        <v>3366</v>
      </c>
    </row>
    <row r="167">
      <c r="A167" s="56" t="s">
        <v>7878</v>
      </c>
      <c r="B167" s="55"/>
      <c r="C167" s="33" t="s">
        <v>1791</v>
      </c>
      <c r="E167" s="46" t="s">
        <v>3366</v>
      </c>
    </row>
    <row r="168">
      <c r="A168" s="56" t="s">
        <v>7879</v>
      </c>
      <c r="B168" s="55"/>
      <c r="C168" s="33" t="s">
        <v>1791</v>
      </c>
      <c r="E168" s="46" t="s">
        <v>3366</v>
      </c>
    </row>
    <row r="169">
      <c r="A169" s="56" t="s">
        <v>7881</v>
      </c>
      <c r="B169" s="55"/>
      <c r="C169" s="33" t="s">
        <v>1390</v>
      </c>
      <c r="E169" s="46" t="s">
        <v>3366</v>
      </c>
    </row>
    <row r="170">
      <c r="A170" s="56" t="s">
        <v>7882</v>
      </c>
      <c r="B170" s="55"/>
      <c r="C170" s="33" t="s">
        <v>1390</v>
      </c>
      <c r="E170" s="46" t="s">
        <v>3366</v>
      </c>
    </row>
    <row r="171">
      <c r="A171" s="56" t="s">
        <v>7883</v>
      </c>
      <c r="B171" s="55"/>
      <c r="C171" s="33" t="s">
        <v>1390</v>
      </c>
      <c r="E171" s="46" t="s">
        <v>3366</v>
      </c>
    </row>
    <row r="172">
      <c r="A172" s="56" t="s">
        <v>7885</v>
      </c>
      <c r="B172" s="82"/>
      <c r="C172" s="33" t="s">
        <v>7886</v>
      </c>
      <c r="E172" s="46" t="s">
        <v>7609</v>
      </c>
    </row>
    <row r="173">
      <c r="A173" s="56" t="s">
        <v>7887</v>
      </c>
      <c r="B173" s="82"/>
      <c r="C173" s="33" t="s">
        <v>7889</v>
      </c>
      <c r="E173" s="46" t="s">
        <v>7616</v>
      </c>
    </row>
    <row r="174">
      <c r="A174" s="56" t="s">
        <v>7890</v>
      </c>
      <c r="B174" s="82"/>
      <c r="C174" s="33" t="s">
        <v>7889</v>
      </c>
      <c r="E174" s="46" t="s">
        <v>7618</v>
      </c>
    </row>
    <row r="175">
      <c r="A175" s="56" t="s">
        <v>7891</v>
      </c>
      <c r="B175" s="82"/>
      <c r="C175" s="33" t="s">
        <v>7893</v>
      </c>
      <c r="E175" s="46" t="s">
        <v>7616</v>
      </c>
    </row>
    <row r="176">
      <c r="A176" s="56" t="s">
        <v>7895</v>
      </c>
      <c r="B176" s="82"/>
      <c r="C176" s="33" t="s">
        <v>7893</v>
      </c>
      <c r="E176" s="46" t="s">
        <v>7618</v>
      </c>
    </row>
    <row r="177">
      <c r="A177" s="56" t="s">
        <v>7896</v>
      </c>
      <c r="B177" s="82"/>
      <c r="C177" s="33" t="s">
        <v>7898</v>
      </c>
      <c r="E177" s="46" t="s">
        <v>7616</v>
      </c>
    </row>
    <row r="178">
      <c r="A178" s="56" t="s">
        <v>7899</v>
      </c>
      <c r="B178" s="82"/>
      <c r="C178" s="33" t="s">
        <v>7898</v>
      </c>
      <c r="E178" s="46" t="s">
        <v>7618</v>
      </c>
    </row>
    <row r="179">
      <c r="A179" s="56" t="s">
        <v>7900</v>
      </c>
      <c r="B179" s="79"/>
      <c r="C179" s="33" t="s">
        <v>7901</v>
      </c>
      <c r="E179" s="46" t="s">
        <v>1348</v>
      </c>
    </row>
    <row r="180">
      <c r="A180" s="56" t="s">
        <v>7902</v>
      </c>
      <c r="B180" s="79"/>
      <c r="C180" s="33" t="s">
        <v>7901</v>
      </c>
      <c r="E180" s="46" t="s">
        <v>1348</v>
      </c>
    </row>
    <row r="181">
      <c r="A181" s="56" t="s">
        <v>7904</v>
      </c>
      <c r="B181" s="79"/>
      <c r="C181" s="33" t="s">
        <v>7905</v>
      </c>
      <c r="E181" s="46" t="s">
        <v>1348</v>
      </c>
    </row>
    <row r="182">
      <c r="A182" s="56" t="s">
        <v>7907</v>
      </c>
      <c r="B182" s="21"/>
      <c r="C182" s="33" t="s">
        <v>7908</v>
      </c>
      <c r="E182" s="46" t="s">
        <v>7616</v>
      </c>
    </row>
    <row r="183">
      <c r="A183" s="56" t="s">
        <v>7909</v>
      </c>
      <c r="B183" s="21"/>
      <c r="C183" s="33" t="s">
        <v>7908</v>
      </c>
      <c r="E183" s="46" t="s">
        <v>7618</v>
      </c>
    </row>
    <row r="184">
      <c r="A184" s="56" t="s">
        <v>7910</v>
      </c>
      <c r="B184" s="21"/>
      <c r="C184" s="33" t="s">
        <v>7911</v>
      </c>
      <c r="E184" s="46" t="s">
        <v>7616</v>
      </c>
    </row>
    <row r="185">
      <c r="A185" s="56" t="s">
        <v>7912</v>
      </c>
      <c r="B185" s="21"/>
      <c r="C185" s="33" t="s">
        <v>7911</v>
      </c>
      <c r="E185" s="46" t="s">
        <v>7618</v>
      </c>
    </row>
    <row r="186">
      <c r="A186" s="56" t="s">
        <v>7914</v>
      </c>
      <c r="B186" s="21"/>
      <c r="C186" s="33" t="s">
        <v>7916</v>
      </c>
      <c r="E186" s="46" t="s">
        <v>7616</v>
      </c>
    </row>
    <row r="187">
      <c r="A187" s="56" t="s">
        <v>7917</v>
      </c>
      <c r="B187" s="21"/>
      <c r="C187" s="33" t="s">
        <v>7916</v>
      </c>
      <c r="E187" s="46" t="s">
        <v>7618</v>
      </c>
    </row>
    <row r="188">
      <c r="A188" s="56" t="s">
        <v>7918</v>
      </c>
      <c r="B188" s="21"/>
      <c r="C188" s="33" t="s">
        <v>7908</v>
      </c>
      <c r="E188" s="46" t="s">
        <v>7616</v>
      </c>
    </row>
    <row r="189">
      <c r="A189" s="56" t="s">
        <v>7919</v>
      </c>
      <c r="B189" s="21"/>
      <c r="C189" s="33" t="s">
        <v>7908</v>
      </c>
      <c r="E189" s="46" t="s">
        <v>7618</v>
      </c>
    </row>
    <row r="190">
      <c r="A190" s="56" t="s">
        <v>7920</v>
      </c>
      <c r="B190" s="21"/>
      <c r="C190" s="33" t="s">
        <v>7911</v>
      </c>
      <c r="E190" s="46" t="s">
        <v>7616</v>
      </c>
    </row>
    <row r="191">
      <c r="A191" s="56" t="s">
        <v>7923</v>
      </c>
      <c r="B191" s="21"/>
      <c r="C191" s="33" t="s">
        <v>7911</v>
      </c>
      <c r="E191" s="46" t="s">
        <v>7618</v>
      </c>
    </row>
    <row r="192">
      <c r="A192" s="56" t="s">
        <v>7924</v>
      </c>
      <c r="B192" s="21"/>
      <c r="C192" s="33" t="s">
        <v>7916</v>
      </c>
      <c r="E192" s="46" t="s">
        <v>7616</v>
      </c>
    </row>
    <row r="193">
      <c r="A193" s="56" t="s">
        <v>7925</v>
      </c>
      <c r="B193" s="21"/>
      <c r="C193" s="33" t="s">
        <v>7916</v>
      </c>
      <c r="E193" s="46" t="s">
        <v>7618</v>
      </c>
    </row>
    <row r="194">
      <c r="A194" s="56" t="s">
        <v>7926</v>
      </c>
      <c r="B194" s="21"/>
      <c r="C194" s="33" t="s">
        <v>7927</v>
      </c>
      <c r="E194" s="46" t="s">
        <v>7616</v>
      </c>
    </row>
    <row r="195">
      <c r="A195" s="56" t="s">
        <v>7928</v>
      </c>
      <c r="B195" s="21"/>
      <c r="C195" s="33" t="s">
        <v>7927</v>
      </c>
      <c r="E195" s="46" t="s">
        <v>7618</v>
      </c>
    </row>
    <row r="196">
      <c r="A196" s="56" t="s">
        <v>7931</v>
      </c>
      <c r="B196" s="21"/>
      <c r="C196" s="33" t="s">
        <v>7932</v>
      </c>
      <c r="E196" s="46" t="s">
        <v>7616</v>
      </c>
    </row>
    <row r="197">
      <c r="A197" s="56" t="s">
        <v>7933</v>
      </c>
      <c r="B197" s="21"/>
      <c r="C197" s="33" t="s">
        <v>7932</v>
      </c>
      <c r="E197" s="46" t="s">
        <v>7618</v>
      </c>
    </row>
    <row r="198">
      <c r="A198" s="56" t="s">
        <v>7934</v>
      </c>
      <c r="B198" s="21"/>
      <c r="C198" s="33" t="s">
        <v>7935</v>
      </c>
      <c r="E198" s="46" t="s">
        <v>7616</v>
      </c>
    </row>
    <row r="199">
      <c r="A199" s="56" t="s">
        <v>7936</v>
      </c>
      <c r="B199" s="21"/>
      <c r="C199" s="33" t="s">
        <v>7935</v>
      </c>
      <c r="E199" s="46" t="s">
        <v>7618</v>
      </c>
    </row>
    <row r="200">
      <c r="A200" s="56" t="s">
        <v>7937</v>
      </c>
      <c r="B200" s="21"/>
      <c r="C200" s="33" t="s">
        <v>7927</v>
      </c>
      <c r="E200" s="46" t="s">
        <v>7616</v>
      </c>
    </row>
    <row r="201">
      <c r="A201" s="56" t="s">
        <v>7940</v>
      </c>
      <c r="B201" s="21"/>
      <c r="C201" s="33" t="s">
        <v>7927</v>
      </c>
      <c r="E201" s="46" t="s">
        <v>7618</v>
      </c>
    </row>
    <row r="202">
      <c r="A202" s="56" t="s">
        <v>7941</v>
      </c>
      <c r="B202" s="21"/>
      <c r="C202" s="33" t="s">
        <v>7932</v>
      </c>
      <c r="E202" s="46" t="s">
        <v>7616</v>
      </c>
    </row>
    <row r="203">
      <c r="A203" s="56" t="s">
        <v>7942</v>
      </c>
      <c r="B203" s="21"/>
      <c r="C203" s="33" t="s">
        <v>7932</v>
      </c>
      <c r="E203" s="46" t="s">
        <v>7618</v>
      </c>
    </row>
    <row r="204">
      <c r="A204" s="56" t="s">
        <v>7943</v>
      </c>
      <c r="B204" s="21"/>
      <c r="C204" s="33" t="s">
        <v>7935</v>
      </c>
      <c r="E204" s="46" t="s">
        <v>7616</v>
      </c>
    </row>
    <row r="205">
      <c r="A205" s="56" t="s">
        <v>7945</v>
      </c>
      <c r="B205" s="21"/>
      <c r="C205" s="33" t="s">
        <v>7935</v>
      </c>
      <c r="E205" s="46" t="s">
        <v>7618</v>
      </c>
    </row>
    <row r="206">
      <c r="A206" s="56" t="s">
        <v>7947</v>
      </c>
      <c r="B206" s="55"/>
      <c r="C206" s="33" t="s">
        <v>1390</v>
      </c>
      <c r="E206" s="46" t="s">
        <v>3366</v>
      </c>
    </row>
    <row r="207">
      <c r="A207" s="56" t="s">
        <v>7948</v>
      </c>
      <c r="B207" s="55"/>
      <c r="C207" s="33" t="s">
        <v>1390</v>
      </c>
      <c r="E207" s="46" t="s">
        <v>3366</v>
      </c>
    </row>
    <row r="208">
      <c r="A208" s="56" t="s">
        <v>7949</v>
      </c>
      <c r="B208" s="55"/>
      <c r="C208" s="33" t="s">
        <v>1390</v>
      </c>
      <c r="E208" s="46" t="s">
        <v>3366</v>
      </c>
    </row>
    <row r="209">
      <c r="A209" s="56" t="s">
        <v>7950</v>
      </c>
      <c r="B209" s="55"/>
      <c r="C209" s="33" t="s">
        <v>1390</v>
      </c>
      <c r="E209" s="46" t="s">
        <v>3366</v>
      </c>
    </row>
    <row r="210">
      <c r="A210" s="56" t="s">
        <v>7951</v>
      </c>
      <c r="B210" s="55"/>
      <c r="C210" s="33" t="s">
        <v>1390</v>
      </c>
      <c r="E210" s="46" t="s">
        <v>3366</v>
      </c>
    </row>
    <row r="211">
      <c r="A211" s="56" t="s">
        <v>7952</v>
      </c>
      <c r="B211" s="82"/>
      <c r="C211" s="33" t="s">
        <v>7954</v>
      </c>
      <c r="E211" s="46" t="s">
        <v>7609</v>
      </c>
    </row>
    <row r="212">
      <c r="A212" s="56" t="s">
        <v>7956</v>
      </c>
      <c r="B212" s="55"/>
      <c r="C212" s="31"/>
    </row>
    <row r="213">
      <c r="A213" s="56" t="s">
        <v>7957</v>
      </c>
      <c r="B213" s="55"/>
      <c r="C213" s="31"/>
    </row>
    <row r="214">
      <c r="A214" s="56" t="s">
        <v>7958</v>
      </c>
      <c r="B214" s="55"/>
      <c r="C214" s="31"/>
    </row>
    <row r="215">
      <c r="A215" s="56" t="s">
        <v>7959</v>
      </c>
      <c r="B215" s="55"/>
      <c r="C215" s="31"/>
    </row>
    <row r="216">
      <c r="A216" s="56" t="s">
        <v>7960</v>
      </c>
      <c r="B216" s="55"/>
      <c r="C216" s="31"/>
    </row>
    <row r="217">
      <c r="A217" s="56" t="s">
        <v>7961</v>
      </c>
      <c r="B217" s="55"/>
      <c r="C217" s="31"/>
    </row>
    <row r="218">
      <c r="A218" s="56" t="s">
        <v>7964</v>
      </c>
      <c r="B218" s="55"/>
      <c r="C218" s="31"/>
    </row>
    <row r="219">
      <c r="A219" s="56" t="s">
        <v>7965</v>
      </c>
      <c r="B219" s="55"/>
      <c r="C219" s="31"/>
    </row>
    <row r="220">
      <c r="A220" s="56" t="s">
        <v>7966</v>
      </c>
      <c r="B220" s="55"/>
      <c r="C220" s="31"/>
    </row>
    <row r="221">
      <c r="A221" s="56" t="s">
        <v>7967</v>
      </c>
      <c r="B221" s="55"/>
      <c r="C221" s="31"/>
    </row>
    <row r="222">
      <c r="A222" s="56" t="s">
        <v>7968</v>
      </c>
      <c r="B222" s="55"/>
      <c r="C222" s="31"/>
    </row>
    <row r="223">
      <c r="A223" s="56" t="s">
        <v>7969</v>
      </c>
      <c r="B223" s="55"/>
      <c r="C223" s="31"/>
    </row>
    <row r="224">
      <c r="A224" s="56" t="s">
        <v>7970</v>
      </c>
      <c r="B224" s="55"/>
      <c r="C224" s="31"/>
    </row>
    <row r="225">
      <c r="A225" s="56" t="s">
        <v>7973</v>
      </c>
      <c r="B225" s="55"/>
      <c r="C225" s="31"/>
    </row>
    <row r="226">
      <c r="A226" s="56" t="s">
        <v>7974</v>
      </c>
      <c r="B226" s="55"/>
      <c r="C226" s="31"/>
    </row>
    <row r="227">
      <c r="A227" s="56" t="s">
        <v>7975</v>
      </c>
      <c r="B227" s="55"/>
      <c r="C227" s="31"/>
    </row>
    <row r="228">
      <c r="A228" s="56" t="s">
        <v>7976</v>
      </c>
      <c r="B228" s="55"/>
      <c r="C228" s="31"/>
    </row>
    <row r="229">
      <c r="A229" s="56" t="s">
        <v>7977</v>
      </c>
      <c r="B229" s="55"/>
      <c r="C229" s="31"/>
    </row>
    <row r="230">
      <c r="A230" s="56" t="s">
        <v>7978</v>
      </c>
      <c r="B230" s="55"/>
      <c r="C230" s="31"/>
    </row>
    <row r="231">
      <c r="A231" s="56" t="s">
        <v>7980</v>
      </c>
      <c r="B231" s="55"/>
      <c r="C231" s="31"/>
    </row>
    <row r="232">
      <c r="A232" s="56" t="s">
        <v>7982</v>
      </c>
      <c r="B232" s="55"/>
      <c r="C232" s="31"/>
    </row>
    <row r="233">
      <c r="A233" s="56" t="s">
        <v>7983</v>
      </c>
      <c r="B233" s="55"/>
      <c r="C233" s="31"/>
    </row>
    <row r="234">
      <c r="A234" s="56" t="s">
        <v>7984</v>
      </c>
      <c r="B234" s="55"/>
      <c r="C234" s="31"/>
    </row>
    <row r="235">
      <c r="A235" s="56" t="s">
        <v>7985</v>
      </c>
      <c r="B235" s="55"/>
      <c r="C235" s="31"/>
    </row>
    <row r="236">
      <c r="A236" s="56" t="s">
        <v>7986</v>
      </c>
      <c r="B236" s="55"/>
      <c r="C236" s="31"/>
    </row>
    <row r="237">
      <c r="A237" s="56" t="s">
        <v>7987</v>
      </c>
      <c r="B237" s="55"/>
      <c r="C237" s="31"/>
    </row>
    <row r="238">
      <c r="A238" s="56" t="s">
        <v>7990</v>
      </c>
      <c r="B238" s="55"/>
      <c r="C238" s="31"/>
    </row>
    <row r="239">
      <c r="A239" s="56" t="s">
        <v>7991</v>
      </c>
      <c r="B239" s="55"/>
      <c r="C239" s="31"/>
    </row>
    <row r="240">
      <c r="A240" s="56" t="s">
        <v>7992</v>
      </c>
      <c r="B240" s="55"/>
      <c r="C240" s="31"/>
    </row>
    <row r="241">
      <c r="A241" s="56" t="s">
        <v>7993</v>
      </c>
      <c r="B241" s="55"/>
      <c r="C241" s="31"/>
    </row>
    <row r="242">
      <c r="A242" s="56" t="s">
        <v>7994</v>
      </c>
      <c r="B242" s="55"/>
      <c r="C242" s="31"/>
    </row>
    <row r="243">
      <c r="A243" s="56" t="s">
        <v>7995</v>
      </c>
      <c r="B243" s="55"/>
      <c r="C243" s="31"/>
    </row>
    <row r="244">
      <c r="A244" s="56" t="s">
        <v>7997</v>
      </c>
      <c r="B244" s="55"/>
      <c r="C244" s="31"/>
    </row>
    <row r="245">
      <c r="A245" s="56" t="s">
        <v>7998</v>
      </c>
      <c r="B245" s="55"/>
      <c r="C245" s="31"/>
    </row>
    <row r="246">
      <c r="A246" s="56" t="s">
        <v>8000</v>
      </c>
      <c r="B246" s="55"/>
      <c r="C246" s="31"/>
    </row>
    <row r="247">
      <c r="A247" s="56" t="s">
        <v>8001</v>
      </c>
      <c r="B247" s="55"/>
      <c r="C247" s="31"/>
    </row>
    <row r="248">
      <c r="A248" s="56" t="s">
        <v>8002</v>
      </c>
      <c r="B248" s="55"/>
      <c r="C248" s="31"/>
    </row>
    <row r="249">
      <c r="A249" s="56" t="s">
        <v>8005</v>
      </c>
      <c r="B249" s="55"/>
      <c r="C249" s="31"/>
    </row>
    <row r="250">
      <c r="A250" s="56" t="s">
        <v>8007</v>
      </c>
      <c r="B250" s="55"/>
      <c r="C250" s="31"/>
    </row>
    <row r="251">
      <c r="A251" s="56" t="s">
        <v>8009</v>
      </c>
      <c r="B251" s="55"/>
      <c r="C251" s="31"/>
    </row>
    <row r="252">
      <c r="A252" s="56" t="s">
        <v>8010</v>
      </c>
      <c r="B252" s="55"/>
      <c r="C252" s="31"/>
    </row>
    <row r="253">
      <c r="A253" s="56" t="s">
        <v>8011</v>
      </c>
      <c r="B253" s="55"/>
      <c r="C253" s="31"/>
    </row>
    <row r="254">
      <c r="A254" s="56" t="s">
        <v>8012</v>
      </c>
      <c r="B254" s="55"/>
      <c r="C254" s="31"/>
    </row>
    <row r="255">
      <c r="A255" s="56" t="s">
        <v>8013</v>
      </c>
      <c r="B255" s="55"/>
      <c r="C255" s="31"/>
    </row>
    <row r="256">
      <c r="A256" s="56" t="s">
        <v>8014</v>
      </c>
      <c r="B256" s="55"/>
      <c r="C256" s="31"/>
    </row>
    <row r="257">
      <c r="A257" s="56" t="s">
        <v>8019</v>
      </c>
      <c r="B257" s="55"/>
      <c r="C257" s="31"/>
    </row>
    <row r="258">
      <c r="A258" s="56" t="s">
        <v>8020</v>
      </c>
      <c r="B258" s="55"/>
      <c r="C258" s="31"/>
    </row>
    <row r="259">
      <c r="A259" s="56" t="s">
        <v>8022</v>
      </c>
      <c r="B259" s="55"/>
      <c r="C259" s="31"/>
    </row>
    <row r="260">
      <c r="A260" s="56" t="s">
        <v>8023</v>
      </c>
      <c r="B260" s="55"/>
      <c r="C260" s="31"/>
    </row>
    <row r="261">
      <c r="A261" s="56" t="s">
        <v>8024</v>
      </c>
      <c r="B261" s="82"/>
      <c r="C261" s="33" t="s">
        <v>8025</v>
      </c>
    </row>
    <row r="262">
      <c r="A262" s="56" t="s">
        <v>8026</v>
      </c>
      <c r="B262" s="55"/>
      <c r="C262" s="31"/>
    </row>
    <row r="263">
      <c r="A263" s="56" t="s">
        <v>8028</v>
      </c>
      <c r="B263" s="55"/>
      <c r="C263" s="31"/>
    </row>
    <row r="264">
      <c r="A264" s="56" t="s">
        <v>8029</v>
      </c>
      <c r="B264" s="55"/>
      <c r="C264" s="31"/>
    </row>
    <row r="265">
      <c r="A265" s="56" t="s">
        <v>8030</v>
      </c>
      <c r="B265" s="55"/>
      <c r="C265" s="31"/>
    </row>
    <row r="266">
      <c r="A266" s="56" t="s">
        <v>8032</v>
      </c>
      <c r="B266" s="55"/>
      <c r="C266" s="31"/>
    </row>
    <row r="267">
      <c r="A267" s="56" t="s">
        <v>8033</v>
      </c>
      <c r="B267" s="55"/>
      <c r="C267" s="31"/>
    </row>
    <row r="268">
      <c r="A268" s="56" t="s">
        <v>8034</v>
      </c>
      <c r="B268" s="55"/>
      <c r="C268" s="31"/>
    </row>
    <row r="269">
      <c r="A269" s="56" t="s">
        <v>8035</v>
      </c>
      <c r="B269" s="55"/>
      <c r="C269" s="31"/>
    </row>
    <row r="270">
      <c r="A270" s="56" t="s">
        <v>8036</v>
      </c>
      <c r="B270" s="55"/>
      <c r="C270" s="31"/>
    </row>
    <row r="271">
      <c r="A271" s="56" t="s">
        <v>8037</v>
      </c>
      <c r="B271" s="55"/>
      <c r="C271" s="31"/>
    </row>
    <row r="272">
      <c r="A272" s="56" t="s">
        <v>8038</v>
      </c>
      <c r="B272" s="55"/>
      <c r="C272" s="31"/>
    </row>
    <row r="273">
      <c r="A273" s="56" t="s">
        <v>8040</v>
      </c>
      <c r="B273" s="55"/>
      <c r="C273" s="31"/>
    </row>
    <row r="274">
      <c r="A274" s="56" t="s">
        <v>8041</v>
      </c>
      <c r="B274" s="55"/>
      <c r="C274" s="31"/>
    </row>
    <row r="275">
      <c r="A275" s="56" t="s">
        <v>8042</v>
      </c>
      <c r="B275" s="55"/>
      <c r="C275" s="31"/>
    </row>
    <row r="276">
      <c r="A276" s="56" t="s">
        <v>8043</v>
      </c>
      <c r="B276" s="55"/>
      <c r="C276" s="31"/>
    </row>
    <row r="277">
      <c r="A277" s="56" t="s">
        <v>8045</v>
      </c>
      <c r="B277" s="55"/>
      <c r="C277" s="31"/>
    </row>
    <row r="278">
      <c r="A278" s="56" t="s">
        <v>8046</v>
      </c>
      <c r="B278" s="55"/>
      <c r="C278" s="31"/>
    </row>
    <row r="279">
      <c r="A279" s="56" t="s">
        <v>8047</v>
      </c>
      <c r="B279" s="55"/>
      <c r="C279" s="31"/>
    </row>
    <row r="280">
      <c r="A280" s="56" t="s">
        <v>8049</v>
      </c>
      <c r="B280" s="55"/>
      <c r="C280" s="31"/>
    </row>
    <row r="281">
      <c r="A281" s="56" t="s">
        <v>8050</v>
      </c>
      <c r="B281" s="55"/>
      <c r="C281" s="31"/>
    </row>
    <row r="282">
      <c r="A282" s="56" t="s">
        <v>8051</v>
      </c>
      <c r="B282" s="55"/>
      <c r="C282" s="31"/>
    </row>
    <row r="283">
      <c r="A283" s="56" t="s">
        <v>8052</v>
      </c>
      <c r="B283" s="55"/>
      <c r="C283" s="31"/>
    </row>
    <row r="284">
      <c r="A284" s="56" t="s">
        <v>8054</v>
      </c>
      <c r="B284" s="55"/>
      <c r="C284" s="31"/>
    </row>
    <row r="285">
      <c r="A285" s="56" t="s">
        <v>8055</v>
      </c>
      <c r="B285" s="55"/>
      <c r="C285" s="31"/>
    </row>
    <row r="286">
      <c r="A286" s="56" t="s">
        <v>8056</v>
      </c>
      <c r="B286" s="55"/>
      <c r="C286" s="31"/>
    </row>
    <row r="287">
      <c r="A287" s="56" t="s">
        <v>8058</v>
      </c>
      <c r="B287" s="55"/>
      <c r="C287" s="31"/>
    </row>
    <row r="288">
      <c r="A288" s="56" t="s">
        <v>8059</v>
      </c>
      <c r="B288" s="55"/>
      <c r="C288" s="31"/>
    </row>
    <row r="289">
      <c r="A289" s="56" t="s">
        <v>8060</v>
      </c>
      <c r="B289" s="55"/>
      <c r="C289" s="31"/>
    </row>
    <row r="290">
      <c r="A290" s="56" t="s">
        <v>8061</v>
      </c>
      <c r="B290" s="55"/>
      <c r="C290" s="31"/>
    </row>
    <row r="291">
      <c r="A291" s="56" t="s">
        <v>8064</v>
      </c>
      <c r="B291" s="55"/>
      <c r="C291" s="31"/>
    </row>
    <row r="292">
      <c r="A292" s="56" t="s">
        <v>8065</v>
      </c>
      <c r="B292" s="55"/>
      <c r="C292" s="31"/>
    </row>
    <row r="293">
      <c r="A293" s="56" t="s">
        <v>8067</v>
      </c>
      <c r="B293" s="55"/>
      <c r="C293" s="31"/>
    </row>
    <row r="294">
      <c r="A294" s="56" t="s">
        <v>8068</v>
      </c>
      <c r="B294" s="55"/>
      <c r="C294" s="31"/>
    </row>
    <row r="295">
      <c r="A295" s="56" t="s">
        <v>8069</v>
      </c>
      <c r="B295" s="55"/>
      <c r="C295" s="31"/>
      <c r="E295" s="46" t="s">
        <v>3366</v>
      </c>
    </row>
    <row r="296">
      <c r="A296" s="56" t="s">
        <v>8071</v>
      </c>
      <c r="B296" s="55"/>
      <c r="C296" s="31"/>
      <c r="E296" s="46" t="s">
        <v>3366</v>
      </c>
    </row>
    <row r="297">
      <c r="A297" s="56" t="s">
        <v>8072</v>
      </c>
      <c r="B297" s="55"/>
      <c r="C297" s="31"/>
      <c r="E297" s="46" t="s">
        <v>3366</v>
      </c>
    </row>
    <row r="298">
      <c r="A298" s="56" t="s">
        <v>8074</v>
      </c>
      <c r="B298" s="82"/>
      <c r="C298" s="33" t="s">
        <v>8075</v>
      </c>
      <c r="E298" s="46" t="s">
        <v>7609</v>
      </c>
    </row>
    <row r="299">
      <c r="A299" s="56" t="s">
        <v>8076</v>
      </c>
      <c r="B299" s="82"/>
      <c r="C299" s="33" t="s">
        <v>8077</v>
      </c>
      <c r="E299" s="46" t="s">
        <v>7616</v>
      </c>
    </row>
    <row r="300">
      <c r="A300" s="56" t="s">
        <v>8078</v>
      </c>
      <c r="B300" s="82"/>
      <c r="C300" s="33" t="s">
        <v>8077</v>
      </c>
      <c r="E300" s="46" t="s">
        <v>7618</v>
      </c>
    </row>
    <row r="301">
      <c r="A301" s="56" t="s">
        <v>8079</v>
      </c>
      <c r="B301" s="82"/>
      <c r="C301" s="33" t="s">
        <v>8081</v>
      </c>
      <c r="E301" s="46" t="s">
        <v>7616</v>
      </c>
    </row>
    <row r="302">
      <c r="A302" s="56" t="s">
        <v>8083</v>
      </c>
      <c r="B302" s="82"/>
      <c r="C302" s="33" t="s">
        <v>8081</v>
      </c>
      <c r="E302" s="46" t="s">
        <v>7618</v>
      </c>
    </row>
    <row r="303">
      <c r="A303" s="56" t="s">
        <v>8084</v>
      </c>
      <c r="B303" s="82"/>
      <c r="C303" s="33" t="s">
        <v>8085</v>
      </c>
      <c r="E303" s="46" t="s">
        <v>7616</v>
      </c>
    </row>
    <row r="304">
      <c r="A304" s="56" t="s">
        <v>8086</v>
      </c>
      <c r="B304" s="82"/>
      <c r="C304" s="33" t="s">
        <v>8085</v>
      </c>
      <c r="E304" s="46" t="s">
        <v>7618</v>
      </c>
    </row>
    <row r="305">
      <c r="A305" s="56" t="s">
        <v>8087</v>
      </c>
      <c r="B305" s="79"/>
      <c r="C305" s="33" t="s">
        <v>8088</v>
      </c>
      <c r="E305" s="46" t="s">
        <v>1348</v>
      </c>
    </row>
    <row r="306">
      <c r="A306" s="56" t="s">
        <v>8091</v>
      </c>
      <c r="B306" s="79"/>
      <c r="C306" s="33" t="s">
        <v>8088</v>
      </c>
      <c r="E306" s="46" t="s">
        <v>1348</v>
      </c>
    </row>
    <row r="307">
      <c r="A307" s="56" t="s">
        <v>8092</v>
      </c>
      <c r="B307" s="79"/>
      <c r="C307" s="33" t="s">
        <v>8093</v>
      </c>
      <c r="E307" s="46" t="s">
        <v>1348</v>
      </c>
    </row>
    <row r="308">
      <c r="A308" s="56" t="s">
        <v>8094</v>
      </c>
      <c r="B308" s="82"/>
      <c r="C308" s="33" t="s">
        <v>8095</v>
      </c>
      <c r="E308" s="46" t="s">
        <v>7616</v>
      </c>
    </row>
    <row r="309">
      <c r="A309" s="56" t="s">
        <v>8096</v>
      </c>
      <c r="B309" s="82"/>
      <c r="C309" s="33" t="s">
        <v>8095</v>
      </c>
      <c r="E309" s="46" t="s">
        <v>7618</v>
      </c>
    </row>
    <row r="310">
      <c r="A310" s="56" t="s">
        <v>8099</v>
      </c>
      <c r="B310" s="82"/>
      <c r="C310" s="33" t="s">
        <v>8100</v>
      </c>
      <c r="E310" s="46" t="s">
        <v>7616</v>
      </c>
    </row>
    <row r="311">
      <c r="A311" s="56" t="s">
        <v>8101</v>
      </c>
      <c r="B311" s="82"/>
      <c r="C311" s="33" t="s">
        <v>8100</v>
      </c>
      <c r="E311" s="46" t="s">
        <v>7618</v>
      </c>
    </row>
    <row r="312">
      <c r="A312" s="56" t="s">
        <v>8102</v>
      </c>
      <c r="B312" s="21"/>
      <c r="C312" s="33" t="s">
        <v>8103</v>
      </c>
      <c r="E312" s="46" t="s">
        <v>7616</v>
      </c>
    </row>
    <row r="313">
      <c r="A313" s="56" t="s">
        <v>8104</v>
      </c>
      <c r="B313" s="21"/>
      <c r="C313" s="33" t="s">
        <v>8103</v>
      </c>
      <c r="E313" s="46" t="s">
        <v>7618</v>
      </c>
    </row>
    <row r="314">
      <c r="A314" s="56" t="s">
        <v>8107</v>
      </c>
      <c r="B314" s="21"/>
      <c r="C314" s="33" t="s">
        <v>8108</v>
      </c>
      <c r="E314" s="46" t="s">
        <v>7616</v>
      </c>
    </row>
    <row r="315">
      <c r="A315" s="56" t="s">
        <v>8109</v>
      </c>
      <c r="B315" s="21"/>
      <c r="C315" s="33" t="s">
        <v>8108</v>
      </c>
      <c r="E315" s="46" t="s">
        <v>7618</v>
      </c>
    </row>
    <row r="316">
      <c r="A316" s="56" t="s">
        <v>8110</v>
      </c>
      <c r="B316" s="21"/>
      <c r="C316" s="33" t="s">
        <v>8111</v>
      </c>
      <c r="E316" s="46" t="s">
        <v>7616</v>
      </c>
    </row>
    <row r="317">
      <c r="A317" s="56" t="s">
        <v>8112</v>
      </c>
      <c r="B317" s="21"/>
      <c r="C317" s="33" t="s">
        <v>8111</v>
      </c>
      <c r="E317" s="46" t="s">
        <v>7618</v>
      </c>
    </row>
    <row r="318">
      <c r="A318" s="56" t="s">
        <v>8113</v>
      </c>
      <c r="B318" s="21"/>
      <c r="C318" s="33" t="s">
        <v>8103</v>
      </c>
      <c r="E318" s="46" t="s">
        <v>7616</v>
      </c>
    </row>
    <row r="319">
      <c r="A319" s="56" t="s">
        <v>8117</v>
      </c>
      <c r="B319" s="21"/>
      <c r="C319" s="33" t="s">
        <v>8103</v>
      </c>
      <c r="E319" s="46" t="s">
        <v>7618</v>
      </c>
    </row>
    <row r="320">
      <c r="A320" s="56" t="s">
        <v>8118</v>
      </c>
      <c r="B320" s="21"/>
      <c r="C320" s="33" t="s">
        <v>8108</v>
      </c>
      <c r="E320" s="46" t="s">
        <v>7616</v>
      </c>
    </row>
    <row r="321">
      <c r="A321" s="56" t="s">
        <v>8119</v>
      </c>
      <c r="B321" s="21"/>
      <c r="C321" s="33" t="s">
        <v>8108</v>
      </c>
      <c r="E321" s="46" t="s">
        <v>7618</v>
      </c>
    </row>
    <row r="322">
      <c r="A322" s="56" t="s">
        <v>8120</v>
      </c>
      <c r="B322" s="21"/>
      <c r="C322" s="33" t="s">
        <v>8111</v>
      </c>
      <c r="E322" s="46" t="s">
        <v>7616</v>
      </c>
    </row>
    <row r="323">
      <c r="A323" s="56" t="s">
        <v>8121</v>
      </c>
      <c r="B323" s="21"/>
      <c r="C323" s="33" t="s">
        <v>8111</v>
      </c>
      <c r="E323" s="46" t="s">
        <v>7618</v>
      </c>
    </row>
    <row r="324">
      <c r="A324" s="56" t="s">
        <v>8124</v>
      </c>
      <c r="B324" s="21"/>
      <c r="C324" s="33" t="s">
        <v>8125</v>
      </c>
      <c r="E324" s="46" t="s">
        <v>7616</v>
      </c>
    </row>
    <row r="325">
      <c r="A325" s="56" t="s">
        <v>8126</v>
      </c>
      <c r="B325" s="21"/>
      <c r="C325" s="33" t="s">
        <v>8125</v>
      </c>
      <c r="E325" s="46" t="s">
        <v>7618</v>
      </c>
    </row>
    <row r="326">
      <c r="A326" s="56" t="s">
        <v>8127</v>
      </c>
      <c r="B326" s="21"/>
      <c r="C326" s="33" t="s">
        <v>8128</v>
      </c>
      <c r="E326" s="46" t="s">
        <v>7616</v>
      </c>
    </row>
    <row r="327">
      <c r="A327" s="56" t="s">
        <v>8129</v>
      </c>
      <c r="B327" s="21"/>
      <c r="C327" s="33" t="s">
        <v>8128</v>
      </c>
      <c r="E327" s="46" t="s">
        <v>7618</v>
      </c>
    </row>
    <row r="328">
      <c r="A328" s="56" t="s">
        <v>8131</v>
      </c>
      <c r="B328" s="21"/>
      <c r="C328" s="33" t="s">
        <v>8133</v>
      </c>
      <c r="E328" s="46" t="s">
        <v>7616</v>
      </c>
    </row>
    <row r="329">
      <c r="A329" s="56" t="s">
        <v>8134</v>
      </c>
      <c r="B329" s="21"/>
      <c r="C329" s="33" t="s">
        <v>8133</v>
      </c>
      <c r="E329" s="46" t="s">
        <v>7618</v>
      </c>
    </row>
    <row r="330">
      <c r="A330" s="56" t="s">
        <v>8135</v>
      </c>
      <c r="B330" s="21"/>
      <c r="C330" s="33" t="s">
        <v>8125</v>
      </c>
      <c r="E330" s="46" t="s">
        <v>7616</v>
      </c>
    </row>
    <row r="331">
      <c r="A331" s="56" t="s">
        <v>8137</v>
      </c>
      <c r="B331" s="21"/>
      <c r="C331" s="33" t="s">
        <v>8125</v>
      </c>
      <c r="E331" s="46" t="s">
        <v>7618</v>
      </c>
    </row>
    <row r="332">
      <c r="A332" s="56" t="s">
        <v>8139</v>
      </c>
      <c r="B332" s="55"/>
      <c r="C332" s="33" t="s">
        <v>8128</v>
      </c>
      <c r="E332" s="46" t="s">
        <v>7616</v>
      </c>
    </row>
    <row r="333">
      <c r="A333" s="56" t="s">
        <v>8140</v>
      </c>
      <c r="B333" s="55"/>
      <c r="C333" s="33" t="s">
        <v>8128</v>
      </c>
      <c r="E333" s="46" t="s">
        <v>7618</v>
      </c>
    </row>
    <row r="334">
      <c r="A334" s="56" t="s">
        <v>8141</v>
      </c>
      <c r="B334" s="55"/>
      <c r="C334" s="33" t="s">
        <v>8133</v>
      </c>
      <c r="E334" s="46" t="s">
        <v>7616</v>
      </c>
    </row>
    <row r="335">
      <c r="A335" s="56" t="s">
        <v>8142</v>
      </c>
      <c r="B335" s="55"/>
      <c r="C335" s="33" t="s">
        <v>8133</v>
      </c>
      <c r="E335" s="46" t="s">
        <v>7618</v>
      </c>
    </row>
    <row r="336">
      <c r="A336" s="56" t="s">
        <v>8144</v>
      </c>
      <c r="B336" s="82"/>
      <c r="C336" s="33" t="s">
        <v>8147</v>
      </c>
      <c r="E336" s="46" t="s">
        <v>3366</v>
      </c>
    </row>
    <row r="337">
      <c r="A337" s="56" t="s">
        <v>8148</v>
      </c>
      <c r="B337" s="82"/>
      <c r="C337" s="33" t="s">
        <v>8149</v>
      </c>
      <c r="E337" s="46" t="s">
        <v>3366</v>
      </c>
    </row>
    <row r="338">
      <c r="A338" s="56" t="s">
        <v>8150</v>
      </c>
      <c r="B338" s="82"/>
      <c r="C338" s="33" t="s">
        <v>8151</v>
      </c>
      <c r="E338" s="46" t="s">
        <v>3366</v>
      </c>
    </row>
    <row r="339">
      <c r="A339" s="56" t="s">
        <v>8152</v>
      </c>
      <c r="B339" s="82"/>
      <c r="C339" s="33" t="s">
        <v>8153</v>
      </c>
      <c r="E339" s="46" t="s">
        <v>7609</v>
      </c>
    </row>
    <row r="340">
      <c r="A340" s="56" t="s">
        <v>8155</v>
      </c>
      <c r="B340" s="82"/>
      <c r="C340" s="33" t="s">
        <v>8156</v>
      </c>
      <c r="E340" s="46" t="s">
        <v>7616</v>
      </c>
    </row>
    <row r="341">
      <c r="A341" s="56" t="s">
        <v>8157</v>
      </c>
      <c r="B341" s="82"/>
      <c r="C341" s="33" t="s">
        <v>8156</v>
      </c>
      <c r="E341" s="46" t="s">
        <v>7618</v>
      </c>
    </row>
    <row r="342">
      <c r="A342" s="56" t="s">
        <v>8158</v>
      </c>
      <c r="B342" s="82"/>
      <c r="C342" s="33" t="s">
        <v>8159</v>
      </c>
      <c r="E342" s="46" t="s">
        <v>7616</v>
      </c>
    </row>
    <row r="343">
      <c r="A343" s="56" t="s">
        <v>8161</v>
      </c>
      <c r="B343" s="82"/>
      <c r="C343" s="33" t="s">
        <v>8159</v>
      </c>
      <c r="E343" s="46" t="s">
        <v>7618</v>
      </c>
    </row>
    <row r="344">
      <c r="A344" s="56" t="s">
        <v>8162</v>
      </c>
      <c r="B344" s="21"/>
      <c r="C344" s="33" t="s">
        <v>8164</v>
      </c>
      <c r="E344" s="46" t="s">
        <v>7616</v>
      </c>
    </row>
    <row r="345">
      <c r="A345" s="56" t="s">
        <v>8165</v>
      </c>
      <c r="B345" s="21"/>
      <c r="C345" s="33" t="s">
        <v>8164</v>
      </c>
      <c r="E345" s="46" t="s">
        <v>7618</v>
      </c>
    </row>
    <row r="346">
      <c r="A346" s="56" t="s">
        <v>8166</v>
      </c>
      <c r="B346" s="21"/>
      <c r="C346" s="33" t="s">
        <v>8167</v>
      </c>
      <c r="E346" s="46" t="s">
        <v>7616</v>
      </c>
    </row>
    <row r="347">
      <c r="A347" s="56" t="s">
        <v>8168</v>
      </c>
      <c r="B347" s="21"/>
      <c r="C347" s="33" t="s">
        <v>8167</v>
      </c>
      <c r="E347" s="46" t="s">
        <v>7618</v>
      </c>
    </row>
    <row r="348">
      <c r="A348" s="56" t="s">
        <v>8170</v>
      </c>
      <c r="B348" s="21"/>
      <c r="C348" s="33" t="s">
        <v>8164</v>
      </c>
      <c r="E348" s="46" t="s">
        <v>7616</v>
      </c>
    </row>
    <row r="349">
      <c r="A349" s="56" t="s">
        <v>8172</v>
      </c>
      <c r="B349" s="21"/>
      <c r="C349" s="33" t="s">
        <v>8164</v>
      </c>
      <c r="E349" s="46" t="s">
        <v>7618</v>
      </c>
    </row>
    <row r="350">
      <c r="A350" s="56" t="s">
        <v>8173</v>
      </c>
      <c r="B350" s="21"/>
      <c r="C350" s="33" t="s">
        <v>8167</v>
      </c>
      <c r="E350" s="46" t="s">
        <v>7616</v>
      </c>
    </row>
    <row r="351">
      <c r="A351" s="56" t="s">
        <v>8174</v>
      </c>
      <c r="B351" s="21"/>
      <c r="C351" s="33" t="s">
        <v>8167</v>
      </c>
      <c r="E351" s="46" t="s">
        <v>7618</v>
      </c>
    </row>
    <row r="352">
      <c r="A352" s="56" t="s">
        <v>8175</v>
      </c>
      <c r="B352" s="82"/>
      <c r="C352" s="33" t="s">
        <v>8177</v>
      </c>
      <c r="E352" s="46" t="s">
        <v>7616</v>
      </c>
    </row>
    <row r="353">
      <c r="A353" s="56" t="s">
        <v>8179</v>
      </c>
      <c r="B353" s="82"/>
      <c r="C353" s="33" t="s">
        <v>8177</v>
      </c>
      <c r="E353" s="46" t="s">
        <v>7618</v>
      </c>
    </row>
    <row r="354">
      <c r="A354" s="56" t="s">
        <v>8180</v>
      </c>
      <c r="B354" s="82"/>
      <c r="C354" s="33" t="s">
        <v>8181</v>
      </c>
      <c r="E354" s="46" t="s">
        <v>7616</v>
      </c>
    </row>
    <row r="355">
      <c r="A355" s="56" t="s">
        <v>8182</v>
      </c>
      <c r="B355" s="82"/>
      <c r="C355" s="33" t="s">
        <v>8181</v>
      </c>
      <c r="E355" s="46" t="s">
        <v>7618</v>
      </c>
    </row>
    <row r="356">
      <c r="A356" s="56" t="s">
        <v>8183</v>
      </c>
      <c r="B356" s="82"/>
      <c r="C356" s="33" t="s">
        <v>8184</v>
      </c>
      <c r="E356" s="46" t="s">
        <v>7616</v>
      </c>
    </row>
    <row r="357">
      <c r="A357" s="56" t="s">
        <v>8186</v>
      </c>
      <c r="B357" s="82"/>
      <c r="C357" s="33" t="s">
        <v>8184</v>
      </c>
      <c r="E357" s="46" t="s">
        <v>7618</v>
      </c>
    </row>
    <row r="358">
      <c r="A358" s="56" t="s">
        <v>8187</v>
      </c>
      <c r="B358" s="82"/>
      <c r="C358" s="33" t="s">
        <v>8188</v>
      </c>
      <c r="E358" s="46" t="s">
        <v>7616</v>
      </c>
    </row>
    <row r="359">
      <c r="A359" s="56" t="s">
        <v>8191</v>
      </c>
      <c r="B359" s="82"/>
      <c r="C359" s="33" t="s">
        <v>8188</v>
      </c>
      <c r="E359" s="46" t="s">
        <v>7618</v>
      </c>
    </row>
    <row r="360">
      <c r="A360" s="56" t="s">
        <v>8192</v>
      </c>
      <c r="B360" s="82"/>
      <c r="C360" s="33" t="s">
        <v>8193</v>
      </c>
      <c r="E360" s="46" t="s">
        <v>7616</v>
      </c>
    </row>
    <row r="361">
      <c r="A361" s="56" t="s">
        <v>8194</v>
      </c>
      <c r="B361" s="82"/>
      <c r="C361" s="33" t="s">
        <v>8193</v>
      </c>
      <c r="E361" s="46" t="s">
        <v>7618</v>
      </c>
    </row>
    <row r="362">
      <c r="A362" s="56" t="s">
        <v>8196</v>
      </c>
      <c r="B362" s="84"/>
      <c r="C362" s="33" t="s">
        <v>8197</v>
      </c>
      <c r="E362" s="46" t="s">
        <v>3366</v>
      </c>
    </row>
    <row r="363">
      <c r="A363" s="56" t="s">
        <v>8198</v>
      </c>
      <c r="B363" s="84"/>
      <c r="C363" s="33" t="s">
        <v>8197</v>
      </c>
      <c r="E363" s="46" t="s">
        <v>3366</v>
      </c>
    </row>
    <row r="364">
      <c r="A364" s="56" t="s">
        <v>8199</v>
      </c>
      <c r="B364" s="84"/>
      <c r="C364" s="33" t="s">
        <v>8197</v>
      </c>
      <c r="E364" s="46" t="s">
        <v>3366</v>
      </c>
    </row>
    <row r="365">
      <c r="A365" s="56" t="s">
        <v>8202</v>
      </c>
      <c r="B365" s="82"/>
      <c r="C365" s="33" t="s">
        <v>8203</v>
      </c>
      <c r="E365" s="46" t="s">
        <v>7609</v>
      </c>
    </row>
    <row r="366">
      <c r="A366" s="56" t="s">
        <v>8204</v>
      </c>
      <c r="B366" s="82"/>
      <c r="C366" s="33" t="s">
        <v>7615</v>
      </c>
      <c r="E366" s="46" t="s">
        <v>7616</v>
      </c>
    </row>
    <row r="367">
      <c r="A367" s="56" t="s">
        <v>8205</v>
      </c>
      <c r="B367" s="82"/>
      <c r="C367" s="33" t="s">
        <v>7615</v>
      </c>
      <c r="E367" s="46" t="s">
        <v>7618</v>
      </c>
    </row>
    <row r="368">
      <c r="A368" s="56" t="s">
        <v>8206</v>
      </c>
      <c r="B368" s="82"/>
      <c r="C368" s="33" t="s">
        <v>7620</v>
      </c>
      <c r="E368" s="46" t="s">
        <v>7616</v>
      </c>
    </row>
    <row r="369">
      <c r="A369" s="56" t="s">
        <v>8209</v>
      </c>
      <c r="B369" s="82"/>
      <c r="C369" s="33" t="s">
        <v>7620</v>
      </c>
      <c r="E369" s="46" t="s">
        <v>7618</v>
      </c>
    </row>
    <row r="370">
      <c r="A370" s="56" t="s">
        <v>8210</v>
      </c>
      <c r="B370" s="82"/>
      <c r="C370" s="33" t="s">
        <v>8211</v>
      </c>
      <c r="E370" s="46" t="s">
        <v>7616</v>
      </c>
    </row>
    <row r="371">
      <c r="A371" s="56" t="s">
        <v>8212</v>
      </c>
      <c r="B371" s="82"/>
      <c r="C371" s="33" t="s">
        <v>8211</v>
      </c>
      <c r="E371" s="46" t="s">
        <v>7618</v>
      </c>
    </row>
    <row r="372">
      <c r="A372" s="56" t="s">
        <v>8213</v>
      </c>
      <c r="B372" s="82"/>
      <c r="C372" s="33" t="s">
        <v>3771</v>
      </c>
      <c r="E372" s="46" t="s">
        <v>7616</v>
      </c>
    </row>
    <row r="373">
      <c r="A373" s="56" t="s">
        <v>8214</v>
      </c>
      <c r="B373" s="82"/>
      <c r="C373" s="33" t="s">
        <v>3771</v>
      </c>
      <c r="E373" s="46" t="s">
        <v>7618</v>
      </c>
    </row>
    <row r="374">
      <c r="A374" s="56" t="s">
        <v>8216</v>
      </c>
      <c r="B374" s="79"/>
      <c r="C374" s="33" t="s">
        <v>7628</v>
      </c>
      <c r="E374" s="46" t="s">
        <v>1348</v>
      </c>
    </row>
    <row r="375">
      <c r="A375" s="56" t="s">
        <v>8218</v>
      </c>
      <c r="B375" s="79"/>
      <c r="C375" s="33" t="s">
        <v>7628</v>
      </c>
      <c r="E375" s="46" t="s">
        <v>1348</v>
      </c>
    </row>
    <row r="376">
      <c r="A376" s="56" t="s">
        <v>8219</v>
      </c>
      <c r="B376" s="79"/>
      <c r="C376" s="33" t="s">
        <v>7631</v>
      </c>
      <c r="E376" s="46" t="s">
        <v>1348</v>
      </c>
    </row>
    <row r="377">
      <c r="A377" s="56" t="s">
        <v>8220</v>
      </c>
      <c r="B377" s="21"/>
      <c r="C377" s="33" t="s">
        <v>7635</v>
      </c>
      <c r="E377" s="46" t="s">
        <v>7616</v>
      </c>
    </row>
    <row r="378">
      <c r="A378" s="56" t="s">
        <v>8221</v>
      </c>
      <c r="B378" s="21"/>
      <c r="C378" s="33" t="s">
        <v>7635</v>
      </c>
      <c r="E378" s="46" t="s">
        <v>7618</v>
      </c>
    </row>
    <row r="379">
      <c r="A379" s="56" t="s">
        <v>8224</v>
      </c>
      <c r="B379" s="21"/>
      <c r="C379" s="33" t="s">
        <v>7639</v>
      </c>
      <c r="E379" s="46" t="s">
        <v>7616</v>
      </c>
    </row>
    <row r="380">
      <c r="A380" s="56" t="s">
        <v>8226</v>
      </c>
      <c r="B380" s="21"/>
      <c r="C380" s="33" t="s">
        <v>7639</v>
      </c>
      <c r="E380" s="46" t="s">
        <v>7618</v>
      </c>
    </row>
    <row r="381">
      <c r="A381" s="56" t="s">
        <v>8227</v>
      </c>
      <c r="B381" s="21"/>
      <c r="C381" s="33" t="s">
        <v>7642</v>
      </c>
      <c r="E381" s="46" t="s">
        <v>7616</v>
      </c>
    </row>
    <row r="382">
      <c r="A382" s="56" t="s">
        <v>8228</v>
      </c>
      <c r="B382" s="21"/>
      <c r="C382" s="33" t="s">
        <v>7642</v>
      </c>
      <c r="E382" s="46" t="s">
        <v>7618</v>
      </c>
    </row>
    <row r="383">
      <c r="A383" s="56" t="s">
        <v>8229</v>
      </c>
      <c r="B383" s="21"/>
      <c r="C383" s="33" t="s">
        <v>7635</v>
      </c>
      <c r="E383" s="46" t="s">
        <v>7616</v>
      </c>
    </row>
    <row r="384">
      <c r="A384" s="56" t="s">
        <v>8231</v>
      </c>
      <c r="B384" s="21"/>
      <c r="C384" s="33" t="s">
        <v>7635</v>
      </c>
      <c r="E384" s="46" t="s">
        <v>7618</v>
      </c>
    </row>
    <row r="385">
      <c r="A385" s="56" t="s">
        <v>8232</v>
      </c>
      <c r="B385" s="21"/>
      <c r="C385" s="33" t="s">
        <v>7639</v>
      </c>
      <c r="E385" s="46" t="s">
        <v>7616</v>
      </c>
    </row>
    <row r="386">
      <c r="A386" s="56" t="s">
        <v>8233</v>
      </c>
      <c r="B386" s="21"/>
      <c r="C386" s="33" t="s">
        <v>7639</v>
      </c>
      <c r="E386" s="46" t="s">
        <v>7618</v>
      </c>
    </row>
    <row r="387">
      <c r="A387" s="56" t="s">
        <v>8235</v>
      </c>
      <c r="B387" s="21"/>
      <c r="C387" s="33" t="s">
        <v>7642</v>
      </c>
      <c r="E387" s="46" t="s">
        <v>7616</v>
      </c>
    </row>
    <row r="388">
      <c r="A388" s="56" t="s">
        <v>8236</v>
      </c>
      <c r="B388" s="21"/>
      <c r="C388" s="33" t="s">
        <v>7642</v>
      </c>
      <c r="E388" s="46" t="s">
        <v>7618</v>
      </c>
    </row>
    <row r="389">
      <c r="A389" s="56" t="s">
        <v>8238</v>
      </c>
      <c r="B389" s="21"/>
      <c r="C389" s="33" t="s">
        <v>7653</v>
      </c>
      <c r="E389" s="46" t="s">
        <v>7616</v>
      </c>
    </row>
    <row r="390">
      <c r="A390" s="56" t="s">
        <v>8239</v>
      </c>
      <c r="B390" s="21"/>
      <c r="C390" s="33" t="s">
        <v>7653</v>
      </c>
      <c r="E390" s="46" t="s">
        <v>7618</v>
      </c>
    </row>
    <row r="391">
      <c r="A391" s="56" t="s">
        <v>8244</v>
      </c>
      <c r="B391" s="21"/>
      <c r="C391" s="33" t="s">
        <v>7656</v>
      </c>
      <c r="E391" s="46" t="s">
        <v>7616</v>
      </c>
    </row>
    <row r="392">
      <c r="A392" s="56" t="s">
        <v>8245</v>
      </c>
      <c r="B392" s="21"/>
      <c r="C392" s="33" t="s">
        <v>7656</v>
      </c>
      <c r="E392" s="46" t="s">
        <v>7618</v>
      </c>
    </row>
    <row r="393">
      <c r="A393" s="56" t="s">
        <v>8246</v>
      </c>
      <c r="B393" s="21"/>
      <c r="C393" s="33" t="s">
        <v>3924</v>
      </c>
      <c r="E393" s="46" t="s">
        <v>7616</v>
      </c>
    </row>
    <row r="394">
      <c r="A394" s="56" t="s">
        <v>8247</v>
      </c>
      <c r="B394" s="21"/>
      <c r="C394" s="33" t="s">
        <v>3924</v>
      </c>
      <c r="E394" s="46" t="s">
        <v>7618</v>
      </c>
    </row>
    <row r="395">
      <c r="A395" s="56" t="s">
        <v>8249</v>
      </c>
      <c r="B395" s="21"/>
      <c r="C395" s="33" t="s">
        <v>7653</v>
      </c>
      <c r="E395" s="46" t="s">
        <v>7616</v>
      </c>
    </row>
    <row r="396">
      <c r="A396" s="56" t="s">
        <v>8251</v>
      </c>
      <c r="B396" s="21"/>
      <c r="C396" s="33" t="s">
        <v>7653</v>
      </c>
      <c r="E396" s="46" t="s">
        <v>7618</v>
      </c>
    </row>
    <row r="397">
      <c r="A397" s="56" t="s">
        <v>8252</v>
      </c>
      <c r="B397" s="21"/>
      <c r="C397" s="33" t="s">
        <v>7656</v>
      </c>
      <c r="E397" s="46" t="s">
        <v>7616</v>
      </c>
    </row>
    <row r="398">
      <c r="A398" s="56" t="s">
        <v>8255</v>
      </c>
      <c r="B398" s="21"/>
      <c r="C398" s="33" t="s">
        <v>7656</v>
      </c>
      <c r="E398" s="46" t="s">
        <v>7618</v>
      </c>
    </row>
    <row r="399">
      <c r="A399" s="56" t="s">
        <v>8256</v>
      </c>
      <c r="B399" s="21"/>
      <c r="C399" s="33" t="s">
        <v>3924</v>
      </c>
      <c r="E399" s="46" t="s">
        <v>7616</v>
      </c>
    </row>
    <row r="400">
      <c r="A400" s="56" t="s">
        <v>8257</v>
      </c>
      <c r="B400" s="21"/>
      <c r="C400" s="33" t="s">
        <v>3924</v>
      </c>
      <c r="E400" s="46" t="s">
        <v>7618</v>
      </c>
    </row>
    <row r="401">
      <c r="A401" s="56" t="s">
        <v>8258</v>
      </c>
      <c r="B401" s="84"/>
      <c r="C401" s="33" t="s">
        <v>4039</v>
      </c>
      <c r="E401" s="46" t="s">
        <v>3366</v>
      </c>
    </row>
    <row r="402">
      <c r="A402" s="56" t="s">
        <v>8259</v>
      </c>
      <c r="B402" s="84"/>
      <c r="C402" s="33" t="s">
        <v>4039</v>
      </c>
      <c r="E402" s="46" t="s">
        <v>3366</v>
      </c>
    </row>
    <row r="403">
      <c r="A403" s="56" t="s">
        <v>8262</v>
      </c>
      <c r="B403" s="84"/>
      <c r="C403" s="33" t="s">
        <v>4039</v>
      </c>
      <c r="E403" s="46" t="s">
        <v>3366</v>
      </c>
    </row>
    <row r="404">
      <c r="A404" s="56" t="s">
        <v>8263</v>
      </c>
      <c r="B404" s="84"/>
      <c r="C404" s="33" t="s">
        <v>4039</v>
      </c>
      <c r="E404" s="46" t="s">
        <v>3366</v>
      </c>
    </row>
    <row r="405">
      <c r="A405" s="56" t="s">
        <v>8264</v>
      </c>
      <c r="B405" s="84"/>
      <c r="C405" s="33" t="s">
        <v>4039</v>
      </c>
      <c r="E405" s="46" t="s">
        <v>3366</v>
      </c>
    </row>
    <row r="406">
      <c r="A406" s="56" t="s">
        <v>8265</v>
      </c>
      <c r="B406" s="84"/>
      <c r="C406" s="33" t="s">
        <v>4039</v>
      </c>
      <c r="E406" s="46" t="s">
        <v>3366</v>
      </c>
    </row>
    <row r="407">
      <c r="A407" s="56" t="s">
        <v>8267</v>
      </c>
      <c r="B407" s="84"/>
      <c r="C407" s="33" t="s">
        <v>4039</v>
      </c>
      <c r="E407" s="46" t="s">
        <v>3366</v>
      </c>
    </row>
    <row r="408">
      <c r="A408" s="56" t="s">
        <v>8269</v>
      </c>
      <c r="B408" s="84"/>
      <c r="C408" s="33" t="s">
        <v>4039</v>
      </c>
      <c r="E408" s="46" t="s">
        <v>3366</v>
      </c>
    </row>
    <row r="409">
      <c r="A409" s="56" t="s">
        <v>8270</v>
      </c>
      <c r="B409" s="84"/>
      <c r="C409" s="33" t="s">
        <v>4039</v>
      </c>
      <c r="E409" s="46" t="s">
        <v>3366</v>
      </c>
    </row>
    <row r="410">
      <c r="A410" s="56" t="s">
        <v>8271</v>
      </c>
      <c r="B410" s="82"/>
      <c r="C410" s="33" t="s">
        <v>8272</v>
      </c>
      <c r="E410" s="46" t="s">
        <v>7609</v>
      </c>
    </row>
    <row r="411">
      <c r="A411" s="56" t="s">
        <v>8273</v>
      </c>
      <c r="B411" s="82"/>
      <c r="C411" s="33" t="s">
        <v>7680</v>
      </c>
      <c r="E411" s="46" t="s">
        <v>7616</v>
      </c>
    </row>
    <row r="412">
      <c r="A412" s="56" t="s">
        <v>8276</v>
      </c>
      <c r="B412" s="82"/>
      <c r="C412" s="33" t="s">
        <v>7680</v>
      </c>
      <c r="E412" s="46" t="s">
        <v>7618</v>
      </c>
    </row>
    <row r="413">
      <c r="A413" s="56" t="s">
        <v>8277</v>
      </c>
      <c r="B413" s="82"/>
      <c r="C413" s="33" t="s">
        <v>7684</v>
      </c>
      <c r="E413" s="46" t="s">
        <v>7616</v>
      </c>
    </row>
    <row r="414">
      <c r="A414" s="56" t="s">
        <v>8278</v>
      </c>
      <c r="B414" s="82"/>
      <c r="C414" s="33" t="s">
        <v>7684</v>
      </c>
      <c r="E414" s="46" t="s">
        <v>7618</v>
      </c>
    </row>
    <row r="415">
      <c r="A415" s="56" t="s">
        <v>8279</v>
      </c>
      <c r="B415" s="82"/>
      <c r="C415" s="33" t="s">
        <v>8280</v>
      </c>
      <c r="E415" s="46" t="s">
        <v>7616</v>
      </c>
    </row>
    <row r="416">
      <c r="A416" s="56" t="s">
        <v>8282</v>
      </c>
      <c r="B416" s="82"/>
      <c r="C416" s="33" t="s">
        <v>8280</v>
      </c>
      <c r="E416" s="46" t="s">
        <v>7618</v>
      </c>
    </row>
    <row r="417">
      <c r="A417" s="56" t="s">
        <v>8284</v>
      </c>
      <c r="B417" s="82"/>
      <c r="C417" s="33" t="s">
        <v>7397</v>
      </c>
      <c r="E417" s="46" t="s">
        <v>7616</v>
      </c>
    </row>
    <row r="418">
      <c r="A418" s="56" t="s">
        <v>8285</v>
      </c>
      <c r="B418" s="82"/>
      <c r="C418" s="33" t="s">
        <v>7397</v>
      </c>
      <c r="E418" s="46" t="s">
        <v>7618</v>
      </c>
    </row>
    <row r="419">
      <c r="A419" s="56" t="s">
        <v>8286</v>
      </c>
      <c r="B419" s="79"/>
      <c r="C419" s="33" t="s">
        <v>7689</v>
      </c>
      <c r="E419" s="46" t="s">
        <v>1348</v>
      </c>
    </row>
    <row r="420">
      <c r="A420" s="56" t="s">
        <v>8287</v>
      </c>
      <c r="B420" s="79"/>
      <c r="C420" s="33" t="s">
        <v>7689</v>
      </c>
      <c r="E420" s="46" t="s">
        <v>1348</v>
      </c>
    </row>
    <row r="421">
      <c r="A421" s="56" t="s">
        <v>8289</v>
      </c>
      <c r="B421" s="79"/>
      <c r="C421" s="33" t="s">
        <v>7694</v>
      </c>
      <c r="E421" s="46" t="s">
        <v>1348</v>
      </c>
    </row>
    <row r="422">
      <c r="A422" s="56" t="s">
        <v>8291</v>
      </c>
      <c r="B422" s="82"/>
      <c r="C422" s="33" t="s">
        <v>7697</v>
      </c>
      <c r="E422" s="46" t="s">
        <v>7616</v>
      </c>
    </row>
    <row r="423">
      <c r="A423" s="56" t="s">
        <v>8292</v>
      </c>
      <c r="B423" s="82"/>
      <c r="C423" s="33" t="s">
        <v>7697</v>
      </c>
      <c r="E423" s="46" t="s">
        <v>7618</v>
      </c>
    </row>
    <row r="424">
      <c r="A424" s="56" t="s">
        <v>8293</v>
      </c>
      <c r="B424" s="21"/>
      <c r="C424" s="33" t="s">
        <v>7700</v>
      </c>
      <c r="E424" s="46" t="s">
        <v>7616</v>
      </c>
    </row>
    <row r="425">
      <c r="A425" s="56" t="s">
        <v>8294</v>
      </c>
      <c r="B425" s="21"/>
      <c r="C425" s="33" t="s">
        <v>7700</v>
      </c>
      <c r="E425" s="46" t="s">
        <v>7618</v>
      </c>
    </row>
    <row r="426">
      <c r="A426" s="56" t="s">
        <v>8296</v>
      </c>
      <c r="B426" s="21"/>
      <c r="C426" s="33" t="s">
        <v>7703</v>
      </c>
      <c r="E426" s="46" t="s">
        <v>7616</v>
      </c>
    </row>
    <row r="427">
      <c r="A427" s="56" t="s">
        <v>8298</v>
      </c>
      <c r="B427" s="21"/>
      <c r="C427" s="33" t="s">
        <v>7703</v>
      </c>
      <c r="E427" s="46" t="s">
        <v>7618</v>
      </c>
    </row>
    <row r="428">
      <c r="A428" s="56" t="s">
        <v>8299</v>
      </c>
      <c r="B428" s="21"/>
      <c r="C428" s="33" t="s">
        <v>7707</v>
      </c>
      <c r="E428" s="46" t="s">
        <v>7616</v>
      </c>
    </row>
    <row r="429">
      <c r="A429" s="56" t="s">
        <v>8300</v>
      </c>
      <c r="B429" s="21"/>
      <c r="C429" s="33" t="s">
        <v>7707</v>
      </c>
      <c r="E429" s="46" t="s">
        <v>7618</v>
      </c>
    </row>
    <row r="430">
      <c r="A430" s="56" t="s">
        <v>8301</v>
      </c>
      <c r="B430" s="21"/>
      <c r="C430" s="33" t="s">
        <v>7712</v>
      </c>
      <c r="E430" s="46" t="s">
        <v>7616</v>
      </c>
    </row>
    <row r="431">
      <c r="A431" s="56" t="s">
        <v>8302</v>
      </c>
      <c r="B431" s="21"/>
      <c r="C431" s="33" t="s">
        <v>7712</v>
      </c>
      <c r="E431" s="46" t="s">
        <v>7618</v>
      </c>
    </row>
    <row r="432">
      <c r="A432" s="56" t="s">
        <v>8305</v>
      </c>
      <c r="B432" s="21"/>
      <c r="C432" s="33" t="s">
        <v>7700</v>
      </c>
      <c r="E432" s="46" t="s">
        <v>7616</v>
      </c>
    </row>
    <row r="433">
      <c r="A433" s="56" t="s">
        <v>8306</v>
      </c>
      <c r="B433" s="21"/>
      <c r="C433" s="33" t="s">
        <v>7700</v>
      </c>
      <c r="E433" s="46" t="s">
        <v>7618</v>
      </c>
    </row>
    <row r="434">
      <c r="A434" s="56" t="s">
        <v>8307</v>
      </c>
      <c r="B434" s="21"/>
      <c r="C434" s="33" t="s">
        <v>7707</v>
      </c>
      <c r="E434" s="46" t="s">
        <v>7616</v>
      </c>
    </row>
    <row r="435">
      <c r="A435" s="56" t="s">
        <v>8308</v>
      </c>
      <c r="B435" s="21"/>
      <c r="C435" s="33" t="s">
        <v>7707</v>
      </c>
      <c r="E435" s="46" t="s">
        <v>7618</v>
      </c>
    </row>
    <row r="436">
      <c r="A436" s="56" t="s">
        <v>8310</v>
      </c>
      <c r="B436" s="21"/>
      <c r="C436" s="33" t="s">
        <v>7712</v>
      </c>
      <c r="E436" s="46" t="s">
        <v>7616</v>
      </c>
    </row>
    <row r="437">
      <c r="A437" s="56" t="s">
        <v>8312</v>
      </c>
      <c r="B437" s="21"/>
      <c r="C437" s="33" t="s">
        <v>7712</v>
      </c>
      <c r="E437" s="46" t="s">
        <v>7618</v>
      </c>
    </row>
    <row r="438">
      <c r="A438" s="56" t="s">
        <v>8313</v>
      </c>
      <c r="B438" s="21"/>
      <c r="C438" s="33" t="s">
        <v>7723</v>
      </c>
      <c r="E438" s="46" t="s">
        <v>7616</v>
      </c>
    </row>
    <row r="439">
      <c r="A439" s="56" t="s">
        <v>8314</v>
      </c>
      <c r="B439" s="21"/>
      <c r="C439" s="33" t="s">
        <v>7723</v>
      </c>
      <c r="E439" s="46" t="s">
        <v>7618</v>
      </c>
    </row>
    <row r="440">
      <c r="A440" s="56" t="s">
        <v>8315</v>
      </c>
      <c r="B440" s="21"/>
      <c r="C440" s="33" t="s">
        <v>7726</v>
      </c>
      <c r="E440" s="46" t="s">
        <v>7616</v>
      </c>
    </row>
    <row r="441">
      <c r="A441" s="56" t="s">
        <v>8316</v>
      </c>
      <c r="B441" s="21"/>
      <c r="C441" s="33" t="s">
        <v>7726</v>
      </c>
      <c r="E441" s="46" t="s">
        <v>7618</v>
      </c>
    </row>
    <row r="442">
      <c r="A442" s="56" t="s">
        <v>8319</v>
      </c>
      <c r="B442" s="21"/>
      <c r="C442" s="33" t="s">
        <v>7452</v>
      </c>
      <c r="E442" s="46" t="s">
        <v>7616</v>
      </c>
    </row>
    <row r="443">
      <c r="A443" s="56" t="s">
        <v>8320</v>
      </c>
      <c r="B443" s="21"/>
      <c r="C443" s="33" t="s">
        <v>7452</v>
      </c>
      <c r="E443" s="46" t="s">
        <v>7618</v>
      </c>
    </row>
    <row r="444">
      <c r="A444" s="56" t="s">
        <v>8321</v>
      </c>
      <c r="B444" s="21"/>
      <c r="C444" s="33" t="s">
        <v>7723</v>
      </c>
      <c r="E444" s="46" t="s">
        <v>7616</v>
      </c>
    </row>
    <row r="445">
      <c r="A445" s="56" t="s">
        <v>8322</v>
      </c>
      <c r="B445" s="21"/>
      <c r="C445" s="33" t="s">
        <v>7723</v>
      </c>
      <c r="E445" s="46" t="s">
        <v>7618</v>
      </c>
    </row>
    <row r="446">
      <c r="A446" s="56" t="s">
        <v>8324</v>
      </c>
      <c r="B446" s="21"/>
      <c r="C446" s="33" t="s">
        <v>7726</v>
      </c>
      <c r="E446" s="46" t="s">
        <v>7616</v>
      </c>
    </row>
    <row r="447">
      <c r="A447" s="56" t="s">
        <v>8325</v>
      </c>
      <c r="B447" s="21"/>
      <c r="C447" s="33" t="s">
        <v>7726</v>
      </c>
      <c r="E447" s="46" t="s">
        <v>7618</v>
      </c>
    </row>
    <row r="448">
      <c r="A448" s="56" t="s">
        <v>8326</v>
      </c>
      <c r="B448" s="21"/>
      <c r="C448" s="33" t="s">
        <v>7452</v>
      </c>
      <c r="E448" s="46" t="s">
        <v>7616</v>
      </c>
    </row>
    <row r="449">
      <c r="A449" s="56" t="s">
        <v>8328</v>
      </c>
      <c r="B449" s="21"/>
      <c r="C449" s="33" t="s">
        <v>7452</v>
      </c>
      <c r="E449" s="46" t="s">
        <v>7618</v>
      </c>
    </row>
    <row r="450">
      <c r="A450" s="56" t="s">
        <v>8329</v>
      </c>
      <c r="B450" s="55"/>
      <c r="C450" s="31"/>
      <c r="E450" s="46" t="s">
        <v>3366</v>
      </c>
    </row>
    <row r="451">
      <c r="A451" s="56" t="s">
        <v>8331</v>
      </c>
      <c r="B451" s="55"/>
      <c r="C451" s="31"/>
      <c r="E451" s="46" t="s">
        <v>3366</v>
      </c>
    </row>
    <row r="452">
      <c r="A452" s="56" t="s">
        <v>8332</v>
      </c>
      <c r="B452" s="55"/>
      <c r="C452" s="31"/>
      <c r="E452" s="46" t="s">
        <v>3366</v>
      </c>
    </row>
    <row r="453">
      <c r="A453" s="56" t="s">
        <v>8333</v>
      </c>
      <c r="B453" s="55"/>
      <c r="C453" s="31"/>
      <c r="E453" s="46" t="s">
        <v>3366</v>
      </c>
    </row>
    <row r="454">
      <c r="A454" s="56" t="s">
        <v>8334</v>
      </c>
      <c r="B454" s="55"/>
      <c r="C454" s="31"/>
      <c r="E454" s="46" t="s">
        <v>3366</v>
      </c>
    </row>
    <row r="455">
      <c r="A455" s="56" t="s">
        <v>8335</v>
      </c>
      <c r="B455" s="55"/>
      <c r="C455" s="31"/>
      <c r="E455" s="46" t="s">
        <v>3366</v>
      </c>
    </row>
    <row r="456">
      <c r="A456" s="56" t="s">
        <v>8337</v>
      </c>
      <c r="B456" s="82"/>
      <c r="C456" s="33" t="s">
        <v>8338</v>
      </c>
      <c r="E456" s="46" t="s">
        <v>7609</v>
      </c>
    </row>
    <row r="457">
      <c r="A457" s="56" t="s">
        <v>8339</v>
      </c>
      <c r="B457" s="82"/>
      <c r="C457" s="33" t="s">
        <v>7811</v>
      </c>
      <c r="E457" s="46" t="s">
        <v>7616</v>
      </c>
    </row>
    <row r="458">
      <c r="A458" s="56" t="s">
        <v>8340</v>
      </c>
      <c r="B458" s="82"/>
      <c r="C458" s="33" t="s">
        <v>7811</v>
      </c>
      <c r="E458" s="46" t="s">
        <v>7618</v>
      </c>
    </row>
    <row r="459">
      <c r="A459" s="56" t="s">
        <v>8341</v>
      </c>
      <c r="B459" s="82"/>
      <c r="C459" s="33" t="s">
        <v>7814</v>
      </c>
      <c r="E459" s="46" t="s">
        <v>7616</v>
      </c>
    </row>
    <row r="460">
      <c r="A460" s="56" t="s">
        <v>8342</v>
      </c>
      <c r="B460" s="82"/>
      <c r="C460" s="33" t="s">
        <v>7814</v>
      </c>
      <c r="E460" s="46" t="s">
        <v>7618</v>
      </c>
    </row>
    <row r="461">
      <c r="A461" s="56" t="s">
        <v>8344</v>
      </c>
      <c r="B461" s="82"/>
      <c r="C461" s="33" t="s">
        <v>7818</v>
      </c>
      <c r="E461" s="46" t="s">
        <v>7616</v>
      </c>
    </row>
    <row r="462">
      <c r="A462" s="56" t="s">
        <v>8345</v>
      </c>
      <c r="B462" s="82"/>
      <c r="C462" s="33" t="s">
        <v>7818</v>
      </c>
      <c r="E462" s="46" t="s">
        <v>7618</v>
      </c>
    </row>
    <row r="463">
      <c r="A463" s="56" t="s">
        <v>8346</v>
      </c>
      <c r="B463" s="82"/>
      <c r="C463" s="33" t="s">
        <v>8347</v>
      </c>
      <c r="E463" s="46" t="s">
        <v>7616</v>
      </c>
    </row>
    <row r="464">
      <c r="A464" s="56" t="s">
        <v>8348</v>
      </c>
      <c r="B464" s="82"/>
      <c r="C464" s="33" t="s">
        <v>8347</v>
      </c>
      <c r="E464" s="46" t="s">
        <v>7618</v>
      </c>
    </row>
    <row r="465">
      <c r="A465" s="56" t="s">
        <v>8349</v>
      </c>
      <c r="B465" s="79"/>
      <c r="C465" s="33" t="s">
        <v>7822</v>
      </c>
      <c r="E465" s="46" t="s">
        <v>1348</v>
      </c>
    </row>
    <row r="466">
      <c r="A466" s="56" t="s">
        <v>8350</v>
      </c>
      <c r="B466" s="79"/>
      <c r="C466" s="33" t="s">
        <v>7822</v>
      </c>
      <c r="E466" s="46" t="s">
        <v>1348</v>
      </c>
    </row>
    <row r="467">
      <c r="A467" s="56" t="s">
        <v>8352</v>
      </c>
      <c r="B467" s="79"/>
      <c r="C467" s="33" t="s">
        <v>7825</v>
      </c>
      <c r="E467" s="46" t="s">
        <v>1348</v>
      </c>
    </row>
    <row r="468">
      <c r="A468" s="56" t="s">
        <v>8353</v>
      </c>
      <c r="B468" s="21"/>
      <c r="C468" s="33" t="s">
        <v>7828</v>
      </c>
      <c r="E468" s="46" t="s">
        <v>7616</v>
      </c>
    </row>
    <row r="469">
      <c r="A469" s="56" t="s">
        <v>8354</v>
      </c>
      <c r="B469" s="21"/>
      <c r="C469" s="33" t="s">
        <v>7828</v>
      </c>
      <c r="E469" s="46" t="s">
        <v>7618</v>
      </c>
    </row>
    <row r="470">
      <c r="A470" s="56" t="s">
        <v>8356</v>
      </c>
      <c r="B470" s="21"/>
      <c r="C470" s="33" t="s">
        <v>7828</v>
      </c>
      <c r="E470" s="46" t="s">
        <v>7616</v>
      </c>
    </row>
    <row r="471">
      <c r="A471" s="56" t="s">
        <v>8357</v>
      </c>
      <c r="B471" s="21"/>
      <c r="C471" s="33" t="s">
        <v>7828</v>
      </c>
      <c r="E471" s="46" t="s">
        <v>7618</v>
      </c>
    </row>
    <row r="472">
      <c r="A472" s="56" t="s">
        <v>8358</v>
      </c>
      <c r="B472" s="82"/>
      <c r="C472" s="33" t="s">
        <v>7834</v>
      </c>
      <c r="E472" s="46" t="s">
        <v>7616</v>
      </c>
    </row>
    <row r="473">
      <c r="A473" s="56" t="s">
        <v>8362</v>
      </c>
      <c r="B473" s="82"/>
      <c r="C473" s="33" t="s">
        <v>7834</v>
      </c>
      <c r="E473" s="46" t="s">
        <v>7618</v>
      </c>
    </row>
    <row r="474">
      <c r="A474" s="56" t="s">
        <v>8363</v>
      </c>
      <c r="B474" s="82"/>
      <c r="C474" s="33" t="s">
        <v>7839</v>
      </c>
      <c r="E474" s="46" t="s">
        <v>7616</v>
      </c>
    </row>
    <row r="475">
      <c r="A475" s="56" t="s">
        <v>8364</v>
      </c>
      <c r="B475" s="82"/>
      <c r="C475" s="33" t="s">
        <v>7839</v>
      </c>
      <c r="E475" s="46" t="s">
        <v>7618</v>
      </c>
    </row>
    <row r="476">
      <c r="A476" s="56" t="s">
        <v>8365</v>
      </c>
      <c r="B476" s="82"/>
      <c r="C476" s="33" t="s">
        <v>7842</v>
      </c>
      <c r="E476" s="46" t="s">
        <v>7616</v>
      </c>
    </row>
    <row r="477">
      <c r="A477" s="56" t="s">
        <v>8367</v>
      </c>
      <c r="B477" s="82"/>
      <c r="C477" s="33" t="s">
        <v>7842</v>
      </c>
      <c r="E477" s="46" t="s">
        <v>7618</v>
      </c>
    </row>
    <row r="478">
      <c r="A478" s="56" t="s">
        <v>8368</v>
      </c>
      <c r="B478" s="82"/>
      <c r="C478" s="33" t="s">
        <v>7846</v>
      </c>
      <c r="E478" s="46" t="s">
        <v>7616</v>
      </c>
    </row>
    <row r="479">
      <c r="A479" s="56" t="s">
        <v>8369</v>
      </c>
      <c r="B479" s="82"/>
      <c r="C479" s="33" t="s">
        <v>7846</v>
      </c>
      <c r="E479" s="46" t="s">
        <v>7618</v>
      </c>
    </row>
    <row r="480">
      <c r="A480" s="56" t="s">
        <v>8370</v>
      </c>
      <c r="B480" s="82"/>
      <c r="C480" s="33" t="s">
        <v>7850</v>
      </c>
      <c r="E480" s="46" t="s">
        <v>7616</v>
      </c>
    </row>
    <row r="481">
      <c r="A481" s="56" t="s">
        <v>8371</v>
      </c>
      <c r="B481" s="82"/>
      <c r="C481" s="33" t="s">
        <v>7850</v>
      </c>
      <c r="E481" s="46" t="s">
        <v>7618</v>
      </c>
    </row>
    <row r="482">
      <c r="A482" s="56" t="s">
        <v>8374</v>
      </c>
      <c r="B482" s="21"/>
      <c r="C482" s="33" t="s">
        <v>7853</v>
      </c>
      <c r="E482" s="46" t="s">
        <v>7616</v>
      </c>
    </row>
    <row r="483">
      <c r="A483" s="56" t="s">
        <v>8377</v>
      </c>
      <c r="B483" s="21"/>
      <c r="C483" s="33" t="s">
        <v>7853</v>
      </c>
      <c r="E483" s="46" t="s">
        <v>7618</v>
      </c>
    </row>
    <row r="484">
      <c r="A484" s="56" t="s">
        <v>8378</v>
      </c>
      <c r="B484" s="21"/>
      <c r="C484" s="33" t="s">
        <v>7858</v>
      </c>
      <c r="E484" s="46" t="s">
        <v>7616</v>
      </c>
    </row>
    <row r="485">
      <c r="A485" s="56" t="s">
        <v>8381</v>
      </c>
      <c r="B485" s="21"/>
      <c r="C485" s="33" t="s">
        <v>7858</v>
      </c>
      <c r="E485" s="46" t="s">
        <v>7618</v>
      </c>
    </row>
    <row r="486">
      <c r="A486" s="56" t="s">
        <v>8382</v>
      </c>
      <c r="B486" s="21"/>
      <c r="C486" s="33" t="s">
        <v>7861</v>
      </c>
      <c r="E486" s="46" t="s">
        <v>7616</v>
      </c>
    </row>
    <row r="487">
      <c r="A487" s="56" t="s">
        <v>8384</v>
      </c>
      <c r="B487" s="21"/>
      <c r="C487" s="33" t="s">
        <v>7861</v>
      </c>
      <c r="E487" s="46" t="s">
        <v>7618</v>
      </c>
    </row>
    <row r="488">
      <c r="A488" s="56" t="s">
        <v>8386</v>
      </c>
      <c r="B488" s="21"/>
      <c r="C488" s="33" t="s">
        <v>7853</v>
      </c>
      <c r="E488" s="46" t="s">
        <v>7616</v>
      </c>
    </row>
    <row r="489">
      <c r="A489" s="56" t="s">
        <v>8387</v>
      </c>
      <c r="B489" s="21"/>
      <c r="C489" s="33" t="s">
        <v>7853</v>
      </c>
      <c r="E489" s="46" t="s">
        <v>7618</v>
      </c>
    </row>
    <row r="490">
      <c r="A490" s="56" t="s">
        <v>8388</v>
      </c>
      <c r="B490" s="21"/>
      <c r="C490" s="33" t="s">
        <v>7858</v>
      </c>
      <c r="E490" s="46" t="s">
        <v>7616</v>
      </c>
    </row>
    <row r="491">
      <c r="A491" s="56" t="s">
        <v>8391</v>
      </c>
      <c r="B491" s="21"/>
      <c r="C491" s="33" t="s">
        <v>7858</v>
      </c>
      <c r="E491" s="46" t="s">
        <v>7618</v>
      </c>
    </row>
    <row r="492">
      <c r="A492" s="56" t="s">
        <v>8393</v>
      </c>
      <c r="B492" s="21"/>
      <c r="C492" s="33" t="s">
        <v>7861</v>
      </c>
      <c r="E492" s="46" t="s">
        <v>7616</v>
      </c>
    </row>
    <row r="493">
      <c r="A493" s="56" t="s">
        <v>8396</v>
      </c>
      <c r="B493" s="21"/>
      <c r="C493" s="33" t="s">
        <v>7861</v>
      </c>
      <c r="E493" s="46" t="s">
        <v>7618</v>
      </c>
    </row>
    <row r="494">
      <c r="A494" s="56" t="s">
        <v>8397</v>
      </c>
      <c r="B494" s="84"/>
      <c r="C494" s="33" t="s">
        <v>1791</v>
      </c>
      <c r="E494" s="46" t="s">
        <v>3366</v>
      </c>
    </row>
    <row r="495">
      <c r="A495" s="56" t="s">
        <v>8398</v>
      </c>
      <c r="B495" s="55"/>
      <c r="C495" s="31"/>
      <c r="E495" s="46" t="s">
        <v>3366</v>
      </c>
    </row>
    <row r="496">
      <c r="A496" s="56" t="s">
        <v>8399</v>
      </c>
      <c r="B496" s="55"/>
      <c r="C496" s="31"/>
      <c r="E496" s="46" t="s">
        <v>3366</v>
      </c>
    </row>
    <row r="497">
      <c r="A497" s="56" t="s">
        <v>8403</v>
      </c>
      <c r="B497" s="55"/>
      <c r="C497" s="31"/>
      <c r="E497" s="46" t="s">
        <v>3366</v>
      </c>
    </row>
    <row r="498">
      <c r="A498" s="56" t="s">
        <v>8404</v>
      </c>
      <c r="B498" s="55"/>
      <c r="C498" s="31"/>
      <c r="E498" s="46" t="s">
        <v>3366</v>
      </c>
    </row>
    <row r="499">
      <c r="A499" s="56" t="s">
        <v>8405</v>
      </c>
      <c r="B499" s="82"/>
      <c r="C499" s="33" t="s">
        <v>8406</v>
      </c>
      <c r="E499" s="46" t="s">
        <v>7609</v>
      </c>
    </row>
    <row r="500">
      <c r="A500" s="56" t="s">
        <v>8407</v>
      </c>
      <c r="B500" s="82"/>
      <c r="C500" s="33" t="s">
        <v>7889</v>
      </c>
      <c r="E500" s="46" t="s">
        <v>7616</v>
      </c>
    </row>
    <row r="501">
      <c r="A501" s="56" t="s">
        <v>8411</v>
      </c>
      <c r="B501" s="82"/>
      <c r="C501" s="33" t="s">
        <v>7889</v>
      </c>
      <c r="E501" s="46" t="s">
        <v>7618</v>
      </c>
    </row>
    <row r="502">
      <c r="A502" s="56" t="s">
        <v>8412</v>
      </c>
      <c r="B502" s="82"/>
      <c r="C502" s="33" t="s">
        <v>7893</v>
      </c>
      <c r="E502" s="46" t="s">
        <v>7616</v>
      </c>
    </row>
    <row r="503">
      <c r="A503" s="56" t="s">
        <v>8413</v>
      </c>
      <c r="B503" s="82"/>
      <c r="C503" s="33" t="s">
        <v>7893</v>
      </c>
      <c r="E503" s="46" t="s">
        <v>7618</v>
      </c>
    </row>
    <row r="504">
      <c r="A504" s="56" t="s">
        <v>8415</v>
      </c>
      <c r="B504" s="82"/>
      <c r="C504" s="33" t="s">
        <v>7898</v>
      </c>
      <c r="E504" s="46" t="s">
        <v>7616</v>
      </c>
    </row>
    <row r="505">
      <c r="A505" s="56" t="s">
        <v>8418</v>
      </c>
      <c r="B505" s="82"/>
      <c r="C505" s="33" t="s">
        <v>7898</v>
      </c>
      <c r="E505" s="46" t="s">
        <v>7618</v>
      </c>
    </row>
    <row r="506">
      <c r="A506" s="56" t="s">
        <v>8419</v>
      </c>
      <c r="B506" s="82"/>
      <c r="C506" s="33" t="s">
        <v>8420</v>
      </c>
      <c r="E506" s="46" t="s">
        <v>7616</v>
      </c>
    </row>
    <row r="507">
      <c r="A507" s="56" t="s">
        <v>8421</v>
      </c>
      <c r="B507" s="82"/>
      <c r="C507" s="33" t="s">
        <v>8420</v>
      </c>
      <c r="E507" s="46" t="s">
        <v>7618</v>
      </c>
    </row>
    <row r="508">
      <c r="A508" s="56" t="s">
        <v>8422</v>
      </c>
      <c r="B508" s="79"/>
      <c r="C508" s="33" t="s">
        <v>7901</v>
      </c>
      <c r="E508" s="46" t="s">
        <v>1348</v>
      </c>
    </row>
    <row r="509">
      <c r="A509" s="56" t="s">
        <v>8426</v>
      </c>
      <c r="B509" s="79"/>
      <c r="C509" s="33" t="s">
        <v>7901</v>
      </c>
      <c r="E509" s="46" t="s">
        <v>1348</v>
      </c>
    </row>
    <row r="510">
      <c r="A510" s="56" t="s">
        <v>8427</v>
      </c>
      <c r="B510" s="79"/>
      <c r="C510" s="33" t="s">
        <v>7905</v>
      </c>
      <c r="E510" s="46" t="s">
        <v>1348</v>
      </c>
    </row>
    <row r="511">
      <c r="A511" s="56" t="s">
        <v>8428</v>
      </c>
      <c r="B511" s="21"/>
      <c r="C511" s="33" t="s">
        <v>7908</v>
      </c>
      <c r="E511" s="46" t="s">
        <v>7616</v>
      </c>
    </row>
    <row r="512">
      <c r="A512" s="56" t="s">
        <v>8429</v>
      </c>
      <c r="B512" s="21"/>
      <c r="C512" s="33" t="s">
        <v>7908</v>
      </c>
      <c r="E512" s="46" t="s">
        <v>7618</v>
      </c>
    </row>
    <row r="513">
      <c r="A513" s="56" t="s">
        <v>8431</v>
      </c>
      <c r="B513" s="21"/>
      <c r="C513" s="33" t="s">
        <v>7911</v>
      </c>
      <c r="E513" s="46" t="s">
        <v>7616</v>
      </c>
    </row>
    <row r="514">
      <c r="A514" s="56" t="s">
        <v>8433</v>
      </c>
      <c r="B514" s="21"/>
      <c r="C514" s="33" t="s">
        <v>7911</v>
      </c>
      <c r="E514" s="46" t="s">
        <v>7618</v>
      </c>
    </row>
    <row r="515">
      <c r="A515" s="56" t="s">
        <v>8434</v>
      </c>
      <c r="B515" s="21"/>
      <c r="C515" s="33" t="s">
        <v>7916</v>
      </c>
      <c r="E515" s="46" t="s">
        <v>7616</v>
      </c>
    </row>
    <row r="516">
      <c r="A516" s="56" t="s">
        <v>8435</v>
      </c>
      <c r="B516" s="21"/>
      <c r="C516" s="33" t="s">
        <v>7916</v>
      </c>
      <c r="E516" s="46" t="s">
        <v>7618</v>
      </c>
    </row>
    <row r="517">
      <c r="A517" s="56" t="s">
        <v>8437</v>
      </c>
      <c r="B517" s="21"/>
      <c r="C517" s="33" t="s">
        <v>7908</v>
      </c>
      <c r="E517" s="46" t="s">
        <v>7616</v>
      </c>
    </row>
    <row r="518">
      <c r="A518" s="56" t="s">
        <v>8441</v>
      </c>
      <c r="B518" s="21"/>
      <c r="C518" s="33" t="s">
        <v>7908</v>
      </c>
      <c r="E518" s="46" t="s">
        <v>7618</v>
      </c>
    </row>
    <row r="519">
      <c r="A519" s="56" t="s">
        <v>8442</v>
      </c>
      <c r="B519" s="21"/>
      <c r="C519" s="33" t="s">
        <v>7911</v>
      </c>
      <c r="E519" s="46" t="s">
        <v>7616</v>
      </c>
    </row>
    <row r="520">
      <c r="A520" s="56" t="s">
        <v>8444</v>
      </c>
      <c r="B520" s="21"/>
      <c r="C520" s="33" t="s">
        <v>7911</v>
      </c>
      <c r="E520" s="46" t="s">
        <v>7618</v>
      </c>
    </row>
    <row r="521">
      <c r="A521" s="56" t="s">
        <v>8445</v>
      </c>
      <c r="B521" s="21"/>
      <c r="C521" s="33" t="s">
        <v>7916</v>
      </c>
      <c r="E521" s="46" t="s">
        <v>7616</v>
      </c>
    </row>
    <row r="522">
      <c r="A522" s="56" t="s">
        <v>8446</v>
      </c>
      <c r="B522" s="21"/>
      <c r="C522" s="33" t="s">
        <v>7916</v>
      </c>
      <c r="E522" s="46" t="s">
        <v>7618</v>
      </c>
    </row>
    <row r="523">
      <c r="A523" s="56" t="s">
        <v>8447</v>
      </c>
      <c r="B523" s="21"/>
      <c r="C523" s="33" t="s">
        <v>7927</v>
      </c>
      <c r="E523" s="46" t="s">
        <v>7616</v>
      </c>
    </row>
    <row r="524">
      <c r="A524" s="56" t="s">
        <v>8448</v>
      </c>
      <c r="B524" s="21"/>
      <c r="C524" s="33" t="s">
        <v>7927</v>
      </c>
      <c r="E524" s="46" t="s">
        <v>7618</v>
      </c>
    </row>
    <row r="525">
      <c r="A525" s="56" t="s">
        <v>8449</v>
      </c>
      <c r="B525" s="21"/>
      <c r="C525" s="33" t="s">
        <v>7932</v>
      </c>
      <c r="E525" s="46" t="s">
        <v>7616</v>
      </c>
    </row>
    <row r="526">
      <c r="A526" s="56" t="s">
        <v>8451</v>
      </c>
      <c r="B526" s="21"/>
      <c r="C526" s="33" t="s">
        <v>7932</v>
      </c>
      <c r="E526" s="46" t="s">
        <v>7618</v>
      </c>
    </row>
    <row r="527">
      <c r="A527" s="56" t="s">
        <v>8452</v>
      </c>
      <c r="B527" s="21"/>
      <c r="C527" s="33" t="s">
        <v>7935</v>
      </c>
      <c r="E527" s="46" t="s">
        <v>7616</v>
      </c>
    </row>
    <row r="528">
      <c r="A528" s="56" t="s">
        <v>8453</v>
      </c>
      <c r="B528" s="21"/>
      <c r="C528" s="33" t="s">
        <v>7935</v>
      </c>
      <c r="E528" s="46" t="s">
        <v>7618</v>
      </c>
    </row>
    <row r="529">
      <c r="A529" s="56" t="s">
        <v>8455</v>
      </c>
      <c r="B529" s="21"/>
      <c r="C529" s="33" t="s">
        <v>7927</v>
      </c>
      <c r="E529" s="46" t="s">
        <v>7616</v>
      </c>
    </row>
    <row r="530">
      <c r="A530" s="56" t="s">
        <v>8457</v>
      </c>
      <c r="B530" s="21"/>
      <c r="C530" s="33" t="s">
        <v>7927</v>
      </c>
      <c r="E530" s="46" t="s">
        <v>7618</v>
      </c>
    </row>
    <row r="531">
      <c r="A531" s="56" t="s">
        <v>8459</v>
      </c>
      <c r="B531" s="21"/>
      <c r="C531" s="33" t="s">
        <v>7932</v>
      </c>
      <c r="E531" s="46" t="s">
        <v>7616</v>
      </c>
    </row>
    <row r="532">
      <c r="A532" s="56" t="s">
        <v>8460</v>
      </c>
      <c r="B532" s="21"/>
      <c r="C532" s="33" t="s">
        <v>7932</v>
      </c>
      <c r="E532" s="46" t="s">
        <v>7618</v>
      </c>
    </row>
    <row r="533">
      <c r="A533" s="56" t="s">
        <v>8461</v>
      </c>
      <c r="B533" s="21"/>
      <c r="C533" s="33" t="s">
        <v>7935</v>
      </c>
      <c r="E533" s="46" t="s">
        <v>7616</v>
      </c>
    </row>
    <row r="534">
      <c r="A534" s="56" t="s">
        <v>8463</v>
      </c>
      <c r="B534" s="21"/>
      <c r="C534" s="33" t="s">
        <v>7935</v>
      </c>
      <c r="E534" s="46" t="s">
        <v>7618</v>
      </c>
    </row>
    <row r="535">
      <c r="A535" s="56" t="s">
        <v>8464</v>
      </c>
      <c r="B535" s="84"/>
      <c r="C535" s="33" t="s">
        <v>1390</v>
      </c>
      <c r="E535" s="46" t="s">
        <v>3366</v>
      </c>
    </row>
    <row r="536">
      <c r="A536" s="56" t="s">
        <v>8466</v>
      </c>
      <c r="B536" s="82"/>
      <c r="C536" s="33" t="s">
        <v>8467</v>
      </c>
      <c r="E536" s="46" t="s">
        <v>7609</v>
      </c>
    </row>
    <row r="537">
      <c r="A537" s="56" t="s">
        <v>8468</v>
      </c>
      <c r="B537" s="82"/>
      <c r="C537" s="33" t="s">
        <v>7747</v>
      </c>
      <c r="E537" s="46" t="s">
        <v>7616</v>
      </c>
    </row>
    <row r="538">
      <c r="A538" s="56" t="s">
        <v>8469</v>
      </c>
      <c r="B538" s="82"/>
      <c r="C538" s="33" t="s">
        <v>7747</v>
      </c>
      <c r="E538" s="46" t="s">
        <v>7618</v>
      </c>
    </row>
    <row r="539">
      <c r="A539" s="56" t="s">
        <v>8471</v>
      </c>
      <c r="B539" s="82"/>
      <c r="C539" s="33" t="s">
        <v>7750</v>
      </c>
      <c r="E539" s="46" t="s">
        <v>7616</v>
      </c>
    </row>
    <row r="540">
      <c r="A540" s="56" t="s">
        <v>8472</v>
      </c>
      <c r="B540" s="82"/>
      <c r="C540" s="33" t="s">
        <v>7750</v>
      </c>
      <c r="E540" s="46" t="s">
        <v>7618</v>
      </c>
    </row>
    <row r="541">
      <c r="A541" s="56" t="s">
        <v>8473</v>
      </c>
      <c r="B541" s="82"/>
      <c r="C541" s="33" t="s">
        <v>7172</v>
      </c>
      <c r="E541" s="46" t="s">
        <v>7616</v>
      </c>
    </row>
    <row r="542">
      <c r="A542" s="56" t="s">
        <v>8476</v>
      </c>
      <c r="B542" s="82"/>
      <c r="C542" s="33" t="s">
        <v>7172</v>
      </c>
      <c r="E542" s="46" t="s">
        <v>7618</v>
      </c>
    </row>
    <row r="543">
      <c r="A543" s="56" t="s">
        <v>8477</v>
      </c>
      <c r="B543" s="82"/>
      <c r="C543" s="33" t="s">
        <v>8478</v>
      </c>
      <c r="E543" s="46" t="s">
        <v>7616</v>
      </c>
    </row>
    <row r="544">
      <c r="A544" s="56" t="s">
        <v>8480</v>
      </c>
      <c r="B544" s="82"/>
      <c r="C544" s="33" t="s">
        <v>8478</v>
      </c>
      <c r="E544" s="46" t="s">
        <v>7618</v>
      </c>
    </row>
    <row r="545">
      <c r="A545" s="56" t="s">
        <v>8481</v>
      </c>
      <c r="B545" s="79"/>
      <c r="C545" s="33" t="s">
        <v>7759</v>
      </c>
      <c r="E545" s="46" t="s">
        <v>1348</v>
      </c>
    </row>
    <row r="546">
      <c r="A546" s="56" t="s">
        <v>8482</v>
      </c>
      <c r="B546" s="79"/>
      <c r="C546" s="33" t="s">
        <v>7759</v>
      </c>
      <c r="E546" s="46" t="s">
        <v>1348</v>
      </c>
    </row>
    <row r="547">
      <c r="A547" s="56" t="s">
        <v>8483</v>
      </c>
      <c r="B547" s="79"/>
      <c r="C547" s="33" t="s">
        <v>7764</v>
      </c>
      <c r="E547" s="46" t="s">
        <v>1348</v>
      </c>
    </row>
    <row r="548">
      <c r="A548" s="56" t="s">
        <v>8484</v>
      </c>
      <c r="B548" s="21"/>
      <c r="C548" s="33" t="s">
        <v>7766</v>
      </c>
      <c r="E548" s="46" t="s">
        <v>7616</v>
      </c>
    </row>
    <row r="549">
      <c r="A549" s="56" t="s">
        <v>8487</v>
      </c>
      <c r="B549" s="21"/>
      <c r="C549" s="33" t="s">
        <v>7766</v>
      </c>
      <c r="E549" s="46" t="s">
        <v>7618</v>
      </c>
    </row>
    <row r="550">
      <c r="A550" s="56" t="s">
        <v>8488</v>
      </c>
      <c r="B550" s="21"/>
      <c r="C550" s="33" t="s">
        <v>7770</v>
      </c>
      <c r="E550" s="46" t="s">
        <v>7616</v>
      </c>
    </row>
    <row r="551">
      <c r="A551" s="56" t="s">
        <v>8491</v>
      </c>
      <c r="B551" s="21"/>
      <c r="C551" s="33" t="s">
        <v>7770</v>
      </c>
      <c r="E551" s="46" t="s">
        <v>7618</v>
      </c>
    </row>
    <row r="552">
      <c r="A552" s="56" t="s">
        <v>8493</v>
      </c>
      <c r="B552" s="21"/>
      <c r="C552" s="33" t="s">
        <v>7773</v>
      </c>
      <c r="E552" s="46" t="s">
        <v>7616</v>
      </c>
    </row>
    <row r="553">
      <c r="A553" s="56" t="s">
        <v>8494</v>
      </c>
      <c r="B553" s="21"/>
      <c r="C553" s="33" t="s">
        <v>7773</v>
      </c>
      <c r="E553" s="46" t="s">
        <v>7618</v>
      </c>
    </row>
    <row r="554">
      <c r="A554" s="56" t="s">
        <v>8495</v>
      </c>
      <c r="B554" s="21"/>
      <c r="C554" s="33" t="s">
        <v>7766</v>
      </c>
      <c r="E554" s="46" t="s">
        <v>7616</v>
      </c>
    </row>
    <row r="555">
      <c r="A555" s="56" t="s">
        <v>8496</v>
      </c>
      <c r="B555" s="21"/>
      <c r="C555" s="33" t="s">
        <v>7766</v>
      </c>
      <c r="E555" s="46" t="s">
        <v>7618</v>
      </c>
    </row>
    <row r="556">
      <c r="A556" s="56" t="s">
        <v>8499</v>
      </c>
      <c r="B556" s="21"/>
      <c r="C556" s="33" t="s">
        <v>7770</v>
      </c>
      <c r="E556" s="46" t="s">
        <v>7616</v>
      </c>
    </row>
    <row r="557">
      <c r="A557" s="56" t="s">
        <v>8500</v>
      </c>
      <c r="B557" s="21"/>
      <c r="C557" s="33" t="s">
        <v>7770</v>
      </c>
      <c r="E557" s="46" t="s">
        <v>7618</v>
      </c>
    </row>
    <row r="558">
      <c r="A558" s="56" t="s">
        <v>8501</v>
      </c>
      <c r="B558" s="21"/>
      <c r="C558" s="33" t="s">
        <v>7773</v>
      </c>
      <c r="E558" s="46" t="s">
        <v>7616</v>
      </c>
    </row>
    <row r="559">
      <c r="A559" s="56" t="s">
        <v>8502</v>
      </c>
      <c r="B559" s="21"/>
      <c r="C559" s="33" t="s">
        <v>7773</v>
      </c>
      <c r="E559" s="46" t="s">
        <v>7618</v>
      </c>
    </row>
    <row r="560">
      <c r="A560" s="56" t="s">
        <v>8503</v>
      </c>
      <c r="B560" s="21"/>
      <c r="C560" s="33" t="s">
        <v>7786</v>
      </c>
      <c r="E560" s="46" t="s">
        <v>7616</v>
      </c>
    </row>
    <row r="561">
      <c r="A561" s="56" t="s">
        <v>8507</v>
      </c>
      <c r="B561" s="21"/>
      <c r="C561" s="33" t="s">
        <v>7786</v>
      </c>
      <c r="E561" s="46" t="s">
        <v>7618</v>
      </c>
    </row>
    <row r="562">
      <c r="A562" s="56" t="s">
        <v>8508</v>
      </c>
      <c r="B562" s="21"/>
      <c r="C562" s="33" t="s">
        <v>7789</v>
      </c>
      <c r="E562" s="46" t="s">
        <v>7616</v>
      </c>
    </row>
    <row r="563">
      <c r="A563" s="56" t="s">
        <v>8509</v>
      </c>
      <c r="B563" s="21"/>
      <c r="C563" s="33" t="s">
        <v>7789</v>
      </c>
      <c r="E563" s="46" t="s">
        <v>7618</v>
      </c>
    </row>
    <row r="564">
      <c r="A564" s="56" t="s">
        <v>8510</v>
      </c>
      <c r="B564" s="21"/>
      <c r="C564" s="33" t="s">
        <v>7300</v>
      </c>
      <c r="E564" s="46" t="s">
        <v>7616</v>
      </c>
    </row>
    <row r="565">
      <c r="A565" s="56" t="s">
        <v>8513</v>
      </c>
      <c r="B565" s="21"/>
      <c r="C565" s="33" t="s">
        <v>7300</v>
      </c>
      <c r="E565" s="46" t="s">
        <v>7618</v>
      </c>
    </row>
    <row r="566">
      <c r="A566" s="56" t="s">
        <v>8514</v>
      </c>
      <c r="B566" s="21"/>
      <c r="C566" s="33" t="s">
        <v>7786</v>
      </c>
      <c r="E566" s="46" t="s">
        <v>7616</v>
      </c>
    </row>
    <row r="567">
      <c r="A567" s="56" t="s">
        <v>8515</v>
      </c>
      <c r="B567" s="21"/>
      <c r="C567" s="33" t="s">
        <v>7786</v>
      </c>
      <c r="E567" s="46" t="s">
        <v>7618</v>
      </c>
    </row>
    <row r="568">
      <c r="A568" s="56" t="s">
        <v>8516</v>
      </c>
      <c r="B568" s="21"/>
      <c r="C568" s="33" t="s">
        <v>7789</v>
      </c>
      <c r="E568" s="46" t="s">
        <v>7616</v>
      </c>
    </row>
    <row r="569">
      <c r="A569" s="56" t="s">
        <v>8517</v>
      </c>
      <c r="B569" s="21"/>
      <c r="C569" s="33" t="s">
        <v>7789</v>
      </c>
      <c r="E569" s="46" t="s">
        <v>7618</v>
      </c>
    </row>
    <row r="570">
      <c r="A570" s="56" t="s">
        <v>8521</v>
      </c>
      <c r="B570" s="21"/>
      <c r="C570" s="33" t="s">
        <v>7300</v>
      </c>
      <c r="E570" s="46" t="s">
        <v>7616</v>
      </c>
    </row>
    <row r="571">
      <c r="A571" s="56" t="s">
        <v>8522</v>
      </c>
      <c r="B571" s="21"/>
      <c r="C571" s="33" t="s">
        <v>7300</v>
      </c>
      <c r="E571" s="46" t="s">
        <v>7618</v>
      </c>
    </row>
    <row r="572">
      <c r="A572" s="56" t="s">
        <v>8523</v>
      </c>
      <c r="B572" s="84"/>
      <c r="C572" s="33" t="s">
        <v>1410</v>
      </c>
      <c r="E572" s="46" t="s">
        <v>3366</v>
      </c>
    </row>
    <row r="573">
      <c r="A573" s="56" t="s">
        <v>8525</v>
      </c>
      <c r="B573" s="84"/>
      <c r="C573" s="33" t="s">
        <v>1410</v>
      </c>
      <c r="E573" s="46" t="s">
        <v>3366</v>
      </c>
    </row>
    <row r="574">
      <c r="A574" s="56" t="s">
        <v>8527</v>
      </c>
      <c r="B574" s="84"/>
      <c r="C574" s="33" t="s">
        <v>1410</v>
      </c>
      <c r="E574" s="46" t="s">
        <v>3366</v>
      </c>
    </row>
    <row r="575">
      <c r="A575" s="56" t="s">
        <v>8529</v>
      </c>
      <c r="B575" s="84"/>
      <c r="C575" s="33" t="s">
        <v>1410</v>
      </c>
      <c r="E575" s="46" t="s">
        <v>3366</v>
      </c>
    </row>
    <row r="576">
      <c r="A576" s="56" t="s">
        <v>8531</v>
      </c>
      <c r="B576" s="84"/>
      <c r="C576" s="33" t="s">
        <v>1410</v>
      </c>
      <c r="E576" s="46" t="s">
        <v>3366</v>
      </c>
    </row>
    <row r="577">
      <c r="A577" s="56" t="s">
        <v>8532</v>
      </c>
      <c r="B577" s="84"/>
      <c r="C577" s="33" t="s">
        <v>1410</v>
      </c>
      <c r="E577" s="46" t="s">
        <v>3366</v>
      </c>
    </row>
    <row r="578">
      <c r="A578" s="56" t="s">
        <v>8533</v>
      </c>
      <c r="B578" s="84"/>
      <c r="C578" s="33" t="s">
        <v>1410</v>
      </c>
      <c r="E578" s="46" t="s">
        <v>3366</v>
      </c>
    </row>
    <row r="579">
      <c r="A579" s="56" t="s">
        <v>8536</v>
      </c>
      <c r="B579" s="84"/>
      <c r="C579" s="33" t="s">
        <v>1410</v>
      </c>
      <c r="E579" s="46" t="s">
        <v>3366</v>
      </c>
    </row>
    <row r="580">
      <c r="A580" s="56" t="s">
        <v>8539</v>
      </c>
      <c r="B580" s="84"/>
      <c r="C580" s="33" t="s">
        <v>1410</v>
      </c>
      <c r="E580" s="46" t="s">
        <v>3366</v>
      </c>
    </row>
    <row r="581">
      <c r="A581" s="56" t="s">
        <v>8540</v>
      </c>
      <c r="B581" s="55"/>
      <c r="C581" s="31"/>
      <c r="E581" s="46" t="s">
        <v>3366</v>
      </c>
    </row>
    <row r="582">
      <c r="A582" s="56" t="s">
        <v>8542</v>
      </c>
      <c r="B582" s="55"/>
      <c r="C582" s="31"/>
      <c r="E582" s="46" t="s">
        <v>3366</v>
      </c>
    </row>
    <row r="583">
      <c r="A583" s="56" t="s">
        <v>8543</v>
      </c>
      <c r="B583" s="55"/>
      <c r="C583" s="31"/>
      <c r="E583" s="46" t="s">
        <v>3366</v>
      </c>
    </row>
    <row r="584">
      <c r="A584" s="56" t="s">
        <v>8545</v>
      </c>
      <c r="B584" s="55"/>
      <c r="C584" s="31"/>
      <c r="E584" s="46" t="s">
        <v>3366</v>
      </c>
    </row>
    <row r="585">
      <c r="A585" s="56" t="s">
        <v>8546</v>
      </c>
      <c r="B585" s="55"/>
      <c r="C585" s="31"/>
      <c r="E585" s="46" t="s">
        <v>3366</v>
      </c>
    </row>
    <row r="586">
      <c r="A586" s="56" t="s">
        <v>8547</v>
      </c>
      <c r="B586" s="55"/>
      <c r="C586" s="31"/>
      <c r="E586" s="46" t="s">
        <v>3366</v>
      </c>
    </row>
    <row r="587">
      <c r="A587" s="56" t="s">
        <v>8549</v>
      </c>
      <c r="B587" s="55"/>
      <c r="C587" s="31"/>
      <c r="E587" s="46" t="s">
        <v>3366</v>
      </c>
    </row>
    <row r="588">
      <c r="A588" s="56" t="s">
        <v>8551</v>
      </c>
      <c r="B588" s="84"/>
      <c r="C588" s="33" t="s">
        <v>1410</v>
      </c>
      <c r="E588" s="46" t="s">
        <v>3366</v>
      </c>
    </row>
    <row r="589">
      <c r="A589" s="56" t="s">
        <v>8554</v>
      </c>
      <c r="B589" s="84"/>
      <c r="C589" s="33" t="s">
        <v>1410</v>
      </c>
      <c r="E589" s="46" t="s">
        <v>3366</v>
      </c>
    </row>
    <row r="590">
      <c r="A590" s="56" t="s">
        <v>8555</v>
      </c>
      <c r="B590" s="84"/>
      <c r="C590" s="33" t="s">
        <v>1410</v>
      </c>
      <c r="E590" s="46" t="s">
        <v>3366</v>
      </c>
    </row>
    <row r="591">
      <c r="A591" s="56" t="s">
        <v>8556</v>
      </c>
      <c r="B591" s="55"/>
      <c r="C591" s="31"/>
      <c r="E591" s="46" t="s">
        <v>3366</v>
      </c>
    </row>
    <row r="592">
      <c r="A592" s="56" t="s">
        <v>8558</v>
      </c>
      <c r="B592" s="55"/>
      <c r="C592" s="31"/>
      <c r="E592" s="46" t="s">
        <v>3366</v>
      </c>
    </row>
    <row r="593">
      <c r="A593" s="56" t="s">
        <v>8560</v>
      </c>
      <c r="B593" s="55"/>
      <c r="C593" s="31"/>
      <c r="E593" s="46" t="s">
        <v>3366</v>
      </c>
    </row>
    <row r="594">
      <c r="A594" s="56" t="s">
        <v>8561</v>
      </c>
      <c r="B594" s="55"/>
      <c r="C594" s="31"/>
      <c r="E594" s="46" t="s">
        <v>3366</v>
      </c>
    </row>
    <row r="595">
      <c r="A595" s="56" t="s">
        <v>8562</v>
      </c>
      <c r="B595" s="55"/>
      <c r="C595" s="31"/>
      <c r="E595" s="46" t="s">
        <v>3366</v>
      </c>
    </row>
    <row r="596">
      <c r="A596" s="56" t="s">
        <v>8563</v>
      </c>
      <c r="B596" s="55"/>
      <c r="C596" s="31"/>
      <c r="E596" s="46" t="s">
        <v>3366</v>
      </c>
    </row>
    <row r="597">
      <c r="A597" s="56" t="s">
        <v>8565</v>
      </c>
      <c r="B597" s="55"/>
      <c r="C597" s="31"/>
      <c r="E597" s="46" t="s">
        <v>3366</v>
      </c>
    </row>
    <row r="598">
      <c r="A598" s="56" t="s">
        <v>8568</v>
      </c>
      <c r="B598" s="55"/>
      <c r="C598" s="31"/>
      <c r="E598" s="46" t="s">
        <v>3366</v>
      </c>
    </row>
    <row r="599">
      <c r="A599" s="56" t="s">
        <v>8569</v>
      </c>
      <c r="B599" s="55"/>
      <c r="C599" s="31"/>
      <c r="E599" s="46" t="s">
        <v>3366</v>
      </c>
    </row>
    <row r="600">
      <c r="A600" s="56" t="s">
        <v>8570</v>
      </c>
      <c r="B600" s="55"/>
      <c r="C600" s="31"/>
      <c r="E600" s="46" t="s">
        <v>3366</v>
      </c>
    </row>
    <row r="601">
      <c r="A601" s="56" t="s">
        <v>8571</v>
      </c>
      <c r="B601" s="55"/>
      <c r="C601" s="31"/>
      <c r="E601" s="46" t="s">
        <v>3366</v>
      </c>
    </row>
    <row r="602">
      <c r="A602" s="56" t="s">
        <v>8572</v>
      </c>
      <c r="B602" s="55"/>
      <c r="C602" s="31"/>
      <c r="E602" s="46" t="s">
        <v>3366</v>
      </c>
    </row>
    <row r="603">
      <c r="A603" s="56" t="s">
        <v>8575</v>
      </c>
      <c r="B603" s="84"/>
      <c r="C603" s="33" t="s">
        <v>1410</v>
      </c>
      <c r="E603" s="46" t="s">
        <v>3366</v>
      </c>
    </row>
    <row r="604">
      <c r="A604" s="56" t="s">
        <v>8576</v>
      </c>
      <c r="B604" s="84"/>
      <c r="C604" s="33" t="s">
        <v>1410</v>
      </c>
      <c r="E604" s="46" t="s">
        <v>3366</v>
      </c>
    </row>
    <row r="605">
      <c r="A605" s="56" t="s">
        <v>8577</v>
      </c>
      <c r="B605" s="84"/>
      <c r="C605" s="33" t="s">
        <v>1410</v>
      </c>
      <c r="E605" s="46" t="s">
        <v>3366</v>
      </c>
    </row>
    <row r="606">
      <c r="A606" s="56" t="s">
        <v>8578</v>
      </c>
      <c r="B606" s="82"/>
      <c r="C606" s="33" t="s">
        <v>8579</v>
      </c>
      <c r="E606" s="46" t="s">
        <v>7609</v>
      </c>
      <c r="F606" s="46" t="s">
        <v>8580</v>
      </c>
    </row>
    <row r="607">
      <c r="A607" s="56" t="s">
        <v>8583</v>
      </c>
      <c r="B607" s="82"/>
      <c r="C607" s="33" t="s">
        <v>8585</v>
      </c>
      <c r="E607" s="46" t="s">
        <v>7616</v>
      </c>
    </row>
    <row r="608">
      <c r="A608" s="56" t="s">
        <v>8586</v>
      </c>
      <c r="B608" s="82"/>
      <c r="C608" s="33" t="s">
        <v>8585</v>
      </c>
      <c r="E608" s="46" t="s">
        <v>7618</v>
      </c>
    </row>
    <row r="609">
      <c r="A609" s="56" t="s">
        <v>8587</v>
      </c>
      <c r="B609" s="82"/>
      <c r="C609" s="33" t="s">
        <v>8588</v>
      </c>
      <c r="E609" s="46" t="s">
        <v>7616</v>
      </c>
    </row>
    <row r="610">
      <c r="A610" s="56" t="s">
        <v>8589</v>
      </c>
      <c r="B610" s="82"/>
      <c r="C610" s="33" t="s">
        <v>8588</v>
      </c>
      <c r="E610" s="46" t="s">
        <v>7618</v>
      </c>
    </row>
    <row r="611">
      <c r="A611" s="56" t="s">
        <v>8590</v>
      </c>
      <c r="B611" s="82"/>
      <c r="C611" s="33" t="s">
        <v>8592</v>
      </c>
      <c r="E611" s="46" t="s">
        <v>7616</v>
      </c>
    </row>
    <row r="612">
      <c r="A612" s="56" t="s">
        <v>8594</v>
      </c>
      <c r="B612" s="82"/>
      <c r="C612" s="33" t="s">
        <v>8592</v>
      </c>
      <c r="E612" s="46" t="s">
        <v>7618</v>
      </c>
    </row>
    <row r="613">
      <c r="A613" s="56" t="s">
        <v>8595</v>
      </c>
      <c r="B613" s="79"/>
      <c r="C613" s="33" t="s">
        <v>8596</v>
      </c>
      <c r="E613" s="46" t="s">
        <v>1348</v>
      </c>
    </row>
    <row r="614">
      <c r="A614" s="56" t="s">
        <v>8597</v>
      </c>
      <c r="B614" s="79"/>
      <c r="C614" s="33" t="s">
        <v>8596</v>
      </c>
      <c r="E614" s="46" t="s">
        <v>1348</v>
      </c>
    </row>
    <row r="615">
      <c r="A615" s="56" t="s">
        <v>8598</v>
      </c>
      <c r="B615" s="79"/>
      <c r="C615" s="33" t="s">
        <v>8599</v>
      </c>
      <c r="E615" s="46" t="s">
        <v>1348</v>
      </c>
    </row>
    <row r="616">
      <c r="A616" s="56" t="s">
        <v>8600</v>
      </c>
      <c r="B616" s="21"/>
      <c r="C616" s="33" t="s">
        <v>8602</v>
      </c>
      <c r="E616" s="46" t="s">
        <v>7616</v>
      </c>
    </row>
    <row r="617">
      <c r="A617" s="56" t="s">
        <v>8605</v>
      </c>
      <c r="B617" s="21"/>
      <c r="C617" s="33" t="s">
        <v>8602</v>
      </c>
      <c r="E617" s="46" t="s">
        <v>7618</v>
      </c>
    </row>
    <row r="618">
      <c r="A618" s="56" t="s">
        <v>8606</v>
      </c>
      <c r="B618" s="21"/>
      <c r="C618" s="33" t="s">
        <v>8607</v>
      </c>
      <c r="E618" s="46" t="s">
        <v>7616</v>
      </c>
    </row>
    <row r="619">
      <c r="A619" s="56" t="s">
        <v>8608</v>
      </c>
      <c r="B619" s="21"/>
      <c r="C619" s="33" t="s">
        <v>8607</v>
      </c>
      <c r="E619" s="46" t="s">
        <v>7618</v>
      </c>
    </row>
    <row r="620">
      <c r="A620" s="56" t="s">
        <v>8609</v>
      </c>
      <c r="B620" s="21"/>
      <c r="C620" s="33" t="s">
        <v>8610</v>
      </c>
      <c r="E620" s="46" t="s">
        <v>7616</v>
      </c>
    </row>
    <row r="621">
      <c r="A621" s="56" t="s">
        <v>8613</v>
      </c>
      <c r="B621" s="21"/>
      <c r="C621" s="33" t="s">
        <v>8610</v>
      </c>
      <c r="E621" s="46" t="s">
        <v>7618</v>
      </c>
    </row>
    <row r="622">
      <c r="A622" s="56" t="s">
        <v>8614</v>
      </c>
      <c r="B622" s="21"/>
      <c r="C622" s="33" t="s">
        <v>8602</v>
      </c>
      <c r="E622" s="46" t="s">
        <v>7616</v>
      </c>
    </row>
    <row r="623">
      <c r="A623" s="56" t="s">
        <v>8615</v>
      </c>
      <c r="B623" s="21"/>
      <c r="C623" s="33" t="s">
        <v>8602</v>
      </c>
      <c r="E623" s="46" t="s">
        <v>7618</v>
      </c>
    </row>
    <row r="624">
      <c r="A624" s="56" t="s">
        <v>8616</v>
      </c>
      <c r="B624" s="21"/>
      <c r="C624" s="33" t="s">
        <v>8607</v>
      </c>
      <c r="E624" s="46" t="s">
        <v>7616</v>
      </c>
    </row>
    <row r="625">
      <c r="A625" s="56" t="s">
        <v>8617</v>
      </c>
      <c r="B625" s="21"/>
      <c r="C625" s="33" t="s">
        <v>8607</v>
      </c>
      <c r="E625" s="46" t="s">
        <v>7618</v>
      </c>
    </row>
    <row r="626">
      <c r="A626" s="56" t="s">
        <v>8620</v>
      </c>
      <c r="B626" s="21"/>
      <c r="C626" s="33" t="s">
        <v>8610</v>
      </c>
      <c r="E626" s="46" t="s">
        <v>7616</v>
      </c>
    </row>
    <row r="627">
      <c r="A627" s="56" t="s">
        <v>8622</v>
      </c>
      <c r="B627" s="21"/>
      <c r="C627" s="33" t="s">
        <v>8610</v>
      </c>
      <c r="E627" s="46" t="s">
        <v>7618</v>
      </c>
    </row>
    <row r="628">
      <c r="A628" s="56" t="s">
        <v>8623</v>
      </c>
      <c r="B628" s="21"/>
      <c r="C628" s="33" t="s">
        <v>8624</v>
      </c>
      <c r="E628" s="46" t="s">
        <v>7616</v>
      </c>
    </row>
    <row r="629">
      <c r="A629" s="56" t="s">
        <v>8625</v>
      </c>
      <c r="B629" s="21"/>
      <c r="C629" s="33" t="s">
        <v>8624</v>
      </c>
      <c r="E629" s="46" t="s">
        <v>7618</v>
      </c>
    </row>
    <row r="630">
      <c r="A630" s="56" t="s">
        <v>8626</v>
      </c>
      <c r="B630" s="21"/>
      <c r="C630" s="33" t="s">
        <v>8627</v>
      </c>
      <c r="E630" s="46" t="s">
        <v>7616</v>
      </c>
    </row>
    <row r="631">
      <c r="A631" s="56" t="s">
        <v>8628</v>
      </c>
      <c r="B631" s="21"/>
      <c r="C631" s="33" t="s">
        <v>8627</v>
      </c>
      <c r="E631" s="46" t="s">
        <v>7618</v>
      </c>
    </row>
    <row r="632">
      <c r="A632" s="56" t="s">
        <v>8630</v>
      </c>
      <c r="B632" s="21"/>
      <c r="C632" s="33" t="s">
        <v>8631</v>
      </c>
      <c r="E632" s="46" t="s">
        <v>7616</v>
      </c>
    </row>
    <row r="633">
      <c r="A633" s="56" t="s">
        <v>8632</v>
      </c>
      <c r="B633" s="21"/>
      <c r="C633" s="33" t="s">
        <v>8631</v>
      </c>
      <c r="E633" s="46" t="s">
        <v>7618</v>
      </c>
    </row>
    <row r="634">
      <c r="A634" s="56" t="s">
        <v>8634</v>
      </c>
      <c r="B634" s="21"/>
      <c r="C634" s="33" t="s">
        <v>8624</v>
      </c>
      <c r="E634" s="46" t="s">
        <v>7616</v>
      </c>
    </row>
    <row r="635">
      <c r="A635" s="56" t="s">
        <v>8635</v>
      </c>
      <c r="B635" s="21"/>
      <c r="C635" s="33" t="s">
        <v>8624</v>
      </c>
      <c r="E635" s="46" t="s">
        <v>7618</v>
      </c>
    </row>
    <row r="636">
      <c r="A636" s="56" t="s">
        <v>8636</v>
      </c>
      <c r="B636" s="21"/>
      <c r="C636" s="33" t="s">
        <v>8627</v>
      </c>
      <c r="E636" s="46" t="s">
        <v>7616</v>
      </c>
    </row>
    <row r="637">
      <c r="A637" s="56" t="s">
        <v>8638</v>
      </c>
      <c r="B637" s="21"/>
      <c r="C637" s="33" t="s">
        <v>8627</v>
      </c>
      <c r="E637" s="46" t="s">
        <v>7618</v>
      </c>
    </row>
    <row r="638">
      <c r="A638" s="56" t="s">
        <v>8640</v>
      </c>
      <c r="B638" s="21"/>
      <c r="C638" s="33" t="s">
        <v>8631</v>
      </c>
      <c r="E638" s="46" t="s">
        <v>7616</v>
      </c>
    </row>
    <row r="639">
      <c r="A639" s="56" t="s">
        <v>8642</v>
      </c>
      <c r="B639" s="21"/>
      <c r="C639" s="33" t="s">
        <v>8631</v>
      </c>
      <c r="E639" s="46" t="s">
        <v>7618</v>
      </c>
    </row>
    <row r="640">
      <c r="A640" s="56" t="s">
        <v>8644</v>
      </c>
      <c r="B640" s="84"/>
      <c r="C640" s="33" t="s">
        <v>8645</v>
      </c>
      <c r="E640" s="46" t="s">
        <v>3366</v>
      </c>
    </row>
    <row r="641">
      <c r="A641" s="56" t="s">
        <v>8646</v>
      </c>
      <c r="B641" s="82"/>
      <c r="C641" s="33" t="s">
        <v>8648</v>
      </c>
      <c r="E641" s="46" t="s">
        <v>7609</v>
      </c>
      <c r="F641" s="46" t="s">
        <v>8650</v>
      </c>
    </row>
    <row r="642">
      <c r="A642" s="56" t="s">
        <v>8651</v>
      </c>
      <c r="B642" s="82"/>
      <c r="C642" s="33" t="s">
        <v>8652</v>
      </c>
      <c r="E642" s="46" t="s">
        <v>7616</v>
      </c>
    </row>
    <row r="643">
      <c r="A643" s="56" t="s">
        <v>8653</v>
      </c>
      <c r="B643" s="82"/>
      <c r="C643" s="33" t="s">
        <v>8652</v>
      </c>
      <c r="E643" s="46" t="s">
        <v>7618</v>
      </c>
    </row>
    <row r="644">
      <c r="A644" s="56" t="s">
        <v>8654</v>
      </c>
      <c r="B644" s="82"/>
      <c r="C644" s="33" t="s">
        <v>8656</v>
      </c>
      <c r="E644" s="46" t="s">
        <v>7616</v>
      </c>
    </row>
    <row r="645">
      <c r="A645" s="56" t="s">
        <v>8658</v>
      </c>
      <c r="B645" s="82"/>
      <c r="C645" s="33" t="s">
        <v>8656</v>
      </c>
      <c r="E645" s="46" t="s">
        <v>7618</v>
      </c>
    </row>
    <row r="646">
      <c r="A646" s="56" t="s">
        <v>8660</v>
      </c>
      <c r="B646" s="82"/>
      <c r="C646" s="33" t="s">
        <v>8661</v>
      </c>
      <c r="E646" s="46" t="s">
        <v>7616</v>
      </c>
    </row>
    <row r="647">
      <c r="A647" s="56" t="s">
        <v>8662</v>
      </c>
      <c r="B647" s="82"/>
      <c r="C647" s="33" t="s">
        <v>8661</v>
      </c>
      <c r="E647" s="46" t="s">
        <v>7618</v>
      </c>
    </row>
    <row r="648">
      <c r="A648" s="56" t="s">
        <v>8663</v>
      </c>
      <c r="B648" s="79"/>
      <c r="C648" s="33" t="s">
        <v>8664</v>
      </c>
      <c r="E648" s="46" t="s">
        <v>1348</v>
      </c>
    </row>
    <row r="649">
      <c r="A649" s="56" t="s">
        <v>8666</v>
      </c>
      <c r="B649" s="79"/>
      <c r="C649" s="33" t="s">
        <v>8664</v>
      </c>
      <c r="E649" s="46" t="s">
        <v>1348</v>
      </c>
    </row>
    <row r="650">
      <c r="A650" s="56" t="s">
        <v>8667</v>
      </c>
      <c r="B650" s="79"/>
      <c r="C650" s="33" t="s">
        <v>8669</v>
      </c>
      <c r="E650" s="46" t="s">
        <v>1348</v>
      </c>
    </row>
    <row r="651">
      <c r="A651" s="56" t="s">
        <v>8670</v>
      </c>
      <c r="B651" s="21"/>
      <c r="C651" s="33" t="s">
        <v>8671</v>
      </c>
      <c r="E651" s="46" t="s">
        <v>7616</v>
      </c>
    </row>
    <row r="652">
      <c r="A652" s="56" t="s">
        <v>8672</v>
      </c>
      <c r="B652" s="21"/>
      <c r="C652" s="33" t="s">
        <v>8671</v>
      </c>
      <c r="E652" s="46" t="s">
        <v>7618</v>
      </c>
    </row>
    <row r="653">
      <c r="A653" s="56" t="s">
        <v>8673</v>
      </c>
      <c r="B653" s="21"/>
      <c r="C653" s="33" t="s">
        <v>8675</v>
      </c>
      <c r="E653" s="46" t="s">
        <v>7616</v>
      </c>
    </row>
    <row r="654">
      <c r="A654" s="56" t="s">
        <v>8677</v>
      </c>
      <c r="B654" s="21"/>
      <c r="C654" s="33" t="s">
        <v>8675</v>
      </c>
      <c r="E654" s="46" t="s">
        <v>7618</v>
      </c>
    </row>
    <row r="655">
      <c r="A655" s="56" t="s">
        <v>8679</v>
      </c>
      <c r="B655" s="21"/>
      <c r="C655" s="33" t="s">
        <v>8680</v>
      </c>
      <c r="E655" s="46" t="s">
        <v>7616</v>
      </c>
    </row>
    <row r="656">
      <c r="A656" s="56" t="s">
        <v>8681</v>
      </c>
      <c r="B656" s="21"/>
      <c r="C656" s="33" t="s">
        <v>8680</v>
      </c>
      <c r="E656" s="46" t="s">
        <v>7618</v>
      </c>
    </row>
    <row r="657">
      <c r="A657" s="56" t="s">
        <v>8682</v>
      </c>
      <c r="B657" s="21"/>
      <c r="C657" s="33" t="s">
        <v>8671</v>
      </c>
      <c r="E657" s="46" t="s">
        <v>7616</v>
      </c>
    </row>
    <row r="658">
      <c r="A658" s="56" t="s">
        <v>8684</v>
      </c>
      <c r="B658" s="21"/>
      <c r="C658" s="33" t="s">
        <v>8671</v>
      </c>
      <c r="E658" s="46" t="s">
        <v>7618</v>
      </c>
    </row>
    <row r="659">
      <c r="A659" s="56" t="s">
        <v>8685</v>
      </c>
      <c r="B659" s="21"/>
      <c r="C659" s="33" t="s">
        <v>8675</v>
      </c>
      <c r="E659" s="46" t="s">
        <v>7616</v>
      </c>
    </row>
    <row r="660">
      <c r="A660" s="56" t="s">
        <v>8686</v>
      </c>
      <c r="B660" s="21"/>
      <c r="C660" s="33" t="s">
        <v>8675</v>
      </c>
      <c r="E660" s="46" t="s">
        <v>7618</v>
      </c>
    </row>
    <row r="661">
      <c r="A661" s="56" t="s">
        <v>8688</v>
      </c>
      <c r="B661" s="21"/>
      <c r="C661" s="33" t="s">
        <v>8680</v>
      </c>
      <c r="E661" s="46" t="s">
        <v>7616</v>
      </c>
    </row>
    <row r="662">
      <c r="A662" s="56" t="s">
        <v>8689</v>
      </c>
      <c r="B662" s="21"/>
      <c r="C662" s="33" t="s">
        <v>8680</v>
      </c>
      <c r="E662" s="46" t="s">
        <v>7618</v>
      </c>
    </row>
    <row r="663">
      <c r="A663" s="56" t="s">
        <v>8692</v>
      </c>
      <c r="B663" s="21"/>
      <c r="C663" s="33" t="s">
        <v>8693</v>
      </c>
      <c r="E663" s="46" t="s">
        <v>7616</v>
      </c>
    </row>
    <row r="664">
      <c r="A664" s="56" t="s">
        <v>8694</v>
      </c>
      <c r="B664" s="21"/>
      <c r="C664" s="33" t="s">
        <v>8693</v>
      </c>
      <c r="E664" s="46" t="s">
        <v>7618</v>
      </c>
    </row>
    <row r="665">
      <c r="A665" s="56" t="s">
        <v>8695</v>
      </c>
      <c r="B665" s="21"/>
      <c r="C665" s="33" t="s">
        <v>8697</v>
      </c>
      <c r="E665" s="46" t="s">
        <v>7616</v>
      </c>
    </row>
    <row r="666">
      <c r="A666" s="56" t="s">
        <v>8698</v>
      </c>
      <c r="B666" s="21"/>
      <c r="C666" s="33" t="s">
        <v>8697</v>
      </c>
      <c r="E666" s="46" t="s">
        <v>7618</v>
      </c>
    </row>
    <row r="667">
      <c r="A667" s="56" t="s">
        <v>8700</v>
      </c>
      <c r="B667" s="21"/>
      <c r="C667" s="33" t="s">
        <v>8701</v>
      </c>
      <c r="E667" s="46" t="s">
        <v>7616</v>
      </c>
    </row>
    <row r="668">
      <c r="A668" s="56" t="s">
        <v>8702</v>
      </c>
      <c r="B668" s="21"/>
      <c r="C668" s="33" t="s">
        <v>8701</v>
      </c>
      <c r="E668" s="46" t="s">
        <v>7618</v>
      </c>
    </row>
    <row r="669">
      <c r="A669" s="56" t="s">
        <v>8703</v>
      </c>
      <c r="B669" s="21"/>
      <c r="C669" s="33" t="s">
        <v>8693</v>
      </c>
      <c r="E669" s="46" t="s">
        <v>7616</v>
      </c>
    </row>
    <row r="670">
      <c r="A670" s="56" t="s">
        <v>8705</v>
      </c>
      <c r="B670" s="21"/>
      <c r="C670" s="33" t="s">
        <v>8693</v>
      </c>
      <c r="E670" s="46" t="s">
        <v>7618</v>
      </c>
    </row>
    <row r="671">
      <c r="A671" s="56" t="s">
        <v>8706</v>
      </c>
      <c r="B671" s="21"/>
      <c r="C671" s="33" t="s">
        <v>8697</v>
      </c>
      <c r="E671" s="46" t="s">
        <v>7616</v>
      </c>
    </row>
    <row r="672">
      <c r="A672" s="56" t="s">
        <v>8709</v>
      </c>
      <c r="B672" s="21"/>
      <c r="C672" s="33" t="s">
        <v>8697</v>
      </c>
      <c r="E672" s="46" t="s">
        <v>7618</v>
      </c>
    </row>
    <row r="673">
      <c r="A673" s="56" t="s">
        <v>8710</v>
      </c>
      <c r="B673" s="21"/>
      <c r="C673" s="33" t="s">
        <v>8701</v>
      </c>
      <c r="E673" s="46" t="s">
        <v>7616</v>
      </c>
    </row>
    <row r="674">
      <c r="A674" s="56" t="s">
        <v>8711</v>
      </c>
      <c r="B674" s="21"/>
      <c r="C674" s="33" t="s">
        <v>8701</v>
      </c>
      <c r="E674" s="46" t="s">
        <v>7618</v>
      </c>
    </row>
    <row r="675">
      <c r="A675" s="56" t="s">
        <v>8713</v>
      </c>
      <c r="B675" s="84"/>
      <c r="C675" s="33" t="s">
        <v>8714</v>
      </c>
      <c r="E675" s="46" t="s">
        <v>3366</v>
      </c>
    </row>
    <row r="676">
      <c r="A676" s="56" t="s">
        <v>8715</v>
      </c>
      <c r="B676" s="82"/>
      <c r="C676" s="33" t="s">
        <v>8716</v>
      </c>
      <c r="E676" s="46" t="s">
        <v>7609</v>
      </c>
    </row>
    <row r="677">
      <c r="A677" s="56" t="s">
        <v>8718</v>
      </c>
      <c r="B677" s="82"/>
      <c r="C677" s="33" t="s">
        <v>8719</v>
      </c>
      <c r="E677" s="46" t="s">
        <v>7616</v>
      </c>
    </row>
    <row r="678">
      <c r="A678" s="56" t="s">
        <v>8720</v>
      </c>
      <c r="B678" s="82"/>
      <c r="C678" s="33" t="s">
        <v>8719</v>
      </c>
      <c r="E678" s="46" t="s">
        <v>7618</v>
      </c>
    </row>
    <row r="679">
      <c r="A679" s="56" t="s">
        <v>8722</v>
      </c>
      <c r="B679" s="82"/>
      <c r="C679" s="33" t="s">
        <v>8723</v>
      </c>
      <c r="E679" s="46" t="s">
        <v>7616</v>
      </c>
    </row>
    <row r="680">
      <c r="A680" s="56" t="s">
        <v>8724</v>
      </c>
      <c r="B680" s="82"/>
      <c r="C680" s="33" t="s">
        <v>8723</v>
      </c>
      <c r="E680" s="46" t="s">
        <v>7618</v>
      </c>
    </row>
    <row r="681">
      <c r="A681" s="56" t="s">
        <v>8725</v>
      </c>
      <c r="B681" s="82"/>
      <c r="C681" s="33" t="s">
        <v>8727</v>
      </c>
      <c r="E681" s="46" t="s">
        <v>7616</v>
      </c>
    </row>
    <row r="682">
      <c r="A682" s="56" t="s">
        <v>8729</v>
      </c>
      <c r="B682" s="82"/>
      <c r="C682" s="33" t="s">
        <v>8727</v>
      </c>
      <c r="E682" s="46" t="s">
        <v>7618</v>
      </c>
    </row>
    <row r="683">
      <c r="A683" s="56" t="s">
        <v>8730</v>
      </c>
      <c r="B683" s="79"/>
      <c r="C683" s="33" t="s">
        <v>8732</v>
      </c>
      <c r="E683" s="46" t="s">
        <v>1348</v>
      </c>
    </row>
    <row r="684">
      <c r="A684" s="56" t="s">
        <v>8733</v>
      </c>
      <c r="B684" s="79"/>
      <c r="C684" s="33" t="s">
        <v>8732</v>
      </c>
      <c r="E684" s="46" t="s">
        <v>1348</v>
      </c>
    </row>
    <row r="685">
      <c r="A685" s="56" t="s">
        <v>8734</v>
      </c>
      <c r="B685" s="79"/>
      <c r="C685" s="33" t="s">
        <v>8735</v>
      </c>
      <c r="E685" s="46" t="s">
        <v>1348</v>
      </c>
    </row>
    <row r="686">
      <c r="A686" s="56" t="s">
        <v>8736</v>
      </c>
      <c r="B686" s="21"/>
      <c r="C686" s="33" t="s">
        <v>8738</v>
      </c>
      <c r="E686" s="46" t="s">
        <v>7616</v>
      </c>
    </row>
    <row r="687">
      <c r="A687" s="56" t="s">
        <v>8739</v>
      </c>
      <c r="B687" s="21"/>
      <c r="C687" s="33" t="s">
        <v>8738</v>
      </c>
      <c r="E687" s="46" t="s">
        <v>7618</v>
      </c>
    </row>
    <row r="688">
      <c r="A688" s="56" t="s">
        <v>8740</v>
      </c>
      <c r="B688" s="21"/>
      <c r="C688" s="33" t="s">
        <v>8742</v>
      </c>
      <c r="E688" s="46" t="s">
        <v>7616</v>
      </c>
    </row>
    <row r="689">
      <c r="A689" s="56" t="s">
        <v>8743</v>
      </c>
      <c r="B689" s="21"/>
      <c r="C689" s="33" t="s">
        <v>8742</v>
      </c>
      <c r="E689" s="46" t="s">
        <v>7618</v>
      </c>
    </row>
    <row r="690">
      <c r="A690" s="56" t="s">
        <v>8744</v>
      </c>
      <c r="B690" s="21"/>
      <c r="C690" s="33" t="s">
        <v>8745</v>
      </c>
      <c r="E690" s="46" t="s">
        <v>7616</v>
      </c>
    </row>
    <row r="691">
      <c r="A691" s="56" t="s">
        <v>8746</v>
      </c>
      <c r="B691" s="21"/>
      <c r="C691" s="33" t="s">
        <v>8745</v>
      </c>
      <c r="E691" s="46" t="s">
        <v>7618</v>
      </c>
    </row>
    <row r="692">
      <c r="A692" s="56" t="s">
        <v>8749</v>
      </c>
      <c r="B692" s="21"/>
      <c r="C692" s="33" t="s">
        <v>8738</v>
      </c>
      <c r="E692" s="46" t="s">
        <v>7616</v>
      </c>
    </row>
    <row r="693">
      <c r="A693" s="56" t="s">
        <v>8750</v>
      </c>
      <c r="B693" s="21"/>
      <c r="C693" s="33" t="s">
        <v>8738</v>
      </c>
      <c r="E693" s="46" t="s">
        <v>7618</v>
      </c>
    </row>
    <row r="694">
      <c r="A694" s="56" t="s">
        <v>8752</v>
      </c>
      <c r="B694" s="21"/>
      <c r="C694" s="33" t="s">
        <v>8742</v>
      </c>
      <c r="E694" s="46" t="s">
        <v>7616</v>
      </c>
    </row>
    <row r="695">
      <c r="A695" s="56" t="s">
        <v>8753</v>
      </c>
      <c r="B695" s="21"/>
      <c r="C695" s="33" t="s">
        <v>8742</v>
      </c>
      <c r="E695" s="46" t="s">
        <v>7618</v>
      </c>
    </row>
    <row r="696">
      <c r="A696" s="56" t="s">
        <v>8755</v>
      </c>
      <c r="B696" s="21"/>
      <c r="C696" s="33" t="s">
        <v>8745</v>
      </c>
      <c r="E696" s="46" t="s">
        <v>7616</v>
      </c>
    </row>
    <row r="697">
      <c r="A697" s="56" t="s">
        <v>8756</v>
      </c>
      <c r="B697" s="21"/>
      <c r="C697" s="33" t="s">
        <v>8745</v>
      </c>
      <c r="E697" s="46" t="s">
        <v>7618</v>
      </c>
    </row>
    <row r="698">
      <c r="A698" s="56" t="s">
        <v>8758</v>
      </c>
      <c r="B698" s="21"/>
      <c r="C698" s="33" t="s">
        <v>8759</v>
      </c>
      <c r="E698" s="46" t="s">
        <v>7616</v>
      </c>
    </row>
    <row r="699">
      <c r="A699" s="56" t="s">
        <v>8760</v>
      </c>
      <c r="B699" s="21"/>
      <c r="C699" s="33" t="s">
        <v>8759</v>
      </c>
      <c r="E699" s="46" t="s">
        <v>7618</v>
      </c>
    </row>
    <row r="700">
      <c r="A700" s="56" t="s">
        <v>8761</v>
      </c>
      <c r="B700" s="21"/>
      <c r="C700" s="33" t="s">
        <v>8763</v>
      </c>
      <c r="E700" s="46" t="s">
        <v>7616</v>
      </c>
    </row>
    <row r="701">
      <c r="A701" s="56" t="s">
        <v>8765</v>
      </c>
      <c r="B701" s="21"/>
      <c r="C701" s="33" t="s">
        <v>8763</v>
      </c>
      <c r="E701" s="46" t="s">
        <v>7618</v>
      </c>
    </row>
    <row r="702">
      <c r="A702" s="56" t="s">
        <v>8766</v>
      </c>
      <c r="B702" s="21"/>
      <c r="C702" s="33" t="s">
        <v>8768</v>
      </c>
      <c r="E702" s="46" t="s">
        <v>7616</v>
      </c>
    </row>
    <row r="703">
      <c r="A703" s="56" t="s">
        <v>8769</v>
      </c>
      <c r="B703" s="21"/>
      <c r="C703" s="33" t="s">
        <v>8768</v>
      </c>
      <c r="E703" s="46" t="s">
        <v>7618</v>
      </c>
    </row>
    <row r="704">
      <c r="A704" s="56" t="s">
        <v>8770</v>
      </c>
      <c r="B704" s="21"/>
      <c r="C704" s="33" t="s">
        <v>8759</v>
      </c>
      <c r="E704" s="46" t="s">
        <v>7616</v>
      </c>
    </row>
    <row r="705">
      <c r="A705" s="56" t="s">
        <v>8772</v>
      </c>
      <c r="B705" s="21"/>
      <c r="C705" s="33" t="s">
        <v>8759</v>
      </c>
      <c r="E705" s="46" t="s">
        <v>7618</v>
      </c>
    </row>
    <row r="706">
      <c r="A706" s="56" t="s">
        <v>8773</v>
      </c>
      <c r="B706" s="21"/>
      <c r="C706" s="33" t="s">
        <v>8763</v>
      </c>
      <c r="E706" s="46" t="s">
        <v>7616</v>
      </c>
    </row>
    <row r="707">
      <c r="A707" s="56" t="s">
        <v>8774</v>
      </c>
      <c r="B707" s="21"/>
      <c r="C707" s="33" t="s">
        <v>8763</v>
      </c>
      <c r="E707" s="46" t="s">
        <v>7618</v>
      </c>
    </row>
    <row r="708">
      <c r="A708" s="56" t="s">
        <v>8776</v>
      </c>
      <c r="B708" s="21"/>
      <c r="C708" s="33" t="s">
        <v>8768</v>
      </c>
      <c r="E708" s="46" t="s">
        <v>7616</v>
      </c>
    </row>
    <row r="709">
      <c r="A709" s="56" t="s">
        <v>8777</v>
      </c>
      <c r="B709" s="21"/>
      <c r="C709" s="33" t="s">
        <v>8768</v>
      </c>
      <c r="E709" s="46" t="s">
        <v>7618</v>
      </c>
    </row>
    <row r="710">
      <c r="A710" s="56" t="s">
        <v>8780</v>
      </c>
      <c r="B710" s="84"/>
      <c r="C710" s="33" t="s">
        <v>327</v>
      </c>
      <c r="E710" s="46" t="s">
        <v>3366</v>
      </c>
    </row>
    <row r="711">
      <c r="A711" s="56" t="s">
        <v>8781</v>
      </c>
      <c r="B711" s="84"/>
      <c r="C711" s="33" t="s">
        <v>327</v>
      </c>
      <c r="E711" s="46" t="s">
        <v>3366</v>
      </c>
    </row>
    <row r="712">
      <c r="A712" s="56" t="s">
        <v>8783</v>
      </c>
      <c r="B712" s="82"/>
      <c r="C712" s="33" t="s">
        <v>8784</v>
      </c>
      <c r="E712" s="46" t="s">
        <v>7609</v>
      </c>
    </row>
    <row r="713">
      <c r="A713" s="56" t="s">
        <v>8785</v>
      </c>
      <c r="B713" s="82"/>
      <c r="C713" s="33" t="s">
        <v>8786</v>
      </c>
      <c r="E713" s="46" t="s">
        <v>7616</v>
      </c>
    </row>
    <row r="714">
      <c r="A714" s="56" t="s">
        <v>8788</v>
      </c>
      <c r="B714" s="82"/>
      <c r="C714" s="33" t="s">
        <v>8786</v>
      </c>
      <c r="E714" s="46" t="s">
        <v>7618</v>
      </c>
    </row>
    <row r="715">
      <c r="A715" s="56" t="s">
        <v>8789</v>
      </c>
      <c r="B715" s="82"/>
      <c r="C715" s="33" t="s">
        <v>8790</v>
      </c>
      <c r="E715" s="46" t="s">
        <v>7616</v>
      </c>
    </row>
    <row r="716">
      <c r="A716" s="56" t="s">
        <v>8792</v>
      </c>
      <c r="B716" s="82"/>
      <c r="C716" s="33" t="s">
        <v>8790</v>
      </c>
      <c r="E716" s="46" t="s">
        <v>7618</v>
      </c>
    </row>
    <row r="717">
      <c r="A717" s="56" t="s">
        <v>8793</v>
      </c>
      <c r="B717" s="82"/>
      <c r="C717" s="33" t="s">
        <v>8794</v>
      </c>
      <c r="E717" s="46" t="s">
        <v>7616</v>
      </c>
    </row>
    <row r="718">
      <c r="A718" s="56" t="s">
        <v>8795</v>
      </c>
      <c r="B718" s="82"/>
      <c r="C718" s="33" t="s">
        <v>8794</v>
      </c>
      <c r="E718" s="46" t="s">
        <v>7618</v>
      </c>
    </row>
    <row r="719">
      <c r="A719" s="56" t="s">
        <v>8799</v>
      </c>
      <c r="B719" s="79"/>
      <c r="C719" s="33" t="s">
        <v>8800</v>
      </c>
      <c r="E719" s="46" t="s">
        <v>1348</v>
      </c>
    </row>
    <row r="720">
      <c r="A720" s="56" t="s">
        <v>8801</v>
      </c>
      <c r="B720" s="79"/>
      <c r="C720" s="33" t="s">
        <v>8800</v>
      </c>
      <c r="E720" s="46" t="s">
        <v>1348</v>
      </c>
    </row>
    <row r="721">
      <c r="A721" s="56" t="s">
        <v>8802</v>
      </c>
      <c r="B721" s="21"/>
      <c r="C721" s="33" t="s">
        <v>8803</v>
      </c>
      <c r="E721" s="46" t="s">
        <v>7616</v>
      </c>
    </row>
    <row r="722">
      <c r="A722" s="56" t="s">
        <v>8805</v>
      </c>
      <c r="B722" s="21"/>
      <c r="C722" s="33" t="s">
        <v>8803</v>
      </c>
      <c r="E722" s="46" t="s">
        <v>7618</v>
      </c>
    </row>
    <row r="723">
      <c r="A723" s="56" t="s">
        <v>8806</v>
      </c>
      <c r="B723" s="21"/>
      <c r="C723" s="33" t="s">
        <v>8808</v>
      </c>
      <c r="E723" s="46" t="s">
        <v>7616</v>
      </c>
    </row>
    <row r="724">
      <c r="A724" s="56" t="s">
        <v>8809</v>
      </c>
      <c r="B724" s="21"/>
      <c r="C724" s="33" t="s">
        <v>8808</v>
      </c>
      <c r="E724" s="46" t="s">
        <v>7618</v>
      </c>
    </row>
    <row r="725">
      <c r="A725" s="56" t="s">
        <v>8810</v>
      </c>
      <c r="B725" s="21"/>
      <c r="C725" s="33" t="s">
        <v>8811</v>
      </c>
      <c r="E725" s="46" t="s">
        <v>7616</v>
      </c>
    </row>
    <row r="726">
      <c r="A726" s="56" t="s">
        <v>8812</v>
      </c>
      <c r="B726" s="21"/>
      <c r="C726" s="33" t="s">
        <v>8811</v>
      </c>
      <c r="E726" s="46" t="s">
        <v>7618</v>
      </c>
    </row>
    <row r="727">
      <c r="A727" s="56" t="s">
        <v>8814</v>
      </c>
      <c r="B727" s="21"/>
      <c r="C727" s="33" t="s">
        <v>8803</v>
      </c>
      <c r="E727" s="46" t="s">
        <v>7616</v>
      </c>
    </row>
    <row r="728">
      <c r="A728" s="56" t="s">
        <v>8816</v>
      </c>
      <c r="B728" s="21"/>
      <c r="C728" s="33" t="s">
        <v>8803</v>
      </c>
      <c r="E728" s="46" t="s">
        <v>7618</v>
      </c>
    </row>
    <row r="729">
      <c r="A729" s="56" t="s">
        <v>8818</v>
      </c>
      <c r="B729" s="21"/>
      <c r="C729" s="33" t="s">
        <v>8808</v>
      </c>
      <c r="E729" s="46" t="s">
        <v>7616</v>
      </c>
    </row>
    <row r="730">
      <c r="A730" s="56" t="s">
        <v>8819</v>
      </c>
      <c r="B730" s="21"/>
      <c r="C730" s="33" t="s">
        <v>8808</v>
      </c>
      <c r="E730" s="46" t="s">
        <v>7618</v>
      </c>
    </row>
    <row r="731">
      <c r="A731" s="56" t="s">
        <v>8820</v>
      </c>
      <c r="B731" s="21"/>
      <c r="C731" s="33" t="s">
        <v>8811</v>
      </c>
      <c r="E731" s="46" t="s">
        <v>7616</v>
      </c>
    </row>
    <row r="732">
      <c r="A732" s="56" t="s">
        <v>8821</v>
      </c>
      <c r="B732" s="21"/>
      <c r="C732" s="33" t="s">
        <v>8811</v>
      </c>
      <c r="E732" s="46" t="s">
        <v>7618</v>
      </c>
    </row>
    <row r="733">
      <c r="A733" s="56" t="s">
        <v>8824</v>
      </c>
      <c r="B733" s="21"/>
      <c r="C733" s="33" t="s">
        <v>8825</v>
      </c>
      <c r="E733" s="46" t="s">
        <v>7616</v>
      </c>
    </row>
    <row r="734">
      <c r="A734" s="56" t="s">
        <v>8826</v>
      </c>
      <c r="B734" s="21"/>
      <c r="C734" s="33" t="s">
        <v>8825</v>
      </c>
      <c r="E734" s="46" t="s">
        <v>7618</v>
      </c>
    </row>
    <row r="735">
      <c r="A735" s="56" t="s">
        <v>8827</v>
      </c>
      <c r="B735" s="21"/>
      <c r="C735" s="33" t="s">
        <v>8828</v>
      </c>
      <c r="E735" s="46" t="s">
        <v>7616</v>
      </c>
    </row>
    <row r="736">
      <c r="A736" s="56" t="s">
        <v>8829</v>
      </c>
      <c r="B736" s="21"/>
      <c r="C736" s="33" t="s">
        <v>8828</v>
      </c>
      <c r="E736" s="46" t="s">
        <v>7618</v>
      </c>
    </row>
    <row r="737">
      <c r="A737" s="56" t="s">
        <v>8831</v>
      </c>
      <c r="B737" s="21"/>
      <c r="C737" s="33" t="s">
        <v>8834</v>
      </c>
      <c r="E737" s="46" t="s">
        <v>7616</v>
      </c>
    </row>
    <row r="738">
      <c r="A738" s="56" t="s">
        <v>8835</v>
      </c>
      <c r="B738" s="21"/>
      <c r="C738" s="33" t="s">
        <v>8834</v>
      </c>
      <c r="E738" s="46" t="s">
        <v>7618</v>
      </c>
    </row>
    <row r="739">
      <c r="A739" s="56" t="s">
        <v>8836</v>
      </c>
      <c r="B739" s="21"/>
      <c r="C739" s="33" t="s">
        <v>8825</v>
      </c>
      <c r="E739" s="46" t="s">
        <v>7616</v>
      </c>
    </row>
    <row r="740">
      <c r="A740" s="56" t="s">
        <v>8837</v>
      </c>
      <c r="B740" s="21"/>
      <c r="C740" s="33" t="s">
        <v>8825</v>
      </c>
      <c r="E740" s="46" t="s">
        <v>7618</v>
      </c>
    </row>
    <row r="741">
      <c r="A741" s="56" t="s">
        <v>8838</v>
      </c>
      <c r="B741" s="21"/>
      <c r="C741" s="33" t="s">
        <v>8828</v>
      </c>
      <c r="E741" s="46" t="s">
        <v>7616</v>
      </c>
    </row>
    <row r="742">
      <c r="A742" s="56" t="s">
        <v>8840</v>
      </c>
      <c r="B742" s="21"/>
      <c r="C742" s="33" t="s">
        <v>8828</v>
      </c>
      <c r="E742" s="46" t="s">
        <v>7618</v>
      </c>
    </row>
    <row r="743">
      <c r="A743" s="56" t="s">
        <v>8841</v>
      </c>
      <c r="B743" s="21"/>
      <c r="C743" s="33" t="s">
        <v>8834</v>
      </c>
      <c r="E743" s="46" t="s">
        <v>7616</v>
      </c>
    </row>
    <row r="744">
      <c r="A744" s="56" t="s">
        <v>8843</v>
      </c>
      <c r="B744" s="21"/>
      <c r="C744" s="33" t="s">
        <v>8846</v>
      </c>
      <c r="E744" s="46" t="s">
        <v>7618</v>
      </c>
    </row>
    <row r="745">
      <c r="A745" s="56" t="s">
        <v>8848</v>
      </c>
      <c r="B745" s="84"/>
      <c r="C745" s="33" t="s">
        <v>8849</v>
      </c>
      <c r="E745" s="46" t="s">
        <v>3366</v>
      </c>
    </row>
    <row r="746">
      <c r="A746" s="56" t="s">
        <v>8850</v>
      </c>
      <c r="B746" s="84"/>
      <c r="C746" s="33" t="s">
        <v>8849</v>
      </c>
      <c r="E746" s="46" t="s">
        <v>3366</v>
      </c>
    </row>
    <row r="747">
      <c r="A747" s="56" t="s">
        <v>8851</v>
      </c>
      <c r="B747" s="82"/>
      <c r="C747" s="33" t="s">
        <v>8852</v>
      </c>
      <c r="E747" s="46" t="s">
        <v>7609</v>
      </c>
    </row>
    <row r="748">
      <c r="A748" s="56" t="s">
        <v>8853</v>
      </c>
      <c r="B748" s="82"/>
      <c r="C748" s="33" t="s">
        <v>8854</v>
      </c>
      <c r="E748" s="46" t="s">
        <v>7616</v>
      </c>
    </row>
    <row r="749">
      <c r="A749" s="56" t="s">
        <v>8855</v>
      </c>
      <c r="B749" s="82"/>
      <c r="C749" s="33" t="s">
        <v>8854</v>
      </c>
      <c r="E749" s="46" t="s">
        <v>7618</v>
      </c>
    </row>
    <row r="750">
      <c r="A750" s="56" t="s">
        <v>8858</v>
      </c>
      <c r="B750" s="82"/>
      <c r="C750" s="33" t="s">
        <v>8860</v>
      </c>
      <c r="E750" s="46" t="s">
        <v>7616</v>
      </c>
    </row>
    <row r="751">
      <c r="A751" s="56" t="s">
        <v>8862</v>
      </c>
      <c r="B751" s="82"/>
      <c r="C751" s="33" t="s">
        <v>8860</v>
      </c>
      <c r="E751" s="46" t="s">
        <v>7618</v>
      </c>
    </row>
    <row r="752">
      <c r="A752" s="56" t="s">
        <v>8865</v>
      </c>
      <c r="B752" s="82"/>
      <c r="C752" s="33" t="s">
        <v>8866</v>
      </c>
      <c r="E752" s="46" t="s">
        <v>7616</v>
      </c>
    </row>
    <row r="753">
      <c r="A753" s="56" t="s">
        <v>8867</v>
      </c>
      <c r="B753" s="82"/>
      <c r="C753" s="33" t="s">
        <v>8866</v>
      </c>
      <c r="E753" s="46" t="s">
        <v>7618</v>
      </c>
    </row>
    <row r="754">
      <c r="A754" s="56" t="s">
        <v>8868</v>
      </c>
      <c r="B754" s="79"/>
      <c r="C754" s="33" t="s">
        <v>8869</v>
      </c>
      <c r="E754" s="46" t="s">
        <v>1348</v>
      </c>
    </row>
    <row r="755">
      <c r="A755" s="56" t="s">
        <v>8872</v>
      </c>
      <c r="B755" s="79"/>
      <c r="C755" s="33" t="s">
        <v>8869</v>
      </c>
      <c r="E755" s="46" t="s">
        <v>1348</v>
      </c>
    </row>
    <row r="756">
      <c r="A756" s="56" t="s">
        <v>8873</v>
      </c>
      <c r="B756" s="79"/>
      <c r="C756" s="33" t="s">
        <v>8874</v>
      </c>
      <c r="E756" s="46" t="s">
        <v>1348</v>
      </c>
    </row>
    <row r="757">
      <c r="A757" s="56" t="s">
        <v>8875</v>
      </c>
      <c r="B757" s="21"/>
      <c r="C757" s="33" t="s">
        <v>8876</v>
      </c>
      <c r="E757" s="46" t="s">
        <v>7616</v>
      </c>
    </row>
    <row r="758">
      <c r="A758" s="56" t="s">
        <v>8879</v>
      </c>
      <c r="B758" s="21"/>
      <c r="C758" s="33" t="s">
        <v>8876</v>
      </c>
      <c r="E758" s="46" t="s">
        <v>7618</v>
      </c>
    </row>
    <row r="759">
      <c r="A759" s="56" t="s">
        <v>8881</v>
      </c>
      <c r="B759" s="21"/>
      <c r="C759" s="33" t="s">
        <v>8882</v>
      </c>
      <c r="E759" s="46" t="s">
        <v>7616</v>
      </c>
    </row>
    <row r="760">
      <c r="A760" s="56" t="s">
        <v>8883</v>
      </c>
      <c r="B760" s="21"/>
      <c r="C760" s="33" t="s">
        <v>8882</v>
      </c>
      <c r="E760" s="46" t="s">
        <v>7618</v>
      </c>
    </row>
    <row r="761">
      <c r="A761" s="56" t="s">
        <v>8884</v>
      </c>
      <c r="B761" s="21"/>
      <c r="C761" s="33" t="s">
        <v>8885</v>
      </c>
      <c r="E761" s="46" t="s">
        <v>7616</v>
      </c>
    </row>
    <row r="762">
      <c r="A762" s="56" t="s">
        <v>8886</v>
      </c>
      <c r="B762" s="21"/>
      <c r="C762" s="33" t="s">
        <v>8885</v>
      </c>
      <c r="E762" s="46" t="s">
        <v>7618</v>
      </c>
    </row>
    <row r="763">
      <c r="A763" s="56" t="s">
        <v>8888</v>
      </c>
      <c r="B763" s="21"/>
      <c r="C763" s="33" t="s">
        <v>8876</v>
      </c>
      <c r="E763" s="46" t="s">
        <v>7616</v>
      </c>
    </row>
    <row r="764">
      <c r="A764" s="56" t="s">
        <v>8890</v>
      </c>
      <c r="B764" s="21"/>
      <c r="C764" s="33" t="s">
        <v>8876</v>
      </c>
      <c r="E764" s="46" t="s">
        <v>7618</v>
      </c>
    </row>
    <row r="765">
      <c r="A765" s="56" t="s">
        <v>8891</v>
      </c>
      <c r="B765" s="21"/>
      <c r="C765" s="33" t="s">
        <v>8882</v>
      </c>
      <c r="E765" s="46" t="s">
        <v>7616</v>
      </c>
    </row>
    <row r="766">
      <c r="A766" s="56" t="s">
        <v>8892</v>
      </c>
      <c r="B766" s="21"/>
      <c r="C766" s="33" t="s">
        <v>8882</v>
      </c>
      <c r="E766" s="46" t="s">
        <v>7618</v>
      </c>
    </row>
    <row r="767">
      <c r="A767" s="56" t="s">
        <v>8894</v>
      </c>
      <c r="B767" s="21"/>
      <c r="C767" s="33" t="s">
        <v>8885</v>
      </c>
      <c r="E767" s="46" t="s">
        <v>7616</v>
      </c>
    </row>
    <row r="768">
      <c r="A768" s="56" t="s">
        <v>8896</v>
      </c>
      <c r="B768" s="21"/>
      <c r="C768" s="33" t="s">
        <v>8885</v>
      </c>
      <c r="E768" s="46" t="s">
        <v>7618</v>
      </c>
    </row>
    <row r="769">
      <c r="A769" s="56" t="s">
        <v>8898</v>
      </c>
      <c r="B769" s="21"/>
      <c r="C769" s="33" t="s">
        <v>8899</v>
      </c>
      <c r="E769" s="46" t="s">
        <v>7616</v>
      </c>
    </row>
    <row r="770">
      <c r="A770" s="56" t="s">
        <v>8900</v>
      </c>
      <c r="B770" s="21"/>
      <c r="C770" s="33" t="s">
        <v>8899</v>
      </c>
      <c r="E770" s="46" t="s">
        <v>7618</v>
      </c>
    </row>
    <row r="771">
      <c r="A771" s="56" t="s">
        <v>8901</v>
      </c>
      <c r="B771" s="21"/>
      <c r="C771" s="33" t="s">
        <v>8902</v>
      </c>
      <c r="E771" s="46" t="s">
        <v>7616</v>
      </c>
    </row>
    <row r="772">
      <c r="A772" s="56" t="s">
        <v>8904</v>
      </c>
      <c r="B772" s="21"/>
      <c r="C772" s="33" t="s">
        <v>8902</v>
      </c>
      <c r="E772" s="46" t="s">
        <v>7618</v>
      </c>
    </row>
    <row r="773">
      <c r="A773" s="56" t="s">
        <v>8905</v>
      </c>
      <c r="B773" s="21"/>
      <c r="C773" s="33" t="s">
        <v>8906</v>
      </c>
      <c r="E773" s="46" t="s">
        <v>7616</v>
      </c>
    </row>
    <row r="774">
      <c r="A774" s="56" t="s">
        <v>8908</v>
      </c>
      <c r="B774" s="21"/>
      <c r="C774" s="33" t="s">
        <v>8906</v>
      </c>
      <c r="E774" s="46" t="s">
        <v>7618</v>
      </c>
    </row>
    <row r="775">
      <c r="A775" s="56" t="s">
        <v>8909</v>
      </c>
      <c r="B775" s="84"/>
      <c r="C775" s="33" t="s">
        <v>8910</v>
      </c>
      <c r="E775" s="46" t="s">
        <v>7616</v>
      </c>
    </row>
    <row r="776">
      <c r="A776" s="56" t="s">
        <v>8911</v>
      </c>
      <c r="B776" s="84"/>
      <c r="C776" s="33" t="s">
        <v>8910</v>
      </c>
      <c r="E776" s="46" t="s">
        <v>7618</v>
      </c>
    </row>
    <row r="777">
      <c r="A777" s="56" t="s">
        <v>8912</v>
      </c>
      <c r="B777" s="84"/>
      <c r="C777" s="33" t="s">
        <v>8910</v>
      </c>
      <c r="E777" s="46" t="s">
        <v>7616</v>
      </c>
    </row>
    <row r="778">
      <c r="A778" s="56" t="s">
        <v>8915</v>
      </c>
      <c r="B778" s="84"/>
      <c r="C778" s="33" t="s">
        <v>8910</v>
      </c>
      <c r="E778" s="46" t="s">
        <v>7618</v>
      </c>
    </row>
    <row r="779">
      <c r="A779" s="56" t="s">
        <v>8917</v>
      </c>
      <c r="B779" s="84"/>
      <c r="C779" s="33" t="s">
        <v>8910</v>
      </c>
      <c r="E779" s="46" t="s">
        <v>7616</v>
      </c>
    </row>
    <row r="780">
      <c r="A780" s="56" t="s">
        <v>8918</v>
      </c>
      <c r="B780" s="84"/>
      <c r="C780" s="33" t="s">
        <v>8910</v>
      </c>
      <c r="E780" s="46" t="s">
        <v>7618</v>
      </c>
    </row>
    <row r="781">
      <c r="A781" s="56" t="s">
        <v>8919</v>
      </c>
      <c r="B781" s="84"/>
      <c r="C781" s="33" t="s">
        <v>8910</v>
      </c>
      <c r="E781" s="46" t="s">
        <v>7616</v>
      </c>
    </row>
    <row r="782">
      <c r="A782" s="56" t="s">
        <v>8921</v>
      </c>
      <c r="B782" s="84"/>
      <c r="C782" s="33" t="s">
        <v>8910</v>
      </c>
      <c r="E782" s="46" t="s">
        <v>7618</v>
      </c>
    </row>
    <row r="783">
      <c r="A783" s="56" t="s">
        <v>8924</v>
      </c>
      <c r="B783" s="21"/>
      <c r="C783" s="33" t="s">
        <v>8899</v>
      </c>
      <c r="E783" s="46" t="s">
        <v>7616</v>
      </c>
    </row>
    <row r="784">
      <c r="A784" s="56" t="s">
        <v>8925</v>
      </c>
      <c r="B784" s="21"/>
      <c r="C784" s="33" t="s">
        <v>8899</v>
      </c>
      <c r="E784" s="46" t="s">
        <v>7618</v>
      </c>
    </row>
    <row r="785">
      <c r="A785" s="56" t="s">
        <v>8926</v>
      </c>
      <c r="B785" s="21"/>
      <c r="C785" s="33" t="s">
        <v>8902</v>
      </c>
      <c r="E785" s="46" t="s">
        <v>7616</v>
      </c>
    </row>
    <row r="786">
      <c r="A786" s="56" t="s">
        <v>8927</v>
      </c>
      <c r="B786" s="21"/>
      <c r="C786" s="33" t="s">
        <v>8902</v>
      </c>
      <c r="E786" s="46" t="s">
        <v>7618</v>
      </c>
    </row>
    <row r="787">
      <c r="A787" s="56" t="s">
        <v>8930</v>
      </c>
      <c r="B787" s="21"/>
      <c r="C787" s="33" t="s">
        <v>8906</v>
      </c>
      <c r="E787" s="46" t="s">
        <v>7616</v>
      </c>
    </row>
    <row r="788">
      <c r="A788" s="56" t="s">
        <v>8932</v>
      </c>
      <c r="B788" s="21"/>
      <c r="C788" s="33" t="s">
        <v>8906</v>
      </c>
      <c r="E788" s="46" t="s">
        <v>7618</v>
      </c>
    </row>
    <row r="789">
      <c r="A789" s="56" t="s">
        <v>8933</v>
      </c>
      <c r="B789" s="84"/>
      <c r="C789" s="33" t="s">
        <v>8910</v>
      </c>
      <c r="E789" s="46" t="s">
        <v>7616</v>
      </c>
    </row>
    <row r="790">
      <c r="A790" s="56" t="s">
        <v>8934</v>
      </c>
      <c r="B790" s="84"/>
      <c r="C790" s="33" t="s">
        <v>8910</v>
      </c>
      <c r="E790" s="46" t="s">
        <v>7618</v>
      </c>
    </row>
    <row r="791">
      <c r="A791" s="56" t="s">
        <v>8936</v>
      </c>
      <c r="B791" s="84"/>
      <c r="C791" s="33" t="s">
        <v>8910</v>
      </c>
      <c r="E791" s="46" t="s">
        <v>7616</v>
      </c>
    </row>
    <row r="792">
      <c r="A792" s="56" t="s">
        <v>8938</v>
      </c>
      <c r="B792" s="84"/>
      <c r="C792" s="33" t="s">
        <v>8910</v>
      </c>
      <c r="E792" s="46" t="s">
        <v>7618</v>
      </c>
    </row>
    <row r="793">
      <c r="A793" s="56" t="s">
        <v>8939</v>
      </c>
      <c r="B793" s="84"/>
      <c r="C793" s="33" t="s">
        <v>8910</v>
      </c>
      <c r="E793" s="46" t="s">
        <v>7616</v>
      </c>
    </row>
    <row r="794">
      <c r="A794" s="56" t="s">
        <v>8940</v>
      </c>
      <c r="B794" s="84"/>
      <c r="C794" s="33" t="s">
        <v>8910</v>
      </c>
      <c r="E794" s="46" t="s">
        <v>7618</v>
      </c>
    </row>
    <row r="795">
      <c r="A795" s="56" t="s">
        <v>8941</v>
      </c>
      <c r="B795" s="84"/>
      <c r="C795" s="33" t="s">
        <v>8910</v>
      </c>
      <c r="E795" s="46" t="s">
        <v>7616</v>
      </c>
    </row>
    <row r="796">
      <c r="A796" s="56" t="s">
        <v>8942</v>
      </c>
      <c r="B796" s="84"/>
      <c r="C796" s="33" t="s">
        <v>8910</v>
      </c>
      <c r="E796" s="46" t="s">
        <v>7618</v>
      </c>
    </row>
    <row r="797">
      <c r="A797" s="56" t="s">
        <v>8946</v>
      </c>
      <c r="B797" s="84"/>
      <c r="C797" s="33" t="s">
        <v>8947</v>
      </c>
      <c r="E797" s="46" t="s">
        <v>3366</v>
      </c>
    </row>
    <row r="798">
      <c r="A798" s="56" t="s">
        <v>8948</v>
      </c>
      <c r="B798" s="84"/>
      <c r="C798" s="33" t="s">
        <v>8947</v>
      </c>
      <c r="E798" s="46" t="s">
        <v>3366</v>
      </c>
    </row>
    <row r="799">
      <c r="A799" s="56" t="s">
        <v>8949</v>
      </c>
      <c r="B799" s="84"/>
      <c r="C799" s="33" t="s">
        <v>8947</v>
      </c>
      <c r="E799" s="46" t="s">
        <v>3366</v>
      </c>
    </row>
    <row r="800">
      <c r="A800" s="56" t="s">
        <v>8950</v>
      </c>
      <c r="B800" s="84"/>
      <c r="C800" s="33" t="s">
        <v>8947</v>
      </c>
      <c r="E800" s="46" t="s">
        <v>3366</v>
      </c>
    </row>
    <row r="801">
      <c r="A801" s="56" t="s">
        <v>8952</v>
      </c>
      <c r="B801" s="84"/>
      <c r="C801" s="33" t="s">
        <v>8947</v>
      </c>
      <c r="E801" s="46" t="s">
        <v>3366</v>
      </c>
    </row>
    <row r="802">
      <c r="A802" s="56" t="s">
        <v>8954</v>
      </c>
      <c r="B802" s="82"/>
      <c r="C802" s="33" t="s">
        <v>8955</v>
      </c>
      <c r="E802" s="46" t="s">
        <v>7609</v>
      </c>
    </row>
    <row r="803">
      <c r="A803" s="56" t="s">
        <v>8956</v>
      </c>
      <c r="B803" s="82"/>
      <c r="C803" s="33" t="s">
        <v>8957</v>
      </c>
      <c r="E803" s="46" t="s">
        <v>7616</v>
      </c>
    </row>
    <row r="804">
      <c r="A804" s="56" t="s">
        <v>8958</v>
      </c>
      <c r="B804" s="82"/>
      <c r="C804" s="33" t="s">
        <v>8957</v>
      </c>
      <c r="E804" s="46" t="s">
        <v>7618</v>
      </c>
    </row>
    <row r="805">
      <c r="A805" s="56" t="s">
        <v>8959</v>
      </c>
      <c r="B805" s="82"/>
      <c r="C805" s="33" t="s">
        <v>8961</v>
      </c>
      <c r="E805" s="46" t="s">
        <v>7616</v>
      </c>
    </row>
    <row r="806">
      <c r="A806" s="56" t="s">
        <v>8964</v>
      </c>
      <c r="B806" s="82"/>
      <c r="C806" s="33" t="s">
        <v>8961</v>
      </c>
      <c r="E806" s="46" t="s">
        <v>7618</v>
      </c>
    </row>
    <row r="807">
      <c r="A807" s="56" t="s">
        <v>8965</v>
      </c>
      <c r="B807" s="82"/>
      <c r="C807" s="33" t="s">
        <v>8966</v>
      </c>
      <c r="E807" s="46" t="s">
        <v>7616</v>
      </c>
    </row>
    <row r="808">
      <c r="A808" s="56" t="s">
        <v>8967</v>
      </c>
      <c r="B808" s="82"/>
      <c r="C808" s="33" t="s">
        <v>8966</v>
      </c>
      <c r="E808" s="46" t="s">
        <v>7618</v>
      </c>
    </row>
    <row r="809">
      <c r="A809" s="56" t="s">
        <v>8968</v>
      </c>
      <c r="B809" s="79"/>
      <c r="C809" s="33" t="s">
        <v>8969</v>
      </c>
      <c r="E809" s="46" t="s">
        <v>1348</v>
      </c>
    </row>
    <row r="810">
      <c r="A810" s="56" t="s">
        <v>8971</v>
      </c>
      <c r="B810" s="79"/>
      <c r="C810" s="33" t="s">
        <v>8969</v>
      </c>
      <c r="E810" s="46" t="s">
        <v>1348</v>
      </c>
    </row>
    <row r="811">
      <c r="A811" s="56" t="s">
        <v>8973</v>
      </c>
      <c r="B811" s="79"/>
      <c r="C811" s="33" t="s">
        <v>8974</v>
      </c>
      <c r="E811" s="46" t="s">
        <v>1348</v>
      </c>
    </row>
    <row r="812">
      <c r="A812" s="56" t="s">
        <v>8975</v>
      </c>
      <c r="B812" s="21"/>
      <c r="C812" s="33" t="s">
        <v>8976</v>
      </c>
      <c r="E812" s="46" t="s">
        <v>7616</v>
      </c>
    </row>
    <row r="813">
      <c r="A813" s="56" t="s">
        <v>8980</v>
      </c>
      <c r="B813" s="21"/>
      <c r="C813" s="33" t="s">
        <v>8976</v>
      </c>
      <c r="E813" s="46" t="s">
        <v>7618</v>
      </c>
    </row>
    <row r="814">
      <c r="A814" s="56" t="s">
        <v>8981</v>
      </c>
      <c r="B814" s="21"/>
      <c r="C814" s="33" t="s">
        <v>8982</v>
      </c>
      <c r="E814" s="46" t="s">
        <v>7616</v>
      </c>
    </row>
    <row r="815">
      <c r="A815" s="56" t="s">
        <v>8983</v>
      </c>
      <c r="B815" s="21"/>
      <c r="C815" s="33" t="s">
        <v>8982</v>
      </c>
      <c r="E815" s="46" t="s">
        <v>7618</v>
      </c>
    </row>
    <row r="816">
      <c r="A816" s="56" t="s">
        <v>8984</v>
      </c>
      <c r="B816" s="21"/>
      <c r="C816" s="33" t="s">
        <v>8985</v>
      </c>
      <c r="E816" s="46" t="s">
        <v>7616</v>
      </c>
    </row>
    <row r="817">
      <c r="A817" s="56" t="s">
        <v>8987</v>
      </c>
      <c r="B817" s="21"/>
      <c r="C817" s="33" t="s">
        <v>8985</v>
      </c>
      <c r="E817" s="46" t="s">
        <v>7618</v>
      </c>
    </row>
    <row r="818">
      <c r="A818" s="56" t="s">
        <v>8989</v>
      </c>
      <c r="B818" s="21"/>
      <c r="C818" s="33" t="s">
        <v>8990</v>
      </c>
      <c r="E818" s="46" t="s">
        <v>7616</v>
      </c>
    </row>
    <row r="819">
      <c r="A819" s="56" t="s">
        <v>8991</v>
      </c>
      <c r="B819" s="21"/>
      <c r="C819" s="33" t="s">
        <v>8990</v>
      </c>
      <c r="E819" s="46" t="s">
        <v>7618</v>
      </c>
    </row>
    <row r="820">
      <c r="A820" s="56" t="s">
        <v>8992</v>
      </c>
      <c r="B820" s="21"/>
      <c r="C820" s="33" t="s">
        <v>8982</v>
      </c>
      <c r="E820" s="46" t="s">
        <v>7616</v>
      </c>
    </row>
    <row r="821">
      <c r="A821" s="56" t="s">
        <v>8993</v>
      </c>
      <c r="B821" s="21"/>
      <c r="C821" s="33" t="s">
        <v>8982</v>
      </c>
      <c r="E821" s="46" t="s">
        <v>7618</v>
      </c>
    </row>
    <row r="822">
      <c r="A822" s="56" t="s">
        <v>8997</v>
      </c>
      <c r="B822" s="21"/>
      <c r="C822" s="33" t="s">
        <v>8985</v>
      </c>
      <c r="E822" s="46" t="s">
        <v>7616</v>
      </c>
    </row>
    <row r="823">
      <c r="A823" s="56" t="s">
        <v>8999</v>
      </c>
      <c r="B823" s="21"/>
      <c r="C823" s="33" t="s">
        <v>8985</v>
      </c>
      <c r="E823" s="46" t="s">
        <v>7618</v>
      </c>
    </row>
    <row r="824">
      <c r="A824" s="56" t="s">
        <v>9000</v>
      </c>
      <c r="B824" s="21"/>
      <c r="C824" s="33" t="s">
        <v>8990</v>
      </c>
      <c r="E824" s="46" t="s">
        <v>7616</v>
      </c>
    </row>
    <row r="825">
      <c r="A825" s="56" t="s">
        <v>9001</v>
      </c>
      <c r="B825" s="21"/>
      <c r="C825" s="33" t="s">
        <v>8990</v>
      </c>
      <c r="E825" s="46" t="s">
        <v>7618</v>
      </c>
    </row>
    <row r="826">
      <c r="A826" s="56" t="s">
        <v>9002</v>
      </c>
      <c r="B826" s="21"/>
      <c r="C826" s="33" t="s">
        <v>9004</v>
      </c>
      <c r="E826" s="46" t="s">
        <v>7616</v>
      </c>
    </row>
    <row r="827">
      <c r="A827" s="56" t="s">
        <v>9006</v>
      </c>
      <c r="B827" s="21"/>
      <c r="C827" s="33" t="s">
        <v>9004</v>
      </c>
      <c r="E827" s="46" t="s">
        <v>7618</v>
      </c>
    </row>
    <row r="828">
      <c r="A828" s="56" t="s">
        <v>9007</v>
      </c>
      <c r="B828" s="21"/>
      <c r="C828" s="33" t="s">
        <v>9008</v>
      </c>
      <c r="E828" s="46" t="s">
        <v>7616</v>
      </c>
    </row>
    <row r="829">
      <c r="A829" s="56" t="s">
        <v>9009</v>
      </c>
      <c r="B829" s="21"/>
      <c r="C829" s="33" t="s">
        <v>9008</v>
      </c>
      <c r="E829" s="46" t="s">
        <v>7618</v>
      </c>
    </row>
    <row r="830">
      <c r="A830" s="56" t="s">
        <v>9010</v>
      </c>
      <c r="B830" s="21"/>
      <c r="C830" s="33" t="s">
        <v>9013</v>
      </c>
      <c r="E830" s="46" t="s">
        <v>7616</v>
      </c>
    </row>
    <row r="831">
      <c r="A831" s="56" t="s">
        <v>9015</v>
      </c>
      <c r="B831" s="21"/>
      <c r="C831" s="33" t="s">
        <v>9013</v>
      </c>
      <c r="E831" s="46" t="s">
        <v>7618</v>
      </c>
    </row>
    <row r="832">
      <c r="A832" s="56" t="s">
        <v>9016</v>
      </c>
      <c r="B832" s="21"/>
      <c r="C832" s="33" t="s">
        <v>9004</v>
      </c>
      <c r="E832" s="46" t="s">
        <v>7616</v>
      </c>
    </row>
    <row r="833">
      <c r="A833" s="56" t="s">
        <v>9017</v>
      </c>
      <c r="B833" s="21"/>
      <c r="C833" s="33" t="s">
        <v>9004</v>
      </c>
      <c r="E833" s="46" t="s">
        <v>7618</v>
      </c>
    </row>
    <row r="834">
      <c r="A834" s="56" t="s">
        <v>9018</v>
      </c>
      <c r="B834" s="21"/>
      <c r="C834" s="33" t="s">
        <v>9008</v>
      </c>
      <c r="E834" s="46" t="s">
        <v>7616</v>
      </c>
    </row>
    <row r="835">
      <c r="A835" s="56" t="s">
        <v>9021</v>
      </c>
      <c r="B835" s="21"/>
      <c r="C835" s="33" t="s">
        <v>9008</v>
      </c>
      <c r="E835" s="46" t="s">
        <v>7618</v>
      </c>
    </row>
    <row r="836">
      <c r="A836" s="56" t="s">
        <v>9022</v>
      </c>
      <c r="B836" s="21"/>
      <c r="C836" s="33" t="s">
        <v>9013</v>
      </c>
      <c r="E836" s="46" t="s">
        <v>7616</v>
      </c>
    </row>
    <row r="837">
      <c r="A837" s="56" t="s">
        <v>9023</v>
      </c>
      <c r="B837" s="21"/>
      <c r="C837" s="33" t="s">
        <v>9013</v>
      </c>
      <c r="E837" s="46" t="s">
        <v>7618</v>
      </c>
    </row>
    <row r="838">
      <c r="A838" s="56" t="s">
        <v>9024</v>
      </c>
      <c r="B838" s="82"/>
      <c r="C838" s="33" t="s">
        <v>9025</v>
      </c>
      <c r="E838" s="46" t="s">
        <v>3366</v>
      </c>
    </row>
    <row r="839">
      <c r="A839" s="56" t="s">
        <v>9026</v>
      </c>
      <c r="B839" s="82"/>
      <c r="C839" s="33" t="s">
        <v>9027</v>
      </c>
      <c r="E839" s="46" t="s">
        <v>3366</v>
      </c>
    </row>
    <row r="840">
      <c r="A840" s="56" t="s">
        <v>9031</v>
      </c>
      <c r="B840" s="82"/>
      <c r="C840" s="33" t="s">
        <v>9032</v>
      </c>
      <c r="E840" s="46" t="s">
        <v>3366</v>
      </c>
    </row>
    <row r="841">
      <c r="A841" s="56" t="s">
        <v>9033</v>
      </c>
      <c r="B841" s="84"/>
      <c r="C841" s="33" t="s">
        <v>9034</v>
      </c>
      <c r="E841" s="46" t="s">
        <v>3366</v>
      </c>
    </row>
    <row r="842">
      <c r="A842" s="56" t="s">
        <v>9035</v>
      </c>
      <c r="B842" s="84"/>
      <c r="C842" s="33" t="s">
        <v>9034</v>
      </c>
      <c r="E842" s="46" t="s">
        <v>3366</v>
      </c>
    </row>
    <row r="843">
      <c r="A843" s="56" t="s">
        <v>9036</v>
      </c>
      <c r="B843" s="82"/>
      <c r="C843" s="33" t="s">
        <v>9037</v>
      </c>
      <c r="E843" s="46" t="s">
        <v>7609</v>
      </c>
    </row>
    <row r="844">
      <c r="A844" s="56" t="s">
        <v>9040</v>
      </c>
      <c r="B844" s="82"/>
      <c r="C844" s="33" t="s">
        <v>9042</v>
      </c>
      <c r="E844" s="46" t="s">
        <v>7616</v>
      </c>
    </row>
    <row r="845">
      <c r="A845" s="56" t="s">
        <v>9043</v>
      </c>
      <c r="B845" s="82"/>
      <c r="C845" s="33" t="s">
        <v>9042</v>
      </c>
      <c r="E845" s="46" t="s">
        <v>7618</v>
      </c>
    </row>
    <row r="846">
      <c r="A846" s="56" t="s">
        <v>9044</v>
      </c>
      <c r="B846" s="82"/>
      <c r="C846" s="33" t="s">
        <v>9045</v>
      </c>
      <c r="E846" s="46" t="s">
        <v>7616</v>
      </c>
    </row>
    <row r="847">
      <c r="A847" s="56" t="s">
        <v>9047</v>
      </c>
      <c r="B847" s="82"/>
      <c r="C847" s="33" t="s">
        <v>9045</v>
      </c>
      <c r="E847" s="46" t="s">
        <v>7618</v>
      </c>
    </row>
    <row r="848">
      <c r="A848" s="56" t="s">
        <v>9049</v>
      </c>
      <c r="B848" s="82"/>
      <c r="C848" s="33" t="s">
        <v>9050</v>
      </c>
      <c r="E848" s="46" t="s">
        <v>7616</v>
      </c>
    </row>
    <row r="849">
      <c r="A849" s="56" t="s">
        <v>9052</v>
      </c>
      <c r="B849" s="82"/>
      <c r="C849" s="33" t="s">
        <v>9050</v>
      </c>
      <c r="E849" s="46" t="s">
        <v>7618</v>
      </c>
    </row>
    <row r="850">
      <c r="A850" s="56" t="s">
        <v>9054</v>
      </c>
      <c r="B850" s="21"/>
      <c r="C850" s="33" t="s">
        <v>9055</v>
      </c>
      <c r="E850" s="46" t="s">
        <v>7616</v>
      </c>
    </row>
    <row r="851">
      <c r="A851" s="56" t="s">
        <v>9056</v>
      </c>
      <c r="B851" s="21"/>
      <c r="C851" s="33" t="s">
        <v>9055</v>
      </c>
      <c r="E851" s="46" t="s">
        <v>7618</v>
      </c>
    </row>
    <row r="852">
      <c r="A852" s="56" t="s">
        <v>9058</v>
      </c>
      <c r="B852" s="21"/>
      <c r="C852" s="33" t="s">
        <v>9060</v>
      </c>
      <c r="E852" s="46" t="s">
        <v>7616</v>
      </c>
    </row>
    <row r="853">
      <c r="A853" s="56" t="s">
        <v>9061</v>
      </c>
      <c r="B853" s="21"/>
      <c r="C853" s="33" t="s">
        <v>9060</v>
      </c>
      <c r="E853" s="46" t="s">
        <v>7618</v>
      </c>
    </row>
    <row r="854">
      <c r="A854" s="56" t="s">
        <v>9064</v>
      </c>
      <c r="B854" s="21"/>
      <c r="C854" s="33" t="s">
        <v>9065</v>
      </c>
      <c r="E854" s="46" t="s">
        <v>7616</v>
      </c>
    </row>
    <row r="855">
      <c r="A855" s="56" t="s">
        <v>9066</v>
      </c>
      <c r="B855" s="21"/>
      <c r="C855" s="33" t="s">
        <v>9065</v>
      </c>
      <c r="E855" s="46" t="s">
        <v>7618</v>
      </c>
    </row>
    <row r="856">
      <c r="A856" s="56" t="s">
        <v>9067</v>
      </c>
      <c r="B856" s="21"/>
      <c r="C856" s="33" t="s">
        <v>9055</v>
      </c>
      <c r="E856" s="46" t="s">
        <v>7616</v>
      </c>
    </row>
    <row r="857">
      <c r="A857" s="56" t="s">
        <v>9068</v>
      </c>
      <c r="B857" s="21"/>
      <c r="C857" s="33" t="s">
        <v>9055</v>
      </c>
      <c r="E857" s="46" t="s">
        <v>7618</v>
      </c>
    </row>
    <row r="858">
      <c r="A858" s="56" t="s">
        <v>9071</v>
      </c>
      <c r="B858" s="21"/>
      <c r="C858" s="33" t="s">
        <v>9060</v>
      </c>
      <c r="E858" s="46" t="s">
        <v>7616</v>
      </c>
    </row>
    <row r="859">
      <c r="A859" s="56" t="s">
        <v>9073</v>
      </c>
      <c r="B859" s="21"/>
      <c r="C859" s="33" t="s">
        <v>9060</v>
      </c>
      <c r="E859" s="46" t="s">
        <v>7618</v>
      </c>
    </row>
    <row r="860">
      <c r="A860" s="56" t="s">
        <v>9074</v>
      </c>
      <c r="B860" s="21"/>
      <c r="C860" s="33" t="s">
        <v>9065</v>
      </c>
      <c r="E860" s="46" t="s">
        <v>7616</v>
      </c>
    </row>
    <row r="861">
      <c r="A861" s="56" t="s">
        <v>9075</v>
      </c>
      <c r="B861" s="21"/>
      <c r="C861" s="33" t="s">
        <v>9065</v>
      </c>
      <c r="E861" s="46" t="s">
        <v>7618</v>
      </c>
    </row>
    <row r="862">
      <c r="A862" s="56" t="s">
        <v>9077</v>
      </c>
      <c r="B862" s="21"/>
      <c r="C862" s="33" t="s">
        <v>9079</v>
      </c>
      <c r="E862" s="46" t="s">
        <v>7616</v>
      </c>
    </row>
    <row r="863">
      <c r="A863" s="56" t="s">
        <v>9080</v>
      </c>
      <c r="B863" s="21"/>
      <c r="C863" s="33" t="s">
        <v>9079</v>
      </c>
      <c r="E863" s="46" t="s">
        <v>7618</v>
      </c>
    </row>
    <row r="864">
      <c r="A864" s="56" t="s">
        <v>9081</v>
      </c>
      <c r="B864" s="21"/>
      <c r="C864" s="33" t="s">
        <v>9082</v>
      </c>
      <c r="E864" s="46" t="s">
        <v>7616</v>
      </c>
    </row>
    <row r="865">
      <c r="A865" s="56" t="s">
        <v>9083</v>
      </c>
      <c r="B865" s="21"/>
      <c r="C865" s="33" t="s">
        <v>9082</v>
      </c>
      <c r="E865" s="46" t="s">
        <v>7618</v>
      </c>
    </row>
    <row r="866">
      <c r="A866" s="56" t="s">
        <v>9084</v>
      </c>
      <c r="B866" s="21"/>
      <c r="C866" s="33" t="s">
        <v>9086</v>
      </c>
      <c r="E866" s="46" t="s">
        <v>7616</v>
      </c>
    </row>
    <row r="867">
      <c r="A867" s="56" t="s">
        <v>9089</v>
      </c>
      <c r="B867" s="21"/>
      <c r="C867" s="33" t="s">
        <v>9086</v>
      </c>
      <c r="E867" s="46" t="s">
        <v>7618</v>
      </c>
    </row>
    <row r="868">
      <c r="A868" s="56" t="s">
        <v>9090</v>
      </c>
      <c r="B868" s="21"/>
      <c r="C868" s="33" t="s">
        <v>9079</v>
      </c>
      <c r="E868" s="46" t="s">
        <v>7616</v>
      </c>
    </row>
    <row r="869">
      <c r="A869" s="56" t="s">
        <v>9091</v>
      </c>
      <c r="B869" s="21"/>
      <c r="C869" s="33" t="s">
        <v>9079</v>
      </c>
      <c r="E869" s="46" t="s">
        <v>7618</v>
      </c>
    </row>
    <row r="870">
      <c r="A870" s="56" t="s">
        <v>9092</v>
      </c>
      <c r="B870" s="21"/>
      <c r="C870" s="33" t="s">
        <v>9082</v>
      </c>
      <c r="E870" s="46" t="s">
        <v>7616</v>
      </c>
    </row>
    <row r="871">
      <c r="A871" s="56" t="s">
        <v>9094</v>
      </c>
      <c r="B871" s="21"/>
      <c r="C871" s="33" t="s">
        <v>9082</v>
      </c>
      <c r="E871" s="46" t="s">
        <v>7618</v>
      </c>
    </row>
    <row r="872">
      <c r="A872" s="56" t="s">
        <v>9096</v>
      </c>
      <c r="B872" s="21"/>
      <c r="C872" s="33" t="s">
        <v>9086</v>
      </c>
      <c r="E872" s="46" t="s">
        <v>7616</v>
      </c>
    </row>
    <row r="873">
      <c r="A873" s="56" t="s">
        <v>9097</v>
      </c>
      <c r="B873" s="21"/>
      <c r="C873" s="33" t="s">
        <v>9086</v>
      </c>
      <c r="E873" s="46" t="s">
        <v>7618</v>
      </c>
    </row>
    <row r="874">
      <c r="A874" s="56" t="s">
        <v>9098</v>
      </c>
      <c r="B874" s="82"/>
      <c r="C874" s="33" t="s">
        <v>9100</v>
      </c>
      <c r="E874" s="46" t="s">
        <v>7609</v>
      </c>
    </row>
    <row r="875">
      <c r="A875" s="56" t="s">
        <v>9103</v>
      </c>
      <c r="B875" s="82"/>
      <c r="C875" s="33" t="s">
        <v>9104</v>
      </c>
      <c r="E875" s="46" t="s">
        <v>7616</v>
      </c>
    </row>
    <row r="876">
      <c r="A876" s="56" t="s">
        <v>9105</v>
      </c>
      <c r="B876" s="82"/>
      <c r="C876" s="33" t="s">
        <v>9104</v>
      </c>
      <c r="E876" s="46" t="s">
        <v>7618</v>
      </c>
    </row>
    <row r="877">
      <c r="A877" s="56" t="s">
        <v>9106</v>
      </c>
      <c r="B877" s="82"/>
      <c r="C877" s="33" t="s">
        <v>9107</v>
      </c>
      <c r="E877" s="46" t="s">
        <v>7616</v>
      </c>
    </row>
    <row r="878">
      <c r="A878" s="56" t="s">
        <v>9108</v>
      </c>
      <c r="B878" s="82"/>
      <c r="C878" s="33" t="s">
        <v>9107</v>
      </c>
      <c r="E878" s="46" t="s">
        <v>7618</v>
      </c>
    </row>
    <row r="879">
      <c r="A879" s="56" t="s">
        <v>9111</v>
      </c>
      <c r="B879" s="82"/>
      <c r="C879" s="33" t="s">
        <v>9113</v>
      </c>
      <c r="E879" s="46" t="s">
        <v>7616</v>
      </c>
    </row>
    <row r="880">
      <c r="A880" s="56" t="s">
        <v>9114</v>
      </c>
      <c r="B880" s="82"/>
      <c r="C880" s="33" t="s">
        <v>9113</v>
      </c>
      <c r="E880" s="46" t="s">
        <v>7618</v>
      </c>
    </row>
    <row r="881">
      <c r="A881" s="56" t="s">
        <v>9115</v>
      </c>
      <c r="B881" s="79"/>
      <c r="C881" s="33" t="s">
        <v>9116</v>
      </c>
      <c r="E881" s="46" t="s">
        <v>1348</v>
      </c>
    </row>
    <row r="882">
      <c r="A882" s="56" t="s">
        <v>9117</v>
      </c>
      <c r="B882" s="79"/>
      <c r="C882" s="33" t="s">
        <v>9116</v>
      </c>
      <c r="E882" s="46" t="s">
        <v>1348</v>
      </c>
    </row>
    <row r="883">
      <c r="A883" s="56" t="s">
        <v>9118</v>
      </c>
      <c r="B883" s="79"/>
      <c r="C883" s="33" t="s">
        <v>9119</v>
      </c>
      <c r="E883" s="46" t="s">
        <v>1348</v>
      </c>
    </row>
    <row r="884">
      <c r="A884" s="56" t="s">
        <v>9122</v>
      </c>
      <c r="B884" s="21"/>
      <c r="C884" s="33" t="s">
        <v>9125</v>
      </c>
      <c r="E884" s="46" t="s">
        <v>7616</v>
      </c>
    </row>
    <row r="885">
      <c r="A885" s="56" t="s">
        <v>9126</v>
      </c>
      <c r="B885" s="21"/>
      <c r="C885" s="33" t="s">
        <v>9125</v>
      </c>
      <c r="E885" s="46" t="s">
        <v>7618</v>
      </c>
    </row>
    <row r="886">
      <c r="A886" s="56" t="s">
        <v>9127</v>
      </c>
      <c r="B886" s="21"/>
      <c r="C886" s="33" t="s">
        <v>9128</v>
      </c>
      <c r="E886" s="46" t="s">
        <v>7616</v>
      </c>
    </row>
    <row r="887">
      <c r="A887" s="56" t="s">
        <v>9129</v>
      </c>
      <c r="B887" s="21"/>
      <c r="C887" s="33" t="s">
        <v>9128</v>
      </c>
      <c r="E887" s="46" t="s">
        <v>7618</v>
      </c>
    </row>
    <row r="888">
      <c r="A888" s="56" t="s">
        <v>9130</v>
      </c>
      <c r="B888" s="21"/>
      <c r="C888" s="33" t="s">
        <v>9133</v>
      </c>
      <c r="E888" s="46" t="s">
        <v>7616</v>
      </c>
    </row>
    <row r="889">
      <c r="A889" s="56" t="s">
        <v>9135</v>
      </c>
      <c r="B889" s="21"/>
      <c r="C889" s="33" t="s">
        <v>9133</v>
      </c>
      <c r="E889" s="46" t="s">
        <v>7618</v>
      </c>
    </row>
    <row r="890">
      <c r="A890" s="56" t="s">
        <v>9136</v>
      </c>
      <c r="B890" s="21"/>
      <c r="C890" s="33" t="s">
        <v>9138</v>
      </c>
      <c r="E890" s="46" t="s">
        <v>7616</v>
      </c>
    </row>
    <row r="891">
      <c r="A891" s="56" t="s">
        <v>9141</v>
      </c>
      <c r="B891" s="21"/>
      <c r="C891" s="33" t="s">
        <v>9138</v>
      </c>
      <c r="E891" s="46" t="s">
        <v>7618</v>
      </c>
    </row>
    <row r="892">
      <c r="A892" s="56" t="s">
        <v>9142</v>
      </c>
      <c r="B892" s="21"/>
      <c r="C892" s="33" t="s">
        <v>9128</v>
      </c>
      <c r="E892" s="46" t="s">
        <v>7616</v>
      </c>
    </row>
    <row r="893">
      <c r="A893" s="56" t="s">
        <v>9143</v>
      </c>
      <c r="B893" s="21"/>
      <c r="C893" s="33" t="s">
        <v>9128</v>
      </c>
      <c r="E893" s="46" t="s">
        <v>7618</v>
      </c>
    </row>
    <row r="894">
      <c r="A894" s="56" t="s">
        <v>9144</v>
      </c>
      <c r="B894" s="21"/>
      <c r="C894" s="33" t="s">
        <v>9133</v>
      </c>
      <c r="E894" s="46" t="s">
        <v>7616</v>
      </c>
    </row>
    <row r="895">
      <c r="A895" s="56" t="s">
        <v>9146</v>
      </c>
      <c r="B895" s="21"/>
      <c r="C895" s="33" t="s">
        <v>9133</v>
      </c>
      <c r="E895" s="46" t="s">
        <v>7618</v>
      </c>
    </row>
    <row r="896">
      <c r="A896" s="56" t="s">
        <v>9148</v>
      </c>
      <c r="B896" s="21"/>
      <c r="C896" s="33" t="s">
        <v>9138</v>
      </c>
      <c r="E896" s="46" t="s">
        <v>7616</v>
      </c>
    </row>
    <row r="897">
      <c r="A897" s="56" t="s">
        <v>9149</v>
      </c>
      <c r="B897" s="21"/>
      <c r="C897" s="33" t="s">
        <v>9138</v>
      </c>
      <c r="E897" s="46" t="s">
        <v>7618</v>
      </c>
    </row>
    <row r="898">
      <c r="A898" s="56" t="s">
        <v>9150</v>
      </c>
      <c r="B898" s="21"/>
      <c r="C898" s="33" t="s">
        <v>9151</v>
      </c>
      <c r="E898" s="46" t="s">
        <v>7616</v>
      </c>
    </row>
    <row r="899">
      <c r="A899" s="56" t="s">
        <v>9154</v>
      </c>
      <c r="B899" s="21"/>
      <c r="C899" s="33" t="s">
        <v>9151</v>
      </c>
      <c r="E899" s="46" t="s">
        <v>7618</v>
      </c>
    </row>
    <row r="900">
      <c r="A900" s="56" t="s">
        <v>9156</v>
      </c>
      <c r="B900" s="21"/>
      <c r="C900" s="33" t="s">
        <v>9157</v>
      </c>
      <c r="E900" s="46" t="s">
        <v>7616</v>
      </c>
    </row>
    <row r="901">
      <c r="A901" s="56" t="s">
        <v>9158</v>
      </c>
      <c r="B901" s="21"/>
      <c r="C901" s="33" t="s">
        <v>9157</v>
      </c>
      <c r="E901" s="46" t="s">
        <v>7618</v>
      </c>
    </row>
    <row r="902">
      <c r="A902" s="56" t="s">
        <v>9160</v>
      </c>
      <c r="B902" s="21"/>
      <c r="C902" s="33" t="s">
        <v>9161</v>
      </c>
      <c r="E902" s="46" t="s">
        <v>7616</v>
      </c>
    </row>
    <row r="903">
      <c r="A903" s="56" t="s">
        <v>9162</v>
      </c>
      <c r="B903" s="21"/>
      <c r="C903" s="33" t="s">
        <v>9161</v>
      </c>
      <c r="E903" s="46" t="s">
        <v>7618</v>
      </c>
    </row>
    <row r="904">
      <c r="A904" s="56" t="s">
        <v>9163</v>
      </c>
      <c r="B904" s="21"/>
      <c r="C904" s="33" t="s">
        <v>9151</v>
      </c>
      <c r="E904" s="46" t="s">
        <v>7616</v>
      </c>
    </row>
    <row r="905">
      <c r="A905" s="56" t="s">
        <v>9165</v>
      </c>
      <c r="B905" s="21"/>
      <c r="C905" s="33" t="s">
        <v>9151</v>
      </c>
      <c r="E905" s="46" t="s">
        <v>7618</v>
      </c>
    </row>
    <row r="906">
      <c r="A906" s="56" t="s">
        <v>9166</v>
      </c>
      <c r="B906" s="21"/>
      <c r="C906" s="33" t="s">
        <v>9157</v>
      </c>
      <c r="E906" s="46" t="s">
        <v>7616</v>
      </c>
    </row>
    <row r="907">
      <c r="A907" s="56" t="s">
        <v>9168</v>
      </c>
      <c r="B907" s="21"/>
      <c r="C907" s="33" t="s">
        <v>9157</v>
      </c>
      <c r="E907" s="46" t="s">
        <v>7618</v>
      </c>
    </row>
    <row r="908">
      <c r="A908" s="56" t="s">
        <v>9169</v>
      </c>
      <c r="B908" s="21"/>
      <c r="C908" s="33" t="s">
        <v>9161</v>
      </c>
      <c r="E908" s="46" t="s">
        <v>7616</v>
      </c>
    </row>
    <row r="909">
      <c r="A909" s="56" t="s">
        <v>9171</v>
      </c>
      <c r="B909" s="21"/>
      <c r="C909" s="33" t="s">
        <v>9161</v>
      </c>
      <c r="E909" s="46" t="s">
        <v>7618</v>
      </c>
    </row>
    <row r="910">
      <c r="A910" s="56" t="s">
        <v>9173</v>
      </c>
      <c r="B910" s="55"/>
      <c r="C910" s="31"/>
      <c r="E910" s="46" t="s">
        <v>3366</v>
      </c>
    </row>
    <row r="911">
      <c r="A911" s="56" t="s">
        <v>9174</v>
      </c>
      <c r="B911" s="55"/>
      <c r="C911" s="31"/>
      <c r="E911" s="46" t="s">
        <v>3366</v>
      </c>
    </row>
    <row r="912">
      <c r="A912" s="56" t="s">
        <v>9176</v>
      </c>
      <c r="B912" s="55"/>
      <c r="C912" s="31"/>
      <c r="E912" s="46" t="s">
        <v>3366</v>
      </c>
    </row>
    <row r="913">
      <c r="A913" s="56" t="s">
        <v>9177</v>
      </c>
      <c r="B913" s="55"/>
      <c r="C913" s="31"/>
      <c r="E913" s="46" t="s">
        <v>3366</v>
      </c>
    </row>
    <row r="914">
      <c r="A914" s="56" t="s">
        <v>9179</v>
      </c>
      <c r="B914" s="55"/>
      <c r="C914" s="31"/>
      <c r="E914" s="46" t="s">
        <v>3366</v>
      </c>
    </row>
    <row r="915">
      <c r="A915" s="56" t="s">
        <v>9180</v>
      </c>
      <c r="B915" s="55"/>
      <c r="C915" s="31"/>
      <c r="E915" s="46" t="s">
        <v>3366</v>
      </c>
    </row>
    <row r="916">
      <c r="A916" s="56" t="s">
        <v>9181</v>
      </c>
      <c r="B916" s="55"/>
      <c r="C916" s="31"/>
      <c r="E916" s="46" t="s">
        <v>3366</v>
      </c>
    </row>
    <row r="917">
      <c r="A917" s="56" t="s">
        <v>9182</v>
      </c>
      <c r="B917" s="55"/>
      <c r="C917" s="31"/>
      <c r="E917" s="46" t="s">
        <v>3366</v>
      </c>
    </row>
    <row r="918">
      <c r="A918" s="56" t="s">
        <v>9184</v>
      </c>
      <c r="B918" s="55"/>
      <c r="C918" s="31"/>
      <c r="E918" s="46" t="s">
        <v>3366</v>
      </c>
    </row>
    <row r="919">
      <c r="A919" s="56" t="s">
        <v>9187</v>
      </c>
      <c r="B919" s="55"/>
      <c r="C919" s="31"/>
      <c r="E919" s="46" t="s">
        <v>3366</v>
      </c>
    </row>
    <row r="920">
      <c r="A920" s="56" t="s">
        <v>9188</v>
      </c>
      <c r="B920" s="55"/>
      <c r="C920" s="31"/>
      <c r="E920" s="46" t="s">
        <v>3366</v>
      </c>
    </row>
    <row r="921">
      <c r="A921" s="56" t="s">
        <v>9189</v>
      </c>
      <c r="B921" s="55"/>
      <c r="C921" s="31"/>
      <c r="E921" s="46" t="s">
        <v>3366</v>
      </c>
    </row>
    <row r="922">
      <c r="A922" s="56" t="s">
        <v>9190</v>
      </c>
      <c r="B922" s="55"/>
      <c r="C922" s="31"/>
      <c r="E922" s="46" t="s">
        <v>3366</v>
      </c>
    </row>
    <row r="923">
      <c r="A923" s="56" t="s">
        <v>9191</v>
      </c>
      <c r="B923" s="55"/>
      <c r="C923" s="31"/>
      <c r="E923" s="46" t="s">
        <v>3366</v>
      </c>
    </row>
    <row r="924">
      <c r="A924" s="56" t="s">
        <v>9194</v>
      </c>
      <c r="B924" s="55"/>
      <c r="C924" s="31"/>
      <c r="E924" s="46" t="s">
        <v>3366</v>
      </c>
    </row>
    <row r="925">
      <c r="A925" s="56" t="s">
        <v>9195</v>
      </c>
      <c r="B925" s="55"/>
      <c r="C925" s="31"/>
      <c r="E925" s="46" t="s">
        <v>3366</v>
      </c>
    </row>
    <row r="926">
      <c r="A926" s="56" t="s">
        <v>9196</v>
      </c>
      <c r="B926" s="55"/>
      <c r="C926" s="31"/>
      <c r="E926" s="46" t="s">
        <v>3366</v>
      </c>
    </row>
    <row r="927">
      <c r="A927" s="56" t="s">
        <v>9197</v>
      </c>
      <c r="B927" s="55"/>
      <c r="C927" s="31"/>
      <c r="E927" s="46" t="s">
        <v>3366</v>
      </c>
    </row>
    <row r="928">
      <c r="A928" s="56" t="s">
        <v>9198</v>
      </c>
      <c r="B928" s="55"/>
      <c r="C928" s="31"/>
      <c r="E928" s="46" t="s">
        <v>3366</v>
      </c>
    </row>
    <row r="929">
      <c r="A929" s="56" t="s">
        <v>9200</v>
      </c>
      <c r="B929" s="55"/>
      <c r="C929" s="31"/>
      <c r="E929" s="46" t="s">
        <v>3366</v>
      </c>
    </row>
    <row r="930">
      <c r="A930" s="56" t="s">
        <v>9203</v>
      </c>
      <c r="B930" s="55"/>
      <c r="C930" s="31"/>
      <c r="E930" s="46" t="s">
        <v>3366</v>
      </c>
    </row>
    <row r="931">
      <c r="A931" s="56" t="s">
        <v>9204</v>
      </c>
      <c r="B931" s="55"/>
      <c r="C931" s="31"/>
      <c r="E931" s="46" t="s">
        <v>3366</v>
      </c>
    </row>
    <row r="932">
      <c r="A932" s="56" t="s">
        <v>9205</v>
      </c>
      <c r="B932" s="55"/>
      <c r="C932" s="31"/>
      <c r="E932" s="46" t="s">
        <v>3366</v>
      </c>
    </row>
    <row r="933">
      <c r="A933" s="56" t="s">
        <v>9206</v>
      </c>
      <c r="B933" s="55"/>
      <c r="C933" s="31"/>
      <c r="E933" s="46" t="s">
        <v>3366</v>
      </c>
    </row>
    <row r="934">
      <c r="A934" s="56" t="s">
        <v>9208</v>
      </c>
      <c r="B934" s="55"/>
      <c r="C934" s="31"/>
      <c r="E934" s="46" t="s">
        <v>3366</v>
      </c>
    </row>
    <row r="935">
      <c r="A935" s="56" t="s">
        <v>9210</v>
      </c>
      <c r="B935" s="55"/>
      <c r="C935" s="31"/>
      <c r="E935" s="46" t="s">
        <v>3366</v>
      </c>
    </row>
    <row r="936">
      <c r="A936" s="56" t="s">
        <v>9211</v>
      </c>
      <c r="B936" s="55"/>
      <c r="C936" s="31"/>
      <c r="E936" s="46" t="s">
        <v>3366</v>
      </c>
    </row>
    <row r="937">
      <c r="A937" s="56" t="s">
        <v>9212</v>
      </c>
      <c r="B937" s="55"/>
      <c r="C937" s="31"/>
      <c r="E937" s="46" t="s">
        <v>3366</v>
      </c>
    </row>
    <row r="938">
      <c r="A938" s="56" t="s">
        <v>9213</v>
      </c>
      <c r="B938" s="55"/>
      <c r="C938" s="31"/>
      <c r="E938" s="46" t="s">
        <v>3366</v>
      </c>
    </row>
    <row r="939">
      <c r="A939" s="56" t="s">
        <v>9214</v>
      </c>
      <c r="B939" s="55"/>
      <c r="C939" s="31"/>
      <c r="E939" s="46" t="s">
        <v>3366</v>
      </c>
    </row>
    <row r="940">
      <c r="A940" s="56" t="s">
        <v>9217</v>
      </c>
      <c r="B940" s="55"/>
      <c r="C940" s="31"/>
      <c r="E940" s="46" t="s">
        <v>3366</v>
      </c>
    </row>
    <row r="941">
      <c r="A941" s="56" t="s">
        <v>9219</v>
      </c>
      <c r="B941" s="55"/>
      <c r="C941" s="31"/>
      <c r="E941" s="46" t="s">
        <v>3366</v>
      </c>
    </row>
    <row r="942">
      <c r="A942" s="56" t="s">
        <v>9220</v>
      </c>
      <c r="B942" s="55"/>
      <c r="C942" s="31"/>
      <c r="E942" s="46" t="s">
        <v>3366</v>
      </c>
    </row>
    <row r="943">
      <c r="A943" s="56" t="s">
        <v>9221</v>
      </c>
      <c r="B943" s="55"/>
      <c r="C943" s="31"/>
      <c r="E943" s="46" t="s">
        <v>3366</v>
      </c>
    </row>
    <row r="944">
      <c r="A944" s="56" t="s">
        <v>9222</v>
      </c>
      <c r="B944" s="55"/>
      <c r="C944" s="31"/>
      <c r="E944" s="46" t="s">
        <v>3366</v>
      </c>
    </row>
    <row r="945">
      <c r="A945" s="56" t="s">
        <v>9223</v>
      </c>
      <c r="B945" s="55"/>
      <c r="C945" s="31"/>
      <c r="E945" s="46" t="s">
        <v>3366</v>
      </c>
    </row>
    <row r="946">
      <c r="A946" s="56" t="s">
        <v>9226</v>
      </c>
      <c r="B946" s="55"/>
      <c r="C946" s="31"/>
      <c r="E946" s="46" t="s">
        <v>3366</v>
      </c>
    </row>
    <row r="947">
      <c r="A947" s="56" t="s">
        <v>9227</v>
      </c>
      <c r="B947" s="55"/>
      <c r="C947" s="31"/>
      <c r="E947" s="46" t="s">
        <v>3366</v>
      </c>
    </row>
    <row r="948">
      <c r="A948" s="56" t="s">
        <v>9228</v>
      </c>
      <c r="B948" s="55"/>
      <c r="C948" s="31"/>
      <c r="E948" s="46" t="s">
        <v>3366</v>
      </c>
    </row>
    <row r="949">
      <c r="A949" s="56" t="s">
        <v>9229</v>
      </c>
      <c r="B949" s="55"/>
      <c r="C949" s="31"/>
      <c r="E949" s="46" t="s">
        <v>3366</v>
      </c>
    </row>
    <row r="950">
      <c r="A950" s="56" t="s">
        <v>9230</v>
      </c>
      <c r="B950" s="55"/>
      <c r="C950" s="31"/>
      <c r="E950" s="46" t="s">
        <v>3366</v>
      </c>
    </row>
    <row r="951">
      <c r="A951" s="56" t="s">
        <v>9233</v>
      </c>
      <c r="B951" s="55"/>
      <c r="C951" s="31"/>
      <c r="E951" s="46" t="s">
        <v>3366</v>
      </c>
    </row>
    <row r="952">
      <c r="A952" s="56" t="s">
        <v>9235</v>
      </c>
      <c r="B952" s="55"/>
      <c r="C952" s="31"/>
      <c r="E952" s="46" t="s">
        <v>3366</v>
      </c>
    </row>
    <row r="953">
      <c r="A953" s="56" t="s">
        <v>9236</v>
      </c>
      <c r="B953" s="55"/>
      <c r="C953" s="31"/>
      <c r="E953" s="46" t="s">
        <v>3366</v>
      </c>
    </row>
    <row r="954">
      <c r="A954" s="56" t="s">
        <v>9237</v>
      </c>
      <c r="B954" s="55"/>
      <c r="C954" s="31"/>
      <c r="E954" s="46" t="s">
        <v>3366</v>
      </c>
    </row>
    <row r="955">
      <c r="A955" s="56" t="s">
        <v>9238</v>
      </c>
      <c r="B955" s="55"/>
      <c r="C955" s="31"/>
      <c r="E955" s="46" t="s">
        <v>3366</v>
      </c>
    </row>
    <row r="956">
      <c r="A956" s="56" t="s">
        <v>9239</v>
      </c>
      <c r="B956" s="55"/>
      <c r="C956" s="31"/>
      <c r="E956" s="46" t="s">
        <v>3366</v>
      </c>
    </row>
    <row r="957">
      <c r="A957" s="56" t="s">
        <v>9242</v>
      </c>
      <c r="B957" s="55"/>
      <c r="C957" s="31"/>
      <c r="E957" s="46" t="s">
        <v>3366</v>
      </c>
    </row>
    <row r="958">
      <c r="A958" s="56" t="s">
        <v>9243</v>
      </c>
      <c r="B958" s="55"/>
      <c r="C958" s="31"/>
      <c r="E958" s="46" t="s">
        <v>3366</v>
      </c>
    </row>
    <row r="959">
      <c r="A959" s="56" t="s">
        <v>9244</v>
      </c>
      <c r="B959" s="55"/>
      <c r="C959" s="31"/>
      <c r="E959" s="46" t="s">
        <v>3366</v>
      </c>
    </row>
    <row r="960">
      <c r="A960" s="56" t="s">
        <v>9245</v>
      </c>
      <c r="B960" s="55"/>
      <c r="C960" s="31"/>
      <c r="E960" s="46" t="s">
        <v>3366</v>
      </c>
    </row>
    <row r="961">
      <c r="A961" s="56" t="s">
        <v>9246</v>
      </c>
      <c r="B961" s="55"/>
      <c r="C961" s="31"/>
      <c r="E961" s="46" t="s">
        <v>3366</v>
      </c>
    </row>
    <row r="962">
      <c r="A962" s="56" t="s">
        <v>9247</v>
      </c>
      <c r="B962" s="55"/>
      <c r="C962" s="31"/>
      <c r="E962" s="46" t="s">
        <v>3366</v>
      </c>
    </row>
    <row r="963">
      <c r="A963" s="56" t="s">
        <v>9251</v>
      </c>
      <c r="B963" s="55"/>
      <c r="C963" s="31"/>
      <c r="E963" s="46" t="s">
        <v>3366</v>
      </c>
    </row>
    <row r="964">
      <c r="A964" s="56" t="s">
        <v>9252</v>
      </c>
      <c r="B964" s="55"/>
      <c r="C964" s="31"/>
      <c r="E964" s="46" t="s">
        <v>3366</v>
      </c>
    </row>
    <row r="965">
      <c r="A965" s="56" t="s">
        <v>9253</v>
      </c>
      <c r="B965" s="55"/>
      <c r="C965" s="31"/>
      <c r="E965" s="46" t="s">
        <v>3366</v>
      </c>
    </row>
    <row r="966">
      <c r="A966" s="56" t="s">
        <v>9254</v>
      </c>
      <c r="B966" s="55"/>
      <c r="C966" s="31"/>
      <c r="E966" s="46" t="s">
        <v>3366</v>
      </c>
    </row>
    <row r="967">
      <c r="A967" s="56" t="s">
        <v>9255</v>
      </c>
      <c r="B967" s="55"/>
      <c r="C967" s="31"/>
      <c r="E967" s="46" t="s">
        <v>3366</v>
      </c>
    </row>
    <row r="968">
      <c r="A968" s="56" t="s">
        <v>9256</v>
      </c>
      <c r="B968" s="55"/>
      <c r="C968" s="31"/>
      <c r="E968" s="46" t="s">
        <v>3366</v>
      </c>
    </row>
    <row r="969">
      <c r="A969" s="56" t="s">
        <v>9258</v>
      </c>
      <c r="B969" s="55"/>
      <c r="C969" s="31"/>
      <c r="E969" s="46" t="s">
        <v>3366</v>
      </c>
    </row>
    <row r="970">
      <c r="A970" s="56" t="s">
        <v>9260</v>
      </c>
      <c r="B970" s="55"/>
      <c r="C970" s="31"/>
      <c r="E970" s="46" t="s">
        <v>3366</v>
      </c>
    </row>
    <row r="971">
      <c r="A971" s="56" t="s">
        <v>9261</v>
      </c>
      <c r="B971" s="55"/>
      <c r="C971" s="31"/>
      <c r="E971" s="46" t="s">
        <v>3366</v>
      </c>
    </row>
    <row r="972">
      <c r="A972" s="56" t="s">
        <v>9262</v>
      </c>
      <c r="B972" s="55"/>
      <c r="C972" s="31"/>
      <c r="E972" s="46" t="s">
        <v>3366</v>
      </c>
    </row>
    <row r="973">
      <c r="A973" s="56" t="s">
        <v>9263</v>
      </c>
      <c r="B973" s="55"/>
      <c r="C973" s="31"/>
      <c r="E973" s="46" t="s">
        <v>3366</v>
      </c>
    </row>
    <row r="974">
      <c r="A974" s="56" t="s">
        <v>9264</v>
      </c>
      <c r="B974" s="55"/>
      <c r="C974" s="31"/>
      <c r="E974" s="46" t="s">
        <v>3366</v>
      </c>
    </row>
    <row r="975">
      <c r="A975" s="56" t="s">
        <v>9265</v>
      </c>
      <c r="B975" s="55"/>
      <c r="C975" s="31"/>
      <c r="E975" s="46" t="s">
        <v>3366</v>
      </c>
    </row>
    <row r="976">
      <c r="A976" s="56" t="s">
        <v>9266</v>
      </c>
      <c r="B976" s="55"/>
      <c r="C976" s="31"/>
      <c r="E976" s="46" t="s">
        <v>3366</v>
      </c>
    </row>
    <row r="977">
      <c r="A977" s="56" t="s">
        <v>9268</v>
      </c>
      <c r="B977" s="55"/>
      <c r="C977" s="31"/>
      <c r="E977" s="46" t="s">
        <v>3366</v>
      </c>
    </row>
    <row r="978">
      <c r="A978" s="56" t="s">
        <v>9270</v>
      </c>
      <c r="B978" s="55"/>
      <c r="C978" s="31"/>
      <c r="E978" s="46" t="s">
        <v>3366</v>
      </c>
    </row>
    <row r="979">
      <c r="A979" s="56" t="s">
        <v>9272</v>
      </c>
      <c r="B979" s="55"/>
      <c r="C979" s="31"/>
      <c r="E979" s="46" t="s">
        <v>3366</v>
      </c>
    </row>
    <row r="980">
      <c r="A980" s="56" t="s">
        <v>9273</v>
      </c>
      <c r="B980" s="55"/>
      <c r="C980" s="31"/>
      <c r="E980" s="46" t="s">
        <v>3366</v>
      </c>
    </row>
    <row r="981">
      <c r="A981" s="56" t="s">
        <v>9274</v>
      </c>
      <c r="B981" s="55"/>
      <c r="C981" s="31"/>
      <c r="E981" s="46" t="s">
        <v>3366</v>
      </c>
    </row>
    <row r="982">
      <c r="A982" s="56" t="s">
        <v>9275</v>
      </c>
      <c r="B982" s="55"/>
      <c r="C982" s="31"/>
      <c r="E982" s="46" t="s">
        <v>3366</v>
      </c>
    </row>
    <row r="983">
      <c r="A983" s="56" t="s">
        <v>9276</v>
      </c>
      <c r="B983" s="55"/>
      <c r="C983" s="31"/>
      <c r="E983" s="46" t="s">
        <v>3366</v>
      </c>
    </row>
    <row r="984">
      <c r="A984" s="56" t="s">
        <v>9277</v>
      </c>
      <c r="B984" s="55"/>
      <c r="C984" s="31"/>
      <c r="E984" s="46" t="s">
        <v>3366</v>
      </c>
    </row>
    <row r="985">
      <c r="A985" s="56" t="s">
        <v>9278</v>
      </c>
      <c r="B985" s="55"/>
      <c r="C985" s="31"/>
      <c r="E985" s="46" t="s">
        <v>3366</v>
      </c>
    </row>
    <row r="986">
      <c r="A986" s="56" t="s">
        <v>9281</v>
      </c>
      <c r="B986" s="55"/>
      <c r="C986" s="31"/>
      <c r="E986" s="46" t="s">
        <v>3366</v>
      </c>
    </row>
    <row r="987">
      <c r="A987" s="56" t="s">
        <v>9282</v>
      </c>
      <c r="B987" s="55"/>
      <c r="C987" s="31"/>
      <c r="E987" s="46" t="s">
        <v>3366</v>
      </c>
    </row>
    <row r="988">
      <c r="A988" s="56" t="s">
        <v>9283</v>
      </c>
      <c r="B988" s="55"/>
      <c r="C988" s="31"/>
      <c r="E988" s="46" t="s">
        <v>3366</v>
      </c>
    </row>
    <row r="989">
      <c r="A989" s="56" t="s">
        <v>9284</v>
      </c>
      <c r="B989" s="55"/>
      <c r="C989" s="31"/>
      <c r="E989" s="46" t="s">
        <v>3366</v>
      </c>
    </row>
    <row r="990">
      <c r="A990" s="56" t="s">
        <v>9285</v>
      </c>
      <c r="B990" s="55"/>
      <c r="C990" s="31"/>
      <c r="E990" s="46" t="s">
        <v>3366</v>
      </c>
    </row>
    <row r="991">
      <c r="A991" s="56" t="s">
        <v>9286</v>
      </c>
      <c r="B991" s="55"/>
      <c r="C991" s="31"/>
      <c r="E991" s="46" t="s">
        <v>3366</v>
      </c>
    </row>
    <row r="992">
      <c r="A992" s="56" t="s">
        <v>9287</v>
      </c>
      <c r="B992" s="55"/>
      <c r="C992" s="31"/>
      <c r="E992" s="46" t="s">
        <v>3366</v>
      </c>
    </row>
    <row r="993">
      <c r="A993" s="56" t="s">
        <v>9252</v>
      </c>
      <c r="B993" s="55"/>
      <c r="C993" s="31"/>
      <c r="E993" s="46" t="s">
        <v>3366</v>
      </c>
    </row>
    <row r="994">
      <c r="A994" s="56" t="s">
        <v>9253</v>
      </c>
      <c r="B994" s="55"/>
      <c r="C994" s="31"/>
      <c r="E994" s="46" t="s">
        <v>3366</v>
      </c>
    </row>
    <row r="995">
      <c r="A995" s="56" t="s">
        <v>9254</v>
      </c>
      <c r="B995" s="55"/>
      <c r="C995" s="31"/>
      <c r="E995" s="46" t="s">
        <v>3366</v>
      </c>
    </row>
    <row r="996">
      <c r="A996" s="56" t="s">
        <v>9255</v>
      </c>
      <c r="B996" s="55"/>
      <c r="C996" s="31"/>
      <c r="E996" s="46" t="s">
        <v>3366</v>
      </c>
    </row>
    <row r="997">
      <c r="A997" s="56" t="s">
        <v>9256</v>
      </c>
      <c r="B997" s="55"/>
      <c r="C997" s="31"/>
      <c r="E997" s="46" t="s">
        <v>3366</v>
      </c>
    </row>
    <row r="998">
      <c r="A998" s="56" t="s">
        <v>9258</v>
      </c>
      <c r="B998" s="55"/>
      <c r="C998" s="31"/>
      <c r="E998" s="46" t="s">
        <v>3366</v>
      </c>
    </row>
    <row r="999">
      <c r="A999" s="56" t="s">
        <v>9260</v>
      </c>
      <c r="B999" s="55"/>
      <c r="C999" s="31"/>
      <c r="E999" s="46" t="s">
        <v>3366</v>
      </c>
    </row>
    <row r="1000">
      <c r="A1000" s="56" t="s">
        <v>9261</v>
      </c>
      <c r="B1000" s="55"/>
      <c r="C1000" s="31"/>
      <c r="E1000" s="46" t="s">
        <v>3366</v>
      </c>
    </row>
    <row r="1001">
      <c r="A1001" s="56" t="s">
        <v>9262</v>
      </c>
      <c r="B1001" s="55"/>
      <c r="C1001" s="31"/>
      <c r="E1001" s="46" t="s">
        <v>3366</v>
      </c>
    </row>
    <row r="1002">
      <c r="A1002" s="56" t="s">
        <v>9263</v>
      </c>
      <c r="B1002" s="55"/>
      <c r="C1002" s="31"/>
      <c r="E1002" s="46" t="s">
        <v>3366</v>
      </c>
    </row>
    <row r="1003">
      <c r="A1003" s="56" t="s">
        <v>9264</v>
      </c>
      <c r="B1003" s="55"/>
      <c r="C1003" s="31"/>
      <c r="E1003" s="46" t="s">
        <v>3366</v>
      </c>
    </row>
    <row r="1004">
      <c r="A1004" s="56" t="s">
        <v>9265</v>
      </c>
      <c r="B1004" s="55"/>
      <c r="C1004" s="31"/>
      <c r="E1004" s="46" t="s">
        <v>3366</v>
      </c>
    </row>
    <row r="1005">
      <c r="A1005" s="56" t="s">
        <v>9266</v>
      </c>
      <c r="B1005" s="55"/>
      <c r="C1005" s="31"/>
      <c r="E1005" s="46" t="s">
        <v>3366</v>
      </c>
    </row>
    <row r="1006">
      <c r="A1006" s="56" t="s">
        <v>9268</v>
      </c>
      <c r="B1006" s="55"/>
      <c r="C1006" s="31"/>
      <c r="E1006" s="46" t="s">
        <v>3366</v>
      </c>
    </row>
    <row r="1007">
      <c r="A1007" s="56" t="s">
        <v>9270</v>
      </c>
      <c r="B1007" s="55"/>
      <c r="C1007" s="31"/>
      <c r="E1007" s="46" t="s">
        <v>3366</v>
      </c>
    </row>
    <row r="1008">
      <c r="A1008" s="56" t="s">
        <v>9272</v>
      </c>
      <c r="B1008" s="55"/>
      <c r="C1008" s="31"/>
      <c r="E1008" s="46" t="s">
        <v>3366</v>
      </c>
    </row>
    <row r="1009">
      <c r="A1009" s="56" t="s">
        <v>9273</v>
      </c>
      <c r="B1009" s="55"/>
      <c r="C1009" s="31"/>
      <c r="E1009" s="46" t="s">
        <v>3366</v>
      </c>
    </row>
    <row r="1010">
      <c r="A1010" s="56" t="s">
        <v>9274</v>
      </c>
      <c r="B1010" s="55"/>
      <c r="C1010" s="31"/>
      <c r="E1010" s="46" t="s">
        <v>3366</v>
      </c>
    </row>
    <row r="1011">
      <c r="A1011" s="56" t="s">
        <v>9275</v>
      </c>
      <c r="B1011" s="55"/>
      <c r="C1011" s="31"/>
      <c r="E1011" s="46" t="s">
        <v>3366</v>
      </c>
    </row>
    <row r="1012">
      <c r="A1012" s="56" t="s">
        <v>9276</v>
      </c>
      <c r="B1012" s="55"/>
      <c r="C1012" s="31"/>
      <c r="E1012" s="46" t="s">
        <v>3366</v>
      </c>
    </row>
    <row r="1013">
      <c r="A1013" s="56" t="s">
        <v>9277</v>
      </c>
      <c r="B1013" s="55"/>
      <c r="C1013" s="31"/>
      <c r="E1013" s="46" t="s">
        <v>3366</v>
      </c>
    </row>
    <row r="1014">
      <c r="A1014" s="56" t="s">
        <v>9278</v>
      </c>
      <c r="B1014" s="55"/>
      <c r="C1014" s="31"/>
      <c r="E1014" s="46" t="s">
        <v>3366</v>
      </c>
    </row>
    <row r="1015">
      <c r="A1015" s="56" t="s">
        <v>9281</v>
      </c>
      <c r="B1015" s="55"/>
      <c r="C1015" s="31"/>
      <c r="E1015" s="46" t="s">
        <v>3366</v>
      </c>
    </row>
    <row r="1016">
      <c r="A1016" s="56" t="s">
        <v>9282</v>
      </c>
      <c r="B1016" s="55"/>
      <c r="C1016" s="31"/>
      <c r="E1016" s="46" t="s">
        <v>3366</v>
      </c>
    </row>
    <row r="1017">
      <c r="A1017" s="56" t="s">
        <v>9283</v>
      </c>
      <c r="B1017" s="55"/>
      <c r="C1017" s="31"/>
      <c r="E1017" s="46" t="s">
        <v>3366</v>
      </c>
    </row>
    <row r="1018">
      <c r="A1018" s="56" t="s">
        <v>9284</v>
      </c>
      <c r="B1018" s="55"/>
      <c r="C1018" s="31"/>
      <c r="E1018" s="46" t="s">
        <v>3366</v>
      </c>
    </row>
    <row r="1019">
      <c r="A1019" s="56" t="s">
        <v>9285</v>
      </c>
      <c r="B1019" s="55"/>
      <c r="C1019" s="31"/>
      <c r="E1019" s="46" t="s">
        <v>3366</v>
      </c>
    </row>
    <row r="1020">
      <c r="A1020" s="56" t="s">
        <v>9286</v>
      </c>
      <c r="B1020" s="55"/>
      <c r="C1020" s="31"/>
      <c r="E1020" s="46" t="s">
        <v>3366</v>
      </c>
    </row>
    <row r="1021">
      <c r="A1021" s="56" t="s">
        <v>9287</v>
      </c>
      <c r="B1021" s="55"/>
      <c r="C1021" s="31"/>
      <c r="E1021" s="46" t="s">
        <v>3366</v>
      </c>
    </row>
    <row r="1022">
      <c r="A1022" s="56" t="s">
        <v>9303</v>
      </c>
      <c r="B1022" s="55"/>
      <c r="C1022" s="31"/>
      <c r="E1022" s="46" t="s">
        <v>3366</v>
      </c>
    </row>
    <row r="1023">
      <c r="A1023" s="56" t="s">
        <v>9306</v>
      </c>
      <c r="B1023" s="55"/>
      <c r="C1023" s="31"/>
      <c r="E1023" s="46" t="s">
        <v>3366</v>
      </c>
    </row>
    <row r="1024">
      <c r="A1024" s="56" t="s">
        <v>9307</v>
      </c>
      <c r="B1024" s="55"/>
      <c r="C1024" s="31"/>
      <c r="E1024" s="46" t="s">
        <v>3366</v>
      </c>
    </row>
    <row r="1025">
      <c r="A1025" s="56" t="s">
        <v>9308</v>
      </c>
      <c r="B1025" s="55"/>
      <c r="C1025" s="31"/>
      <c r="E1025" s="46" t="s">
        <v>3366</v>
      </c>
    </row>
    <row r="1026">
      <c r="A1026" s="56" t="s">
        <v>9309</v>
      </c>
      <c r="B1026" s="55"/>
      <c r="C1026" s="31"/>
      <c r="E1026" s="46" t="s">
        <v>3366</v>
      </c>
    </row>
    <row r="1027">
      <c r="A1027" s="56" t="s">
        <v>9310</v>
      </c>
      <c r="B1027" s="55"/>
      <c r="C1027" s="31"/>
      <c r="E1027" s="46" t="s">
        <v>3366</v>
      </c>
    </row>
    <row r="1028">
      <c r="A1028" s="56" t="s">
        <v>9311</v>
      </c>
      <c r="B1028" s="55"/>
      <c r="C1028" s="31"/>
      <c r="E1028" s="46" t="s">
        <v>3366</v>
      </c>
    </row>
    <row r="1029">
      <c r="A1029" s="56" t="s">
        <v>9313</v>
      </c>
      <c r="B1029" s="55"/>
      <c r="C1029" s="31"/>
      <c r="E1029" s="46" t="s">
        <v>3366</v>
      </c>
    </row>
    <row r="1030">
      <c r="A1030" s="56" t="s">
        <v>9314</v>
      </c>
      <c r="B1030" s="55"/>
      <c r="C1030" s="31"/>
      <c r="E1030" s="46" t="s">
        <v>3366</v>
      </c>
    </row>
    <row r="1031">
      <c r="A1031" s="56" t="s">
        <v>9315</v>
      </c>
      <c r="B1031" s="55"/>
      <c r="C1031" s="31"/>
      <c r="E1031" s="46" t="s">
        <v>3366</v>
      </c>
    </row>
    <row r="1032">
      <c r="A1032" s="56" t="s">
        <v>9316</v>
      </c>
      <c r="B1032" s="55"/>
      <c r="C1032" s="31"/>
      <c r="E1032" s="46" t="s">
        <v>3366</v>
      </c>
    </row>
    <row r="1033">
      <c r="A1033" s="56" t="s">
        <v>9317</v>
      </c>
      <c r="B1033" s="55"/>
      <c r="C1033" s="31"/>
      <c r="E1033" s="46" t="s">
        <v>3366</v>
      </c>
    </row>
    <row r="1034">
      <c r="A1034" s="56" t="s">
        <v>9318</v>
      </c>
      <c r="B1034" s="55"/>
      <c r="C1034" s="31"/>
      <c r="E1034" s="46" t="s">
        <v>3366</v>
      </c>
    </row>
    <row r="1035">
      <c r="A1035" s="56" t="s">
        <v>9320</v>
      </c>
      <c r="B1035" s="55"/>
      <c r="C1035" s="31"/>
      <c r="E1035" s="46" t="s">
        <v>3366</v>
      </c>
    </row>
    <row r="1036">
      <c r="A1036" s="56" t="s">
        <v>9321</v>
      </c>
      <c r="B1036" s="55"/>
      <c r="C1036" s="31"/>
      <c r="E1036" s="46" t="s">
        <v>3366</v>
      </c>
    </row>
    <row r="1037">
      <c r="A1037" s="56" t="s">
        <v>9322</v>
      </c>
      <c r="B1037" s="55"/>
      <c r="C1037" s="31"/>
      <c r="E1037" s="46" t="s">
        <v>3366</v>
      </c>
    </row>
    <row r="1038">
      <c r="A1038" s="56" t="s">
        <v>9324</v>
      </c>
      <c r="B1038" s="55"/>
      <c r="C1038" s="31"/>
      <c r="E1038" s="46" t="s">
        <v>3366</v>
      </c>
    </row>
    <row r="1039">
      <c r="A1039" s="56" t="s">
        <v>9326</v>
      </c>
      <c r="B1039" s="55"/>
      <c r="C1039" s="31"/>
      <c r="E1039" s="46" t="s">
        <v>3366</v>
      </c>
    </row>
    <row r="1040">
      <c r="A1040" s="56" t="s">
        <v>9327</v>
      </c>
      <c r="B1040" s="82"/>
      <c r="C1040" s="33" t="s">
        <v>9328</v>
      </c>
    </row>
    <row r="1041">
      <c r="A1041" s="56" t="s">
        <v>9329</v>
      </c>
      <c r="B1041" s="55"/>
      <c r="C1041" s="31"/>
    </row>
    <row r="1042">
      <c r="A1042" s="56" t="s">
        <v>9330</v>
      </c>
      <c r="B1042" s="55"/>
      <c r="C1042" s="31"/>
    </row>
    <row r="1043">
      <c r="A1043" s="56" t="s">
        <v>9332</v>
      </c>
      <c r="B1043" s="55"/>
      <c r="C1043" s="31"/>
    </row>
    <row r="1044">
      <c r="A1044" s="56" t="s">
        <v>9333</v>
      </c>
      <c r="B1044" s="55"/>
      <c r="C1044" s="31"/>
    </row>
    <row r="1045">
      <c r="A1045" s="56" t="s">
        <v>9334</v>
      </c>
      <c r="B1045" s="55"/>
      <c r="C1045" s="31"/>
    </row>
    <row r="1046">
      <c r="A1046" s="56" t="s">
        <v>9336</v>
      </c>
      <c r="B1046" s="55"/>
      <c r="C1046" s="31"/>
    </row>
    <row r="1047">
      <c r="A1047" s="56" t="s">
        <v>9337</v>
      </c>
      <c r="B1047" s="55"/>
      <c r="C1047" s="31"/>
    </row>
    <row r="1048">
      <c r="A1048" s="56" t="s">
        <v>9338</v>
      </c>
      <c r="B1048" s="55"/>
      <c r="C1048" s="31"/>
    </row>
    <row r="1049">
      <c r="A1049" s="56" t="s">
        <v>9339</v>
      </c>
      <c r="B1049" s="55"/>
      <c r="C1049" s="31"/>
    </row>
    <row r="1050">
      <c r="A1050" s="56" t="s">
        <v>9340</v>
      </c>
      <c r="B1050" s="55"/>
      <c r="C1050" s="31"/>
    </row>
    <row r="1051">
      <c r="A1051" s="56" t="s">
        <v>9341</v>
      </c>
      <c r="B1051" s="55"/>
      <c r="C1051" s="31"/>
    </row>
    <row r="1052">
      <c r="A1052" s="56" t="s">
        <v>9343</v>
      </c>
      <c r="B1052" s="55"/>
      <c r="C1052" s="31"/>
    </row>
    <row r="1053">
      <c r="A1053" s="56" t="s">
        <v>9344</v>
      </c>
      <c r="B1053" s="55"/>
      <c r="C1053" s="31"/>
    </row>
    <row r="1054">
      <c r="A1054" s="56" t="s">
        <v>9346</v>
      </c>
      <c r="B1054" s="55"/>
      <c r="C1054" s="31"/>
    </row>
    <row r="1055">
      <c r="A1055" s="56" t="s">
        <v>9348</v>
      </c>
      <c r="B1055" s="55"/>
      <c r="C1055" s="31"/>
    </row>
    <row r="1056">
      <c r="A1056" s="56" t="s">
        <v>9349</v>
      </c>
      <c r="B1056" s="55"/>
      <c r="C1056" s="31"/>
    </row>
    <row r="1057">
      <c r="A1057" s="56" t="s">
        <v>9350</v>
      </c>
      <c r="B1057" s="55"/>
      <c r="C1057" s="31"/>
    </row>
    <row r="1058">
      <c r="A1058" s="56" t="s">
        <v>9351</v>
      </c>
      <c r="B1058" s="55"/>
      <c r="C1058" s="31"/>
    </row>
    <row r="1059">
      <c r="A1059" s="56" t="s">
        <v>9352</v>
      </c>
      <c r="B1059" s="55"/>
      <c r="C1059" s="31"/>
    </row>
    <row r="1060">
      <c r="A1060" s="56" t="s">
        <v>9353</v>
      </c>
      <c r="B1060" s="55"/>
      <c r="C1060" s="31"/>
    </row>
    <row r="1061">
      <c r="A1061" s="56" t="s">
        <v>9354</v>
      </c>
      <c r="B1061" s="55"/>
      <c r="C1061" s="31"/>
    </row>
    <row r="1062">
      <c r="A1062" s="56" t="s">
        <v>9355</v>
      </c>
      <c r="B1062" s="55"/>
      <c r="C1062" s="31"/>
    </row>
    <row r="1063">
      <c r="A1063" s="56" t="s">
        <v>9357</v>
      </c>
      <c r="B1063" s="55"/>
      <c r="C1063" s="31"/>
    </row>
    <row r="1064">
      <c r="A1064" s="56" t="s">
        <v>9359</v>
      </c>
      <c r="B1064" s="55"/>
      <c r="C1064" s="31"/>
    </row>
    <row r="1065">
      <c r="A1065" s="56" t="s">
        <v>9360</v>
      </c>
      <c r="B1065" s="55"/>
      <c r="C1065" s="31"/>
    </row>
    <row r="1066">
      <c r="A1066" s="56" t="s">
        <v>9361</v>
      </c>
      <c r="B1066" s="55"/>
      <c r="C1066" s="31"/>
    </row>
    <row r="1067">
      <c r="A1067" s="56" t="s">
        <v>9362</v>
      </c>
      <c r="B1067" s="55"/>
      <c r="C1067" s="31"/>
    </row>
    <row r="1068">
      <c r="A1068" s="56" t="s">
        <v>9363</v>
      </c>
      <c r="B1068" s="55"/>
      <c r="C1068" s="31"/>
    </row>
    <row r="1069">
      <c r="A1069" s="56" t="s">
        <v>9364</v>
      </c>
      <c r="B1069" s="55"/>
      <c r="C1069" s="31"/>
    </row>
    <row r="1070">
      <c r="A1070" s="56" t="s">
        <v>9365</v>
      </c>
      <c r="B1070" s="55"/>
      <c r="C1070" s="31"/>
    </row>
    <row r="1071">
      <c r="A1071" s="56" t="s">
        <v>9366</v>
      </c>
      <c r="B1071" s="55"/>
      <c r="C1071" s="31"/>
    </row>
    <row r="1072">
      <c r="A1072" s="56" t="s">
        <v>9367</v>
      </c>
      <c r="B1072" s="55"/>
      <c r="C1072" s="31"/>
    </row>
    <row r="1073">
      <c r="A1073" s="56" t="s">
        <v>9368</v>
      </c>
      <c r="B1073" s="55"/>
      <c r="C1073" s="31"/>
    </row>
    <row r="1074">
      <c r="A1074" s="56" t="s">
        <v>9370</v>
      </c>
      <c r="B1074" s="55"/>
      <c r="C1074" s="31"/>
    </row>
    <row r="1075">
      <c r="A1075" s="56" t="s">
        <v>9371</v>
      </c>
      <c r="B1075" s="55"/>
      <c r="C1075" s="31"/>
    </row>
    <row r="1076">
      <c r="A1076" s="56" t="s">
        <v>9373</v>
      </c>
      <c r="B1076" s="55"/>
      <c r="C1076" s="31"/>
    </row>
    <row r="1077">
      <c r="A1077" s="56" t="s">
        <v>9374</v>
      </c>
      <c r="B1077" s="55"/>
      <c r="C1077" s="31"/>
    </row>
    <row r="1078">
      <c r="A1078" s="56" t="s">
        <v>9376</v>
      </c>
      <c r="B1078" s="55"/>
      <c r="C1078" s="31"/>
    </row>
    <row r="1079">
      <c r="A1079" s="56" t="s">
        <v>9378</v>
      </c>
      <c r="B1079" s="55"/>
      <c r="C1079" s="31"/>
    </row>
    <row r="1080">
      <c r="A1080" s="56" t="s">
        <v>9379</v>
      </c>
      <c r="B1080" s="55"/>
      <c r="C1080" s="31"/>
    </row>
    <row r="1081">
      <c r="A1081" s="56" t="s">
        <v>9380</v>
      </c>
      <c r="B1081" s="55"/>
      <c r="C1081" s="31"/>
    </row>
    <row r="1082">
      <c r="A1082" s="56" t="s">
        <v>9381</v>
      </c>
      <c r="B1082" s="55"/>
      <c r="C1082" s="31"/>
    </row>
    <row r="1083">
      <c r="A1083" s="56" t="s">
        <v>9382</v>
      </c>
      <c r="B1083" s="55"/>
      <c r="C1083" s="31"/>
    </row>
    <row r="1084">
      <c r="A1084" s="56" t="s">
        <v>9383</v>
      </c>
      <c r="B1084" s="55"/>
      <c r="C1084" s="31"/>
    </row>
    <row r="1085">
      <c r="A1085" s="56" t="s">
        <v>9384</v>
      </c>
      <c r="B1085" s="55"/>
      <c r="C1085" s="31"/>
    </row>
    <row r="1086">
      <c r="A1086" s="56" t="s">
        <v>9385</v>
      </c>
      <c r="B1086" s="55"/>
      <c r="C1086" s="31"/>
    </row>
    <row r="1087">
      <c r="A1087" s="56" t="s">
        <v>9387</v>
      </c>
      <c r="B1087" s="55"/>
      <c r="C1087" s="31"/>
    </row>
    <row r="1088">
      <c r="A1088" s="56" t="s">
        <v>9388</v>
      </c>
      <c r="B1088" s="55"/>
      <c r="C1088" s="31"/>
    </row>
    <row r="1089">
      <c r="A1089" s="56" t="s">
        <v>9390</v>
      </c>
      <c r="B1089" s="55"/>
      <c r="C1089" s="31"/>
    </row>
    <row r="1090">
      <c r="A1090" s="56" t="s">
        <v>9391</v>
      </c>
      <c r="B1090" s="55"/>
      <c r="C1090" s="31"/>
    </row>
    <row r="1091">
      <c r="A1091" s="56" t="s">
        <v>9392</v>
      </c>
      <c r="B1091" s="55"/>
      <c r="C1091" s="31"/>
    </row>
    <row r="1092">
      <c r="A1092" s="56" t="s">
        <v>9393</v>
      </c>
      <c r="B1092" s="55"/>
      <c r="C1092" s="31"/>
    </row>
    <row r="1093">
      <c r="A1093" s="56" t="s">
        <v>9394</v>
      </c>
      <c r="B1093" s="55"/>
      <c r="C1093" s="31"/>
    </row>
    <row r="1094">
      <c r="A1094" s="56" t="s">
        <v>9395</v>
      </c>
      <c r="B1094" s="55"/>
      <c r="C1094" s="31"/>
    </row>
    <row r="1095">
      <c r="A1095" s="56" t="s">
        <v>9396</v>
      </c>
      <c r="B1095" s="82"/>
      <c r="C1095" s="33" t="s">
        <v>9397</v>
      </c>
      <c r="E1095" s="46" t="s">
        <v>7609</v>
      </c>
    </row>
    <row r="1096">
      <c r="A1096" s="56" t="s">
        <v>9398</v>
      </c>
      <c r="B1096" s="82"/>
      <c r="C1096" s="33" t="s">
        <v>9399</v>
      </c>
      <c r="E1096" s="46" t="s">
        <v>7616</v>
      </c>
    </row>
    <row r="1097">
      <c r="A1097" s="56" t="s">
        <v>9400</v>
      </c>
      <c r="B1097" s="82"/>
      <c r="C1097" s="33" t="s">
        <v>9399</v>
      </c>
      <c r="E1097" s="46" t="s">
        <v>7618</v>
      </c>
    </row>
    <row r="1098">
      <c r="A1098" s="56" t="s">
        <v>9401</v>
      </c>
      <c r="B1098" s="82"/>
      <c r="C1098" s="33" t="s">
        <v>9402</v>
      </c>
      <c r="E1098" s="46" t="s">
        <v>7616</v>
      </c>
    </row>
    <row r="1099">
      <c r="A1099" s="56" t="s">
        <v>9405</v>
      </c>
      <c r="B1099" s="82"/>
      <c r="C1099" s="33" t="s">
        <v>9402</v>
      </c>
      <c r="E1099" s="46" t="s">
        <v>7618</v>
      </c>
    </row>
    <row r="1100">
      <c r="A1100" s="56" t="s">
        <v>9407</v>
      </c>
      <c r="B1100" s="82"/>
      <c r="C1100" s="33" t="s">
        <v>9408</v>
      </c>
      <c r="E1100" s="46" t="s">
        <v>7616</v>
      </c>
    </row>
    <row r="1101">
      <c r="A1101" s="56" t="s">
        <v>9409</v>
      </c>
      <c r="B1101" s="82"/>
      <c r="C1101" s="33" t="s">
        <v>9408</v>
      </c>
      <c r="E1101" s="46" t="s">
        <v>7618</v>
      </c>
    </row>
    <row r="1102">
      <c r="A1102" s="56" t="s">
        <v>9410</v>
      </c>
      <c r="B1102" s="79"/>
      <c r="C1102" s="33" t="s">
        <v>9411</v>
      </c>
      <c r="E1102" s="46" t="s">
        <v>1348</v>
      </c>
    </row>
    <row r="1103">
      <c r="A1103" s="56" t="s">
        <v>9412</v>
      </c>
      <c r="B1103" s="79"/>
      <c r="C1103" s="33" t="s">
        <v>9411</v>
      </c>
      <c r="E1103" s="46" t="s">
        <v>1348</v>
      </c>
    </row>
    <row r="1104">
      <c r="A1104" s="56" t="s">
        <v>9413</v>
      </c>
      <c r="B1104" s="21"/>
      <c r="C1104" s="33" t="s">
        <v>9414</v>
      </c>
      <c r="E1104" s="46" t="s">
        <v>7616</v>
      </c>
    </row>
    <row r="1105">
      <c r="A1105" s="56" t="s">
        <v>9415</v>
      </c>
      <c r="B1105" s="21"/>
      <c r="C1105" s="33" t="s">
        <v>9414</v>
      </c>
      <c r="E1105" s="46" t="s">
        <v>7618</v>
      </c>
    </row>
    <row r="1106">
      <c r="A1106" s="56" t="s">
        <v>9417</v>
      </c>
      <c r="B1106" s="21"/>
      <c r="C1106" s="33" t="s">
        <v>9418</v>
      </c>
      <c r="E1106" s="46" t="s">
        <v>7616</v>
      </c>
    </row>
    <row r="1107">
      <c r="A1107" s="56" t="s">
        <v>9420</v>
      </c>
      <c r="B1107" s="21"/>
      <c r="C1107" s="33" t="s">
        <v>9418</v>
      </c>
      <c r="E1107" s="46" t="s">
        <v>7618</v>
      </c>
    </row>
    <row r="1108">
      <c r="A1108" s="56" t="s">
        <v>9421</v>
      </c>
      <c r="B1108" s="21"/>
      <c r="C1108" s="33" t="s">
        <v>9422</v>
      </c>
      <c r="E1108" s="46" t="s">
        <v>7616</v>
      </c>
    </row>
    <row r="1109">
      <c r="A1109" s="56" t="s">
        <v>9423</v>
      </c>
      <c r="B1109" s="21"/>
      <c r="C1109" s="33" t="s">
        <v>9422</v>
      </c>
      <c r="E1109" s="46" t="s">
        <v>7618</v>
      </c>
    </row>
    <row r="1110">
      <c r="A1110" s="56" t="s">
        <v>9424</v>
      </c>
      <c r="B1110" s="21"/>
      <c r="C1110" s="33" t="s">
        <v>9414</v>
      </c>
      <c r="E1110" s="46" t="s">
        <v>7616</v>
      </c>
    </row>
    <row r="1111">
      <c r="A1111" s="56" t="s">
        <v>9425</v>
      </c>
      <c r="B1111" s="21"/>
      <c r="C1111" s="33" t="s">
        <v>9414</v>
      </c>
      <c r="E1111" s="46" t="s">
        <v>7618</v>
      </c>
    </row>
    <row r="1112">
      <c r="A1112" s="56" t="s">
        <v>9428</v>
      </c>
      <c r="B1112" s="21"/>
      <c r="C1112" s="33" t="s">
        <v>9418</v>
      </c>
      <c r="E1112" s="46" t="s">
        <v>7616</v>
      </c>
    </row>
    <row r="1113">
      <c r="A1113" s="56" t="s">
        <v>9430</v>
      </c>
      <c r="B1113" s="21"/>
      <c r="C1113" s="33" t="s">
        <v>9418</v>
      </c>
      <c r="E1113" s="46" t="s">
        <v>7618</v>
      </c>
    </row>
    <row r="1114">
      <c r="A1114" s="56" t="s">
        <v>9431</v>
      </c>
      <c r="B1114" s="21"/>
      <c r="C1114" s="33" t="s">
        <v>9422</v>
      </c>
      <c r="E1114" s="46" t="s">
        <v>7616</v>
      </c>
    </row>
    <row r="1115">
      <c r="A1115" s="56" t="s">
        <v>9432</v>
      </c>
      <c r="B1115" s="21"/>
      <c r="C1115" s="33" t="s">
        <v>9422</v>
      </c>
      <c r="E1115" s="46" t="s">
        <v>7618</v>
      </c>
    </row>
    <row r="1116">
      <c r="A1116" s="56" t="s">
        <v>9433</v>
      </c>
      <c r="B1116" s="21"/>
      <c r="C1116" s="33" t="s">
        <v>9434</v>
      </c>
      <c r="E1116" s="46" t="s">
        <v>7616</v>
      </c>
    </row>
    <row r="1117">
      <c r="A1117" s="56" t="s">
        <v>9435</v>
      </c>
      <c r="B1117" s="21"/>
      <c r="C1117" s="33" t="s">
        <v>9434</v>
      </c>
      <c r="E1117" s="46" t="s">
        <v>7618</v>
      </c>
    </row>
    <row r="1118">
      <c r="A1118" s="56" t="s">
        <v>9436</v>
      </c>
      <c r="B1118" s="21"/>
      <c r="C1118" s="33" t="s">
        <v>9437</v>
      </c>
      <c r="E1118" s="46" t="s">
        <v>7616</v>
      </c>
    </row>
    <row r="1119">
      <c r="A1119" s="56" t="s">
        <v>9438</v>
      </c>
      <c r="B1119" s="21"/>
      <c r="C1119" s="33" t="s">
        <v>9437</v>
      </c>
      <c r="E1119" s="46" t="s">
        <v>7618</v>
      </c>
    </row>
    <row r="1120">
      <c r="A1120" s="56" t="s">
        <v>9442</v>
      </c>
      <c r="B1120" s="21"/>
      <c r="C1120" s="33" t="s">
        <v>9443</v>
      </c>
      <c r="E1120" s="46" t="s">
        <v>7616</v>
      </c>
    </row>
    <row r="1121">
      <c r="A1121" s="56" t="s">
        <v>9444</v>
      </c>
      <c r="B1121" s="21"/>
      <c r="C1121" s="33" t="s">
        <v>9443</v>
      </c>
      <c r="E1121" s="46" t="s">
        <v>7618</v>
      </c>
    </row>
    <row r="1122">
      <c r="A1122" s="56" t="s">
        <v>9445</v>
      </c>
      <c r="B1122" s="21"/>
      <c r="C1122" s="33" t="s">
        <v>9434</v>
      </c>
      <c r="E1122" s="46" t="s">
        <v>7616</v>
      </c>
    </row>
    <row r="1123">
      <c r="A1123" s="56" t="s">
        <v>9446</v>
      </c>
      <c r="B1123" s="21"/>
      <c r="C1123" s="33" t="s">
        <v>9434</v>
      </c>
      <c r="E1123" s="46" t="s">
        <v>7618</v>
      </c>
    </row>
    <row r="1124">
      <c r="A1124" s="56" t="s">
        <v>9447</v>
      </c>
      <c r="B1124" s="21"/>
      <c r="C1124" s="33" t="s">
        <v>9437</v>
      </c>
      <c r="E1124" s="46" t="s">
        <v>7616</v>
      </c>
    </row>
    <row r="1125">
      <c r="A1125" s="56" t="s">
        <v>9448</v>
      </c>
      <c r="B1125" s="21"/>
      <c r="C1125" s="33" t="s">
        <v>9437</v>
      </c>
      <c r="E1125" s="46" t="s">
        <v>7618</v>
      </c>
    </row>
    <row r="1126">
      <c r="A1126" s="56" t="s">
        <v>9449</v>
      </c>
      <c r="B1126" s="21"/>
      <c r="C1126" s="33" t="s">
        <v>9443</v>
      </c>
      <c r="E1126" s="46" t="s">
        <v>7616</v>
      </c>
    </row>
    <row r="1127">
      <c r="A1127" s="56" t="s">
        <v>9450</v>
      </c>
      <c r="B1127" s="21"/>
      <c r="C1127" s="33" t="s">
        <v>9443</v>
      </c>
      <c r="E1127" s="46" t="s">
        <v>7618</v>
      </c>
    </row>
    <row r="1128">
      <c r="A1128" s="56" t="s">
        <v>9453</v>
      </c>
      <c r="B1128" s="55"/>
      <c r="C1128" s="31"/>
      <c r="E1128" s="46" t="s">
        <v>3366</v>
      </c>
    </row>
    <row r="1129">
      <c r="A1129" s="56" t="s">
        <v>9455</v>
      </c>
      <c r="B1129" s="55"/>
      <c r="C1129" s="31"/>
      <c r="E1129" s="46" t="s">
        <v>3366</v>
      </c>
    </row>
    <row r="1130">
      <c r="A1130" s="56" t="s">
        <v>9456</v>
      </c>
      <c r="B1130" s="55"/>
      <c r="C1130" s="31"/>
      <c r="E1130" s="46" t="s">
        <v>3366</v>
      </c>
    </row>
    <row r="1131">
      <c r="A1131" s="56" t="s">
        <v>9457</v>
      </c>
      <c r="B1131" s="55"/>
      <c r="C1131" s="31"/>
      <c r="E1131" s="46" t="s">
        <v>3366</v>
      </c>
    </row>
    <row r="1132">
      <c r="A1132" s="56" t="s">
        <v>9458</v>
      </c>
      <c r="B1132" s="55"/>
      <c r="C1132" s="31"/>
      <c r="E1132" s="46" t="s">
        <v>3366</v>
      </c>
    </row>
    <row r="1133">
      <c r="A1133" s="56" t="s">
        <v>9459</v>
      </c>
      <c r="B1133" s="82"/>
      <c r="C1133" s="33" t="s">
        <v>9461</v>
      </c>
      <c r="E1133" s="46" t="s">
        <v>7609</v>
      </c>
      <c r="F1133" s="46" t="s">
        <v>9462</v>
      </c>
    </row>
    <row r="1134">
      <c r="A1134" s="56" t="s">
        <v>9463</v>
      </c>
      <c r="B1134" s="82"/>
      <c r="C1134" s="33" t="s">
        <v>9464</v>
      </c>
      <c r="E1134" s="46" t="s">
        <v>7616</v>
      </c>
    </row>
    <row r="1135">
      <c r="A1135" s="56" t="s">
        <v>9465</v>
      </c>
      <c r="B1135" s="82"/>
      <c r="C1135" s="33" t="s">
        <v>9464</v>
      </c>
      <c r="E1135" s="46" t="s">
        <v>7618</v>
      </c>
    </row>
    <row r="1136">
      <c r="A1136" s="56" t="s">
        <v>9466</v>
      </c>
      <c r="B1136" s="82"/>
      <c r="C1136" s="33" t="s">
        <v>9467</v>
      </c>
      <c r="E1136" s="46" t="s">
        <v>7616</v>
      </c>
    </row>
    <row r="1137">
      <c r="A1137" s="56" t="s">
        <v>9468</v>
      </c>
      <c r="B1137" s="82"/>
      <c r="C1137" s="33" t="s">
        <v>9467</v>
      </c>
      <c r="E1137" s="46" t="s">
        <v>7618</v>
      </c>
    </row>
    <row r="1138">
      <c r="A1138" s="56" t="s">
        <v>9471</v>
      </c>
      <c r="B1138" s="82"/>
      <c r="C1138" s="33" t="s">
        <v>9472</v>
      </c>
      <c r="E1138" s="46" t="s">
        <v>7616</v>
      </c>
    </row>
    <row r="1139">
      <c r="A1139" s="56" t="s">
        <v>9473</v>
      </c>
      <c r="B1139" s="82"/>
      <c r="C1139" s="33" t="s">
        <v>9472</v>
      </c>
      <c r="E1139" s="46" t="s">
        <v>7618</v>
      </c>
    </row>
    <row r="1140">
      <c r="A1140" s="56" t="s">
        <v>9474</v>
      </c>
      <c r="B1140" s="79"/>
      <c r="C1140" s="33" t="s">
        <v>9475</v>
      </c>
      <c r="E1140" s="46" t="s">
        <v>1348</v>
      </c>
    </row>
    <row r="1141">
      <c r="A1141" s="56" t="s">
        <v>9476</v>
      </c>
      <c r="B1141" s="79"/>
      <c r="C1141" s="33" t="s">
        <v>9475</v>
      </c>
      <c r="E1141" s="46" t="s">
        <v>1348</v>
      </c>
    </row>
    <row r="1142">
      <c r="A1142" s="56" t="s">
        <v>9477</v>
      </c>
      <c r="B1142" s="79"/>
      <c r="C1142" s="33" t="s">
        <v>9478</v>
      </c>
      <c r="E1142" s="46" t="s">
        <v>1348</v>
      </c>
    </row>
    <row r="1143">
      <c r="A1143" s="56" t="s">
        <v>9480</v>
      </c>
      <c r="B1143" s="21"/>
      <c r="C1143" s="33" t="s">
        <v>9481</v>
      </c>
      <c r="E1143" s="46" t="s">
        <v>7616</v>
      </c>
    </row>
    <row r="1144">
      <c r="A1144" s="56" t="s">
        <v>9482</v>
      </c>
      <c r="B1144" s="21"/>
      <c r="C1144" s="33" t="s">
        <v>9481</v>
      </c>
      <c r="E1144" s="46" t="s">
        <v>7618</v>
      </c>
    </row>
    <row r="1145">
      <c r="A1145" s="56" t="s">
        <v>9483</v>
      </c>
      <c r="B1145" s="21"/>
      <c r="C1145" s="33" t="s">
        <v>9484</v>
      </c>
      <c r="E1145" s="46" t="s">
        <v>7616</v>
      </c>
    </row>
    <row r="1146">
      <c r="A1146" s="56" t="s">
        <v>9485</v>
      </c>
      <c r="B1146" s="21"/>
      <c r="C1146" s="33" t="s">
        <v>9484</v>
      </c>
      <c r="E1146" s="46" t="s">
        <v>7618</v>
      </c>
    </row>
    <row r="1147">
      <c r="A1147" s="56" t="s">
        <v>9487</v>
      </c>
      <c r="B1147" s="21"/>
      <c r="C1147" s="33" t="s">
        <v>9489</v>
      </c>
      <c r="E1147" s="46" t="s">
        <v>7616</v>
      </c>
    </row>
    <row r="1148">
      <c r="A1148" s="56" t="s">
        <v>9490</v>
      </c>
      <c r="B1148" s="21"/>
      <c r="C1148" s="33" t="s">
        <v>9489</v>
      </c>
      <c r="E1148" s="46" t="s">
        <v>7618</v>
      </c>
    </row>
    <row r="1149">
      <c r="A1149" s="56" t="s">
        <v>9491</v>
      </c>
      <c r="B1149" s="21"/>
      <c r="C1149" s="33" t="s">
        <v>9481</v>
      </c>
      <c r="E1149" s="46" t="s">
        <v>7616</v>
      </c>
    </row>
    <row r="1150">
      <c r="A1150" s="56" t="s">
        <v>9492</v>
      </c>
      <c r="B1150" s="21"/>
      <c r="C1150" s="33" t="s">
        <v>9481</v>
      </c>
      <c r="E1150" s="46" t="s">
        <v>7618</v>
      </c>
    </row>
    <row r="1151">
      <c r="A1151" s="56" t="s">
        <v>9493</v>
      </c>
      <c r="B1151" s="21"/>
      <c r="C1151" s="33" t="s">
        <v>9484</v>
      </c>
      <c r="E1151" s="46" t="s">
        <v>7616</v>
      </c>
    </row>
    <row r="1152">
      <c r="A1152" s="56" t="s">
        <v>9495</v>
      </c>
      <c r="B1152" s="21"/>
      <c r="C1152" s="33" t="s">
        <v>9484</v>
      </c>
      <c r="E1152" s="46" t="s">
        <v>7618</v>
      </c>
    </row>
    <row r="1153">
      <c r="A1153" s="56" t="s">
        <v>9496</v>
      </c>
      <c r="B1153" s="21"/>
      <c r="C1153" s="33" t="s">
        <v>9489</v>
      </c>
      <c r="E1153" s="46" t="s">
        <v>7616</v>
      </c>
    </row>
    <row r="1154">
      <c r="A1154" s="56" t="s">
        <v>9497</v>
      </c>
      <c r="B1154" s="21"/>
      <c r="C1154" s="33" t="s">
        <v>9489</v>
      </c>
      <c r="E1154" s="46" t="s">
        <v>7618</v>
      </c>
    </row>
    <row r="1155">
      <c r="A1155" s="56" t="s">
        <v>9498</v>
      </c>
      <c r="B1155" s="21"/>
      <c r="C1155" s="33" t="s">
        <v>9499</v>
      </c>
      <c r="E1155" s="46" t="s">
        <v>7616</v>
      </c>
    </row>
    <row r="1156">
      <c r="A1156" s="56" t="s">
        <v>9501</v>
      </c>
      <c r="B1156" s="21"/>
      <c r="C1156" s="33" t="s">
        <v>9499</v>
      </c>
      <c r="E1156" s="46" t="s">
        <v>7618</v>
      </c>
    </row>
    <row r="1157">
      <c r="A1157" s="56" t="s">
        <v>9503</v>
      </c>
      <c r="B1157" s="21"/>
      <c r="C1157" s="33" t="s">
        <v>9504</v>
      </c>
      <c r="E1157" s="46" t="s">
        <v>7616</v>
      </c>
    </row>
    <row r="1158">
      <c r="A1158" s="56" t="s">
        <v>9505</v>
      </c>
      <c r="B1158" s="21"/>
      <c r="C1158" s="33" t="s">
        <v>9504</v>
      </c>
      <c r="E1158" s="46" t="s">
        <v>7618</v>
      </c>
    </row>
    <row r="1159">
      <c r="A1159" s="56" t="s">
        <v>9506</v>
      </c>
      <c r="B1159" s="21"/>
      <c r="C1159" s="33" t="s">
        <v>9507</v>
      </c>
      <c r="E1159" s="46" t="s">
        <v>7616</v>
      </c>
    </row>
    <row r="1160">
      <c r="A1160" s="56" t="s">
        <v>9509</v>
      </c>
      <c r="B1160" s="21"/>
      <c r="C1160" s="33" t="s">
        <v>9507</v>
      </c>
      <c r="E1160" s="46" t="s">
        <v>7618</v>
      </c>
    </row>
    <row r="1161">
      <c r="A1161" s="56" t="s">
        <v>9510</v>
      </c>
      <c r="B1161" s="21"/>
      <c r="C1161" s="33" t="s">
        <v>9499</v>
      </c>
      <c r="E1161" s="46" t="s">
        <v>7616</v>
      </c>
    </row>
    <row r="1162">
      <c r="A1162" s="56" t="s">
        <v>9511</v>
      </c>
      <c r="B1162" s="21"/>
      <c r="C1162" s="33" t="s">
        <v>9499</v>
      </c>
      <c r="E1162" s="46" t="s">
        <v>7618</v>
      </c>
    </row>
    <row r="1163">
      <c r="A1163" s="56" t="s">
        <v>9512</v>
      </c>
      <c r="B1163" s="21"/>
      <c r="C1163" s="33" t="s">
        <v>9504</v>
      </c>
      <c r="E1163" s="46" t="s">
        <v>7616</v>
      </c>
    </row>
    <row r="1164">
      <c r="A1164" s="56" t="s">
        <v>9513</v>
      </c>
      <c r="B1164" s="21"/>
      <c r="C1164" s="33" t="s">
        <v>9504</v>
      </c>
      <c r="E1164" s="46" t="s">
        <v>7618</v>
      </c>
    </row>
    <row r="1165">
      <c r="A1165" s="56" t="s">
        <v>9516</v>
      </c>
      <c r="B1165" s="21"/>
      <c r="C1165" s="33" t="s">
        <v>9507</v>
      </c>
      <c r="E1165" s="46" t="s">
        <v>7616</v>
      </c>
    </row>
    <row r="1166">
      <c r="A1166" s="56" t="s">
        <v>9517</v>
      </c>
      <c r="B1166" s="21"/>
      <c r="C1166" s="33" t="s">
        <v>9507</v>
      </c>
      <c r="E1166" s="46" t="s">
        <v>7618</v>
      </c>
    </row>
    <row r="1167">
      <c r="A1167" s="56" t="s">
        <v>9518</v>
      </c>
      <c r="B1167" s="55"/>
      <c r="C1167" s="31"/>
      <c r="E1167" s="46" t="s">
        <v>3366</v>
      </c>
    </row>
    <row r="1168">
      <c r="A1168" s="56" t="s">
        <v>9519</v>
      </c>
      <c r="B1168" s="55"/>
      <c r="C1168" s="31"/>
      <c r="E1168" s="46" t="s">
        <v>3366</v>
      </c>
    </row>
    <row r="1169">
      <c r="A1169" s="56" t="s">
        <v>9520</v>
      </c>
      <c r="B1169" s="55"/>
      <c r="C1169" s="31"/>
      <c r="E1169" s="46" t="s">
        <v>3366</v>
      </c>
    </row>
    <row r="1170">
      <c r="A1170" s="56" t="s">
        <v>9522</v>
      </c>
      <c r="B1170" s="55"/>
      <c r="C1170" s="31"/>
      <c r="E1170" s="46" t="s">
        <v>3366</v>
      </c>
    </row>
    <row r="1171">
      <c r="A1171" s="56" t="s">
        <v>9523</v>
      </c>
      <c r="B1171" s="55"/>
      <c r="C1171" s="31"/>
      <c r="E1171" s="46" t="s">
        <v>3366</v>
      </c>
    </row>
    <row r="1172">
      <c r="A1172" s="56" t="s">
        <v>9524</v>
      </c>
      <c r="B1172" s="55"/>
      <c r="C1172" s="31"/>
      <c r="E1172" s="46" t="s">
        <v>3366</v>
      </c>
    </row>
    <row r="1173">
      <c r="A1173" s="56" t="s">
        <v>9525</v>
      </c>
      <c r="B1173" s="55"/>
      <c r="C1173" s="31"/>
      <c r="E1173" s="46" t="s">
        <v>3366</v>
      </c>
    </row>
    <row r="1174">
      <c r="A1174" s="56" t="s">
        <v>9526</v>
      </c>
      <c r="B1174" s="55"/>
      <c r="C1174" s="31"/>
      <c r="E1174" s="46" t="s">
        <v>3366</v>
      </c>
    </row>
    <row r="1175">
      <c r="A1175" s="56" t="s">
        <v>9527</v>
      </c>
      <c r="B1175" s="55"/>
      <c r="C1175" s="31"/>
      <c r="E1175" s="46" t="s">
        <v>3366</v>
      </c>
    </row>
    <row r="1176">
      <c r="A1176" s="56" t="s">
        <v>9530</v>
      </c>
      <c r="B1176" s="55"/>
      <c r="C1176" s="31"/>
      <c r="E1176" s="46" t="s">
        <v>3366</v>
      </c>
    </row>
    <row r="1177">
      <c r="A1177" s="56" t="s">
        <v>9531</v>
      </c>
      <c r="B1177" s="55"/>
      <c r="C1177" s="31"/>
      <c r="E1177" s="46" t="s">
        <v>3366</v>
      </c>
    </row>
    <row r="1178">
      <c r="A1178" s="56" t="s">
        <v>9532</v>
      </c>
      <c r="B1178" s="82"/>
      <c r="C1178" s="33" t="s">
        <v>9533</v>
      </c>
      <c r="E1178" s="46" t="s">
        <v>7609</v>
      </c>
    </row>
    <row r="1179">
      <c r="A1179" s="56" t="s">
        <v>9534</v>
      </c>
      <c r="B1179" s="55"/>
      <c r="C1179" s="33" t="s">
        <v>9535</v>
      </c>
      <c r="E1179" s="46" t="s">
        <v>7616</v>
      </c>
    </row>
    <row r="1180">
      <c r="A1180" s="56" t="s">
        <v>9536</v>
      </c>
      <c r="B1180" s="55"/>
      <c r="C1180" s="33" t="s">
        <v>9535</v>
      </c>
      <c r="E1180" s="46" t="s">
        <v>7618</v>
      </c>
    </row>
    <row r="1181">
      <c r="A1181" s="56" t="s">
        <v>9538</v>
      </c>
      <c r="B1181" s="55"/>
      <c r="C1181" s="33" t="s">
        <v>9535</v>
      </c>
      <c r="E1181" s="46" t="s">
        <v>7616</v>
      </c>
    </row>
    <row r="1182">
      <c r="A1182" s="56" t="s">
        <v>9539</v>
      </c>
      <c r="B1182" s="55"/>
      <c r="C1182" s="33" t="s">
        <v>9535</v>
      </c>
      <c r="E1182" s="46" t="s">
        <v>7618</v>
      </c>
    </row>
    <row r="1183">
      <c r="A1183" s="56" t="s">
        <v>9540</v>
      </c>
      <c r="B1183" s="55"/>
      <c r="C1183" s="33" t="s">
        <v>9535</v>
      </c>
      <c r="E1183" s="46" t="s">
        <v>7616</v>
      </c>
    </row>
    <row r="1184">
      <c r="A1184" s="56" t="s">
        <v>9541</v>
      </c>
      <c r="B1184" s="55"/>
      <c r="C1184" s="33" t="s">
        <v>9535</v>
      </c>
      <c r="E1184" s="46" t="s">
        <v>7618</v>
      </c>
    </row>
    <row r="1185">
      <c r="A1185" s="56" t="s">
        <v>9543</v>
      </c>
      <c r="B1185" s="55"/>
      <c r="C1185" s="33" t="s">
        <v>9535</v>
      </c>
      <c r="E1185" s="46" t="s">
        <v>7616</v>
      </c>
    </row>
    <row r="1186">
      <c r="A1186" s="56" t="s">
        <v>9545</v>
      </c>
      <c r="B1186" s="55"/>
      <c r="C1186" s="33" t="s">
        <v>9535</v>
      </c>
      <c r="E1186" s="46" t="s">
        <v>7618</v>
      </c>
    </row>
    <row r="1187">
      <c r="A1187" s="56" t="s">
        <v>9546</v>
      </c>
      <c r="B1187" s="55"/>
      <c r="C1187" s="33" t="s">
        <v>9535</v>
      </c>
      <c r="E1187" s="46" t="s">
        <v>7616</v>
      </c>
    </row>
    <row r="1188">
      <c r="A1188" s="56" t="s">
        <v>9547</v>
      </c>
      <c r="B1188" s="55"/>
      <c r="C1188" s="33" t="s">
        <v>9535</v>
      </c>
      <c r="E1188" s="46" t="s">
        <v>7618</v>
      </c>
    </row>
    <row r="1189">
      <c r="A1189" s="56" t="s">
        <v>9548</v>
      </c>
      <c r="B1189" s="55"/>
      <c r="C1189" s="33" t="s">
        <v>9535</v>
      </c>
      <c r="E1189" s="46" t="s">
        <v>7616</v>
      </c>
    </row>
    <row r="1190">
      <c r="A1190" s="56" t="s">
        <v>9550</v>
      </c>
      <c r="B1190" s="55"/>
      <c r="C1190" s="33" t="s">
        <v>9535</v>
      </c>
      <c r="E1190" s="46" t="s">
        <v>7618</v>
      </c>
    </row>
    <row r="1191">
      <c r="A1191" s="56" t="s">
        <v>9551</v>
      </c>
      <c r="B1191" s="55"/>
      <c r="C1191" s="33" t="s">
        <v>9535</v>
      </c>
      <c r="E1191" s="46" t="s">
        <v>7616</v>
      </c>
    </row>
    <row r="1192">
      <c r="A1192" s="56" t="s">
        <v>9552</v>
      </c>
      <c r="B1192" s="55"/>
      <c r="C1192" s="33" t="s">
        <v>9535</v>
      </c>
      <c r="E1192" s="46" t="s">
        <v>7618</v>
      </c>
    </row>
    <row r="1193">
      <c r="A1193" s="56" t="s">
        <v>9553</v>
      </c>
      <c r="B1193" s="55"/>
      <c r="C1193" s="33" t="s">
        <v>9535</v>
      </c>
      <c r="E1193" s="46" t="s">
        <v>7616</v>
      </c>
    </row>
    <row r="1194">
      <c r="A1194" s="56" t="s">
        <v>9554</v>
      </c>
      <c r="B1194" s="55"/>
      <c r="C1194" s="33" t="s">
        <v>9535</v>
      </c>
      <c r="E1194" s="46" t="s">
        <v>7618</v>
      </c>
    </row>
    <row r="1195">
      <c r="A1195" s="56" t="s">
        <v>9557</v>
      </c>
      <c r="B1195" s="55"/>
      <c r="C1195" s="33" t="s">
        <v>9535</v>
      </c>
      <c r="E1195" s="46" t="s">
        <v>7616</v>
      </c>
    </row>
    <row r="1196">
      <c r="A1196" s="56" t="s">
        <v>9558</v>
      </c>
      <c r="B1196" s="55"/>
      <c r="C1196" s="33" t="s">
        <v>9535</v>
      </c>
      <c r="E1196" s="46" t="s">
        <v>7618</v>
      </c>
    </row>
    <row r="1197">
      <c r="A1197" s="56" t="s">
        <v>9559</v>
      </c>
      <c r="B1197" s="55"/>
      <c r="C1197" s="33" t="s">
        <v>9535</v>
      </c>
      <c r="E1197" s="46" t="s">
        <v>7616</v>
      </c>
    </row>
    <row r="1198">
      <c r="A1198" s="56" t="s">
        <v>9560</v>
      </c>
      <c r="B1198" s="55"/>
      <c r="C1198" s="33" t="s">
        <v>9535</v>
      </c>
      <c r="E1198" s="46" t="s">
        <v>7618</v>
      </c>
    </row>
    <row r="1199">
      <c r="A1199" s="56" t="s">
        <v>9561</v>
      </c>
      <c r="B1199" s="55"/>
      <c r="C1199" s="31"/>
      <c r="E1199" s="46" t="s">
        <v>3366</v>
      </c>
    </row>
    <row r="1200">
      <c r="A1200" s="56" t="s">
        <v>9562</v>
      </c>
      <c r="B1200" s="55"/>
      <c r="C1200" s="31"/>
      <c r="E1200" s="46" t="s">
        <v>3366</v>
      </c>
    </row>
    <row r="1201">
      <c r="A1201" s="56" t="s">
        <v>9564</v>
      </c>
      <c r="B1201" s="55"/>
      <c r="C1201" s="31"/>
      <c r="E1201" s="46" t="s">
        <v>3366</v>
      </c>
    </row>
    <row r="1202">
      <c r="A1202" s="56" t="s">
        <v>9565</v>
      </c>
      <c r="B1202" s="55"/>
      <c r="C1202" s="31"/>
      <c r="E1202" s="46" t="s">
        <v>3366</v>
      </c>
    </row>
    <row r="1203">
      <c r="A1203" s="56" t="s">
        <v>9566</v>
      </c>
      <c r="B1203" s="55"/>
      <c r="C1203" s="31"/>
      <c r="E1203" s="46" t="s">
        <v>3366</v>
      </c>
    </row>
    <row r="1204">
      <c r="A1204" s="56" t="s">
        <v>9567</v>
      </c>
      <c r="B1204" s="55"/>
      <c r="C1204" s="31"/>
      <c r="E1204" s="46" t="s">
        <v>3366</v>
      </c>
    </row>
    <row r="1205">
      <c r="A1205" s="56" t="s">
        <v>9568</v>
      </c>
      <c r="B1205" s="55"/>
      <c r="C1205" s="31"/>
      <c r="E1205" s="46" t="s">
        <v>3366</v>
      </c>
    </row>
    <row r="1206">
      <c r="A1206" s="56" t="s">
        <v>9570</v>
      </c>
      <c r="B1206" s="55"/>
      <c r="C1206" s="31"/>
      <c r="E1206" s="46" t="s">
        <v>3366</v>
      </c>
    </row>
    <row r="1207">
      <c r="A1207" s="56" t="s">
        <v>9573</v>
      </c>
      <c r="B1207" s="82"/>
      <c r="C1207" s="33" t="s">
        <v>9574</v>
      </c>
      <c r="E1207" s="46" t="s">
        <v>7609</v>
      </c>
    </row>
    <row r="1208">
      <c r="A1208" s="56" t="s">
        <v>9575</v>
      </c>
      <c r="B1208" s="82"/>
      <c r="C1208" s="33" t="s">
        <v>9577</v>
      </c>
      <c r="E1208" s="46" t="s">
        <v>7616</v>
      </c>
    </row>
    <row r="1209">
      <c r="A1209" s="56" t="s">
        <v>9579</v>
      </c>
      <c r="B1209" s="82"/>
      <c r="C1209" s="33" t="s">
        <v>9577</v>
      </c>
      <c r="E1209" s="46" t="s">
        <v>7618</v>
      </c>
    </row>
    <row r="1210">
      <c r="A1210" s="56" t="s">
        <v>9580</v>
      </c>
      <c r="B1210" s="55"/>
      <c r="C1210" s="31"/>
      <c r="E1210" s="46" t="s">
        <v>3366</v>
      </c>
    </row>
    <row r="1211">
      <c r="A1211" s="56" t="s">
        <v>9581</v>
      </c>
      <c r="B1211" s="55"/>
      <c r="C1211" s="31"/>
      <c r="E1211" s="46" t="s">
        <v>3366</v>
      </c>
    </row>
    <row r="1212">
      <c r="A1212" s="56" t="s">
        <v>9582</v>
      </c>
      <c r="B1212" s="55"/>
      <c r="C1212" s="31"/>
      <c r="E1212" s="46" t="s">
        <v>3366</v>
      </c>
    </row>
    <row r="1213">
      <c r="A1213" s="56" t="s">
        <v>9583</v>
      </c>
      <c r="B1213" s="55"/>
      <c r="C1213" s="31"/>
      <c r="E1213" s="46" t="s">
        <v>3366</v>
      </c>
    </row>
    <row r="1214">
      <c r="A1214" s="56" t="s">
        <v>9584</v>
      </c>
      <c r="B1214" s="55"/>
      <c r="C1214" s="31"/>
      <c r="E1214" s="46" t="s">
        <v>3366</v>
      </c>
    </row>
    <row r="1215">
      <c r="A1215" s="56" t="s">
        <v>9587</v>
      </c>
      <c r="B1215" s="55"/>
      <c r="C1215" s="31"/>
      <c r="E1215" s="46" t="s">
        <v>3366</v>
      </c>
    </row>
    <row r="1216">
      <c r="A1216" s="56" t="s">
        <v>9588</v>
      </c>
      <c r="B1216" s="82"/>
      <c r="C1216" s="33" t="s">
        <v>9589</v>
      </c>
      <c r="E1216" s="46" t="s">
        <v>7609</v>
      </c>
    </row>
    <row r="1217">
      <c r="A1217" s="56" t="s">
        <v>9591</v>
      </c>
      <c r="B1217" s="82"/>
      <c r="C1217" s="33" t="s">
        <v>9592</v>
      </c>
      <c r="E1217" s="46" t="s">
        <v>7616</v>
      </c>
    </row>
    <row r="1218">
      <c r="A1218" s="56" t="s">
        <v>9593</v>
      </c>
      <c r="B1218" s="82"/>
      <c r="C1218" s="33" t="s">
        <v>9592</v>
      </c>
      <c r="E1218" s="46" t="s">
        <v>7618</v>
      </c>
    </row>
    <row r="1219">
      <c r="A1219" s="56" t="s">
        <v>9594</v>
      </c>
      <c r="B1219" s="82"/>
      <c r="C1219" s="33" t="s">
        <v>9595</v>
      </c>
      <c r="E1219" s="46" t="s">
        <v>7616</v>
      </c>
    </row>
    <row r="1220">
      <c r="A1220" s="56" t="s">
        <v>9596</v>
      </c>
      <c r="B1220" s="82"/>
      <c r="C1220" s="33" t="s">
        <v>9595</v>
      </c>
      <c r="E1220" s="46" t="s">
        <v>7618</v>
      </c>
    </row>
    <row r="1221">
      <c r="A1221" s="56" t="s">
        <v>9597</v>
      </c>
      <c r="B1221" s="82"/>
      <c r="C1221" s="33" t="s">
        <v>9598</v>
      </c>
      <c r="E1221" s="46" t="s">
        <v>7616</v>
      </c>
    </row>
    <row r="1222">
      <c r="A1222" s="56" t="s">
        <v>9602</v>
      </c>
      <c r="B1222" s="82"/>
      <c r="C1222" s="33" t="s">
        <v>9598</v>
      </c>
      <c r="E1222" s="46" t="s">
        <v>7618</v>
      </c>
    </row>
    <row r="1223">
      <c r="A1223" s="56" t="s">
        <v>9603</v>
      </c>
      <c r="B1223" s="79"/>
      <c r="C1223" s="33" t="s">
        <v>9604</v>
      </c>
      <c r="E1223" s="46" t="s">
        <v>1348</v>
      </c>
    </row>
    <row r="1224">
      <c r="A1224" s="56" t="s">
        <v>9605</v>
      </c>
      <c r="B1224" s="79"/>
      <c r="C1224" s="33" t="s">
        <v>9604</v>
      </c>
      <c r="E1224" s="46" t="s">
        <v>1348</v>
      </c>
    </row>
    <row r="1225">
      <c r="A1225" s="56" t="s">
        <v>9606</v>
      </c>
      <c r="B1225" s="79"/>
      <c r="C1225" s="33" t="s">
        <v>9607</v>
      </c>
      <c r="E1225" s="46" t="s">
        <v>1348</v>
      </c>
    </row>
    <row r="1226">
      <c r="A1226" s="56" t="s">
        <v>9608</v>
      </c>
      <c r="B1226" s="82"/>
      <c r="C1226" s="33" t="s">
        <v>9610</v>
      </c>
      <c r="E1226" s="46" t="s">
        <v>7616</v>
      </c>
    </row>
    <row r="1227">
      <c r="A1227" s="56" t="s">
        <v>9611</v>
      </c>
      <c r="B1227" s="82"/>
      <c r="C1227" s="33" t="s">
        <v>9610</v>
      </c>
      <c r="E1227" s="46" t="s">
        <v>7618</v>
      </c>
    </row>
    <row r="1228">
      <c r="A1228" s="56" t="s">
        <v>9612</v>
      </c>
      <c r="B1228" s="21"/>
      <c r="C1228" s="33" t="s">
        <v>9613</v>
      </c>
      <c r="E1228" s="46" t="s">
        <v>7616</v>
      </c>
    </row>
    <row r="1229">
      <c r="A1229" s="56" t="s">
        <v>9614</v>
      </c>
      <c r="B1229" s="21"/>
      <c r="C1229" s="33" t="s">
        <v>9613</v>
      </c>
      <c r="E1229" s="46" t="s">
        <v>7618</v>
      </c>
    </row>
    <row r="1230">
      <c r="A1230" s="56" t="s">
        <v>9615</v>
      </c>
      <c r="B1230" s="21"/>
      <c r="C1230" s="33" t="s">
        <v>9618</v>
      </c>
      <c r="E1230" s="46" t="s">
        <v>7616</v>
      </c>
    </row>
    <row r="1231">
      <c r="A1231" s="56" t="s">
        <v>9619</v>
      </c>
      <c r="B1231" s="21"/>
      <c r="C1231" s="33" t="s">
        <v>9618</v>
      </c>
      <c r="E1231" s="46" t="s">
        <v>7618</v>
      </c>
    </row>
    <row r="1232">
      <c r="A1232" s="56" t="s">
        <v>9620</v>
      </c>
      <c r="B1232" s="21"/>
      <c r="C1232" s="33" t="s">
        <v>9621</v>
      </c>
      <c r="E1232" s="46" t="s">
        <v>7616</v>
      </c>
    </row>
    <row r="1233">
      <c r="A1233" s="56" t="s">
        <v>9622</v>
      </c>
      <c r="B1233" s="21"/>
      <c r="C1233" s="33" t="s">
        <v>9621</v>
      </c>
      <c r="E1233" s="46" t="s">
        <v>7618</v>
      </c>
    </row>
    <row r="1234">
      <c r="A1234" s="56" t="s">
        <v>9623</v>
      </c>
      <c r="B1234" s="21"/>
      <c r="C1234" s="33" t="s">
        <v>9613</v>
      </c>
      <c r="E1234" s="46" t="s">
        <v>7616</v>
      </c>
    </row>
    <row r="1235">
      <c r="A1235" s="56" t="s">
        <v>9625</v>
      </c>
      <c r="B1235" s="21"/>
      <c r="C1235" s="33" t="s">
        <v>9613</v>
      </c>
      <c r="E1235" s="46" t="s">
        <v>7618</v>
      </c>
    </row>
    <row r="1236">
      <c r="A1236" s="56" t="s">
        <v>9626</v>
      </c>
      <c r="B1236" s="21"/>
      <c r="C1236" s="33" t="s">
        <v>9618</v>
      </c>
      <c r="E1236" s="46" t="s">
        <v>7616</v>
      </c>
    </row>
    <row r="1237">
      <c r="A1237" s="56" t="s">
        <v>9627</v>
      </c>
      <c r="B1237" s="21"/>
      <c r="C1237" s="33" t="s">
        <v>9618</v>
      </c>
      <c r="E1237" s="46" t="s">
        <v>7618</v>
      </c>
    </row>
    <row r="1238">
      <c r="A1238" s="56" t="s">
        <v>9628</v>
      </c>
      <c r="B1238" s="21"/>
      <c r="C1238" s="33" t="s">
        <v>9621</v>
      </c>
      <c r="E1238" s="46" t="s">
        <v>7616</v>
      </c>
    </row>
    <row r="1239">
      <c r="A1239" s="56" t="s">
        <v>9629</v>
      </c>
      <c r="B1239" s="21"/>
      <c r="C1239" s="33" t="s">
        <v>9621</v>
      </c>
      <c r="E1239" s="46" t="s">
        <v>7618</v>
      </c>
    </row>
    <row r="1240">
      <c r="A1240" s="56" t="s">
        <v>9631</v>
      </c>
      <c r="B1240" s="21"/>
      <c r="C1240" s="33" t="s">
        <v>9633</v>
      </c>
      <c r="E1240" s="46" t="s">
        <v>7616</v>
      </c>
    </row>
    <row r="1241">
      <c r="A1241" s="56" t="s">
        <v>9634</v>
      </c>
      <c r="B1241" s="21"/>
      <c r="C1241" s="33" t="s">
        <v>9633</v>
      </c>
      <c r="E1241" s="46" t="s">
        <v>7618</v>
      </c>
    </row>
    <row r="1242">
      <c r="A1242" s="56" t="s">
        <v>9635</v>
      </c>
      <c r="B1242" s="21"/>
      <c r="C1242" s="33" t="s">
        <v>9636</v>
      </c>
      <c r="E1242" s="46" t="s">
        <v>7616</v>
      </c>
    </row>
    <row r="1243">
      <c r="A1243" s="56" t="s">
        <v>9637</v>
      </c>
      <c r="B1243" s="21"/>
      <c r="C1243" s="33" t="s">
        <v>9636</v>
      </c>
      <c r="E1243" s="46" t="s">
        <v>7618</v>
      </c>
    </row>
    <row r="1244">
      <c r="A1244" s="56" t="s">
        <v>9638</v>
      </c>
      <c r="B1244" s="21"/>
      <c r="C1244" s="33" t="s">
        <v>9639</v>
      </c>
      <c r="E1244" s="46" t="s">
        <v>7616</v>
      </c>
    </row>
    <row r="1245">
      <c r="A1245" s="56" t="s">
        <v>9640</v>
      </c>
      <c r="B1245" s="21"/>
      <c r="C1245" s="33" t="s">
        <v>9639</v>
      </c>
      <c r="E1245" s="46" t="s">
        <v>7618</v>
      </c>
    </row>
    <row r="1246">
      <c r="A1246" s="56" t="s">
        <v>9643</v>
      </c>
      <c r="B1246" s="21"/>
      <c r="C1246" s="33" t="s">
        <v>9633</v>
      </c>
      <c r="E1246" s="46" t="s">
        <v>7616</v>
      </c>
    </row>
    <row r="1247">
      <c r="A1247" s="56" t="s">
        <v>9644</v>
      </c>
      <c r="B1247" s="21"/>
      <c r="C1247" s="33" t="s">
        <v>9633</v>
      </c>
      <c r="E1247" s="46" t="s">
        <v>7618</v>
      </c>
    </row>
    <row r="1248">
      <c r="A1248" s="56" t="s">
        <v>9645</v>
      </c>
      <c r="B1248" s="21"/>
      <c r="C1248" s="33" t="s">
        <v>9636</v>
      </c>
      <c r="E1248" s="46" t="s">
        <v>7616</v>
      </c>
    </row>
    <row r="1249">
      <c r="A1249" s="56" t="s">
        <v>9646</v>
      </c>
      <c r="B1249" s="21"/>
      <c r="C1249" s="33" t="s">
        <v>9636</v>
      </c>
      <c r="E1249" s="46" t="s">
        <v>7618</v>
      </c>
    </row>
    <row r="1250">
      <c r="A1250" s="56" t="s">
        <v>9649</v>
      </c>
      <c r="B1250" s="21"/>
      <c r="C1250" s="33" t="s">
        <v>9639</v>
      </c>
      <c r="E1250" s="46" t="s">
        <v>7616</v>
      </c>
    </row>
    <row r="1251">
      <c r="A1251" s="56" t="s">
        <v>9650</v>
      </c>
      <c r="B1251" s="21"/>
      <c r="C1251" s="33" t="s">
        <v>9639</v>
      </c>
      <c r="E1251" s="46" t="s">
        <v>7618</v>
      </c>
    </row>
    <row r="1252">
      <c r="A1252" s="56" t="s">
        <v>9651</v>
      </c>
      <c r="B1252" s="55"/>
      <c r="C1252" s="31"/>
      <c r="E1252" s="46" t="s">
        <v>3366</v>
      </c>
    </row>
    <row r="1253">
      <c r="A1253" s="56" t="s">
        <v>9652</v>
      </c>
      <c r="B1253" s="55"/>
      <c r="C1253" s="31"/>
      <c r="E1253" s="46" t="s">
        <v>3366</v>
      </c>
    </row>
    <row r="1254">
      <c r="A1254" s="56" t="s">
        <v>9653</v>
      </c>
      <c r="B1254" s="55"/>
      <c r="C1254" s="31"/>
      <c r="E1254" s="46" t="s">
        <v>3366</v>
      </c>
    </row>
    <row r="1255">
      <c r="A1255" s="56" t="s">
        <v>9655</v>
      </c>
      <c r="B1255" s="55"/>
      <c r="C1255" s="31"/>
      <c r="E1255" s="46" t="s">
        <v>3366</v>
      </c>
    </row>
    <row r="1256">
      <c r="A1256" s="56" t="s">
        <v>9656</v>
      </c>
      <c r="B1256" s="55"/>
      <c r="C1256" s="31"/>
      <c r="E1256" s="46" t="s">
        <v>3366</v>
      </c>
    </row>
    <row r="1257">
      <c r="A1257" s="56" t="s">
        <v>9657</v>
      </c>
      <c r="B1257" s="55"/>
      <c r="C1257" s="31"/>
      <c r="E1257" s="46" t="s">
        <v>3366</v>
      </c>
    </row>
    <row r="1258">
      <c r="A1258" s="56" t="s">
        <v>9658</v>
      </c>
      <c r="B1258" s="55"/>
      <c r="C1258" s="31"/>
      <c r="E1258" s="46" t="s">
        <v>3366</v>
      </c>
    </row>
    <row r="1259">
      <c r="A1259" s="56" t="s">
        <v>9659</v>
      </c>
      <c r="B1259" s="55"/>
      <c r="C1259" s="31"/>
      <c r="E1259" s="46" t="s">
        <v>3366</v>
      </c>
    </row>
    <row r="1260">
      <c r="A1260" s="56" t="s">
        <v>9662</v>
      </c>
      <c r="B1260" s="82"/>
      <c r="C1260" s="33" t="s">
        <v>9663</v>
      </c>
      <c r="E1260" s="46" t="s">
        <v>7609</v>
      </c>
    </row>
    <row r="1261">
      <c r="A1261" s="56" t="s">
        <v>9664</v>
      </c>
      <c r="B1261" s="55"/>
      <c r="C1261" s="33" t="s">
        <v>9665</v>
      </c>
      <c r="E1261" s="46" t="s">
        <v>7616</v>
      </c>
    </row>
    <row r="1262">
      <c r="A1262" s="56" t="s">
        <v>9666</v>
      </c>
      <c r="B1262" s="55"/>
      <c r="C1262" s="33" t="s">
        <v>9665</v>
      </c>
      <c r="E1262" s="46" t="s">
        <v>7618</v>
      </c>
    </row>
    <row r="1263">
      <c r="A1263" s="56" t="s">
        <v>9667</v>
      </c>
      <c r="B1263" s="55"/>
      <c r="C1263" s="33" t="s">
        <v>9665</v>
      </c>
      <c r="E1263" s="46" t="s">
        <v>3366</v>
      </c>
    </row>
    <row r="1264">
      <c r="A1264" s="56" t="s">
        <v>9668</v>
      </c>
      <c r="B1264" s="82"/>
      <c r="C1264" s="33" t="s">
        <v>9670</v>
      </c>
      <c r="E1264" s="46" t="s">
        <v>7609</v>
      </c>
    </row>
    <row r="1265">
      <c r="A1265" s="56" t="s">
        <v>9671</v>
      </c>
      <c r="B1265" s="82"/>
      <c r="C1265" s="33" t="s">
        <v>9672</v>
      </c>
      <c r="E1265" s="46" t="s">
        <v>7616</v>
      </c>
    </row>
    <row r="1266">
      <c r="A1266" s="56" t="s">
        <v>9673</v>
      </c>
      <c r="B1266" s="82"/>
      <c r="C1266" s="33" t="s">
        <v>9672</v>
      </c>
      <c r="E1266" s="46" t="s">
        <v>7618</v>
      </c>
    </row>
    <row r="1267">
      <c r="A1267" s="56" t="s">
        <v>9674</v>
      </c>
      <c r="B1267" s="55"/>
      <c r="C1267" s="31"/>
      <c r="E1267" s="46" t="s">
        <v>3366</v>
      </c>
    </row>
    <row r="1268">
      <c r="A1268" s="56" t="s">
        <v>9675</v>
      </c>
      <c r="B1268" s="55"/>
      <c r="C1268" s="31"/>
      <c r="E1268" s="46" t="s">
        <v>3366</v>
      </c>
    </row>
    <row r="1269">
      <c r="A1269" s="56" t="s">
        <v>9676</v>
      </c>
      <c r="B1269" s="55"/>
      <c r="C1269" s="31"/>
      <c r="E1269" s="46" t="s">
        <v>3366</v>
      </c>
    </row>
    <row r="1270">
      <c r="A1270" s="56" t="s">
        <v>9678</v>
      </c>
      <c r="B1270" s="55"/>
      <c r="C1270" s="31"/>
      <c r="E1270" s="46" t="s">
        <v>3366</v>
      </c>
    </row>
    <row r="1271">
      <c r="A1271" s="56" t="s">
        <v>9680</v>
      </c>
      <c r="B1271" s="55"/>
      <c r="C1271" s="31"/>
      <c r="E1271" s="46" t="s">
        <v>3366</v>
      </c>
    </row>
    <row r="1272">
      <c r="A1272" s="56" t="s">
        <v>9681</v>
      </c>
      <c r="B1272" s="55"/>
      <c r="C1272" s="31"/>
      <c r="E1272" s="46" t="s">
        <v>3366</v>
      </c>
    </row>
    <row r="1273">
      <c r="A1273" s="56" t="s">
        <v>9682</v>
      </c>
      <c r="B1273" s="55"/>
      <c r="C1273" s="31"/>
      <c r="E1273" s="46" t="s">
        <v>3366</v>
      </c>
    </row>
    <row r="1274">
      <c r="A1274" s="56" t="s">
        <v>9683</v>
      </c>
      <c r="B1274" s="55"/>
      <c r="C1274" s="31"/>
      <c r="E1274" s="46" t="s">
        <v>3366</v>
      </c>
    </row>
    <row r="1275">
      <c r="A1275" s="56" t="s">
        <v>9684</v>
      </c>
      <c r="B1275" s="55"/>
      <c r="C1275" s="31"/>
      <c r="E1275" s="46" t="s">
        <v>3366</v>
      </c>
    </row>
    <row r="1276">
      <c r="A1276" s="56" t="s">
        <v>9686</v>
      </c>
      <c r="B1276" s="55"/>
      <c r="C1276" s="31"/>
      <c r="E1276" s="46" t="s">
        <v>3366</v>
      </c>
    </row>
    <row r="1277">
      <c r="A1277" s="56" t="s">
        <v>9687</v>
      </c>
      <c r="B1277" s="82"/>
      <c r="C1277" s="33" t="s">
        <v>9688</v>
      </c>
      <c r="E1277" s="46" t="s">
        <v>7609</v>
      </c>
    </row>
    <row r="1278">
      <c r="A1278" s="56" t="s">
        <v>9689</v>
      </c>
      <c r="B1278" s="82"/>
      <c r="C1278" s="33" t="s">
        <v>9690</v>
      </c>
      <c r="E1278" s="46" t="s">
        <v>7616</v>
      </c>
    </row>
    <row r="1279">
      <c r="A1279" s="56" t="s">
        <v>9691</v>
      </c>
      <c r="B1279" s="82"/>
      <c r="C1279" s="33" t="s">
        <v>9690</v>
      </c>
      <c r="E1279" s="46" t="s">
        <v>7618</v>
      </c>
    </row>
    <row r="1280">
      <c r="A1280" s="56" t="s">
        <v>9693</v>
      </c>
      <c r="B1280" s="82"/>
      <c r="C1280" s="33" t="s">
        <v>9694</v>
      </c>
      <c r="E1280" s="46" t="s">
        <v>7616</v>
      </c>
    </row>
    <row r="1281">
      <c r="A1281" s="56" t="s">
        <v>9696</v>
      </c>
      <c r="B1281" s="82"/>
      <c r="C1281" s="33" t="s">
        <v>9694</v>
      </c>
      <c r="E1281" s="46" t="s">
        <v>7618</v>
      </c>
    </row>
    <row r="1282">
      <c r="A1282" s="56" t="s">
        <v>9697</v>
      </c>
      <c r="B1282" s="82"/>
      <c r="C1282" s="33" t="s">
        <v>9698</v>
      </c>
      <c r="E1282" s="46" t="s">
        <v>7616</v>
      </c>
    </row>
    <row r="1283">
      <c r="A1283" s="56" t="s">
        <v>9699</v>
      </c>
      <c r="B1283" s="82"/>
      <c r="C1283" s="33" t="s">
        <v>9698</v>
      </c>
      <c r="E1283" s="46" t="s">
        <v>7618</v>
      </c>
    </row>
    <row r="1284">
      <c r="A1284" s="56" t="s">
        <v>9700</v>
      </c>
      <c r="B1284" s="79"/>
      <c r="C1284" s="33" t="s">
        <v>9701</v>
      </c>
      <c r="E1284" s="46" t="s">
        <v>1348</v>
      </c>
    </row>
    <row r="1285">
      <c r="A1285" s="56" t="s">
        <v>9703</v>
      </c>
      <c r="B1285" s="79"/>
      <c r="C1285" s="33" t="s">
        <v>9701</v>
      </c>
      <c r="E1285" s="46" t="s">
        <v>1348</v>
      </c>
    </row>
    <row r="1286">
      <c r="A1286" s="56" t="s">
        <v>9704</v>
      </c>
      <c r="B1286" s="79"/>
      <c r="C1286" s="33" t="s">
        <v>9705</v>
      </c>
      <c r="E1286" s="46" t="s">
        <v>1348</v>
      </c>
    </row>
    <row r="1287">
      <c r="A1287" s="56" t="s">
        <v>9706</v>
      </c>
      <c r="B1287" s="82"/>
      <c r="C1287" s="33" t="s">
        <v>9707</v>
      </c>
      <c r="E1287" s="46" t="s">
        <v>7616</v>
      </c>
    </row>
    <row r="1288">
      <c r="A1288" s="56" t="s">
        <v>9708</v>
      </c>
      <c r="B1288" s="82"/>
      <c r="C1288" s="33" t="s">
        <v>9707</v>
      </c>
      <c r="E1288" s="46" t="s">
        <v>7618</v>
      </c>
    </row>
    <row r="1289">
      <c r="A1289" s="56" t="s">
        <v>9709</v>
      </c>
      <c r="B1289" s="21"/>
      <c r="C1289" s="33" t="s">
        <v>9711</v>
      </c>
      <c r="E1289" s="46" t="s">
        <v>7616</v>
      </c>
    </row>
    <row r="1290">
      <c r="A1290" s="56" t="s">
        <v>9713</v>
      </c>
      <c r="B1290" s="21"/>
      <c r="C1290" s="33" t="s">
        <v>9711</v>
      </c>
      <c r="E1290" s="46" t="s">
        <v>7618</v>
      </c>
    </row>
    <row r="1291">
      <c r="A1291" s="56" t="s">
        <v>9714</v>
      </c>
      <c r="B1291" s="21"/>
      <c r="C1291" s="33" t="s">
        <v>9715</v>
      </c>
      <c r="E1291" s="46" t="s">
        <v>7616</v>
      </c>
    </row>
    <row r="1292">
      <c r="A1292" s="56" t="s">
        <v>9716</v>
      </c>
      <c r="B1292" s="21"/>
      <c r="C1292" s="33" t="s">
        <v>9715</v>
      </c>
      <c r="E1292" s="46" t="s">
        <v>7618</v>
      </c>
    </row>
    <row r="1293">
      <c r="A1293" s="56" t="s">
        <v>9717</v>
      </c>
      <c r="B1293" s="21"/>
      <c r="C1293" s="33" t="s">
        <v>9718</v>
      </c>
      <c r="E1293" s="46" t="s">
        <v>7616</v>
      </c>
    </row>
    <row r="1294">
      <c r="A1294" s="56" t="s">
        <v>9720</v>
      </c>
      <c r="B1294" s="21"/>
      <c r="C1294" s="33" t="s">
        <v>9718</v>
      </c>
      <c r="E1294" s="46" t="s">
        <v>7618</v>
      </c>
    </row>
    <row r="1295">
      <c r="A1295" s="56" t="s">
        <v>9721</v>
      </c>
      <c r="B1295" s="21"/>
      <c r="C1295" s="33" t="s">
        <v>9711</v>
      </c>
      <c r="E1295" s="46" t="s">
        <v>7616</v>
      </c>
    </row>
    <row r="1296">
      <c r="A1296" s="56" t="s">
        <v>9722</v>
      </c>
      <c r="B1296" s="21"/>
      <c r="C1296" s="33" t="s">
        <v>9711</v>
      </c>
      <c r="E1296" s="46" t="s">
        <v>7618</v>
      </c>
    </row>
    <row r="1297">
      <c r="A1297" s="56" t="s">
        <v>9723</v>
      </c>
      <c r="B1297" s="21"/>
      <c r="C1297" s="33" t="s">
        <v>9715</v>
      </c>
      <c r="E1297" s="46" t="s">
        <v>7616</v>
      </c>
    </row>
    <row r="1298">
      <c r="A1298" s="56" t="s">
        <v>9724</v>
      </c>
      <c r="B1298" s="21"/>
      <c r="C1298" s="33" t="s">
        <v>9715</v>
      </c>
      <c r="E1298" s="46" t="s">
        <v>7618</v>
      </c>
    </row>
    <row r="1299">
      <c r="A1299" s="56" t="s">
        <v>9726</v>
      </c>
      <c r="B1299" s="21"/>
      <c r="C1299" s="33" t="s">
        <v>9718</v>
      </c>
      <c r="E1299" s="46" t="s">
        <v>7616</v>
      </c>
    </row>
    <row r="1300">
      <c r="A1300" s="56" t="s">
        <v>9728</v>
      </c>
      <c r="B1300" s="21"/>
      <c r="C1300" s="33" t="s">
        <v>9718</v>
      </c>
      <c r="E1300" s="46" t="s">
        <v>7618</v>
      </c>
    </row>
    <row r="1301">
      <c r="A1301" s="56" t="s">
        <v>9729</v>
      </c>
      <c r="B1301" s="21"/>
      <c r="C1301" s="33" t="s">
        <v>9730</v>
      </c>
      <c r="E1301" s="46" t="s">
        <v>7616</v>
      </c>
    </row>
    <row r="1302">
      <c r="A1302" s="56" t="s">
        <v>9731</v>
      </c>
      <c r="B1302" s="21"/>
      <c r="C1302" s="33" t="s">
        <v>9730</v>
      </c>
      <c r="E1302" s="46" t="s">
        <v>7618</v>
      </c>
    </row>
    <row r="1303">
      <c r="A1303" s="56" t="s">
        <v>9732</v>
      </c>
      <c r="B1303" s="21"/>
      <c r="C1303" s="33" t="s">
        <v>9733</v>
      </c>
      <c r="E1303" s="46" t="s">
        <v>7616</v>
      </c>
    </row>
    <row r="1304">
      <c r="A1304" s="56" t="s">
        <v>9735</v>
      </c>
      <c r="B1304" s="21"/>
      <c r="C1304" s="33" t="s">
        <v>9733</v>
      </c>
      <c r="E1304" s="46" t="s">
        <v>7618</v>
      </c>
    </row>
    <row r="1305">
      <c r="A1305" s="56" t="s">
        <v>9736</v>
      </c>
      <c r="B1305" s="21"/>
      <c r="C1305" s="33" t="s">
        <v>9737</v>
      </c>
      <c r="E1305" s="46" t="s">
        <v>7616</v>
      </c>
    </row>
    <row r="1306">
      <c r="A1306" s="56" t="s">
        <v>9738</v>
      </c>
      <c r="B1306" s="21"/>
      <c r="C1306" s="33" t="s">
        <v>9737</v>
      </c>
      <c r="E1306" s="46" t="s">
        <v>7618</v>
      </c>
    </row>
    <row r="1307">
      <c r="A1307" s="56" t="s">
        <v>9739</v>
      </c>
      <c r="B1307" s="21"/>
      <c r="C1307" s="33" t="s">
        <v>9730</v>
      </c>
      <c r="E1307" s="46" t="s">
        <v>7616</v>
      </c>
    </row>
    <row r="1308">
      <c r="A1308" s="56" t="s">
        <v>9740</v>
      </c>
      <c r="B1308" s="21"/>
      <c r="C1308" s="33" t="s">
        <v>9730</v>
      </c>
      <c r="E1308" s="46" t="s">
        <v>7618</v>
      </c>
    </row>
    <row r="1309">
      <c r="A1309" s="56" t="s">
        <v>9742</v>
      </c>
      <c r="B1309" s="21"/>
      <c r="C1309" s="33" t="s">
        <v>9733</v>
      </c>
      <c r="E1309" s="46" t="s">
        <v>7616</v>
      </c>
    </row>
    <row r="1310">
      <c r="A1310" s="56" t="s">
        <v>9743</v>
      </c>
      <c r="B1310" s="21"/>
      <c r="C1310" s="33" t="s">
        <v>9733</v>
      </c>
      <c r="E1310" s="46" t="s">
        <v>7618</v>
      </c>
    </row>
    <row r="1311">
      <c r="A1311" s="56" t="s">
        <v>9744</v>
      </c>
      <c r="B1311" s="21"/>
      <c r="C1311" s="33" t="s">
        <v>9737</v>
      </c>
      <c r="E1311" s="46" t="s">
        <v>7616</v>
      </c>
    </row>
    <row r="1312">
      <c r="A1312" s="56" t="s">
        <v>9746</v>
      </c>
      <c r="B1312" s="21"/>
      <c r="C1312" s="33" t="s">
        <v>9737</v>
      </c>
      <c r="E1312" s="46" t="s">
        <v>7618</v>
      </c>
    </row>
    <row r="1313">
      <c r="A1313" s="56" t="s">
        <v>9747</v>
      </c>
      <c r="B1313" s="82"/>
      <c r="C1313" s="33" t="s">
        <v>9748</v>
      </c>
      <c r="E1313" s="46" t="s">
        <v>3366</v>
      </c>
    </row>
    <row r="1314">
      <c r="A1314" s="56" t="s">
        <v>9750</v>
      </c>
      <c r="B1314" s="82"/>
      <c r="C1314" s="33" t="s">
        <v>9751</v>
      </c>
      <c r="E1314" s="46" t="s">
        <v>3366</v>
      </c>
    </row>
    <row r="1315">
      <c r="A1315" s="56" t="s">
        <v>9752</v>
      </c>
      <c r="B1315" s="82"/>
      <c r="C1315" s="33" t="s">
        <v>9753</v>
      </c>
      <c r="E1315" s="46" t="s">
        <v>3366</v>
      </c>
    </row>
    <row r="1316">
      <c r="A1316" s="56" t="s">
        <v>9754</v>
      </c>
      <c r="B1316" s="82"/>
      <c r="C1316" s="33" t="s">
        <v>9755</v>
      </c>
      <c r="E1316" s="46" t="s">
        <v>3366</v>
      </c>
    </row>
    <row r="1317">
      <c r="A1317" s="56" t="s">
        <v>9756</v>
      </c>
      <c r="B1317" s="82"/>
      <c r="C1317" s="33" t="s">
        <v>9757</v>
      </c>
      <c r="E1317" s="46" t="s">
        <v>3366</v>
      </c>
    </row>
    <row r="1318">
      <c r="A1318" s="56" t="s">
        <v>9758</v>
      </c>
      <c r="B1318" s="55"/>
      <c r="C1318" s="31"/>
      <c r="E1318" s="46" t="s">
        <v>3366</v>
      </c>
    </row>
    <row r="1319">
      <c r="A1319" s="56" t="s">
        <v>9759</v>
      </c>
      <c r="B1319" s="55"/>
      <c r="C1319" s="31"/>
      <c r="E1319" s="46" t="s">
        <v>3366</v>
      </c>
    </row>
    <row r="1320">
      <c r="A1320" s="56" t="s">
        <v>9760</v>
      </c>
      <c r="B1320" s="55"/>
      <c r="C1320" s="31"/>
      <c r="E1320" s="46" t="s">
        <v>3366</v>
      </c>
    </row>
    <row r="1321">
      <c r="A1321" s="56" t="s">
        <v>9761</v>
      </c>
      <c r="B1321" s="55"/>
      <c r="C1321" s="31"/>
      <c r="E1321" s="46" t="s">
        <v>3366</v>
      </c>
    </row>
    <row r="1322">
      <c r="A1322" s="56" t="s">
        <v>9764</v>
      </c>
      <c r="B1322" s="55"/>
      <c r="C1322" s="31"/>
      <c r="E1322" s="46" t="s">
        <v>3366</v>
      </c>
    </row>
    <row r="1323">
      <c r="A1323" s="56" t="s">
        <v>9765</v>
      </c>
      <c r="B1323" s="55"/>
      <c r="C1323" s="31"/>
      <c r="E1323" s="46" t="s">
        <v>3366</v>
      </c>
    </row>
    <row r="1324">
      <c r="A1324" s="56" t="s">
        <v>9766</v>
      </c>
      <c r="B1324" s="55"/>
      <c r="C1324" s="31"/>
      <c r="E1324" s="46" t="s">
        <v>3366</v>
      </c>
    </row>
    <row r="1325">
      <c r="A1325" s="56" t="s">
        <v>9767</v>
      </c>
      <c r="B1325" s="55"/>
      <c r="C1325" s="31"/>
      <c r="E1325" s="46" t="s">
        <v>3366</v>
      </c>
    </row>
    <row r="1326">
      <c r="A1326" s="56" t="s">
        <v>9769</v>
      </c>
      <c r="B1326" s="55"/>
      <c r="C1326" s="31"/>
      <c r="E1326" s="46" t="s">
        <v>3366</v>
      </c>
    </row>
    <row r="1327">
      <c r="A1327" s="56" t="s">
        <v>9770</v>
      </c>
      <c r="B1327" s="55"/>
      <c r="C1327" s="31"/>
      <c r="E1327" s="46" t="s">
        <v>3366</v>
      </c>
    </row>
    <row r="1328">
      <c r="A1328" s="56" t="s">
        <v>9771</v>
      </c>
      <c r="B1328" s="55"/>
      <c r="C1328" s="31"/>
      <c r="E1328" s="46" t="s">
        <v>3366</v>
      </c>
    </row>
    <row r="1329">
      <c r="A1329" s="56" t="s">
        <v>9772</v>
      </c>
      <c r="B1329" s="55"/>
      <c r="C1329" s="31"/>
      <c r="E1329" s="46" t="s">
        <v>3366</v>
      </c>
    </row>
    <row r="1330">
      <c r="A1330" s="56" t="s">
        <v>9773</v>
      </c>
      <c r="B1330" s="55"/>
      <c r="C1330" s="31"/>
      <c r="E1330" s="46" t="s">
        <v>3366</v>
      </c>
    </row>
    <row r="1331">
      <c r="A1331" s="56" t="s">
        <v>9775</v>
      </c>
      <c r="B1331" s="55"/>
      <c r="C1331" s="31"/>
      <c r="E1331" s="46" t="s">
        <v>3366</v>
      </c>
    </row>
    <row r="1332">
      <c r="A1332" s="56" t="s">
        <v>9777</v>
      </c>
      <c r="B1332" s="55"/>
      <c r="C1332" s="31"/>
      <c r="E1332" s="46" t="s">
        <v>3366</v>
      </c>
    </row>
    <row r="1333">
      <c r="A1333" s="56" t="s">
        <v>9778</v>
      </c>
      <c r="B1333" s="55"/>
      <c r="C1333" s="31"/>
      <c r="E1333" s="46" t="s">
        <v>3366</v>
      </c>
    </row>
    <row r="1334">
      <c r="A1334" s="56" t="s">
        <v>9781</v>
      </c>
      <c r="B1334" s="55"/>
      <c r="C1334" s="31"/>
      <c r="E1334" s="46" t="s">
        <v>3366</v>
      </c>
    </row>
    <row r="1335">
      <c r="A1335" s="56" t="s">
        <v>9782</v>
      </c>
      <c r="B1335" s="55"/>
      <c r="C1335" s="31"/>
      <c r="E1335" s="46" t="s">
        <v>3366</v>
      </c>
    </row>
    <row r="1336">
      <c r="A1336" s="56" t="s">
        <v>9783</v>
      </c>
      <c r="B1336" s="82"/>
      <c r="C1336" s="33" t="s">
        <v>9784</v>
      </c>
      <c r="E1336" s="46" t="s">
        <v>7609</v>
      </c>
    </row>
    <row r="1337">
      <c r="A1337" s="56" t="s">
        <v>9785</v>
      </c>
      <c r="B1337" s="21"/>
      <c r="C1337" s="33" t="s">
        <v>9786</v>
      </c>
      <c r="E1337" s="46" t="s">
        <v>7616</v>
      </c>
    </row>
    <row r="1338">
      <c r="A1338" s="56" t="s">
        <v>9787</v>
      </c>
      <c r="B1338" s="21"/>
      <c r="C1338" s="33" t="s">
        <v>9786</v>
      </c>
      <c r="E1338" s="46" t="s">
        <v>7618</v>
      </c>
    </row>
    <row r="1339">
      <c r="A1339" s="56" t="s">
        <v>9789</v>
      </c>
      <c r="B1339" s="21"/>
      <c r="C1339" s="33" t="s">
        <v>9792</v>
      </c>
      <c r="E1339" s="46" t="s">
        <v>1348</v>
      </c>
    </row>
    <row r="1340">
      <c r="A1340" s="56" t="s">
        <v>9793</v>
      </c>
      <c r="B1340" s="21"/>
      <c r="C1340" s="33" t="s">
        <v>9794</v>
      </c>
      <c r="E1340" s="46" t="s">
        <v>7616</v>
      </c>
    </row>
    <row r="1341">
      <c r="A1341" s="56" t="s">
        <v>9796</v>
      </c>
      <c r="B1341" s="21"/>
      <c r="C1341" s="33" t="s">
        <v>9794</v>
      </c>
      <c r="E1341" s="46" t="s">
        <v>7618</v>
      </c>
    </row>
    <row r="1342">
      <c r="A1342" s="56" t="s">
        <v>9797</v>
      </c>
      <c r="B1342" s="21"/>
      <c r="C1342" s="33" t="s">
        <v>9792</v>
      </c>
      <c r="E1342" s="46" t="s">
        <v>1348</v>
      </c>
    </row>
    <row r="1343">
      <c r="A1343" s="56" t="s">
        <v>9798</v>
      </c>
      <c r="B1343" s="82"/>
      <c r="C1343" s="33" t="s">
        <v>9800</v>
      </c>
      <c r="E1343" s="46" t="s">
        <v>7616</v>
      </c>
    </row>
    <row r="1344">
      <c r="A1344" s="56" t="s">
        <v>9801</v>
      </c>
      <c r="B1344" s="82"/>
      <c r="C1344" s="33" t="s">
        <v>9800</v>
      </c>
      <c r="E1344" s="46" t="s">
        <v>7618</v>
      </c>
    </row>
    <row r="1345">
      <c r="A1345" s="56" t="s">
        <v>9802</v>
      </c>
      <c r="B1345" s="82"/>
      <c r="C1345" s="33" t="s">
        <v>9804</v>
      </c>
      <c r="E1345" s="46" t="s">
        <v>7616</v>
      </c>
    </row>
    <row r="1346">
      <c r="A1346" s="56" t="s">
        <v>9805</v>
      </c>
      <c r="B1346" s="82"/>
      <c r="C1346" s="33" t="s">
        <v>9804</v>
      </c>
      <c r="E1346" s="46" t="s">
        <v>7618</v>
      </c>
    </row>
    <row r="1347">
      <c r="A1347" s="56" t="s">
        <v>9806</v>
      </c>
      <c r="B1347" s="82"/>
      <c r="C1347" s="33" t="s">
        <v>9807</v>
      </c>
      <c r="E1347" s="46" t="s">
        <v>3366</v>
      </c>
    </row>
    <row r="1348">
      <c r="A1348" s="56" t="s">
        <v>9808</v>
      </c>
      <c r="B1348" s="82"/>
      <c r="C1348" s="33" t="s">
        <v>9809</v>
      </c>
      <c r="E1348" s="46" t="s">
        <v>7609</v>
      </c>
    </row>
    <row r="1349">
      <c r="A1349" s="56" t="s">
        <v>9810</v>
      </c>
      <c r="B1349" s="55"/>
      <c r="C1349" s="33" t="s">
        <v>9811</v>
      </c>
      <c r="E1349" s="46" t="s">
        <v>7616</v>
      </c>
    </row>
    <row r="1350">
      <c r="A1350" s="56" t="s">
        <v>9813</v>
      </c>
      <c r="B1350" s="55"/>
      <c r="C1350" s="31"/>
      <c r="E1350" s="46" t="s">
        <v>7618</v>
      </c>
    </row>
    <row r="1351">
      <c r="A1351" s="56" t="s">
        <v>9814</v>
      </c>
      <c r="B1351" s="55"/>
      <c r="C1351" s="31"/>
      <c r="E1351" s="46" t="s">
        <v>1348</v>
      </c>
    </row>
    <row r="1352">
      <c r="A1352" s="56" t="s">
        <v>9815</v>
      </c>
      <c r="B1352" s="55"/>
      <c r="C1352" s="31"/>
      <c r="E1352" s="46" t="s">
        <v>7616</v>
      </c>
    </row>
    <row r="1353">
      <c r="A1353" s="56" t="s">
        <v>9817</v>
      </c>
      <c r="B1353" s="55"/>
      <c r="C1353" s="31"/>
      <c r="E1353" s="46" t="s">
        <v>7618</v>
      </c>
    </row>
    <row r="1354">
      <c r="A1354" s="56" t="s">
        <v>9818</v>
      </c>
      <c r="B1354" s="55"/>
      <c r="C1354" s="31"/>
      <c r="E1354" s="46" t="s">
        <v>7616</v>
      </c>
    </row>
    <row r="1355">
      <c r="A1355" s="56" t="s">
        <v>9820</v>
      </c>
      <c r="B1355" s="55"/>
      <c r="C1355" s="31"/>
      <c r="E1355" s="46" t="s">
        <v>7618</v>
      </c>
    </row>
    <row r="1356">
      <c r="A1356" s="56" t="s">
        <v>9821</v>
      </c>
      <c r="B1356" s="55"/>
      <c r="C1356" s="31"/>
      <c r="E1356" s="46" t="s">
        <v>7616</v>
      </c>
    </row>
    <row r="1357">
      <c r="A1357" s="56" t="s">
        <v>9822</v>
      </c>
      <c r="B1357" s="55"/>
      <c r="C1357" s="31"/>
      <c r="E1357" s="46" t="s">
        <v>7618</v>
      </c>
    </row>
    <row r="1358">
      <c r="A1358" s="56" t="s">
        <v>9823</v>
      </c>
      <c r="B1358" s="55"/>
      <c r="C1358" s="31"/>
      <c r="E1358" s="46" t="s">
        <v>1348</v>
      </c>
    </row>
    <row r="1359">
      <c r="A1359" s="56" t="s">
        <v>9824</v>
      </c>
      <c r="B1359" s="55"/>
      <c r="C1359" s="31"/>
      <c r="E1359" s="46" t="s">
        <v>3366</v>
      </c>
    </row>
    <row r="1360">
      <c r="A1360" s="56" t="s">
        <v>9826</v>
      </c>
      <c r="B1360" s="55"/>
      <c r="C1360" s="31"/>
      <c r="E1360" s="46" t="s">
        <v>3366</v>
      </c>
    </row>
    <row r="1361">
      <c r="A1361" s="56" t="s">
        <v>9828</v>
      </c>
      <c r="B1361" s="55"/>
      <c r="C1361" s="31"/>
      <c r="E1361" s="46" t="s">
        <v>3366</v>
      </c>
    </row>
    <row r="1362">
      <c r="A1362" s="56" t="s">
        <v>9829</v>
      </c>
      <c r="B1362" s="55"/>
      <c r="C1362" s="31"/>
      <c r="E1362" s="46" t="s">
        <v>3366</v>
      </c>
    </row>
    <row r="1363">
      <c r="A1363" s="56" t="s">
        <v>9831</v>
      </c>
      <c r="B1363" s="55"/>
      <c r="C1363" s="31"/>
      <c r="E1363" s="46" t="s">
        <v>3366</v>
      </c>
    </row>
    <row r="1364">
      <c r="A1364" s="56" t="s">
        <v>9833</v>
      </c>
      <c r="B1364" s="55"/>
      <c r="C1364" s="31"/>
      <c r="E1364" s="46" t="s">
        <v>3366</v>
      </c>
    </row>
    <row r="1365">
      <c r="A1365" s="56" t="s">
        <v>9834</v>
      </c>
      <c r="B1365" s="55"/>
      <c r="C1365" s="31"/>
      <c r="E1365" s="46" t="s">
        <v>3366</v>
      </c>
    </row>
    <row r="1366">
      <c r="A1366" s="56" t="s">
        <v>9836</v>
      </c>
      <c r="B1366" s="82"/>
      <c r="C1366" s="33" t="s">
        <v>9837</v>
      </c>
      <c r="E1366" s="46" t="s">
        <v>7609</v>
      </c>
    </row>
    <row r="1367">
      <c r="A1367" s="56" t="s">
        <v>9838</v>
      </c>
      <c r="B1367" s="82"/>
      <c r="C1367" s="33" t="s">
        <v>9840</v>
      </c>
      <c r="E1367" s="46" t="s">
        <v>7616</v>
      </c>
    </row>
    <row r="1368">
      <c r="A1368" s="56" t="s">
        <v>9841</v>
      </c>
      <c r="B1368" s="82"/>
      <c r="C1368" s="33" t="s">
        <v>9840</v>
      </c>
      <c r="E1368" s="46" t="s">
        <v>7618</v>
      </c>
    </row>
    <row r="1369">
      <c r="A1369" s="56" t="s">
        <v>9842</v>
      </c>
      <c r="B1369" s="82"/>
      <c r="C1369" s="33" t="s">
        <v>9843</v>
      </c>
      <c r="E1369" s="46" t="s">
        <v>7616</v>
      </c>
    </row>
    <row r="1370">
      <c r="A1370" s="56" t="s">
        <v>9844</v>
      </c>
      <c r="B1370" s="82"/>
      <c r="C1370" s="33" t="s">
        <v>9843</v>
      </c>
      <c r="E1370" s="46" t="s">
        <v>7618</v>
      </c>
    </row>
    <row r="1371">
      <c r="A1371" s="56" t="s">
        <v>9846</v>
      </c>
      <c r="B1371" s="82"/>
      <c r="C1371" s="33" t="s">
        <v>9847</v>
      </c>
      <c r="E1371" s="46" t="s">
        <v>3366</v>
      </c>
    </row>
    <row r="1372">
      <c r="A1372" s="56" t="s">
        <v>9849</v>
      </c>
      <c r="B1372" s="79"/>
      <c r="C1372" s="33" t="s">
        <v>9851</v>
      </c>
      <c r="E1372" s="46" t="s">
        <v>7609</v>
      </c>
    </row>
    <row r="1373">
      <c r="A1373" s="56" t="s">
        <v>9852</v>
      </c>
      <c r="B1373" s="79"/>
      <c r="C1373" s="33" t="s">
        <v>9853</v>
      </c>
      <c r="E1373" s="46" t="s">
        <v>7616</v>
      </c>
    </row>
    <row r="1374">
      <c r="A1374" s="56" t="s">
        <v>9854</v>
      </c>
      <c r="B1374" s="79"/>
      <c r="C1374" s="33" t="s">
        <v>9853</v>
      </c>
      <c r="E1374" s="46" t="s">
        <v>7618</v>
      </c>
    </row>
    <row r="1375">
      <c r="A1375" s="56" t="s">
        <v>9856</v>
      </c>
      <c r="B1375" s="82"/>
      <c r="C1375" s="33" t="s">
        <v>9857</v>
      </c>
      <c r="E1375" s="46" t="s">
        <v>7609</v>
      </c>
      <c r="F1375" s="46" t="s">
        <v>9858</v>
      </c>
    </row>
    <row r="1376">
      <c r="A1376" s="56" t="s">
        <v>9859</v>
      </c>
      <c r="B1376" s="82"/>
      <c r="C1376" s="33" t="s">
        <v>9861</v>
      </c>
      <c r="E1376" s="46" t="s">
        <v>7616</v>
      </c>
    </row>
    <row r="1377">
      <c r="A1377" s="56" t="s">
        <v>9862</v>
      </c>
      <c r="B1377" s="82"/>
      <c r="C1377" s="33" t="s">
        <v>9861</v>
      </c>
      <c r="E1377" s="46" t="s">
        <v>7618</v>
      </c>
    </row>
    <row r="1378">
      <c r="A1378" s="56" t="s">
        <v>9863</v>
      </c>
      <c r="B1378" s="82"/>
      <c r="C1378" s="33" t="s">
        <v>9864</v>
      </c>
      <c r="E1378" s="46" t="s">
        <v>7616</v>
      </c>
    </row>
    <row r="1379">
      <c r="A1379" s="56" t="s">
        <v>9866</v>
      </c>
      <c r="B1379" s="82"/>
      <c r="C1379" s="33" t="s">
        <v>9864</v>
      </c>
      <c r="E1379" s="46" t="s">
        <v>7618</v>
      </c>
    </row>
    <row r="1380">
      <c r="A1380" s="56" t="s">
        <v>9867</v>
      </c>
      <c r="B1380" s="82"/>
      <c r="C1380" s="33" t="s">
        <v>9868</v>
      </c>
      <c r="E1380" s="46" t="s">
        <v>7616</v>
      </c>
    </row>
    <row r="1381">
      <c r="A1381" s="56" t="s">
        <v>9870</v>
      </c>
      <c r="B1381" s="82"/>
      <c r="C1381" s="33" t="s">
        <v>9868</v>
      </c>
      <c r="E1381" s="46" t="s">
        <v>7618</v>
      </c>
    </row>
    <row r="1382">
      <c r="A1382" s="56" t="s">
        <v>9872</v>
      </c>
      <c r="B1382" s="79"/>
      <c r="C1382" s="33" t="s">
        <v>9873</v>
      </c>
      <c r="E1382" s="46" t="s">
        <v>1348</v>
      </c>
    </row>
    <row r="1383">
      <c r="A1383" s="56" t="s">
        <v>9874</v>
      </c>
      <c r="B1383" s="79"/>
      <c r="C1383" s="33" t="s">
        <v>9873</v>
      </c>
      <c r="E1383" s="46" t="s">
        <v>1348</v>
      </c>
    </row>
    <row r="1384">
      <c r="A1384" s="56" t="s">
        <v>9875</v>
      </c>
      <c r="B1384" s="79"/>
      <c r="C1384" s="33" t="s">
        <v>9877</v>
      </c>
      <c r="E1384" s="46" t="s">
        <v>1348</v>
      </c>
    </row>
    <row r="1385">
      <c r="A1385" s="56" t="s">
        <v>9878</v>
      </c>
      <c r="B1385" s="21"/>
      <c r="C1385" s="33" t="s">
        <v>9879</v>
      </c>
      <c r="E1385" s="46" t="s">
        <v>7616</v>
      </c>
    </row>
    <row r="1386">
      <c r="A1386" s="56" t="s">
        <v>9880</v>
      </c>
      <c r="B1386" s="21"/>
      <c r="C1386" s="33" t="s">
        <v>9879</v>
      </c>
      <c r="E1386" s="46" t="s">
        <v>7618</v>
      </c>
    </row>
    <row r="1387">
      <c r="A1387" s="56" t="s">
        <v>9882</v>
      </c>
      <c r="B1387" s="21"/>
      <c r="C1387" s="33" t="s">
        <v>9883</v>
      </c>
      <c r="E1387" s="46" t="s">
        <v>7616</v>
      </c>
    </row>
    <row r="1388">
      <c r="A1388" s="56" t="s">
        <v>9885</v>
      </c>
      <c r="B1388" s="21"/>
      <c r="C1388" s="33" t="s">
        <v>9883</v>
      </c>
      <c r="E1388" s="46" t="s">
        <v>7618</v>
      </c>
    </row>
    <row r="1389">
      <c r="A1389" s="56" t="s">
        <v>9886</v>
      </c>
      <c r="B1389" s="21"/>
      <c r="C1389" s="33" t="s">
        <v>9887</v>
      </c>
      <c r="E1389" s="46" t="s">
        <v>7616</v>
      </c>
    </row>
    <row r="1390">
      <c r="A1390" s="56" t="s">
        <v>9888</v>
      </c>
      <c r="B1390" s="21"/>
      <c r="C1390" s="33" t="s">
        <v>9887</v>
      </c>
      <c r="E1390" s="46" t="s">
        <v>7618</v>
      </c>
    </row>
    <row r="1391">
      <c r="A1391" s="56" t="s">
        <v>9889</v>
      </c>
      <c r="B1391" s="21"/>
      <c r="C1391" s="33" t="s">
        <v>9879</v>
      </c>
      <c r="E1391" s="46" t="s">
        <v>7616</v>
      </c>
    </row>
    <row r="1392">
      <c r="A1392" s="56" t="s">
        <v>9890</v>
      </c>
      <c r="B1392" s="21"/>
      <c r="C1392" s="33" t="s">
        <v>9879</v>
      </c>
      <c r="E1392" s="46" t="s">
        <v>7618</v>
      </c>
    </row>
    <row r="1393">
      <c r="A1393" s="56" t="s">
        <v>9892</v>
      </c>
      <c r="B1393" s="21"/>
      <c r="C1393" s="33" t="s">
        <v>9883</v>
      </c>
      <c r="E1393" s="46" t="s">
        <v>7616</v>
      </c>
    </row>
    <row r="1394">
      <c r="A1394" s="56" t="s">
        <v>9895</v>
      </c>
      <c r="B1394" s="21"/>
      <c r="C1394" s="33" t="s">
        <v>9883</v>
      </c>
      <c r="E1394" s="46" t="s">
        <v>7618</v>
      </c>
    </row>
    <row r="1395">
      <c r="A1395" s="56" t="s">
        <v>9896</v>
      </c>
      <c r="B1395" s="21"/>
      <c r="C1395" s="33" t="s">
        <v>9887</v>
      </c>
      <c r="E1395" s="46" t="s">
        <v>7616</v>
      </c>
    </row>
    <row r="1396">
      <c r="A1396" s="56" t="s">
        <v>9897</v>
      </c>
      <c r="B1396" s="21"/>
      <c r="C1396" s="33" t="s">
        <v>9887</v>
      </c>
      <c r="E1396" s="46" t="s">
        <v>7618</v>
      </c>
    </row>
    <row r="1397">
      <c r="A1397" s="56" t="s">
        <v>9898</v>
      </c>
      <c r="B1397" s="21"/>
      <c r="C1397" s="33" t="s">
        <v>9899</v>
      </c>
      <c r="E1397" s="46" t="s">
        <v>7616</v>
      </c>
    </row>
    <row r="1398">
      <c r="A1398" s="56" t="s">
        <v>9901</v>
      </c>
      <c r="B1398" s="21"/>
      <c r="C1398" s="33" t="s">
        <v>9899</v>
      </c>
      <c r="E1398" s="46" t="s">
        <v>7618</v>
      </c>
    </row>
    <row r="1399">
      <c r="A1399" s="56" t="s">
        <v>9902</v>
      </c>
      <c r="B1399" s="21"/>
      <c r="C1399" s="33" t="s">
        <v>9903</v>
      </c>
      <c r="E1399" s="46" t="s">
        <v>7616</v>
      </c>
    </row>
    <row r="1400">
      <c r="A1400" s="56" t="s">
        <v>9904</v>
      </c>
      <c r="B1400" s="21"/>
      <c r="C1400" s="33" t="s">
        <v>9903</v>
      </c>
      <c r="E1400" s="46" t="s">
        <v>7618</v>
      </c>
    </row>
    <row r="1401">
      <c r="A1401" s="56" t="s">
        <v>9905</v>
      </c>
      <c r="B1401" s="21"/>
      <c r="C1401" s="33" t="s">
        <v>9907</v>
      </c>
      <c r="E1401" s="46" t="s">
        <v>7616</v>
      </c>
    </row>
    <row r="1402">
      <c r="A1402" s="56" t="s">
        <v>9908</v>
      </c>
      <c r="B1402" s="21"/>
      <c r="C1402" s="33" t="s">
        <v>9907</v>
      </c>
      <c r="E1402" s="46" t="s">
        <v>7618</v>
      </c>
    </row>
    <row r="1403">
      <c r="A1403" s="56" t="s">
        <v>9910</v>
      </c>
      <c r="B1403" s="21"/>
      <c r="C1403" s="33" t="s">
        <v>9899</v>
      </c>
      <c r="E1403" s="46" t="s">
        <v>7616</v>
      </c>
    </row>
    <row r="1404">
      <c r="A1404" s="56" t="s">
        <v>9911</v>
      </c>
      <c r="B1404" s="21"/>
      <c r="C1404" s="33" t="s">
        <v>9899</v>
      </c>
      <c r="E1404" s="46" t="s">
        <v>7618</v>
      </c>
    </row>
    <row r="1405">
      <c r="A1405" s="56" t="s">
        <v>9912</v>
      </c>
      <c r="B1405" s="21"/>
      <c r="C1405" s="33" t="s">
        <v>9903</v>
      </c>
      <c r="E1405" s="46" t="s">
        <v>7616</v>
      </c>
    </row>
    <row r="1406">
      <c r="A1406" s="56" t="s">
        <v>9913</v>
      </c>
      <c r="B1406" s="21"/>
      <c r="C1406" s="33" t="s">
        <v>9903</v>
      </c>
      <c r="E1406" s="46" t="s">
        <v>7618</v>
      </c>
    </row>
    <row r="1407">
      <c r="A1407" s="56" t="s">
        <v>9917</v>
      </c>
      <c r="B1407" s="21"/>
      <c r="C1407" s="33" t="s">
        <v>9907</v>
      </c>
      <c r="E1407" s="46" t="s">
        <v>7616</v>
      </c>
    </row>
    <row r="1408">
      <c r="A1408" s="56" t="s">
        <v>9918</v>
      </c>
      <c r="B1408" s="21"/>
      <c r="C1408" s="33" t="s">
        <v>9907</v>
      </c>
      <c r="E1408" s="46" t="s">
        <v>7618</v>
      </c>
    </row>
    <row r="1409">
      <c r="A1409" s="56" t="s">
        <v>9919</v>
      </c>
      <c r="B1409" s="82"/>
      <c r="C1409" s="33" t="s">
        <v>9920</v>
      </c>
      <c r="E1409" s="46" t="s">
        <v>7609</v>
      </c>
      <c r="F1409" s="46" t="s">
        <v>9921</v>
      </c>
    </row>
    <row r="1410">
      <c r="A1410" s="56" t="s">
        <v>9922</v>
      </c>
      <c r="B1410" s="82"/>
      <c r="C1410" s="33" t="s">
        <v>9923</v>
      </c>
      <c r="E1410" s="46" t="s">
        <v>7616</v>
      </c>
    </row>
    <row r="1411">
      <c r="A1411" s="56" t="s">
        <v>9925</v>
      </c>
      <c r="B1411" s="82"/>
      <c r="C1411" s="33" t="s">
        <v>9923</v>
      </c>
      <c r="E1411" s="46" t="s">
        <v>7618</v>
      </c>
    </row>
    <row r="1412">
      <c r="A1412" s="56" t="s">
        <v>9927</v>
      </c>
      <c r="B1412" s="82"/>
      <c r="C1412" s="33" t="s">
        <v>9928</v>
      </c>
      <c r="E1412" s="46" t="s">
        <v>7616</v>
      </c>
    </row>
    <row r="1413">
      <c r="A1413" s="56" t="s">
        <v>9929</v>
      </c>
      <c r="B1413" s="82"/>
      <c r="C1413" s="33" t="s">
        <v>9928</v>
      </c>
      <c r="E1413" s="46" t="s">
        <v>7618</v>
      </c>
    </row>
    <row r="1414">
      <c r="A1414" s="56" t="s">
        <v>9930</v>
      </c>
      <c r="B1414" s="82"/>
      <c r="C1414" s="33" t="s">
        <v>9932</v>
      </c>
      <c r="E1414" s="46" t="s">
        <v>7616</v>
      </c>
    </row>
    <row r="1415">
      <c r="A1415" s="56" t="s">
        <v>9934</v>
      </c>
      <c r="B1415" s="82"/>
      <c r="C1415" s="33" t="s">
        <v>9932</v>
      </c>
      <c r="E1415" s="46" t="s">
        <v>7618</v>
      </c>
    </row>
    <row r="1416">
      <c r="A1416" s="56" t="s">
        <v>9935</v>
      </c>
      <c r="B1416" s="79"/>
      <c r="C1416" s="33" t="s">
        <v>9936</v>
      </c>
      <c r="E1416" s="46" t="s">
        <v>1348</v>
      </c>
    </row>
    <row r="1417">
      <c r="A1417" s="56" t="s">
        <v>9937</v>
      </c>
      <c r="B1417" s="79"/>
      <c r="C1417" s="33" t="s">
        <v>9936</v>
      </c>
      <c r="E1417" s="46" t="s">
        <v>1348</v>
      </c>
    </row>
    <row r="1418">
      <c r="A1418" s="56" t="s">
        <v>9939</v>
      </c>
      <c r="B1418" s="21"/>
      <c r="C1418" s="33" t="s">
        <v>9940</v>
      </c>
      <c r="E1418" s="46" t="s">
        <v>7616</v>
      </c>
    </row>
    <row r="1419">
      <c r="A1419" s="56" t="s">
        <v>9942</v>
      </c>
      <c r="B1419" s="21"/>
      <c r="C1419" s="33" t="s">
        <v>9940</v>
      </c>
      <c r="E1419" s="46" t="s">
        <v>7618</v>
      </c>
    </row>
    <row r="1420">
      <c r="A1420" s="56" t="s">
        <v>9943</v>
      </c>
      <c r="B1420" s="21"/>
      <c r="C1420" s="33" t="s">
        <v>9944</v>
      </c>
      <c r="E1420" s="46" t="s">
        <v>7616</v>
      </c>
    </row>
    <row r="1421">
      <c r="A1421" s="56" t="s">
        <v>9945</v>
      </c>
      <c r="B1421" s="21"/>
      <c r="C1421" s="33" t="s">
        <v>9944</v>
      </c>
      <c r="E1421" s="46" t="s">
        <v>7618</v>
      </c>
    </row>
    <row r="1422">
      <c r="A1422" s="56" t="s">
        <v>9946</v>
      </c>
      <c r="B1422" s="21"/>
      <c r="C1422" s="33" t="s">
        <v>9947</v>
      </c>
      <c r="E1422" s="46" t="s">
        <v>7616</v>
      </c>
    </row>
    <row r="1423">
      <c r="A1423" s="56" t="s">
        <v>9949</v>
      </c>
      <c r="B1423" s="21"/>
      <c r="C1423" s="33" t="s">
        <v>9947</v>
      </c>
      <c r="E1423" s="46" t="s">
        <v>7618</v>
      </c>
    </row>
    <row r="1424">
      <c r="A1424" s="56" t="s">
        <v>9952</v>
      </c>
      <c r="B1424" s="21"/>
      <c r="C1424" s="33" t="s">
        <v>9940</v>
      </c>
      <c r="E1424" s="46" t="s">
        <v>7616</v>
      </c>
    </row>
    <row r="1425">
      <c r="A1425" s="56" t="s">
        <v>9953</v>
      </c>
      <c r="B1425" s="21"/>
      <c r="C1425" s="33" t="s">
        <v>9940</v>
      </c>
      <c r="E1425" s="46" t="s">
        <v>7618</v>
      </c>
    </row>
    <row r="1426">
      <c r="A1426" s="56" t="s">
        <v>9954</v>
      </c>
      <c r="B1426" s="21"/>
      <c r="C1426" s="33" t="s">
        <v>9944</v>
      </c>
      <c r="E1426" s="46" t="s">
        <v>7616</v>
      </c>
    </row>
    <row r="1427">
      <c r="A1427" s="56" t="s">
        <v>9955</v>
      </c>
      <c r="B1427" s="21"/>
      <c r="C1427" s="33" t="s">
        <v>9944</v>
      </c>
      <c r="E1427" s="46" t="s">
        <v>7618</v>
      </c>
    </row>
    <row r="1428">
      <c r="A1428" s="56" t="s">
        <v>9957</v>
      </c>
      <c r="B1428" s="21"/>
      <c r="C1428" s="33" t="s">
        <v>9947</v>
      </c>
      <c r="E1428" s="46" t="s">
        <v>7616</v>
      </c>
    </row>
    <row r="1429">
      <c r="A1429" s="56" t="s">
        <v>9959</v>
      </c>
      <c r="B1429" s="21"/>
      <c r="C1429" s="33" t="s">
        <v>9947</v>
      </c>
      <c r="E1429" s="46" t="s">
        <v>7618</v>
      </c>
    </row>
    <row r="1430">
      <c r="A1430" s="56" t="s">
        <v>9960</v>
      </c>
      <c r="B1430" s="21"/>
      <c r="C1430" s="33" t="s">
        <v>9961</v>
      </c>
      <c r="E1430" s="46" t="s">
        <v>7616</v>
      </c>
    </row>
    <row r="1431">
      <c r="A1431" s="56" t="s">
        <v>9962</v>
      </c>
      <c r="B1431" s="21"/>
      <c r="C1431" s="33" t="s">
        <v>9961</v>
      </c>
      <c r="E1431" s="46" t="s">
        <v>7618</v>
      </c>
    </row>
    <row r="1432">
      <c r="A1432" s="56" t="s">
        <v>9963</v>
      </c>
      <c r="B1432" s="21"/>
      <c r="C1432" s="33" t="s">
        <v>9964</v>
      </c>
      <c r="E1432" s="46" t="s">
        <v>7616</v>
      </c>
    </row>
    <row r="1433">
      <c r="A1433" s="56" t="s">
        <v>9965</v>
      </c>
      <c r="B1433" s="21"/>
      <c r="C1433" s="33" t="s">
        <v>9964</v>
      </c>
      <c r="E1433" s="46" t="s">
        <v>7618</v>
      </c>
    </row>
    <row r="1434">
      <c r="A1434" s="56" t="s">
        <v>9967</v>
      </c>
      <c r="B1434" s="21"/>
      <c r="C1434" s="33" t="s">
        <v>9969</v>
      </c>
      <c r="E1434" s="46" t="s">
        <v>7616</v>
      </c>
    </row>
    <row r="1435">
      <c r="A1435" s="56" t="s">
        <v>9970</v>
      </c>
      <c r="B1435" s="21"/>
      <c r="C1435" s="33" t="s">
        <v>9969</v>
      </c>
      <c r="E1435" s="46" t="s">
        <v>7618</v>
      </c>
    </row>
    <row r="1436">
      <c r="A1436" s="56" t="s">
        <v>9971</v>
      </c>
      <c r="B1436" s="21"/>
      <c r="C1436" s="33" t="s">
        <v>9961</v>
      </c>
      <c r="E1436" s="46" t="s">
        <v>7616</v>
      </c>
    </row>
    <row r="1437">
      <c r="A1437" s="56" t="s">
        <v>9975</v>
      </c>
      <c r="B1437" s="21"/>
      <c r="C1437" s="33" t="s">
        <v>9961</v>
      </c>
      <c r="E1437" s="46" t="s">
        <v>7618</v>
      </c>
    </row>
    <row r="1438">
      <c r="A1438" s="56" t="s">
        <v>9976</v>
      </c>
      <c r="B1438" s="21"/>
      <c r="C1438" s="33" t="s">
        <v>9964</v>
      </c>
      <c r="E1438" s="46" t="s">
        <v>7616</v>
      </c>
    </row>
    <row r="1439">
      <c r="A1439" s="56" t="s">
        <v>9978</v>
      </c>
      <c r="B1439" s="21"/>
      <c r="C1439" s="33" t="s">
        <v>9964</v>
      </c>
      <c r="E1439" s="46" t="s">
        <v>7618</v>
      </c>
    </row>
    <row r="1440">
      <c r="A1440" s="56" t="s">
        <v>9980</v>
      </c>
      <c r="B1440" s="21"/>
      <c r="C1440" s="33" t="s">
        <v>9969</v>
      </c>
      <c r="E1440" s="46" t="s">
        <v>7616</v>
      </c>
    </row>
    <row r="1441">
      <c r="A1441" s="56" t="s">
        <v>9983</v>
      </c>
      <c r="B1441" s="21"/>
      <c r="C1441" s="33" t="s">
        <v>9969</v>
      </c>
      <c r="E1441" s="46" t="s">
        <v>7618</v>
      </c>
    </row>
    <row r="1442">
      <c r="A1442" s="56" t="s">
        <v>9984</v>
      </c>
      <c r="B1442" s="82"/>
      <c r="C1442" s="33" t="s">
        <v>9985</v>
      </c>
      <c r="E1442" s="46" t="s">
        <v>7609</v>
      </c>
      <c r="F1442" s="46" t="s">
        <v>9986</v>
      </c>
    </row>
    <row r="1443">
      <c r="A1443" s="56" t="s">
        <v>9987</v>
      </c>
      <c r="B1443" s="82"/>
      <c r="C1443" s="33" t="s">
        <v>9988</v>
      </c>
      <c r="E1443" s="46" t="s">
        <v>7616</v>
      </c>
    </row>
    <row r="1444">
      <c r="A1444" s="56" t="s">
        <v>9989</v>
      </c>
      <c r="B1444" s="82"/>
      <c r="C1444" s="33" t="s">
        <v>9988</v>
      </c>
      <c r="E1444" s="46" t="s">
        <v>7618</v>
      </c>
    </row>
    <row r="1445">
      <c r="A1445" s="56" t="s">
        <v>9991</v>
      </c>
      <c r="B1445" s="82"/>
      <c r="C1445" s="33" t="s">
        <v>9992</v>
      </c>
      <c r="E1445" s="46" t="s">
        <v>7616</v>
      </c>
    </row>
    <row r="1446">
      <c r="A1446" s="56" t="s">
        <v>9993</v>
      </c>
      <c r="B1446" s="82"/>
      <c r="C1446" s="33" t="s">
        <v>9992</v>
      </c>
      <c r="E1446" s="46" t="s">
        <v>7618</v>
      </c>
    </row>
    <row r="1447">
      <c r="A1447" s="56" t="s">
        <v>9994</v>
      </c>
      <c r="B1447" s="82"/>
      <c r="C1447" s="33" t="s">
        <v>9995</v>
      </c>
      <c r="E1447" s="46" t="s">
        <v>7616</v>
      </c>
    </row>
    <row r="1448">
      <c r="A1448" s="56" t="s">
        <v>9996</v>
      </c>
      <c r="B1448" s="82"/>
      <c r="C1448" s="33" t="s">
        <v>9995</v>
      </c>
      <c r="E1448" s="46" t="s">
        <v>7618</v>
      </c>
    </row>
    <row r="1449">
      <c r="A1449" s="56" t="s">
        <v>9998</v>
      </c>
      <c r="B1449" s="79"/>
      <c r="C1449" s="33" t="s">
        <v>10000</v>
      </c>
      <c r="E1449" s="46" t="s">
        <v>1348</v>
      </c>
    </row>
    <row r="1450">
      <c r="A1450" s="56" t="s">
        <v>10001</v>
      </c>
      <c r="B1450" s="79"/>
      <c r="C1450" s="33" t="s">
        <v>10000</v>
      </c>
      <c r="E1450" s="46" t="s">
        <v>1348</v>
      </c>
    </row>
    <row r="1451">
      <c r="A1451" s="56" t="s">
        <v>10002</v>
      </c>
      <c r="B1451" s="79"/>
      <c r="C1451" s="33" t="s">
        <v>10003</v>
      </c>
      <c r="E1451" s="46" t="s">
        <v>1348</v>
      </c>
    </row>
    <row r="1452">
      <c r="A1452" s="56" t="s">
        <v>10004</v>
      </c>
      <c r="B1452" s="21"/>
      <c r="C1452" s="33" t="s">
        <v>10005</v>
      </c>
      <c r="E1452" s="46" t="s">
        <v>7616</v>
      </c>
    </row>
    <row r="1453">
      <c r="A1453" s="56" t="s">
        <v>10006</v>
      </c>
      <c r="B1453" s="21"/>
      <c r="C1453" s="33" t="s">
        <v>10005</v>
      </c>
      <c r="E1453" s="46" t="s">
        <v>7618</v>
      </c>
    </row>
    <row r="1454">
      <c r="A1454" s="56" t="s">
        <v>10008</v>
      </c>
      <c r="B1454" s="21"/>
      <c r="C1454" s="33" t="s">
        <v>10009</v>
      </c>
      <c r="E1454" s="46" t="s">
        <v>7616</v>
      </c>
    </row>
    <row r="1455">
      <c r="A1455" s="56" t="s">
        <v>10010</v>
      </c>
      <c r="B1455" s="21"/>
      <c r="C1455" s="33" t="s">
        <v>10009</v>
      </c>
      <c r="E1455" s="46" t="s">
        <v>7618</v>
      </c>
    </row>
    <row r="1456">
      <c r="A1456" s="56" t="s">
        <v>10011</v>
      </c>
      <c r="B1456" s="21"/>
      <c r="C1456" s="33" t="s">
        <v>10012</v>
      </c>
      <c r="E1456" s="46" t="s">
        <v>7616</v>
      </c>
    </row>
    <row r="1457">
      <c r="A1457" s="56" t="s">
        <v>10013</v>
      </c>
      <c r="B1457" s="21"/>
      <c r="C1457" s="33" t="s">
        <v>10012</v>
      </c>
      <c r="E1457" s="46" t="s">
        <v>7618</v>
      </c>
    </row>
    <row r="1458">
      <c r="A1458" s="56" t="s">
        <v>10016</v>
      </c>
      <c r="B1458" s="21"/>
      <c r="C1458" s="33" t="s">
        <v>10005</v>
      </c>
      <c r="E1458" s="46" t="s">
        <v>7616</v>
      </c>
    </row>
    <row r="1459">
      <c r="A1459" s="56" t="s">
        <v>10017</v>
      </c>
      <c r="B1459" s="21"/>
      <c r="C1459" s="33" t="s">
        <v>10005</v>
      </c>
      <c r="E1459" s="46" t="s">
        <v>7618</v>
      </c>
    </row>
    <row r="1460">
      <c r="A1460" s="56" t="s">
        <v>10018</v>
      </c>
      <c r="B1460" s="21"/>
      <c r="C1460" s="33" t="s">
        <v>10009</v>
      </c>
      <c r="E1460" s="46" t="s">
        <v>7616</v>
      </c>
    </row>
    <row r="1461">
      <c r="A1461" s="56" t="s">
        <v>10020</v>
      </c>
      <c r="B1461" s="21"/>
      <c r="C1461" s="33" t="s">
        <v>10009</v>
      </c>
      <c r="E1461" s="46" t="s">
        <v>7618</v>
      </c>
    </row>
    <row r="1462">
      <c r="A1462" s="56" t="s">
        <v>10021</v>
      </c>
      <c r="B1462" s="21"/>
      <c r="C1462" s="33" t="s">
        <v>10012</v>
      </c>
      <c r="E1462" s="46" t="s">
        <v>7616</v>
      </c>
    </row>
    <row r="1463">
      <c r="A1463" s="56" t="s">
        <v>10022</v>
      </c>
      <c r="B1463" s="21"/>
      <c r="C1463" s="33" t="s">
        <v>10012</v>
      </c>
      <c r="E1463" s="46" t="s">
        <v>7618</v>
      </c>
    </row>
    <row r="1464">
      <c r="A1464" s="56" t="s">
        <v>10023</v>
      </c>
      <c r="B1464" s="21"/>
      <c r="C1464" s="33" t="s">
        <v>10024</v>
      </c>
      <c r="E1464" s="46" t="s">
        <v>7616</v>
      </c>
    </row>
    <row r="1465">
      <c r="A1465" s="56" t="s">
        <v>10025</v>
      </c>
      <c r="B1465" s="21"/>
      <c r="C1465" s="33" t="s">
        <v>10024</v>
      </c>
      <c r="E1465" s="46" t="s">
        <v>7618</v>
      </c>
    </row>
    <row r="1466">
      <c r="A1466" s="56" t="s">
        <v>10028</v>
      </c>
      <c r="B1466" s="21"/>
      <c r="C1466" s="33" t="s">
        <v>10029</v>
      </c>
      <c r="E1466" s="46" t="s">
        <v>7616</v>
      </c>
    </row>
    <row r="1467">
      <c r="A1467" s="56" t="s">
        <v>10030</v>
      </c>
      <c r="B1467" s="21"/>
      <c r="C1467" s="33" t="s">
        <v>10029</v>
      </c>
      <c r="E1467" s="46" t="s">
        <v>7618</v>
      </c>
    </row>
    <row r="1468">
      <c r="A1468" s="56" t="s">
        <v>10031</v>
      </c>
      <c r="B1468" s="21"/>
      <c r="C1468" s="33" t="s">
        <v>10032</v>
      </c>
      <c r="E1468" s="46" t="s">
        <v>7616</v>
      </c>
    </row>
    <row r="1469">
      <c r="A1469" s="56" t="s">
        <v>10033</v>
      </c>
      <c r="B1469" s="21"/>
      <c r="C1469" s="33" t="s">
        <v>10032</v>
      </c>
      <c r="E1469" s="46" t="s">
        <v>7618</v>
      </c>
    </row>
    <row r="1470">
      <c r="A1470" s="56" t="s">
        <v>10035</v>
      </c>
      <c r="B1470" s="21"/>
      <c r="C1470" s="33" t="s">
        <v>10024</v>
      </c>
      <c r="E1470" s="46" t="s">
        <v>7616</v>
      </c>
    </row>
    <row r="1471">
      <c r="A1471" s="56" t="s">
        <v>10036</v>
      </c>
      <c r="B1471" s="21"/>
      <c r="C1471" s="33" t="s">
        <v>10024</v>
      </c>
      <c r="E1471" s="46" t="s">
        <v>7618</v>
      </c>
    </row>
    <row r="1472">
      <c r="A1472" s="56" t="s">
        <v>10037</v>
      </c>
      <c r="B1472" s="21"/>
      <c r="C1472" s="33" t="s">
        <v>10029</v>
      </c>
      <c r="E1472" s="46" t="s">
        <v>7616</v>
      </c>
    </row>
    <row r="1473">
      <c r="A1473" s="56" t="s">
        <v>10038</v>
      </c>
      <c r="B1473" s="21"/>
      <c r="C1473" s="33" t="s">
        <v>10029</v>
      </c>
      <c r="E1473" s="46" t="s">
        <v>7618</v>
      </c>
    </row>
    <row r="1474">
      <c r="A1474" s="56" t="s">
        <v>10039</v>
      </c>
      <c r="B1474" s="21"/>
      <c r="C1474" s="33" t="s">
        <v>10032</v>
      </c>
      <c r="E1474" s="46" t="s">
        <v>7616</v>
      </c>
    </row>
    <row r="1475">
      <c r="A1475" s="56" t="s">
        <v>10041</v>
      </c>
      <c r="B1475" s="21"/>
      <c r="C1475" s="33" t="s">
        <v>10032</v>
      </c>
      <c r="E1475" s="46" t="s">
        <v>7618</v>
      </c>
    </row>
    <row r="1476">
      <c r="A1476" s="56" t="s">
        <v>10043</v>
      </c>
      <c r="B1476" s="82"/>
      <c r="C1476" s="33" t="s">
        <v>10044</v>
      </c>
      <c r="E1476" s="46" t="s">
        <v>7609</v>
      </c>
      <c r="F1476" s="46" t="s">
        <v>10045</v>
      </c>
    </row>
    <row r="1477">
      <c r="A1477" s="56" t="s">
        <v>10046</v>
      </c>
      <c r="B1477" s="82"/>
      <c r="C1477" s="33" t="s">
        <v>7680</v>
      </c>
      <c r="E1477" s="46" t="s">
        <v>7616</v>
      </c>
    </row>
    <row r="1478">
      <c r="A1478" s="56" t="s">
        <v>10047</v>
      </c>
      <c r="B1478" s="82"/>
      <c r="C1478" s="33" t="s">
        <v>7680</v>
      </c>
      <c r="E1478" s="46" t="s">
        <v>7618</v>
      </c>
    </row>
    <row r="1479">
      <c r="A1479" s="56" t="s">
        <v>10048</v>
      </c>
      <c r="B1479" s="82"/>
      <c r="C1479" s="33" t="s">
        <v>7684</v>
      </c>
      <c r="E1479" s="46" t="s">
        <v>7616</v>
      </c>
    </row>
    <row r="1480">
      <c r="A1480" s="56" t="s">
        <v>10050</v>
      </c>
      <c r="B1480" s="82"/>
      <c r="C1480" s="33" t="s">
        <v>7684</v>
      </c>
      <c r="E1480" s="46" t="s">
        <v>7618</v>
      </c>
    </row>
    <row r="1481">
      <c r="A1481" s="56" t="s">
        <v>10051</v>
      </c>
      <c r="B1481" s="82"/>
      <c r="C1481" s="33" t="s">
        <v>7397</v>
      </c>
      <c r="E1481" s="46" t="s">
        <v>7616</v>
      </c>
    </row>
    <row r="1482">
      <c r="A1482" s="56" t="s">
        <v>10052</v>
      </c>
      <c r="B1482" s="82"/>
      <c r="C1482" s="33" t="s">
        <v>7397</v>
      </c>
      <c r="E1482" s="46" t="s">
        <v>7618</v>
      </c>
    </row>
    <row r="1483">
      <c r="A1483" s="56" t="s">
        <v>10053</v>
      </c>
      <c r="B1483" s="79"/>
      <c r="C1483" s="33" t="s">
        <v>7689</v>
      </c>
      <c r="E1483" s="46" t="s">
        <v>1348</v>
      </c>
    </row>
    <row r="1484">
      <c r="A1484" s="56" t="s">
        <v>10054</v>
      </c>
      <c r="B1484" s="79"/>
      <c r="C1484" s="33" t="s">
        <v>7689</v>
      </c>
      <c r="E1484" s="46" t="s">
        <v>1348</v>
      </c>
    </row>
    <row r="1485">
      <c r="A1485" s="56" t="s">
        <v>10057</v>
      </c>
      <c r="B1485" s="79"/>
      <c r="C1485" s="33" t="s">
        <v>7694</v>
      </c>
      <c r="E1485" s="46" t="s">
        <v>1348</v>
      </c>
    </row>
    <row r="1486">
      <c r="A1486" s="56" t="s">
        <v>10058</v>
      </c>
      <c r="B1486" s="82"/>
      <c r="C1486" s="33" t="s">
        <v>7697</v>
      </c>
      <c r="E1486" s="46" t="s">
        <v>7616</v>
      </c>
    </row>
    <row r="1487">
      <c r="A1487" s="56" t="s">
        <v>10059</v>
      </c>
      <c r="B1487" s="82"/>
      <c r="C1487" s="33" t="s">
        <v>7697</v>
      </c>
      <c r="E1487" s="46" t="s">
        <v>7618</v>
      </c>
    </row>
    <row r="1488">
      <c r="A1488" s="56" t="s">
        <v>10060</v>
      </c>
      <c r="B1488" s="21"/>
      <c r="C1488" s="33" t="s">
        <v>7700</v>
      </c>
      <c r="E1488" s="46" t="s">
        <v>7616</v>
      </c>
    </row>
    <row r="1489">
      <c r="A1489" s="56" t="s">
        <v>10062</v>
      </c>
      <c r="B1489" s="21"/>
      <c r="C1489" s="33" t="s">
        <v>7700</v>
      </c>
      <c r="E1489" s="46" t="s">
        <v>7618</v>
      </c>
    </row>
    <row r="1490">
      <c r="A1490" s="56" t="s">
        <v>10063</v>
      </c>
      <c r="B1490" s="21"/>
      <c r="C1490" s="33" t="s">
        <v>7707</v>
      </c>
      <c r="E1490" s="46" t="s">
        <v>7616</v>
      </c>
    </row>
    <row r="1491">
      <c r="A1491" s="56" t="s">
        <v>10064</v>
      </c>
      <c r="B1491" s="21"/>
      <c r="C1491" s="33" t="s">
        <v>7707</v>
      </c>
      <c r="E1491" s="46" t="s">
        <v>7618</v>
      </c>
    </row>
    <row r="1492">
      <c r="A1492" s="56" t="s">
        <v>10065</v>
      </c>
      <c r="B1492" s="21"/>
      <c r="C1492" s="33" t="s">
        <v>7712</v>
      </c>
      <c r="E1492" s="46" t="s">
        <v>7616</v>
      </c>
    </row>
    <row r="1493">
      <c r="A1493" s="56" t="s">
        <v>10066</v>
      </c>
      <c r="B1493" s="21"/>
      <c r="C1493" s="33" t="s">
        <v>7712</v>
      </c>
      <c r="E1493" s="46" t="s">
        <v>7618</v>
      </c>
    </row>
    <row r="1494">
      <c r="A1494" s="56" t="s">
        <v>10069</v>
      </c>
      <c r="B1494" s="21"/>
      <c r="C1494" s="33" t="s">
        <v>7700</v>
      </c>
      <c r="E1494" s="46" t="s">
        <v>7616</v>
      </c>
    </row>
    <row r="1495">
      <c r="A1495" s="56" t="s">
        <v>10070</v>
      </c>
      <c r="B1495" s="21"/>
      <c r="C1495" s="33" t="s">
        <v>7700</v>
      </c>
      <c r="E1495" s="46" t="s">
        <v>7618</v>
      </c>
    </row>
    <row r="1496">
      <c r="A1496" s="56" t="s">
        <v>10071</v>
      </c>
      <c r="B1496" s="21"/>
      <c r="C1496" s="33" t="s">
        <v>7707</v>
      </c>
      <c r="E1496" s="46" t="s">
        <v>7616</v>
      </c>
    </row>
    <row r="1497">
      <c r="A1497" s="56" t="s">
        <v>10072</v>
      </c>
      <c r="B1497" s="21"/>
      <c r="C1497" s="33" t="s">
        <v>7707</v>
      </c>
      <c r="E1497" s="46" t="s">
        <v>7618</v>
      </c>
    </row>
    <row r="1498">
      <c r="A1498" s="56" t="s">
        <v>10074</v>
      </c>
      <c r="B1498" s="21"/>
      <c r="C1498" s="33" t="s">
        <v>7712</v>
      </c>
      <c r="E1498" s="46" t="s">
        <v>7616</v>
      </c>
    </row>
    <row r="1499">
      <c r="A1499" s="56" t="s">
        <v>10075</v>
      </c>
      <c r="B1499" s="21"/>
      <c r="C1499" s="33" t="s">
        <v>7712</v>
      </c>
      <c r="E1499" s="46" t="s">
        <v>7618</v>
      </c>
    </row>
    <row r="1500">
      <c r="A1500" s="56" t="s">
        <v>10076</v>
      </c>
      <c r="B1500" s="21"/>
      <c r="C1500" s="33" t="s">
        <v>7723</v>
      </c>
      <c r="E1500" s="46" t="s">
        <v>7616</v>
      </c>
    </row>
    <row r="1501">
      <c r="A1501" s="56" t="s">
        <v>10080</v>
      </c>
      <c r="B1501" s="21"/>
      <c r="C1501" s="33" t="s">
        <v>7723</v>
      </c>
      <c r="E1501" s="46" t="s">
        <v>7618</v>
      </c>
    </row>
    <row r="1502">
      <c r="A1502" s="56" t="s">
        <v>10081</v>
      </c>
      <c r="B1502" s="21"/>
      <c r="C1502" s="33" t="s">
        <v>7726</v>
      </c>
      <c r="E1502" s="46" t="s">
        <v>7616</v>
      </c>
    </row>
    <row r="1503">
      <c r="A1503" s="56" t="s">
        <v>10082</v>
      </c>
      <c r="B1503" s="21"/>
      <c r="C1503" s="33" t="s">
        <v>7726</v>
      </c>
      <c r="E1503" s="46" t="s">
        <v>7618</v>
      </c>
    </row>
    <row r="1504">
      <c r="A1504" s="56" t="s">
        <v>10083</v>
      </c>
      <c r="B1504" s="21"/>
      <c r="C1504" s="33" t="s">
        <v>7452</v>
      </c>
      <c r="E1504" s="46" t="s">
        <v>7616</v>
      </c>
    </row>
    <row r="1505">
      <c r="A1505" s="56" t="s">
        <v>10084</v>
      </c>
      <c r="B1505" s="21"/>
      <c r="C1505" s="33" t="s">
        <v>7452</v>
      </c>
      <c r="E1505" s="46" t="s">
        <v>7618</v>
      </c>
    </row>
    <row r="1506">
      <c r="A1506" s="56" t="s">
        <v>10086</v>
      </c>
      <c r="B1506" s="21"/>
      <c r="C1506" s="33" t="s">
        <v>7723</v>
      </c>
      <c r="E1506" s="46" t="s">
        <v>7616</v>
      </c>
    </row>
    <row r="1507">
      <c r="A1507" s="56" t="s">
        <v>10087</v>
      </c>
      <c r="B1507" s="21"/>
      <c r="C1507" s="33" t="s">
        <v>7723</v>
      </c>
      <c r="E1507" s="46" t="s">
        <v>7618</v>
      </c>
    </row>
    <row r="1508">
      <c r="A1508" s="56" t="s">
        <v>10088</v>
      </c>
      <c r="B1508" s="21"/>
      <c r="C1508" s="33" t="s">
        <v>7726</v>
      </c>
      <c r="E1508" s="46" t="s">
        <v>7616</v>
      </c>
    </row>
    <row r="1509">
      <c r="A1509" s="56" t="s">
        <v>10089</v>
      </c>
      <c r="B1509" s="21"/>
      <c r="C1509" s="33" t="s">
        <v>7726</v>
      </c>
      <c r="E1509" s="46" t="s">
        <v>7618</v>
      </c>
    </row>
    <row r="1510">
      <c r="A1510" s="56" t="s">
        <v>10090</v>
      </c>
      <c r="B1510" s="21"/>
      <c r="C1510" s="33" t="s">
        <v>7452</v>
      </c>
      <c r="E1510" s="46" t="s">
        <v>7616</v>
      </c>
    </row>
    <row r="1511">
      <c r="A1511" s="56" t="s">
        <v>10093</v>
      </c>
      <c r="B1511" s="21"/>
      <c r="C1511" s="33" t="s">
        <v>7452</v>
      </c>
      <c r="E1511" s="46" t="s">
        <v>7618</v>
      </c>
    </row>
    <row r="1512">
      <c r="A1512" s="56" t="s">
        <v>10094</v>
      </c>
      <c r="B1512" s="82"/>
      <c r="C1512" s="33" t="s">
        <v>10095</v>
      </c>
      <c r="E1512" s="46" t="s">
        <v>3366</v>
      </c>
    </row>
    <row r="1513">
      <c r="A1513" s="56" t="s">
        <v>10096</v>
      </c>
      <c r="B1513" s="82"/>
      <c r="C1513" s="33" t="s">
        <v>10097</v>
      </c>
      <c r="E1513" s="46" t="s">
        <v>7609</v>
      </c>
      <c r="F1513" s="46" t="s">
        <v>10098</v>
      </c>
    </row>
    <row r="1514">
      <c r="A1514" s="56" t="s">
        <v>10099</v>
      </c>
      <c r="B1514" s="82"/>
      <c r="C1514" s="33" t="s">
        <v>7889</v>
      </c>
      <c r="E1514" s="46" t="s">
        <v>7616</v>
      </c>
    </row>
    <row r="1515">
      <c r="A1515" s="56" t="s">
        <v>10101</v>
      </c>
      <c r="B1515" s="82"/>
      <c r="C1515" s="33" t="s">
        <v>7889</v>
      </c>
      <c r="E1515" s="46" t="s">
        <v>7618</v>
      </c>
    </row>
    <row r="1516">
      <c r="A1516" s="56" t="s">
        <v>10102</v>
      </c>
      <c r="B1516" s="82"/>
      <c r="C1516" s="33" t="s">
        <v>7893</v>
      </c>
      <c r="E1516" s="46" t="s">
        <v>7616</v>
      </c>
    </row>
    <row r="1517">
      <c r="A1517" s="56" t="s">
        <v>10103</v>
      </c>
      <c r="B1517" s="82"/>
      <c r="C1517" s="33" t="s">
        <v>7893</v>
      </c>
      <c r="E1517" s="46" t="s">
        <v>7618</v>
      </c>
    </row>
    <row r="1518">
      <c r="A1518" s="56" t="s">
        <v>10104</v>
      </c>
      <c r="B1518" s="82"/>
      <c r="C1518" s="33" t="s">
        <v>7898</v>
      </c>
      <c r="E1518" s="46" t="s">
        <v>7616</v>
      </c>
    </row>
    <row r="1519">
      <c r="A1519" s="56" t="s">
        <v>10107</v>
      </c>
      <c r="B1519" s="82"/>
      <c r="C1519" s="33" t="s">
        <v>7898</v>
      </c>
      <c r="E1519" s="46" t="s">
        <v>7618</v>
      </c>
    </row>
    <row r="1520">
      <c r="A1520" s="56" t="s">
        <v>10108</v>
      </c>
      <c r="B1520" s="79"/>
      <c r="C1520" s="33" t="s">
        <v>7901</v>
      </c>
      <c r="E1520" s="46" t="s">
        <v>1348</v>
      </c>
    </row>
    <row r="1521">
      <c r="A1521" s="56" t="s">
        <v>10109</v>
      </c>
      <c r="B1521" s="79"/>
      <c r="C1521" s="33" t="s">
        <v>7901</v>
      </c>
      <c r="E1521" s="46" t="s">
        <v>1348</v>
      </c>
    </row>
    <row r="1522">
      <c r="A1522" s="56" t="s">
        <v>10110</v>
      </c>
      <c r="B1522" s="79"/>
      <c r="C1522" s="33" t="s">
        <v>7905</v>
      </c>
      <c r="E1522" s="46" t="s">
        <v>1348</v>
      </c>
    </row>
    <row r="1523">
      <c r="A1523" s="56" t="s">
        <v>10112</v>
      </c>
      <c r="B1523" s="21"/>
      <c r="C1523" s="33" t="s">
        <v>7908</v>
      </c>
      <c r="E1523" s="46" t="s">
        <v>7616</v>
      </c>
    </row>
    <row r="1524">
      <c r="A1524" s="56" t="s">
        <v>10113</v>
      </c>
      <c r="B1524" s="21"/>
      <c r="C1524" s="33" t="s">
        <v>7908</v>
      </c>
      <c r="E1524" s="46" t="s">
        <v>7618</v>
      </c>
    </row>
    <row r="1525">
      <c r="A1525" s="56" t="s">
        <v>10114</v>
      </c>
      <c r="B1525" s="21"/>
      <c r="C1525" s="33" t="s">
        <v>7911</v>
      </c>
      <c r="E1525" s="46" t="s">
        <v>7616</v>
      </c>
    </row>
    <row r="1526">
      <c r="A1526" s="56" t="s">
        <v>10115</v>
      </c>
      <c r="B1526" s="21"/>
      <c r="C1526" s="33" t="s">
        <v>7911</v>
      </c>
      <c r="E1526" s="46" t="s">
        <v>7618</v>
      </c>
    </row>
    <row r="1527">
      <c r="A1527" s="56" t="s">
        <v>10116</v>
      </c>
      <c r="B1527" s="21"/>
      <c r="C1527" s="33" t="s">
        <v>7916</v>
      </c>
      <c r="E1527" s="46" t="s">
        <v>7616</v>
      </c>
    </row>
    <row r="1528">
      <c r="A1528" s="56" t="s">
        <v>10119</v>
      </c>
      <c r="B1528" s="21"/>
      <c r="C1528" s="33" t="s">
        <v>7916</v>
      </c>
      <c r="E1528" s="46" t="s">
        <v>7618</v>
      </c>
    </row>
    <row r="1529">
      <c r="A1529" s="56" t="s">
        <v>10120</v>
      </c>
      <c r="B1529" s="21"/>
      <c r="C1529" s="33" t="s">
        <v>7908</v>
      </c>
      <c r="E1529" s="46" t="s">
        <v>7616</v>
      </c>
    </row>
    <row r="1530">
      <c r="A1530" s="56" t="s">
        <v>10121</v>
      </c>
      <c r="B1530" s="21"/>
      <c r="C1530" s="33" t="s">
        <v>7908</v>
      </c>
      <c r="E1530" s="46" t="s">
        <v>7618</v>
      </c>
    </row>
    <row r="1531">
      <c r="A1531" s="56" t="s">
        <v>10122</v>
      </c>
      <c r="B1531" s="21"/>
      <c r="C1531" s="33" t="s">
        <v>7911</v>
      </c>
      <c r="E1531" s="46" t="s">
        <v>7616</v>
      </c>
    </row>
    <row r="1532">
      <c r="A1532" s="56" t="s">
        <v>10123</v>
      </c>
      <c r="B1532" s="21"/>
      <c r="C1532" s="33" t="s">
        <v>7911</v>
      </c>
      <c r="E1532" s="46" t="s">
        <v>7618</v>
      </c>
    </row>
    <row r="1533">
      <c r="A1533" s="56" t="s">
        <v>10125</v>
      </c>
      <c r="B1533" s="21"/>
      <c r="C1533" s="33" t="s">
        <v>7916</v>
      </c>
      <c r="E1533" s="46" t="s">
        <v>7616</v>
      </c>
    </row>
    <row r="1534">
      <c r="A1534" s="56" t="s">
        <v>10126</v>
      </c>
      <c r="B1534" s="21"/>
      <c r="C1534" s="33" t="s">
        <v>7916</v>
      </c>
      <c r="E1534" s="46" t="s">
        <v>7618</v>
      </c>
    </row>
    <row r="1535">
      <c r="A1535" s="56" t="s">
        <v>10127</v>
      </c>
      <c r="B1535" s="21"/>
      <c r="C1535" s="33" t="s">
        <v>7927</v>
      </c>
      <c r="E1535" s="46" t="s">
        <v>7616</v>
      </c>
    </row>
    <row r="1536">
      <c r="A1536" s="56" t="s">
        <v>10130</v>
      </c>
      <c r="B1536" s="21"/>
      <c r="C1536" s="33" t="s">
        <v>7927</v>
      </c>
      <c r="E1536" s="46" t="s">
        <v>7618</v>
      </c>
    </row>
    <row r="1537">
      <c r="A1537" s="56" t="s">
        <v>10131</v>
      </c>
      <c r="B1537" s="21"/>
      <c r="C1537" s="33" t="s">
        <v>7932</v>
      </c>
      <c r="E1537" s="46" t="s">
        <v>7616</v>
      </c>
    </row>
    <row r="1538">
      <c r="A1538" s="56" t="s">
        <v>10132</v>
      </c>
      <c r="B1538" s="21"/>
      <c r="C1538" s="33" t="s">
        <v>7932</v>
      </c>
      <c r="E1538" s="46" t="s">
        <v>7618</v>
      </c>
    </row>
    <row r="1539">
      <c r="A1539" s="56" t="s">
        <v>10133</v>
      </c>
      <c r="B1539" s="21"/>
      <c r="C1539" s="33" t="s">
        <v>7935</v>
      </c>
      <c r="E1539" s="46" t="s">
        <v>7616</v>
      </c>
    </row>
    <row r="1540">
      <c r="A1540" s="56" t="s">
        <v>10134</v>
      </c>
      <c r="B1540" s="21"/>
      <c r="C1540" s="33" t="s">
        <v>7935</v>
      </c>
      <c r="E1540" s="46" t="s">
        <v>7618</v>
      </c>
    </row>
    <row r="1541">
      <c r="A1541" s="56" t="s">
        <v>10136</v>
      </c>
      <c r="B1541" s="21"/>
      <c r="C1541" s="33" t="s">
        <v>7927</v>
      </c>
      <c r="E1541" s="46" t="s">
        <v>7616</v>
      </c>
    </row>
    <row r="1542">
      <c r="A1542" s="56" t="s">
        <v>10137</v>
      </c>
      <c r="B1542" s="21"/>
      <c r="C1542" s="33" t="s">
        <v>7927</v>
      </c>
      <c r="E1542" s="46" t="s">
        <v>7618</v>
      </c>
    </row>
    <row r="1543">
      <c r="A1543" s="56" t="s">
        <v>10138</v>
      </c>
      <c r="B1543" s="21"/>
      <c r="C1543" s="33" t="s">
        <v>7932</v>
      </c>
      <c r="E1543" s="46" t="s">
        <v>7616</v>
      </c>
    </row>
    <row r="1544">
      <c r="A1544" s="56" t="s">
        <v>10139</v>
      </c>
      <c r="B1544" s="21"/>
      <c r="C1544" s="33" t="s">
        <v>7932</v>
      </c>
      <c r="E1544" s="46" t="s">
        <v>7618</v>
      </c>
    </row>
    <row r="1545">
      <c r="A1545" s="56" t="s">
        <v>10142</v>
      </c>
      <c r="B1545" s="21"/>
      <c r="C1545" s="33" t="s">
        <v>7935</v>
      </c>
      <c r="E1545" s="46" t="s">
        <v>7616</v>
      </c>
    </row>
    <row r="1546">
      <c r="A1546" s="56" t="s">
        <v>10144</v>
      </c>
      <c r="B1546" s="21"/>
      <c r="C1546" s="33" t="s">
        <v>7935</v>
      </c>
      <c r="E1546" s="46" t="s">
        <v>7618</v>
      </c>
    </row>
    <row r="1547">
      <c r="A1547" s="56" t="s">
        <v>10145</v>
      </c>
      <c r="B1547" s="55"/>
      <c r="C1547" s="33" t="s">
        <v>1390</v>
      </c>
      <c r="E1547" s="46" t="s">
        <v>3366</v>
      </c>
    </row>
    <row r="1548">
      <c r="A1548" s="56" t="s">
        <v>10146</v>
      </c>
      <c r="B1548" s="55"/>
      <c r="C1548" s="33" t="s">
        <v>1390</v>
      </c>
      <c r="E1548" s="46" t="s">
        <v>3366</v>
      </c>
    </row>
    <row r="1549">
      <c r="A1549" s="56" t="s">
        <v>10147</v>
      </c>
      <c r="B1549" s="82"/>
      <c r="C1549" s="33" t="s">
        <v>10148</v>
      </c>
      <c r="F1549" s="46" t="s">
        <v>10149</v>
      </c>
    </row>
    <row r="1550">
      <c r="A1550" s="56" t="s">
        <v>10151</v>
      </c>
      <c r="B1550" s="82"/>
      <c r="C1550" s="33" t="s">
        <v>9690</v>
      </c>
      <c r="E1550" s="46" t="s">
        <v>7616</v>
      </c>
    </row>
    <row r="1551">
      <c r="A1551" s="56" t="s">
        <v>10152</v>
      </c>
      <c r="B1551" s="82"/>
      <c r="C1551" s="33" t="s">
        <v>9690</v>
      </c>
      <c r="E1551" s="46" t="s">
        <v>7618</v>
      </c>
    </row>
    <row r="1552">
      <c r="A1552" s="56" t="s">
        <v>10154</v>
      </c>
      <c r="B1552" s="82"/>
      <c r="C1552" s="33" t="s">
        <v>9694</v>
      </c>
      <c r="E1552" s="46" t="s">
        <v>7616</v>
      </c>
    </row>
    <row r="1553">
      <c r="A1553" s="56" t="s">
        <v>10155</v>
      </c>
      <c r="B1553" s="82"/>
      <c r="C1553" s="33" t="s">
        <v>9694</v>
      </c>
      <c r="E1553" s="46" t="s">
        <v>7618</v>
      </c>
    </row>
    <row r="1554">
      <c r="A1554" s="56" t="s">
        <v>10156</v>
      </c>
      <c r="B1554" s="82"/>
      <c r="C1554" s="33" t="s">
        <v>10158</v>
      </c>
      <c r="E1554" s="46" t="s">
        <v>7616</v>
      </c>
      <c r="F1554" s="46" t="s">
        <v>10160</v>
      </c>
    </row>
    <row r="1555">
      <c r="A1555" s="56" t="s">
        <v>10162</v>
      </c>
      <c r="B1555" s="82"/>
      <c r="C1555" s="33" t="s">
        <v>10158</v>
      </c>
      <c r="E1555" s="46" t="s">
        <v>7618</v>
      </c>
      <c r="F1555" s="46" t="s">
        <v>10160</v>
      </c>
    </row>
    <row r="1556">
      <c r="A1556" s="56" t="s">
        <v>10163</v>
      </c>
      <c r="B1556" s="82"/>
      <c r="C1556" s="33" t="s">
        <v>9698</v>
      </c>
      <c r="E1556" s="46" t="s">
        <v>7616</v>
      </c>
    </row>
    <row r="1557">
      <c r="A1557" s="56" t="s">
        <v>10164</v>
      </c>
      <c r="B1557" s="82"/>
      <c r="C1557" s="33" t="s">
        <v>9698</v>
      </c>
      <c r="E1557" s="46" t="s">
        <v>7618</v>
      </c>
    </row>
    <row r="1558">
      <c r="A1558" s="56" t="s">
        <v>10166</v>
      </c>
      <c r="B1558" s="79"/>
      <c r="C1558" s="33" t="s">
        <v>9701</v>
      </c>
      <c r="E1558" s="46" t="s">
        <v>1348</v>
      </c>
    </row>
    <row r="1559">
      <c r="A1559" s="56" t="s">
        <v>10167</v>
      </c>
      <c r="B1559" s="79"/>
      <c r="C1559" s="33" t="s">
        <v>9701</v>
      </c>
      <c r="E1559" s="46" t="s">
        <v>1348</v>
      </c>
    </row>
    <row r="1560">
      <c r="A1560" s="56" t="s">
        <v>10169</v>
      </c>
      <c r="B1560" s="79"/>
      <c r="C1560" s="33" t="s">
        <v>9705</v>
      </c>
      <c r="E1560" s="46" t="s">
        <v>1348</v>
      </c>
    </row>
    <row r="1561">
      <c r="A1561" s="56" t="s">
        <v>10170</v>
      </c>
      <c r="B1561" s="82"/>
      <c r="C1561" s="33" t="s">
        <v>9707</v>
      </c>
      <c r="E1561" s="46" t="s">
        <v>7616</v>
      </c>
    </row>
    <row r="1562">
      <c r="A1562" s="56" t="s">
        <v>10171</v>
      </c>
      <c r="B1562" s="82"/>
      <c r="C1562" s="33" t="s">
        <v>9707</v>
      </c>
      <c r="E1562" s="46" t="s">
        <v>7618</v>
      </c>
    </row>
    <row r="1563">
      <c r="A1563" s="56" t="s">
        <v>10174</v>
      </c>
      <c r="B1563" s="21"/>
      <c r="C1563" s="33" t="s">
        <v>9711</v>
      </c>
      <c r="E1563" s="46" t="s">
        <v>7616</v>
      </c>
    </row>
    <row r="1564">
      <c r="A1564" s="56" t="s">
        <v>10176</v>
      </c>
      <c r="B1564" s="21"/>
      <c r="C1564" s="33" t="s">
        <v>9711</v>
      </c>
      <c r="E1564" s="46" t="s">
        <v>7618</v>
      </c>
    </row>
    <row r="1565">
      <c r="A1565" s="56" t="s">
        <v>10177</v>
      </c>
      <c r="B1565" s="21"/>
      <c r="C1565" s="33" t="s">
        <v>9715</v>
      </c>
      <c r="E1565" s="46" t="s">
        <v>7616</v>
      </c>
    </row>
    <row r="1566">
      <c r="A1566" s="56" t="s">
        <v>10180</v>
      </c>
      <c r="B1566" s="21"/>
      <c r="C1566" s="33" t="s">
        <v>9715</v>
      </c>
      <c r="E1566" s="46" t="s">
        <v>7618</v>
      </c>
    </row>
    <row r="1567">
      <c r="A1567" s="56" t="s">
        <v>10183</v>
      </c>
      <c r="B1567" s="21"/>
      <c r="C1567" s="33" t="s">
        <v>9718</v>
      </c>
      <c r="E1567" s="46" t="s">
        <v>7616</v>
      </c>
    </row>
    <row r="1568">
      <c r="A1568" s="56" t="s">
        <v>10184</v>
      </c>
      <c r="B1568" s="21"/>
      <c r="C1568" s="33" t="s">
        <v>9718</v>
      </c>
      <c r="E1568" s="46" t="s">
        <v>7618</v>
      </c>
    </row>
    <row r="1569">
      <c r="A1569" s="56" t="s">
        <v>10185</v>
      </c>
      <c r="B1569" s="21"/>
      <c r="C1569" s="33" t="s">
        <v>9711</v>
      </c>
      <c r="E1569" s="46" t="s">
        <v>7616</v>
      </c>
    </row>
    <row r="1570">
      <c r="A1570" s="56" t="s">
        <v>10186</v>
      </c>
      <c r="B1570" s="21"/>
      <c r="C1570" s="33" t="s">
        <v>9711</v>
      </c>
      <c r="E1570" s="46" t="s">
        <v>7618</v>
      </c>
    </row>
    <row r="1571">
      <c r="A1571" s="56" t="s">
        <v>10190</v>
      </c>
      <c r="B1571" s="21"/>
      <c r="C1571" s="33" t="s">
        <v>9715</v>
      </c>
      <c r="E1571" s="46" t="s">
        <v>7616</v>
      </c>
    </row>
    <row r="1572">
      <c r="A1572" s="56" t="s">
        <v>10192</v>
      </c>
      <c r="B1572" s="21"/>
      <c r="C1572" s="33" t="s">
        <v>9715</v>
      </c>
      <c r="E1572" s="46" t="s">
        <v>7618</v>
      </c>
    </row>
    <row r="1573">
      <c r="A1573" s="56" t="s">
        <v>10194</v>
      </c>
      <c r="B1573" s="21"/>
      <c r="C1573" s="33" t="s">
        <v>9718</v>
      </c>
      <c r="E1573" s="46" t="s">
        <v>7616</v>
      </c>
    </row>
    <row r="1574">
      <c r="A1574" s="56" t="s">
        <v>10196</v>
      </c>
      <c r="B1574" s="21"/>
      <c r="C1574" s="33" t="s">
        <v>9718</v>
      </c>
      <c r="E1574" s="46" t="s">
        <v>7618</v>
      </c>
    </row>
    <row r="1575">
      <c r="A1575" s="56" t="s">
        <v>10197</v>
      </c>
      <c r="B1575" s="21"/>
      <c r="C1575" s="33" t="s">
        <v>9730</v>
      </c>
      <c r="E1575" s="46" t="s">
        <v>7616</v>
      </c>
    </row>
    <row r="1576">
      <c r="A1576" s="56" t="s">
        <v>10199</v>
      </c>
      <c r="B1576" s="21"/>
      <c r="C1576" s="33" t="s">
        <v>9730</v>
      </c>
      <c r="E1576" s="46" t="s">
        <v>7618</v>
      </c>
    </row>
    <row r="1577">
      <c r="A1577" s="56" t="s">
        <v>10200</v>
      </c>
      <c r="B1577" s="21"/>
      <c r="C1577" s="33" t="s">
        <v>9733</v>
      </c>
      <c r="E1577" s="46" t="s">
        <v>7616</v>
      </c>
    </row>
    <row r="1578">
      <c r="A1578" s="56" t="s">
        <v>10201</v>
      </c>
      <c r="B1578" s="21"/>
      <c r="C1578" s="33" t="s">
        <v>9733</v>
      </c>
      <c r="E1578" s="46" t="s">
        <v>7618</v>
      </c>
    </row>
    <row r="1579">
      <c r="A1579" s="56" t="s">
        <v>10203</v>
      </c>
      <c r="B1579" s="21"/>
      <c r="C1579" s="33" t="s">
        <v>9737</v>
      </c>
      <c r="E1579" s="46" t="s">
        <v>7616</v>
      </c>
    </row>
    <row r="1580">
      <c r="A1580" s="56" t="s">
        <v>10206</v>
      </c>
      <c r="B1580" s="21"/>
      <c r="C1580" s="33" t="s">
        <v>9737</v>
      </c>
      <c r="E1580" s="46" t="s">
        <v>7618</v>
      </c>
    </row>
    <row r="1581">
      <c r="A1581" s="56" t="s">
        <v>10207</v>
      </c>
      <c r="B1581" s="21"/>
      <c r="C1581" s="33" t="s">
        <v>9730</v>
      </c>
      <c r="E1581" s="46" t="s">
        <v>7616</v>
      </c>
    </row>
    <row r="1582">
      <c r="A1582" s="56" t="s">
        <v>10208</v>
      </c>
      <c r="B1582" s="21"/>
      <c r="C1582" s="33" t="s">
        <v>9730</v>
      </c>
      <c r="E1582" s="46" t="s">
        <v>7618</v>
      </c>
    </row>
    <row r="1583">
      <c r="A1583" s="56" t="s">
        <v>10209</v>
      </c>
      <c r="B1583" s="21"/>
      <c r="C1583" s="33" t="s">
        <v>9733</v>
      </c>
      <c r="E1583" s="46" t="s">
        <v>7616</v>
      </c>
    </row>
    <row r="1584">
      <c r="A1584" s="56" t="s">
        <v>10210</v>
      </c>
      <c r="B1584" s="21"/>
      <c r="C1584" s="33" t="s">
        <v>9733</v>
      </c>
      <c r="E1584" s="46" t="s">
        <v>7618</v>
      </c>
    </row>
    <row r="1585">
      <c r="A1585" s="56" t="s">
        <v>10214</v>
      </c>
      <c r="B1585" s="21"/>
      <c r="C1585" s="33" t="s">
        <v>9737</v>
      </c>
      <c r="E1585" s="46" t="s">
        <v>7616</v>
      </c>
    </row>
    <row r="1586">
      <c r="A1586" s="56" t="s">
        <v>10215</v>
      </c>
      <c r="B1586" s="21"/>
      <c r="C1586" s="33" t="s">
        <v>9737</v>
      </c>
      <c r="E1586" s="46" t="s">
        <v>7618</v>
      </c>
    </row>
    <row r="1587">
      <c r="A1587" s="56" t="s">
        <v>10219</v>
      </c>
      <c r="B1587" s="84"/>
      <c r="C1587" s="33" t="s">
        <v>1426</v>
      </c>
      <c r="E1587" s="46" t="s">
        <v>3366</v>
      </c>
    </row>
    <row r="1588">
      <c r="A1588" s="56" t="s">
        <v>10220</v>
      </c>
      <c r="B1588" s="82"/>
      <c r="C1588" s="33" t="s">
        <v>10221</v>
      </c>
      <c r="E1588" s="46" t="s">
        <v>7609</v>
      </c>
      <c r="F1588" s="46" t="s">
        <v>10224</v>
      </c>
    </row>
    <row r="1589">
      <c r="A1589" s="56" t="s">
        <v>10225</v>
      </c>
      <c r="B1589" s="82"/>
      <c r="C1589" s="33" t="s">
        <v>10226</v>
      </c>
      <c r="E1589" s="46" t="s">
        <v>7616</v>
      </c>
    </row>
    <row r="1590">
      <c r="A1590" s="56" t="s">
        <v>10228</v>
      </c>
      <c r="B1590" s="82"/>
      <c r="C1590" s="33" t="s">
        <v>10226</v>
      </c>
      <c r="E1590" s="46" t="s">
        <v>7618</v>
      </c>
    </row>
    <row r="1591">
      <c r="A1591" s="56" t="s">
        <v>10230</v>
      </c>
      <c r="B1591" s="82"/>
      <c r="C1591" s="33" t="s">
        <v>10231</v>
      </c>
      <c r="E1591" s="46" t="s">
        <v>7616</v>
      </c>
    </row>
    <row r="1592">
      <c r="A1592" s="56" t="s">
        <v>10233</v>
      </c>
      <c r="B1592" s="82"/>
      <c r="C1592" s="33" t="s">
        <v>10231</v>
      </c>
      <c r="E1592" s="46" t="s">
        <v>7618</v>
      </c>
    </row>
    <row r="1593">
      <c r="A1593" s="56" t="s">
        <v>10235</v>
      </c>
      <c r="B1593" s="82"/>
      <c r="C1593" s="33" t="s">
        <v>10236</v>
      </c>
      <c r="E1593" s="46" t="s">
        <v>7616</v>
      </c>
    </row>
    <row r="1594">
      <c r="A1594" s="56" t="s">
        <v>10237</v>
      </c>
      <c r="B1594" s="82"/>
      <c r="C1594" s="33" t="s">
        <v>10236</v>
      </c>
      <c r="E1594" s="46" t="s">
        <v>7618</v>
      </c>
    </row>
    <row r="1595">
      <c r="A1595" s="56" t="s">
        <v>10238</v>
      </c>
      <c r="B1595" s="79"/>
      <c r="C1595" s="33" t="s">
        <v>10239</v>
      </c>
      <c r="E1595" s="46" t="s">
        <v>1348</v>
      </c>
    </row>
    <row r="1596">
      <c r="A1596" s="56" t="s">
        <v>10240</v>
      </c>
      <c r="B1596" s="79"/>
      <c r="C1596" s="33" t="s">
        <v>10239</v>
      </c>
      <c r="E1596" s="46" t="s">
        <v>1348</v>
      </c>
    </row>
    <row r="1597">
      <c r="A1597" s="56" t="s">
        <v>10243</v>
      </c>
      <c r="B1597" s="79"/>
      <c r="C1597" s="33" t="s">
        <v>10244</v>
      </c>
      <c r="E1597" s="46" t="s">
        <v>1348</v>
      </c>
    </row>
    <row r="1598">
      <c r="A1598" s="56" t="s">
        <v>10245</v>
      </c>
      <c r="B1598" s="21"/>
      <c r="C1598" s="33" t="s">
        <v>10246</v>
      </c>
      <c r="E1598" s="46" t="s">
        <v>7616</v>
      </c>
    </row>
    <row r="1599">
      <c r="A1599" s="56" t="s">
        <v>10247</v>
      </c>
      <c r="B1599" s="21"/>
      <c r="C1599" s="33" t="s">
        <v>10246</v>
      </c>
      <c r="E1599" s="46" t="s">
        <v>7618</v>
      </c>
    </row>
    <row r="1600">
      <c r="A1600" s="56" t="s">
        <v>10248</v>
      </c>
      <c r="B1600" s="21"/>
      <c r="C1600" s="33" t="s">
        <v>10249</v>
      </c>
      <c r="E1600" s="46" t="s">
        <v>7616</v>
      </c>
    </row>
    <row r="1601">
      <c r="A1601" s="56" t="s">
        <v>10251</v>
      </c>
      <c r="B1601" s="21"/>
      <c r="C1601" s="33" t="s">
        <v>10249</v>
      </c>
      <c r="E1601" s="46" t="s">
        <v>7618</v>
      </c>
    </row>
    <row r="1602">
      <c r="A1602" s="56" t="s">
        <v>10252</v>
      </c>
      <c r="B1602" s="21"/>
      <c r="C1602" s="33" t="s">
        <v>10253</v>
      </c>
      <c r="E1602" s="46" t="s">
        <v>7616</v>
      </c>
    </row>
    <row r="1603">
      <c r="A1603" s="56" t="s">
        <v>10254</v>
      </c>
      <c r="B1603" s="21"/>
      <c r="C1603" s="33" t="s">
        <v>10253</v>
      </c>
      <c r="E1603" s="46" t="s">
        <v>7618</v>
      </c>
    </row>
    <row r="1604">
      <c r="A1604" s="56" t="s">
        <v>10255</v>
      </c>
      <c r="B1604" s="21"/>
      <c r="C1604" s="33" t="s">
        <v>10246</v>
      </c>
      <c r="E1604" s="46" t="s">
        <v>7616</v>
      </c>
    </row>
    <row r="1605">
      <c r="A1605" s="56" t="s">
        <v>10256</v>
      </c>
      <c r="B1605" s="21"/>
      <c r="C1605" s="33" t="s">
        <v>10246</v>
      </c>
      <c r="E1605" s="46" t="s">
        <v>7618</v>
      </c>
    </row>
    <row r="1606">
      <c r="A1606" s="56" t="s">
        <v>10259</v>
      </c>
      <c r="B1606" s="21"/>
      <c r="C1606" s="33" t="s">
        <v>10249</v>
      </c>
      <c r="E1606" s="46" t="s">
        <v>7616</v>
      </c>
    </row>
    <row r="1607">
      <c r="A1607" s="56" t="s">
        <v>10260</v>
      </c>
      <c r="B1607" s="21"/>
      <c r="C1607" s="33" t="s">
        <v>10249</v>
      </c>
      <c r="E1607" s="46" t="s">
        <v>7618</v>
      </c>
    </row>
    <row r="1608">
      <c r="A1608" s="56" t="s">
        <v>10261</v>
      </c>
      <c r="B1608" s="21"/>
      <c r="C1608" s="33" t="s">
        <v>10253</v>
      </c>
      <c r="E1608" s="46" t="s">
        <v>7616</v>
      </c>
    </row>
    <row r="1609">
      <c r="A1609" s="56" t="s">
        <v>10262</v>
      </c>
      <c r="B1609" s="21"/>
      <c r="C1609" s="33" t="s">
        <v>10253</v>
      </c>
      <c r="E1609" s="46" t="s">
        <v>7618</v>
      </c>
    </row>
    <row r="1610">
      <c r="A1610" s="56" t="s">
        <v>10263</v>
      </c>
      <c r="B1610" s="21"/>
      <c r="C1610" s="33" t="s">
        <v>10264</v>
      </c>
      <c r="E1610" s="46" t="s">
        <v>7616</v>
      </c>
    </row>
    <row r="1611">
      <c r="A1611" s="56" t="s">
        <v>10266</v>
      </c>
      <c r="B1611" s="21"/>
      <c r="C1611" s="33" t="s">
        <v>10264</v>
      </c>
      <c r="E1611" s="46" t="s">
        <v>7618</v>
      </c>
    </row>
    <row r="1612">
      <c r="A1612" s="56" t="s">
        <v>10267</v>
      </c>
      <c r="B1612" s="21"/>
      <c r="C1612" s="33" t="s">
        <v>10268</v>
      </c>
      <c r="E1612" s="46" t="s">
        <v>7616</v>
      </c>
    </row>
    <row r="1613">
      <c r="A1613" s="56" t="s">
        <v>10269</v>
      </c>
      <c r="B1613" s="21"/>
      <c r="C1613" s="33" t="s">
        <v>10268</v>
      </c>
      <c r="E1613" s="46" t="s">
        <v>7618</v>
      </c>
    </row>
    <row r="1614">
      <c r="A1614" s="56" t="s">
        <v>10270</v>
      </c>
      <c r="B1614" s="21"/>
      <c r="C1614" s="33" t="s">
        <v>10271</v>
      </c>
      <c r="E1614" s="46" t="s">
        <v>7616</v>
      </c>
    </row>
    <row r="1615">
      <c r="A1615" s="56" t="s">
        <v>10272</v>
      </c>
      <c r="B1615" s="21"/>
      <c r="C1615" s="33" t="s">
        <v>10271</v>
      </c>
      <c r="E1615" s="46" t="s">
        <v>7618</v>
      </c>
    </row>
    <row r="1616">
      <c r="A1616" s="56" t="s">
        <v>10274</v>
      </c>
      <c r="B1616" s="21"/>
      <c r="C1616" s="33" t="s">
        <v>10264</v>
      </c>
      <c r="E1616" s="46" t="s">
        <v>7616</v>
      </c>
    </row>
    <row r="1617">
      <c r="A1617" s="56" t="s">
        <v>10276</v>
      </c>
      <c r="B1617" s="21"/>
      <c r="C1617" s="33" t="s">
        <v>10264</v>
      </c>
      <c r="E1617" s="46" t="s">
        <v>7618</v>
      </c>
    </row>
    <row r="1618">
      <c r="A1618" s="56" t="s">
        <v>10277</v>
      </c>
      <c r="B1618" s="21"/>
      <c r="C1618" s="33" t="s">
        <v>10268</v>
      </c>
      <c r="E1618" s="46" t="s">
        <v>7616</v>
      </c>
    </row>
    <row r="1619">
      <c r="A1619" s="56" t="s">
        <v>10278</v>
      </c>
      <c r="B1619" s="21"/>
      <c r="C1619" s="33" t="s">
        <v>10268</v>
      </c>
      <c r="E1619" s="46" t="s">
        <v>7618</v>
      </c>
    </row>
    <row r="1620">
      <c r="A1620" s="56" t="s">
        <v>10279</v>
      </c>
      <c r="B1620" s="21"/>
      <c r="C1620" s="33" t="s">
        <v>10271</v>
      </c>
      <c r="E1620" s="46" t="s">
        <v>7616</v>
      </c>
    </row>
    <row r="1621">
      <c r="A1621" s="56" t="s">
        <v>10281</v>
      </c>
      <c r="B1621" s="21"/>
      <c r="C1621" s="33" t="s">
        <v>10271</v>
      </c>
      <c r="E1621" s="46" t="s">
        <v>7618</v>
      </c>
    </row>
    <row r="1622">
      <c r="A1622" s="56" t="s">
        <v>10282</v>
      </c>
      <c r="B1622" s="82"/>
      <c r="C1622" s="33" t="s">
        <v>10283</v>
      </c>
      <c r="E1622" s="46" t="s">
        <v>3366</v>
      </c>
    </row>
    <row r="1623">
      <c r="A1623" s="56" t="s">
        <v>10284</v>
      </c>
      <c r="B1623" s="82"/>
      <c r="C1623" s="33" t="s">
        <v>10285</v>
      </c>
      <c r="E1623" s="46" t="s">
        <v>7609</v>
      </c>
      <c r="F1623" s="46" t="s">
        <v>10286</v>
      </c>
    </row>
    <row r="1624">
      <c r="A1624" s="56" t="s">
        <v>10287</v>
      </c>
      <c r="B1624" s="82"/>
      <c r="C1624" s="33" t="s">
        <v>10288</v>
      </c>
      <c r="E1624" s="46" t="s">
        <v>7616</v>
      </c>
    </row>
    <row r="1625">
      <c r="A1625" s="56" t="s">
        <v>10289</v>
      </c>
      <c r="B1625" s="82"/>
      <c r="C1625" s="33" t="s">
        <v>10288</v>
      </c>
      <c r="E1625" s="46" t="s">
        <v>7618</v>
      </c>
    </row>
    <row r="1626">
      <c r="A1626" s="56" t="s">
        <v>10292</v>
      </c>
      <c r="B1626" s="82"/>
      <c r="C1626" s="33" t="s">
        <v>10293</v>
      </c>
      <c r="E1626" s="46" t="s">
        <v>7616</v>
      </c>
    </row>
    <row r="1627">
      <c r="A1627" s="56" t="s">
        <v>10294</v>
      </c>
      <c r="B1627" s="82"/>
      <c r="C1627" s="33" t="s">
        <v>10293</v>
      </c>
      <c r="E1627" s="46" t="s">
        <v>7618</v>
      </c>
    </row>
    <row r="1628">
      <c r="A1628" s="56" t="s">
        <v>10295</v>
      </c>
      <c r="B1628" s="82"/>
      <c r="C1628" s="33" t="s">
        <v>10296</v>
      </c>
      <c r="E1628" s="46" t="s">
        <v>7616</v>
      </c>
    </row>
    <row r="1629">
      <c r="A1629" s="56" t="s">
        <v>10297</v>
      </c>
      <c r="B1629" s="82"/>
      <c r="C1629" s="33" t="s">
        <v>10296</v>
      </c>
      <c r="E1629" s="46" t="s">
        <v>7618</v>
      </c>
    </row>
    <row r="1630">
      <c r="A1630" s="56" t="s">
        <v>10299</v>
      </c>
      <c r="B1630" s="79"/>
      <c r="C1630" s="33" t="s">
        <v>10300</v>
      </c>
      <c r="E1630" s="46" t="s">
        <v>1348</v>
      </c>
    </row>
    <row r="1631">
      <c r="A1631" s="56" t="s">
        <v>10301</v>
      </c>
      <c r="B1631" s="79"/>
      <c r="C1631" s="33" t="s">
        <v>10300</v>
      </c>
      <c r="E1631" s="46" t="s">
        <v>1348</v>
      </c>
    </row>
    <row r="1632">
      <c r="A1632" s="56" t="s">
        <v>10302</v>
      </c>
      <c r="B1632" s="79"/>
      <c r="C1632" s="33" t="s">
        <v>10303</v>
      </c>
      <c r="E1632" s="46" t="s">
        <v>1348</v>
      </c>
    </row>
    <row r="1633">
      <c r="A1633" s="56" t="s">
        <v>10304</v>
      </c>
      <c r="B1633" s="21"/>
      <c r="C1633" s="33" t="s">
        <v>10305</v>
      </c>
      <c r="E1633" s="46" t="s">
        <v>7616</v>
      </c>
    </row>
    <row r="1634">
      <c r="A1634" s="56" t="s">
        <v>10307</v>
      </c>
      <c r="B1634" s="21"/>
      <c r="C1634" s="33" t="s">
        <v>10305</v>
      </c>
      <c r="E1634" s="46" t="s">
        <v>7618</v>
      </c>
    </row>
    <row r="1635">
      <c r="A1635" s="56" t="s">
        <v>10308</v>
      </c>
      <c r="B1635" s="21"/>
      <c r="C1635" s="33" t="s">
        <v>10310</v>
      </c>
      <c r="E1635" s="46" t="s">
        <v>7616</v>
      </c>
    </row>
    <row r="1636">
      <c r="A1636" s="56" t="s">
        <v>10311</v>
      </c>
      <c r="B1636" s="21"/>
      <c r="C1636" s="33" t="s">
        <v>10310</v>
      </c>
      <c r="E1636" s="46" t="s">
        <v>7618</v>
      </c>
    </row>
    <row r="1637">
      <c r="A1637" s="56" t="s">
        <v>10312</v>
      </c>
      <c r="B1637" s="21"/>
      <c r="C1637" s="33" t="s">
        <v>10313</v>
      </c>
      <c r="E1637" s="46" t="s">
        <v>7616</v>
      </c>
    </row>
    <row r="1638">
      <c r="A1638" s="56" t="s">
        <v>10314</v>
      </c>
      <c r="B1638" s="21"/>
      <c r="C1638" s="33" t="s">
        <v>10313</v>
      </c>
      <c r="E1638" s="46" t="s">
        <v>7618</v>
      </c>
    </row>
    <row r="1639">
      <c r="A1639" s="56" t="s">
        <v>10315</v>
      </c>
      <c r="B1639" s="21"/>
      <c r="C1639" s="33" t="s">
        <v>10305</v>
      </c>
      <c r="E1639" s="46" t="s">
        <v>7616</v>
      </c>
    </row>
    <row r="1640">
      <c r="A1640" s="56" t="s">
        <v>10317</v>
      </c>
      <c r="B1640" s="21"/>
      <c r="C1640" s="33" t="s">
        <v>10305</v>
      </c>
      <c r="E1640" s="46" t="s">
        <v>7618</v>
      </c>
    </row>
    <row r="1641">
      <c r="A1641" s="56" t="s">
        <v>10318</v>
      </c>
      <c r="B1641" s="21"/>
      <c r="C1641" s="33" t="s">
        <v>10310</v>
      </c>
      <c r="E1641" s="46" t="s">
        <v>7616</v>
      </c>
    </row>
    <row r="1642">
      <c r="A1642" s="56" t="s">
        <v>10319</v>
      </c>
      <c r="B1642" s="21"/>
      <c r="C1642" s="33" t="s">
        <v>10310</v>
      </c>
      <c r="E1642" s="46" t="s">
        <v>7618</v>
      </c>
    </row>
    <row r="1643">
      <c r="A1643" s="56" t="s">
        <v>10320</v>
      </c>
      <c r="B1643" s="21"/>
      <c r="C1643" s="33" t="s">
        <v>10313</v>
      </c>
      <c r="E1643" s="46" t="s">
        <v>7616</v>
      </c>
    </row>
    <row r="1644">
      <c r="A1644" s="56" t="s">
        <v>10323</v>
      </c>
      <c r="B1644" s="21"/>
      <c r="C1644" s="33" t="s">
        <v>10313</v>
      </c>
      <c r="E1644" s="46" t="s">
        <v>7618</v>
      </c>
    </row>
    <row r="1645">
      <c r="A1645" s="56" t="s">
        <v>10325</v>
      </c>
      <c r="B1645" s="21"/>
      <c r="C1645" s="33" t="s">
        <v>10326</v>
      </c>
      <c r="E1645" s="46" t="s">
        <v>7616</v>
      </c>
    </row>
    <row r="1646">
      <c r="A1646" s="56" t="s">
        <v>10327</v>
      </c>
      <c r="B1646" s="21"/>
      <c r="C1646" s="33" t="s">
        <v>10326</v>
      </c>
      <c r="E1646" s="46" t="s">
        <v>7618</v>
      </c>
    </row>
    <row r="1647">
      <c r="A1647" s="56" t="s">
        <v>10328</v>
      </c>
      <c r="B1647" s="21"/>
      <c r="C1647" s="33" t="s">
        <v>10329</v>
      </c>
      <c r="E1647" s="46" t="s">
        <v>7616</v>
      </c>
    </row>
    <row r="1648">
      <c r="A1648" s="56" t="s">
        <v>10330</v>
      </c>
      <c r="B1648" s="21"/>
      <c r="C1648" s="33" t="s">
        <v>10329</v>
      </c>
      <c r="E1648" s="46" t="s">
        <v>7618</v>
      </c>
    </row>
    <row r="1649">
      <c r="A1649" s="56" t="s">
        <v>10332</v>
      </c>
      <c r="B1649" s="21"/>
      <c r="C1649" s="33" t="s">
        <v>10334</v>
      </c>
      <c r="E1649" s="46" t="s">
        <v>7616</v>
      </c>
    </row>
    <row r="1650">
      <c r="A1650" s="56" t="s">
        <v>10335</v>
      </c>
      <c r="B1650" s="21"/>
      <c r="C1650" s="33" t="s">
        <v>10334</v>
      </c>
      <c r="E1650" s="46" t="s">
        <v>7618</v>
      </c>
    </row>
    <row r="1651">
      <c r="A1651" s="56" t="s">
        <v>10336</v>
      </c>
      <c r="B1651" s="21"/>
      <c r="C1651" s="33" t="s">
        <v>10326</v>
      </c>
      <c r="E1651" s="46" t="s">
        <v>7616</v>
      </c>
    </row>
    <row r="1652">
      <c r="A1652" s="56" t="s">
        <v>10337</v>
      </c>
      <c r="B1652" s="21"/>
      <c r="C1652" s="33" t="s">
        <v>10326</v>
      </c>
      <c r="E1652" s="46" t="s">
        <v>7618</v>
      </c>
    </row>
    <row r="1653">
      <c r="A1653" s="56" t="s">
        <v>10338</v>
      </c>
      <c r="B1653" s="21"/>
      <c r="C1653" s="33" t="s">
        <v>10329</v>
      </c>
      <c r="E1653" s="46" t="s">
        <v>7616</v>
      </c>
    </row>
    <row r="1654">
      <c r="A1654" s="56" t="s">
        <v>10339</v>
      </c>
      <c r="B1654" s="21"/>
      <c r="C1654" s="33" t="s">
        <v>10329</v>
      </c>
      <c r="E1654" s="46" t="s">
        <v>7618</v>
      </c>
    </row>
    <row r="1655">
      <c r="A1655" s="56" t="s">
        <v>10341</v>
      </c>
      <c r="B1655" s="21"/>
      <c r="C1655" s="33" t="s">
        <v>10334</v>
      </c>
      <c r="E1655" s="46" t="s">
        <v>7616</v>
      </c>
    </row>
    <row r="1656">
      <c r="A1656" s="56" t="s">
        <v>10342</v>
      </c>
      <c r="B1656" s="21"/>
      <c r="C1656" s="33" t="s">
        <v>10334</v>
      </c>
      <c r="E1656" s="46" t="s">
        <v>7618</v>
      </c>
    </row>
    <row r="1657">
      <c r="A1657" s="56" t="s">
        <v>10343</v>
      </c>
      <c r="B1657" s="84"/>
      <c r="C1657" s="33" t="s">
        <v>10344</v>
      </c>
      <c r="E1657" s="46" t="s">
        <v>3366</v>
      </c>
    </row>
    <row r="1658">
      <c r="A1658" s="56" t="s">
        <v>10345</v>
      </c>
      <c r="B1658" s="82"/>
      <c r="C1658" s="33" t="s">
        <v>10347</v>
      </c>
      <c r="E1658" s="46" t="s">
        <v>3366</v>
      </c>
    </row>
    <row r="1659">
      <c r="A1659" s="56" t="s">
        <v>10349</v>
      </c>
      <c r="B1659" s="84"/>
      <c r="C1659" s="33" t="s">
        <v>10344</v>
      </c>
      <c r="E1659" s="46" t="s">
        <v>3366</v>
      </c>
    </row>
    <row r="1660">
      <c r="A1660" s="56" t="s">
        <v>10350</v>
      </c>
      <c r="B1660" s="84"/>
      <c r="C1660" s="33" t="s">
        <v>10344</v>
      </c>
      <c r="E1660" s="46" t="s">
        <v>3366</v>
      </c>
    </row>
    <row r="1661">
      <c r="A1661" s="56" t="s">
        <v>10351</v>
      </c>
      <c r="B1661" s="84"/>
      <c r="C1661" s="33" t="s">
        <v>10344</v>
      </c>
      <c r="E1661" s="46" t="s">
        <v>3366</v>
      </c>
    </row>
    <row r="1662">
      <c r="A1662" s="56" t="s">
        <v>10352</v>
      </c>
      <c r="B1662" s="55"/>
      <c r="C1662" s="31"/>
      <c r="E1662" s="46" t="s">
        <v>3366</v>
      </c>
    </row>
    <row r="1663">
      <c r="A1663" s="56" t="s">
        <v>10353</v>
      </c>
      <c r="B1663" s="82"/>
      <c r="C1663" s="33" t="s">
        <v>10354</v>
      </c>
      <c r="E1663" s="46" t="s">
        <v>7609</v>
      </c>
    </row>
    <row r="1664">
      <c r="A1664" s="56" t="s">
        <v>10356</v>
      </c>
      <c r="B1664" s="82"/>
      <c r="C1664" s="33" t="s">
        <v>10357</v>
      </c>
      <c r="E1664" s="46" t="s">
        <v>7616</v>
      </c>
    </row>
    <row r="1665">
      <c r="A1665" s="56" t="s">
        <v>10358</v>
      </c>
      <c r="B1665" s="82"/>
      <c r="C1665" s="33" t="s">
        <v>10357</v>
      </c>
      <c r="E1665" s="46" t="s">
        <v>7618</v>
      </c>
    </row>
    <row r="1666">
      <c r="A1666" s="56" t="s">
        <v>10359</v>
      </c>
      <c r="B1666" s="82"/>
      <c r="C1666" s="33" t="s">
        <v>10360</v>
      </c>
      <c r="E1666" s="46" t="s">
        <v>7616</v>
      </c>
    </row>
    <row r="1667">
      <c r="A1667" s="56" t="s">
        <v>10361</v>
      </c>
      <c r="B1667" s="82"/>
      <c r="C1667" s="33" t="s">
        <v>10360</v>
      </c>
      <c r="E1667" s="46" t="s">
        <v>7618</v>
      </c>
    </row>
    <row r="1668">
      <c r="A1668" s="56" t="s">
        <v>10363</v>
      </c>
      <c r="B1668" s="82"/>
      <c r="C1668" s="33" t="s">
        <v>10366</v>
      </c>
      <c r="E1668" s="46" t="s">
        <v>7616</v>
      </c>
    </row>
    <row r="1669">
      <c r="A1669" s="56" t="s">
        <v>10367</v>
      </c>
      <c r="B1669" s="82"/>
      <c r="C1669" s="33" t="s">
        <v>10366</v>
      </c>
      <c r="E1669" s="46" t="s">
        <v>7618</v>
      </c>
    </row>
    <row r="1670">
      <c r="A1670" s="56" t="s">
        <v>10368</v>
      </c>
      <c r="B1670" s="79"/>
      <c r="C1670" s="33" t="s">
        <v>10369</v>
      </c>
      <c r="E1670" s="46" t="s">
        <v>1348</v>
      </c>
    </row>
    <row r="1671">
      <c r="A1671" s="56" t="s">
        <v>10370</v>
      </c>
      <c r="B1671" s="79"/>
      <c r="C1671" s="33" t="s">
        <v>10369</v>
      </c>
      <c r="E1671" s="46" t="s">
        <v>1348</v>
      </c>
    </row>
    <row r="1672">
      <c r="A1672" s="56" t="s">
        <v>10371</v>
      </c>
      <c r="B1672" s="79"/>
      <c r="C1672" s="33" t="s">
        <v>10372</v>
      </c>
      <c r="E1672" s="46" t="s">
        <v>1348</v>
      </c>
    </row>
    <row r="1673">
      <c r="A1673" s="56" t="s">
        <v>10374</v>
      </c>
      <c r="B1673" s="21"/>
      <c r="C1673" s="33" t="s">
        <v>10375</v>
      </c>
      <c r="E1673" s="46" t="s">
        <v>7616</v>
      </c>
    </row>
    <row r="1674">
      <c r="A1674" s="56" t="s">
        <v>10376</v>
      </c>
      <c r="B1674" s="21"/>
      <c r="C1674" s="33" t="s">
        <v>10375</v>
      </c>
      <c r="E1674" s="46" t="s">
        <v>7618</v>
      </c>
    </row>
    <row r="1675">
      <c r="A1675" s="56" t="s">
        <v>10377</v>
      </c>
      <c r="B1675" s="21"/>
      <c r="C1675" s="33" t="s">
        <v>10379</v>
      </c>
      <c r="E1675" s="46" t="s">
        <v>7616</v>
      </c>
    </row>
    <row r="1676">
      <c r="A1676" s="56" t="s">
        <v>10380</v>
      </c>
      <c r="B1676" s="21"/>
      <c r="C1676" s="33" t="s">
        <v>10379</v>
      </c>
      <c r="E1676" s="46" t="s">
        <v>7618</v>
      </c>
    </row>
    <row r="1677">
      <c r="A1677" s="56" t="s">
        <v>10381</v>
      </c>
      <c r="B1677" s="21"/>
      <c r="C1677" s="33" t="s">
        <v>10383</v>
      </c>
      <c r="E1677" s="46" t="s">
        <v>7616</v>
      </c>
    </row>
    <row r="1678">
      <c r="A1678" s="56" t="s">
        <v>10384</v>
      </c>
      <c r="B1678" s="21"/>
      <c r="C1678" s="33" t="s">
        <v>10383</v>
      </c>
      <c r="E1678" s="46" t="s">
        <v>7618</v>
      </c>
    </row>
    <row r="1679">
      <c r="A1679" s="56" t="s">
        <v>10385</v>
      </c>
      <c r="B1679" s="21"/>
      <c r="C1679" s="33" t="s">
        <v>10375</v>
      </c>
      <c r="E1679" s="46" t="s">
        <v>7616</v>
      </c>
    </row>
    <row r="1680">
      <c r="A1680" s="56" t="s">
        <v>10386</v>
      </c>
      <c r="B1680" s="21"/>
      <c r="C1680" s="33" t="s">
        <v>10375</v>
      </c>
      <c r="E1680" s="46" t="s">
        <v>7618</v>
      </c>
    </row>
    <row r="1681">
      <c r="A1681" s="56" t="s">
        <v>10387</v>
      </c>
      <c r="B1681" s="21"/>
      <c r="C1681" s="33" t="s">
        <v>10379</v>
      </c>
      <c r="E1681" s="46" t="s">
        <v>7616</v>
      </c>
    </row>
    <row r="1682">
      <c r="A1682" s="56" t="s">
        <v>10388</v>
      </c>
      <c r="B1682" s="21"/>
      <c r="C1682" s="33" t="s">
        <v>10379</v>
      </c>
      <c r="E1682" s="46" t="s">
        <v>7618</v>
      </c>
    </row>
    <row r="1683">
      <c r="A1683" s="56" t="s">
        <v>10391</v>
      </c>
      <c r="B1683" s="21"/>
      <c r="C1683" s="33" t="s">
        <v>10383</v>
      </c>
      <c r="E1683" s="46" t="s">
        <v>7616</v>
      </c>
    </row>
    <row r="1684">
      <c r="A1684" s="56" t="s">
        <v>10393</v>
      </c>
      <c r="B1684" s="21"/>
      <c r="C1684" s="33" t="s">
        <v>10383</v>
      </c>
      <c r="E1684" s="46" t="s">
        <v>7618</v>
      </c>
    </row>
    <row r="1685">
      <c r="A1685" s="56" t="s">
        <v>10394</v>
      </c>
      <c r="B1685" s="82"/>
      <c r="C1685" s="33" t="s">
        <v>10395</v>
      </c>
      <c r="E1685" s="46" t="s">
        <v>7616</v>
      </c>
    </row>
    <row r="1686">
      <c r="A1686" s="56" t="s">
        <v>10396</v>
      </c>
      <c r="B1686" s="82"/>
      <c r="C1686" s="33" t="s">
        <v>10395</v>
      </c>
      <c r="E1686" s="46" t="s">
        <v>7618</v>
      </c>
    </row>
    <row r="1687">
      <c r="A1687" s="56" t="s">
        <v>10397</v>
      </c>
      <c r="B1687" s="21"/>
      <c r="C1687" s="33" t="s">
        <v>10398</v>
      </c>
      <c r="E1687" s="46" t="s">
        <v>7616</v>
      </c>
    </row>
    <row r="1688">
      <c r="A1688" s="56" t="s">
        <v>10399</v>
      </c>
      <c r="B1688" s="21"/>
      <c r="C1688" s="33" t="s">
        <v>10398</v>
      </c>
      <c r="E1688" s="46" t="s">
        <v>7618</v>
      </c>
    </row>
    <row r="1689">
      <c r="A1689" s="56" t="s">
        <v>10401</v>
      </c>
      <c r="B1689" s="21"/>
      <c r="C1689" s="33" t="s">
        <v>10402</v>
      </c>
      <c r="E1689" s="46" t="s">
        <v>7616</v>
      </c>
    </row>
    <row r="1690">
      <c r="A1690" s="56" t="s">
        <v>10404</v>
      </c>
      <c r="B1690" s="21"/>
      <c r="C1690" s="33" t="s">
        <v>10402</v>
      </c>
      <c r="E1690" s="46" t="s">
        <v>7618</v>
      </c>
    </row>
    <row r="1691">
      <c r="A1691" s="56" t="s">
        <v>10405</v>
      </c>
      <c r="B1691" s="21"/>
      <c r="C1691" s="33" t="s">
        <v>10406</v>
      </c>
      <c r="E1691" s="46" t="s">
        <v>7616</v>
      </c>
    </row>
    <row r="1692">
      <c r="A1692" s="56" t="s">
        <v>10407</v>
      </c>
      <c r="B1692" s="21"/>
      <c r="C1692" s="33" t="s">
        <v>10406</v>
      </c>
      <c r="E1692" s="46" t="s">
        <v>7618</v>
      </c>
    </row>
    <row r="1693">
      <c r="A1693" s="56" t="s">
        <v>10408</v>
      </c>
      <c r="B1693" s="21"/>
      <c r="C1693" s="33" t="s">
        <v>10398</v>
      </c>
      <c r="E1693" s="46" t="s">
        <v>7616</v>
      </c>
    </row>
    <row r="1694">
      <c r="A1694" s="56" t="s">
        <v>10409</v>
      </c>
      <c r="B1694" s="21"/>
      <c r="C1694" s="33" t="s">
        <v>10398</v>
      </c>
      <c r="E1694" s="46" t="s">
        <v>7618</v>
      </c>
    </row>
    <row r="1695">
      <c r="A1695" s="56" t="s">
        <v>10411</v>
      </c>
      <c r="B1695" s="21"/>
      <c r="C1695" s="33" t="s">
        <v>10402</v>
      </c>
      <c r="E1695" s="46" t="s">
        <v>7616</v>
      </c>
    </row>
    <row r="1696">
      <c r="A1696" s="56" t="s">
        <v>10412</v>
      </c>
      <c r="B1696" s="21"/>
      <c r="C1696" s="33" t="s">
        <v>10402</v>
      </c>
      <c r="E1696" s="46" t="s">
        <v>7618</v>
      </c>
    </row>
    <row r="1697">
      <c r="A1697" s="56" t="s">
        <v>10413</v>
      </c>
      <c r="B1697" s="21"/>
      <c r="C1697" s="33" t="s">
        <v>10406</v>
      </c>
      <c r="E1697" s="46" t="s">
        <v>7616</v>
      </c>
    </row>
    <row r="1698">
      <c r="A1698" s="56" t="s">
        <v>10414</v>
      </c>
      <c r="B1698" s="21"/>
      <c r="C1698" s="33" t="s">
        <v>10406</v>
      </c>
      <c r="E1698" s="46" t="s">
        <v>7618</v>
      </c>
    </row>
    <row r="1699">
      <c r="A1699" s="56" t="s">
        <v>10415</v>
      </c>
      <c r="B1699" s="82"/>
      <c r="C1699" s="33" t="s">
        <v>10417</v>
      </c>
      <c r="E1699" s="46" t="s">
        <v>3366</v>
      </c>
    </row>
    <row r="1700">
      <c r="A1700" s="56" t="s">
        <v>10419</v>
      </c>
      <c r="B1700" s="82"/>
      <c r="C1700" s="33" t="s">
        <v>10420</v>
      </c>
      <c r="E1700" s="46" t="s">
        <v>3366</v>
      </c>
    </row>
    <row r="1701">
      <c r="A1701" s="56" t="s">
        <v>10421</v>
      </c>
      <c r="B1701" s="82"/>
      <c r="C1701" s="33" t="s">
        <v>10422</v>
      </c>
      <c r="E1701" s="46" t="s">
        <v>3366</v>
      </c>
    </row>
    <row r="1702">
      <c r="A1702" s="56" t="s">
        <v>10423</v>
      </c>
      <c r="B1702" s="82"/>
      <c r="C1702" s="33" t="s">
        <v>10424</v>
      </c>
      <c r="E1702" s="46" t="s">
        <v>7609</v>
      </c>
    </row>
    <row r="1703">
      <c r="A1703" s="56" t="s">
        <v>10425</v>
      </c>
      <c r="B1703" s="55"/>
      <c r="C1703" s="31"/>
    </row>
    <row r="1704">
      <c r="A1704" s="56" t="s">
        <v>10426</v>
      </c>
      <c r="B1704" s="55"/>
      <c r="C1704" s="31"/>
    </row>
    <row r="1705">
      <c r="A1705" s="56" t="s">
        <v>10428</v>
      </c>
      <c r="B1705" s="55"/>
      <c r="C1705" s="31"/>
    </row>
    <row r="1706">
      <c r="A1706" s="56" t="s">
        <v>10429</v>
      </c>
      <c r="B1706" s="55"/>
      <c r="C1706" s="31"/>
    </row>
    <row r="1707">
      <c r="A1707" s="56" t="s">
        <v>10430</v>
      </c>
      <c r="B1707" s="55"/>
      <c r="C1707" s="31"/>
    </row>
    <row r="1708">
      <c r="A1708" s="56" t="s">
        <v>10432</v>
      </c>
      <c r="B1708" s="55"/>
      <c r="C1708" s="31"/>
    </row>
    <row r="1709">
      <c r="A1709" s="56" t="s">
        <v>10434</v>
      </c>
      <c r="B1709" s="55"/>
      <c r="C1709" s="31"/>
    </row>
    <row r="1710">
      <c r="A1710" s="56" t="s">
        <v>10435</v>
      </c>
      <c r="B1710" s="55"/>
      <c r="C1710" s="31"/>
    </row>
    <row r="1711">
      <c r="A1711" s="56" t="s">
        <v>10436</v>
      </c>
      <c r="B1711" s="55"/>
      <c r="C1711" s="31"/>
    </row>
    <row r="1712">
      <c r="A1712" s="56" t="s">
        <v>10437</v>
      </c>
      <c r="B1712" s="55"/>
      <c r="C1712" s="31"/>
    </row>
    <row r="1713">
      <c r="A1713" s="56" t="s">
        <v>10438</v>
      </c>
      <c r="B1713" s="55"/>
      <c r="C1713" s="31"/>
    </row>
    <row r="1714">
      <c r="A1714" s="56" t="s">
        <v>10439</v>
      </c>
      <c r="B1714" s="55"/>
      <c r="C1714" s="31"/>
    </row>
    <row r="1715">
      <c r="A1715" s="56" t="s">
        <v>10441</v>
      </c>
      <c r="B1715" s="55"/>
      <c r="C1715" s="31"/>
    </row>
    <row r="1716">
      <c r="A1716" s="56" t="s">
        <v>10442</v>
      </c>
      <c r="B1716" s="55"/>
      <c r="C1716" s="31"/>
    </row>
    <row r="1717">
      <c r="A1717" s="56" t="s">
        <v>10443</v>
      </c>
      <c r="B1717" s="55"/>
      <c r="C1717" s="31"/>
    </row>
    <row r="1718">
      <c r="A1718" s="56" t="s">
        <v>10444</v>
      </c>
      <c r="B1718" s="55"/>
      <c r="C1718" s="31"/>
    </row>
    <row r="1719">
      <c r="A1719" s="56" t="s">
        <v>10447</v>
      </c>
      <c r="B1719" s="55"/>
      <c r="C1719" s="31"/>
    </row>
    <row r="1720">
      <c r="A1720" s="56" t="s">
        <v>10448</v>
      </c>
      <c r="B1720" s="55"/>
      <c r="C1720" s="31"/>
    </row>
    <row r="1721">
      <c r="A1721" s="56" t="s">
        <v>10450</v>
      </c>
      <c r="B1721" s="55"/>
      <c r="C1721" s="31"/>
    </row>
    <row r="1722">
      <c r="A1722" s="56" t="s">
        <v>10452</v>
      </c>
      <c r="B1722" s="55"/>
      <c r="C1722" s="31"/>
    </row>
    <row r="1723">
      <c r="A1723" s="56" t="s">
        <v>10453</v>
      </c>
      <c r="B1723" s="55"/>
      <c r="C1723" s="31"/>
    </row>
    <row r="1724">
      <c r="A1724" s="56" t="s">
        <v>10454</v>
      </c>
      <c r="B1724" s="55"/>
      <c r="C1724" s="31"/>
    </row>
    <row r="1725">
      <c r="A1725" s="56" t="s">
        <v>10455</v>
      </c>
      <c r="B1725" s="55"/>
      <c r="C1725" s="31"/>
    </row>
    <row r="1726">
      <c r="A1726" s="56" t="s">
        <v>10456</v>
      </c>
      <c r="B1726" s="55"/>
      <c r="C1726" s="31"/>
    </row>
    <row r="1727">
      <c r="A1727" s="56" t="s">
        <v>10457</v>
      </c>
      <c r="B1727" s="55"/>
      <c r="C1727" s="31"/>
    </row>
    <row r="1728">
      <c r="A1728" s="56" t="s">
        <v>10458</v>
      </c>
      <c r="B1728" s="55"/>
      <c r="C1728" s="31"/>
    </row>
    <row r="1729">
      <c r="A1729" s="56" t="s">
        <v>10460</v>
      </c>
      <c r="B1729" s="55"/>
      <c r="C1729" s="31"/>
    </row>
    <row r="1730">
      <c r="A1730" s="56" t="s">
        <v>10462</v>
      </c>
      <c r="B1730" s="55"/>
      <c r="C1730" s="31"/>
    </row>
    <row r="1731">
      <c r="A1731" s="56" t="s">
        <v>10463</v>
      </c>
      <c r="B1731" s="55"/>
      <c r="C1731" s="31"/>
    </row>
    <row r="1732">
      <c r="A1732" s="56" t="s">
        <v>10465</v>
      </c>
      <c r="B1732" s="55"/>
      <c r="C1732" s="31"/>
    </row>
    <row r="1733">
      <c r="A1733" s="56" t="s">
        <v>10467</v>
      </c>
      <c r="B1733" s="55"/>
      <c r="C1733" s="31"/>
    </row>
    <row r="1734">
      <c r="A1734" s="56" t="s">
        <v>10469</v>
      </c>
      <c r="B1734" s="55"/>
      <c r="C1734" s="31"/>
    </row>
    <row r="1735">
      <c r="A1735" s="56" t="s">
        <v>10470</v>
      </c>
      <c r="B1735" s="55"/>
      <c r="C1735" s="31"/>
    </row>
    <row r="1736">
      <c r="A1736" s="56" t="s">
        <v>10471</v>
      </c>
      <c r="B1736" s="55"/>
      <c r="C1736" s="31"/>
    </row>
    <row r="1737">
      <c r="A1737" s="56" t="s">
        <v>10472</v>
      </c>
      <c r="B1737" s="55"/>
      <c r="C1737" s="31"/>
    </row>
    <row r="1738">
      <c r="A1738" s="56" t="s">
        <v>10473</v>
      </c>
      <c r="B1738" s="55"/>
      <c r="C1738" s="31"/>
    </row>
    <row r="1739">
      <c r="A1739" s="56" t="s">
        <v>10475</v>
      </c>
      <c r="B1739" s="82"/>
      <c r="C1739" s="33" t="s">
        <v>10476</v>
      </c>
      <c r="E1739" s="46" t="s">
        <v>7609</v>
      </c>
    </row>
    <row r="1740">
      <c r="A1740" s="56" t="s">
        <v>10477</v>
      </c>
      <c r="B1740" s="55"/>
      <c r="C1740" s="31"/>
    </row>
    <row r="1741">
      <c r="A1741" s="56" t="s">
        <v>10478</v>
      </c>
      <c r="B1741" s="55"/>
      <c r="C1741" s="31"/>
    </row>
    <row r="1742">
      <c r="A1742" s="56" t="s">
        <v>10479</v>
      </c>
      <c r="B1742" s="55"/>
      <c r="C1742" s="31"/>
    </row>
    <row r="1743">
      <c r="A1743" s="56" t="s">
        <v>10480</v>
      </c>
      <c r="B1743" s="55"/>
      <c r="C1743" s="31"/>
    </row>
    <row r="1744">
      <c r="A1744" s="56" t="s">
        <v>10482</v>
      </c>
      <c r="B1744" s="55"/>
      <c r="C1744" s="31"/>
    </row>
    <row r="1745">
      <c r="A1745" s="56" t="s">
        <v>10484</v>
      </c>
      <c r="B1745" s="55"/>
      <c r="C1745" s="31"/>
    </row>
    <row r="1746">
      <c r="A1746" s="56" t="s">
        <v>10486</v>
      </c>
      <c r="B1746" s="55"/>
      <c r="C1746" s="31"/>
    </row>
    <row r="1747">
      <c r="A1747" s="56" t="s">
        <v>10487</v>
      </c>
      <c r="B1747" s="55"/>
      <c r="C1747" s="31"/>
    </row>
    <row r="1748">
      <c r="A1748" s="56" t="s">
        <v>10488</v>
      </c>
      <c r="B1748" s="55"/>
      <c r="C1748" s="31"/>
    </row>
    <row r="1749">
      <c r="A1749" s="56" t="s">
        <v>10489</v>
      </c>
      <c r="B1749" s="55"/>
      <c r="C1749" s="31"/>
    </row>
    <row r="1750">
      <c r="A1750" s="56" t="s">
        <v>10490</v>
      </c>
      <c r="B1750" s="55"/>
      <c r="C1750" s="31"/>
    </row>
    <row r="1751">
      <c r="A1751" s="56" t="s">
        <v>10491</v>
      </c>
      <c r="B1751" s="55"/>
      <c r="C1751" s="31"/>
    </row>
    <row r="1752">
      <c r="A1752" s="56" t="s">
        <v>10492</v>
      </c>
      <c r="B1752" s="55"/>
      <c r="C1752" s="31"/>
    </row>
    <row r="1753">
      <c r="A1753" s="56" t="s">
        <v>10493</v>
      </c>
      <c r="B1753" s="55"/>
      <c r="C1753" s="31"/>
    </row>
    <row r="1754">
      <c r="A1754" s="56" t="s">
        <v>10494</v>
      </c>
      <c r="B1754" s="55"/>
      <c r="C1754" s="31"/>
    </row>
    <row r="1755">
      <c r="A1755" s="56" t="s">
        <v>10497</v>
      </c>
      <c r="B1755" s="55"/>
      <c r="C1755" s="31"/>
    </row>
    <row r="1756">
      <c r="A1756" s="56" t="s">
        <v>10498</v>
      </c>
      <c r="B1756" s="55"/>
      <c r="C1756" s="31"/>
    </row>
    <row r="1757">
      <c r="A1757" s="56" t="s">
        <v>10500</v>
      </c>
      <c r="B1757" s="55"/>
      <c r="C1757" s="31"/>
    </row>
    <row r="1758">
      <c r="A1758" s="56" t="s">
        <v>10501</v>
      </c>
      <c r="B1758" s="55"/>
      <c r="C1758" s="31"/>
    </row>
    <row r="1759">
      <c r="A1759" s="56" t="s">
        <v>10502</v>
      </c>
      <c r="B1759" s="55"/>
      <c r="C1759" s="31"/>
    </row>
    <row r="1760">
      <c r="A1760" s="56" t="s">
        <v>10503</v>
      </c>
      <c r="B1760" s="55"/>
      <c r="C1760" s="31"/>
    </row>
    <row r="1761">
      <c r="A1761" s="56" t="s">
        <v>10504</v>
      </c>
      <c r="B1761" s="82"/>
      <c r="C1761" s="33" t="s">
        <v>10505</v>
      </c>
      <c r="E1761" s="46" t="s">
        <v>7609</v>
      </c>
    </row>
    <row r="1762">
      <c r="A1762" s="56" t="s">
        <v>10506</v>
      </c>
      <c r="B1762" s="82"/>
      <c r="C1762" s="33" t="s">
        <v>10507</v>
      </c>
      <c r="E1762" s="46" t="s">
        <v>7616</v>
      </c>
    </row>
    <row r="1763">
      <c r="A1763" s="56" t="s">
        <v>10508</v>
      </c>
      <c r="B1763" s="82"/>
      <c r="C1763" s="33" t="s">
        <v>10507</v>
      </c>
      <c r="E1763" s="46" t="s">
        <v>7618</v>
      </c>
    </row>
    <row r="1764">
      <c r="A1764" s="56" t="s">
        <v>10510</v>
      </c>
      <c r="B1764" s="82"/>
      <c r="C1764" s="33" t="s">
        <v>10512</v>
      </c>
      <c r="E1764" s="46" t="s">
        <v>7616</v>
      </c>
    </row>
    <row r="1765">
      <c r="A1765" s="56" t="s">
        <v>10514</v>
      </c>
      <c r="B1765" s="82"/>
      <c r="C1765" s="33" t="s">
        <v>10512</v>
      </c>
      <c r="E1765" s="46" t="s">
        <v>7618</v>
      </c>
    </row>
    <row r="1766">
      <c r="A1766" s="56" t="s">
        <v>10515</v>
      </c>
      <c r="B1766" s="82"/>
      <c r="C1766" s="33" t="s">
        <v>10516</v>
      </c>
      <c r="E1766" s="46" t="s">
        <v>7616</v>
      </c>
    </row>
    <row r="1767">
      <c r="A1767" s="56" t="s">
        <v>10517</v>
      </c>
      <c r="B1767" s="82"/>
      <c r="C1767" s="33" t="s">
        <v>10516</v>
      </c>
      <c r="E1767" s="46" t="s">
        <v>7618</v>
      </c>
    </row>
    <row r="1768">
      <c r="A1768" s="56" t="s">
        <v>10519</v>
      </c>
      <c r="B1768" s="79"/>
      <c r="C1768" s="33" t="s">
        <v>10520</v>
      </c>
      <c r="E1768" s="46" t="s">
        <v>1348</v>
      </c>
    </row>
    <row r="1769">
      <c r="A1769" s="56" t="s">
        <v>10521</v>
      </c>
      <c r="B1769" s="79"/>
      <c r="C1769" s="33" t="s">
        <v>10520</v>
      </c>
      <c r="E1769" s="46" t="s">
        <v>1348</v>
      </c>
    </row>
    <row r="1770">
      <c r="A1770" s="56" t="s">
        <v>10522</v>
      </c>
      <c r="B1770" s="79"/>
      <c r="C1770" s="33" t="s">
        <v>10523</v>
      </c>
      <c r="E1770" s="46" t="s">
        <v>1348</v>
      </c>
    </row>
    <row r="1771">
      <c r="A1771" s="56" t="s">
        <v>10524</v>
      </c>
      <c r="B1771" s="21"/>
      <c r="C1771" s="33" t="s">
        <v>10526</v>
      </c>
      <c r="E1771" s="46" t="s">
        <v>7616</v>
      </c>
    </row>
    <row r="1772">
      <c r="A1772" s="56" t="s">
        <v>10528</v>
      </c>
      <c r="B1772" s="21"/>
      <c r="C1772" s="33" t="s">
        <v>10526</v>
      </c>
      <c r="E1772" s="46" t="s">
        <v>7618</v>
      </c>
    </row>
    <row r="1773">
      <c r="A1773" s="56" t="s">
        <v>10530</v>
      </c>
      <c r="B1773" s="21"/>
      <c r="C1773" s="33" t="s">
        <v>10531</v>
      </c>
      <c r="E1773" s="46" t="s">
        <v>7616</v>
      </c>
    </row>
    <row r="1774">
      <c r="A1774" s="56" t="s">
        <v>10532</v>
      </c>
      <c r="B1774" s="21"/>
      <c r="C1774" s="33" t="s">
        <v>10531</v>
      </c>
      <c r="E1774" s="46" t="s">
        <v>7618</v>
      </c>
    </row>
    <row r="1775">
      <c r="A1775" s="56" t="s">
        <v>10533</v>
      </c>
      <c r="B1775" s="21"/>
      <c r="C1775" s="33" t="s">
        <v>10534</v>
      </c>
      <c r="E1775" s="46" t="s">
        <v>7616</v>
      </c>
    </row>
    <row r="1776">
      <c r="A1776" s="56" t="s">
        <v>10535</v>
      </c>
      <c r="B1776" s="21"/>
      <c r="C1776" s="33" t="s">
        <v>10534</v>
      </c>
      <c r="E1776" s="46" t="s">
        <v>7618</v>
      </c>
    </row>
    <row r="1777">
      <c r="A1777" s="56" t="s">
        <v>10536</v>
      </c>
      <c r="B1777" s="21"/>
      <c r="C1777" s="33" t="s">
        <v>10526</v>
      </c>
      <c r="E1777" s="46" t="s">
        <v>7616</v>
      </c>
    </row>
    <row r="1778">
      <c r="A1778" s="56" t="s">
        <v>10537</v>
      </c>
      <c r="B1778" s="21"/>
      <c r="C1778" s="33" t="s">
        <v>10526</v>
      </c>
      <c r="E1778" s="46" t="s">
        <v>7618</v>
      </c>
    </row>
    <row r="1779">
      <c r="A1779" s="56" t="s">
        <v>10539</v>
      </c>
      <c r="B1779" s="21"/>
      <c r="C1779" s="33" t="s">
        <v>10531</v>
      </c>
      <c r="E1779" s="46" t="s">
        <v>7616</v>
      </c>
    </row>
    <row r="1780">
      <c r="A1780" s="56" t="s">
        <v>10540</v>
      </c>
      <c r="B1780" s="21"/>
      <c r="C1780" s="33" t="s">
        <v>10531</v>
      </c>
      <c r="E1780" s="46" t="s">
        <v>7618</v>
      </c>
    </row>
    <row r="1781">
      <c r="A1781" s="56" t="s">
        <v>10541</v>
      </c>
      <c r="B1781" s="21"/>
      <c r="C1781" s="33" t="s">
        <v>10534</v>
      </c>
      <c r="E1781" s="46" t="s">
        <v>7616</v>
      </c>
    </row>
    <row r="1782">
      <c r="A1782" s="56" t="s">
        <v>10542</v>
      </c>
      <c r="B1782" s="21"/>
      <c r="C1782" s="33" t="s">
        <v>10534</v>
      </c>
      <c r="E1782" s="46" t="s">
        <v>7618</v>
      </c>
    </row>
    <row r="1783">
      <c r="A1783" s="56" t="s">
        <v>10543</v>
      </c>
      <c r="B1783" s="21"/>
      <c r="C1783" s="33" t="s">
        <v>10544</v>
      </c>
      <c r="E1783" s="46" t="s">
        <v>7616</v>
      </c>
    </row>
    <row r="1784">
      <c r="A1784" s="56" t="s">
        <v>10545</v>
      </c>
      <c r="B1784" s="21"/>
      <c r="C1784" s="33" t="s">
        <v>10544</v>
      </c>
      <c r="E1784" s="46" t="s">
        <v>7618</v>
      </c>
    </row>
    <row r="1785">
      <c r="A1785" s="56" t="s">
        <v>10548</v>
      </c>
      <c r="B1785" s="21"/>
      <c r="C1785" s="33" t="s">
        <v>10549</v>
      </c>
      <c r="E1785" s="46" t="s">
        <v>7616</v>
      </c>
    </row>
    <row r="1786">
      <c r="A1786" s="56" t="s">
        <v>10550</v>
      </c>
      <c r="B1786" s="21"/>
      <c r="C1786" s="33" t="s">
        <v>10549</v>
      </c>
      <c r="E1786" s="46" t="s">
        <v>7618</v>
      </c>
    </row>
    <row r="1787">
      <c r="A1787" s="56" t="s">
        <v>10552</v>
      </c>
      <c r="B1787" s="21"/>
      <c r="C1787" s="33" t="s">
        <v>10553</v>
      </c>
      <c r="E1787" s="46" t="s">
        <v>7616</v>
      </c>
    </row>
    <row r="1788">
      <c r="A1788" s="56" t="s">
        <v>10554</v>
      </c>
      <c r="B1788" s="21"/>
      <c r="C1788" s="33" t="s">
        <v>10553</v>
      </c>
      <c r="E1788" s="46" t="s">
        <v>7618</v>
      </c>
    </row>
    <row r="1789">
      <c r="A1789" s="56" t="s">
        <v>10555</v>
      </c>
      <c r="B1789" s="21"/>
      <c r="C1789" s="33" t="s">
        <v>10544</v>
      </c>
      <c r="E1789" s="46" t="s">
        <v>7616</v>
      </c>
    </row>
    <row r="1790">
      <c r="A1790" s="56" t="s">
        <v>10556</v>
      </c>
      <c r="B1790" s="21"/>
      <c r="C1790" s="33" t="s">
        <v>10544</v>
      </c>
      <c r="E1790" s="46" t="s">
        <v>7618</v>
      </c>
    </row>
    <row r="1791">
      <c r="A1791" s="56" t="s">
        <v>10557</v>
      </c>
      <c r="B1791" s="21"/>
      <c r="C1791" s="33" t="s">
        <v>10549</v>
      </c>
      <c r="E1791" s="46" t="s">
        <v>7616</v>
      </c>
    </row>
    <row r="1792">
      <c r="A1792" s="56" t="s">
        <v>10558</v>
      </c>
      <c r="B1792" s="21"/>
      <c r="C1792" s="33" t="s">
        <v>10549</v>
      </c>
      <c r="E1792" s="46" t="s">
        <v>7618</v>
      </c>
    </row>
    <row r="1793">
      <c r="A1793" s="56" t="s">
        <v>10559</v>
      </c>
      <c r="B1793" s="21"/>
      <c r="C1793" s="33" t="s">
        <v>10553</v>
      </c>
      <c r="E1793" s="46" t="s">
        <v>7616</v>
      </c>
    </row>
    <row r="1794">
      <c r="A1794" s="56" t="s">
        <v>10561</v>
      </c>
      <c r="B1794" s="21"/>
      <c r="C1794" s="33" t="s">
        <v>10553</v>
      </c>
      <c r="E1794" s="46" t="s">
        <v>7618</v>
      </c>
    </row>
    <row r="1795">
      <c r="A1795" s="56" t="s">
        <v>10562</v>
      </c>
      <c r="B1795" s="84"/>
      <c r="C1795" s="33" t="s">
        <v>10563</v>
      </c>
      <c r="E1795" s="46" t="s">
        <v>3366</v>
      </c>
    </row>
    <row r="1796">
      <c r="A1796" s="56" t="s">
        <v>10565</v>
      </c>
      <c r="B1796" s="84"/>
      <c r="C1796" s="33" t="s">
        <v>10563</v>
      </c>
      <c r="E1796" s="46" t="s">
        <v>3366</v>
      </c>
    </row>
    <row r="1797">
      <c r="A1797" s="56" t="s">
        <v>10567</v>
      </c>
      <c r="B1797" s="82"/>
      <c r="C1797" s="33" t="s">
        <v>10568</v>
      </c>
      <c r="E1797" s="46" t="s">
        <v>7609</v>
      </c>
      <c r="F1797" s="46" t="s">
        <v>10569</v>
      </c>
    </row>
    <row r="1798">
      <c r="A1798" s="56" t="s">
        <v>10570</v>
      </c>
      <c r="B1798" s="55"/>
      <c r="C1798" s="31"/>
    </row>
    <row r="1799">
      <c r="A1799" s="56" t="s">
        <v>10571</v>
      </c>
      <c r="B1799" s="55"/>
      <c r="C1799" s="31"/>
    </row>
    <row r="1800">
      <c r="A1800" s="56" t="s">
        <v>10572</v>
      </c>
      <c r="B1800" s="55"/>
      <c r="C1800" s="31"/>
    </row>
    <row r="1801">
      <c r="A1801" s="56" t="s">
        <v>10573</v>
      </c>
      <c r="B1801" s="55"/>
      <c r="C1801" s="31"/>
    </row>
    <row r="1802">
      <c r="A1802" s="56" t="s">
        <v>10575</v>
      </c>
      <c r="B1802" s="55"/>
      <c r="C1802" s="31"/>
    </row>
    <row r="1803">
      <c r="A1803" s="56" t="s">
        <v>10576</v>
      </c>
      <c r="B1803" s="55"/>
      <c r="C1803" s="31"/>
    </row>
    <row r="1804">
      <c r="A1804" s="56" t="s">
        <v>10577</v>
      </c>
      <c r="B1804" s="55"/>
      <c r="C1804" s="31"/>
    </row>
    <row r="1805">
      <c r="A1805" s="56" t="s">
        <v>10578</v>
      </c>
      <c r="B1805" s="55"/>
      <c r="C1805" s="31"/>
    </row>
    <row r="1806">
      <c r="A1806" s="56" t="s">
        <v>10579</v>
      </c>
      <c r="B1806" s="55"/>
      <c r="C1806" s="31"/>
    </row>
    <row r="1807">
      <c r="A1807" s="56" t="s">
        <v>10580</v>
      </c>
      <c r="B1807" s="55"/>
      <c r="C1807" s="31"/>
    </row>
    <row r="1808">
      <c r="A1808" s="56" t="s">
        <v>10581</v>
      </c>
      <c r="B1808" s="55"/>
      <c r="C1808" s="31"/>
    </row>
    <row r="1809">
      <c r="A1809" s="56" t="s">
        <v>10582</v>
      </c>
      <c r="B1809" s="55"/>
      <c r="C1809" s="31"/>
    </row>
    <row r="1810">
      <c r="A1810" s="56" t="s">
        <v>10583</v>
      </c>
      <c r="B1810" s="55"/>
      <c r="C1810" s="31"/>
    </row>
    <row r="1811">
      <c r="A1811" s="56" t="s">
        <v>10585</v>
      </c>
      <c r="B1811" s="55"/>
      <c r="C1811" s="31"/>
    </row>
    <row r="1812">
      <c r="A1812" s="56" t="s">
        <v>10588</v>
      </c>
      <c r="B1812" s="55"/>
      <c r="C1812" s="31"/>
    </row>
    <row r="1813">
      <c r="A1813" s="56" t="s">
        <v>10589</v>
      </c>
      <c r="B1813" s="55"/>
      <c r="C1813" s="31"/>
    </row>
    <row r="1814">
      <c r="A1814" s="56" t="s">
        <v>10590</v>
      </c>
      <c r="B1814" s="55"/>
      <c r="C1814" s="31"/>
    </row>
    <row r="1815">
      <c r="A1815" s="56" t="s">
        <v>10591</v>
      </c>
      <c r="B1815" s="55"/>
      <c r="C1815" s="31"/>
    </row>
    <row r="1816">
      <c r="A1816" s="56" t="s">
        <v>10592</v>
      </c>
      <c r="B1816" s="55"/>
      <c r="C1816" s="31"/>
    </row>
    <row r="1817">
      <c r="A1817" s="56" t="s">
        <v>10593</v>
      </c>
      <c r="B1817" s="55"/>
      <c r="C1817" s="31"/>
    </row>
    <row r="1818">
      <c r="A1818" s="56" t="s">
        <v>10594</v>
      </c>
      <c r="B1818" s="82"/>
      <c r="C1818" s="33" t="s">
        <v>10595</v>
      </c>
      <c r="E1818" s="46" t="s">
        <v>7609</v>
      </c>
    </row>
    <row r="1819">
      <c r="A1819" s="56" t="s">
        <v>10596</v>
      </c>
      <c r="B1819" s="55"/>
      <c r="C1819" s="31"/>
    </row>
    <row r="1820">
      <c r="A1820" s="56" t="s">
        <v>10597</v>
      </c>
      <c r="B1820" s="55"/>
      <c r="C1820" s="31"/>
    </row>
    <row r="1821">
      <c r="A1821" s="56" t="s">
        <v>10598</v>
      </c>
      <c r="B1821" s="55"/>
      <c r="C1821" s="31"/>
    </row>
    <row r="1822">
      <c r="A1822" s="56" t="s">
        <v>10599</v>
      </c>
      <c r="B1822" s="55"/>
      <c r="C1822" s="31"/>
    </row>
    <row r="1823">
      <c r="A1823" s="56" t="s">
        <v>10601</v>
      </c>
      <c r="B1823" s="55"/>
      <c r="C1823" s="31"/>
    </row>
    <row r="1824">
      <c r="A1824" s="56" t="s">
        <v>10602</v>
      </c>
      <c r="B1824" s="55"/>
      <c r="C1824" s="31"/>
    </row>
    <row r="1825">
      <c r="A1825" s="56" t="s">
        <v>10603</v>
      </c>
      <c r="B1825" s="55"/>
      <c r="C1825" s="31"/>
    </row>
    <row r="1826">
      <c r="A1826" s="56" t="s">
        <v>10604</v>
      </c>
      <c r="B1826" s="55"/>
      <c r="C1826" s="31"/>
    </row>
    <row r="1827">
      <c r="A1827" s="56" t="s">
        <v>10605</v>
      </c>
      <c r="B1827" s="55"/>
      <c r="C1827" s="31"/>
    </row>
    <row r="1828">
      <c r="A1828" s="56" t="s">
        <v>10606</v>
      </c>
      <c r="B1828" s="55"/>
      <c r="C1828" s="31"/>
    </row>
    <row r="1829">
      <c r="A1829" s="56" t="s">
        <v>10607</v>
      </c>
      <c r="B1829" s="55"/>
      <c r="C1829" s="31"/>
    </row>
    <row r="1830">
      <c r="A1830" s="56" t="s">
        <v>10608</v>
      </c>
      <c r="B1830" s="55"/>
      <c r="C1830" s="31"/>
    </row>
    <row r="1831">
      <c r="A1831" s="56" t="s">
        <v>10610</v>
      </c>
      <c r="B1831" s="55"/>
      <c r="C1831" s="31"/>
    </row>
    <row r="1832">
      <c r="A1832" s="56" t="s">
        <v>10612</v>
      </c>
      <c r="B1832" s="55"/>
      <c r="C1832" s="31"/>
    </row>
    <row r="1833">
      <c r="A1833" s="56" t="s">
        <v>10614</v>
      </c>
      <c r="B1833" s="55"/>
      <c r="C1833" s="31"/>
    </row>
    <row r="1834">
      <c r="A1834" s="56" t="s">
        <v>10615</v>
      </c>
      <c r="B1834" s="55"/>
      <c r="C1834" s="31"/>
    </row>
    <row r="1835">
      <c r="A1835" s="56" t="s">
        <v>10616</v>
      </c>
      <c r="B1835" s="55"/>
      <c r="C1835" s="31"/>
    </row>
    <row r="1836">
      <c r="A1836" s="56" t="s">
        <v>10617</v>
      </c>
      <c r="B1836" s="55"/>
      <c r="C1836" s="31"/>
    </row>
    <row r="1837">
      <c r="A1837" s="56" t="s">
        <v>10618</v>
      </c>
      <c r="B1837" s="55"/>
      <c r="C1837" s="31"/>
    </row>
    <row r="1838">
      <c r="A1838" s="56" t="s">
        <v>10619</v>
      </c>
      <c r="B1838" s="55"/>
      <c r="C1838" s="31"/>
    </row>
    <row r="1839">
      <c r="A1839" s="56" t="s">
        <v>10620</v>
      </c>
      <c r="B1839" s="55"/>
      <c r="C1839" s="31"/>
    </row>
    <row r="1840">
      <c r="A1840" s="56" t="s">
        <v>10622</v>
      </c>
      <c r="B1840" s="55"/>
      <c r="C1840" s="31"/>
    </row>
    <row r="1841">
      <c r="A1841" s="56" t="s">
        <v>10623</v>
      </c>
      <c r="B1841" s="55"/>
      <c r="C1841" s="31"/>
    </row>
    <row r="1842">
      <c r="A1842" s="56" t="s">
        <v>10624</v>
      </c>
      <c r="B1842" s="55"/>
      <c r="C1842" s="31"/>
    </row>
    <row r="1843">
      <c r="A1843" s="56" t="s">
        <v>10625</v>
      </c>
      <c r="B1843" s="55"/>
      <c r="C1843" s="31"/>
    </row>
    <row r="1844">
      <c r="A1844" s="56" t="s">
        <v>10626</v>
      </c>
      <c r="B1844" s="55"/>
      <c r="C1844" s="31"/>
    </row>
    <row r="1845">
      <c r="A1845" s="56" t="s">
        <v>10627</v>
      </c>
      <c r="B1845" s="55"/>
      <c r="C1845" s="31"/>
    </row>
    <row r="1846">
      <c r="A1846" s="56" t="s">
        <v>10629</v>
      </c>
      <c r="B1846" s="55"/>
      <c r="C1846" s="31"/>
    </row>
    <row r="1847">
      <c r="A1847" s="56" t="s">
        <v>10630</v>
      </c>
      <c r="B1847" s="55"/>
      <c r="C1847" s="31"/>
    </row>
    <row r="1848">
      <c r="A1848" s="56" t="s">
        <v>10631</v>
      </c>
      <c r="B1848" s="55"/>
      <c r="C1848" s="31"/>
    </row>
    <row r="1849">
      <c r="A1849" s="56" t="s">
        <v>10632</v>
      </c>
      <c r="B1849" s="55"/>
      <c r="C1849" s="31"/>
    </row>
    <row r="1850">
      <c r="A1850" s="56" t="s">
        <v>10634</v>
      </c>
      <c r="B1850" s="55"/>
      <c r="C1850" s="31"/>
    </row>
    <row r="1851">
      <c r="A1851" s="56" t="s">
        <v>10635</v>
      </c>
      <c r="B1851" s="55"/>
      <c r="C1851" s="31"/>
    </row>
    <row r="1852">
      <c r="A1852" s="56" t="s">
        <v>10636</v>
      </c>
      <c r="B1852" s="55"/>
      <c r="C1852" s="31"/>
    </row>
    <row r="1853">
      <c r="A1853" s="56" t="s">
        <v>10637</v>
      </c>
      <c r="B1853" s="55"/>
      <c r="C1853" s="31"/>
    </row>
    <row r="1854">
      <c r="A1854" s="56" t="s">
        <v>10638</v>
      </c>
      <c r="B1854" s="55"/>
      <c r="C1854" s="31"/>
    </row>
    <row r="1855">
      <c r="A1855" s="56" t="s">
        <v>10639</v>
      </c>
      <c r="B1855" s="55"/>
      <c r="C1855" s="31"/>
    </row>
    <row r="1856">
      <c r="A1856" s="56" t="s">
        <v>10640</v>
      </c>
      <c r="B1856" s="55"/>
      <c r="C1856" s="31"/>
    </row>
    <row r="1857">
      <c r="A1857" s="56" t="s">
        <v>10641</v>
      </c>
      <c r="B1857" s="55"/>
      <c r="C1857" s="31"/>
    </row>
    <row r="1858">
      <c r="A1858" s="56" t="s">
        <v>10642</v>
      </c>
      <c r="B1858" s="55"/>
      <c r="C1858" s="31"/>
    </row>
    <row r="1859">
      <c r="A1859" s="56" t="s">
        <v>10643</v>
      </c>
      <c r="B1859" s="55"/>
      <c r="C1859" s="31"/>
    </row>
    <row r="1860">
      <c r="A1860" s="56" t="s">
        <v>10645</v>
      </c>
      <c r="B1860" s="55"/>
      <c r="C1860" s="31"/>
    </row>
    <row r="1861">
      <c r="A1861" s="56" t="s">
        <v>10646</v>
      </c>
      <c r="B1861" s="55"/>
      <c r="C1861" s="31"/>
    </row>
    <row r="1862">
      <c r="A1862" s="56" t="s">
        <v>10647</v>
      </c>
      <c r="B1862" s="55"/>
      <c r="C1862" s="31"/>
    </row>
    <row r="1863">
      <c r="A1863" s="56" t="s">
        <v>10648</v>
      </c>
      <c r="B1863" s="55"/>
      <c r="C1863" s="31"/>
    </row>
    <row r="1864">
      <c r="A1864" s="56" t="s">
        <v>10650</v>
      </c>
      <c r="B1864" s="55"/>
      <c r="C1864" s="31"/>
    </row>
    <row r="1865">
      <c r="A1865" s="56" t="s">
        <v>10652</v>
      </c>
      <c r="B1865" s="55"/>
      <c r="C1865" s="31"/>
    </row>
    <row r="1866">
      <c r="A1866" s="56" t="s">
        <v>10653</v>
      </c>
      <c r="B1866" s="55"/>
      <c r="C1866" s="31"/>
    </row>
    <row r="1867">
      <c r="A1867" s="56" t="s">
        <v>10654</v>
      </c>
      <c r="B1867" s="55"/>
      <c r="C1867" s="31"/>
    </row>
    <row r="1868">
      <c r="A1868" s="56" t="s">
        <v>10655</v>
      </c>
      <c r="B1868" s="82"/>
      <c r="C1868" s="33" t="s">
        <v>10657</v>
      </c>
      <c r="E1868" s="46" t="s">
        <v>7609</v>
      </c>
    </row>
    <row r="1869">
      <c r="A1869" s="56" t="s">
        <v>10658</v>
      </c>
      <c r="B1869" s="55"/>
      <c r="C1869" s="31"/>
    </row>
    <row r="1870">
      <c r="A1870" s="56" t="s">
        <v>10659</v>
      </c>
      <c r="B1870" s="55"/>
      <c r="C1870" s="31"/>
    </row>
    <row r="1871">
      <c r="A1871" s="56" t="s">
        <v>10660</v>
      </c>
      <c r="B1871" s="55"/>
      <c r="C1871" s="31"/>
    </row>
    <row r="1872">
      <c r="A1872" s="56" t="s">
        <v>10662</v>
      </c>
      <c r="B1872" s="55"/>
      <c r="C1872" s="31"/>
    </row>
    <row r="1873">
      <c r="A1873" s="56" t="s">
        <v>10664</v>
      </c>
      <c r="B1873" s="55"/>
      <c r="C1873" s="31"/>
    </row>
    <row r="1874">
      <c r="A1874" s="56" t="s">
        <v>10666</v>
      </c>
      <c r="B1874" s="55"/>
      <c r="C1874" s="31"/>
    </row>
    <row r="1875">
      <c r="A1875" s="56" t="s">
        <v>10667</v>
      </c>
      <c r="B1875" s="55"/>
      <c r="C1875" s="31"/>
    </row>
    <row r="1876">
      <c r="A1876" s="56" t="s">
        <v>10668</v>
      </c>
      <c r="B1876" s="55"/>
      <c r="C1876" s="31"/>
    </row>
    <row r="1877">
      <c r="A1877" s="56" t="s">
        <v>10669</v>
      </c>
      <c r="B1877" s="55"/>
      <c r="C1877" s="31"/>
    </row>
    <row r="1878">
      <c r="A1878" s="56" t="s">
        <v>10670</v>
      </c>
      <c r="B1878" s="55"/>
      <c r="C1878" s="31"/>
    </row>
    <row r="1879">
      <c r="A1879" s="56" t="s">
        <v>10671</v>
      </c>
      <c r="B1879" s="55"/>
      <c r="C1879" s="31"/>
    </row>
    <row r="1880">
      <c r="A1880" s="56" t="s">
        <v>10672</v>
      </c>
      <c r="B1880" s="55"/>
      <c r="C1880" s="31"/>
    </row>
    <row r="1881">
      <c r="A1881" s="56" t="s">
        <v>10673</v>
      </c>
      <c r="B1881" s="55"/>
      <c r="C1881" s="31"/>
    </row>
    <row r="1882">
      <c r="A1882" s="56" t="s">
        <v>10674</v>
      </c>
      <c r="B1882" s="55"/>
      <c r="C1882" s="31"/>
    </row>
    <row r="1883">
      <c r="A1883" s="56" t="s">
        <v>10675</v>
      </c>
      <c r="B1883" s="55"/>
      <c r="C1883" s="31"/>
    </row>
    <row r="1884">
      <c r="A1884" s="56" t="s">
        <v>10679</v>
      </c>
      <c r="B1884" s="55"/>
      <c r="C1884" s="31"/>
    </row>
    <row r="1885">
      <c r="A1885" s="56" t="s">
        <v>10681</v>
      </c>
      <c r="B1885" s="55"/>
      <c r="C1885" s="31"/>
    </row>
    <row r="1886">
      <c r="A1886" s="56" t="s">
        <v>10682</v>
      </c>
      <c r="B1886" s="55"/>
      <c r="C1886" s="31"/>
    </row>
    <row r="1887">
      <c r="A1887" s="56" t="s">
        <v>10684</v>
      </c>
      <c r="B1887" s="55"/>
      <c r="C1887" s="31"/>
    </row>
    <row r="1888">
      <c r="A1888" s="56" t="s">
        <v>10685</v>
      </c>
      <c r="B1888" s="55"/>
      <c r="C1888" s="31"/>
    </row>
    <row r="1889">
      <c r="A1889" s="56" t="s">
        <v>10686</v>
      </c>
      <c r="B1889" s="55"/>
      <c r="C1889" s="31"/>
    </row>
    <row r="1890">
      <c r="A1890" s="56" t="s">
        <v>10688</v>
      </c>
      <c r="B1890" s="55"/>
      <c r="C1890" s="31"/>
    </row>
    <row r="1891">
      <c r="A1891" s="56" t="s">
        <v>10689</v>
      </c>
      <c r="B1891" s="55"/>
      <c r="C1891" s="31"/>
    </row>
    <row r="1892">
      <c r="A1892" s="56" t="s">
        <v>10690</v>
      </c>
      <c r="B1892" s="55"/>
      <c r="C1892" s="31"/>
    </row>
    <row r="1893">
      <c r="A1893" s="56" t="s">
        <v>10691</v>
      </c>
      <c r="B1893" s="55"/>
      <c r="C1893" s="31"/>
    </row>
    <row r="1894">
      <c r="A1894" s="56" t="s">
        <v>10693</v>
      </c>
      <c r="B1894" s="55"/>
      <c r="C1894" s="31"/>
    </row>
    <row r="1895">
      <c r="A1895" s="56" t="s">
        <v>10694</v>
      </c>
      <c r="B1895" s="55"/>
      <c r="C1895" s="31"/>
    </row>
    <row r="1896">
      <c r="A1896" s="56" t="s">
        <v>10696</v>
      </c>
      <c r="B1896" s="55"/>
      <c r="C1896" s="31"/>
    </row>
    <row r="1897">
      <c r="A1897" s="56" t="s">
        <v>10698</v>
      </c>
      <c r="B1897" s="55"/>
      <c r="C1897" s="31"/>
    </row>
    <row r="1898">
      <c r="A1898" s="56" t="s">
        <v>10699</v>
      </c>
      <c r="B1898" s="55"/>
      <c r="C1898" s="31"/>
    </row>
    <row r="1899">
      <c r="A1899" s="56" t="s">
        <v>10700</v>
      </c>
      <c r="B1899" s="55"/>
      <c r="C1899" s="31"/>
    </row>
    <row r="1900">
      <c r="A1900" s="56" t="s">
        <v>10701</v>
      </c>
      <c r="B1900" s="55"/>
      <c r="C1900" s="31"/>
    </row>
    <row r="1901">
      <c r="A1901" s="56" t="s">
        <v>10703</v>
      </c>
      <c r="B1901" s="55"/>
      <c r="C1901" s="31"/>
    </row>
    <row r="1902">
      <c r="A1902" s="56" t="s">
        <v>10704</v>
      </c>
      <c r="B1902" s="55"/>
      <c r="C1902" s="31"/>
    </row>
    <row r="1903">
      <c r="A1903" s="56" t="s">
        <v>10706</v>
      </c>
      <c r="B1903" s="55"/>
      <c r="C1903" s="31"/>
    </row>
    <row r="1904">
      <c r="A1904" s="56" t="s">
        <v>10707</v>
      </c>
      <c r="B1904" s="55"/>
      <c r="C1904" s="31"/>
    </row>
    <row r="1905">
      <c r="A1905" s="56" t="s">
        <v>10708</v>
      </c>
      <c r="B1905" s="55"/>
      <c r="C1905" s="31"/>
    </row>
    <row r="1906">
      <c r="A1906" s="56" t="s">
        <v>10709</v>
      </c>
      <c r="B1906" s="55"/>
      <c r="C1906" s="31"/>
    </row>
    <row r="1907">
      <c r="A1907" s="56" t="s">
        <v>10710</v>
      </c>
      <c r="B1907" s="55"/>
      <c r="C1907" s="31"/>
    </row>
    <row r="1908">
      <c r="A1908" s="56" t="s">
        <v>10711</v>
      </c>
      <c r="B1908" s="55"/>
      <c r="C1908" s="31"/>
    </row>
    <row r="1909">
      <c r="A1909" s="56" t="s">
        <v>10713</v>
      </c>
      <c r="B1909" s="55"/>
      <c r="C1909" s="31"/>
    </row>
    <row r="1910">
      <c r="A1910" s="56" t="s">
        <v>10714</v>
      </c>
      <c r="B1910" s="55"/>
      <c r="C1910" s="31"/>
    </row>
    <row r="1911">
      <c r="A1911" s="56" t="s">
        <v>10716</v>
      </c>
      <c r="B1911" s="55"/>
      <c r="C1911" s="31"/>
    </row>
    <row r="1912">
      <c r="A1912" s="56" t="s">
        <v>10718</v>
      </c>
      <c r="B1912" s="55"/>
      <c r="C1912" s="31"/>
    </row>
    <row r="1913">
      <c r="A1913" s="56" t="s">
        <v>10719</v>
      </c>
      <c r="B1913" s="55"/>
      <c r="C1913" s="31"/>
    </row>
    <row r="1914">
      <c r="A1914" s="56" t="s">
        <v>10720</v>
      </c>
      <c r="B1914" s="82"/>
      <c r="C1914" s="33" t="s">
        <v>10721</v>
      </c>
      <c r="E1914" s="46" t="s">
        <v>7609</v>
      </c>
    </row>
    <row r="1915">
      <c r="A1915" s="56" t="s">
        <v>10722</v>
      </c>
      <c r="B1915" s="55"/>
      <c r="C1915" s="31"/>
    </row>
    <row r="1916">
      <c r="A1916" s="56" t="s">
        <v>10723</v>
      </c>
      <c r="B1916" s="55"/>
      <c r="C1916" s="31"/>
    </row>
    <row r="1917">
      <c r="A1917" s="56" t="s">
        <v>10724</v>
      </c>
      <c r="B1917" s="55"/>
      <c r="C1917" s="31"/>
    </row>
    <row r="1918">
      <c r="A1918" s="56" t="s">
        <v>10725</v>
      </c>
      <c r="B1918" s="55"/>
      <c r="C1918" s="31"/>
    </row>
    <row r="1919">
      <c r="A1919" s="56" t="s">
        <v>10726</v>
      </c>
      <c r="B1919" s="55"/>
      <c r="C1919" s="31"/>
    </row>
    <row r="1920">
      <c r="A1920" s="56" t="s">
        <v>10727</v>
      </c>
      <c r="B1920" s="55"/>
      <c r="C1920" s="31"/>
    </row>
    <row r="1921">
      <c r="A1921" s="56" t="s">
        <v>10729</v>
      </c>
      <c r="B1921" s="55"/>
      <c r="C1921" s="31"/>
    </row>
    <row r="1922">
      <c r="A1922" s="56" t="s">
        <v>10730</v>
      </c>
      <c r="B1922" s="55"/>
      <c r="C1922" s="31"/>
    </row>
    <row r="1923">
      <c r="A1923" s="56" t="s">
        <v>10731</v>
      </c>
      <c r="B1923" s="55"/>
      <c r="C1923" s="31"/>
    </row>
    <row r="1924">
      <c r="A1924" s="56" t="s">
        <v>10732</v>
      </c>
      <c r="B1924" s="55"/>
      <c r="C1924" s="31"/>
    </row>
    <row r="1925">
      <c r="A1925" s="56" t="s">
        <v>10733</v>
      </c>
      <c r="B1925" s="55"/>
      <c r="C1925" s="31"/>
    </row>
    <row r="1926">
      <c r="A1926" s="56" t="s">
        <v>10734</v>
      </c>
      <c r="B1926" s="55"/>
      <c r="C1926" s="31"/>
    </row>
    <row r="1927">
      <c r="A1927" s="56" t="s">
        <v>10735</v>
      </c>
      <c r="B1927" s="55"/>
      <c r="C1927" s="31"/>
    </row>
    <row r="1928">
      <c r="A1928" s="56" t="s">
        <v>10736</v>
      </c>
      <c r="B1928" s="55"/>
      <c r="C1928" s="31"/>
    </row>
    <row r="1929">
      <c r="A1929" s="56" t="s">
        <v>10737</v>
      </c>
      <c r="B1929" s="55"/>
      <c r="C1929" s="31"/>
    </row>
    <row r="1930">
      <c r="A1930" s="56" t="s">
        <v>10738</v>
      </c>
      <c r="B1930" s="55"/>
      <c r="C1930" s="31"/>
    </row>
    <row r="1931">
      <c r="A1931" s="56" t="s">
        <v>10739</v>
      </c>
      <c r="B1931" s="55"/>
      <c r="C1931" s="31"/>
    </row>
    <row r="1932">
      <c r="A1932" s="56" t="s">
        <v>10740</v>
      </c>
      <c r="B1932" s="55"/>
      <c r="C1932" s="31"/>
    </row>
    <row r="1933">
      <c r="A1933" s="56" t="s">
        <v>10741</v>
      </c>
      <c r="B1933" s="55"/>
      <c r="C1933" s="31"/>
    </row>
    <row r="1934">
      <c r="A1934" s="56" t="s">
        <v>10742</v>
      </c>
      <c r="B1934" s="55"/>
      <c r="C1934" s="31"/>
    </row>
    <row r="1935">
      <c r="A1935" s="56" t="s">
        <v>10743</v>
      </c>
      <c r="B1935" s="55"/>
      <c r="C1935" s="31"/>
    </row>
    <row r="1936">
      <c r="A1936" s="56" t="s">
        <v>10746</v>
      </c>
      <c r="B1936" s="55"/>
      <c r="C1936" s="31"/>
    </row>
    <row r="1937">
      <c r="A1937" s="56" t="s">
        <v>10748</v>
      </c>
      <c r="B1937" s="55"/>
      <c r="C1937" s="31"/>
    </row>
    <row r="1938">
      <c r="A1938" s="56" t="s">
        <v>10749</v>
      </c>
      <c r="B1938" s="55"/>
      <c r="C1938" s="31"/>
    </row>
    <row r="1939">
      <c r="A1939" s="56" t="s">
        <v>10750</v>
      </c>
      <c r="B1939" s="55"/>
      <c r="C1939" s="31"/>
    </row>
    <row r="1940">
      <c r="A1940" s="56" t="s">
        <v>10751</v>
      </c>
      <c r="B1940" s="55"/>
      <c r="C1940" s="31"/>
    </row>
    <row r="1941">
      <c r="A1941" s="56" t="s">
        <v>10752</v>
      </c>
      <c r="B1941" s="55"/>
      <c r="C1941" s="31"/>
    </row>
    <row r="1942">
      <c r="A1942" s="56" t="s">
        <v>10753</v>
      </c>
      <c r="B1942" s="55"/>
      <c r="C1942" s="31"/>
    </row>
    <row r="1943">
      <c r="A1943" s="56" t="s">
        <v>10756</v>
      </c>
      <c r="B1943" s="55"/>
      <c r="C1943" s="31"/>
    </row>
    <row r="1944">
      <c r="A1944" s="56" t="s">
        <v>10757</v>
      </c>
      <c r="B1944" s="55"/>
      <c r="C1944" s="31"/>
    </row>
    <row r="1945">
      <c r="A1945" s="56" t="s">
        <v>10758</v>
      </c>
      <c r="B1945" s="55"/>
      <c r="C1945" s="31"/>
    </row>
    <row r="1946">
      <c r="A1946" s="56" t="s">
        <v>10759</v>
      </c>
      <c r="B1946" s="55"/>
      <c r="C1946" s="31"/>
    </row>
    <row r="1947">
      <c r="A1947" s="56" t="s">
        <v>10760</v>
      </c>
      <c r="B1947" s="55"/>
      <c r="C1947" s="31"/>
    </row>
    <row r="1948">
      <c r="A1948" s="56" t="s">
        <v>10761</v>
      </c>
      <c r="B1948" s="82"/>
      <c r="C1948" s="33" t="s">
        <v>10762</v>
      </c>
      <c r="E1948" s="46" t="s">
        <v>7609</v>
      </c>
    </row>
    <row r="1949">
      <c r="A1949" s="56" t="s">
        <v>10763</v>
      </c>
      <c r="B1949" s="55"/>
      <c r="C1949" s="31"/>
    </row>
    <row r="1950">
      <c r="A1950" s="56" t="s">
        <v>10764</v>
      </c>
      <c r="B1950" s="55"/>
      <c r="C1950" s="31"/>
    </row>
    <row r="1951">
      <c r="A1951" s="56" t="s">
        <v>10768</v>
      </c>
      <c r="B1951" s="55"/>
      <c r="C1951" s="31"/>
    </row>
    <row r="1952">
      <c r="A1952" s="56" t="s">
        <v>10769</v>
      </c>
      <c r="B1952" s="55"/>
      <c r="C1952" s="31"/>
    </row>
    <row r="1953">
      <c r="A1953" s="56" t="s">
        <v>10770</v>
      </c>
      <c r="B1953" s="55"/>
      <c r="C1953" s="31"/>
    </row>
    <row r="1954">
      <c r="A1954" s="56" t="s">
        <v>10771</v>
      </c>
      <c r="B1954" s="55"/>
      <c r="C1954" s="31"/>
    </row>
    <row r="1955">
      <c r="A1955" s="56" t="s">
        <v>10772</v>
      </c>
      <c r="B1955" s="55"/>
      <c r="C1955" s="31"/>
    </row>
    <row r="1956">
      <c r="A1956" s="56" t="s">
        <v>10773</v>
      </c>
      <c r="B1956" s="55"/>
      <c r="C1956" s="31"/>
    </row>
    <row r="1957">
      <c r="A1957" s="56" t="s">
        <v>10774</v>
      </c>
      <c r="B1957" s="55"/>
      <c r="C1957" s="31"/>
    </row>
    <row r="1958">
      <c r="A1958" s="56" t="s">
        <v>10776</v>
      </c>
      <c r="B1958" s="55"/>
      <c r="C1958" s="31"/>
    </row>
    <row r="1959">
      <c r="A1959" s="56" t="s">
        <v>10777</v>
      </c>
      <c r="B1959" s="55"/>
      <c r="C1959" s="31"/>
    </row>
    <row r="1960">
      <c r="A1960" s="56" t="s">
        <v>10778</v>
      </c>
      <c r="B1960" s="55"/>
      <c r="C1960" s="31"/>
    </row>
    <row r="1961">
      <c r="A1961" s="56" t="s">
        <v>10780</v>
      </c>
      <c r="B1961" s="55"/>
      <c r="C1961" s="31"/>
    </row>
    <row r="1962">
      <c r="A1962" s="56" t="s">
        <v>10781</v>
      </c>
      <c r="B1962" s="55"/>
      <c r="C1962" s="31"/>
    </row>
    <row r="1963">
      <c r="A1963" s="56" t="s">
        <v>10782</v>
      </c>
      <c r="B1963" s="55"/>
      <c r="C1963" s="31"/>
    </row>
    <row r="1964">
      <c r="A1964" s="56" t="s">
        <v>10783</v>
      </c>
      <c r="B1964" s="55"/>
      <c r="C1964" s="31"/>
    </row>
    <row r="1965">
      <c r="A1965" s="56" t="s">
        <v>10784</v>
      </c>
      <c r="B1965" s="55"/>
      <c r="C1965" s="31"/>
    </row>
    <row r="1966">
      <c r="A1966" s="56" t="s">
        <v>10785</v>
      </c>
      <c r="B1966" s="55"/>
      <c r="C1966" s="31"/>
    </row>
    <row r="1967">
      <c r="A1967" s="56" t="s">
        <v>10786</v>
      </c>
      <c r="B1967" s="55"/>
      <c r="C1967" s="31"/>
    </row>
    <row r="1968">
      <c r="A1968" s="56" t="s">
        <v>10788</v>
      </c>
      <c r="B1968" s="55"/>
      <c r="C1968" s="31"/>
    </row>
    <row r="1969">
      <c r="A1969" s="56" t="s">
        <v>10789</v>
      </c>
      <c r="B1969" s="55"/>
      <c r="C1969" s="31"/>
    </row>
    <row r="1970">
      <c r="A1970" s="56" t="s">
        <v>10791</v>
      </c>
      <c r="B1970" s="55"/>
      <c r="C1970" s="31"/>
    </row>
    <row r="1971">
      <c r="A1971" s="56" t="s">
        <v>10792</v>
      </c>
      <c r="B1971" s="55"/>
      <c r="C1971" s="31"/>
    </row>
    <row r="1972">
      <c r="A1972" s="56" t="s">
        <v>10794</v>
      </c>
      <c r="B1972" s="55"/>
      <c r="C1972" s="31"/>
    </row>
    <row r="1973">
      <c r="A1973" s="56" t="s">
        <v>10795</v>
      </c>
      <c r="B1973" s="55"/>
      <c r="C1973" s="31"/>
    </row>
    <row r="1974">
      <c r="A1974" s="56" t="s">
        <v>10796</v>
      </c>
      <c r="B1974" s="55"/>
      <c r="C1974" s="31"/>
    </row>
    <row r="1975">
      <c r="A1975" s="56" t="s">
        <v>10797</v>
      </c>
      <c r="B1975" s="55"/>
      <c r="C1975" s="31"/>
    </row>
    <row r="1976">
      <c r="A1976" s="56" t="s">
        <v>10798</v>
      </c>
      <c r="B1976" s="55"/>
      <c r="C1976" s="31"/>
    </row>
    <row r="1977">
      <c r="A1977" s="56" t="s">
        <v>10799</v>
      </c>
      <c r="B1977" s="55"/>
      <c r="C1977" s="31"/>
    </row>
    <row r="1978">
      <c r="A1978" s="56" t="s">
        <v>10801</v>
      </c>
      <c r="B1978" s="55"/>
      <c r="C1978" s="31"/>
    </row>
    <row r="1979">
      <c r="A1979" s="56" t="s">
        <v>10802</v>
      </c>
      <c r="B1979" s="55"/>
      <c r="C1979" s="31"/>
    </row>
    <row r="1980">
      <c r="A1980" s="56" t="s">
        <v>10804</v>
      </c>
      <c r="B1980" s="55"/>
      <c r="C1980" s="31"/>
    </row>
    <row r="1981">
      <c r="A1981" s="56" t="s">
        <v>10805</v>
      </c>
      <c r="B1981" s="55"/>
      <c r="C1981" s="31"/>
    </row>
    <row r="1982">
      <c r="A1982" s="56" t="s">
        <v>10806</v>
      </c>
      <c r="B1982" s="82"/>
      <c r="C1982" s="33" t="s">
        <v>10807</v>
      </c>
      <c r="E1982" s="46" t="s">
        <v>7609</v>
      </c>
    </row>
    <row r="1983">
      <c r="A1983" s="56" t="s">
        <v>10808</v>
      </c>
      <c r="B1983" s="55"/>
      <c r="C1983" s="31"/>
    </row>
    <row r="1984">
      <c r="A1984" s="56" t="s">
        <v>10809</v>
      </c>
      <c r="B1984" s="55"/>
      <c r="C1984" s="31"/>
    </row>
    <row r="1985">
      <c r="A1985" s="56" t="s">
        <v>10810</v>
      </c>
      <c r="B1985" s="55"/>
      <c r="C1985" s="31"/>
    </row>
    <row r="1986">
      <c r="A1986" s="56" t="s">
        <v>10811</v>
      </c>
      <c r="B1986" s="55"/>
      <c r="C1986" s="31"/>
    </row>
    <row r="1987">
      <c r="A1987" s="56" t="s">
        <v>10812</v>
      </c>
      <c r="B1987" s="55"/>
      <c r="C1987" s="31"/>
    </row>
    <row r="1988">
      <c r="A1988" s="56" t="s">
        <v>10813</v>
      </c>
      <c r="B1988" s="55"/>
      <c r="C1988" s="31"/>
    </row>
    <row r="1989">
      <c r="A1989" s="56" t="s">
        <v>10814</v>
      </c>
      <c r="B1989" s="55"/>
      <c r="C1989" s="31"/>
    </row>
    <row r="1990">
      <c r="A1990" s="56" t="s">
        <v>10816</v>
      </c>
      <c r="B1990" s="55"/>
      <c r="C1990" s="31"/>
    </row>
    <row r="1991">
      <c r="A1991" s="56" t="s">
        <v>10818</v>
      </c>
      <c r="B1991" s="55"/>
      <c r="C1991" s="31"/>
    </row>
    <row r="1992">
      <c r="A1992" s="56" t="s">
        <v>10819</v>
      </c>
      <c r="B1992" s="55"/>
      <c r="C1992" s="31"/>
    </row>
    <row r="1993">
      <c r="A1993" s="56" t="s">
        <v>10821</v>
      </c>
      <c r="B1993" s="55"/>
      <c r="C1993" s="31"/>
    </row>
    <row r="1994">
      <c r="A1994" s="56" t="s">
        <v>10822</v>
      </c>
      <c r="B1994" s="55"/>
      <c r="C1994" s="31"/>
    </row>
    <row r="1995">
      <c r="A1995" s="56" t="s">
        <v>10823</v>
      </c>
      <c r="B1995" s="55"/>
      <c r="C1995" s="31"/>
    </row>
    <row r="1996">
      <c r="A1996" s="56" t="s">
        <v>10824</v>
      </c>
      <c r="B1996" s="55"/>
      <c r="C1996" s="31"/>
    </row>
    <row r="1997">
      <c r="A1997" s="56" t="s">
        <v>10825</v>
      </c>
      <c r="B1997" s="55"/>
      <c r="C1997" s="31"/>
    </row>
    <row r="1998">
      <c r="A1998" s="56" t="s">
        <v>10826</v>
      </c>
      <c r="B1998" s="55"/>
      <c r="C1998" s="31"/>
    </row>
    <row r="1999">
      <c r="A1999" s="56" t="s">
        <v>10827</v>
      </c>
      <c r="B1999" s="55"/>
      <c r="C1999" s="31"/>
    </row>
    <row r="2000">
      <c r="A2000" s="56" t="s">
        <v>10828</v>
      </c>
      <c r="B2000" s="55"/>
      <c r="C2000" s="31"/>
    </row>
    <row r="2001">
      <c r="A2001" s="56" t="s">
        <v>10829</v>
      </c>
      <c r="B2001" s="55"/>
      <c r="C2001" s="31"/>
    </row>
    <row r="2002">
      <c r="A2002" s="56" t="s">
        <v>10830</v>
      </c>
      <c r="B2002" s="55"/>
      <c r="C2002" s="31"/>
    </row>
    <row r="2003">
      <c r="A2003" s="56" t="s">
        <v>10831</v>
      </c>
      <c r="B2003" s="55"/>
      <c r="C2003" s="31"/>
    </row>
    <row r="2004">
      <c r="A2004" s="56" t="s">
        <v>10832</v>
      </c>
      <c r="B2004" s="55"/>
      <c r="C2004" s="31"/>
    </row>
    <row r="2005">
      <c r="A2005" s="56" t="s">
        <v>10833</v>
      </c>
      <c r="B2005" s="55"/>
      <c r="C2005" s="31"/>
    </row>
    <row r="2006">
      <c r="A2006" s="56" t="s">
        <v>10834</v>
      </c>
      <c r="B2006" s="55"/>
      <c r="C2006" s="31"/>
    </row>
    <row r="2007">
      <c r="A2007" s="56" t="s">
        <v>10836</v>
      </c>
      <c r="B2007" s="55"/>
      <c r="C2007" s="31"/>
    </row>
    <row r="2008">
      <c r="A2008" s="56" t="s">
        <v>10838</v>
      </c>
      <c r="B2008" s="55"/>
      <c r="C2008" s="31"/>
    </row>
    <row r="2009">
      <c r="A2009" s="56" t="s">
        <v>10840</v>
      </c>
      <c r="B2009" s="55"/>
      <c r="C2009" s="31"/>
    </row>
    <row r="2010">
      <c r="A2010" s="56" t="s">
        <v>10841</v>
      </c>
      <c r="B2010" s="55"/>
      <c r="C2010" s="31"/>
    </row>
    <row r="2011">
      <c r="A2011" s="56" t="s">
        <v>10842</v>
      </c>
      <c r="B2011" s="55"/>
      <c r="C2011" s="31"/>
    </row>
    <row r="2012">
      <c r="A2012" s="56" t="s">
        <v>10843</v>
      </c>
      <c r="B2012" s="55"/>
      <c r="C2012" s="31"/>
    </row>
    <row r="2013">
      <c r="A2013" s="56" t="s">
        <v>10844</v>
      </c>
      <c r="B2013" s="55"/>
      <c r="C2013" s="31"/>
    </row>
    <row r="2014">
      <c r="A2014" s="56" t="s">
        <v>10845</v>
      </c>
      <c r="B2014" s="55"/>
      <c r="C2014" s="31"/>
    </row>
    <row r="2015">
      <c r="A2015" s="56" t="s">
        <v>10846</v>
      </c>
      <c r="B2015" s="55"/>
      <c r="C2015" s="31"/>
    </row>
    <row r="2016">
      <c r="A2016" s="56" t="s">
        <v>10847</v>
      </c>
      <c r="B2016" s="55"/>
      <c r="C2016" s="31"/>
    </row>
    <row r="2017">
      <c r="A2017" s="56" t="s">
        <v>10848</v>
      </c>
      <c r="B2017" s="55"/>
      <c r="C2017" s="31"/>
    </row>
    <row r="2018">
      <c r="A2018" s="56" t="s">
        <v>10849</v>
      </c>
      <c r="B2018" s="82"/>
      <c r="C2018" s="33" t="s">
        <v>10851</v>
      </c>
      <c r="E2018" s="46" t="s">
        <v>7609</v>
      </c>
      <c r="F2018" s="46" t="s">
        <v>10852</v>
      </c>
    </row>
    <row r="2019">
      <c r="A2019" s="56" t="s">
        <v>10853</v>
      </c>
      <c r="B2019" s="82"/>
      <c r="C2019" s="33" t="s">
        <v>10357</v>
      </c>
      <c r="E2019" s="46" t="s">
        <v>7616</v>
      </c>
    </row>
    <row r="2020">
      <c r="A2020" s="56" t="s">
        <v>10854</v>
      </c>
      <c r="B2020" s="82"/>
      <c r="C2020" s="33" t="s">
        <v>10357</v>
      </c>
      <c r="E2020" s="46" t="s">
        <v>7618</v>
      </c>
    </row>
    <row r="2021">
      <c r="A2021" s="56" t="s">
        <v>10855</v>
      </c>
      <c r="B2021" s="82"/>
      <c r="C2021" s="33" t="s">
        <v>10360</v>
      </c>
      <c r="E2021" s="46" t="s">
        <v>7616</v>
      </c>
    </row>
    <row r="2022">
      <c r="A2022" s="56" t="s">
        <v>10856</v>
      </c>
      <c r="B2022" s="82"/>
      <c r="C2022" s="33" t="s">
        <v>10360</v>
      </c>
      <c r="E2022" s="46" t="s">
        <v>7618</v>
      </c>
    </row>
    <row r="2023">
      <c r="A2023" s="56" t="s">
        <v>10857</v>
      </c>
      <c r="B2023" s="82"/>
      <c r="C2023" s="33" t="s">
        <v>10366</v>
      </c>
      <c r="E2023" s="46" t="s">
        <v>7616</v>
      </c>
    </row>
    <row r="2024">
      <c r="A2024" s="56" t="s">
        <v>10860</v>
      </c>
      <c r="B2024" s="82"/>
      <c r="C2024" s="33" t="s">
        <v>10366</v>
      </c>
      <c r="E2024" s="46" t="s">
        <v>7618</v>
      </c>
    </row>
    <row r="2025">
      <c r="A2025" s="56" t="s">
        <v>10862</v>
      </c>
      <c r="B2025" s="79"/>
      <c r="C2025" s="33" t="s">
        <v>10369</v>
      </c>
      <c r="E2025" s="46" t="s">
        <v>1348</v>
      </c>
    </row>
    <row r="2026">
      <c r="A2026" s="56" t="s">
        <v>10863</v>
      </c>
      <c r="B2026" s="79"/>
      <c r="C2026" s="33" t="s">
        <v>10369</v>
      </c>
      <c r="E2026" s="46" t="s">
        <v>1348</v>
      </c>
    </row>
    <row r="2027">
      <c r="A2027" s="56" t="s">
        <v>10864</v>
      </c>
      <c r="B2027" s="79"/>
      <c r="C2027" s="33" t="s">
        <v>10372</v>
      </c>
      <c r="E2027" s="46" t="s">
        <v>1348</v>
      </c>
    </row>
    <row r="2028">
      <c r="A2028" s="56" t="s">
        <v>10865</v>
      </c>
      <c r="B2028" s="82"/>
      <c r="C2028" s="33" t="s">
        <v>10866</v>
      </c>
      <c r="E2028" s="46" t="s">
        <v>7616</v>
      </c>
    </row>
    <row r="2029">
      <c r="A2029" s="56" t="s">
        <v>10867</v>
      </c>
      <c r="B2029" s="82"/>
      <c r="C2029" s="33" t="s">
        <v>10866</v>
      </c>
      <c r="E2029" s="46" t="s">
        <v>7618</v>
      </c>
    </row>
    <row r="2030">
      <c r="A2030" s="56" t="s">
        <v>10868</v>
      </c>
      <c r="B2030" s="21"/>
      <c r="C2030" s="33" t="s">
        <v>10375</v>
      </c>
      <c r="E2030" s="46" t="s">
        <v>7616</v>
      </c>
    </row>
    <row r="2031">
      <c r="A2031" s="56" t="s">
        <v>10870</v>
      </c>
      <c r="B2031" s="21"/>
      <c r="C2031" s="33" t="s">
        <v>10375</v>
      </c>
      <c r="E2031" s="46" t="s">
        <v>7618</v>
      </c>
    </row>
    <row r="2032">
      <c r="A2032" s="56" t="s">
        <v>10871</v>
      </c>
      <c r="B2032" s="21"/>
      <c r="C2032" s="33" t="s">
        <v>10379</v>
      </c>
      <c r="E2032" s="46" t="s">
        <v>7616</v>
      </c>
    </row>
    <row r="2033">
      <c r="A2033" s="56" t="s">
        <v>10872</v>
      </c>
      <c r="B2033" s="21"/>
      <c r="C2033" s="33" t="s">
        <v>10379</v>
      </c>
      <c r="E2033" s="46" t="s">
        <v>7618</v>
      </c>
    </row>
    <row r="2034">
      <c r="A2034" s="56" t="s">
        <v>10873</v>
      </c>
      <c r="B2034" s="82"/>
      <c r="C2034" s="33" t="s">
        <v>10874</v>
      </c>
      <c r="E2034" s="46" t="s">
        <v>7616</v>
      </c>
    </row>
    <row r="2035">
      <c r="A2035" s="56" t="s">
        <v>10875</v>
      </c>
      <c r="B2035" s="82"/>
      <c r="C2035" s="33" t="s">
        <v>10874</v>
      </c>
      <c r="E2035" s="46" t="s">
        <v>7618</v>
      </c>
    </row>
    <row r="2036">
      <c r="A2036" s="56" t="s">
        <v>10878</v>
      </c>
      <c r="B2036" s="82"/>
      <c r="C2036" s="33" t="s">
        <v>10879</v>
      </c>
      <c r="E2036" s="46" t="s">
        <v>7616</v>
      </c>
    </row>
    <row r="2037">
      <c r="A2037" s="56" t="s">
        <v>10881</v>
      </c>
      <c r="B2037" s="82"/>
      <c r="C2037" s="33" t="s">
        <v>10879</v>
      </c>
      <c r="E2037" s="46" t="s">
        <v>7618</v>
      </c>
    </row>
    <row r="2038">
      <c r="A2038" s="56" t="s">
        <v>10882</v>
      </c>
      <c r="B2038" s="21"/>
      <c r="C2038" s="33" t="s">
        <v>10375</v>
      </c>
      <c r="E2038" s="46" t="s">
        <v>7616</v>
      </c>
    </row>
    <row r="2039">
      <c r="A2039" s="56" t="s">
        <v>10883</v>
      </c>
      <c r="B2039" s="21"/>
      <c r="C2039" s="33" t="s">
        <v>10375</v>
      </c>
      <c r="E2039" s="46" t="s">
        <v>7618</v>
      </c>
    </row>
    <row r="2040">
      <c r="A2040" s="56" t="s">
        <v>10884</v>
      </c>
      <c r="B2040" s="21"/>
      <c r="C2040" s="33" t="s">
        <v>10379</v>
      </c>
      <c r="E2040" s="46" t="s">
        <v>7616</v>
      </c>
    </row>
    <row r="2041">
      <c r="A2041" s="56" t="s">
        <v>10885</v>
      </c>
      <c r="B2041" s="21"/>
      <c r="C2041" s="33" t="s">
        <v>10379</v>
      </c>
      <c r="E2041" s="46" t="s">
        <v>7618</v>
      </c>
    </row>
    <row r="2042">
      <c r="A2042" s="56" t="s">
        <v>10887</v>
      </c>
      <c r="B2042" s="82"/>
      <c r="C2042" s="33" t="s">
        <v>10888</v>
      </c>
      <c r="E2042" s="46" t="s">
        <v>7616</v>
      </c>
    </row>
    <row r="2043">
      <c r="A2043" s="56" t="s">
        <v>10889</v>
      </c>
      <c r="B2043" s="82"/>
      <c r="C2043" s="33" t="s">
        <v>10888</v>
      </c>
      <c r="E2043" s="46" t="s">
        <v>7618</v>
      </c>
    </row>
    <row r="2044">
      <c r="A2044" s="56" t="s">
        <v>10890</v>
      </c>
      <c r="B2044" s="21"/>
      <c r="C2044" s="33" t="s">
        <v>10398</v>
      </c>
      <c r="E2044" s="46" t="s">
        <v>7616</v>
      </c>
    </row>
    <row r="2045">
      <c r="A2045" s="56" t="s">
        <v>10893</v>
      </c>
      <c r="B2045" s="21"/>
      <c r="C2045" s="33" t="s">
        <v>10398</v>
      </c>
      <c r="E2045" s="46" t="s">
        <v>7618</v>
      </c>
    </row>
    <row r="2046">
      <c r="A2046" s="56" t="s">
        <v>10894</v>
      </c>
      <c r="B2046" s="21"/>
      <c r="C2046" s="33" t="s">
        <v>10402</v>
      </c>
      <c r="E2046" s="46" t="s">
        <v>7616</v>
      </c>
    </row>
    <row r="2047">
      <c r="A2047" s="56" t="s">
        <v>10895</v>
      </c>
      <c r="B2047" s="21"/>
      <c r="C2047" s="33" t="s">
        <v>10402</v>
      </c>
      <c r="E2047" s="46" t="s">
        <v>7618</v>
      </c>
    </row>
    <row r="2048">
      <c r="A2048" s="56" t="s">
        <v>10896</v>
      </c>
      <c r="B2048" s="21"/>
      <c r="C2048" s="33" t="s">
        <v>10406</v>
      </c>
      <c r="E2048" s="46" t="s">
        <v>7616</v>
      </c>
    </row>
    <row r="2049">
      <c r="A2049" s="56" t="s">
        <v>10897</v>
      </c>
      <c r="B2049" s="21"/>
      <c r="C2049" s="33" t="s">
        <v>10406</v>
      </c>
      <c r="E2049" s="46" t="s">
        <v>7618</v>
      </c>
    </row>
    <row r="2050">
      <c r="A2050" s="56" t="s">
        <v>10900</v>
      </c>
      <c r="B2050" s="21"/>
      <c r="C2050" s="33" t="s">
        <v>10398</v>
      </c>
      <c r="E2050" s="46" t="s">
        <v>7616</v>
      </c>
    </row>
    <row r="2051">
      <c r="A2051" s="56" t="s">
        <v>10901</v>
      </c>
      <c r="B2051" s="21"/>
      <c r="C2051" s="33" t="s">
        <v>10398</v>
      </c>
      <c r="E2051" s="46" t="s">
        <v>7618</v>
      </c>
    </row>
    <row r="2052">
      <c r="A2052" s="56" t="s">
        <v>10902</v>
      </c>
      <c r="B2052" s="21"/>
      <c r="C2052" s="33" t="s">
        <v>10402</v>
      </c>
      <c r="E2052" s="46" t="s">
        <v>7616</v>
      </c>
    </row>
    <row r="2053">
      <c r="A2053" s="56" t="s">
        <v>10903</v>
      </c>
      <c r="B2053" s="21"/>
      <c r="C2053" s="33" t="s">
        <v>10402</v>
      </c>
      <c r="E2053" s="46" t="s">
        <v>7618</v>
      </c>
    </row>
    <row r="2054">
      <c r="A2054" s="56" t="s">
        <v>10904</v>
      </c>
      <c r="B2054" s="21"/>
      <c r="C2054" s="33" t="s">
        <v>10406</v>
      </c>
      <c r="E2054" s="46" t="s">
        <v>7616</v>
      </c>
    </row>
    <row r="2055">
      <c r="A2055" s="56" t="s">
        <v>10906</v>
      </c>
      <c r="B2055" s="21"/>
      <c r="C2055" s="33" t="s">
        <v>10406</v>
      </c>
      <c r="E2055" s="46" t="s">
        <v>7618</v>
      </c>
    </row>
    <row r="2056">
      <c r="A2056" s="56" t="s">
        <v>10909</v>
      </c>
      <c r="B2056" s="82"/>
      <c r="C2056" s="33" t="s">
        <v>10417</v>
      </c>
      <c r="E2056" s="46" t="s">
        <v>3366</v>
      </c>
    </row>
    <row r="2057">
      <c r="A2057" s="56" t="s">
        <v>10910</v>
      </c>
      <c r="B2057" s="82"/>
      <c r="C2057" s="33" t="s">
        <v>10911</v>
      </c>
      <c r="E2057" s="46" t="s">
        <v>7609</v>
      </c>
    </row>
    <row r="2058">
      <c r="A2058" s="56" t="s">
        <v>10912</v>
      </c>
      <c r="B2058" s="82"/>
      <c r="C2058" s="33" t="s">
        <v>7615</v>
      </c>
      <c r="E2058" s="46" t="s">
        <v>7616</v>
      </c>
    </row>
    <row r="2059">
      <c r="A2059" s="56" t="s">
        <v>10913</v>
      </c>
      <c r="B2059" s="82"/>
      <c r="C2059" s="33" t="s">
        <v>7615</v>
      </c>
      <c r="E2059" s="46" t="s">
        <v>7618</v>
      </c>
    </row>
    <row r="2060">
      <c r="A2060" s="56" t="s">
        <v>10914</v>
      </c>
      <c r="B2060" s="82"/>
      <c r="C2060" s="33" t="s">
        <v>7620</v>
      </c>
      <c r="E2060" s="46" t="s">
        <v>7616</v>
      </c>
    </row>
    <row r="2061">
      <c r="A2061" s="56" t="s">
        <v>10915</v>
      </c>
      <c r="B2061" s="82"/>
      <c r="C2061" s="33" t="s">
        <v>7620</v>
      </c>
      <c r="E2061" s="46" t="s">
        <v>7618</v>
      </c>
    </row>
    <row r="2062">
      <c r="A2062" s="56" t="s">
        <v>10916</v>
      </c>
      <c r="B2062" s="82"/>
      <c r="C2062" s="33" t="s">
        <v>3771</v>
      </c>
      <c r="E2062" s="46" t="s">
        <v>7616</v>
      </c>
    </row>
    <row r="2063">
      <c r="A2063" s="56" t="s">
        <v>10918</v>
      </c>
      <c r="B2063" s="82"/>
      <c r="C2063" s="33" t="s">
        <v>3771</v>
      </c>
      <c r="E2063" s="46" t="s">
        <v>7618</v>
      </c>
    </row>
    <row r="2064">
      <c r="A2064" s="56" t="s">
        <v>10919</v>
      </c>
      <c r="B2064" s="79"/>
      <c r="C2064" s="33" t="s">
        <v>7628</v>
      </c>
      <c r="E2064" s="46" t="s">
        <v>1348</v>
      </c>
    </row>
    <row r="2065">
      <c r="A2065" s="56" t="s">
        <v>10920</v>
      </c>
      <c r="B2065" s="79"/>
      <c r="C2065" s="33" t="s">
        <v>7628</v>
      </c>
      <c r="E2065" s="46" t="s">
        <v>1348</v>
      </c>
    </row>
    <row r="2066">
      <c r="A2066" s="56" t="s">
        <v>10922</v>
      </c>
      <c r="B2066" s="79"/>
      <c r="C2066" s="33" t="s">
        <v>7631</v>
      </c>
      <c r="E2066" s="46" t="s">
        <v>1348</v>
      </c>
    </row>
    <row r="2067">
      <c r="A2067" s="56" t="s">
        <v>10925</v>
      </c>
      <c r="B2067" s="21"/>
      <c r="C2067" s="33" t="s">
        <v>7635</v>
      </c>
      <c r="E2067" s="46" t="s">
        <v>7616</v>
      </c>
    </row>
    <row r="2068">
      <c r="A2068" s="56" t="s">
        <v>10927</v>
      </c>
      <c r="B2068" s="21"/>
      <c r="C2068" s="33" t="s">
        <v>7635</v>
      </c>
      <c r="E2068" s="46" t="s">
        <v>7618</v>
      </c>
    </row>
    <row r="2069">
      <c r="A2069" s="56" t="s">
        <v>10928</v>
      </c>
      <c r="B2069" s="21"/>
      <c r="C2069" s="33" t="s">
        <v>7639</v>
      </c>
      <c r="E2069" s="46" t="s">
        <v>7616</v>
      </c>
    </row>
    <row r="2070">
      <c r="A2070" s="56" t="s">
        <v>10929</v>
      </c>
      <c r="B2070" s="21"/>
      <c r="C2070" s="33" t="s">
        <v>7639</v>
      </c>
      <c r="E2070" s="46" t="s">
        <v>7618</v>
      </c>
    </row>
    <row r="2071">
      <c r="A2071" s="56" t="s">
        <v>10930</v>
      </c>
      <c r="B2071" s="21"/>
      <c r="C2071" s="33" t="s">
        <v>7642</v>
      </c>
      <c r="E2071" s="46" t="s">
        <v>7616</v>
      </c>
    </row>
    <row r="2072">
      <c r="A2072" s="56" t="s">
        <v>10931</v>
      </c>
      <c r="B2072" s="21"/>
      <c r="C2072" s="33" t="s">
        <v>7642</v>
      </c>
      <c r="E2072" s="46" t="s">
        <v>7618</v>
      </c>
    </row>
    <row r="2073">
      <c r="A2073" s="56" t="s">
        <v>10932</v>
      </c>
      <c r="B2073" s="21"/>
      <c r="C2073" s="33" t="s">
        <v>7635</v>
      </c>
      <c r="E2073" s="46" t="s">
        <v>7616</v>
      </c>
    </row>
    <row r="2074">
      <c r="A2074" s="56" t="s">
        <v>10934</v>
      </c>
      <c r="B2074" s="21"/>
      <c r="C2074" s="33" t="s">
        <v>7635</v>
      </c>
      <c r="E2074" s="46" t="s">
        <v>7618</v>
      </c>
    </row>
    <row r="2075">
      <c r="A2075" s="56" t="s">
        <v>10935</v>
      </c>
      <c r="B2075" s="21"/>
      <c r="C2075" s="33" t="s">
        <v>7639</v>
      </c>
      <c r="E2075" s="46" t="s">
        <v>7616</v>
      </c>
    </row>
    <row r="2076">
      <c r="A2076" s="56" t="s">
        <v>10937</v>
      </c>
      <c r="B2076" s="21"/>
      <c r="C2076" s="33" t="s">
        <v>7639</v>
      </c>
      <c r="E2076" s="46" t="s">
        <v>7618</v>
      </c>
    </row>
    <row r="2077">
      <c r="A2077" s="56" t="s">
        <v>10941</v>
      </c>
      <c r="B2077" s="21"/>
      <c r="C2077" s="33" t="s">
        <v>7642</v>
      </c>
      <c r="E2077" s="46" t="s">
        <v>7616</v>
      </c>
    </row>
    <row r="2078">
      <c r="A2078" s="56" t="s">
        <v>10942</v>
      </c>
      <c r="B2078" s="21"/>
      <c r="C2078" s="33" t="s">
        <v>7642</v>
      </c>
      <c r="E2078" s="46" t="s">
        <v>7618</v>
      </c>
    </row>
    <row r="2079">
      <c r="A2079" s="56" t="s">
        <v>10944</v>
      </c>
      <c r="B2079" s="21"/>
      <c r="C2079" s="33" t="s">
        <v>10946</v>
      </c>
      <c r="E2079" s="46" t="s">
        <v>7616</v>
      </c>
    </row>
    <row r="2080">
      <c r="A2080" s="56" t="s">
        <v>10947</v>
      </c>
      <c r="B2080" s="21"/>
      <c r="C2080" s="33" t="s">
        <v>10946</v>
      </c>
      <c r="E2080" s="46" t="s">
        <v>7618</v>
      </c>
    </row>
    <row r="2081">
      <c r="A2081" s="56" t="s">
        <v>10948</v>
      </c>
      <c r="B2081" s="21"/>
      <c r="C2081" s="33" t="s">
        <v>7653</v>
      </c>
      <c r="E2081" s="46" t="s">
        <v>7616</v>
      </c>
    </row>
    <row r="2082">
      <c r="A2082" s="56" t="s">
        <v>10949</v>
      </c>
      <c r="B2082" s="21"/>
      <c r="C2082" s="33" t="s">
        <v>7653</v>
      </c>
      <c r="E2082" s="46" t="s">
        <v>7618</v>
      </c>
    </row>
    <row r="2083">
      <c r="A2083" s="56" t="s">
        <v>10950</v>
      </c>
      <c r="B2083" s="21"/>
      <c r="C2083" s="33" t="s">
        <v>7656</v>
      </c>
      <c r="E2083" s="46" t="s">
        <v>7616</v>
      </c>
    </row>
    <row r="2084">
      <c r="A2084" s="56" t="s">
        <v>10951</v>
      </c>
      <c r="B2084" s="21"/>
      <c r="C2084" s="33" t="s">
        <v>7656</v>
      </c>
      <c r="E2084" s="46" t="s">
        <v>7618</v>
      </c>
    </row>
    <row r="2085">
      <c r="A2085" s="56" t="s">
        <v>10952</v>
      </c>
      <c r="B2085" s="21"/>
      <c r="C2085" s="33" t="s">
        <v>3924</v>
      </c>
      <c r="E2085" s="46" t="s">
        <v>7616</v>
      </c>
    </row>
    <row r="2086">
      <c r="A2086" s="56" t="s">
        <v>10953</v>
      </c>
      <c r="B2086" s="21"/>
      <c r="C2086" s="33" t="s">
        <v>3924</v>
      </c>
      <c r="E2086" s="46" t="s">
        <v>7618</v>
      </c>
    </row>
    <row r="2087">
      <c r="A2087" s="56" t="s">
        <v>10956</v>
      </c>
      <c r="B2087" s="21"/>
      <c r="C2087" s="33" t="s">
        <v>7653</v>
      </c>
      <c r="E2087" s="46" t="s">
        <v>7616</v>
      </c>
    </row>
    <row r="2088">
      <c r="A2088" s="56" t="s">
        <v>10959</v>
      </c>
      <c r="B2088" s="21"/>
      <c r="C2088" s="33" t="s">
        <v>7653</v>
      </c>
      <c r="E2088" s="46" t="s">
        <v>7618</v>
      </c>
    </row>
    <row r="2089">
      <c r="A2089" s="56" t="s">
        <v>10961</v>
      </c>
      <c r="B2089" s="21"/>
      <c r="C2089" s="33" t="s">
        <v>7656</v>
      </c>
      <c r="E2089" s="46" t="s">
        <v>7616</v>
      </c>
    </row>
    <row r="2090">
      <c r="A2090" s="56" t="s">
        <v>10962</v>
      </c>
      <c r="B2090" s="21"/>
      <c r="C2090" s="33" t="s">
        <v>7656</v>
      </c>
      <c r="E2090" s="46" t="s">
        <v>7618</v>
      </c>
    </row>
    <row r="2091">
      <c r="A2091" s="56" t="s">
        <v>10963</v>
      </c>
      <c r="B2091" s="21"/>
      <c r="C2091" s="33" t="s">
        <v>3924</v>
      </c>
      <c r="E2091" s="46" t="s">
        <v>7616</v>
      </c>
    </row>
    <row r="2092">
      <c r="A2092" s="56" t="s">
        <v>10964</v>
      </c>
      <c r="B2092" s="21"/>
      <c r="C2092" s="33" t="s">
        <v>3924</v>
      </c>
      <c r="E2092" s="46" t="s">
        <v>7618</v>
      </c>
    </row>
    <row r="2093">
      <c r="A2093" s="56" t="s">
        <v>10965</v>
      </c>
      <c r="B2093" s="55"/>
      <c r="C2093" s="31"/>
      <c r="E2093" s="46" t="s">
        <v>3366</v>
      </c>
    </row>
    <row r="2094">
      <c r="A2094" s="56" t="s">
        <v>10966</v>
      </c>
      <c r="B2094" s="55"/>
      <c r="C2094" s="31"/>
      <c r="E2094" s="46" t="s">
        <v>3366</v>
      </c>
    </row>
    <row r="2095">
      <c r="A2095" s="56" t="s">
        <v>10967</v>
      </c>
      <c r="B2095" s="55"/>
      <c r="C2095" s="31"/>
      <c r="E2095" s="46" t="s">
        <v>3366</v>
      </c>
    </row>
    <row r="2096">
      <c r="A2096" s="56" t="s">
        <v>10969</v>
      </c>
      <c r="B2096" s="55"/>
      <c r="C2096" s="31"/>
      <c r="E2096" s="46" t="s">
        <v>3366</v>
      </c>
    </row>
    <row r="2097">
      <c r="A2097" s="56" t="s">
        <v>10971</v>
      </c>
      <c r="B2097" s="55"/>
      <c r="C2097" s="31"/>
      <c r="E2097" s="46" t="s">
        <v>3366</v>
      </c>
    </row>
    <row r="2098">
      <c r="A2098" s="56" t="s">
        <v>10972</v>
      </c>
      <c r="B2098" s="55"/>
      <c r="C2098" s="31"/>
      <c r="E2098" s="46" t="s">
        <v>3366</v>
      </c>
    </row>
    <row r="2099">
      <c r="A2099" s="56" t="s">
        <v>10973</v>
      </c>
      <c r="B2099" s="55"/>
      <c r="C2099" s="31"/>
      <c r="E2099" s="46" t="s">
        <v>3366</v>
      </c>
    </row>
    <row r="2100">
      <c r="A2100" s="56" t="s">
        <v>10974</v>
      </c>
      <c r="B2100" s="55"/>
      <c r="C2100" s="31"/>
      <c r="E2100" s="46" t="s">
        <v>3366</v>
      </c>
    </row>
    <row r="2101">
      <c r="A2101" s="56" t="s">
        <v>10975</v>
      </c>
      <c r="B2101" s="82"/>
      <c r="C2101" s="33" t="s">
        <v>10976</v>
      </c>
      <c r="E2101" s="46" t="s">
        <v>7609</v>
      </c>
    </row>
    <row r="2102">
      <c r="A2102" s="56" t="s">
        <v>10977</v>
      </c>
      <c r="B2102" s="82"/>
      <c r="C2102" s="33" t="s">
        <v>7680</v>
      </c>
      <c r="E2102" s="46" t="s">
        <v>7616</v>
      </c>
    </row>
    <row r="2103">
      <c r="A2103" s="56" t="s">
        <v>10978</v>
      </c>
      <c r="B2103" s="82"/>
      <c r="C2103" s="33" t="s">
        <v>7680</v>
      </c>
      <c r="E2103" s="46" t="s">
        <v>7618</v>
      </c>
    </row>
    <row r="2104">
      <c r="A2104" s="56" t="s">
        <v>10981</v>
      </c>
      <c r="B2104" s="82"/>
      <c r="C2104" s="33" t="s">
        <v>7684</v>
      </c>
      <c r="E2104" s="46" t="s">
        <v>7616</v>
      </c>
    </row>
    <row r="2105">
      <c r="A2105" s="56" t="s">
        <v>10984</v>
      </c>
      <c r="B2105" s="82"/>
      <c r="C2105" s="33" t="s">
        <v>7684</v>
      </c>
      <c r="E2105" s="46" t="s">
        <v>7618</v>
      </c>
    </row>
    <row r="2106">
      <c r="A2106" s="56" t="s">
        <v>10985</v>
      </c>
      <c r="B2106" s="82"/>
      <c r="C2106" s="33" t="s">
        <v>7397</v>
      </c>
      <c r="E2106" s="46" t="s">
        <v>7616</v>
      </c>
    </row>
    <row r="2107">
      <c r="A2107" s="56" t="s">
        <v>10986</v>
      </c>
      <c r="B2107" s="82"/>
      <c r="C2107" s="33" t="s">
        <v>7397</v>
      </c>
      <c r="E2107" s="46" t="s">
        <v>7618</v>
      </c>
    </row>
    <row r="2108">
      <c r="A2108" s="56" t="s">
        <v>10987</v>
      </c>
      <c r="B2108" s="79"/>
      <c r="C2108" s="33" t="s">
        <v>7689</v>
      </c>
      <c r="E2108" s="46" t="s">
        <v>1348</v>
      </c>
    </row>
    <row r="2109">
      <c r="A2109" s="56" t="s">
        <v>10988</v>
      </c>
      <c r="B2109" s="79"/>
      <c r="C2109" s="33" t="s">
        <v>7689</v>
      </c>
      <c r="E2109" s="46" t="s">
        <v>1348</v>
      </c>
    </row>
    <row r="2110">
      <c r="A2110" s="56" t="s">
        <v>10989</v>
      </c>
      <c r="B2110" s="79"/>
      <c r="C2110" s="33" t="s">
        <v>7694</v>
      </c>
      <c r="E2110" s="46" t="s">
        <v>1348</v>
      </c>
    </row>
    <row r="2111">
      <c r="A2111" s="56" t="s">
        <v>10990</v>
      </c>
      <c r="B2111" s="82"/>
      <c r="C2111" s="33" t="s">
        <v>7697</v>
      </c>
      <c r="E2111" s="46" t="s">
        <v>7616</v>
      </c>
    </row>
    <row r="2112">
      <c r="A2112" s="56" t="s">
        <v>10992</v>
      </c>
      <c r="B2112" s="82"/>
      <c r="C2112" s="33" t="s">
        <v>7697</v>
      </c>
      <c r="E2112" s="46" t="s">
        <v>7618</v>
      </c>
    </row>
    <row r="2113">
      <c r="A2113" s="56" t="s">
        <v>10993</v>
      </c>
      <c r="B2113" s="21"/>
      <c r="C2113" s="33" t="s">
        <v>7700</v>
      </c>
      <c r="E2113" s="46" t="s">
        <v>7616</v>
      </c>
    </row>
    <row r="2114">
      <c r="A2114" s="56" t="s">
        <v>10994</v>
      </c>
      <c r="B2114" s="21"/>
      <c r="C2114" s="33" t="s">
        <v>7700</v>
      </c>
      <c r="E2114" s="46" t="s">
        <v>7618</v>
      </c>
    </row>
    <row r="2115">
      <c r="A2115" s="56" t="s">
        <v>10995</v>
      </c>
      <c r="B2115" s="21"/>
      <c r="C2115" s="33" t="s">
        <v>7707</v>
      </c>
      <c r="E2115" s="46" t="s">
        <v>7616</v>
      </c>
    </row>
    <row r="2116">
      <c r="A2116" s="56" t="s">
        <v>10997</v>
      </c>
      <c r="B2116" s="21"/>
      <c r="C2116" s="33" t="s">
        <v>7707</v>
      </c>
      <c r="E2116" s="46" t="s">
        <v>7618</v>
      </c>
    </row>
    <row r="2117">
      <c r="A2117" s="56" t="s">
        <v>10998</v>
      </c>
      <c r="B2117" s="21"/>
      <c r="C2117" s="33" t="s">
        <v>7712</v>
      </c>
      <c r="E2117" s="46" t="s">
        <v>7616</v>
      </c>
    </row>
    <row r="2118">
      <c r="A2118" s="56" t="s">
        <v>10999</v>
      </c>
      <c r="B2118" s="21"/>
      <c r="C2118" s="33" t="s">
        <v>7712</v>
      </c>
      <c r="E2118" s="46" t="s">
        <v>7618</v>
      </c>
    </row>
    <row r="2119">
      <c r="A2119" s="56" t="s">
        <v>11001</v>
      </c>
      <c r="B2119" s="21"/>
      <c r="C2119" s="33" t="s">
        <v>7700</v>
      </c>
      <c r="E2119" s="46" t="s">
        <v>7616</v>
      </c>
    </row>
    <row r="2120">
      <c r="A2120" s="56" t="s">
        <v>11002</v>
      </c>
      <c r="B2120" s="21"/>
      <c r="C2120" s="33" t="s">
        <v>7700</v>
      </c>
      <c r="E2120" s="46" t="s">
        <v>7618</v>
      </c>
    </row>
    <row r="2121">
      <c r="A2121" s="56" t="s">
        <v>11003</v>
      </c>
      <c r="B2121" s="21"/>
      <c r="C2121" s="33" t="s">
        <v>7707</v>
      </c>
      <c r="E2121" s="46" t="s">
        <v>7616</v>
      </c>
    </row>
    <row r="2122">
      <c r="A2122" s="56" t="s">
        <v>11004</v>
      </c>
      <c r="B2122" s="21"/>
      <c r="C2122" s="33" t="s">
        <v>7707</v>
      </c>
      <c r="E2122" s="46" t="s">
        <v>7618</v>
      </c>
    </row>
    <row r="2123">
      <c r="A2123" s="56" t="s">
        <v>11005</v>
      </c>
      <c r="B2123" s="21"/>
      <c r="C2123" s="33" t="s">
        <v>7712</v>
      </c>
      <c r="E2123" s="46" t="s">
        <v>7616</v>
      </c>
    </row>
    <row r="2124">
      <c r="A2124" s="56" t="s">
        <v>11006</v>
      </c>
      <c r="B2124" s="21"/>
      <c r="C2124" s="33" t="s">
        <v>7712</v>
      </c>
      <c r="E2124" s="46" t="s">
        <v>7618</v>
      </c>
    </row>
    <row r="2125">
      <c r="A2125" s="56" t="s">
        <v>11007</v>
      </c>
      <c r="B2125" s="21"/>
      <c r="C2125" s="33" t="s">
        <v>7723</v>
      </c>
      <c r="E2125" s="46" t="s">
        <v>7616</v>
      </c>
    </row>
    <row r="2126">
      <c r="A2126" s="56" t="s">
        <v>11008</v>
      </c>
      <c r="B2126" s="21"/>
      <c r="C2126" s="33" t="s">
        <v>7723</v>
      </c>
      <c r="E2126" s="46" t="s">
        <v>7618</v>
      </c>
    </row>
    <row r="2127">
      <c r="A2127" s="56" t="s">
        <v>11010</v>
      </c>
      <c r="B2127" s="21"/>
      <c r="C2127" s="33" t="s">
        <v>7726</v>
      </c>
      <c r="E2127" s="46" t="s">
        <v>7616</v>
      </c>
    </row>
    <row r="2128">
      <c r="A2128" s="56" t="s">
        <v>11012</v>
      </c>
      <c r="B2128" s="21"/>
      <c r="C2128" s="33" t="s">
        <v>7726</v>
      </c>
      <c r="E2128" s="46" t="s">
        <v>7618</v>
      </c>
    </row>
    <row r="2129">
      <c r="A2129" s="56" t="s">
        <v>11013</v>
      </c>
      <c r="B2129" s="21"/>
      <c r="C2129" s="33" t="s">
        <v>7452</v>
      </c>
      <c r="E2129" s="46" t="s">
        <v>7616</v>
      </c>
    </row>
    <row r="2130">
      <c r="A2130" s="56" t="s">
        <v>11015</v>
      </c>
      <c r="B2130" s="21"/>
      <c r="C2130" s="33" t="s">
        <v>7452</v>
      </c>
      <c r="E2130" s="46" t="s">
        <v>7618</v>
      </c>
    </row>
    <row r="2131">
      <c r="A2131" s="56" t="s">
        <v>11016</v>
      </c>
      <c r="B2131" s="21"/>
      <c r="C2131" s="33" t="s">
        <v>7723</v>
      </c>
      <c r="E2131" s="46" t="s">
        <v>7616</v>
      </c>
    </row>
    <row r="2132">
      <c r="A2132" s="56" t="s">
        <v>11017</v>
      </c>
      <c r="B2132" s="21"/>
      <c r="C2132" s="33" t="s">
        <v>7723</v>
      </c>
      <c r="E2132" s="46" t="s">
        <v>7618</v>
      </c>
    </row>
    <row r="2133">
      <c r="A2133" s="56" t="s">
        <v>11018</v>
      </c>
      <c r="B2133" s="21"/>
      <c r="C2133" s="33" t="s">
        <v>7726</v>
      </c>
      <c r="E2133" s="46" t="s">
        <v>7616</v>
      </c>
    </row>
    <row r="2134">
      <c r="A2134" s="56" t="s">
        <v>11019</v>
      </c>
      <c r="B2134" s="21"/>
      <c r="C2134" s="33" t="s">
        <v>7726</v>
      </c>
      <c r="E2134" s="46" t="s">
        <v>7618</v>
      </c>
    </row>
    <row r="2135">
      <c r="A2135" s="56" t="s">
        <v>11021</v>
      </c>
      <c r="B2135" s="21"/>
      <c r="C2135" s="33" t="s">
        <v>7452</v>
      </c>
      <c r="E2135" s="46" t="s">
        <v>7616</v>
      </c>
    </row>
    <row r="2136">
      <c r="A2136" s="56" t="s">
        <v>11023</v>
      </c>
      <c r="B2136" s="21"/>
      <c r="C2136" s="33" t="s">
        <v>7452</v>
      </c>
      <c r="E2136" s="46" t="s">
        <v>7618</v>
      </c>
    </row>
    <row r="2137">
      <c r="A2137" s="56" t="s">
        <v>11024</v>
      </c>
      <c r="B2137" s="84"/>
      <c r="C2137" s="33" t="s">
        <v>1775</v>
      </c>
      <c r="E2137" s="46" t="s">
        <v>3366</v>
      </c>
    </row>
    <row r="2138">
      <c r="A2138" s="56" t="s">
        <v>11025</v>
      </c>
      <c r="B2138" s="84"/>
      <c r="C2138" s="33" t="s">
        <v>1775</v>
      </c>
      <c r="E2138" s="46" t="s">
        <v>3366</v>
      </c>
    </row>
    <row r="2139">
      <c r="A2139" s="56" t="s">
        <v>11026</v>
      </c>
      <c r="B2139" s="82"/>
      <c r="C2139" s="33" t="s">
        <v>11027</v>
      </c>
      <c r="E2139" s="46" t="s">
        <v>7609</v>
      </c>
      <c r="F2139" s="46" t="s">
        <v>11028</v>
      </c>
    </row>
    <row r="2140">
      <c r="A2140" s="56" t="s">
        <v>11029</v>
      </c>
      <c r="B2140" s="82"/>
      <c r="C2140" s="33" t="s">
        <v>8077</v>
      </c>
      <c r="E2140" s="46" t="s">
        <v>7616</v>
      </c>
    </row>
    <row r="2141">
      <c r="A2141" s="56" t="s">
        <v>11030</v>
      </c>
      <c r="B2141" s="82"/>
      <c r="C2141" s="33" t="s">
        <v>8077</v>
      </c>
      <c r="E2141" s="46" t="s">
        <v>7618</v>
      </c>
    </row>
    <row r="2142">
      <c r="A2142" s="56" t="s">
        <v>11032</v>
      </c>
      <c r="B2142" s="82"/>
      <c r="C2142" s="33" t="s">
        <v>8081</v>
      </c>
      <c r="E2142" s="46" t="s">
        <v>7616</v>
      </c>
    </row>
    <row r="2143">
      <c r="A2143" s="56" t="s">
        <v>11035</v>
      </c>
      <c r="B2143" s="82"/>
      <c r="C2143" s="33" t="s">
        <v>8081</v>
      </c>
      <c r="E2143" s="46" t="s">
        <v>7618</v>
      </c>
    </row>
    <row r="2144">
      <c r="A2144" s="56" t="s">
        <v>11036</v>
      </c>
      <c r="B2144" s="82"/>
      <c r="C2144" s="33" t="s">
        <v>8085</v>
      </c>
      <c r="E2144" s="46" t="s">
        <v>7616</v>
      </c>
    </row>
    <row r="2145">
      <c r="A2145" s="56" t="s">
        <v>11037</v>
      </c>
      <c r="B2145" s="82"/>
      <c r="C2145" s="33" t="s">
        <v>8085</v>
      </c>
      <c r="E2145" s="46" t="s">
        <v>7618</v>
      </c>
    </row>
    <row r="2146">
      <c r="A2146" s="56" t="s">
        <v>11038</v>
      </c>
      <c r="B2146" s="79"/>
      <c r="C2146" s="33" t="s">
        <v>8088</v>
      </c>
      <c r="E2146" s="46" t="s">
        <v>1348</v>
      </c>
    </row>
    <row r="2147">
      <c r="A2147" s="56" t="s">
        <v>11039</v>
      </c>
      <c r="B2147" s="79"/>
      <c r="C2147" s="33" t="s">
        <v>8088</v>
      </c>
      <c r="E2147" s="46" t="s">
        <v>1348</v>
      </c>
    </row>
    <row r="2148">
      <c r="A2148" s="56" t="s">
        <v>11040</v>
      </c>
      <c r="B2148" s="79"/>
      <c r="C2148" s="33" t="s">
        <v>8093</v>
      </c>
      <c r="E2148" s="46" t="s">
        <v>1348</v>
      </c>
    </row>
    <row r="2149">
      <c r="A2149" s="56" t="s">
        <v>11043</v>
      </c>
      <c r="B2149" s="21"/>
      <c r="C2149" s="33" t="s">
        <v>8103</v>
      </c>
      <c r="E2149" s="46" t="s">
        <v>7616</v>
      </c>
    </row>
    <row r="2150">
      <c r="A2150" s="56" t="s">
        <v>11044</v>
      </c>
      <c r="B2150" s="21"/>
      <c r="C2150" s="33" t="s">
        <v>8103</v>
      </c>
      <c r="E2150" s="46" t="s">
        <v>7618</v>
      </c>
    </row>
    <row r="2151">
      <c r="A2151" s="56" t="s">
        <v>11045</v>
      </c>
      <c r="B2151" s="21"/>
      <c r="C2151" s="33" t="s">
        <v>8108</v>
      </c>
      <c r="E2151" s="46" t="s">
        <v>7616</v>
      </c>
    </row>
    <row r="2152">
      <c r="A2152" s="56" t="s">
        <v>11046</v>
      </c>
      <c r="B2152" s="21"/>
      <c r="C2152" s="33" t="s">
        <v>8108</v>
      </c>
      <c r="E2152" s="46" t="s">
        <v>7618</v>
      </c>
    </row>
    <row r="2153">
      <c r="A2153" s="56" t="s">
        <v>11047</v>
      </c>
      <c r="B2153" s="21"/>
      <c r="C2153" s="33" t="s">
        <v>8111</v>
      </c>
      <c r="E2153" s="46" t="s">
        <v>7616</v>
      </c>
    </row>
    <row r="2154">
      <c r="A2154" s="56" t="s">
        <v>11050</v>
      </c>
      <c r="B2154" s="21"/>
      <c r="C2154" s="33" t="s">
        <v>8111</v>
      </c>
      <c r="E2154" s="46" t="s">
        <v>7618</v>
      </c>
    </row>
    <row r="2155">
      <c r="A2155" s="56" t="s">
        <v>11051</v>
      </c>
      <c r="B2155" s="21"/>
      <c r="C2155" s="33" t="s">
        <v>8103</v>
      </c>
      <c r="E2155" s="46" t="s">
        <v>7616</v>
      </c>
    </row>
    <row r="2156">
      <c r="A2156" s="56" t="s">
        <v>11052</v>
      </c>
      <c r="B2156" s="21"/>
      <c r="C2156" s="33" t="s">
        <v>8103</v>
      </c>
      <c r="E2156" s="46" t="s">
        <v>7618</v>
      </c>
    </row>
    <row r="2157">
      <c r="A2157" s="56" t="s">
        <v>11055</v>
      </c>
      <c r="B2157" s="21"/>
      <c r="C2157" s="33" t="s">
        <v>8108</v>
      </c>
      <c r="E2157" s="46" t="s">
        <v>7616</v>
      </c>
    </row>
    <row r="2158">
      <c r="A2158" s="56" t="s">
        <v>11056</v>
      </c>
      <c r="B2158" s="21"/>
      <c r="C2158" s="33" t="s">
        <v>8108</v>
      </c>
      <c r="E2158" s="46" t="s">
        <v>7618</v>
      </c>
    </row>
    <row r="2159">
      <c r="A2159" s="56" t="s">
        <v>11057</v>
      </c>
      <c r="B2159" s="21"/>
      <c r="C2159" s="33" t="s">
        <v>8111</v>
      </c>
      <c r="E2159" s="46" t="s">
        <v>7616</v>
      </c>
    </row>
    <row r="2160">
      <c r="A2160" s="56" t="s">
        <v>11058</v>
      </c>
      <c r="B2160" s="21"/>
      <c r="C2160" s="33" t="s">
        <v>8111</v>
      </c>
      <c r="E2160" s="46" t="s">
        <v>7618</v>
      </c>
    </row>
    <row r="2161">
      <c r="A2161" s="56" t="s">
        <v>11060</v>
      </c>
      <c r="B2161" s="21"/>
      <c r="C2161" s="33" t="s">
        <v>8125</v>
      </c>
      <c r="E2161" s="46" t="s">
        <v>7616</v>
      </c>
    </row>
    <row r="2162">
      <c r="A2162" s="56" t="s">
        <v>11061</v>
      </c>
      <c r="B2162" s="21"/>
      <c r="C2162" s="33" t="s">
        <v>8125</v>
      </c>
      <c r="E2162" s="46" t="s">
        <v>7618</v>
      </c>
    </row>
    <row r="2163">
      <c r="A2163" s="56" t="s">
        <v>11062</v>
      </c>
      <c r="B2163" s="21"/>
      <c r="C2163" s="33" t="s">
        <v>8128</v>
      </c>
      <c r="E2163" s="46" t="s">
        <v>7616</v>
      </c>
    </row>
    <row r="2164">
      <c r="A2164" s="56" t="s">
        <v>11064</v>
      </c>
      <c r="B2164" s="21"/>
      <c r="C2164" s="33" t="s">
        <v>8128</v>
      </c>
      <c r="E2164" s="46" t="s">
        <v>7618</v>
      </c>
    </row>
    <row r="2165">
      <c r="A2165" s="56" t="s">
        <v>11065</v>
      </c>
      <c r="B2165" s="21"/>
      <c r="C2165" s="33" t="s">
        <v>8133</v>
      </c>
      <c r="E2165" s="46" t="s">
        <v>7616</v>
      </c>
    </row>
    <row r="2166">
      <c r="A2166" s="56" t="s">
        <v>11067</v>
      </c>
      <c r="B2166" s="21"/>
      <c r="C2166" s="33" t="s">
        <v>8133</v>
      </c>
      <c r="E2166" s="46" t="s">
        <v>7618</v>
      </c>
    </row>
    <row r="2167">
      <c r="A2167" s="56" t="s">
        <v>11069</v>
      </c>
      <c r="B2167" s="21"/>
      <c r="C2167" s="33" t="s">
        <v>8125</v>
      </c>
      <c r="E2167" s="46" t="s">
        <v>7616</v>
      </c>
    </row>
    <row r="2168">
      <c r="A2168" s="56" t="s">
        <v>11070</v>
      </c>
      <c r="B2168" s="21"/>
      <c r="C2168" s="33" t="s">
        <v>8125</v>
      </c>
      <c r="E2168" s="46" t="s">
        <v>7618</v>
      </c>
    </row>
    <row r="2169">
      <c r="A2169" s="56" t="s">
        <v>11072</v>
      </c>
      <c r="B2169" s="21"/>
      <c r="C2169" s="33" t="s">
        <v>8128</v>
      </c>
      <c r="E2169" s="46" t="s">
        <v>7616</v>
      </c>
    </row>
    <row r="2170">
      <c r="A2170" s="56" t="s">
        <v>11073</v>
      </c>
      <c r="B2170" s="21"/>
      <c r="C2170" s="33" t="s">
        <v>8128</v>
      </c>
      <c r="E2170" s="46" t="s">
        <v>7618</v>
      </c>
    </row>
    <row r="2171">
      <c r="A2171" s="56" t="s">
        <v>11074</v>
      </c>
      <c r="B2171" s="21"/>
      <c r="C2171" s="33" t="s">
        <v>8133</v>
      </c>
      <c r="E2171" s="46" t="s">
        <v>7616</v>
      </c>
    </row>
    <row r="2172">
      <c r="A2172" s="56" t="s">
        <v>11075</v>
      </c>
      <c r="B2172" s="21"/>
      <c r="C2172" s="33" t="s">
        <v>8133</v>
      </c>
      <c r="E2172" s="46" t="s">
        <v>7618</v>
      </c>
    </row>
    <row r="2173">
      <c r="A2173" s="56" t="s">
        <v>11076</v>
      </c>
      <c r="B2173" s="82"/>
      <c r="C2173" s="33" t="s">
        <v>11077</v>
      </c>
      <c r="E2173" s="46" t="s">
        <v>7609</v>
      </c>
      <c r="F2173" s="46" t="s">
        <v>11079</v>
      </c>
    </row>
    <row r="2174">
      <c r="A2174" s="56" t="s">
        <v>11080</v>
      </c>
      <c r="B2174" s="82"/>
      <c r="C2174" s="33" t="s">
        <v>11082</v>
      </c>
      <c r="E2174" s="46" t="s">
        <v>7616</v>
      </c>
    </row>
    <row r="2175">
      <c r="A2175" s="56" t="s">
        <v>11083</v>
      </c>
      <c r="B2175" s="82"/>
      <c r="C2175" s="33" t="s">
        <v>11082</v>
      </c>
      <c r="E2175" s="46" t="s">
        <v>7618</v>
      </c>
    </row>
    <row r="2176">
      <c r="A2176" s="56" t="s">
        <v>11084</v>
      </c>
      <c r="B2176" s="82"/>
      <c r="C2176" s="33" t="s">
        <v>11085</v>
      </c>
      <c r="E2176" s="46" t="s">
        <v>7616</v>
      </c>
    </row>
    <row r="2177">
      <c r="A2177" s="56" t="s">
        <v>11086</v>
      </c>
      <c r="B2177" s="82"/>
      <c r="C2177" s="33" t="s">
        <v>11085</v>
      </c>
      <c r="E2177" s="46" t="s">
        <v>7618</v>
      </c>
    </row>
    <row r="2178">
      <c r="A2178" s="56" t="s">
        <v>11087</v>
      </c>
      <c r="B2178" s="82"/>
      <c r="C2178" s="33" t="s">
        <v>11088</v>
      </c>
      <c r="E2178" s="46" t="s">
        <v>7616</v>
      </c>
    </row>
    <row r="2179">
      <c r="A2179" s="56" t="s">
        <v>11089</v>
      </c>
      <c r="B2179" s="82"/>
      <c r="C2179" s="33" t="s">
        <v>11088</v>
      </c>
      <c r="E2179" s="46" t="s">
        <v>7618</v>
      </c>
    </row>
    <row r="2180">
      <c r="A2180" s="56" t="s">
        <v>11092</v>
      </c>
      <c r="B2180" s="79"/>
      <c r="C2180" s="33" t="s">
        <v>11093</v>
      </c>
      <c r="E2180" s="46" t="s">
        <v>1348</v>
      </c>
    </row>
    <row r="2181">
      <c r="A2181" s="56" t="s">
        <v>11094</v>
      </c>
      <c r="B2181" s="79"/>
      <c r="C2181" s="33" t="s">
        <v>11093</v>
      </c>
      <c r="E2181" s="46" t="s">
        <v>1348</v>
      </c>
    </row>
    <row r="2182">
      <c r="A2182" s="56" t="s">
        <v>11095</v>
      </c>
      <c r="B2182" s="79"/>
      <c r="C2182" s="33" t="s">
        <v>11096</v>
      </c>
      <c r="E2182" s="46" t="s">
        <v>1348</v>
      </c>
    </row>
    <row r="2183">
      <c r="A2183" s="56" t="s">
        <v>11097</v>
      </c>
      <c r="B2183" s="21"/>
      <c r="C2183" s="33" t="s">
        <v>11098</v>
      </c>
      <c r="E2183" s="46" t="s">
        <v>7616</v>
      </c>
    </row>
    <row r="2184">
      <c r="A2184" s="56" t="s">
        <v>11099</v>
      </c>
      <c r="B2184" s="21"/>
      <c r="C2184" s="33" t="s">
        <v>11098</v>
      </c>
      <c r="E2184" s="46" t="s">
        <v>7618</v>
      </c>
    </row>
    <row r="2185">
      <c r="A2185" s="56" t="s">
        <v>11102</v>
      </c>
      <c r="B2185" s="21"/>
      <c r="C2185" s="33" t="s">
        <v>11103</v>
      </c>
      <c r="E2185" s="46" t="s">
        <v>7616</v>
      </c>
    </row>
    <row r="2186">
      <c r="A2186" s="56" t="s">
        <v>11104</v>
      </c>
      <c r="B2186" s="21"/>
      <c r="C2186" s="33" t="s">
        <v>11103</v>
      </c>
      <c r="E2186" s="46" t="s">
        <v>7618</v>
      </c>
    </row>
    <row r="2187">
      <c r="A2187" s="56" t="s">
        <v>11105</v>
      </c>
      <c r="B2187" s="21"/>
      <c r="C2187" s="33" t="s">
        <v>11106</v>
      </c>
      <c r="E2187" s="46" t="s">
        <v>7616</v>
      </c>
    </row>
    <row r="2188">
      <c r="A2188" s="56" t="s">
        <v>11107</v>
      </c>
      <c r="B2188" s="21"/>
      <c r="C2188" s="33" t="s">
        <v>11106</v>
      </c>
      <c r="E2188" s="46" t="s">
        <v>7618</v>
      </c>
    </row>
    <row r="2189">
      <c r="A2189" s="56" t="s">
        <v>11108</v>
      </c>
      <c r="B2189" s="21"/>
      <c r="C2189" s="33" t="s">
        <v>11098</v>
      </c>
      <c r="E2189" s="46" t="s">
        <v>7616</v>
      </c>
    </row>
    <row r="2190">
      <c r="A2190" s="56" t="s">
        <v>11109</v>
      </c>
      <c r="B2190" s="21"/>
      <c r="C2190" s="33" t="s">
        <v>11098</v>
      </c>
      <c r="E2190" s="46" t="s">
        <v>7618</v>
      </c>
    </row>
    <row r="2191">
      <c r="A2191" s="56" t="s">
        <v>11110</v>
      </c>
      <c r="B2191" s="21"/>
      <c r="C2191" s="33" t="s">
        <v>11103</v>
      </c>
      <c r="E2191" s="46" t="s">
        <v>7616</v>
      </c>
    </row>
    <row r="2192">
      <c r="A2192" s="56" t="s">
        <v>11115</v>
      </c>
      <c r="B2192" s="21"/>
      <c r="C2192" s="33" t="s">
        <v>11103</v>
      </c>
      <c r="E2192" s="46" t="s">
        <v>7618</v>
      </c>
    </row>
    <row r="2193">
      <c r="A2193" s="56" t="s">
        <v>11116</v>
      </c>
      <c r="B2193" s="21"/>
      <c r="C2193" s="33" t="s">
        <v>11106</v>
      </c>
      <c r="E2193" s="46" t="s">
        <v>7616</v>
      </c>
    </row>
    <row r="2194">
      <c r="A2194" s="56" t="s">
        <v>11117</v>
      </c>
      <c r="B2194" s="21"/>
      <c r="C2194" s="33" t="s">
        <v>11106</v>
      </c>
      <c r="E2194" s="46" t="s">
        <v>7618</v>
      </c>
    </row>
    <row r="2195">
      <c r="A2195" s="56" t="s">
        <v>11118</v>
      </c>
      <c r="B2195" s="21"/>
      <c r="C2195" s="33" t="s">
        <v>11119</v>
      </c>
      <c r="E2195" s="46" t="s">
        <v>7616</v>
      </c>
    </row>
    <row r="2196">
      <c r="A2196" s="56" t="s">
        <v>11121</v>
      </c>
      <c r="B2196" s="21"/>
      <c r="C2196" s="33" t="s">
        <v>11119</v>
      </c>
      <c r="E2196" s="46" t="s">
        <v>7618</v>
      </c>
    </row>
    <row r="2197">
      <c r="A2197" s="56" t="s">
        <v>11123</v>
      </c>
      <c r="B2197" s="21"/>
      <c r="C2197" s="33" t="s">
        <v>11124</v>
      </c>
      <c r="E2197" s="46" t="s">
        <v>7616</v>
      </c>
    </row>
    <row r="2198">
      <c r="A2198" s="56" t="s">
        <v>11125</v>
      </c>
      <c r="B2198" s="21"/>
      <c r="C2198" s="33" t="s">
        <v>11124</v>
      </c>
      <c r="E2198" s="46" t="s">
        <v>7618</v>
      </c>
    </row>
    <row r="2199">
      <c r="A2199" s="56" t="s">
        <v>11126</v>
      </c>
      <c r="B2199" s="21"/>
      <c r="C2199" s="33" t="s">
        <v>11127</v>
      </c>
      <c r="E2199" s="46" t="s">
        <v>7616</v>
      </c>
    </row>
    <row r="2200">
      <c r="A2200" s="56" t="s">
        <v>11128</v>
      </c>
      <c r="B2200" s="21"/>
      <c r="C2200" s="33" t="s">
        <v>11127</v>
      </c>
      <c r="E2200" s="46" t="s">
        <v>7618</v>
      </c>
    </row>
    <row r="2201">
      <c r="A2201" s="56" t="s">
        <v>11129</v>
      </c>
      <c r="B2201" s="21"/>
      <c r="C2201" s="33" t="s">
        <v>11119</v>
      </c>
      <c r="E2201" s="46" t="s">
        <v>7616</v>
      </c>
    </row>
    <row r="2202">
      <c r="A2202" s="56" t="s">
        <v>11130</v>
      </c>
      <c r="B2202" s="21"/>
      <c r="C2202" s="33" t="s">
        <v>11119</v>
      </c>
      <c r="E2202" s="46" t="s">
        <v>7618</v>
      </c>
    </row>
    <row r="2203">
      <c r="A2203" s="56" t="s">
        <v>11132</v>
      </c>
      <c r="B2203" s="21"/>
      <c r="C2203" s="33" t="s">
        <v>11124</v>
      </c>
      <c r="E2203" s="46" t="s">
        <v>7616</v>
      </c>
    </row>
    <row r="2204">
      <c r="A2204" s="56" t="s">
        <v>11134</v>
      </c>
      <c r="B2204" s="21"/>
      <c r="C2204" s="33" t="s">
        <v>11124</v>
      </c>
      <c r="E2204" s="46" t="s">
        <v>7618</v>
      </c>
    </row>
    <row r="2205">
      <c r="A2205" s="56" t="s">
        <v>11135</v>
      </c>
      <c r="B2205" s="21"/>
      <c r="C2205" s="33" t="s">
        <v>11127</v>
      </c>
      <c r="E2205" s="46" t="s">
        <v>7616</v>
      </c>
    </row>
    <row r="2206">
      <c r="A2206" s="56" t="s">
        <v>11136</v>
      </c>
      <c r="B2206" s="21"/>
      <c r="C2206" s="33" t="s">
        <v>11127</v>
      </c>
      <c r="E2206" s="46" t="s">
        <v>7618</v>
      </c>
    </row>
    <row r="2207">
      <c r="A2207" s="56" t="s">
        <v>11137</v>
      </c>
      <c r="B2207" s="55"/>
      <c r="C2207" s="31"/>
      <c r="E2207" s="46" t="s">
        <v>3366</v>
      </c>
    </row>
    <row r="2208">
      <c r="A2208" s="56" t="s">
        <v>11138</v>
      </c>
      <c r="B2208" s="55"/>
      <c r="C2208" s="31"/>
      <c r="E2208" s="46" t="s">
        <v>3366</v>
      </c>
    </row>
    <row r="2209">
      <c r="A2209" s="56" t="s">
        <v>11140</v>
      </c>
      <c r="B2209" s="55"/>
      <c r="C2209" s="31"/>
      <c r="E2209" s="46" t="s">
        <v>3366</v>
      </c>
    </row>
    <row r="2210">
      <c r="A2210" s="56" t="s">
        <v>11141</v>
      </c>
      <c r="B2210" s="55"/>
      <c r="C2210" s="31"/>
      <c r="E2210" s="46" t="s">
        <v>3366</v>
      </c>
    </row>
    <row r="2211">
      <c r="A2211" s="56" t="s">
        <v>11142</v>
      </c>
      <c r="B2211" s="55"/>
      <c r="C2211" s="31"/>
      <c r="E2211" s="46" t="s">
        <v>3366</v>
      </c>
    </row>
    <row r="2212">
      <c r="A2212" s="56" t="s">
        <v>11143</v>
      </c>
      <c r="B2212" s="55"/>
      <c r="C2212" s="31"/>
      <c r="E2212" s="46" t="s">
        <v>3366</v>
      </c>
    </row>
    <row r="2213">
      <c r="A2213" s="56" t="s">
        <v>11144</v>
      </c>
      <c r="B2213" s="82"/>
      <c r="C2213" s="33" t="s">
        <v>11145</v>
      </c>
      <c r="E2213" s="46" t="s">
        <v>7609</v>
      </c>
    </row>
    <row r="2214">
      <c r="A2214" s="56" t="s">
        <v>11146</v>
      </c>
      <c r="B2214" s="82"/>
      <c r="C2214" s="33" t="s">
        <v>11147</v>
      </c>
      <c r="E2214" s="46" t="s">
        <v>7616</v>
      </c>
    </row>
    <row r="2215">
      <c r="A2215" s="56" t="s">
        <v>11150</v>
      </c>
      <c r="B2215" s="82"/>
      <c r="C2215" s="33" t="s">
        <v>11147</v>
      </c>
      <c r="E2215" s="46" t="s">
        <v>7618</v>
      </c>
    </row>
    <row r="2216">
      <c r="A2216" s="56" t="s">
        <v>11152</v>
      </c>
      <c r="B2216" s="82"/>
      <c r="C2216" s="33" t="s">
        <v>11153</v>
      </c>
      <c r="E2216" s="46" t="s">
        <v>7616</v>
      </c>
    </row>
    <row r="2217">
      <c r="A2217" s="56" t="s">
        <v>11154</v>
      </c>
      <c r="B2217" s="82"/>
      <c r="C2217" s="33" t="s">
        <v>11153</v>
      </c>
      <c r="E2217" s="46" t="s">
        <v>7618</v>
      </c>
    </row>
    <row r="2218">
      <c r="A2218" s="56" t="s">
        <v>11155</v>
      </c>
      <c r="B2218" s="82"/>
      <c r="C2218" s="33" t="s">
        <v>11156</v>
      </c>
      <c r="E2218" s="46" t="s">
        <v>7616</v>
      </c>
    </row>
    <row r="2219">
      <c r="A2219" s="56" t="s">
        <v>11157</v>
      </c>
      <c r="B2219" s="82"/>
      <c r="C2219" s="33" t="s">
        <v>11156</v>
      </c>
      <c r="E2219" s="46" t="s">
        <v>7618</v>
      </c>
    </row>
    <row r="2220">
      <c r="A2220" s="56" t="s">
        <v>11159</v>
      </c>
      <c r="B2220" s="79"/>
      <c r="C2220" s="33" t="s">
        <v>11160</v>
      </c>
      <c r="E2220" s="46" t="s">
        <v>1348</v>
      </c>
    </row>
    <row r="2221">
      <c r="A2221" s="56" t="s">
        <v>11162</v>
      </c>
      <c r="B2221" s="79"/>
      <c r="C2221" s="33" t="s">
        <v>11160</v>
      </c>
      <c r="E2221" s="46" t="s">
        <v>1348</v>
      </c>
    </row>
    <row r="2222">
      <c r="A2222" s="56" t="s">
        <v>11163</v>
      </c>
      <c r="B2222" s="79"/>
      <c r="C2222" s="33" t="s">
        <v>11164</v>
      </c>
      <c r="E2222" s="46" t="s">
        <v>1348</v>
      </c>
    </row>
    <row r="2223">
      <c r="A2223" s="56" t="s">
        <v>11165</v>
      </c>
      <c r="B2223" s="21"/>
      <c r="C2223" s="33" t="s">
        <v>11166</v>
      </c>
      <c r="E2223" s="46" t="s">
        <v>7616</v>
      </c>
    </row>
    <row r="2224">
      <c r="A2224" s="56" t="s">
        <v>11167</v>
      </c>
      <c r="B2224" s="21"/>
      <c r="C2224" s="33" t="s">
        <v>11166</v>
      </c>
      <c r="E2224" s="46" t="s">
        <v>7618</v>
      </c>
    </row>
    <row r="2225">
      <c r="A2225" s="56" t="s">
        <v>11169</v>
      </c>
      <c r="B2225" s="21"/>
      <c r="C2225" s="33" t="s">
        <v>11171</v>
      </c>
      <c r="E2225" s="46" t="s">
        <v>7616</v>
      </c>
    </row>
    <row r="2226">
      <c r="A2226" s="56" t="s">
        <v>11172</v>
      </c>
      <c r="B2226" s="21"/>
      <c r="C2226" s="33" t="s">
        <v>11171</v>
      </c>
      <c r="E2226" s="46" t="s">
        <v>7618</v>
      </c>
    </row>
    <row r="2227">
      <c r="A2227" s="56" t="s">
        <v>11173</v>
      </c>
      <c r="B2227" s="21"/>
      <c r="C2227" s="33" t="s">
        <v>11175</v>
      </c>
      <c r="E2227" s="46" t="s">
        <v>7616</v>
      </c>
    </row>
    <row r="2228">
      <c r="A2228" s="56" t="s">
        <v>11177</v>
      </c>
      <c r="B2228" s="21"/>
      <c r="C2228" s="33" t="s">
        <v>11175</v>
      </c>
      <c r="E2228" s="46" t="s">
        <v>7618</v>
      </c>
    </row>
    <row r="2229">
      <c r="A2229" s="56" t="s">
        <v>11178</v>
      </c>
      <c r="B2229" s="21"/>
      <c r="C2229" s="33" t="s">
        <v>11166</v>
      </c>
      <c r="E2229" s="46" t="s">
        <v>7616</v>
      </c>
    </row>
    <row r="2230">
      <c r="A2230" s="56" t="s">
        <v>11179</v>
      </c>
      <c r="B2230" s="21"/>
      <c r="C2230" s="33" t="s">
        <v>11166</v>
      </c>
      <c r="E2230" s="46" t="s">
        <v>7618</v>
      </c>
    </row>
    <row r="2231">
      <c r="A2231" s="56" t="s">
        <v>11180</v>
      </c>
      <c r="B2231" s="21"/>
      <c r="C2231" s="33" t="s">
        <v>11171</v>
      </c>
      <c r="E2231" s="46" t="s">
        <v>7616</v>
      </c>
    </row>
    <row r="2232">
      <c r="A2232" s="56" t="s">
        <v>11181</v>
      </c>
      <c r="B2232" s="21"/>
      <c r="C2232" s="33" t="s">
        <v>11171</v>
      </c>
      <c r="E2232" s="46" t="s">
        <v>7618</v>
      </c>
    </row>
    <row r="2233">
      <c r="A2233" s="56" t="s">
        <v>11182</v>
      </c>
      <c r="B2233" s="21"/>
      <c r="C2233" s="33" t="s">
        <v>11175</v>
      </c>
      <c r="E2233" s="46" t="s">
        <v>7616</v>
      </c>
    </row>
    <row r="2234">
      <c r="A2234" s="56" t="s">
        <v>11183</v>
      </c>
      <c r="B2234" s="21"/>
      <c r="C2234" s="33" t="s">
        <v>11175</v>
      </c>
      <c r="E2234" s="46" t="s">
        <v>7618</v>
      </c>
    </row>
    <row r="2235">
      <c r="A2235" s="56" t="s">
        <v>11185</v>
      </c>
      <c r="B2235" s="21"/>
      <c r="C2235" s="33" t="s">
        <v>11186</v>
      </c>
      <c r="E2235" s="46" t="s">
        <v>7616</v>
      </c>
    </row>
    <row r="2236">
      <c r="A2236" s="56" t="s">
        <v>11187</v>
      </c>
      <c r="B2236" s="21"/>
      <c r="C2236" s="33" t="s">
        <v>11186</v>
      </c>
      <c r="E2236" s="46" t="s">
        <v>7618</v>
      </c>
    </row>
    <row r="2237">
      <c r="A2237" s="56" t="s">
        <v>11188</v>
      </c>
      <c r="B2237" s="21"/>
      <c r="C2237" s="33" t="s">
        <v>11189</v>
      </c>
      <c r="E2237" s="46" t="s">
        <v>7616</v>
      </c>
    </row>
    <row r="2238">
      <c r="A2238" s="56" t="s">
        <v>11190</v>
      </c>
      <c r="B2238" s="21"/>
      <c r="C2238" s="33" t="s">
        <v>11189</v>
      </c>
      <c r="E2238" s="46" t="s">
        <v>7618</v>
      </c>
    </row>
    <row r="2239">
      <c r="A2239" s="56" t="s">
        <v>11193</v>
      </c>
      <c r="B2239" s="21"/>
      <c r="C2239" s="33" t="s">
        <v>11194</v>
      </c>
      <c r="E2239" s="46" t="s">
        <v>7616</v>
      </c>
    </row>
    <row r="2240">
      <c r="A2240" s="56" t="s">
        <v>11196</v>
      </c>
      <c r="B2240" s="21"/>
      <c r="C2240" s="33" t="s">
        <v>11194</v>
      </c>
      <c r="E2240" s="46" t="s">
        <v>7618</v>
      </c>
    </row>
    <row r="2241">
      <c r="A2241" s="56" t="s">
        <v>11197</v>
      </c>
      <c r="B2241" s="21"/>
      <c r="C2241" s="33" t="s">
        <v>11186</v>
      </c>
      <c r="E2241" s="46" t="s">
        <v>7616</v>
      </c>
    </row>
    <row r="2242">
      <c r="A2242" s="56" t="s">
        <v>11198</v>
      </c>
      <c r="B2242" s="21"/>
      <c r="C2242" s="33" t="s">
        <v>11186</v>
      </c>
      <c r="E2242" s="46" t="s">
        <v>7618</v>
      </c>
    </row>
    <row r="2243">
      <c r="A2243" s="56" t="s">
        <v>11199</v>
      </c>
      <c r="B2243" s="21"/>
      <c r="C2243" s="33" t="s">
        <v>11189</v>
      </c>
      <c r="E2243" s="46" t="s">
        <v>7616</v>
      </c>
    </row>
    <row r="2244">
      <c r="A2244" s="56" t="s">
        <v>11200</v>
      </c>
      <c r="B2244" s="21"/>
      <c r="C2244" s="33" t="s">
        <v>11189</v>
      </c>
      <c r="E2244" s="46" t="s">
        <v>7618</v>
      </c>
    </row>
    <row r="2245">
      <c r="A2245" s="56" t="s">
        <v>11201</v>
      </c>
      <c r="B2245" s="21"/>
      <c r="C2245" s="33" t="s">
        <v>11194</v>
      </c>
      <c r="E2245" s="46" t="s">
        <v>7616</v>
      </c>
    </row>
    <row r="2246">
      <c r="A2246" s="56" t="s">
        <v>11204</v>
      </c>
      <c r="B2246" s="21"/>
      <c r="C2246" s="33" t="s">
        <v>11194</v>
      </c>
      <c r="E2246" s="46" t="s">
        <v>7618</v>
      </c>
    </row>
    <row r="2247">
      <c r="A2247" s="56" t="s">
        <v>11205</v>
      </c>
      <c r="B2247" s="82"/>
      <c r="C2247" s="33" t="s">
        <v>11207</v>
      </c>
      <c r="E2247" s="46" t="s">
        <v>7609</v>
      </c>
    </row>
    <row r="2248">
      <c r="A2248" s="56" t="s">
        <v>11210</v>
      </c>
      <c r="B2248" s="82"/>
      <c r="C2248" s="33" t="s">
        <v>10357</v>
      </c>
      <c r="E2248" s="46" t="s">
        <v>7616</v>
      </c>
    </row>
    <row r="2249">
      <c r="A2249" s="56" t="s">
        <v>11211</v>
      </c>
      <c r="B2249" s="82"/>
      <c r="C2249" s="33" t="s">
        <v>10357</v>
      </c>
      <c r="E2249" s="46" t="s">
        <v>7618</v>
      </c>
    </row>
    <row r="2250">
      <c r="A2250" s="56" t="s">
        <v>11212</v>
      </c>
      <c r="B2250" s="82"/>
      <c r="C2250" s="33" t="s">
        <v>10360</v>
      </c>
      <c r="E2250" s="46" t="s">
        <v>7616</v>
      </c>
    </row>
    <row r="2251">
      <c r="A2251" s="56" t="s">
        <v>11213</v>
      </c>
      <c r="B2251" s="82"/>
      <c r="C2251" s="33" t="s">
        <v>10360</v>
      </c>
      <c r="E2251" s="46" t="s">
        <v>7618</v>
      </c>
    </row>
    <row r="2252">
      <c r="A2252" s="56" t="s">
        <v>11214</v>
      </c>
      <c r="B2252" s="82"/>
      <c r="C2252" s="33" t="s">
        <v>10366</v>
      </c>
      <c r="E2252" s="46" t="s">
        <v>7616</v>
      </c>
    </row>
    <row r="2253">
      <c r="A2253" s="56" t="s">
        <v>11216</v>
      </c>
      <c r="B2253" s="82"/>
      <c r="C2253" s="33" t="s">
        <v>10366</v>
      </c>
      <c r="E2253" s="46" t="s">
        <v>7618</v>
      </c>
    </row>
    <row r="2254">
      <c r="A2254" s="56" t="s">
        <v>11218</v>
      </c>
      <c r="B2254" s="79"/>
      <c r="C2254" s="33" t="s">
        <v>10369</v>
      </c>
      <c r="E2254" s="46" t="s">
        <v>1348</v>
      </c>
    </row>
    <row r="2255">
      <c r="A2255" s="56" t="s">
        <v>11222</v>
      </c>
      <c r="B2255" s="79"/>
      <c r="C2255" s="33" t="s">
        <v>10369</v>
      </c>
      <c r="E2255" s="46" t="s">
        <v>1348</v>
      </c>
    </row>
    <row r="2256">
      <c r="A2256" s="56" t="s">
        <v>11224</v>
      </c>
      <c r="B2256" s="79"/>
      <c r="C2256" s="33" t="s">
        <v>10372</v>
      </c>
      <c r="E2256" s="46" t="s">
        <v>1348</v>
      </c>
    </row>
    <row r="2257">
      <c r="A2257" s="56" t="s">
        <v>11225</v>
      </c>
      <c r="B2257" s="82"/>
      <c r="C2257" s="33" t="s">
        <v>10866</v>
      </c>
      <c r="E2257" s="46" t="s">
        <v>7616</v>
      </c>
    </row>
    <row r="2258">
      <c r="A2258" s="56" t="s">
        <v>11226</v>
      </c>
      <c r="B2258" s="82"/>
      <c r="C2258" s="33" t="s">
        <v>10866</v>
      </c>
      <c r="E2258" s="46" t="s">
        <v>7618</v>
      </c>
    </row>
    <row r="2259">
      <c r="A2259" s="56" t="s">
        <v>11228</v>
      </c>
      <c r="B2259" s="21"/>
      <c r="C2259" s="33" t="s">
        <v>10375</v>
      </c>
      <c r="E2259" s="46" t="s">
        <v>7616</v>
      </c>
    </row>
    <row r="2260">
      <c r="A2260" s="56" t="s">
        <v>11231</v>
      </c>
      <c r="B2260" s="21"/>
      <c r="C2260" s="33" t="s">
        <v>10375</v>
      </c>
      <c r="E2260" s="46" t="s">
        <v>7618</v>
      </c>
    </row>
    <row r="2261">
      <c r="A2261" s="56" t="s">
        <v>11232</v>
      </c>
      <c r="B2261" s="21"/>
      <c r="C2261" s="33" t="s">
        <v>10379</v>
      </c>
      <c r="E2261" s="46" t="s">
        <v>7616</v>
      </c>
    </row>
    <row r="2262">
      <c r="A2262" s="56" t="s">
        <v>11233</v>
      </c>
      <c r="B2262" s="21"/>
      <c r="C2262" s="33" t="s">
        <v>10379</v>
      </c>
      <c r="E2262" s="46" t="s">
        <v>7618</v>
      </c>
    </row>
    <row r="2263">
      <c r="A2263" s="56" t="s">
        <v>11234</v>
      </c>
      <c r="B2263" s="21"/>
      <c r="C2263" s="33" t="s">
        <v>10383</v>
      </c>
      <c r="E2263" s="46" t="s">
        <v>7616</v>
      </c>
    </row>
    <row r="2264">
      <c r="A2264" s="56" t="s">
        <v>11238</v>
      </c>
      <c r="B2264" s="21"/>
      <c r="C2264" s="33" t="s">
        <v>10383</v>
      </c>
      <c r="E2264" s="46" t="s">
        <v>7618</v>
      </c>
    </row>
    <row r="2265">
      <c r="A2265" s="56" t="s">
        <v>11239</v>
      </c>
      <c r="B2265" s="21"/>
      <c r="C2265" s="33" t="s">
        <v>10375</v>
      </c>
      <c r="E2265" s="46" t="s">
        <v>7616</v>
      </c>
    </row>
    <row r="2266">
      <c r="A2266" s="56" t="s">
        <v>11240</v>
      </c>
      <c r="B2266" s="21"/>
      <c r="C2266" s="33" t="s">
        <v>10375</v>
      </c>
      <c r="E2266" s="46" t="s">
        <v>7618</v>
      </c>
    </row>
    <row r="2267">
      <c r="A2267" s="56" t="s">
        <v>11241</v>
      </c>
      <c r="B2267" s="21"/>
      <c r="C2267" s="33" t="s">
        <v>10379</v>
      </c>
      <c r="E2267" s="46" t="s">
        <v>7616</v>
      </c>
    </row>
    <row r="2268">
      <c r="A2268" s="56" t="s">
        <v>11242</v>
      </c>
      <c r="B2268" s="21"/>
      <c r="C2268" s="33" t="s">
        <v>10379</v>
      </c>
      <c r="E2268" s="46" t="s">
        <v>7618</v>
      </c>
    </row>
    <row r="2269">
      <c r="A2269" s="56" t="s">
        <v>11245</v>
      </c>
      <c r="B2269" s="21"/>
      <c r="C2269" s="33" t="s">
        <v>10383</v>
      </c>
      <c r="E2269" s="46" t="s">
        <v>7616</v>
      </c>
    </row>
    <row r="2270">
      <c r="A2270" s="56" t="s">
        <v>11246</v>
      </c>
      <c r="B2270" s="21"/>
      <c r="C2270" s="33" t="s">
        <v>10383</v>
      </c>
      <c r="E2270" s="46" t="s">
        <v>7618</v>
      </c>
    </row>
    <row r="2271">
      <c r="A2271" s="56" t="s">
        <v>11247</v>
      </c>
      <c r="B2271" s="21"/>
      <c r="C2271" s="33" t="s">
        <v>10398</v>
      </c>
      <c r="E2271" s="46" t="s">
        <v>7616</v>
      </c>
    </row>
    <row r="2272">
      <c r="A2272" s="56" t="s">
        <v>11250</v>
      </c>
      <c r="B2272" s="21"/>
      <c r="C2272" s="33" t="s">
        <v>10398</v>
      </c>
      <c r="E2272" s="46" t="s">
        <v>7618</v>
      </c>
    </row>
    <row r="2273">
      <c r="A2273" s="56" t="s">
        <v>11251</v>
      </c>
      <c r="B2273" s="21"/>
      <c r="C2273" s="33" t="s">
        <v>10402</v>
      </c>
      <c r="E2273" s="46" t="s">
        <v>7616</v>
      </c>
    </row>
    <row r="2274">
      <c r="A2274" s="56" t="s">
        <v>11252</v>
      </c>
      <c r="B2274" s="21"/>
      <c r="C2274" s="33" t="s">
        <v>10402</v>
      </c>
      <c r="E2274" s="46" t="s">
        <v>7618</v>
      </c>
    </row>
    <row r="2275">
      <c r="A2275" s="56" t="s">
        <v>11253</v>
      </c>
      <c r="B2275" s="21"/>
      <c r="C2275" s="33" t="s">
        <v>10406</v>
      </c>
      <c r="E2275" s="46" t="s">
        <v>7616</v>
      </c>
    </row>
    <row r="2276">
      <c r="A2276" s="56" t="s">
        <v>11255</v>
      </c>
      <c r="B2276" s="21"/>
      <c r="C2276" s="33" t="s">
        <v>10406</v>
      </c>
      <c r="E2276" s="46" t="s">
        <v>7618</v>
      </c>
    </row>
    <row r="2277">
      <c r="A2277" s="56" t="s">
        <v>11256</v>
      </c>
      <c r="B2277" s="21"/>
      <c r="C2277" s="33" t="s">
        <v>10398</v>
      </c>
      <c r="E2277" s="46" t="s">
        <v>7616</v>
      </c>
    </row>
    <row r="2278">
      <c r="A2278" s="56" t="s">
        <v>11257</v>
      </c>
      <c r="B2278" s="21"/>
      <c r="C2278" s="33" t="s">
        <v>10398</v>
      </c>
      <c r="E2278" s="46" t="s">
        <v>7618</v>
      </c>
    </row>
    <row r="2279">
      <c r="A2279" s="56" t="s">
        <v>11258</v>
      </c>
      <c r="B2279" s="21"/>
      <c r="C2279" s="33" t="s">
        <v>10402</v>
      </c>
      <c r="E2279" s="46" t="s">
        <v>7616</v>
      </c>
    </row>
    <row r="2280">
      <c r="A2280" s="56" t="s">
        <v>11259</v>
      </c>
      <c r="B2280" s="21"/>
      <c r="C2280" s="33" t="s">
        <v>10402</v>
      </c>
      <c r="E2280" s="46" t="s">
        <v>7618</v>
      </c>
    </row>
    <row r="2281">
      <c r="A2281" s="56" t="s">
        <v>11263</v>
      </c>
      <c r="B2281" s="21"/>
      <c r="C2281" s="33" t="s">
        <v>10406</v>
      </c>
      <c r="E2281" s="46" t="s">
        <v>7616</v>
      </c>
    </row>
    <row r="2282">
      <c r="A2282" s="56" t="s">
        <v>11264</v>
      </c>
      <c r="B2282" s="21"/>
      <c r="C2282" s="33" t="s">
        <v>10406</v>
      </c>
      <c r="E2282" s="46" t="s">
        <v>7618</v>
      </c>
    </row>
    <row r="2283">
      <c r="A2283" s="56" t="s">
        <v>11265</v>
      </c>
      <c r="B2283" s="55"/>
      <c r="C2283" s="31"/>
    </row>
    <row r="2284">
      <c r="A2284" s="56" t="s">
        <v>11266</v>
      </c>
      <c r="B2284" s="82"/>
      <c r="C2284" s="33" t="s">
        <v>11267</v>
      </c>
      <c r="E2284" s="46" t="s">
        <v>7609</v>
      </c>
      <c r="F2284" s="46" t="s">
        <v>11268</v>
      </c>
    </row>
    <row r="2285">
      <c r="A2285" s="56" t="s">
        <v>11269</v>
      </c>
      <c r="B2285" s="82"/>
      <c r="C2285" s="33" t="s">
        <v>11271</v>
      </c>
      <c r="E2285" s="46" t="s">
        <v>7616</v>
      </c>
    </row>
    <row r="2286">
      <c r="A2286" s="56" t="s">
        <v>11272</v>
      </c>
      <c r="B2286" s="82"/>
      <c r="C2286" s="33" t="s">
        <v>11271</v>
      </c>
      <c r="E2286" s="46" t="s">
        <v>7618</v>
      </c>
    </row>
    <row r="2287">
      <c r="A2287" s="56" t="s">
        <v>11273</v>
      </c>
      <c r="B2287" s="82"/>
      <c r="C2287" s="33" t="s">
        <v>11274</v>
      </c>
      <c r="E2287" s="46" t="s">
        <v>7616</v>
      </c>
    </row>
    <row r="2288">
      <c r="A2288" s="56" t="s">
        <v>11275</v>
      </c>
      <c r="B2288" s="82"/>
      <c r="C2288" s="33" t="s">
        <v>11274</v>
      </c>
      <c r="E2288" s="46" t="s">
        <v>7618</v>
      </c>
    </row>
    <row r="2289">
      <c r="A2289" s="56" t="s">
        <v>11276</v>
      </c>
      <c r="B2289" s="82"/>
      <c r="C2289" s="33" t="s">
        <v>11277</v>
      </c>
      <c r="E2289" s="46" t="s">
        <v>7616</v>
      </c>
    </row>
    <row r="2290">
      <c r="A2290" s="56" t="s">
        <v>11279</v>
      </c>
      <c r="B2290" s="82"/>
      <c r="C2290" s="33" t="s">
        <v>11277</v>
      </c>
      <c r="E2290" s="46" t="s">
        <v>7618</v>
      </c>
    </row>
    <row r="2291">
      <c r="A2291" s="56" t="s">
        <v>11282</v>
      </c>
      <c r="B2291" s="79"/>
      <c r="C2291" s="33" t="s">
        <v>11283</v>
      </c>
      <c r="E2291" s="46" t="s">
        <v>1348</v>
      </c>
    </row>
    <row r="2292">
      <c r="A2292" s="56" t="s">
        <v>11285</v>
      </c>
      <c r="B2292" s="79"/>
      <c r="C2292" s="33" t="s">
        <v>11283</v>
      </c>
      <c r="E2292" s="46" t="s">
        <v>1348</v>
      </c>
    </row>
    <row r="2293">
      <c r="A2293" s="56" t="s">
        <v>11287</v>
      </c>
      <c r="B2293" s="79"/>
      <c r="C2293" s="33" t="s">
        <v>11288</v>
      </c>
      <c r="E2293" s="46" t="s">
        <v>1348</v>
      </c>
    </row>
    <row r="2294">
      <c r="A2294" s="56" t="s">
        <v>11289</v>
      </c>
      <c r="B2294" s="21"/>
      <c r="C2294" s="33" t="s">
        <v>11290</v>
      </c>
      <c r="E2294" s="46" t="s">
        <v>7616</v>
      </c>
    </row>
    <row r="2295">
      <c r="A2295" s="56" t="s">
        <v>11291</v>
      </c>
      <c r="B2295" s="21"/>
      <c r="C2295" s="33" t="s">
        <v>11290</v>
      </c>
      <c r="E2295" s="46" t="s">
        <v>7618</v>
      </c>
    </row>
    <row r="2296">
      <c r="A2296" s="56" t="s">
        <v>11292</v>
      </c>
      <c r="B2296" s="21"/>
      <c r="C2296" s="33" t="s">
        <v>11293</v>
      </c>
      <c r="E2296" s="46" t="s">
        <v>7616</v>
      </c>
    </row>
    <row r="2297">
      <c r="A2297" s="56" t="s">
        <v>11295</v>
      </c>
      <c r="B2297" s="21"/>
      <c r="C2297" s="33" t="s">
        <v>11293</v>
      </c>
      <c r="E2297" s="46" t="s">
        <v>7618</v>
      </c>
    </row>
    <row r="2298">
      <c r="A2298" s="56" t="s">
        <v>11297</v>
      </c>
      <c r="B2298" s="21"/>
      <c r="C2298" s="33" t="s">
        <v>11299</v>
      </c>
      <c r="E2298" s="46" t="s">
        <v>7616</v>
      </c>
    </row>
    <row r="2299">
      <c r="A2299" s="56" t="s">
        <v>11300</v>
      </c>
      <c r="B2299" s="21"/>
      <c r="C2299" s="33" t="s">
        <v>11299</v>
      </c>
      <c r="E2299" s="46" t="s">
        <v>7618</v>
      </c>
    </row>
    <row r="2300">
      <c r="A2300" s="56" t="s">
        <v>11303</v>
      </c>
      <c r="B2300" s="21"/>
      <c r="C2300" s="33" t="s">
        <v>11290</v>
      </c>
      <c r="E2300" s="46" t="s">
        <v>7616</v>
      </c>
    </row>
    <row r="2301">
      <c r="A2301" s="56" t="s">
        <v>11304</v>
      </c>
      <c r="B2301" s="21"/>
      <c r="C2301" s="33" t="s">
        <v>11290</v>
      </c>
      <c r="E2301" s="46" t="s">
        <v>7618</v>
      </c>
    </row>
    <row r="2302">
      <c r="A2302" s="56" t="s">
        <v>11305</v>
      </c>
      <c r="B2302" s="21"/>
      <c r="C2302" s="33" t="s">
        <v>11293</v>
      </c>
      <c r="E2302" s="46" t="s">
        <v>7616</v>
      </c>
    </row>
    <row r="2303">
      <c r="A2303" s="56" t="s">
        <v>11306</v>
      </c>
      <c r="B2303" s="21"/>
      <c r="C2303" s="33" t="s">
        <v>11293</v>
      </c>
      <c r="E2303" s="46" t="s">
        <v>7618</v>
      </c>
    </row>
    <row r="2304">
      <c r="A2304" s="56" t="s">
        <v>11308</v>
      </c>
      <c r="B2304" s="21"/>
      <c r="C2304" s="33" t="s">
        <v>11299</v>
      </c>
      <c r="E2304" s="46" t="s">
        <v>7616</v>
      </c>
    </row>
    <row r="2305">
      <c r="A2305" s="56" t="s">
        <v>11309</v>
      </c>
      <c r="B2305" s="21"/>
      <c r="C2305" s="33" t="s">
        <v>11299</v>
      </c>
      <c r="E2305" s="46" t="s">
        <v>7618</v>
      </c>
    </row>
    <row r="2306">
      <c r="A2306" s="56" t="s">
        <v>11310</v>
      </c>
      <c r="B2306" s="21"/>
      <c r="C2306" s="33" t="s">
        <v>11311</v>
      </c>
      <c r="E2306" s="46" t="s">
        <v>7616</v>
      </c>
    </row>
    <row r="2307">
      <c r="A2307" s="56" t="s">
        <v>11312</v>
      </c>
      <c r="B2307" s="21"/>
      <c r="C2307" s="33" t="s">
        <v>11311</v>
      </c>
      <c r="E2307" s="46" t="s">
        <v>7618</v>
      </c>
    </row>
    <row r="2308">
      <c r="A2308" s="56" t="s">
        <v>11313</v>
      </c>
      <c r="B2308" s="21"/>
      <c r="C2308" s="33" t="s">
        <v>11314</v>
      </c>
      <c r="E2308" s="46" t="s">
        <v>7616</v>
      </c>
    </row>
    <row r="2309">
      <c r="A2309" s="56" t="s">
        <v>11317</v>
      </c>
      <c r="B2309" s="21"/>
      <c r="C2309" s="33" t="s">
        <v>11314</v>
      </c>
      <c r="E2309" s="46" t="s">
        <v>7618</v>
      </c>
    </row>
    <row r="2310">
      <c r="A2310" s="56" t="s">
        <v>11318</v>
      </c>
      <c r="B2310" s="21"/>
      <c r="C2310" s="33" t="s">
        <v>11319</v>
      </c>
      <c r="E2310" s="46" t="s">
        <v>7616</v>
      </c>
    </row>
    <row r="2311">
      <c r="A2311" s="56" t="s">
        <v>11320</v>
      </c>
      <c r="B2311" s="21"/>
      <c r="C2311" s="33" t="s">
        <v>11319</v>
      </c>
      <c r="E2311" s="46" t="s">
        <v>7618</v>
      </c>
    </row>
    <row r="2312">
      <c r="A2312" s="56" t="s">
        <v>11321</v>
      </c>
      <c r="B2312" s="21"/>
      <c r="C2312" s="33" t="s">
        <v>11311</v>
      </c>
      <c r="E2312" s="46" t="s">
        <v>7616</v>
      </c>
    </row>
    <row r="2313">
      <c r="A2313" s="56" t="s">
        <v>11322</v>
      </c>
      <c r="B2313" s="21"/>
      <c r="C2313" s="33" t="s">
        <v>11311</v>
      </c>
      <c r="E2313" s="46" t="s">
        <v>7618</v>
      </c>
    </row>
    <row r="2314">
      <c r="A2314" s="56" t="s">
        <v>11324</v>
      </c>
      <c r="B2314" s="21"/>
      <c r="C2314" s="33" t="s">
        <v>11314</v>
      </c>
      <c r="E2314" s="46" t="s">
        <v>7616</v>
      </c>
    </row>
    <row r="2315">
      <c r="A2315" s="56" t="s">
        <v>11325</v>
      </c>
      <c r="B2315" s="21"/>
      <c r="C2315" s="33" t="s">
        <v>11314</v>
      </c>
      <c r="E2315" s="46" t="s">
        <v>7618</v>
      </c>
    </row>
    <row r="2316">
      <c r="A2316" s="56" t="s">
        <v>11326</v>
      </c>
      <c r="B2316" s="21"/>
      <c r="C2316" s="33" t="s">
        <v>11319</v>
      </c>
      <c r="E2316" s="46" t="s">
        <v>7616</v>
      </c>
    </row>
    <row r="2317">
      <c r="A2317" s="56" t="s">
        <v>11327</v>
      </c>
      <c r="B2317" s="21"/>
      <c r="C2317" s="33" t="s">
        <v>11319</v>
      </c>
      <c r="E2317" s="46" t="s">
        <v>7618</v>
      </c>
    </row>
    <row r="2318">
      <c r="A2318" s="56" t="s">
        <v>11328</v>
      </c>
      <c r="B2318" s="82"/>
      <c r="C2318" s="33" t="s">
        <v>11330</v>
      </c>
      <c r="E2318" s="46" t="s">
        <v>7609</v>
      </c>
    </row>
    <row r="2319">
      <c r="A2319" s="56" t="s">
        <v>11332</v>
      </c>
      <c r="B2319" s="55"/>
      <c r="C2319" s="31"/>
    </row>
    <row r="2320">
      <c r="A2320" s="56" t="s">
        <v>11333</v>
      </c>
      <c r="B2320" s="55"/>
      <c r="C2320" s="31"/>
    </row>
    <row r="2321">
      <c r="A2321" s="56" t="s">
        <v>11334</v>
      </c>
      <c r="B2321" s="55"/>
      <c r="C2321" s="31"/>
    </row>
    <row r="2322">
      <c r="A2322" s="56" t="s">
        <v>11335</v>
      </c>
      <c r="B2322" s="55"/>
      <c r="C2322" s="31"/>
    </row>
    <row r="2323">
      <c r="A2323" s="56" t="s">
        <v>11336</v>
      </c>
      <c r="B2323" s="55"/>
      <c r="C2323" s="31"/>
    </row>
    <row r="2324">
      <c r="A2324" s="56" t="s">
        <v>11338</v>
      </c>
      <c r="B2324" s="55"/>
      <c r="C2324" s="31"/>
    </row>
    <row r="2325">
      <c r="A2325" s="56" t="s">
        <v>11339</v>
      </c>
      <c r="B2325" s="55"/>
      <c r="C2325" s="31"/>
    </row>
    <row r="2326">
      <c r="A2326" s="56" t="s">
        <v>11340</v>
      </c>
      <c r="B2326" s="55"/>
      <c r="C2326" s="31"/>
    </row>
    <row r="2327">
      <c r="A2327" s="56" t="s">
        <v>11341</v>
      </c>
      <c r="B2327" s="55"/>
      <c r="C2327" s="31"/>
    </row>
    <row r="2328">
      <c r="A2328" s="56" t="s">
        <v>11342</v>
      </c>
      <c r="B2328" s="55"/>
      <c r="C2328" s="31"/>
    </row>
    <row r="2329">
      <c r="A2329" s="56" t="s">
        <v>11343</v>
      </c>
      <c r="B2329" s="55"/>
      <c r="C2329" s="31"/>
    </row>
    <row r="2330">
      <c r="A2330" s="56" t="s">
        <v>11344</v>
      </c>
      <c r="B2330" s="55"/>
      <c r="C2330" s="31"/>
    </row>
    <row r="2331">
      <c r="A2331" s="56" t="s">
        <v>11346</v>
      </c>
      <c r="B2331" s="55"/>
      <c r="C2331" s="31"/>
    </row>
    <row r="2332">
      <c r="A2332" s="56" t="s">
        <v>11348</v>
      </c>
      <c r="B2332" s="55"/>
      <c r="C2332" s="31"/>
    </row>
    <row r="2333">
      <c r="A2333" s="56" t="s">
        <v>11349</v>
      </c>
      <c r="B2333" s="55"/>
      <c r="C2333" s="31"/>
    </row>
    <row r="2334">
      <c r="A2334" s="56" t="s">
        <v>11350</v>
      </c>
      <c r="B2334" s="55"/>
      <c r="C2334" s="31"/>
    </row>
    <row r="2335">
      <c r="A2335" s="56" t="s">
        <v>11351</v>
      </c>
      <c r="B2335" s="55"/>
      <c r="C2335" s="31"/>
    </row>
    <row r="2336">
      <c r="A2336" s="56" t="s">
        <v>11352</v>
      </c>
      <c r="B2336" s="55"/>
      <c r="C2336" s="31"/>
    </row>
    <row r="2337">
      <c r="A2337" s="56" t="s">
        <v>11353</v>
      </c>
      <c r="B2337" s="55"/>
      <c r="C2337" s="31"/>
    </row>
    <row r="2338">
      <c r="A2338" s="56" t="s">
        <v>11355</v>
      </c>
      <c r="B2338" s="55"/>
      <c r="C2338" s="31"/>
    </row>
    <row r="2339">
      <c r="A2339" s="56" t="s">
        <v>11356</v>
      </c>
      <c r="B2339" s="55"/>
      <c r="C2339" s="31"/>
    </row>
    <row r="2340">
      <c r="A2340" s="56" t="s">
        <v>11357</v>
      </c>
      <c r="B2340" s="55"/>
      <c r="C2340" s="31"/>
    </row>
    <row r="2341">
      <c r="A2341" s="56" t="s">
        <v>11358</v>
      </c>
      <c r="B2341" s="55"/>
      <c r="C2341" s="31"/>
    </row>
    <row r="2342">
      <c r="A2342" s="56" t="s">
        <v>11359</v>
      </c>
      <c r="B2342" s="55"/>
      <c r="C2342" s="31"/>
    </row>
    <row r="2343">
      <c r="A2343" s="56" t="s">
        <v>11360</v>
      </c>
      <c r="B2343" s="55"/>
      <c r="C2343" s="31"/>
    </row>
    <row r="2344">
      <c r="A2344" s="56" t="s">
        <v>11361</v>
      </c>
      <c r="B2344" s="55"/>
      <c r="C2344" s="31"/>
    </row>
    <row r="2345">
      <c r="A2345" s="56" t="s">
        <v>11364</v>
      </c>
      <c r="B2345" s="55"/>
      <c r="C2345" s="31"/>
    </row>
    <row r="2346">
      <c r="A2346" s="56" t="s">
        <v>11365</v>
      </c>
      <c r="B2346" s="55"/>
      <c r="C2346" s="31"/>
    </row>
    <row r="2347">
      <c r="A2347" s="56" t="s">
        <v>11366</v>
      </c>
      <c r="B2347" s="55"/>
      <c r="C2347" s="31"/>
    </row>
    <row r="2348">
      <c r="A2348" s="56" t="s">
        <v>11367</v>
      </c>
      <c r="B2348" s="55"/>
      <c r="C2348" s="31"/>
    </row>
    <row r="2349">
      <c r="A2349" s="56" t="s">
        <v>11368</v>
      </c>
      <c r="B2349" s="55"/>
      <c r="C2349" s="31"/>
    </row>
    <row r="2350">
      <c r="A2350" s="56" t="s">
        <v>11369</v>
      </c>
      <c r="B2350" s="82"/>
      <c r="C2350" s="33" t="s">
        <v>11370</v>
      </c>
      <c r="E2350" s="46" t="s">
        <v>7609</v>
      </c>
    </row>
    <row r="2351">
      <c r="A2351" s="56" t="s">
        <v>11371</v>
      </c>
      <c r="B2351" s="82"/>
      <c r="C2351" s="33" t="s">
        <v>11373</v>
      </c>
      <c r="E2351" s="46" t="s">
        <v>7616</v>
      </c>
    </row>
    <row r="2352">
      <c r="A2352" s="56" t="s">
        <v>11374</v>
      </c>
      <c r="B2352" s="82"/>
      <c r="C2352" s="33" t="s">
        <v>11373</v>
      </c>
      <c r="E2352" s="46" t="s">
        <v>7618</v>
      </c>
    </row>
    <row r="2353">
      <c r="A2353" s="56" t="s">
        <v>11375</v>
      </c>
      <c r="B2353" s="82"/>
      <c r="C2353" s="33" t="s">
        <v>11376</v>
      </c>
      <c r="E2353" s="46" t="s">
        <v>7616</v>
      </c>
    </row>
    <row r="2354">
      <c r="A2354" s="56" t="s">
        <v>11377</v>
      </c>
      <c r="B2354" s="82"/>
      <c r="C2354" s="33" t="s">
        <v>11376</v>
      </c>
      <c r="E2354" s="46" t="s">
        <v>7618</v>
      </c>
    </row>
    <row r="2355">
      <c r="A2355" s="56" t="s">
        <v>11379</v>
      </c>
      <c r="B2355" s="82"/>
      <c r="C2355" s="33" t="s">
        <v>11380</v>
      </c>
      <c r="E2355" s="46" t="s">
        <v>7616</v>
      </c>
    </row>
    <row r="2356">
      <c r="A2356" s="56" t="s">
        <v>11381</v>
      </c>
      <c r="B2356" s="82"/>
      <c r="C2356" s="33" t="s">
        <v>11380</v>
      </c>
      <c r="E2356" s="46" t="s">
        <v>7618</v>
      </c>
    </row>
    <row r="2357">
      <c r="A2357" s="56" t="s">
        <v>11383</v>
      </c>
      <c r="B2357" s="79"/>
      <c r="C2357" s="33" t="s">
        <v>11384</v>
      </c>
      <c r="E2357" s="46" t="s">
        <v>1348</v>
      </c>
    </row>
    <row r="2358">
      <c r="A2358" s="56" t="s">
        <v>11386</v>
      </c>
      <c r="B2358" s="79"/>
      <c r="C2358" s="33" t="s">
        <v>11384</v>
      </c>
      <c r="E2358" s="46" t="s">
        <v>1348</v>
      </c>
    </row>
    <row r="2359">
      <c r="A2359" s="56" t="s">
        <v>11388</v>
      </c>
      <c r="B2359" s="79"/>
      <c r="C2359" s="33" t="s">
        <v>11389</v>
      </c>
      <c r="E2359" s="46" t="s">
        <v>1348</v>
      </c>
    </row>
    <row r="2360">
      <c r="A2360" s="56" t="s">
        <v>11390</v>
      </c>
      <c r="B2360" s="21"/>
      <c r="C2360" s="33" t="s">
        <v>11391</v>
      </c>
      <c r="E2360" s="46" t="s">
        <v>7616</v>
      </c>
    </row>
    <row r="2361">
      <c r="A2361" s="56" t="s">
        <v>11392</v>
      </c>
      <c r="B2361" s="21"/>
      <c r="C2361" s="33" t="s">
        <v>11391</v>
      </c>
      <c r="E2361" s="46" t="s">
        <v>7618</v>
      </c>
    </row>
    <row r="2362">
      <c r="A2362" s="56" t="s">
        <v>11393</v>
      </c>
      <c r="B2362" s="21"/>
      <c r="C2362" s="33" t="s">
        <v>11394</v>
      </c>
      <c r="E2362" s="46" t="s">
        <v>7616</v>
      </c>
    </row>
    <row r="2363">
      <c r="A2363" s="56" t="s">
        <v>11395</v>
      </c>
      <c r="B2363" s="21"/>
      <c r="C2363" s="33" t="s">
        <v>11394</v>
      </c>
      <c r="E2363" s="46" t="s">
        <v>7618</v>
      </c>
    </row>
    <row r="2364">
      <c r="A2364" s="56" t="s">
        <v>11396</v>
      </c>
      <c r="B2364" s="21"/>
      <c r="C2364" s="33" t="s">
        <v>11398</v>
      </c>
      <c r="E2364" s="46" t="s">
        <v>7616</v>
      </c>
    </row>
    <row r="2365">
      <c r="A2365" s="56" t="s">
        <v>11399</v>
      </c>
      <c r="B2365" s="21"/>
      <c r="C2365" s="33" t="s">
        <v>11398</v>
      </c>
      <c r="E2365" s="46" t="s">
        <v>7618</v>
      </c>
    </row>
    <row r="2366">
      <c r="A2366" s="56" t="s">
        <v>11401</v>
      </c>
      <c r="B2366" s="21"/>
      <c r="C2366" s="33" t="s">
        <v>11391</v>
      </c>
      <c r="E2366" s="46" t="s">
        <v>7616</v>
      </c>
    </row>
    <row r="2367">
      <c r="A2367" s="56" t="s">
        <v>11404</v>
      </c>
      <c r="B2367" s="21"/>
      <c r="C2367" s="33" t="s">
        <v>11391</v>
      </c>
      <c r="E2367" s="46" t="s">
        <v>7618</v>
      </c>
    </row>
    <row r="2368">
      <c r="A2368" s="56" t="s">
        <v>11405</v>
      </c>
      <c r="B2368" s="21"/>
      <c r="C2368" s="33" t="s">
        <v>11394</v>
      </c>
      <c r="E2368" s="46" t="s">
        <v>7616</v>
      </c>
    </row>
    <row r="2369">
      <c r="A2369" s="56" t="s">
        <v>11407</v>
      </c>
      <c r="B2369" s="21"/>
      <c r="C2369" s="33" t="s">
        <v>11394</v>
      </c>
      <c r="E2369" s="46" t="s">
        <v>7618</v>
      </c>
    </row>
    <row r="2370">
      <c r="A2370" s="56" t="s">
        <v>11408</v>
      </c>
      <c r="B2370" s="21"/>
      <c r="C2370" s="33" t="s">
        <v>11398</v>
      </c>
      <c r="E2370" s="46" t="s">
        <v>7616</v>
      </c>
    </row>
    <row r="2371">
      <c r="A2371" s="56" t="s">
        <v>11409</v>
      </c>
      <c r="B2371" s="21"/>
      <c r="C2371" s="33" t="s">
        <v>11398</v>
      </c>
      <c r="E2371" s="46" t="s">
        <v>7618</v>
      </c>
    </row>
    <row r="2372">
      <c r="A2372" s="56" t="s">
        <v>11410</v>
      </c>
      <c r="B2372" s="21"/>
      <c r="C2372" s="33" t="s">
        <v>11411</v>
      </c>
      <c r="E2372" s="46" t="s">
        <v>7616</v>
      </c>
    </row>
    <row r="2373">
      <c r="A2373" s="56" t="s">
        <v>11412</v>
      </c>
      <c r="B2373" s="21"/>
      <c r="C2373" s="33" t="s">
        <v>11411</v>
      </c>
      <c r="E2373" s="46" t="s">
        <v>7618</v>
      </c>
    </row>
    <row r="2374">
      <c r="A2374" s="56" t="s">
        <v>11415</v>
      </c>
      <c r="B2374" s="21"/>
      <c r="C2374" s="33" t="s">
        <v>11416</v>
      </c>
      <c r="E2374" s="46" t="s">
        <v>7616</v>
      </c>
    </row>
    <row r="2375">
      <c r="A2375" s="56" t="s">
        <v>11417</v>
      </c>
      <c r="B2375" s="21"/>
      <c r="C2375" s="33" t="s">
        <v>11416</v>
      </c>
      <c r="E2375" s="46" t="s">
        <v>7618</v>
      </c>
    </row>
    <row r="2376">
      <c r="A2376" s="56" t="s">
        <v>11418</v>
      </c>
      <c r="B2376" s="21"/>
      <c r="C2376" s="33" t="s">
        <v>11419</v>
      </c>
      <c r="E2376" s="46" t="s">
        <v>7616</v>
      </c>
    </row>
    <row r="2377">
      <c r="A2377" s="56" t="s">
        <v>11420</v>
      </c>
      <c r="B2377" s="21"/>
      <c r="C2377" s="33" t="s">
        <v>11419</v>
      </c>
      <c r="E2377" s="46" t="s">
        <v>7618</v>
      </c>
    </row>
    <row r="2378">
      <c r="A2378" s="56" t="s">
        <v>11421</v>
      </c>
      <c r="B2378" s="21"/>
      <c r="C2378" s="33" t="s">
        <v>11411</v>
      </c>
      <c r="E2378" s="46" t="s">
        <v>7616</v>
      </c>
    </row>
    <row r="2379">
      <c r="A2379" s="56" t="s">
        <v>11423</v>
      </c>
      <c r="B2379" s="21"/>
      <c r="C2379" s="33" t="s">
        <v>11411</v>
      </c>
      <c r="E2379" s="46" t="s">
        <v>7618</v>
      </c>
    </row>
    <row r="2380">
      <c r="A2380" s="56" t="s">
        <v>11424</v>
      </c>
      <c r="B2380" s="21"/>
      <c r="C2380" s="33" t="s">
        <v>11416</v>
      </c>
      <c r="E2380" s="46" t="s">
        <v>7616</v>
      </c>
    </row>
    <row r="2381">
      <c r="A2381" s="56" t="s">
        <v>11425</v>
      </c>
      <c r="B2381" s="21"/>
      <c r="C2381" s="33" t="s">
        <v>11416</v>
      </c>
      <c r="E2381" s="46" t="s">
        <v>7618</v>
      </c>
    </row>
    <row r="2382">
      <c r="A2382" s="56" t="s">
        <v>11426</v>
      </c>
      <c r="B2382" s="21"/>
      <c r="C2382" s="33" t="s">
        <v>11419</v>
      </c>
      <c r="E2382" s="46" t="s">
        <v>7616</v>
      </c>
    </row>
    <row r="2383">
      <c r="A2383" s="56" t="s">
        <v>11429</v>
      </c>
      <c r="B2383" s="21"/>
      <c r="C2383" s="33" t="s">
        <v>11419</v>
      </c>
      <c r="E2383" s="46" t="s">
        <v>7618</v>
      </c>
    </row>
    <row r="2384">
      <c r="A2384" s="56" t="s">
        <v>11430</v>
      </c>
      <c r="B2384" s="55"/>
      <c r="C2384" s="31"/>
      <c r="E2384" s="46" t="s">
        <v>3366</v>
      </c>
    </row>
    <row r="2385">
      <c r="A2385" s="56" t="s">
        <v>11431</v>
      </c>
      <c r="B2385" s="55"/>
      <c r="C2385" s="31"/>
      <c r="E2385" s="46" t="s">
        <v>3366</v>
      </c>
    </row>
    <row r="2386">
      <c r="A2386" s="56" t="s">
        <v>11432</v>
      </c>
      <c r="B2386" s="55"/>
      <c r="C2386" s="31"/>
      <c r="E2386" s="46" t="s">
        <v>3366</v>
      </c>
    </row>
    <row r="2387">
      <c r="A2387" s="56" t="s">
        <v>11433</v>
      </c>
      <c r="B2387" s="82"/>
      <c r="C2387" s="33" t="s">
        <v>11434</v>
      </c>
      <c r="E2387" s="46" t="s">
        <v>7609</v>
      </c>
    </row>
    <row r="2388">
      <c r="A2388" s="56" t="s">
        <v>11435</v>
      </c>
      <c r="B2388" s="82"/>
      <c r="C2388" s="33" t="s">
        <v>11437</v>
      </c>
      <c r="E2388" s="46" t="s">
        <v>7616</v>
      </c>
    </row>
    <row r="2389">
      <c r="A2389" s="56" t="s">
        <v>11438</v>
      </c>
      <c r="B2389" s="82"/>
      <c r="C2389" s="33" t="s">
        <v>11437</v>
      </c>
      <c r="E2389" s="46" t="s">
        <v>7618</v>
      </c>
    </row>
    <row r="2390">
      <c r="A2390" s="56" t="s">
        <v>11439</v>
      </c>
      <c r="B2390" s="82"/>
      <c r="C2390" s="33" t="s">
        <v>11440</v>
      </c>
      <c r="E2390" s="46" t="s">
        <v>7616</v>
      </c>
    </row>
    <row r="2391">
      <c r="A2391" s="56" t="s">
        <v>11441</v>
      </c>
      <c r="B2391" s="82"/>
      <c r="C2391" s="33" t="s">
        <v>11440</v>
      </c>
      <c r="E2391" s="46" t="s">
        <v>7618</v>
      </c>
    </row>
    <row r="2392">
      <c r="A2392" s="56" t="s">
        <v>11442</v>
      </c>
      <c r="B2392" s="82"/>
      <c r="C2392" s="33" t="s">
        <v>11444</v>
      </c>
      <c r="E2392" s="46" t="s">
        <v>7616</v>
      </c>
    </row>
    <row r="2393">
      <c r="A2393" s="56" t="s">
        <v>11445</v>
      </c>
      <c r="B2393" s="82"/>
      <c r="C2393" s="33" t="s">
        <v>11444</v>
      </c>
      <c r="E2393" s="46" t="s">
        <v>7618</v>
      </c>
    </row>
    <row r="2394">
      <c r="A2394" s="56" t="s">
        <v>11446</v>
      </c>
      <c r="B2394" s="79"/>
      <c r="C2394" s="33" t="s">
        <v>11447</v>
      </c>
      <c r="E2394" s="46" t="s">
        <v>1348</v>
      </c>
    </row>
    <row r="2395">
      <c r="A2395" s="56" t="s">
        <v>11448</v>
      </c>
      <c r="B2395" s="79"/>
      <c r="C2395" s="33" t="s">
        <v>11447</v>
      </c>
      <c r="E2395" s="46" t="s">
        <v>1348</v>
      </c>
    </row>
    <row r="2396">
      <c r="A2396" s="56" t="s">
        <v>11450</v>
      </c>
      <c r="B2396" s="79"/>
      <c r="C2396" s="33" t="s">
        <v>11451</v>
      </c>
      <c r="E2396" s="46" t="s">
        <v>1348</v>
      </c>
    </row>
    <row r="2397">
      <c r="A2397" s="56" t="s">
        <v>11452</v>
      </c>
      <c r="B2397" s="21"/>
      <c r="C2397" s="33" t="s">
        <v>11453</v>
      </c>
      <c r="E2397" s="46" t="s">
        <v>7616</v>
      </c>
    </row>
    <row r="2398">
      <c r="A2398" s="56" t="s">
        <v>11454</v>
      </c>
      <c r="B2398" s="21"/>
      <c r="C2398" s="33" t="s">
        <v>11453</v>
      </c>
      <c r="E2398" s="46" t="s">
        <v>7618</v>
      </c>
    </row>
    <row r="2399">
      <c r="A2399" s="56" t="s">
        <v>11455</v>
      </c>
      <c r="B2399" s="21"/>
      <c r="C2399" s="33" t="s">
        <v>11456</v>
      </c>
      <c r="E2399" s="46" t="s">
        <v>7616</v>
      </c>
    </row>
    <row r="2400">
      <c r="A2400" s="56" t="s">
        <v>11458</v>
      </c>
      <c r="B2400" s="21"/>
      <c r="C2400" s="33" t="s">
        <v>11456</v>
      </c>
      <c r="E2400" s="46" t="s">
        <v>7618</v>
      </c>
    </row>
    <row r="2401">
      <c r="A2401" s="56" t="s">
        <v>11460</v>
      </c>
      <c r="B2401" s="21"/>
      <c r="C2401" s="33" t="s">
        <v>11461</v>
      </c>
      <c r="E2401" s="46" t="s">
        <v>7616</v>
      </c>
    </row>
    <row r="2402">
      <c r="A2402" s="56" t="s">
        <v>11462</v>
      </c>
      <c r="B2402" s="21"/>
      <c r="C2402" s="33" t="s">
        <v>11461</v>
      </c>
      <c r="E2402" s="46" t="s">
        <v>7618</v>
      </c>
    </row>
    <row r="2403">
      <c r="A2403" s="56" t="s">
        <v>11463</v>
      </c>
      <c r="B2403" s="21"/>
      <c r="C2403" s="33" t="s">
        <v>11453</v>
      </c>
      <c r="E2403" s="46" t="s">
        <v>7616</v>
      </c>
    </row>
    <row r="2404">
      <c r="A2404" s="56" t="s">
        <v>11464</v>
      </c>
      <c r="B2404" s="21"/>
      <c r="C2404" s="33" t="s">
        <v>11453</v>
      </c>
      <c r="E2404" s="46" t="s">
        <v>7618</v>
      </c>
    </row>
    <row r="2405">
      <c r="A2405" s="56" t="s">
        <v>11465</v>
      </c>
      <c r="B2405" s="21"/>
      <c r="C2405" s="33" t="s">
        <v>11456</v>
      </c>
      <c r="E2405" s="46" t="s">
        <v>7616</v>
      </c>
    </row>
    <row r="2406">
      <c r="A2406" s="56" t="s">
        <v>11467</v>
      </c>
      <c r="B2406" s="21"/>
      <c r="C2406" s="33" t="s">
        <v>11456</v>
      </c>
      <c r="E2406" s="46" t="s">
        <v>7618</v>
      </c>
    </row>
    <row r="2407">
      <c r="A2407" s="56" t="s">
        <v>11468</v>
      </c>
      <c r="B2407" s="21"/>
      <c r="C2407" s="33" t="s">
        <v>11461</v>
      </c>
      <c r="E2407" s="46" t="s">
        <v>7616</v>
      </c>
    </row>
    <row r="2408">
      <c r="A2408" s="56" t="s">
        <v>11469</v>
      </c>
      <c r="B2408" s="21"/>
      <c r="C2408" s="33" t="s">
        <v>11461</v>
      </c>
      <c r="E2408" s="46" t="s">
        <v>7618</v>
      </c>
    </row>
    <row r="2409">
      <c r="A2409" s="56" t="s">
        <v>11470</v>
      </c>
      <c r="B2409" s="21"/>
      <c r="C2409" s="33" t="s">
        <v>11471</v>
      </c>
      <c r="E2409" s="46" t="s">
        <v>7616</v>
      </c>
    </row>
    <row r="2410">
      <c r="A2410" s="56" t="s">
        <v>11472</v>
      </c>
      <c r="B2410" s="21"/>
      <c r="C2410" s="33" t="s">
        <v>11471</v>
      </c>
      <c r="E2410" s="46" t="s">
        <v>7618</v>
      </c>
    </row>
    <row r="2411">
      <c r="A2411" s="56" t="s">
        <v>11475</v>
      </c>
      <c r="B2411" s="21"/>
      <c r="C2411" s="33" t="s">
        <v>11476</v>
      </c>
      <c r="E2411" s="46" t="s">
        <v>7616</v>
      </c>
    </row>
    <row r="2412">
      <c r="A2412" s="56" t="s">
        <v>11477</v>
      </c>
      <c r="B2412" s="21"/>
      <c r="C2412" s="33" t="s">
        <v>11476</v>
      </c>
      <c r="E2412" s="46" t="s">
        <v>7618</v>
      </c>
    </row>
    <row r="2413">
      <c r="A2413" s="56" t="s">
        <v>11478</v>
      </c>
      <c r="B2413" s="21"/>
      <c r="C2413" s="33" t="s">
        <v>11479</v>
      </c>
      <c r="E2413" s="46" t="s">
        <v>7616</v>
      </c>
    </row>
    <row r="2414">
      <c r="A2414" s="56" t="s">
        <v>11481</v>
      </c>
      <c r="B2414" s="21"/>
      <c r="C2414" s="33" t="s">
        <v>11479</v>
      </c>
      <c r="E2414" s="46" t="s">
        <v>7618</v>
      </c>
    </row>
    <row r="2415">
      <c r="A2415" s="56" t="s">
        <v>11482</v>
      </c>
      <c r="B2415" s="21"/>
      <c r="C2415" s="33" t="s">
        <v>11471</v>
      </c>
      <c r="E2415" s="46" t="s">
        <v>7616</v>
      </c>
    </row>
    <row r="2416">
      <c r="A2416" s="56" t="s">
        <v>11484</v>
      </c>
      <c r="B2416" s="21"/>
      <c r="C2416" s="33" t="s">
        <v>11471</v>
      </c>
      <c r="E2416" s="46" t="s">
        <v>7618</v>
      </c>
    </row>
    <row r="2417">
      <c r="A2417" s="56" t="s">
        <v>11486</v>
      </c>
      <c r="B2417" s="21"/>
      <c r="C2417" s="33" t="s">
        <v>11476</v>
      </c>
      <c r="E2417" s="46" t="s">
        <v>7616</v>
      </c>
    </row>
    <row r="2418">
      <c r="A2418" s="56" t="s">
        <v>11487</v>
      </c>
      <c r="B2418" s="21"/>
      <c r="C2418" s="33" t="s">
        <v>11476</v>
      </c>
      <c r="E2418" s="46" t="s">
        <v>7618</v>
      </c>
    </row>
    <row r="2419">
      <c r="A2419" s="56" t="s">
        <v>11488</v>
      </c>
      <c r="B2419" s="21"/>
      <c r="C2419" s="33" t="s">
        <v>11479</v>
      </c>
      <c r="E2419" s="46" t="s">
        <v>7616</v>
      </c>
    </row>
    <row r="2420">
      <c r="A2420" s="56" t="s">
        <v>11489</v>
      </c>
      <c r="B2420" s="21"/>
      <c r="C2420" s="33" t="s">
        <v>11479</v>
      </c>
      <c r="E2420" s="46" t="s">
        <v>7618</v>
      </c>
    </row>
    <row r="2421">
      <c r="A2421" s="56" t="s">
        <v>11490</v>
      </c>
      <c r="B2421" s="82"/>
      <c r="C2421" s="33" t="s">
        <v>11491</v>
      </c>
      <c r="E2421" s="46" t="s">
        <v>7609</v>
      </c>
    </row>
    <row r="2422">
      <c r="A2422" s="56" t="s">
        <v>11492</v>
      </c>
      <c r="B2422" s="82"/>
      <c r="C2422" s="33" t="s">
        <v>11493</v>
      </c>
      <c r="E2422" s="46" t="s">
        <v>7616</v>
      </c>
    </row>
    <row r="2423">
      <c r="A2423" s="56" t="s">
        <v>11495</v>
      </c>
      <c r="B2423" s="82"/>
      <c r="C2423" s="33" t="s">
        <v>11493</v>
      </c>
      <c r="E2423" s="46" t="s">
        <v>7618</v>
      </c>
    </row>
    <row r="2424">
      <c r="A2424" s="56" t="s">
        <v>11498</v>
      </c>
      <c r="B2424" s="82"/>
      <c r="C2424" s="33" t="s">
        <v>11499</v>
      </c>
      <c r="E2424" s="46" t="s">
        <v>7616</v>
      </c>
    </row>
    <row r="2425">
      <c r="A2425" s="56" t="s">
        <v>11500</v>
      </c>
      <c r="B2425" s="82"/>
      <c r="C2425" s="33" t="s">
        <v>11499</v>
      </c>
      <c r="E2425" s="46" t="s">
        <v>7618</v>
      </c>
    </row>
    <row r="2426">
      <c r="A2426" s="56" t="s">
        <v>11502</v>
      </c>
      <c r="B2426" s="82"/>
      <c r="C2426" s="33" t="s">
        <v>11503</v>
      </c>
      <c r="E2426" s="46" t="s">
        <v>7616</v>
      </c>
    </row>
    <row r="2427">
      <c r="A2427" s="56" t="s">
        <v>11504</v>
      </c>
      <c r="B2427" s="82"/>
      <c r="C2427" s="33" t="s">
        <v>11503</v>
      </c>
      <c r="E2427" s="46" t="s">
        <v>7618</v>
      </c>
    </row>
    <row r="2428">
      <c r="A2428" s="56" t="s">
        <v>11505</v>
      </c>
      <c r="B2428" s="79"/>
      <c r="C2428" s="33" t="s">
        <v>11506</v>
      </c>
      <c r="E2428" s="46" t="s">
        <v>1348</v>
      </c>
    </row>
    <row r="2429">
      <c r="A2429" s="56" t="s">
        <v>11507</v>
      </c>
      <c r="B2429" s="79"/>
      <c r="C2429" s="33" t="s">
        <v>11506</v>
      </c>
      <c r="E2429" s="46" t="s">
        <v>1348</v>
      </c>
    </row>
    <row r="2430">
      <c r="A2430" s="56" t="s">
        <v>11508</v>
      </c>
      <c r="B2430" s="79"/>
      <c r="C2430" s="33" t="s">
        <v>11509</v>
      </c>
      <c r="E2430" s="46" t="s">
        <v>1348</v>
      </c>
    </row>
    <row r="2431">
      <c r="A2431" s="56" t="s">
        <v>11510</v>
      </c>
      <c r="B2431" s="21"/>
      <c r="C2431" s="33" t="s">
        <v>11512</v>
      </c>
      <c r="E2431" s="46" t="s">
        <v>7616</v>
      </c>
    </row>
    <row r="2432">
      <c r="A2432" s="56" t="s">
        <v>11513</v>
      </c>
      <c r="B2432" s="21"/>
      <c r="C2432" s="33" t="s">
        <v>11512</v>
      </c>
      <c r="E2432" s="46" t="s">
        <v>7618</v>
      </c>
    </row>
    <row r="2433">
      <c r="A2433" s="56" t="s">
        <v>11514</v>
      </c>
      <c r="B2433" s="21"/>
      <c r="C2433" s="33" t="s">
        <v>11515</v>
      </c>
      <c r="E2433" s="46" t="s">
        <v>7616</v>
      </c>
    </row>
    <row r="2434">
      <c r="A2434" s="56" t="s">
        <v>11516</v>
      </c>
      <c r="B2434" s="21"/>
      <c r="C2434" s="33" t="s">
        <v>11515</v>
      </c>
      <c r="E2434" s="46" t="s">
        <v>7618</v>
      </c>
    </row>
    <row r="2435">
      <c r="A2435" s="56" t="s">
        <v>11517</v>
      </c>
      <c r="B2435" s="21"/>
      <c r="C2435" s="33" t="s">
        <v>11518</v>
      </c>
      <c r="E2435" s="46" t="s">
        <v>7616</v>
      </c>
    </row>
    <row r="2436">
      <c r="A2436" s="56" t="s">
        <v>11520</v>
      </c>
      <c r="B2436" s="21"/>
      <c r="C2436" s="33" t="s">
        <v>11518</v>
      </c>
      <c r="E2436" s="46" t="s">
        <v>7618</v>
      </c>
    </row>
    <row r="2437">
      <c r="A2437" s="56" t="s">
        <v>11521</v>
      </c>
      <c r="B2437" s="21"/>
      <c r="C2437" s="33" t="s">
        <v>11512</v>
      </c>
      <c r="E2437" s="46" t="s">
        <v>7616</v>
      </c>
    </row>
    <row r="2438">
      <c r="A2438" s="56" t="s">
        <v>11523</v>
      </c>
      <c r="B2438" s="21"/>
      <c r="C2438" s="33" t="s">
        <v>11512</v>
      </c>
      <c r="E2438" s="46" t="s">
        <v>7618</v>
      </c>
    </row>
    <row r="2439">
      <c r="A2439" s="56" t="s">
        <v>11524</v>
      </c>
      <c r="B2439" s="21"/>
      <c r="C2439" s="33" t="s">
        <v>11515</v>
      </c>
      <c r="E2439" s="46" t="s">
        <v>7616</v>
      </c>
    </row>
    <row r="2440">
      <c r="A2440" s="56" t="s">
        <v>11525</v>
      </c>
      <c r="B2440" s="21"/>
      <c r="C2440" s="33" t="s">
        <v>11515</v>
      </c>
      <c r="E2440" s="46" t="s">
        <v>7618</v>
      </c>
    </row>
    <row r="2441">
      <c r="A2441" s="56" t="s">
        <v>11526</v>
      </c>
      <c r="B2441" s="21"/>
      <c r="C2441" s="33" t="s">
        <v>11518</v>
      </c>
      <c r="E2441" s="46" t="s">
        <v>7616</v>
      </c>
    </row>
    <row r="2442">
      <c r="A2442" s="56" t="s">
        <v>11527</v>
      </c>
      <c r="B2442" s="21"/>
      <c r="C2442" s="33" t="s">
        <v>11518</v>
      </c>
      <c r="E2442" s="46" t="s">
        <v>7618</v>
      </c>
    </row>
    <row r="2443">
      <c r="A2443" s="56" t="s">
        <v>11529</v>
      </c>
      <c r="B2443" s="21"/>
      <c r="C2443" s="33" t="s">
        <v>11530</v>
      </c>
      <c r="E2443" s="46" t="s">
        <v>7616</v>
      </c>
    </row>
    <row r="2444">
      <c r="A2444" s="56" t="s">
        <v>11531</v>
      </c>
      <c r="B2444" s="21"/>
      <c r="C2444" s="33" t="s">
        <v>11530</v>
      </c>
      <c r="E2444" s="46" t="s">
        <v>7618</v>
      </c>
    </row>
    <row r="2445">
      <c r="A2445" s="56" t="s">
        <v>11533</v>
      </c>
      <c r="B2445" s="21"/>
      <c r="C2445" s="33" t="s">
        <v>11534</v>
      </c>
      <c r="E2445" s="46" t="s">
        <v>7616</v>
      </c>
    </row>
    <row r="2446">
      <c r="A2446" s="56" t="s">
        <v>11535</v>
      </c>
      <c r="B2446" s="21"/>
      <c r="C2446" s="33" t="s">
        <v>11534</v>
      </c>
      <c r="E2446" s="46" t="s">
        <v>7618</v>
      </c>
    </row>
    <row r="2447">
      <c r="A2447" s="56" t="s">
        <v>11537</v>
      </c>
      <c r="B2447" s="21"/>
      <c r="C2447" s="33" t="s">
        <v>11538</v>
      </c>
      <c r="E2447" s="46" t="s">
        <v>7616</v>
      </c>
    </row>
    <row r="2448">
      <c r="A2448" s="56" t="s">
        <v>11539</v>
      </c>
      <c r="B2448" s="21"/>
      <c r="C2448" s="33" t="s">
        <v>11538</v>
      </c>
      <c r="E2448" s="46" t="s">
        <v>7618</v>
      </c>
    </row>
    <row r="2449">
      <c r="A2449" s="56" t="s">
        <v>11540</v>
      </c>
      <c r="B2449" s="21"/>
      <c r="C2449" s="33" t="s">
        <v>11530</v>
      </c>
      <c r="E2449" s="46" t="s">
        <v>7616</v>
      </c>
    </row>
    <row r="2450">
      <c r="A2450" s="56" t="s">
        <v>11541</v>
      </c>
      <c r="B2450" s="21"/>
      <c r="C2450" s="33" t="s">
        <v>11530</v>
      </c>
      <c r="E2450" s="46" t="s">
        <v>7618</v>
      </c>
    </row>
    <row r="2451">
      <c r="A2451" s="56" t="s">
        <v>11542</v>
      </c>
      <c r="B2451" s="21"/>
      <c r="C2451" s="33" t="s">
        <v>11534</v>
      </c>
      <c r="E2451" s="46" t="s">
        <v>7616</v>
      </c>
    </row>
    <row r="2452">
      <c r="A2452" s="56" t="s">
        <v>11543</v>
      </c>
      <c r="B2452" s="21"/>
      <c r="C2452" s="33" t="s">
        <v>11534</v>
      </c>
      <c r="E2452" s="46" t="s">
        <v>7618</v>
      </c>
    </row>
    <row r="2453">
      <c r="A2453" s="56" t="s">
        <v>11545</v>
      </c>
      <c r="B2453" s="21"/>
      <c r="C2453" s="33" t="s">
        <v>11538</v>
      </c>
      <c r="E2453" s="46" t="s">
        <v>7616</v>
      </c>
    </row>
    <row r="2454">
      <c r="A2454" s="56" t="s">
        <v>11546</v>
      </c>
      <c r="B2454" s="21"/>
      <c r="C2454" s="33" t="s">
        <v>11538</v>
      </c>
      <c r="E2454" s="46" t="s">
        <v>7618</v>
      </c>
    </row>
    <row r="2455">
      <c r="A2455" s="56" t="s">
        <v>11547</v>
      </c>
      <c r="B2455" s="55"/>
      <c r="C2455" s="31"/>
    </row>
    <row r="2456">
      <c r="A2456" s="56" t="s">
        <v>11548</v>
      </c>
      <c r="B2456" s="82"/>
      <c r="C2456" s="33" t="s">
        <v>11549</v>
      </c>
      <c r="E2456" s="46" t="s">
        <v>7609</v>
      </c>
    </row>
    <row r="2457">
      <c r="A2457" s="56" t="s">
        <v>11550</v>
      </c>
      <c r="B2457" s="55"/>
      <c r="C2457" s="31"/>
    </row>
    <row r="2458">
      <c r="A2458" s="56" t="s">
        <v>11551</v>
      </c>
      <c r="B2458" s="55"/>
      <c r="C2458" s="31"/>
    </row>
    <row r="2459">
      <c r="A2459" s="56" t="s">
        <v>11553</v>
      </c>
      <c r="B2459" s="55"/>
      <c r="C2459" s="31"/>
    </row>
    <row r="2460">
      <c r="A2460" s="56" t="s">
        <v>11554</v>
      </c>
      <c r="B2460" s="55"/>
      <c r="C2460" s="31"/>
    </row>
    <row r="2461">
      <c r="A2461" s="56" t="s">
        <v>11556</v>
      </c>
      <c r="B2461" s="55"/>
      <c r="C2461" s="31"/>
    </row>
    <row r="2462">
      <c r="A2462" s="56" t="s">
        <v>11557</v>
      </c>
      <c r="B2462" s="55"/>
      <c r="C2462" s="31"/>
    </row>
    <row r="2463">
      <c r="A2463" s="56" t="s">
        <v>11558</v>
      </c>
      <c r="B2463" s="55"/>
      <c r="C2463" s="31"/>
    </row>
    <row r="2464">
      <c r="A2464" s="56" t="s">
        <v>11559</v>
      </c>
      <c r="B2464" s="55"/>
      <c r="C2464" s="31"/>
    </row>
    <row r="2465">
      <c r="A2465" s="56" t="s">
        <v>11560</v>
      </c>
      <c r="B2465" s="55"/>
      <c r="C2465" s="31"/>
    </row>
    <row r="2466">
      <c r="A2466" s="56" t="s">
        <v>11562</v>
      </c>
      <c r="B2466" s="55"/>
      <c r="C2466" s="31"/>
    </row>
    <row r="2467">
      <c r="A2467" s="56" t="s">
        <v>11563</v>
      </c>
      <c r="B2467" s="55"/>
      <c r="C2467" s="31"/>
    </row>
    <row r="2468">
      <c r="A2468" s="56" t="s">
        <v>11564</v>
      </c>
      <c r="B2468" s="55"/>
      <c r="C2468" s="31"/>
    </row>
    <row r="2469">
      <c r="A2469" s="56" t="s">
        <v>11565</v>
      </c>
      <c r="B2469" s="55"/>
      <c r="C2469" s="31"/>
    </row>
    <row r="2470">
      <c r="A2470" s="56" t="s">
        <v>11566</v>
      </c>
      <c r="B2470" s="55"/>
      <c r="C2470" s="31"/>
    </row>
    <row r="2471">
      <c r="A2471" s="56" t="s">
        <v>11567</v>
      </c>
      <c r="B2471" s="55"/>
      <c r="C2471" s="31"/>
    </row>
    <row r="2472">
      <c r="A2472" s="56" t="s">
        <v>11568</v>
      </c>
      <c r="B2472" s="55"/>
      <c r="C2472" s="31"/>
    </row>
    <row r="2473">
      <c r="A2473" s="56" t="s">
        <v>11569</v>
      </c>
      <c r="B2473" s="55"/>
      <c r="C2473" s="31"/>
    </row>
    <row r="2474">
      <c r="A2474" s="56" t="s">
        <v>11570</v>
      </c>
      <c r="B2474" s="55"/>
      <c r="C2474" s="31"/>
    </row>
    <row r="2475">
      <c r="A2475" s="56" t="s">
        <v>11571</v>
      </c>
      <c r="B2475" s="55"/>
      <c r="C2475" s="31"/>
    </row>
    <row r="2476">
      <c r="A2476" s="56" t="s">
        <v>11572</v>
      </c>
      <c r="B2476" s="55"/>
      <c r="C2476" s="31"/>
    </row>
    <row r="2477">
      <c r="A2477" s="56" t="s">
        <v>11575</v>
      </c>
      <c r="B2477" s="55"/>
      <c r="C2477" s="31"/>
    </row>
    <row r="2478">
      <c r="A2478" s="56" t="s">
        <v>11576</v>
      </c>
      <c r="B2478" s="55"/>
      <c r="C2478" s="31"/>
    </row>
    <row r="2479">
      <c r="A2479" s="56" t="s">
        <v>11577</v>
      </c>
      <c r="B2479" s="55"/>
      <c r="C2479" s="31"/>
    </row>
    <row r="2480">
      <c r="A2480" s="56" t="s">
        <v>11578</v>
      </c>
      <c r="B2480" s="55"/>
      <c r="C2480" s="31"/>
    </row>
    <row r="2481">
      <c r="A2481" s="56" t="s">
        <v>11579</v>
      </c>
      <c r="B2481" s="55"/>
      <c r="C2481" s="31"/>
    </row>
    <row r="2482">
      <c r="A2482" s="56" t="s">
        <v>11580</v>
      </c>
      <c r="B2482" s="55"/>
      <c r="C2482" s="31"/>
    </row>
    <row r="2483">
      <c r="A2483" s="56" t="s">
        <v>11581</v>
      </c>
      <c r="B2483" s="55"/>
      <c r="C2483" s="31"/>
    </row>
    <row r="2484">
      <c r="A2484" s="56" t="s">
        <v>11582</v>
      </c>
      <c r="B2484" s="55"/>
      <c r="C2484" s="31"/>
    </row>
    <row r="2485">
      <c r="A2485" s="56" t="s">
        <v>11583</v>
      </c>
      <c r="B2485" s="55"/>
      <c r="C2485" s="31"/>
    </row>
    <row r="2486">
      <c r="A2486" s="56" t="s">
        <v>11584</v>
      </c>
      <c r="B2486" s="55"/>
      <c r="C2486" s="31"/>
    </row>
    <row r="2487">
      <c r="A2487" s="56" t="s">
        <v>11586</v>
      </c>
      <c r="B2487" s="55"/>
      <c r="C2487" s="31"/>
    </row>
    <row r="2488">
      <c r="A2488" s="56" t="s">
        <v>11587</v>
      </c>
      <c r="B2488" s="82"/>
      <c r="C2488" s="33" t="s">
        <v>11588</v>
      </c>
      <c r="E2488" s="46" t="s">
        <v>7609</v>
      </c>
    </row>
    <row r="2489">
      <c r="A2489" s="56" t="s">
        <v>11589</v>
      </c>
      <c r="B2489" s="55"/>
      <c r="C2489" s="31"/>
    </row>
    <row r="2490">
      <c r="A2490" s="56" t="s">
        <v>11590</v>
      </c>
      <c r="B2490" s="55"/>
      <c r="C2490" s="31"/>
    </row>
    <row r="2491">
      <c r="A2491" s="56" t="s">
        <v>11591</v>
      </c>
      <c r="B2491" s="55"/>
      <c r="C2491" s="31"/>
    </row>
    <row r="2492">
      <c r="A2492" s="56" t="s">
        <v>11592</v>
      </c>
      <c r="B2492" s="55"/>
      <c r="C2492" s="31"/>
    </row>
    <row r="2493">
      <c r="A2493" s="56" t="s">
        <v>11593</v>
      </c>
      <c r="B2493" s="55"/>
      <c r="C2493" s="31"/>
    </row>
    <row r="2494">
      <c r="A2494" s="56" t="s">
        <v>11594</v>
      </c>
      <c r="B2494" s="55"/>
      <c r="C2494" s="31"/>
    </row>
    <row r="2495">
      <c r="A2495" s="56" t="s">
        <v>11597</v>
      </c>
      <c r="B2495" s="55"/>
      <c r="C2495" s="31"/>
    </row>
    <row r="2496">
      <c r="A2496" s="56" t="s">
        <v>11598</v>
      </c>
      <c r="B2496" s="55"/>
      <c r="C2496" s="31"/>
    </row>
    <row r="2497">
      <c r="A2497" s="56" t="s">
        <v>11599</v>
      </c>
      <c r="B2497" s="55"/>
      <c r="C2497" s="31"/>
    </row>
    <row r="2498">
      <c r="A2498" s="56" t="s">
        <v>11600</v>
      </c>
      <c r="B2498" s="55"/>
      <c r="C2498" s="31"/>
    </row>
    <row r="2499">
      <c r="A2499" s="56" t="s">
        <v>11601</v>
      </c>
      <c r="B2499" s="55"/>
      <c r="C2499" s="31"/>
    </row>
    <row r="2500">
      <c r="A2500" s="56" t="s">
        <v>11602</v>
      </c>
      <c r="B2500" s="55"/>
      <c r="C2500" s="31"/>
    </row>
    <row r="2501">
      <c r="A2501" s="56" t="s">
        <v>11603</v>
      </c>
      <c r="B2501" s="55"/>
      <c r="C2501" s="31"/>
    </row>
    <row r="2502">
      <c r="A2502" s="56" t="s">
        <v>11604</v>
      </c>
      <c r="B2502" s="55"/>
      <c r="C2502" s="31"/>
    </row>
    <row r="2503">
      <c r="A2503" s="56" t="s">
        <v>11605</v>
      </c>
      <c r="B2503" s="55"/>
      <c r="C2503" s="31"/>
    </row>
    <row r="2504">
      <c r="A2504" s="56" t="s">
        <v>11606</v>
      </c>
      <c r="B2504" s="55"/>
      <c r="C2504" s="31"/>
    </row>
    <row r="2505">
      <c r="A2505" s="56" t="s">
        <v>11607</v>
      </c>
      <c r="B2505" s="55"/>
      <c r="C2505" s="31"/>
    </row>
    <row r="2506">
      <c r="A2506" s="56" t="s">
        <v>11609</v>
      </c>
      <c r="B2506" s="55"/>
      <c r="C2506" s="31"/>
    </row>
    <row r="2507">
      <c r="A2507" s="56" t="s">
        <v>11610</v>
      </c>
      <c r="B2507" s="55"/>
      <c r="C2507" s="31"/>
    </row>
    <row r="2508">
      <c r="A2508" s="56" t="s">
        <v>11611</v>
      </c>
      <c r="B2508" s="55"/>
      <c r="C2508" s="31"/>
    </row>
    <row r="2509">
      <c r="A2509" s="56" t="s">
        <v>11612</v>
      </c>
      <c r="B2509" s="55"/>
      <c r="C2509" s="31"/>
    </row>
    <row r="2510">
      <c r="A2510" s="56" t="s">
        <v>11613</v>
      </c>
      <c r="B2510" s="55"/>
      <c r="C2510" s="31"/>
    </row>
    <row r="2511">
      <c r="A2511" s="56" t="s">
        <v>11614</v>
      </c>
      <c r="B2511" s="55"/>
      <c r="C2511" s="31"/>
    </row>
    <row r="2512">
      <c r="A2512" s="56" t="s">
        <v>11615</v>
      </c>
      <c r="B2512" s="55"/>
      <c r="C2512" s="31"/>
    </row>
    <row r="2513">
      <c r="A2513" s="56" t="s">
        <v>11616</v>
      </c>
      <c r="B2513" s="55"/>
      <c r="C2513" s="31"/>
    </row>
    <row r="2514">
      <c r="A2514" s="56" t="s">
        <v>11617</v>
      </c>
      <c r="B2514" s="55"/>
      <c r="C2514" s="31"/>
    </row>
    <row r="2515">
      <c r="A2515" s="56" t="s">
        <v>11618</v>
      </c>
      <c r="B2515" s="55"/>
      <c r="C2515" s="31"/>
    </row>
    <row r="2516">
      <c r="A2516" s="56" t="s">
        <v>11621</v>
      </c>
      <c r="B2516" s="55"/>
      <c r="C2516" s="31"/>
    </row>
    <row r="2517">
      <c r="A2517" s="56" t="s">
        <v>11622</v>
      </c>
      <c r="B2517" s="55"/>
      <c r="C2517" s="31"/>
    </row>
    <row r="2518">
      <c r="A2518" s="56" t="s">
        <v>11623</v>
      </c>
      <c r="B2518" s="55"/>
      <c r="C2518" s="31"/>
    </row>
    <row r="2519">
      <c r="A2519" s="56" t="s">
        <v>11624</v>
      </c>
      <c r="B2519" s="55"/>
      <c r="C2519" s="31"/>
    </row>
    <row r="2520">
      <c r="A2520" s="56" t="s">
        <v>11625</v>
      </c>
      <c r="B2520" s="55"/>
      <c r="C2520" s="31"/>
    </row>
    <row r="2521">
      <c r="A2521" s="56" t="s">
        <v>11626</v>
      </c>
      <c r="B2521" s="55"/>
      <c r="C2521" s="31"/>
    </row>
    <row r="2522">
      <c r="A2522" s="56" t="s">
        <v>11627</v>
      </c>
      <c r="B2522" s="82"/>
      <c r="C2522" s="33" t="s">
        <v>11628</v>
      </c>
      <c r="E2522" s="46" t="s">
        <v>7609</v>
      </c>
    </row>
    <row r="2523">
      <c r="A2523" s="56" t="s">
        <v>11629</v>
      </c>
      <c r="B2523" s="82"/>
      <c r="C2523" s="33" t="s">
        <v>11373</v>
      </c>
      <c r="E2523" s="46" t="s">
        <v>7616</v>
      </c>
    </row>
    <row r="2524">
      <c r="A2524" s="56" t="s">
        <v>11630</v>
      </c>
      <c r="B2524" s="82"/>
      <c r="C2524" s="33" t="s">
        <v>11373</v>
      </c>
      <c r="E2524" s="46" t="s">
        <v>7618</v>
      </c>
    </row>
    <row r="2525">
      <c r="A2525" s="56" t="s">
        <v>11632</v>
      </c>
      <c r="B2525" s="82"/>
      <c r="C2525" s="33" t="s">
        <v>11376</v>
      </c>
      <c r="E2525" s="46" t="s">
        <v>7616</v>
      </c>
    </row>
    <row r="2526">
      <c r="A2526" s="56" t="s">
        <v>11633</v>
      </c>
      <c r="B2526" s="82"/>
      <c r="C2526" s="33" t="s">
        <v>11376</v>
      </c>
      <c r="E2526" s="46" t="s">
        <v>7618</v>
      </c>
    </row>
    <row r="2527">
      <c r="A2527" s="56" t="s">
        <v>11634</v>
      </c>
      <c r="B2527" s="82"/>
      <c r="C2527" s="33" t="s">
        <v>11380</v>
      </c>
      <c r="E2527" s="46" t="s">
        <v>7616</v>
      </c>
    </row>
    <row r="2528">
      <c r="A2528" s="56" t="s">
        <v>11635</v>
      </c>
      <c r="B2528" s="82"/>
      <c r="C2528" s="33" t="s">
        <v>11380</v>
      </c>
      <c r="E2528" s="46" t="s">
        <v>7618</v>
      </c>
    </row>
    <row r="2529">
      <c r="A2529" s="56" t="s">
        <v>11636</v>
      </c>
      <c r="B2529" s="79"/>
      <c r="C2529" s="33" t="s">
        <v>11384</v>
      </c>
      <c r="E2529" s="46" t="s">
        <v>1348</v>
      </c>
    </row>
    <row r="2530">
      <c r="A2530" s="56" t="s">
        <v>11637</v>
      </c>
      <c r="B2530" s="79"/>
      <c r="C2530" s="33" t="s">
        <v>11384</v>
      </c>
      <c r="E2530" s="46" t="s">
        <v>1348</v>
      </c>
    </row>
    <row r="2531">
      <c r="A2531" s="56" t="s">
        <v>11640</v>
      </c>
      <c r="B2531" s="79"/>
      <c r="C2531" s="33" t="s">
        <v>11389</v>
      </c>
      <c r="E2531" s="46" t="s">
        <v>1348</v>
      </c>
    </row>
    <row r="2532">
      <c r="A2532" s="56" t="s">
        <v>11641</v>
      </c>
      <c r="B2532" s="21"/>
      <c r="C2532" s="33" t="s">
        <v>11391</v>
      </c>
      <c r="E2532" s="46" t="s">
        <v>7616</v>
      </c>
    </row>
    <row r="2533">
      <c r="A2533" s="56" t="s">
        <v>11642</v>
      </c>
      <c r="B2533" s="21"/>
      <c r="C2533" s="33" t="s">
        <v>11391</v>
      </c>
      <c r="E2533" s="46" t="s">
        <v>7618</v>
      </c>
    </row>
    <row r="2534">
      <c r="A2534" s="56" t="s">
        <v>11643</v>
      </c>
      <c r="B2534" s="21"/>
      <c r="C2534" s="33" t="s">
        <v>11394</v>
      </c>
      <c r="E2534" s="46" t="s">
        <v>7616</v>
      </c>
    </row>
    <row r="2535">
      <c r="A2535" s="56" t="s">
        <v>11644</v>
      </c>
      <c r="B2535" s="21"/>
      <c r="C2535" s="33" t="s">
        <v>11394</v>
      </c>
      <c r="E2535" s="46" t="s">
        <v>7618</v>
      </c>
    </row>
    <row r="2536">
      <c r="A2536" s="56" t="s">
        <v>11645</v>
      </c>
      <c r="B2536" s="21"/>
      <c r="C2536" s="33" t="s">
        <v>11398</v>
      </c>
      <c r="E2536" s="46" t="s">
        <v>7616</v>
      </c>
    </row>
    <row r="2537">
      <c r="A2537" s="56" t="s">
        <v>11646</v>
      </c>
      <c r="B2537" s="21"/>
      <c r="C2537" s="33" t="s">
        <v>11398</v>
      </c>
      <c r="E2537" s="46" t="s">
        <v>7618</v>
      </c>
    </row>
    <row r="2538">
      <c r="A2538" s="56" t="s">
        <v>11648</v>
      </c>
      <c r="B2538" s="21"/>
      <c r="C2538" s="33" t="s">
        <v>11391</v>
      </c>
      <c r="E2538" s="46" t="s">
        <v>7616</v>
      </c>
    </row>
    <row r="2539">
      <c r="A2539" s="56" t="s">
        <v>11649</v>
      </c>
      <c r="B2539" s="21"/>
      <c r="C2539" s="33" t="s">
        <v>11391</v>
      </c>
      <c r="E2539" s="46" t="s">
        <v>7618</v>
      </c>
    </row>
    <row r="2540">
      <c r="A2540" s="56" t="s">
        <v>11650</v>
      </c>
      <c r="B2540" s="21"/>
      <c r="C2540" s="33" t="s">
        <v>11394</v>
      </c>
      <c r="E2540" s="46" t="s">
        <v>7616</v>
      </c>
    </row>
    <row r="2541">
      <c r="A2541" s="56" t="s">
        <v>11651</v>
      </c>
      <c r="B2541" s="21"/>
      <c r="C2541" s="33" t="s">
        <v>11394</v>
      </c>
      <c r="E2541" s="46" t="s">
        <v>7618</v>
      </c>
    </row>
    <row r="2542">
      <c r="A2542" s="56" t="s">
        <v>11652</v>
      </c>
      <c r="B2542" s="21"/>
      <c r="C2542" s="33" t="s">
        <v>11398</v>
      </c>
      <c r="E2542" s="46" t="s">
        <v>7616</v>
      </c>
    </row>
    <row r="2543">
      <c r="A2543" s="56" t="s">
        <v>11653</v>
      </c>
      <c r="B2543" s="21"/>
      <c r="C2543" s="33" t="s">
        <v>11398</v>
      </c>
      <c r="E2543" s="46" t="s">
        <v>7618</v>
      </c>
    </row>
    <row r="2544">
      <c r="A2544" s="56" t="s">
        <v>11654</v>
      </c>
      <c r="B2544" s="21"/>
      <c r="C2544" s="33" t="s">
        <v>11411</v>
      </c>
      <c r="E2544" s="46" t="s">
        <v>7616</v>
      </c>
    </row>
    <row r="2545">
      <c r="A2545" s="56" t="s">
        <v>11656</v>
      </c>
      <c r="B2545" s="21"/>
      <c r="C2545" s="33" t="s">
        <v>11411</v>
      </c>
      <c r="E2545" s="46" t="s">
        <v>7618</v>
      </c>
    </row>
    <row r="2546">
      <c r="A2546" s="56" t="s">
        <v>11658</v>
      </c>
      <c r="B2546" s="21"/>
      <c r="C2546" s="33" t="s">
        <v>11416</v>
      </c>
      <c r="E2546" s="46" t="s">
        <v>7616</v>
      </c>
    </row>
    <row r="2547">
      <c r="A2547" s="56" t="s">
        <v>11659</v>
      </c>
      <c r="B2547" s="21"/>
      <c r="C2547" s="33" t="s">
        <v>11416</v>
      </c>
      <c r="E2547" s="46" t="s">
        <v>7618</v>
      </c>
    </row>
    <row r="2548">
      <c r="A2548" s="56" t="s">
        <v>11660</v>
      </c>
      <c r="B2548" s="21"/>
      <c r="C2548" s="33" t="s">
        <v>11419</v>
      </c>
      <c r="E2548" s="46" t="s">
        <v>7616</v>
      </c>
    </row>
    <row r="2549">
      <c r="A2549" s="56" t="s">
        <v>11661</v>
      </c>
      <c r="B2549" s="21"/>
      <c r="C2549" s="33" t="s">
        <v>11419</v>
      </c>
      <c r="E2549" s="46" t="s">
        <v>7618</v>
      </c>
    </row>
    <row r="2550">
      <c r="A2550" s="56" t="s">
        <v>11662</v>
      </c>
      <c r="B2550" s="21"/>
      <c r="C2550" s="33" t="s">
        <v>11411</v>
      </c>
      <c r="E2550" s="46" t="s">
        <v>7616</v>
      </c>
    </row>
    <row r="2551">
      <c r="A2551" s="56" t="s">
        <v>11663</v>
      </c>
      <c r="B2551" s="21"/>
      <c r="C2551" s="33" t="s">
        <v>11411</v>
      </c>
      <c r="E2551" s="46" t="s">
        <v>7618</v>
      </c>
    </row>
    <row r="2552">
      <c r="A2552" s="56" t="s">
        <v>11664</v>
      </c>
      <c r="B2552" s="21"/>
      <c r="C2552" s="33" t="s">
        <v>11416</v>
      </c>
      <c r="E2552" s="46" t="s">
        <v>7616</v>
      </c>
    </row>
    <row r="2553">
      <c r="A2553" s="56" t="s">
        <v>11665</v>
      </c>
      <c r="B2553" s="21"/>
      <c r="C2553" s="33" t="s">
        <v>11416</v>
      </c>
      <c r="E2553" s="46" t="s">
        <v>7618</v>
      </c>
    </row>
    <row r="2554">
      <c r="A2554" s="56" t="s">
        <v>11666</v>
      </c>
      <c r="B2554" s="21"/>
      <c r="C2554" s="33" t="s">
        <v>11419</v>
      </c>
      <c r="E2554" s="46" t="s">
        <v>7616</v>
      </c>
    </row>
    <row r="2555">
      <c r="A2555" s="56" t="s">
        <v>11667</v>
      </c>
      <c r="B2555" s="21"/>
      <c r="C2555" s="33" t="s">
        <v>11419</v>
      </c>
      <c r="E2555" s="46" t="s">
        <v>7618</v>
      </c>
    </row>
    <row r="2556">
      <c r="A2556" s="56" t="s">
        <v>11668</v>
      </c>
      <c r="B2556" s="55"/>
      <c r="C2556" s="31"/>
    </row>
    <row r="2557">
      <c r="A2557" s="56" t="s">
        <v>11669</v>
      </c>
      <c r="B2557" s="55"/>
      <c r="C2557" s="31"/>
    </row>
    <row r="2558">
      <c r="A2558" s="56" t="s">
        <v>11670</v>
      </c>
      <c r="B2558" s="55"/>
      <c r="C2558" s="31"/>
    </row>
    <row r="2559">
      <c r="A2559" s="56" t="s">
        <v>11671</v>
      </c>
      <c r="B2559" s="82"/>
      <c r="C2559" s="33" t="s">
        <v>11672</v>
      </c>
      <c r="E2559" s="46" t="s">
        <v>7609</v>
      </c>
    </row>
    <row r="2560">
      <c r="A2560" s="56" t="s">
        <v>11673</v>
      </c>
      <c r="B2560" s="82"/>
      <c r="C2560" s="33" t="s">
        <v>11674</v>
      </c>
      <c r="E2560" s="46" t="s">
        <v>7616</v>
      </c>
    </row>
    <row r="2561">
      <c r="A2561" s="56" t="s">
        <v>11677</v>
      </c>
      <c r="B2561" s="82"/>
      <c r="C2561" s="33" t="s">
        <v>11674</v>
      </c>
      <c r="E2561" s="46" t="s">
        <v>7618</v>
      </c>
    </row>
    <row r="2562">
      <c r="A2562" s="56" t="s">
        <v>11678</v>
      </c>
      <c r="B2562" s="82"/>
      <c r="C2562" s="33" t="s">
        <v>11679</v>
      </c>
      <c r="E2562" s="46" t="s">
        <v>7616</v>
      </c>
    </row>
    <row r="2563">
      <c r="A2563" s="56" t="s">
        <v>11680</v>
      </c>
      <c r="B2563" s="82"/>
      <c r="C2563" s="33" t="s">
        <v>11679</v>
      </c>
      <c r="E2563" s="46" t="s">
        <v>7618</v>
      </c>
    </row>
    <row r="2564">
      <c r="A2564" s="56" t="s">
        <v>11681</v>
      </c>
      <c r="B2564" s="82"/>
      <c r="C2564" s="33" t="s">
        <v>11682</v>
      </c>
      <c r="E2564" s="46" t="s">
        <v>7616</v>
      </c>
    </row>
    <row r="2565">
      <c r="A2565" s="56" t="s">
        <v>11683</v>
      </c>
      <c r="B2565" s="82"/>
      <c r="C2565" s="33" t="s">
        <v>11682</v>
      </c>
      <c r="E2565" s="46" t="s">
        <v>7618</v>
      </c>
    </row>
    <row r="2566">
      <c r="A2566" s="56" t="s">
        <v>11684</v>
      </c>
      <c r="B2566" s="79"/>
      <c r="C2566" s="33" t="s">
        <v>11685</v>
      </c>
      <c r="E2566" s="46" t="s">
        <v>1348</v>
      </c>
    </row>
    <row r="2567">
      <c r="A2567" s="56" t="s">
        <v>11686</v>
      </c>
      <c r="B2567" s="79"/>
      <c r="C2567" s="33" t="s">
        <v>11685</v>
      </c>
      <c r="E2567" s="46" t="s">
        <v>1348</v>
      </c>
    </row>
    <row r="2568">
      <c r="A2568" s="56" t="s">
        <v>11687</v>
      </c>
      <c r="B2568" s="79"/>
      <c r="C2568" s="33" t="s">
        <v>11688</v>
      </c>
      <c r="E2568" s="46" t="s">
        <v>1348</v>
      </c>
    </row>
    <row r="2569">
      <c r="A2569" s="56" t="s">
        <v>11689</v>
      </c>
      <c r="B2569" s="21"/>
      <c r="C2569" s="33" t="s">
        <v>11691</v>
      </c>
      <c r="E2569" s="46" t="s">
        <v>7616</v>
      </c>
    </row>
    <row r="2570">
      <c r="A2570" s="56" t="s">
        <v>11692</v>
      </c>
      <c r="B2570" s="21"/>
      <c r="C2570" s="33" t="s">
        <v>11691</v>
      </c>
      <c r="E2570" s="46" t="s">
        <v>7618</v>
      </c>
    </row>
    <row r="2571">
      <c r="A2571" s="56" t="s">
        <v>11693</v>
      </c>
      <c r="B2571" s="21"/>
      <c r="C2571" s="33" t="s">
        <v>11694</v>
      </c>
      <c r="E2571" s="46" t="s">
        <v>7616</v>
      </c>
    </row>
    <row r="2572">
      <c r="A2572" s="56" t="s">
        <v>11695</v>
      </c>
      <c r="B2572" s="21"/>
      <c r="C2572" s="33" t="s">
        <v>11694</v>
      </c>
      <c r="E2572" s="46" t="s">
        <v>7618</v>
      </c>
    </row>
    <row r="2573">
      <c r="A2573" s="56" t="s">
        <v>11696</v>
      </c>
      <c r="B2573" s="21"/>
      <c r="C2573" s="33" t="s">
        <v>11697</v>
      </c>
      <c r="E2573" s="46" t="s">
        <v>7616</v>
      </c>
    </row>
    <row r="2574">
      <c r="A2574" s="56" t="s">
        <v>11698</v>
      </c>
      <c r="B2574" s="21"/>
      <c r="C2574" s="33" t="s">
        <v>11697</v>
      </c>
      <c r="E2574" s="46" t="s">
        <v>7618</v>
      </c>
    </row>
    <row r="2575">
      <c r="A2575" s="56" t="s">
        <v>11699</v>
      </c>
      <c r="B2575" s="21"/>
      <c r="C2575" s="33" t="s">
        <v>11691</v>
      </c>
      <c r="E2575" s="46" t="s">
        <v>7616</v>
      </c>
    </row>
    <row r="2576">
      <c r="A2576" s="56" t="s">
        <v>11700</v>
      </c>
      <c r="B2576" s="21"/>
      <c r="C2576" s="33" t="s">
        <v>11691</v>
      </c>
      <c r="E2576" s="46" t="s">
        <v>7618</v>
      </c>
    </row>
    <row r="2577">
      <c r="A2577" s="56" t="s">
        <v>11702</v>
      </c>
      <c r="B2577" s="21"/>
      <c r="C2577" s="33" t="s">
        <v>11694</v>
      </c>
      <c r="E2577" s="46" t="s">
        <v>7616</v>
      </c>
    </row>
    <row r="2578">
      <c r="A2578" s="56" t="s">
        <v>11703</v>
      </c>
      <c r="B2578" s="21"/>
      <c r="C2578" s="33" t="s">
        <v>11694</v>
      </c>
      <c r="E2578" s="46" t="s">
        <v>7618</v>
      </c>
    </row>
    <row r="2579">
      <c r="A2579" s="56" t="s">
        <v>11704</v>
      </c>
      <c r="B2579" s="21"/>
      <c r="C2579" s="33" t="s">
        <v>11697</v>
      </c>
      <c r="E2579" s="46" t="s">
        <v>7616</v>
      </c>
    </row>
    <row r="2580">
      <c r="A2580" s="56" t="s">
        <v>11705</v>
      </c>
      <c r="B2580" s="21"/>
      <c r="C2580" s="33" t="s">
        <v>11697</v>
      </c>
      <c r="E2580" s="46" t="s">
        <v>7618</v>
      </c>
    </row>
    <row r="2581">
      <c r="A2581" s="56" t="s">
        <v>11706</v>
      </c>
      <c r="B2581" s="21"/>
      <c r="C2581" s="33" t="s">
        <v>11708</v>
      </c>
      <c r="E2581" s="46" t="s">
        <v>7616</v>
      </c>
    </row>
    <row r="2582">
      <c r="A2582" s="56" t="s">
        <v>11710</v>
      </c>
      <c r="B2582" s="21"/>
      <c r="C2582" s="33" t="s">
        <v>11708</v>
      </c>
      <c r="E2582" s="46" t="s">
        <v>7618</v>
      </c>
    </row>
    <row r="2583">
      <c r="A2583" s="56" t="s">
        <v>11711</v>
      </c>
      <c r="B2583" s="21"/>
      <c r="C2583" s="33" t="s">
        <v>11712</v>
      </c>
      <c r="E2583" s="46" t="s">
        <v>7616</v>
      </c>
    </row>
    <row r="2584">
      <c r="A2584" s="56" t="s">
        <v>11713</v>
      </c>
      <c r="B2584" s="21"/>
      <c r="C2584" s="33" t="s">
        <v>11712</v>
      </c>
      <c r="E2584" s="46" t="s">
        <v>7618</v>
      </c>
    </row>
    <row r="2585">
      <c r="A2585" s="56" t="s">
        <v>11714</v>
      </c>
      <c r="B2585" s="21"/>
      <c r="C2585" s="33" t="s">
        <v>11715</v>
      </c>
      <c r="E2585" s="46" t="s">
        <v>7616</v>
      </c>
    </row>
    <row r="2586">
      <c r="A2586" s="56" t="s">
        <v>11716</v>
      </c>
      <c r="B2586" s="21"/>
      <c r="C2586" s="33" t="s">
        <v>11715</v>
      </c>
      <c r="E2586" s="46" t="s">
        <v>7618</v>
      </c>
    </row>
    <row r="2587">
      <c r="A2587" s="56" t="s">
        <v>11718</v>
      </c>
      <c r="B2587" s="21"/>
      <c r="C2587" s="33" t="s">
        <v>11708</v>
      </c>
      <c r="E2587" s="46" t="s">
        <v>7616</v>
      </c>
    </row>
    <row r="2588">
      <c r="A2588" s="56" t="s">
        <v>11719</v>
      </c>
      <c r="B2588" s="21"/>
      <c r="C2588" s="33" t="s">
        <v>11708</v>
      </c>
      <c r="E2588" s="46" t="s">
        <v>7618</v>
      </c>
    </row>
    <row r="2589">
      <c r="A2589" s="56" t="s">
        <v>11723</v>
      </c>
      <c r="B2589" s="21"/>
      <c r="C2589" s="33" t="s">
        <v>11712</v>
      </c>
      <c r="E2589" s="46" t="s">
        <v>7616</v>
      </c>
    </row>
    <row r="2590">
      <c r="A2590" s="56" t="s">
        <v>11724</v>
      </c>
      <c r="B2590" s="21"/>
      <c r="C2590" s="33" t="s">
        <v>11712</v>
      </c>
      <c r="E2590" s="46" t="s">
        <v>7618</v>
      </c>
    </row>
    <row r="2591">
      <c r="A2591" s="56" t="s">
        <v>11727</v>
      </c>
      <c r="B2591" s="21"/>
      <c r="C2591" s="33" t="s">
        <v>11715</v>
      </c>
      <c r="E2591" s="46" t="s">
        <v>7616</v>
      </c>
    </row>
    <row r="2592">
      <c r="A2592" s="56" t="s">
        <v>11728</v>
      </c>
      <c r="B2592" s="21"/>
      <c r="C2592" s="33" t="s">
        <v>11715</v>
      </c>
      <c r="E2592" s="46" t="s">
        <v>7618</v>
      </c>
    </row>
    <row r="2593">
      <c r="A2593" s="56" t="s">
        <v>11730</v>
      </c>
      <c r="B2593" s="82"/>
      <c r="C2593" s="33" t="s">
        <v>11733</v>
      </c>
      <c r="E2593" s="46" t="s">
        <v>7609</v>
      </c>
    </row>
    <row r="2594">
      <c r="A2594" s="56" t="s">
        <v>11735</v>
      </c>
      <c r="B2594" s="82"/>
      <c r="C2594" s="33" t="s">
        <v>11373</v>
      </c>
      <c r="E2594" s="46" t="s">
        <v>7616</v>
      </c>
    </row>
    <row r="2595">
      <c r="A2595" s="56" t="s">
        <v>11738</v>
      </c>
      <c r="B2595" s="82"/>
      <c r="C2595" s="33" t="s">
        <v>11373</v>
      </c>
      <c r="E2595" s="46" t="s">
        <v>7618</v>
      </c>
    </row>
    <row r="2596">
      <c r="A2596" s="56" t="s">
        <v>11740</v>
      </c>
      <c r="B2596" s="82"/>
      <c r="C2596" s="33" t="s">
        <v>11376</v>
      </c>
      <c r="E2596" s="46" t="s">
        <v>7616</v>
      </c>
    </row>
    <row r="2597">
      <c r="A2597" s="56" t="s">
        <v>11741</v>
      </c>
      <c r="B2597" s="82"/>
      <c r="C2597" s="33" t="s">
        <v>11376</v>
      </c>
      <c r="E2597" s="46" t="s">
        <v>7618</v>
      </c>
    </row>
    <row r="2598">
      <c r="A2598" s="56" t="s">
        <v>11742</v>
      </c>
      <c r="B2598" s="82"/>
      <c r="C2598" s="33" t="s">
        <v>11380</v>
      </c>
      <c r="E2598" s="46" t="s">
        <v>7616</v>
      </c>
    </row>
    <row r="2599">
      <c r="A2599" s="56" t="s">
        <v>11743</v>
      </c>
      <c r="B2599" s="82"/>
      <c r="C2599" s="33" t="s">
        <v>11380</v>
      </c>
      <c r="E2599" s="46" t="s">
        <v>7618</v>
      </c>
    </row>
    <row r="2600">
      <c r="A2600" s="56" t="s">
        <v>11748</v>
      </c>
      <c r="B2600" s="79"/>
      <c r="C2600" s="33" t="s">
        <v>11384</v>
      </c>
      <c r="E2600" s="46" t="s">
        <v>1348</v>
      </c>
    </row>
    <row r="2601">
      <c r="A2601" s="56" t="s">
        <v>11749</v>
      </c>
      <c r="B2601" s="79"/>
      <c r="C2601" s="33" t="s">
        <v>11384</v>
      </c>
      <c r="E2601" s="46" t="s">
        <v>1348</v>
      </c>
    </row>
    <row r="2602">
      <c r="A2602" s="56" t="s">
        <v>11753</v>
      </c>
      <c r="B2602" s="79"/>
      <c r="C2602" s="33" t="s">
        <v>11389</v>
      </c>
      <c r="E2602" s="46" t="s">
        <v>1348</v>
      </c>
    </row>
    <row r="2603">
      <c r="A2603" s="56" t="s">
        <v>11754</v>
      </c>
      <c r="B2603" s="21"/>
      <c r="C2603" s="33" t="s">
        <v>11391</v>
      </c>
      <c r="E2603" s="46" t="s">
        <v>7616</v>
      </c>
    </row>
    <row r="2604">
      <c r="A2604" s="56" t="s">
        <v>11756</v>
      </c>
      <c r="B2604" s="21"/>
      <c r="C2604" s="33" t="s">
        <v>11391</v>
      </c>
      <c r="E2604" s="46" t="s">
        <v>7618</v>
      </c>
    </row>
    <row r="2605">
      <c r="A2605" s="56" t="s">
        <v>11757</v>
      </c>
      <c r="B2605" s="21"/>
      <c r="C2605" s="33" t="s">
        <v>11394</v>
      </c>
      <c r="E2605" s="46" t="s">
        <v>7616</v>
      </c>
    </row>
    <row r="2606">
      <c r="A2606" s="56" t="s">
        <v>11758</v>
      </c>
      <c r="B2606" s="21"/>
      <c r="C2606" s="33" t="s">
        <v>11394</v>
      </c>
      <c r="E2606" s="46" t="s">
        <v>7618</v>
      </c>
    </row>
    <row r="2607">
      <c r="A2607" s="56" t="s">
        <v>11760</v>
      </c>
      <c r="B2607" s="21"/>
      <c r="C2607" s="33" t="s">
        <v>11398</v>
      </c>
      <c r="E2607" s="46" t="s">
        <v>7616</v>
      </c>
    </row>
    <row r="2608">
      <c r="A2608" s="56" t="s">
        <v>11762</v>
      </c>
      <c r="B2608" s="21"/>
      <c r="C2608" s="33" t="s">
        <v>11398</v>
      </c>
      <c r="E2608" s="46" t="s">
        <v>7618</v>
      </c>
    </row>
    <row r="2609">
      <c r="A2609" s="56" t="s">
        <v>11766</v>
      </c>
      <c r="B2609" s="21"/>
      <c r="C2609" s="33" t="s">
        <v>11391</v>
      </c>
      <c r="E2609" s="46" t="s">
        <v>7616</v>
      </c>
    </row>
    <row r="2610">
      <c r="A2610" s="56" t="s">
        <v>11767</v>
      </c>
      <c r="B2610" s="21"/>
      <c r="C2610" s="33" t="s">
        <v>11391</v>
      </c>
      <c r="E2610" s="46" t="s">
        <v>7618</v>
      </c>
    </row>
    <row r="2611">
      <c r="A2611" s="56" t="s">
        <v>11768</v>
      </c>
      <c r="B2611" s="21"/>
      <c r="C2611" s="33" t="s">
        <v>11394</v>
      </c>
      <c r="E2611" s="46" t="s">
        <v>7616</v>
      </c>
    </row>
    <row r="2612">
      <c r="A2612" s="56" t="s">
        <v>11769</v>
      </c>
      <c r="B2612" s="21"/>
      <c r="C2612" s="33" t="s">
        <v>11394</v>
      </c>
      <c r="E2612" s="46" t="s">
        <v>7618</v>
      </c>
    </row>
    <row r="2613">
      <c r="A2613" s="56" t="s">
        <v>11772</v>
      </c>
      <c r="B2613" s="21"/>
      <c r="C2613" s="33" t="s">
        <v>11398</v>
      </c>
      <c r="E2613" s="46" t="s">
        <v>7616</v>
      </c>
    </row>
    <row r="2614">
      <c r="A2614" s="56" t="s">
        <v>11773</v>
      </c>
      <c r="B2614" s="21"/>
      <c r="C2614" s="33" t="s">
        <v>11398</v>
      </c>
      <c r="E2614" s="46" t="s">
        <v>7618</v>
      </c>
    </row>
    <row r="2615">
      <c r="A2615" s="56" t="s">
        <v>11774</v>
      </c>
      <c r="B2615" s="21"/>
      <c r="C2615" s="33" t="s">
        <v>11411</v>
      </c>
      <c r="E2615" s="46" t="s">
        <v>7616</v>
      </c>
    </row>
    <row r="2616">
      <c r="A2616" s="56" t="s">
        <v>11775</v>
      </c>
      <c r="B2616" s="21"/>
      <c r="C2616" s="33" t="s">
        <v>11411</v>
      </c>
      <c r="E2616" s="46" t="s">
        <v>7618</v>
      </c>
    </row>
    <row r="2617">
      <c r="A2617" s="56" t="s">
        <v>11779</v>
      </c>
      <c r="B2617" s="21"/>
      <c r="C2617" s="33" t="s">
        <v>11416</v>
      </c>
      <c r="E2617" s="46" t="s">
        <v>7616</v>
      </c>
    </row>
    <row r="2618">
      <c r="A2618" s="56" t="s">
        <v>11780</v>
      </c>
      <c r="B2618" s="21"/>
      <c r="C2618" s="33" t="s">
        <v>11416</v>
      </c>
      <c r="E2618" s="46" t="s">
        <v>7618</v>
      </c>
    </row>
    <row r="2619">
      <c r="A2619" s="56" t="s">
        <v>11781</v>
      </c>
      <c r="B2619" s="21"/>
      <c r="C2619" s="33" t="s">
        <v>11419</v>
      </c>
      <c r="E2619" s="46" t="s">
        <v>7616</v>
      </c>
    </row>
    <row r="2620">
      <c r="A2620" s="56" t="s">
        <v>11782</v>
      </c>
      <c r="B2620" s="21"/>
      <c r="C2620" s="33" t="s">
        <v>11419</v>
      </c>
      <c r="E2620" s="46" t="s">
        <v>7618</v>
      </c>
    </row>
    <row r="2621">
      <c r="A2621" s="56" t="s">
        <v>11784</v>
      </c>
      <c r="B2621" s="21"/>
      <c r="C2621" s="33" t="s">
        <v>11411</v>
      </c>
      <c r="E2621" s="46" t="s">
        <v>7616</v>
      </c>
    </row>
    <row r="2622">
      <c r="A2622" s="56" t="s">
        <v>11786</v>
      </c>
      <c r="B2622" s="21"/>
      <c r="C2622" s="33" t="s">
        <v>11411</v>
      </c>
      <c r="E2622" s="46" t="s">
        <v>7618</v>
      </c>
    </row>
    <row r="2623">
      <c r="A2623" s="56" t="s">
        <v>11787</v>
      </c>
      <c r="B2623" s="21"/>
      <c r="C2623" s="33" t="s">
        <v>11416</v>
      </c>
      <c r="E2623" s="46" t="s">
        <v>7616</v>
      </c>
    </row>
    <row r="2624">
      <c r="A2624" s="56" t="s">
        <v>11788</v>
      </c>
      <c r="B2624" s="21"/>
      <c r="C2624" s="33" t="s">
        <v>11416</v>
      </c>
      <c r="E2624" s="46" t="s">
        <v>7618</v>
      </c>
    </row>
    <row r="2625">
      <c r="A2625" s="56" t="s">
        <v>11789</v>
      </c>
      <c r="B2625" s="21"/>
      <c r="C2625" s="33" t="s">
        <v>11419</v>
      </c>
      <c r="E2625" s="46" t="s">
        <v>7616</v>
      </c>
    </row>
    <row r="2626">
      <c r="A2626" s="56" t="s">
        <v>11791</v>
      </c>
      <c r="B2626" s="21"/>
      <c r="C2626" s="33" t="s">
        <v>11419</v>
      </c>
      <c r="E2626" s="46" t="s">
        <v>7618</v>
      </c>
    </row>
    <row r="2627">
      <c r="A2627" s="56" t="s">
        <v>11793</v>
      </c>
      <c r="B2627" s="82"/>
      <c r="C2627" s="33" t="s">
        <v>11794</v>
      </c>
      <c r="E2627" s="46" t="s">
        <v>7609</v>
      </c>
    </row>
    <row r="2628">
      <c r="A2628" s="56" t="s">
        <v>11795</v>
      </c>
      <c r="B2628" s="82"/>
      <c r="C2628" s="33" t="s">
        <v>11373</v>
      </c>
      <c r="E2628" s="46" t="s">
        <v>7616</v>
      </c>
    </row>
    <row r="2629">
      <c r="A2629" s="56" t="s">
        <v>11796</v>
      </c>
      <c r="B2629" s="82"/>
      <c r="C2629" s="33" t="s">
        <v>11373</v>
      </c>
      <c r="E2629" s="46" t="s">
        <v>7618</v>
      </c>
    </row>
    <row r="2630">
      <c r="A2630" s="56" t="s">
        <v>11797</v>
      </c>
      <c r="B2630" s="82"/>
      <c r="C2630" s="33" t="s">
        <v>11376</v>
      </c>
      <c r="E2630" s="46" t="s">
        <v>7616</v>
      </c>
    </row>
    <row r="2631">
      <c r="A2631" s="56" t="s">
        <v>11799</v>
      </c>
      <c r="B2631" s="82"/>
      <c r="C2631" s="33" t="s">
        <v>11376</v>
      </c>
      <c r="E2631" s="46" t="s">
        <v>7618</v>
      </c>
    </row>
    <row r="2632">
      <c r="A2632" s="56" t="s">
        <v>11800</v>
      </c>
      <c r="B2632" s="82"/>
      <c r="C2632" s="33" t="s">
        <v>11380</v>
      </c>
      <c r="E2632" s="46" t="s">
        <v>7616</v>
      </c>
    </row>
    <row r="2633">
      <c r="A2633" s="56" t="s">
        <v>11801</v>
      </c>
      <c r="B2633" s="82"/>
      <c r="C2633" s="33" t="s">
        <v>11380</v>
      </c>
      <c r="E2633" s="46" t="s">
        <v>7618</v>
      </c>
    </row>
    <row r="2634">
      <c r="A2634" s="56" t="s">
        <v>11802</v>
      </c>
      <c r="B2634" s="79"/>
      <c r="C2634" s="33" t="s">
        <v>11384</v>
      </c>
      <c r="E2634" s="46" t="s">
        <v>1348</v>
      </c>
    </row>
    <row r="2635">
      <c r="A2635" s="56" t="s">
        <v>11803</v>
      </c>
      <c r="B2635" s="79"/>
      <c r="C2635" s="33" t="s">
        <v>11384</v>
      </c>
      <c r="E2635" s="46" t="s">
        <v>1348</v>
      </c>
    </row>
    <row r="2636">
      <c r="A2636" s="56" t="s">
        <v>11806</v>
      </c>
      <c r="B2636" s="79"/>
      <c r="C2636" s="33" t="s">
        <v>11389</v>
      </c>
      <c r="E2636" s="46" t="s">
        <v>1348</v>
      </c>
    </row>
    <row r="2637">
      <c r="A2637" s="56" t="s">
        <v>11807</v>
      </c>
      <c r="B2637" s="21"/>
      <c r="C2637" s="33" t="s">
        <v>11391</v>
      </c>
      <c r="E2637" s="46" t="s">
        <v>7616</v>
      </c>
    </row>
    <row r="2638">
      <c r="A2638" s="56" t="s">
        <v>11808</v>
      </c>
      <c r="B2638" s="21"/>
      <c r="C2638" s="33" t="s">
        <v>11391</v>
      </c>
      <c r="E2638" s="46" t="s">
        <v>7618</v>
      </c>
    </row>
    <row r="2639">
      <c r="A2639" s="56" t="s">
        <v>11809</v>
      </c>
      <c r="B2639" s="21"/>
      <c r="C2639" s="33" t="s">
        <v>11394</v>
      </c>
      <c r="E2639" s="46" t="s">
        <v>7616</v>
      </c>
    </row>
    <row r="2640">
      <c r="A2640" s="56" t="s">
        <v>11810</v>
      </c>
      <c r="B2640" s="21"/>
      <c r="C2640" s="33" t="s">
        <v>11394</v>
      </c>
      <c r="E2640" s="46" t="s">
        <v>7618</v>
      </c>
    </row>
    <row r="2641">
      <c r="A2641" s="56" t="s">
        <v>11812</v>
      </c>
      <c r="B2641" s="21"/>
      <c r="C2641" s="33" t="s">
        <v>11398</v>
      </c>
      <c r="E2641" s="46" t="s">
        <v>7616</v>
      </c>
    </row>
    <row r="2642">
      <c r="A2642" s="56" t="s">
        <v>11813</v>
      </c>
      <c r="B2642" s="21"/>
      <c r="C2642" s="33" t="s">
        <v>11398</v>
      </c>
      <c r="E2642" s="46" t="s">
        <v>7618</v>
      </c>
    </row>
    <row r="2643">
      <c r="A2643" s="56" t="s">
        <v>11814</v>
      </c>
      <c r="B2643" s="21"/>
      <c r="C2643" s="33" t="s">
        <v>11391</v>
      </c>
      <c r="E2643" s="46" t="s">
        <v>7616</v>
      </c>
    </row>
    <row r="2644">
      <c r="A2644" s="56" t="s">
        <v>11815</v>
      </c>
      <c r="B2644" s="21"/>
      <c r="C2644" s="33" t="s">
        <v>11391</v>
      </c>
      <c r="E2644" s="46" t="s">
        <v>7618</v>
      </c>
    </row>
    <row r="2645">
      <c r="A2645" s="56" t="s">
        <v>11818</v>
      </c>
      <c r="B2645" s="21"/>
      <c r="C2645" s="33" t="s">
        <v>11394</v>
      </c>
      <c r="E2645" s="46" t="s">
        <v>7616</v>
      </c>
    </row>
    <row r="2646">
      <c r="A2646" s="56" t="s">
        <v>11819</v>
      </c>
      <c r="B2646" s="21"/>
      <c r="C2646" s="33" t="s">
        <v>11394</v>
      </c>
      <c r="E2646" s="46" t="s">
        <v>7618</v>
      </c>
    </row>
    <row r="2647">
      <c r="A2647" s="56" t="s">
        <v>11820</v>
      </c>
      <c r="B2647" s="21"/>
      <c r="C2647" s="33" t="s">
        <v>11398</v>
      </c>
      <c r="E2647" s="46" t="s">
        <v>7616</v>
      </c>
    </row>
    <row r="2648">
      <c r="A2648" s="56" t="s">
        <v>11821</v>
      </c>
      <c r="B2648" s="21"/>
      <c r="C2648" s="33" t="s">
        <v>11398</v>
      </c>
      <c r="E2648" s="46" t="s">
        <v>7618</v>
      </c>
    </row>
    <row r="2649">
      <c r="A2649" s="56" t="s">
        <v>11822</v>
      </c>
      <c r="B2649" s="21"/>
      <c r="C2649" s="33" t="s">
        <v>11411</v>
      </c>
      <c r="E2649" s="46" t="s">
        <v>7616</v>
      </c>
    </row>
    <row r="2650">
      <c r="A2650" s="56" t="s">
        <v>11824</v>
      </c>
      <c r="B2650" s="21"/>
      <c r="C2650" s="33" t="s">
        <v>11411</v>
      </c>
      <c r="E2650" s="46" t="s">
        <v>7618</v>
      </c>
    </row>
    <row r="2651">
      <c r="A2651" s="56" t="s">
        <v>11825</v>
      </c>
      <c r="B2651" s="21"/>
      <c r="C2651" s="33" t="s">
        <v>11416</v>
      </c>
      <c r="E2651" s="46" t="s">
        <v>7616</v>
      </c>
    </row>
    <row r="2652">
      <c r="A2652" s="56" t="s">
        <v>11826</v>
      </c>
      <c r="B2652" s="21"/>
      <c r="C2652" s="33" t="s">
        <v>11416</v>
      </c>
      <c r="E2652" s="46" t="s">
        <v>7618</v>
      </c>
    </row>
    <row r="2653">
      <c r="A2653" s="56" t="s">
        <v>11827</v>
      </c>
      <c r="B2653" s="21"/>
      <c r="C2653" s="33" t="s">
        <v>11419</v>
      </c>
      <c r="E2653" s="46" t="s">
        <v>7616</v>
      </c>
    </row>
    <row r="2654">
      <c r="A2654" s="56" t="s">
        <v>11828</v>
      </c>
      <c r="B2654" s="21"/>
      <c r="C2654" s="33" t="s">
        <v>11419</v>
      </c>
      <c r="E2654" s="46" t="s">
        <v>7618</v>
      </c>
    </row>
    <row r="2655">
      <c r="A2655" s="56" t="s">
        <v>11831</v>
      </c>
      <c r="B2655" s="21"/>
      <c r="C2655" s="33" t="s">
        <v>11411</v>
      </c>
      <c r="E2655" s="46" t="s">
        <v>7616</v>
      </c>
    </row>
    <row r="2656">
      <c r="A2656" s="56" t="s">
        <v>11832</v>
      </c>
      <c r="B2656" s="21"/>
      <c r="C2656" s="33" t="s">
        <v>11411</v>
      </c>
      <c r="E2656" s="46" t="s">
        <v>7618</v>
      </c>
    </row>
    <row r="2657">
      <c r="A2657" s="56" t="s">
        <v>11833</v>
      </c>
      <c r="B2657" s="21"/>
      <c r="C2657" s="33" t="s">
        <v>11416</v>
      </c>
      <c r="E2657" s="46" t="s">
        <v>7616</v>
      </c>
    </row>
    <row r="2658">
      <c r="A2658" s="56" t="s">
        <v>11834</v>
      </c>
      <c r="B2658" s="21"/>
      <c r="C2658" s="33" t="s">
        <v>11416</v>
      </c>
      <c r="E2658" s="46" t="s">
        <v>7618</v>
      </c>
    </row>
    <row r="2659">
      <c r="A2659" s="56" t="s">
        <v>11835</v>
      </c>
      <c r="B2659" s="21"/>
      <c r="C2659" s="33" t="s">
        <v>11419</v>
      </c>
      <c r="E2659" s="46" t="s">
        <v>7616</v>
      </c>
    </row>
    <row r="2660">
      <c r="A2660" s="56" t="s">
        <v>11836</v>
      </c>
      <c r="B2660" s="21"/>
      <c r="C2660" s="33" t="s">
        <v>11419</v>
      </c>
      <c r="E2660" s="46" t="s">
        <v>7618</v>
      </c>
    </row>
    <row r="2661">
      <c r="A2661" s="56" t="s">
        <v>11837</v>
      </c>
      <c r="B2661" s="82"/>
      <c r="C2661" s="33" t="s">
        <v>11838</v>
      </c>
      <c r="E2661" s="46" t="s">
        <v>7609</v>
      </c>
    </row>
    <row r="2662">
      <c r="A2662" s="56" t="s">
        <v>11840</v>
      </c>
      <c r="B2662" s="55"/>
      <c r="C2662" s="31"/>
    </row>
    <row r="2663">
      <c r="A2663" s="56" t="s">
        <v>11841</v>
      </c>
      <c r="B2663" s="55"/>
      <c r="C2663" s="31"/>
    </row>
    <row r="2664">
      <c r="A2664" s="56" t="s">
        <v>11842</v>
      </c>
      <c r="B2664" s="55"/>
      <c r="C2664" s="31"/>
    </row>
    <row r="2665">
      <c r="A2665" s="56" t="s">
        <v>11843</v>
      </c>
      <c r="B2665" s="55"/>
      <c r="C2665" s="31"/>
    </row>
    <row r="2666">
      <c r="A2666" s="56" t="s">
        <v>11844</v>
      </c>
      <c r="B2666" s="55"/>
      <c r="C2666" s="31"/>
    </row>
    <row r="2667">
      <c r="A2667" s="56" t="s">
        <v>11847</v>
      </c>
      <c r="B2667" s="55"/>
      <c r="C2667" s="31"/>
    </row>
    <row r="2668">
      <c r="A2668" s="56" t="s">
        <v>11848</v>
      </c>
      <c r="B2668" s="55"/>
      <c r="C2668" s="31"/>
    </row>
    <row r="2669">
      <c r="A2669" s="56" t="s">
        <v>11849</v>
      </c>
      <c r="B2669" s="55"/>
      <c r="C2669" s="31"/>
    </row>
    <row r="2670">
      <c r="A2670" s="56" t="s">
        <v>11850</v>
      </c>
      <c r="B2670" s="55"/>
      <c r="C2670" s="31"/>
    </row>
    <row r="2671">
      <c r="A2671" s="56" t="s">
        <v>11851</v>
      </c>
      <c r="B2671" s="82"/>
      <c r="C2671" s="33" t="s">
        <v>11852</v>
      </c>
      <c r="E2671" s="46" t="s">
        <v>7609</v>
      </c>
    </row>
    <row r="2672">
      <c r="A2672" s="56" t="s">
        <v>11853</v>
      </c>
      <c r="B2672" s="55"/>
      <c r="C2672" s="31"/>
    </row>
    <row r="2673">
      <c r="A2673" s="56" t="s">
        <v>11855</v>
      </c>
      <c r="B2673" s="55"/>
      <c r="C2673" s="31"/>
    </row>
    <row r="2674">
      <c r="A2674" s="56" t="s">
        <v>11856</v>
      </c>
      <c r="B2674" s="55"/>
      <c r="C2674" s="31"/>
    </row>
    <row r="2675">
      <c r="A2675" s="56" t="s">
        <v>11857</v>
      </c>
      <c r="B2675" s="55"/>
      <c r="C2675" s="31"/>
    </row>
    <row r="2676">
      <c r="A2676" s="56" t="s">
        <v>11858</v>
      </c>
      <c r="B2676" s="55"/>
      <c r="C2676" s="31"/>
    </row>
    <row r="2677">
      <c r="A2677" s="56" t="s">
        <v>11859</v>
      </c>
      <c r="B2677" s="55"/>
      <c r="C2677" s="31"/>
    </row>
    <row r="2678">
      <c r="A2678" s="56" t="s">
        <v>11860</v>
      </c>
      <c r="B2678" s="55"/>
      <c r="C2678" s="31"/>
    </row>
    <row r="2679">
      <c r="A2679" s="56" t="s">
        <v>11863</v>
      </c>
      <c r="B2679" s="55"/>
      <c r="C2679" s="31"/>
    </row>
    <row r="2680">
      <c r="A2680" s="56" t="s">
        <v>11864</v>
      </c>
      <c r="B2680" s="55"/>
      <c r="C2680" s="31"/>
    </row>
    <row r="2681">
      <c r="A2681" s="56" t="s">
        <v>11865</v>
      </c>
      <c r="B2681" s="55"/>
      <c r="C2681" s="31"/>
    </row>
    <row r="2682">
      <c r="A2682" s="56" t="s">
        <v>11866</v>
      </c>
      <c r="B2682" s="55"/>
      <c r="C2682" s="31"/>
    </row>
    <row r="2683">
      <c r="A2683" s="56" t="s">
        <v>11867</v>
      </c>
      <c r="B2683" s="55"/>
      <c r="C2683" s="31"/>
    </row>
    <row r="2684">
      <c r="A2684" s="56" t="s">
        <v>11868</v>
      </c>
      <c r="B2684" s="55"/>
      <c r="C2684" s="31"/>
    </row>
    <row r="2685">
      <c r="A2685" s="56" t="s">
        <v>11870</v>
      </c>
      <c r="B2685" s="55"/>
      <c r="C2685" s="31"/>
    </row>
    <row r="2686">
      <c r="A2686" s="56" t="s">
        <v>11871</v>
      </c>
      <c r="B2686" s="55"/>
      <c r="C2686" s="31"/>
    </row>
    <row r="2687">
      <c r="A2687" s="56" t="s">
        <v>11872</v>
      </c>
      <c r="B2687" s="55"/>
      <c r="C2687" s="31"/>
    </row>
    <row r="2688">
      <c r="A2688" s="56" t="s">
        <v>11873</v>
      </c>
      <c r="B2688" s="55"/>
      <c r="C2688" s="31"/>
    </row>
    <row r="2689">
      <c r="A2689" s="56" t="s">
        <v>11874</v>
      </c>
      <c r="B2689" s="55"/>
      <c r="C2689" s="31"/>
    </row>
    <row r="2690">
      <c r="A2690" s="56" t="s">
        <v>11875</v>
      </c>
      <c r="B2690" s="55"/>
      <c r="C2690" s="31"/>
    </row>
    <row r="2691">
      <c r="A2691" s="56" t="s">
        <v>11876</v>
      </c>
      <c r="B2691" s="55"/>
      <c r="C2691" s="31"/>
    </row>
    <row r="2692">
      <c r="A2692" s="56" t="s">
        <v>11879</v>
      </c>
      <c r="B2692" s="55"/>
      <c r="C2692" s="31"/>
    </row>
    <row r="2693">
      <c r="A2693" s="56" t="s">
        <v>11880</v>
      </c>
      <c r="B2693" s="55"/>
      <c r="C2693" s="31"/>
    </row>
    <row r="2694">
      <c r="A2694" s="56" t="s">
        <v>11881</v>
      </c>
      <c r="B2694" s="55"/>
      <c r="C2694" s="31"/>
    </row>
    <row r="2695">
      <c r="A2695" s="56" t="s">
        <v>11882</v>
      </c>
      <c r="B2695" s="55"/>
      <c r="C2695" s="31"/>
    </row>
    <row r="2696">
      <c r="A2696" s="56" t="s">
        <v>11883</v>
      </c>
      <c r="B2696" s="55"/>
      <c r="C2696" s="31"/>
    </row>
    <row r="2697">
      <c r="A2697" s="56" t="s">
        <v>11884</v>
      </c>
      <c r="B2697" s="55"/>
      <c r="C2697" s="31"/>
    </row>
    <row r="2698">
      <c r="A2698" s="56" t="s">
        <v>11885</v>
      </c>
      <c r="B2698" s="55"/>
      <c r="C2698" s="31"/>
    </row>
    <row r="2699">
      <c r="A2699" s="56" t="s">
        <v>11887</v>
      </c>
      <c r="B2699" s="55"/>
      <c r="C2699" s="31"/>
    </row>
    <row r="2700">
      <c r="A2700" s="56" t="s">
        <v>11888</v>
      </c>
      <c r="B2700" s="55"/>
      <c r="C2700" s="31"/>
    </row>
    <row r="2701">
      <c r="A2701" s="56" t="s">
        <v>11889</v>
      </c>
      <c r="B2701" s="55"/>
      <c r="C2701" s="31"/>
    </row>
    <row r="2702">
      <c r="A2702" s="56" t="s">
        <v>11890</v>
      </c>
      <c r="B2702" s="55"/>
      <c r="C2702" s="31"/>
    </row>
    <row r="2703">
      <c r="A2703" s="56" t="s">
        <v>11891</v>
      </c>
      <c r="B2703" s="55"/>
      <c r="C2703" s="31"/>
    </row>
    <row r="2704">
      <c r="A2704" s="56" t="s">
        <v>11892</v>
      </c>
      <c r="B2704" s="55"/>
      <c r="C2704" s="31"/>
    </row>
    <row r="2705">
      <c r="A2705" s="56" t="s">
        <v>11894</v>
      </c>
      <c r="B2705" s="55"/>
      <c r="C2705" s="31"/>
    </row>
    <row r="2706">
      <c r="A2706" s="56" t="s">
        <v>11895</v>
      </c>
      <c r="B2706" s="55"/>
      <c r="C2706" s="31"/>
    </row>
    <row r="2707">
      <c r="A2707" s="56" t="s">
        <v>11896</v>
      </c>
      <c r="B2707" s="55"/>
      <c r="C2707" s="31"/>
    </row>
    <row r="2708">
      <c r="A2708" s="56" t="s">
        <v>11897</v>
      </c>
      <c r="B2708" s="55"/>
      <c r="C2708" s="31"/>
    </row>
    <row r="2709">
      <c r="A2709" s="56" t="s">
        <v>11899</v>
      </c>
      <c r="B2709" s="55"/>
      <c r="C2709" s="31"/>
    </row>
    <row r="2710">
      <c r="A2710" s="56" t="s">
        <v>11900</v>
      </c>
      <c r="B2710" s="55"/>
      <c r="C2710" s="31"/>
    </row>
    <row r="2711">
      <c r="A2711" s="56" t="s">
        <v>11901</v>
      </c>
      <c r="B2711" s="55"/>
      <c r="C2711" s="31"/>
    </row>
    <row r="2712">
      <c r="A2712" s="56" t="s">
        <v>11902</v>
      </c>
      <c r="B2712" s="55"/>
      <c r="C2712" s="31"/>
    </row>
    <row r="2713">
      <c r="A2713" s="56" t="s">
        <v>11903</v>
      </c>
      <c r="B2713" s="55"/>
      <c r="C2713" s="31"/>
    </row>
    <row r="2714">
      <c r="A2714" s="56" t="s">
        <v>11904</v>
      </c>
      <c r="B2714" s="82"/>
      <c r="C2714" s="33" t="s">
        <v>11905</v>
      </c>
      <c r="E2714" s="46" t="s">
        <v>7609</v>
      </c>
    </row>
    <row r="2715">
      <c r="A2715" s="56" t="s">
        <v>11906</v>
      </c>
      <c r="B2715" s="82"/>
      <c r="C2715" s="33" t="s">
        <v>11373</v>
      </c>
      <c r="E2715" s="46" t="s">
        <v>7616</v>
      </c>
    </row>
    <row r="2716">
      <c r="A2716" s="56" t="s">
        <v>11908</v>
      </c>
      <c r="B2716" s="82"/>
      <c r="C2716" s="33" t="s">
        <v>11373</v>
      </c>
      <c r="E2716" s="46" t="s">
        <v>7618</v>
      </c>
    </row>
    <row r="2717">
      <c r="A2717" s="56" t="s">
        <v>11911</v>
      </c>
      <c r="B2717" s="82"/>
      <c r="C2717" s="33" t="s">
        <v>11376</v>
      </c>
      <c r="E2717" s="46" t="s">
        <v>7616</v>
      </c>
    </row>
    <row r="2718">
      <c r="A2718" s="56" t="s">
        <v>11912</v>
      </c>
      <c r="B2718" s="82"/>
      <c r="C2718" s="33" t="s">
        <v>11376</v>
      </c>
      <c r="E2718" s="46" t="s">
        <v>7618</v>
      </c>
    </row>
    <row r="2719">
      <c r="A2719" s="56" t="s">
        <v>11913</v>
      </c>
      <c r="B2719" s="82"/>
      <c r="C2719" s="33" t="s">
        <v>11380</v>
      </c>
      <c r="E2719" s="46" t="s">
        <v>7616</v>
      </c>
    </row>
    <row r="2720">
      <c r="A2720" s="56" t="s">
        <v>11914</v>
      </c>
      <c r="B2720" s="82"/>
      <c r="C2720" s="33" t="s">
        <v>11380</v>
      </c>
      <c r="E2720" s="46" t="s">
        <v>7618</v>
      </c>
    </row>
    <row r="2721">
      <c r="A2721" s="56" t="s">
        <v>11917</v>
      </c>
      <c r="B2721" s="79"/>
      <c r="C2721" s="33" t="s">
        <v>11384</v>
      </c>
      <c r="E2721" s="46" t="s">
        <v>1348</v>
      </c>
    </row>
    <row r="2722">
      <c r="A2722" s="56" t="s">
        <v>11919</v>
      </c>
      <c r="B2722" s="79"/>
      <c r="C2722" s="33" t="s">
        <v>11384</v>
      </c>
      <c r="E2722" s="46" t="s">
        <v>1348</v>
      </c>
    </row>
    <row r="2723">
      <c r="A2723" s="56" t="s">
        <v>11920</v>
      </c>
      <c r="B2723" s="79"/>
      <c r="C2723" s="33" t="s">
        <v>11389</v>
      </c>
      <c r="E2723" s="46" t="s">
        <v>1348</v>
      </c>
    </row>
    <row r="2724">
      <c r="A2724" s="56" t="s">
        <v>11921</v>
      </c>
      <c r="B2724" s="21"/>
      <c r="C2724" s="33" t="s">
        <v>11391</v>
      </c>
      <c r="E2724" s="46" t="s">
        <v>7616</v>
      </c>
    </row>
    <row r="2725">
      <c r="A2725" s="56" t="s">
        <v>11922</v>
      </c>
      <c r="B2725" s="21"/>
      <c r="C2725" s="33" t="s">
        <v>11391</v>
      </c>
      <c r="E2725" s="46" t="s">
        <v>7618</v>
      </c>
    </row>
    <row r="2726">
      <c r="A2726" s="56" t="s">
        <v>11926</v>
      </c>
      <c r="B2726" s="21"/>
      <c r="C2726" s="33" t="s">
        <v>11394</v>
      </c>
      <c r="E2726" s="46" t="s">
        <v>7616</v>
      </c>
    </row>
    <row r="2727">
      <c r="A2727" s="56" t="s">
        <v>11927</v>
      </c>
      <c r="B2727" s="21"/>
      <c r="C2727" s="33" t="s">
        <v>11394</v>
      </c>
      <c r="E2727" s="46" t="s">
        <v>7618</v>
      </c>
    </row>
    <row r="2728">
      <c r="A2728" s="56" t="s">
        <v>11928</v>
      </c>
      <c r="B2728" s="21"/>
      <c r="C2728" s="33" t="s">
        <v>11398</v>
      </c>
      <c r="E2728" s="46" t="s">
        <v>7616</v>
      </c>
    </row>
    <row r="2729">
      <c r="A2729" s="56" t="s">
        <v>11929</v>
      </c>
      <c r="B2729" s="21"/>
      <c r="C2729" s="33" t="s">
        <v>11398</v>
      </c>
      <c r="E2729" s="46" t="s">
        <v>7618</v>
      </c>
    </row>
    <row r="2730">
      <c r="A2730" s="56" t="s">
        <v>11932</v>
      </c>
      <c r="B2730" s="21"/>
      <c r="C2730" s="33" t="s">
        <v>11391</v>
      </c>
      <c r="E2730" s="46" t="s">
        <v>7616</v>
      </c>
    </row>
    <row r="2731">
      <c r="A2731" s="56" t="s">
        <v>11936</v>
      </c>
      <c r="B2731" s="21"/>
      <c r="C2731" s="33" t="s">
        <v>11391</v>
      </c>
      <c r="E2731" s="46" t="s">
        <v>7618</v>
      </c>
    </row>
    <row r="2732">
      <c r="A2732" s="56" t="s">
        <v>11937</v>
      </c>
      <c r="B2732" s="21"/>
      <c r="C2732" s="33" t="s">
        <v>11394</v>
      </c>
      <c r="E2732" s="46" t="s">
        <v>7616</v>
      </c>
    </row>
    <row r="2733">
      <c r="A2733" s="56" t="s">
        <v>11938</v>
      </c>
      <c r="B2733" s="21"/>
      <c r="C2733" s="33" t="s">
        <v>11394</v>
      </c>
      <c r="E2733" s="46" t="s">
        <v>7618</v>
      </c>
    </row>
    <row r="2734">
      <c r="A2734" s="56" t="s">
        <v>11939</v>
      </c>
      <c r="B2734" s="21"/>
      <c r="C2734" s="33" t="s">
        <v>11398</v>
      </c>
      <c r="E2734" s="46" t="s">
        <v>7616</v>
      </c>
    </row>
    <row r="2735">
      <c r="A2735" s="56" t="s">
        <v>11941</v>
      </c>
      <c r="B2735" s="21"/>
      <c r="C2735" s="33" t="s">
        <v>11398</v>
      </c>
      <c r="E2735" s="46" t="s">
        <v>7618</v>
      </c>
    </row>
    <row r="2736">
      <c r="A2736" s="56" t="s">
        <v>11944</v>
      </c>
      <c r="B2736" s="21"/>
      <c r="C2736" s="33" t="s">
        <v>11411</v>
      </c>
      <c r="E2736" s="46" t="s">
        <v>7616</v>
      </c>
    </row>
    <row r="2737">
      <c r="A2737" s="56" t="s">
        <v>11946</v>
      </c>
      <c r="B2737" s="21"/>
      <c r="C2737" s="33" t="s">
        <v>11411</v>
      </c>
      <c r="E2737" s="46" t="s">
        <v>7618</v>
      </c>
    </row>
    <row r="2738">
      <c r="A2738" s="56" t="s">
        <v>11947</v>
      </c>
      <c r="B2738" s="21"/>
      <c r="C2738" s="33" t="s">
        <v>11416</v>
      </c>
      <c r="E2738" s="46" t="s">
        <v>7616</v>
      </c>
    </row>
    <row r="2739">
      <c r="A2739" s="56" t="s">
        <v>11948</v>
      </c>
      <c r="B2739" s="21"/>
      <c r="C2739" s="33" t="s">
        <v>11416</v>
      </c>
      <c r="E2739" s="46" t="s">
        <v>7618</v>
      </c>
    </row>
    <row r="2740">
      <c r="A2740" s="56" t="s">
        <v>11950</v>
      </c>
      <c r="B2740" s="21"/>
      <c r="C2740" s="33" t="s">
        <v>11419</v>
      </c>
      <c r="E2740" s="46" t="s">
        <v>7616</v>
      </c>
    </row>
    <row r="2741">
      <c r="A2741" s="56" t="s">
        <v>11952</v>
      </c>
      <c r="B2741" s="21"/>
      <c r="C2741" s="33" t="s">
        <v>11419</v>
      </c>
      <c r="E2741" s="46" t="s">
        <v>7618</v>
      </c>
    </row>
    <row r="2742">
      <c r="A2742" s="56" t="s">
        <v>11954</v>
      </c>
      <c r="B2742" s="21"/>
      <c r="C2742" s="33" t="s">
        <v>11411</v>
      </c>
      <c r="E2742" s="46" t="s">
        <v>7616</v>
      </c>
    </row>
    <row r="2743">
      <c r="A2743" s="56" t="s">
        <v>11955</v>
      </c>
      <c r="B2743" s="21"/>
      <c r="C2743" s="33" t="s">
        <v>11411</v>
      </c>
      <c r="E2743" s="46" t="s">
        <v>7618</v>
      </c>
    </row>
    <row r="2744">
      <c r="A2744" s="56" t="s">
        <v>11956</v>
      </c>
      <c r="B2744" s="21"/>
      <c r="C2744" s="33" t="s">
        <v>11416</v>
      </c>
      <c r="E2744" s="46" t="s">
        <v>7616</v>
      </c>
    </row>
    <row r="2745">
      <c r="A2745" s="56" t="s">
        <v>11958</v>
      </c>
      <c r="B2745" s="21"/>
      <c r="C2745" s="33" t="s">
        <v>11416</v>
      </c>
      <c r="E2745" s="46" t="s">
        <v>7618</v>
      </c>
    </row>
    <row r="2746">
      <c r="A2746" s="56" t="s">
        <v>11959</v>
      </c>
      <c r="B2746" s="21"/>
      <c r="C2746" s="33" t="s">
        <v>11419</v>
      </c>
      <c r="E2746" s="46" t="s">
        <v>7616</v>
      </c>
    </row>
    <row r="2747">
      <c r="A2747" s="56" t="s">
        <v>11961</v>
      </c>
      <c r="B2747" s="21"/>
      <c r="C2747" s="33" t="s">
        <v>11419</v>
      </c>
      <c r="E2747" s="46" t="s">
        <v>7618</v>
      </c>
    </row>
    <row r="2748">
      <c r="A2748" s="56" t="s">
        <v>11963</v>
      </c>
      <c r="B2748" s="55"/>
      <c r="C2748" s="31"/>
    </row>
    <row r="2749">
      <c r="A2749" s="56" t="s">
        <v>11964</v>
      </c>
      <c r="B2749" s="55"/>
      <c r="C2749" s="31"/>
    </row>
    <row r="2750">
      <c r="A2750" s="56" t="s">
        <v>11966</v>
      </c>
      <c r="B2750" s="55"/>
      <c r="C2750" s="31"/>
    </row>
    <row r="2751">
      <c r="A2751" s="56" t="s">
        <v>11968</v>
      </c>
      <c r="B2751" s="55"/>
      <c r="C2751" s="31"/>
    </row>
    <row r="2752">
      <c r="A2752" s="56" t="s">
        <v>11969</v>
      </c>
      <c r="B2752" s="55"/>
      <c r="C2752" s="31"/>
    </row>
    <row r="2753">
      <c r="A2753" s="56" t="s">
        <v>11971</v>
      </c>
      <c r="B2753" s="55"/>
      <c r="C2753" s="31"/>
    </row>
    <row r="2754">
      <c r="A2754" s="56" t="s">
        <v>11972</v>
      </c>
      <c r="B2754" s="55"/>
      <c r="C2754" s="31"/>
    </row>
    <row r="2755">
      <c r="A2755" s="56" t="s">
        <v>11973</v>
      </c>
      <c r="B2755" s="55"/>
      <c r="C2755" s="31"/>
    </row>
    <row r="2756">
      <c r="A2756" s="56" t="s">
        <v>11974</v>
      </c>
      <c r="B2756" s="55"/>
      <c r="C2756" s="31"/>
    </row>
    <row r="2757">
      <c r="A2757" s="56" t="s">
        <v>11976</v>
      </c>
      <c r="B2757" s="55"/>
      <c r="C2757" s="31"/>
    </row>
    <row r="2758">
      <c r="A2758" s="56" t="s">
        <v>11977</v>
      </c>
      <c r="B2758" s="55"/>
      <c r="C2758" s="31"/>
    </row>
    <row r="2759">
      <c r="A2759" s="56" t="s">
        <v>11978</v>
      </c>
      <c r="B2759" s="55"/>
      <c r="C2759" s="31"/>
    </row>
    <row r="2760">
      <c r="A2760" s="56" t="s">
        <v>11980</v>
      </c>
      <c r="B2760" s="55"/>
      <c r="C2760" s="31"/>
    </row>
    <row r="2761">
      <c r="A2761" s="56" t="s">
        <v>11981</v>
      </c>
      <c r="B2761" s="55"/>
      <c r="C2761" s="31"/>
    </row>
    <row r="2762">
      <c r="A2762" s="56" t="s">
        <v>11982</v>
      </c>
      <c r="B2762" s="55"/>
      <c r="C2762" s="31"/>
    </row>
    <row r="2763">
      <c r="A2763" s="56" t="s">
        <v>11983</v>
      </c>
      <c r="B2763" s="55"/>
      <c r="C2763" s="31"/>
    </row>
    <row r="2764">
      <c r="A2764" s="56" t="s">
        <v>11985</v>
      </c>
      <c r="B2764" s="55"/>
      <c r="C2764" s="31"/>
    </row>
    <row r="2765">
      <c r="A2765" s="56" t="s">
        <v>11986</v>
      </c>
      <c r="B2765" s="55"/>
      <c r="C2765" s="31"/>
    </row>
    <row r="2766">
      <c r="A2766" s="56" t="s">
        <v>11988</v>
      </c>
      <c r="B2766" s="55"/>
      <c r="C2766" s="31"/>
    </row>
    <row r="2767">
      <c r="A2767" s="56" t="s">
        <v>11989</v>
      </c>
      <c r="B2767" s="55"/>
      <c r="C2767" s="31"/>
    </row>
    <row r="2768">
      <c r="A2768" s="56" t="s">
        <v>11990</v>
      </c>
      <c r="B2768" s="82"/>
      <c r="C2768" s="33" t="s">
        <v>11991</v>
      </c>
      <c r="E2768" s="46" t="s">
        <v>7609</v>
      </c>
    </row>
    <row r="2769">
      <c r="A2769" s="56" t="s">
        <v>11992</v>
      </c>
      <c r="B2769" s="82"/>
      <c r="C2769" s="33" t="s">
        <v>11373</v>
      </c>
      <c r="E2769" s="46" t="s">
        <v>7616</v>
      </c>
    </row>
    <row r="2770">
      <c r="A2770" s="56" t="s">
        <v>11993</v>
      </c>
      <c r="B2770" s="82"/>
      <c r="C2770" s="33" t="s">
        <v>11373</v>
      </c>
      <c r="E2770" s="46" t="s">
        <v>7618</v>
      </c>
    </row>
    <row r="2771">
      <c r="A2771" s="56" t="s">
        <v>11994</v>
      </c>
      <c r="B2771" s="82"/>
      <c r="C2771" s="33" t="s">
        <v>11376</v>
      </c>
      <c r="E2771" s="46" t="s">
        <v>7616</v>
      </c>
    </row>
    <row r="2772">
      <c r="A2772" s="56" t="s">
        <v>11996</v>
      </c>
      <c r="B2772" s="82"/>
      <c r="C2772" s="33" t="s">
        <v>11376</v>
      </c>
      <c r="E2772" s="46" t="s">
        <v>7618</v>
      </c>
    </row>
    <row r="2773">
      <c r="A2773" s="56" t="s">
        <v>11997</v>
      </c>
      <c r="B2773" s="82"/>
      <c r="C2773" s="33" t="s">
        <v>11380</v>
      </c>
      <c r="E2773" s="46" t="s">
        <v>7616</v>
      </c>
    </row>
    <row r="2774">
      <c r="A2774" s="56" t="s">
        <v>11998</v>
      </c>
      <c r="B2774" s="82"/>
      <c r="C2774" s="33" t="s">
        <v>11380</v>
      </c>
      <c r="E2774" s="46" t="s">
        <v>7618</v>
      </c>
    </row>
    <row r="2775">
      <c r="A2775" s="56" t="s">
        <v>11999</v>
      </c>
      <c r="B2775" s="79"/>
      <c r="C2775" s="33" t="s">
        <v>11384</v>
      </c>
      <c r="E2775" s="46" t="s">
        <v>1348</v>
      </c>
    </row>
    <row r="2776">
      <c r="A2776" s="56" t="s">
        <v>12000</v>
      </c>
      <c r="B2776" s="79"/>
      <c r="C2776" s="33" t="s">
        <v>11384</v>
      </c>
      <c r="E2776" s="46" t="s">
        <v>1348</v>
      </c>
    </row>
    <row r="2777">
      <c r="A2777" s="56" t="s">
        <v>12002</v>
      </c>
      <c r="B2777" s="79"/>
      <c r="C2777" s="33" t="s">
        <v>11389</v>
      </c>
      <c r="E2777" s="46" t="s">
        <v>1348</v>
      </c>
    </row>
    <row r="2778">
      <c r="A2778" s="56" t="s">
        <v>12003</v>
      </c>
      <c r="B2778" s="21"/>
      <c r="C2778" s="33" t="s">
        <v>11391</v>
      </c>
      <c r="E2778" s="46" t="s">
        <v>7616</v>
      </c>
    </row>
    <row r="2779">
      <c r="A2779" s="56" t="s">
        <v>12004</v>
      </c>
      <c r="B2779" s="21"/>
      <c r="C2779" s="33" t="s">
        <v>11391</v>
      </c>
      <c r="E2779" s="46" t="s">
        <v>7618</v>
      </c>
    </row>
    <row r="2780">
      <c r="A2780" s="56" t="s">
        <v>12005</v>
      </c>
      <c r="B2780" s="21"/>
      <c r="C2780" s="33" t="s">
        <v>11394</v>
      </c>
      <c r="E2780" s="46" t="s">
        <v>7616</v>
      </c>
    </row>
    <row r="2781">
      <c r="A2781" s="56" t="s">
        <v>12006</v>
      </c>
      <c r="B2781" s="21"/>
      <c r="C2781" s="33" t="s">
        <v>11394</v>
      </c>
      <c r="E2781" s="46" t="s">
        <v>7618</v>
      </c>
    </row>
    <row r="2782">
      <c r="A2782" s="56" t="s">
        <v>12007</v>
      </c>
      <c r="B2782" s="21"/>
      <c r="C2782" s="33" t="s">
        <v>11398</v>
      </c>
      <c r="E2782" s="46" t="s">
        <v>7616</v>
      </c>
    </row>
    <row r="2783">
      <c r="A2783" s="56" t="s">
        <v>12009</v>
      </c>
      <c r="B2783" s="21"/>
      <c r="C2783" s="33" t="s">
        <v>11398</v>
      </c>
      <c r="E2783" s="46" t="s">
        <v>7618</v>
      </c>
    </row>
    <row r="2784">
      <c r="A2784" s="56" t="s">
        <v>12010</v>
      </c>
      <c r="B2784" s="21"/>
      <c r="C2784" s="33" t="s">
        <v>11391</v>
      </c>
      <c r="E2784" s="46" t="s">
        <v>7616</v>
      </c>
    </row>
    <row r="2785">
      <c r="A2785" s="56" t="s">
        <v>12013</v>
      </c>
      <c r="B2785" s="21"/>
      <c r="C2785" s="33" t="s">
        <v>11391</v>
      </c>
      <c r="E2785" s="46" t="s">
        <v>7618</v>
      </c>
    </row>
    <row r="2786">
      <c r="A2786" s="56" t="s">
        <v>12014</v>
      </c>
      <c r="B2786" s="21"/>
      <c r="C2786" s="33" t="s">
        <v>11394</v>
      </c>
      <c r="E2786" s="46" t="s">
        <v>7616</v>
      </c>
    </row>
    <row r="2787">
      <c r="A2787" s="56" t="s">
        <v>12015</v>
      </c>
      <c r="B2787" s="21"/>
      <c r="C2787" s="33" t="s">
        <v>11394</v>
      </c>
      <c r="E2787" s="46" t="s">
        <v>7618</v>
      </c>
    </row>
    <row r="2788">
      <c r="A2788" s="56" t="s">
        <v>12017</v>
      </c>
      <c r="B2788" s="21"/>
      <c r="C2788" s="33" t="s">
        <v>11398</v>
      </c>
      <c r="E2788" s="46" t="s">
        <v>7616</v>
      </c>
    </row>
    <row r="2789">
      <c r="A2789" s="56" t="s">
        <v>12018</v>
      </c>
      <c r="B2789" s="21"/>
      <c r="C2789" s="33" t="s">
        <v>11398</v>
      </c>
      <c r="E2789" s="46" t="s">
        <v>7618</v>
      </c>
    </row>
    <row r="2790">
      <c r="A2790" s="56" t="s">
        <v>12020</v>
      </c>
      <c r="B2790" s="21"/>
      <c r="C2790" s="33" t="s">
        <v>11411</v>
      </c>
      <c r="E2790" s="46" t="s">
        <v>7616</v>
      </c>
    </row>
    <row r="2791">
      <c r="A2791" s="56" t="s">
        <v>12021</v>
      </c>
      <c r="B2791" s="21"/>
      <c r="C2791" s="33" t="s">
        <v>11411</v>
      </c>
      <c r="E2791" s="46" t="s">
        <v>7618</v>
      </c>
    </row>
    <row r="2792">
      <c r="A2792" s="56" t="s">
        <v>12022</v>
      </c>
      <c r="B2792" s="21"/>
      <c r="C2792" s="33" t="s">
        <v>11416</v>
      </c>
      <c r="E2792" s="46" t="s">
        <v>7616</v>
      </c>
    </row>
    <row r="2793">
      <c r="A2793" s="56" t="s">
        <v>12023</v>
      </c>
      <c r="B2793" s="21"/>
      <c r="C2793" s="33" t="s">
        <v>11416</v>
      </c>
      <c r="E2793" s="46" t="s">
        <v>7618</v>
      </c>
    </row>
    <row r="2794">
      <c r="A2794" s="56" t="s">
        <v>12026</v>
      </c>
      <c r="B2794" s="21"/>
      <c r="C2794" s="33" t="s">
        <v>11419</v>
      </c>
      <c r="E2794" s="46" t="s">
        <v>7616</v>
      </c>
    </row>
    <row r="2795">
      <c r="A2795" s="56" t="s">
        <v>12028</v>
      </c>
      <c r="B2795" s="21"/>
      <c r="C2795" s="33" t="s">
        <v>11419</v>
      </c>
      <c r="E2795" s="46" t="s">
        <v>7618</v>
      </c>
    </row>
    <row r="2796">
      <c r="A2796" s="56" t="s">
        <v>12029</v>
      </c>
      <c r="B2796" s="21"/>
      <c r="C2796" s="33" t="s">
        <v>11411</v>
      </c>
      <c r="E2796" s="46" t="s">
        <v>7616</v>
      </c>
    </row>
    <row r="2797">
      <c r="A2797" s="56" t="s">
        <v>12030</v>
      </c>
      <c r="B2797" s="21"/>
      <c r="C2797" s="33" t="s">
        <v>11411</v>
      </c>
      <c r="E2797" s="46" t="s">
        <v>7618</v>
      </c>
    </row>
    <row r="2798">
      <c r="A2798" s="56" t="s">
        <v>12031</v>
      </c>
      <c r="B2798" s="21"/>
      <c r="C2798" s="33" t="s">
        <v>11416</v>
      </c>
      <c r="E2798" s="46" t="s">
        <v>7616</v>
      </c>
    </row>
    <row r="2799">
      <c r="A2799" s="56" t="s">
        <v>12033</v>
      </c>
      <c r="B2799" s="21"/>
      <c r="C2799" s="33" t="s">
        <v>11416</v>
      </c>
      <c r="E2799" s="46" t="s">
        <v>7618</v>
      </c>
    </row>
    <row r="2800">
      <c r="A2800" s="56" t="s">
        <v>12035</v>
      </c>
      <c r="B2800" s="21"/>
      <c r="C2800" s="33" t="s">
        <v>11419</v>
      </c>
      <c r="E2800" s="46" t="s">
        <v>7616</v>
      </c>
    </row>
    <row r="2801">
      <c r="A2801" s="56" t="s">
        <v>12036</v>
      </c>
      <c r="B2801" s="21"/>
      <c r="C2801" s="33" t="s">
        <v>11419</v>
      </c>
      <c r="E2801" s="46" t="s">
        <v>7618</v>
      </c>
    </row>
    <row r="2802">
      <c r="A2802" s="56" t="s">
        <v>12037</v>
      </c>
      <c r="B2802" s="55"/>
      <c r="C2802" s="31"/>
    </row>
    <row r="2803">
      <c r="A2803" s="56" t="s">
        <v>12038</v>
      </c>
      <c r="B2803" s="55"/>
      <c r="C2803" s="31"/>
    </row>
    <row r="2804">
      <c r="A2804" s="56" t="s">
        <v>12039</v>
      </c>
      <c r="B2804" s="82"/>
      <c r="C2804" s="33" t="s">
        <v>12041</v>
      </c>
      <c r="E2804" s="46" t="s">
        <v>7609</v>
      </c>
      <c r="F2804" s="46" t="s">
        <v>12043</v>
      </c>
    </row>
    <row r="2805">
      <c r="A2805" s="56" t="s">
        <v>12044</v>
      </c>
      <c r="B2805" s="82"/>
      <c r="C2805" s="33" t="s">
        <v>7680</v>
      </c>
      <c r="E2805" s="46" t="s">
        <v>7616</v>
      </c>
    </row>
    <row r="2806">
      <c r="A2806" s="56" t="s">
        <v>12045</v>
      </c>
      <c r="B2806" s="82"/>
      <c r="C2806" s="33" t="s">
        <v>7680</v>
      </c>
      <c r="E2806" s="46" t="s">
        <v>7618</v>
      </c>
    </row>
    <row r="2807">
      <c r="A2807" s="56" t="s">
        <v>12046</v>
      </c>
      <c r="B2807" s="82"/>
      <c r="C2807" s="33" t="s">
        <v>7684</v>
      </c>
      <c r="E2807" s="46" t="s">
        <v>7616</v>
      </c>
    </row>
    <row r="2808">
      <c r="A2808" s="56" t="s">
        <v>12047</v>
      </c>
      <c r="B2808" s="82"/>
      <c r="C2808" s="33" t="s">
        <v>7684</v>
      </c>
      <c r="E2808" s="46" t="s">
        <v>7618</v>
      </c>
    </row>
    <row r="2809">
      <c r="A2809" s="56" t="s">
        <v>12049</v>
      </c>
      <c r="B2809" s="82"/>
      <c r="C2809" s="33" t="s">
        <v>7397</v>
      </c>
      <c r="E2809" s="46" t="s">
        <v>7616</v>
      </c>
    </row>
    <row r="2810">
      <c r="A2810" s="56" t="s">
        <v>12050</v>
      </c>
      <c r="B2810" s="82"/>
      <c r="C2810" s="33" t="s">
        <v>7397</v>
      </c>
      <c r="E2810" s="46" t="s">
        <v>7618</v>
      </c>
    </row>
    <row r="2811">
      <c r="A2811" s="56" t="s">
        <v>12051</v>
      </c>
      <c r="B2811" s="79"/>
      <c r="C2811" s="33" t="s">
        <v>7689</v>
      </c>
      <c r="E2811" s="46" t="s">
        <v>1348</v>
      </c>
    </row>
    <row r="2812">
      <c r="A2812" s="56" t="s">
        <v>12052</v>
      </c>
      <c r="B2812" s="79"/>
      <c r="C2812" s="33" t="s">
        <v>7689</v>
      </c>
      <c r="E2812" s="46" t="s">
        <v>1348</v>
      </c>
    </row>
    <row r="2813">
      <c r="A2813" s="56" t="s">
        <v>12055</v>
      </c>
      <c r="B2813" s="79"/>
      <c r="C2813" s="33" t="s">
        <v>7694</v>
      </c>
      <c r="E2813" s="46" t="s">
        <v>1348</v>
      </c>
    </row>
    <row r="2814">
      <c r="A2814" s="56" t="s">
        <v>12057</v>
      </c>
      <c r="B2814" s="82"/>
      <c r="C2814" s="33" t="s">
        <v>7697</v>
      </c>
      <c r="E2814" s="46" t="s">
        <v>7616</v>
      </c>
    </row>
    <row r="2815">
      <c r="A2815" s="56" t="s">
        <v>12058</v>
      </c>
      <c r="B2815" s="82"/>
      <c r="C2815" s="33" t="s">
        <v>7697</v>
      </c>
      <c r="E2815" s="46" t="s">
        <v>7618</v>
      </c>
    </row>
    <row r="2816">
      <c r="A2816" s="56" t="s">
        <v>12059</v>
      </c>
      <c r="B2816" s="21"/>
      <c r="C2816" s="33" t="s">
        <v>7700</v>
      </c>
      <c r="E2816" s="46" t="s">
        <v>7616</v>
      </c>
    </row>
    <row r="2817">
      <c r="A2817" s="56" t="s">
        <v>12061</v>
      </c>
      <c r="B2817" s="21"/>
      <c r="C2817" s="33" t="s">
        <v>7700</v>
      </c>
      <c r="E2817" s="46" t="s">
        <v>7618</v>
      </c>
    </row>
    <row r="2818">
      <c r="A2818" s="56" t="s">
        <v>12063</v>
      </c>
      <c r="B2818" s="21"/>
      <c r="C2818" s="33" t="s">
        <v>7707</v>
      </c>
      <c r="E2818" s="46" t="s">
        <v>7616</v>
      </c>
    </row>
    <row r="2819">
      <c r="A2819" s="56" t="s">
        <v>12064</v>
      </c>
      <c r="B2819" s="21"/>
      <c r="C2819" s="33" t="s">
        <v>7707</v>
      </c>
      <c r="E2819" s="46" t="s">
        <v>7618</v>
      </c>
    </row>
    <row r="2820">
      <c r="A2820" s="56" t="s">
        <v>12065</v>
      </c>
      <c r="B2820" s="21"/>
      <c r="C2820" s="33" t="s">
        <v>7712</v>
      </c>
      <c r="E2820" s="46" t="s">
        <v>7616</v>
      </c>
    </row>
    <row r="2821">
      <c r="A2821" s="56" t="s">
        <v>12066</v>
      </c>
      <c r="B2821" s="21"/>
      <c r="C2821" s="33" t="s">
        <v>7712</v>
      </c>
      <c r="E2821" s="46" t="s">
        <v>7618</v>
      </c>
    </row>
    <row r="2822">
      <c r="A2822" s="56" t="s">
        <v>12069</v>
      </c>
      <c r="B2822" s="21"/>
      <c r="C2822" s="33" t="s">
        <v>7700</v>
      </c>
      <c r="E2822" s="46" t="s">
        <v>7616</v>
      </c>
    </row>
    <row r="2823">
      <c r="A2823" s="56" t="s">
        <v>12071</v>
      </c>
      <c r="B2823" s="21"/>
      <c r="C2823" s="33" t="s">
        <v>7700</v>
      </c>
      <c r="E2823" s="46" t="s">
        <v>7618</v>
      </c>
    </row>
    <row r="2824">
      <c r="A2824" s="56" t="s">
        <v>12072</v>
      </c>
      <c r="B2824" s="21"/>
      <c r="C2824" s="33" t="s">
        <v>7707</v>
      </c>
      <c r="E2824" s="46" t="s">
        <v>7616</v>
      </c>
    </row>
    <row r="2825">
      <c r="A2825" s="56" t="s">
        <v>12073</v>
      </c>
      <c r="B2825" s="21"/>
      <c r="C2825" s="33" t="s">
        <v>7707</v>
      </c>
      <c r="E2825" s="46" t="s">
        <v>7618</v>
      </c>
    </row>
    <row r="2826">
      <c r="A2826" s="56" t="s">
        <v>12074</v>
      </c>
      <c r="B2826" s="21"/>
      <c r="C2826" s="33" t="s">
        <v>7712</v>
      </c>
      <c r="E2826" s="46" t="s">
        <v>7616</v>
      </c>
    </row>
    <row r="2827">
      <c r="A2827" s="56" t="s">
        <v>12076</v>
      </c>
      <c r="B2827" s="21"/>
      <c r="C2827" s="33" t="s">
        <v>7712</v>
      </c>
      <c r="E2827" s="46" t="s">
        <v>7618</v>
      </c>
    </row>
    <row r="2828">
      <c r="A2828" s="56" t="s">
        <v>12077</v>
      </c>
      <c r="B2828" s="21"/>
      <c r="C2828" s="33" t="s">
        <v>7723</v>
      </c>
      <c r="E2828" s="46" t="s">
        <v>7616</v>
      </c>
    </row>
    <row r="2829">
      <c r="A2829" s="56" t="s">
        <v>12078</v>
      </c>
      <c r="B2829" s="21"/>
      <c r="C2829" s="33" t="s">
        <v>7723</v>
      </c>
      <c r="E2829" s="46" t="s">
        <v>7618</v>
      </c>
    </row>
    <row r="2830">
      <c r="A2830" s="56" t="s">
        <v>12080</v>
      </c>
      <c r="B2830" s="21"/>
      <c r="C2830" s="33" t="s">
        <v>7726</v>
      </c>
      <c r="E2830" s="46" t="s">
        <v>7616</v>
      </c>
    </row>
    <row r="2831">
      <c r="A2831" s="56" t="s">
        <v>12081</v>
      </c>
      <c r="B2831" s="21"/>
      <c r="C2831" s="33" t="s">
        <v>7726</v>
      </c>
      <c r="E2831" s="46" t="s">
        <v>7618</v>
      </c>
    </row>
    <row r="2832">
      <c r="A2832" s="56" t="s">
        <v>12083</v>
      </c>
      <c r="B2832" s="21"/>
      <c r="C2832" s="33" t="s">
        <v>7452</v>
      </c>
      <c r="E2832" s="46" t="s">
        <v>7616</v>
      </c>
    </row>
    <row r="2833">
      <c r="A2833" s="56" t="s">
        <v>12084</v>
      </c>
      <c r="B2833" s="21"/>
      <c r="C2833" s="33" t="s">
        <v>7452</v>
      </c>
      <c r="E2833" s="46" t="s">
        <v>7618</v>
      </c>
    </row>
    <row r="2834">
      <c r="A2834" s="56" t="s">
        <v>12085</v>
      </c>
      <c r="B2834" s="21"/>
      <c r="C2834" s="33" t="s">
        <v>7723</v>
      </c>
      <c r="E2834" s="46" t="s">
        <v>7616</v>
      </c>
    </row>
    <row r="2835">
      <c r="A2835" s="56" t="s">
        <v>12087</v>
      </c>
      <c r="B2835" s="21"/>
      <c r="C2835" s="33" t="s">
        <v>7723</v>
      </c>
      <c r="E2835" s="46" t="s">
        <v>7618</v>
      </c>
    </row>
    <row r="2836">
      <c r="A2836" s="56" t="s">
        <v>12088</v>
      </c>
      <c r="B2836" s="21"/>
      <c r="C2836" s="33" t="s">
        <v>7726</v>
      </c>
      <c r="E2836" s="46" t="s">
        <v>7616</v>
      </c>
    </row>
    <row r="2837">
      <c r="A2837" s="56" t="s">
        <v>12092</v>
      </c>
      <c r="B2837" s="21"/>
      <c r="C2837" s="33" t="s">
        <v>7726</v>
      </c>
      <c r="E2837" s="46" t="s">
        <v>7618</v>
      </c>
    </row>
    <row r="2838">
      <c r="A2838" s="56" t="s">
        <v>12093</v>
      </c>
      <c r="B2838" s="21"/>
      <c r="C2838" s="33" t="s">
        <v>7452</v>
      </c>
      <c r="E2838" s="46" t="s">
        <v>7616</v>
      </c>
    </row>
    <row r="2839">
      <c r="A2839" s="56" t="s">
        <v>12094</v>
      </c>
      <c r="B2839" s="21"/>
      <c r="C2839" s="33" t="s">
        <v>7452</v>
      </c>
      <c r="E2839" s="46" t="s">
        <v>7618</v>
      </c>
    </row>
    <row r="2840">
      <c r="A2840" s="56" t="s">
        <v>12097</v>
      </c>
      <c r="B2840" s="55"/>
      <c r="C2840" s="31"/>
      <c r="E2840" s="46" t="s">
        <v>3366</v>
      </c>
    </row>
    <row r="2841">
      <c r="A2841" s="56" t="s">
        <v>12099</v>
      </c>
      <c r="B2841" s="55"/>
      <c r="C2841" s="31"/>
      <c r="E2841" s="46" t="s">
        <v>3366</v>
      </c>
    </row>
    <row r="2842">
      <c r="A2842" s="56" t="s">
        <v>12101</v>
      </c>
      <c r="B2842" s="82"/>
      <c r="C2842" s="33" t="s">
        <v>12102</v>
      </c>
      <c r="E2842" s="46" t="s">
        <v>7609</v>
      </c>
      <c r="F2842" s="46" t="s">
        <v>12103</v>
      </c>
    </row>
    <row r="2843">
      <c r="A2843" s="56" t="s">
        <v>12104</v>
      </c>
      <c r="B2843" s="82"/>
      <c r="C2843" s="33" t="s">
        <v>7615</v>
      </c>
      <c r="E2843" s="46" t="s">
        <v>7616</v>
      </c>
    </row>
    <row r="2844">
      <c r="A2844" s="56" t="s">
        <v>12107</v>
      </c>
      <c r="B2844" s="82"/>
      <c r="C2844" s="33" t="s">
        <v>7615</v>
      </c>
      <c r="E2844" s="46" t="s">
        <v>7618</v>
      </c>
    </row>
    <row r="2845">
      <c r="A2845" s="56" t="s">
        <v>12108</v>
      </c>
      <c r="B2845" s="82"/>
      <c r="C2845" s="33" t="s">
        <v>7620</v>
      </c>
      <c r="E2845" s="46" t="s">
        <v>7616</v>
      </c>
    </row>
    <row r="2846">
      <c r="A2846" s="56" t="s">
        <v>12109</v>
      </c>
      <c r="B2846" s="82"/>
      <c r="C2846" s="33" t="s">
        <v>7620</v>
      </c>
      <c r="E2846" s="46" t="s">
        <v>7618</v>
      </c>
    </row>
    <row r="2847">
      <c r="A2847" s="56" t="s">
        <v>12110</v>
      </c>
      <c r="B2847" s="82"/>
      <c r="C2847" s="33" t="s">
        <v>3771</v>
      </c>
      <c r="E2847" s="46" t="s">
        <v>7616</v>
      </c>
    </row>
    <row r="2848">
      <c r="A2848" s="56" t="s">
        <v>12113</v>
      </c>
      <c r="B2848" s="82"/>
      <c r="C2848" s="33" t="s">
        <v>3771</v>
      </c>
      <c r="E2848" s="46" t="s">
        <v>7618</v>
      </c>
    </row>
    <row r="2849">
      <c r="A2849" s="56" t="s">
        <v>12115</v>
      </c>
      <c r="B2849" s="79"/>
      <c r="C2849" s="33" t="s">
        <v>7628</v>
      </c>
      <c r="E2849" s="46" t="s">
        <v>1348</v>
      </c>
    </row>
    <row r="2850">
      <c r="A2850" s="56" t="s">
        <v>12118</v>
      </c>
      <c r="B2850" s="79"/>
      <c r="C2850" s="33" t="s">
        <v>7628</v>
      </c>
      <c r="E2850" s="46" t="s">
        <v>1348</v>
      </c>
    </row>
    <row r="2851">
      <c r="A2851" s="56" t="s">
        <v>12119</v>
      </c>
      <c r="B2851" s="79"/>
      <c r="C2851" s="33" t="s">
        <v>7631</v>
      </c>
      <c r="E2851" s="46" t="s">
        <v>1348</v>
      </c>
    </row>
    <row r="2852">
      <c r="A2852" s="56" t="s">
        <v>12120</v>
      </c>
      <c r="B2852" s="21"/>
      <c r="C2852" s="33" t="s">
        <v>7635</v>
      </c>
      <c r="E2852" s="46" t="s">
        <v>7616</v>
      </c>
    </row>
    <row r="2853">
      <c r="A2853" s="56" t="s">
        <v>12121</v>
      </c>
      <c r="B2853" s="21"/>
      <c r="C2853" s="33" t="s">
        <v>7635</v>
      </c>
      <c r="E2853" s="46" t="s">
        <v>7618</v>
      </c>
    </row>
    <row r="2854">
      <c r="A2854" s="56" t="s">
        <v>12123</v>
      </c>
      <c r="B2854" s="21"/>
      <c r="C2854" s="33" t="s">
        <v>7639</v>
      </c>
      <c r="E2854" s="46" t="s">
        <v>7616</v>
      </c>
    </row>
    <row r="2855">
      <c r="A2855" s="56" t="s">
        <v>12124</v>
      </c>
      <c r="B2855" s="21"/>
      <c r="C2855" s="33" t="s">
        <v>7639</v>
      </c>
      <c r="E2855" s="46" t="s">
        <v>7618</v>
      </c>
    </row>
    <row r="2856">
      <c r="A2856" s="56" t="s">
        <v>12126</v>
      </c>
      <c r="B2856" s="21"/>
      <c r="C2856" s="33" t="s">
        <v>7642</v>
      </c>
      <c r="E2856" s="46" t="s">
        <v>7616</v>
      </c>
    </row>
    <row r="2857">
      <c r="A2857" s="56" t="s">
        <v>12127</v>
      </c>
      <c r="B2857" s="21"/>
      <c r="C2857" s="33" t="s">
        <v>7642</v>
      </c>
      <c r="E2857" s="46" t="s">
        <v>7618</v>
      </c>
    </row>
    <row r="2858">
      <c r="A2858" s="56" t="s">
        <v>12128</v>
      </c>
      <c r="B2858" s="21"/>
      <c r="C2858" s="33" t="s">
        <v>7635</v>
      </c>
      <c r="E2858" s="46" t="s">
        <v>7616</v>
      </c>
    </row>
    <row r="2859">
      <c r="A2859" s="56" t="s">
        <v>12130</v>
      </c>
      <c r="B2859" s="21"/>
      <c r="C2859" s="33" t="s">
        <v>7635</v>
      </c>
      <c r="E2859" s="46" t="s">
        <v>7618</v>
      </c>
    </row>
    <row r="2860">
      <c r="A2860" s="56" t="s">
        <v>12131</v>
      </c>
      <c r="B2860" s="21"/>
      <c r="C2860" s="33" t="s">
        <v>7639</v>
      </c>
      <c r="E2860" s="46" t="s">
        <v>7616</v>
      </c>
    </row>
    <row r="2861">
      <c r="A2861" s="56" t="s">
        <v>12132</v>
      </c>
      <c r="B2861" s="21"/>
      <c r="C2861" s="33" t="s">
        <v>7639</v>
      </c>
      <c r="E2861" s="46" t="s">
        <v>7618</v>
      </c>
    </row>
    <row r="2862">
      <c r="A2862" s="56" t="s">
        <v>12133</v>
      </c>
      <c r="B2862" s="21"/>
      <c r="C2862" s="33" t="s">
        <v>7642</v>
      </c>
      <c r="E2862" s="46" t="s">
        <v>7616</v>
      </c>
    </row>
    <row r="2863">
      <c r="A2863" s="56" t="s">
        <v>12134</v>
      </c>
      <c r="B2863" s="21"/>
      <c r="C2863" s="33" t="s">
        <v>7642</v>
      </c>
      <c r="E2863" s="46" t="s">
        <v>7618</v>
      </c>
    </row>
    <row r="2864">
      <c r="A2864" s="56" t="s">
        <v>12136</v>
      </c>
      <c r="B2864" s="21"/>
      <c r="C2864" s="33" t="s">
        <v>7653</v>
      </c>
      <c r="E2864" s="46" t="s">
        <v>7616</v>
      </c>
    </row>
    <row r="2865">
      <c r="A2865" s="56" t="s">
        <v>12139</v>
      </c>
      <c r="B2865" s="21"/>
      <c r="C2865" s="33" t="s">
        <v>7653</v>
      </c>
      <c r="E2865" s="46" t="s">
        <v>7618</v>
      </c>
    </row>
    <row r="2866">
      <c r="A2866" s="56" t="s">
        <v>12140</v>
      </c>
      <c r="B2866" s="21"/>
      <c r="C2866" s="33" t="s">
        <v>7656</v>
      </c>
      <c r="E2866" s="46" t="s">
        <v>7616</v>
      </c>
    </row>
    <row r="2867">
      <c r="A2867" s="56" t="s">
        <v>12141</v>
      </c>
      <c r="B2867" s="21"/>
      <c r="C2867" s="33" t="s">
        <v>7656</v>
      </c>
      <c r="E2867" s="46" t="s">
        <v>7618</v>
      </c>
    </row>
    <row r="2868">
      <c r="A2868" s="56" t="s">
        <v>12143</v>
      </c>
      <c r="B2868" s="21"/>
      <c r="C2868" s="33" t="s">
        <v>3924</v>
      </c>
      <c r="E2868" s="46" t="s">
        <v>7616</v>
      </c>
    </row>
    <row r="2869">
      <c r="A2869" s="56" t="s">
        <v>12144</v>
      </c>
      <c r="B2869" s="21"/>
      <c r="C2869" s="33" t="s">
        <v>3924</v>
      </c>
      <c r="E2869" s="46" t="s">
        <v>7618</v>
      </c>
    </row>
    <row r="2870">
      <c r="A2870" s="56" t="s">
        <v>12146</v>
      </c>
      <c r="B2870" s="21"/>
      <c r="C2870" s="33" t="s">
        <v>7653</v>
      </c>
      <c r="E2870" s="46" t="s">
        <v>7616</v>
      </c>
    </row>
    <row r="2871">
      <c r="A2871" s="56" t="s">
        <v>12147</v>
      </c>
      <c r="B2871" s="21"/>
      <c r="C2871" s="33" t="s">
        <v>7653</v>
      </c>
      <c r="E2871" s="46" t="s">
        <v>7618</v>
      </c>
    </row>
    <row r="2872">
      <c r="A2872" s="56" t="s">
        <v>12148</v>
      </c>
      <c r="B2872" s="21"/>
      <c r="C2872" s="33" t="s">
        <v>7656</v>
      </c>
      <c r="E2872" s="46" t="s">
        <v>7616</v>
      </c>
    </row>
    <row r="2873">
      <c r="A2873" s="56" t="s">
        <v>12149</v>
      </c>
      <c r="B2873" s="21"/>
      <c r="C2873" s="33" t="s">
        <v>7656</v>
      </c>
      <c r="E2873" s="46" t="s">
        <v>7618</v>
      </c>
    </row>
    <row r="2874">
      <c r="A2874" s="56" t="s">
        <v>12152</v>
      </c>
      <c r="B2874" s="21"/>
      <c r="C2874" s="33" t="s">
        <v>3924</v>
      </c>
      <c r="E2874" s="46" t="s">
        <v>7616</v>
      </c>
    </row>
    <row r="2875">
      <c r="A2875" s="56" t="s">
        <v>12154</v>
      </c>
      <c r="B2875" s="21"/>
      <c r="C2875" s="33" t="s">
        <v>3924</v>
      </c>
      <c r="E2875" s="46" t="s">
        <v>7618</v>
      </c>
    </row>
    <row r="2876">
      <c r="A2876" s="56" t="s">
        <v>12155</v>
      </c>
      <c r="B2876" s="55"/>
      <c r="C2876" s="31"/>
      <c r="E2876" s="46" t="s">
        <v>3366</v>
      </c>
    </row>
    <row r="2877">
      <c r="A2877" s="56" t="s">
        <v>12156</v>
      </c>
      <c r="B2877" s="55"/>
      <c r="C2877" s="31"/>
      <c r="E2877" s="46" t="s">
        <v>3366</v>
      </c>
    </row>
    <row r="2878">
      <c r="A2878" s="56" t="s">
        <v>12157</v>
      </c>
      <c r="B2878" s="55"/>
      <c r="C2878" s="31"/>
      <c r="E2878" s="46" t="s">
        <v>3366</v>
      </c>
    </row>
    <row r="2879">
      <c r="A2879" s="56" t="s">
        <v>12159</v>
      </c>
      <c r="B2879" s="55"/>
      <c r="C2879" s="31"/>
      <c r="E2879" s="46" t="s">
        <v>3366</v>
      </c>
    </row>
    <row r="2880">
      <c r="A2880" s="56" t="s">
        <v>12161</v>
      </c>
      <c r="B2880" s="82"/>
      <c r="C2880" s="33" t="s">
        <v>12162</v>
      </c>
      <c r="E2880" s="46" t="s">
        <v>7609</v>
      </c>
    </row>
    <row r="2881">
      <c r="A2881" s="56" t="s">
        <v>12163</v>
      </c>
      <c r="B2881" s="82"/>
      <c r="C2881" s="33" t="s">
        <v>12164</v>
      </c>
      <c r="E2881" s="46" t="s">
        <v>7616</v>
      </c>
    </row>
    <row r="2882">
      <c r="A2882" s="56" t="s">
        <v>12165</v>
      </c>
      <c r="B2882" s="82"/>
      <c r="C2882" s="33" t="s">
        <v>12164</v>
      </c>
      <c r="E2882" s="46" t="s">
        <v>7618</v>
      </c>
    </row>
    <row r="2883">
      <c r="A2883" s="56" t="s">
        <v>12166</v>
      </c>
      <c r="B2883" s="82"/>
      <c r="C2883" s="33" t="s">
        <v>12168</v>
      </c>
      <c r="E2883" s="46" t="s">
        <v>7616</v>
      </c>
    </row>
    <row r="2884">
      <c r="A2884" s="56" t="s">
        <v>12170</v>
      </c>
      <c r="B2884" s="82"/>
      <c r="C2884" s="33" t="s">
        <v>12168</v>
      </c>
      <c r="E2884" s="46" t="s">
        <v>7618</v>
      </c>
    </row>
    <row r="2885">
      <c r="A2885" s="56" t="s">
        <v>12171</v>
      </c>
      <c r="B2885" s="82"/>
      <c r="C2885" s="33" t="s">
        <v>12172</v>
      </c>
      <c r="E2885" s="46" t="s">
        <v>7616</v>
      </c>
    </row>
    <row r="2886">
      <c r="A2886" s="56" t="s">
        <v>12173</v>
      </c>
      <c r="B2886" s="82"/>
      <c r="C2886" s="33" t="s">
        <v>12172</v>
      </c>
      <c r="E2886" s="46" t="s">
        <v>7618</v>
      </c>
    </row>
    <row r="2887">
      <c r="A2887" s="56" t="s">
        <v>12174</v>
      </c>
      <c r="B2887" s="79"/>
      <c r="C2887" s="33" t="s">
        <v>12175</v>
      </c>
      <c r="E2887" s="46" t="s">
        <v>1348</v>
      </c>
    </row>
    <row r="2888">
      <c r="A2888" s="56" t="s">
        <v>12176</v>
      </c>
      <c r="B2888" s="79"/>
      <c r="C2888" s="33" t="s">
        <v>12175</v>
      </c>
      <c r="E2888" s="46" t="s">
        <v>1348</v>
      </c>
    </row>
    <row r="2889">
      <c r="A2889" s="56" t="s">
        <v>12178</v>
      </c>
      <c r="B2889" s="79"/>
      <c r="C2889" s="33" t="s">
        <v>12179</v>
      </c>
      <c r="E2889" s="46" t="s">
        <v>1348</v>
      </c>
    </row>
    <row r="2890">
      <c r="A2890" s="56" t="s">
        <v>12180</v>
      </c>
      <c r="B2890" s="21"/>
      <c r="C2890" s="33" t="s">
        <v>12181</v>
      </c>
      <c r="E2890" s="46" t="s">
        <v>7616</v>
      </c>
    </row>
    <row r="2891">
      <c r="A2891" s="56" t="s">
        <v>12182</v>
      </c>
      <c r="B2891" s="21"/>
      <c r="C2891" s="33" t="s">
        <v>12181</v>
      </c>
      <c r="E2891" s="46" t="s">
        <v>7618</v>
      </c>
    </row>
    <row r="2892">
      <c r="A2892" s="56" t="s">
        <v>12183</v>
      </c>
      <c r="B2892" s="21"/>
      <c r="C2892" s="33" t="s">
        <v>12184</v>
      </c>
      <c r="E2892" s="46" t="s">
        <v>7616</v>
      </c>
    </row>
    <row r="2893">
      <c r="A2893" s="56" t="s">
        <v>12185</v>
      </c>
      <c r="B2893" s="21"/>
      <c r="C2893" s="33" t="s">
        <v>12184</v>
      </c>
      <c r="E2893" s="46" t="s">
        <v>7618</v>
      </c>
    </row>
    <row r="2894">
      <c r="A2894" s="56" t="s">
        <v>12188</v>
      </c>
      <c r="B2894" s="21"/>
      <c r="C2894" s="33" t="s">
        <v>12190</v>
      </c>
      <c r="E2894" s="46" t="s">
        <v>7616</v>
      </c>
    </row>
    <row r="2895">
      <c r="A2895" s="56" t="s">
        <v>12191</v>
      </c>
      <c r="B2895" s="21"/>
      <c r="C2895" s="33" t="s">
        <v>12190</v>
      </c>
      <c r="E2895" s="46" t="s">
        <v>7618</v>
      </c>
    </row>
    <row r="2896">
      <c r="A2896" s="56" t="s">
        <v>12192</v>
      </c>
      <c r="B2896" s="21"/>
      <c r="C2896" s="33" t="s">
        <v>12181</v>
      </c>
      <c r="E2896" s="46" t="s">
        <v>7616</v>
      </c>
    </row>
    <row r="2897">
      <c r="A2897" s="56" t="s">
        <v>12193</v>
      </c>
      <c r="B2897" s="21"/>
      <c r="C2897" s="33" t="s">
        <v>12181</v>
      </c>
      <c r="E2897" s="46" t="s">
        <v>7618</v>
      </c>
    </row>
    <row r="2898">
      <c r="A2898" s="56" t="s">
        <v>12196</v>
      </c>
      <c r="B2898" s="21"/>
      <c r="C2898" s="33" t="s">
        <v>12184</v>
      </c>
      <c r="E2898" s="46" t="s">
        <v>7616</v>
      </c>
    </row>
    <row r="2899">
      <c r="A2899" s="56" t="s">
        <v>12197</v>
      </c>
      <c r="B2899" s="21"/>
      <c r="C2899" s="33" t="s">
        <v>12184</v>
      </c>
      <c r="E2899" s="46" t="s">
        <v>7618</v>
      </c>
    </row>
    <row r="2900">
      <c r="A2900" s="56" t="s">
        <v>12198</v>
      </c>
      <c r="B2900" s="21"/>
      <c r="C2900" s="33" t="s">
        <v>12190</v>
      </c>
      <c r="E2900" s="46" t="s">
        <v>7616</v>
      </c>
    </row>
    <row r="2901">
      <c r="A2901" s="56" t="s">
        <v>12199</v>
      </c>
      <c r="B2901" s="21"/>
      <c r="C2901" s="33" t="s">
        <v>12190</v>
      </c>
      <c r="E2901" s="46" t="s">
        <v>7618</v>
      </c>
    </row>
    <row r="2902">
      <c r="A2902" s="56" t="s">
        <v>12200</v>
      </c>
      <c r="B2902" s="21"/>
      <c r="C2902" s="33" t="s">
        <v>12202</v>
      </c>
      <c r="E2902" s="46" t="s">
        <v>7616</v>
      </c>
    </row>
    <row r="2903">
      <c r="A2903" s="56" t="s">
        <v>12205</v>
      </c>
      <c r="B2903" s="21"/>
      <c r="C2903" s="33" t="s">
        <v>12202</v>
      </c>
      <c r="E2903" s="46" t="s">
        <v>7618</v>
      </c>
    </row>
    <row r="2904">
      <c r="A2904" s="56" t="s">
        <v>12206</v>
      </c>
      <c r="B2904" s="21"/>
      <c r="C2904" s="33" t="s">
        <v>12207</v>
      </c>
      <c r="E2904" s="46" t="s">
        <v>7616</v>
      </c>
    </row>
    <row r="2905">
      <c r="A2905" s="56" t="s">
        <v>12208</v>
      </c>
      <c r="B2905" s="21"/>
      <c r="C2905" s="33" t="s">
        <v>12207</v>
      </c>
      <c r="E2905" s="46" t="s">
        <v>7618</v>
      </c>
    </row>
    <row r="2906">
      <c r="A2906" s="56" t="s">
        <v>12209</v>
      </c>
      <c r="B2906" s="21"/>
      <c r="C2906" s="33" t="s">
        <v>12210</v>
      </c>
      <c r="E2906" s="46" t="s">
        <v>7616</v>
      </c>
    </row>
    <row r="2907">
      <c r="A2907" s="56" t="s">
        <v>12212</v>
      </c>
      <c r="B2907" s="21"/>
      <c r="C2907" s="33" t="s">
        <v>12210</v>
      </c>
      <c r="E2907" s="46" t="s">
        <v>7618</v>
      </c>
    </row>
    <row r="2908">
      <c r="A2908" s="56" t="s">
        <v>12214</v>
      </c>
      <c r="B2908" s="21"/>
      <c r="C2908" s="33" t="s">
        <v>12202</v>
      </c>
      <c r="E2908" s="46" t="s">
        <v>7616</v>
      </c>
    </row>
    <row r="2909">
      <c r="A2909" s="56" t="s">
        <v>12215</v>
      </c>
      <c r="B2909" s="21"/>
      <c r="C2909" s="33" t="s">
        <v>12202</v>
      </c>
      <c r="E2909" s="46" t="s">
        <v>7618</v>
      </c>
    </row>
    <row r="2910">
      <c r="A2910" s="56" t="s">
        <v>12216</v>
      </c>
      <c r="B2910" s="21"/>
      <c r="C2910" s="33" t="s">
        <v>12207</v>
      </c>
      <c r="E2910" s="46" t="s">
        <v>7616</v>
      </c>
    </row>
    <row r="2911">
      <c r="A2911" s="56" t="s">
        <v>12217</v>
      </c>
      <c r="B2911" s="21"/>
      <c r="C2911" s="33" t="s">
        <v>12207</v>
      </c>
      <c r="E2911" s="46" t="s">
        <v>7618</v>
      </c>
    </row>
    <row r="2912">
      <c r="A2912" s="56" t="s">
        <v>12219</v>
      </c>
      <c r="B2912" s="21"/>
      <c r="C2912" s="33" t="s">
        <v>12210</v>
      </c>
      <c r="E2912" s="46" t="s">
        <v>7616</v>
      </c>
    </row>
    <row r="2913">
      <c r="A2913" s="56" t="s">
        <v>12221</v>
      </c>
      <c r="B2913" s="21"/>
      <c r="C2913" s="33" t="s">
        <v>12210</v>
      </c>
      <c r="E2913" s="46" t="s">
        <v>7618</v>
      </c>
    </row>
    <row r="2914">
      <c r="A2914" s="56" t="s">
        <v>12222</v>
      </c>
      <c r="B2914" s="55"/>
      <c r="C2914" s="31"/>
      <c r="E2914" s="46" t="s">
        <v>3366</v>
      </c>
    </row>
    <row r="2915">
      <c r="A2915" s="56" t="s">
        <v>12225</v>
      </c>
      <c r="B2915" s="55"/>
      <c r="C2915" s="31"/>
      <c r="E2915" s="46" t="s">
        <v>3366</v>
      </c>
    </row>
    <row r="2916">
      <c r="A2916" s="56" t="s">
        <v>12226</v>
      </c>
      <c r="B2916" s="55"/>
      <c r="C2916" s="31"/>
      <c r="E2916" s="46" t="s">
        <v>3366</v>
      </c>
    </row>
    <row r="2917">
      <c r="A2917" s="56" t="s">
        <v>12227</v>
      </c>
      <c r="B2917" s="55"/>
      <c r="C2917" s="31"/>
      <c r="E2917" s="46" t="s">
        <v>3366</v>
      </c>
    </row>
    <row r="2918">
      <c r="A2918" s="56" t="s">
        <v>12228</v>
      </c>
      <c r="B2918" s="55"/>
      <c r="C2918" s="31"/>
      <c r="E2918" s="46" t="s">
        <v>3366</v>
      </c>
    </row>
    <row r="2919">
      <c r="A2919" s="56" t="s">
        <v>12229</v>
      </c>
      <c r="B2919" s="55"/>
      <c r="C2919" s="31"/>
      <c r="E2919" s="46" t="s">
        <v>3366</v>
      </c>
    </row>
    <row r="2920">
      <c r="A2920" s="56" t="s">
        <v>12231</v>
      </c>
      <c r="B2920" s="55"/>
      <c r="C2920" s="31"/>
      <c r="E2920" s="46" t="s">
        <v>3366</v>
      </c>
    </row>
    <row r="2921">
      <c r="A2921" s="56" t="s">
        <v>12233</v>
      </c>
      <c r="B2921" s="55"/>
      <c r="C2921" s="31"/>
      <c r="E2921" s="46" t="s">
        <v>3366</v>
      </c>
    </row>
    <row r="2922">
      <c r="A2922" s="56" t="s">
        <v>12235</v>
      </c>
      <c r="B2922" s="55"/>
      <c r="C2922" s="31"/>
      <c r="E2922" s="46" t="s">
        <v>3366</v>
      </c>
    </row>
    <row r="2923">
      <c r="A2923" s="56" t="s">
        <v>12237</v>
      </c>
      <c r="B2923" s="82"/>
      <c r="C2923" s="33" t="s">
        <v>12239</v>
      </c>
      <c r="E2923" s="46" t="s">
        <v>7609</v>
      </c>
    </row>
    <row r="2924">
      <c r="A2924" s="56" t="s">
        <v>12240</v>
      </c>
      <c r="B2924" s="55"/>
      <c r="C2924" s="31"/>
    </row>
    <row r="2925">
      <c r="A2925" s="56" t="s">
        <v>12241</v>
      </c>
      <c r="B2925" s="55"/>
      <c r="C2925" s="31"/>
    </row>
    <row r="2926">
      <c r="A2926" s="56" t="s">
        <v>12242</v>
      </c>
      <c r="B2926" s="55"/>
      <c r="C2926" s="31"/>
    </row>
    <row r="2927">
      <c r="A2927" s="56" t="s">
        <v>12243</v>
      </c>
      <c r="B2927" s="55"/>
      <c r="C2927" s="31"/>
    </row>
    <row r="2928">
      <c r="A2928" s="56" t="s">
        <v>12245</v>
      </c>
      <c r="B2928" s="55"/>
      <c r="C2928" s="31"/>
    </row>
    <row r="2929">
      <c r="A2929" s="56" t="s">
        <v>12247</v>
      </c>
      <c r="B2929" s="55"/>
      <c r="C2929" s="31"/>
    </row>
    <row r="2930">
      <c r="A2930" s="56" t="s">
        <v>12248</v>
      </c>
      <c r="B2930" s="55"/>
      <c r="C2930" s="31"/>
    </row>
    <row r="2931">
      <c r="A2931" s="56" t="s">
        <v>12249</v>
      </c>
      <c r="B2931" s="55"/>
      <c r="C2931" s="31"/>
    </row>
    <row r="2932">
      <c r="A2932" s="56" t="s">
        <v>12250</v>
      </c>
      <c r="B2932" s="55"/>
      <c r="C2932" s="31"/>
    </row>
    <row r="2933">
      <c r="A2933" s="56" t="s">
        <v>12251</v>
      </c>
      <c r="B2933" s="55"/>
      <c r="C2933" s="31"/>
    </row>
    <row r="2934">
      <c r="A2934" s="56" t="s">
        <v>12252</v>
      </c>
      <c r="B2934" s="55"/>
      <c r="C2934" s="31"/>
    </row>
    <row r="2935">
      <c r="A2935" s="56" t="s">
        <v>12255</v>
      </c>
      <c r="B2935" s="55"/>
      <c r="C2935" s="31"/>
    </row>
    <row r="2936">
      <c r="A2936" s="56" t="s">
        <v>12259</v>
      </c>
      <c r="B2936" s="55"/>
      <c r="C2936" s="31"/>
    </row>
    <row r="2937">
      <c r="A2937" s="56" t="s">
        <v>12260</v>
      </c>
      <c r="B2937" s="55"/>
      <c r="C2937" s="31"/>
    </row>
    <row r="2938">
      <c r="A2938" s="56" t="s">
        <v>12261</v>
      </c>
      <c r="B2938" s="55"/>
      <c r="C2938" s="31"/>
    </row>
    <row r="2939">
      <c r="A2939" s="56" t="s">
        <v>12262</v>
      </c>
      <c r="B2939" s="55"/>
      <c r="C2939" s="31"/>
    </row>
    <row r="2940">
      <c r="A2940" s="56" t="s">
        <v>12263</v>
      </c>
      <c r="B2940" s="55"/>
      <c r="C2940" s="31"/>
    </row>
    <row r="2941">
      <c r="A2941" s="56" t="s">
        <v>12264</v>
      </c>
      <c r="B2941" s="55"/>
      <c r="C2941" s="31"/>
    </row>
    <row r="2942">
      <c r="A2942" s="56" t="s">
        <v>12267</v>
      </c>
      <c r="B2942" s="55"/>
      <c r="C2942" s="31"/>
    </row>
    <row r="2943">
      <c r="A2943" s="56" t="s">
        <v>12268</v>
      </c>
      <c r="B2943" s="55"/>
      <c r="C2943" s="31"/>
    </row>
    <row r="2944">
      <c r="A2944" s="56" t="s">
        <v>12269</v>
      </c>
      <c r="B2944" s="55"/>
      <c r="C2944" s="31"/>
    </row>
    <row r="2945">
      <c r="A2945" s="56" t="s">
        <v>12270</v>
      </c>
      <c r="B2945" s="55"/>
      <c r="C2945" s="31"/>
    </row>
    <row r="2946">
      <c r="A2946" s="56" t="s">
        <v>12271</v>
      </c>
      <c r="B2946" s="55"/>
      <c r="C2946" s="31"/>
    </row>
    <row r="2947">
      <c r="A2947" s="56" t="s">
        <v>12272</v>
      </c>
      <c r="B2947" s="55"/>
      <c r="C2947" s="31"/>
    </row>
    <row r="2948">
      <c r="A2948" s="56" t="s">
        <v>12273</v>
      </c>
      <c r="B2948" s="55"/>
      <c r="C2948" s="31"/>
    </row>
    <row r="2949">
      <c r="A2949" s="56" t="s">
        <v>12275</v>
      </c>
      <c r="B2949" s="55"/>
      <c r="C2949" s="31"/>
    </row>
    <row r="2950">
      <c r="A2950" s="56" t="s">
        <v>12276</v>
      </c>
      <c r="B2950" s="55"/>
      <c r="C2950" s="31"/>
    </row>
    <row r="2951">
      <c r="A2951" s="56" t="s">
        <v>12277</v>
      </c>
      <c r="B2951" s="55"/>
      <c r="C2951" s="31"/>
    </row>
    <row r="2952">
      <c r="A2952" s="56" t="s">
        <v>12278</v>
      </c>
      <c r="B2952" s="55"/>
      <c r="C2952" s="31"/>
    </row>
    <row r="2953">
      <c r="A2953" s="56" t="s">
        <v>12279</v>
      </c>
      <c r="B2953" s="55"/>
      <c r="C2953" s="31"/>
    </row>
    <row r="2954">
      <c r="A2954" s="56" t="s">
        <v>12280</v>
      </c>
      <c r="B2954" s="55"/>
      <c r="C2954" s="31"/>
    </row>
    <row r="2955">
      <c r="A2955" s="56" t="s">
        <v>12281</v>
      </c>
      <c r="B2955" s="82"/>
      <c r="C2955" s="33" t="s">
        <v>12283</v>
      </c>
    </row>
    <row r="2956">
      <c r="A2956" s="56" t="s">
        <v>12284</v>
      </c>
      <c r="B2956" s="82"/>
      <c r="C2956" s="33" t="s">
        <v>12285</v>
      </c>
      <c r="E2956" s="46" t="s">
        <v>7616</v>
      </c>
      <c r="F2956" s="46" t="s">
        <v>12287</v>
      </c>
    </row>
    <row r="2957">
      <c r="A2957" s="56" t="s">
        <v>12288</v>
      </c>
      <c r="B2957" s="82"/>
      <c r="C2957" s="33" t="s">
        <v>12285</v>
      </c>
      <c r="E2957" s="46" t="s">
        <v>7618</v>
      </c>
    </row>
    <row r="2958">
      <c r="A2958" s="56" t="s">
        <v>12290</v>
      </c>
      <c r="B2958" s="82"/>
      <c r="C2958" s="33" t="s">
        <v>12291</v>
      </c>
      <c r="E2958" s="46" t="s">
        <v>7616</v>
      </c>
    </row>
    <row r="2959">
      <c r="A2959" s="56" t="s">
        <v>12292</v>
      </c>
      <c r="B2959" s="82"/>
      <c r="C2959" s="33" t="s">
        <v>12291</v>
      </c>
      <c r="E2959" s="46" t="s">
        <v>7618</v>
      </c>
    </row>
    <row r="2960">
      <c r="A2960" s="56" t="s">
        <v>12293</v>
      </c>
      <c r="B2960" s="82"/>
      <c r="C2960" s="33" t="s">
        <v>12294</v>
      </c>
      <c r="E2960" s="46" t="s">
        <v>7616</v>
      </c>
    </row>
    <row r="2961">
      <c r="A2961" s="56" t="s">
        <v>12295</v>
      </c>
      <c r="B2961" s="82"/>
      <c r="C2961" s="33" t="s">
        <v>12294</v>
      </c>
      <c r="E2961" s="46" t="s">
        <v>7618</v>
      </c>
    </row>
    <row r="2962">
      <c r="A2962" s="56" t="s">
        <v>12296</v>
      </c>
      <c r="B2962" s="79"/>
      <c r="C2962" s="33" t="s">
        <v>12297</v>
      </c>
      <c r="E2962" s="46" t="s">
        <v>1348</v>
      </c>
    </row>
    <row r="2963">
      <c r="A2963" s="56" t="s">
        <v>12298</v>
      </c>
      <c r="B2963" s="79"/>
      <c r="C2963" s="33" t="s">
        <v>12297</v>
      </c>
      <c r="E2963" s="46" t="s">
        <v>1348</v>
      </c>
    </row>
    <row r="2964">
      <c r="A2964" s="56" t="s">
        <v>12299</v>
      </c>
      <c r="B2964" s="79"/>
      <c r="C2964" s="33" t="s">
        <v>12300</v>
      </c>
      <c r="E2964" s="46" t="s">
        <v>1348</v>
      </c>
    </row>
    <row r="2965">
      <c r="A2965" s="56" t="s">
        <v>12301</v>
      </c>
      <c r="B2965" s="21"/>
      <c r="C2965" s="33" t="s">
        <v>12302</v>
      </c>
      <c r="E2965" s="46" t="s">
        <v>7616</v>
      </c>
    </row>
    <row r="2966">
      <c r="A2966" s="56" t="s">
        <v>12303</v>
      </c>
      <c r="B2966" s="21"/>
      <c r="C2966" s="33" t="s">
        <v>12302</v>
      </c>
      <c r="E2966" s="46" t="s">
        <v>7618</v>
      </c>
    </row>
    <row r="2967">
      <c r="A2967" s="56" t="s">
        <v>12304</v>
      </c>
      <c r="B2967" s="21"/>
      <c r="C2967" s="33" t="s">
        <v>12305</v>
      </c>
      <c r="E2967" s="46" t="s">
        <v>7616</v>
      </c>
    </row>
    <row r="2968">
      <c r="A2968" s="56" t="s">
        <v>12306</v>
      </c>
      <c r="B2968" s="21"/>
      <c r="C2968" s="33" t="s">
        <v>12305</v>
      </c>
      <c r="E2968" s="46" t="s">
        <v>7618</v>
      </c>
    </row>
    <row r="2969">
      <c r="A2969" s="56" t="s">
        <v>12307</v>
      </c>
      <c r="B2969" s="21"/>
      <c r="C2969" s="33" t="s">
        <v>12308</v>
      </c>
      <c r="E2969" s="46" t="s">
        <v>7616</v>
      </c>
    </row>
    <row r="2970">
      <c r="A2970" s="56" t="s">
        <v>12309</v>
      </c>
      <c r="B2970" s="21"/>
      <c r="C2970" s="33" t="s">
        <v>12308</v>
      </c>
      <c r="E2970" s="46" t="s">
        <v>7618</v>
      </c>
    </row>
    <row r="2971">
      <c r="A2971" s="56" t="s">
        <v>12311</v>
      </c>
      <c r="B2971" s="21"/>
      <c r="C2971" s="33" t="s">
        <v>12302</v>
      </c>
      <c r="E2971" s="46" t="s">
        <v>7616</v>
      </c>
    </row>
    <row r="2972">
      <c r="A2972" s="56" t="s">
        <v>12312</v>
      </c>
      <c r="B2972" s="21"/>
      <c r="C2972" s="33" t="s">
        <v>12302</v>
      </c>
      <c r="E2972" s="46" t="s">
        <v>7618</v>
      </c>
    </row>
    <row r="2973">
      <c r="A2973" s="56" t="s">
        <v>12314</v>
      </c>
      <c r="B2973" s="21"/>
      <c r="C2973" s="33" t="s">
        <v>12305</v>
      </c>
      <c r="E2973" s="46" t="s">
        <v>7616</v>
      </c>
    </row>
    <row r="2974">
      <c r="A2974" s="56" t="s">
        <v>12315</v>
      </c>
      <c r="B2974" s="21"/>
      <c r="C2974" s="33" t="s">
        <v>12305</v>
      </c>
      <c r="E2974" s="46" t="s">
        <v>7618</v>
      </c>
    </row>
    <row r="2975">
      <c r="A2975" s="56" t="s">
        <v>12316</v>
      </c>
      <c r="B2975" s="21"/>
      <c r="C2975" s="33" t="s">
        <v>12308</v>
      </c>
      <c r="E2975" s="46" t="s">
        <v>7616</v>
      </c>
    </row>
    <row r="2976">
      <c r="A2976" s="56" t="s">
        <v>12317</v>
      </c>
      <c r="B2976" s="21"/>
      <c r="C2976" s="33" t="s">
        <v>12308</v>
      </c>
      <c r="E2976" s="46" t="s">
        <v>7618</v>
      </c>
    </row>
    <row r="2977">
      <c r="A2977" s="56" t="s">
        <v>12318</v>
      </c>
      <c r="B2977" s="21"/>
      <c r="C2977" s="33" t="s">
        <v>12319</v>
      </c>
      <c r="E2977" s="46" t="s">
        <v>7616</v>
      </c>
    </row>
    <row r="2978">
      <c r="A2978" s="56" t="s">
        <v>12320</v>
      </c>
      <c r="B2978" s="21"/>
      <c r="C2978" s="33" t="s">
        <v>12319</v>
      </c>
      <c r="E2978" s="46" t="s">
        <v>7618</v>
      </c>
    </row>
    <row r="2979">
      <c r="A2979" s="56" t="s">
        <v>12321</v>
      </c>
      <c r="B2979" s="21"/>
      <c r="C2979" s="33" t="s">
        <v>12322</v>
      </c>
      <c r="E2979" s="46" t="s">
        <v>7616</v>
      </c>
    </row>
    <row r="2980">
      <c r="A2980" s="56" t="s">
        <v>12323</v>
      </c>
      <c r="B2980" s="21"/>
      <c r="C2980" s="33" t="s">
        <v>12322</v>
      </c>
      <c r="E2980" s="46" t="s">
        <v>7618</v>
      </c>
    </row>
    <row r="2981">
      <c r="A2981" s="56" t="s">
        <v>12324</v>
      </c>
      <c r="B2981" s="21"/>
      <c r="C2981" s="33" t="s">
        <v>12325</v>
      </c>
      <c r="E2981" s="46" t="s">
        <v>7616</v>
      </c>
    </row>
    <row r="2982">
      <c r="A2982" s="56" t="s">
        <v>12326</v>
      </c>
      <c r="B2982" s="21"/>
      <c r="C2982" s="33" t="s">
        <v>12325</v>
      </c>
      <c r="E2982" s="46" t="s">
        <v>7618</v>
      </c>
    </row>
    <row r="2983">
      <c r="A2983" s="56" t="s">
        <v>12328</v>
      </c>
      <c r="B2983" s="21"/>
      <c r="C2983" s="33" t="s">
        <v>12319</v>
      </c>
      <c r="E2983" s="46" t="s">
        <v>7616</v>
      </c>
    </row>
    <row r="2984">
      <c r="A2984" s="56" t="s">
        <v>12330</v>
      </c>
      <c r="B2984" s="21"/>
      <c r="C2984" s="33" t="s">
        <v>12319</v>
      </c>
      <c r="E2984" s="46" t="s">
        <v>7618</v>
      </c>
    </row>
    <row r="2985">
      <c r="A2985" s="56" t="s">
        <v>12331</v>
      </c>
      <c r="B2985" s="21"/>
      <c r="C2985" s="33" t="s">
        <v>12322</v>
      </c>
      <c r="E2985" s="46" t="s">
        <v>7616</v>
      </c>
    </row>
    <row r="2986">
      <c r="A2986" s="56" t="s">
        <v>12332</v>
      </c>
      <c r="B2986" s="21"/>
      <c r="C2986" s="33" t="s">
        <v>12322</v>
      </c>
      <c r="E2986" s="46" t="s">
        <v>7618</v>
      </c>
    </row>
    <row r="2987">
      <c r="A2987" s="56" t="s">
        <v>12333</v>
      </c>
      <c r="B2987" s="21"/>
      <c r="C2987" s="33" t="s">
        <v>12325</v>
      </c>
      <c r="E2987" s="46" t="s">
        <v>7616</v>
      </c>
    </row>
    <row r="2988">
      <c r="A2988" s="56" t="s">
        <v>12334</v>
      </c>
      <c r="B2988" s="21"/>
      <c r="C2988" s="33" t="s">
        <v>12325</v>
      </c>
      <c r="E2988" s="46" t="s">
        <v>7618</v>
      </c>
    </row>
    <row r="2989">
      <c r="A2989" s="56" t="s">
        <v>12336</v>
      </c>
      <c r="B2989" s="55"/>
      <c r="C2989" s="31"/>
      <c r="E2989" s="46" t="s">
        <v>3366</v>
      </c>
    </row>
    <row r="2990">
      <c r="A2990" s="56" t="s">
        <v>12337</v>
      </c>
      <c r="B2990" s="55"/>
      <c r="C2990" s="31"/>
      <c r="E2990" s="46" t="s">
        <v>3366</v>
      </c>
    </row>
    <row r="2991">
      <c r="A2991" s="56" t="s">
        <v>12338</v>
      </c>
      <c r="B2991" s="55"/>
      <c r="C2991" s="31"/>
      <c r="E2991" s="46" t="s">
        <v>3366</v>
      </c>
    </row>
    <row r="2992">
      <c r="A2992" s="56" t="s">
        <v>12341</v>
      </c>
      <c r="B2992" s="82"/>
      <c r="C2992" s="33" t="s">
        <v>12342</v>
      </c>
      <c r="E2992" s="46" t="s">
        <v>3366</v>
      </c>
    </row>
    <row r="2993">
      <c r="A2993" s="56" t="s">
        <v>12343</v>
      </c>
      <c r="B2993" s="82"/>
      <c r="C2993" s="33" t="s">
        <v>12344</v>
      </c>
      <c r="E2993" s="46" t="s">
        <v>7616</v>
      </c>
    </row>
    <row r="2994">
      <c r="A2994" s="56" t="s">
        <v>12345</v>
      </c>
      <c r="B2994" s="82"/>
      <c r="C2994" s="33" t="s">
        <v>12344</v>
      </c>
      <c r="E2994" s="46" t="s">
        <v>7618</v>
      </c>
    </row>
    <row r="2995">
      <c r="A2995" s="56" t="s">
        <v>12346</v>
      </c>
      <c r="B2995" s="82"/>
      <c r="C2995" s="33" t="s">
        <v>12347</v>
      </c>
      <c r="E2995" s="46" t="s">
        <v>7616</v>
      </c>
    </row>
    <row r="2996">
      <c r="A2996" s="56" t="s">
        <v>12348</v>
      </c>
      <c r="B2996" s="82"/>
      <c r="C2996" s="33" t="s">
        <v>12347</v>
      </c>
      <c r="E2996" s="46" t="s">
        <v>7618</v>
      </c>
    </row>
    <row r="2997">
      <c r="A2997" s="56" t="s">
        <v>12350</v>
      </c>
      <c r="B2997" s="82"/>
      <c r="C2997" s="33" t="s">
        <v>12351</v>
      </c>
      <c r="E2997" s="46" t="s">
        <v>7616</v>
      </c>
    </row>
    <row r="2998">
      <c r="A2998" s="56" t="s">
        <v>12352</v>
      </c>
      <c r="B2998" s="82"/>
      <c r="C2998" s="33" t="s">
        <v>12351</v>
      </c>
      <c r="E2998" s="46" t="s">
        <v>7618</v>
      </c>
    </row>
    <row r="2999">
      <c r="A2999" s="56" t="s">
        <v>12353</v>
      </c>
      <c r="B2999" s="79"/>
      <c r="C2999" s="33" t="s">
        <v>12354</v>
      </c>
      <c r="E2999" s="46" t="s">
        <v>1348</v>
      </c>
    </row>
    <row r="3000">
      <c r="A3000" s="56" t="s">
        <v>12355</v>
      </c>
      <c r="B3000" s="79"/>
      <c r="C3000" s="33" t="s">
        <v>12354</v>
      </c>
      <c r="E3000" s="46" t="s">
        <v>1348</v>
      </c>
    </row>
    <row r="3001">
      <c r="A3001" s="56" t="s">
        <v>12357</v>
      </c>
      <c r="B3001" s="79"/>
      <c r="C3001" s="33" t="s">
        <v>12358</v>
      </c>
      <c r="E3001" s="46" t="s">
        <v>1348</v>
      </c>
    </row>
    <row r="3002">
      <c r="A3002" s="56" t="s">
        <v>12359</v>
      </c>
      <c r="B3002" s="21"/>
      <c r="C3002" s="33" t="s">
        <v>12360</v>
      </c>
      <c r="E3002" s="46" t="s">
        <v>7616</v>
      </c>
    </row>
    <row r="3003">
      <c r="A3003" s="56" t="s">
        <v>12361</v>
      </c>
      <c r="B3003" s="21"/>
      <c r="C3003" s="33" t="s">
        <v>12360</v>
      </c>
      <c r="E3003" s="46" t="s">
        <v>7618</v>
      </c>
    </row>
    <row r="3004">
      <c r="A3004" s="56" t="s">
        <v>12363</v>
      </c>
      <c r="B3004" s="21"/>
      <c r="C3004" s="33" t="s">
        <v>12364</v>
      </c>
      <c r="E3004" s="46" t="s">
        <v>7616</v>
      </c>
    </row>
    <row r="3005">
      <c r="A3005" s="56" t="s">
        <v>12365</v>
      </c>
      <c r="B3005" s="21"/>
      <c r="C3005" s="33" t="s">
        <v>12364</v>
      </c>
      <c r="E3005" s="46" t="s">
        <v>7618</v>
      </c>
    </row>
    <row r="3006">
      <c r="A3006" s="56" t="s">
        <v>12366</v>
      </c>
      <c r="B3006" s="21"/>
      <c r="C3006" s="33" t="s">
        <v>12367</v>
      </c>
      <c r="E3006" s="46" t="s">
        <v>7616</v>
      </c>
    </row>
    <row r="3007">
      <c r="A3007" s="56" t="s">
        <v>12368</v>
      </c>
      <c r="B3007" s="21"/>
      <c r="C3007" s="33" t="s">
        <v>12367</v>
      </c>
      <c r="E3007" s="46" t="s">
        <v>7618</v>
      </c>
    </row>
    <row r="3008">
      <c r="A3008" s="56" t="s">
        <v>12369</v>
      </c>
      <c r="B3008" s="21"/>
      <c r="C3008" s="33" t="s">
        <v>12360</v>
      </c>
      <c r="E3008" s="46" t="s">
        <v>7616</v>
      </c>
    </row>
    <row r="3009">
      <c r="A3009" s="56" t="s">
        <v>12371</v>
      </c>
      <c r="B3009" s="21"/>
      <c r="C3009" s="33" t="s">
        <v>12360</v>
      </c>
      <c r="E3009" s="46" t="s">
        <v>7618</v>
      </c>
    </row>
    <row r="3010">
      <c r="A3010" s="56" t="s">
        <v>12372</v>
      </c>
      <c r="B3010" s="21"/>
      <c r="C3010" s="33" t="s">
        <v>12364</v>
      </c>
      <c r="E3010" s="46" t="s">
        <v>7616</v>
      </c>
    </row>
    <row r="3011">
      <c r="A3011" s="56" t="s">
        <v>12373</v>
      </c>
      <c r="B3011" s="21"/>
      <c r="C3011" s="33" t="s">
        <v>12364</v>
      </c>
      <c r="E3011" s="46" t="s">
        <v>7618</v>
      </c>
    </row>
    <row r="3012">
      <c r="A3012" s="56" t="s">
        <v>12375</v>
      </c>
      <c r="B3012" s="21"/>
      <c r="C3012" s="33" t="s">
        <v>12367</v>
      </c>
      <c r="E3012" s="46" t="s">
        <v>7616</v>
      </c>
    </row>
    <row r="3013">
      <c r="A3013" s="56" t="s">
        <v>12376</v>
      </c>
      <c r="B3013" s="21"/>
      <c r="C3013" s="33" t="s">
        <v>12367</v>
      </c>
      <c r="E3013" s="46" t="s">
        <v>7618</v>
      </c>
    </row>
    <row r="3014">
      <c r="A3014" s="56" t="s">
        <v>12377</v>
      </c>
      <c r="B3014" s="21"/>
      <c r="C3014" s="33" t="s">
        <v>12378</v>
      </c>
      <c r="E3014" s="46" t="s">
        <v>7616</v>
      </c>
    </row>
    <row r="3015">
      <c r="A3015" s="56" t="s">
        <v>12380</v>
      </c>
      <c r="B3015" s="21"/>
      <c r="C3015" s="33" t="s">
        <v>12378</v>
      </c>
      <c r="E3015" s="46" t="s">
        <v>7618</v>
      </c>
    </row>
    <row r="3016">
      <c r="A3016" s="56" t="s">
        <v>12381</v>
      </c>
      <c r="B3016" s="21"/>
      <c r="C3016" s="33" t="s">
        <v>12382</v>
      </c>
      <c r="E3016" s="46" t="s">
        <v>7616</v>
      </c>
    </row>
    <row r="3017">
      <c r="A3017" s="56" t="s">
        <v>12383</v>
      </c>
      <c r="B3017" s="21"/>
      <c r="C3017" s="33" t="s">
        <v>12382</v>
      </c>
      <c r="E3017" s="46" t="s">
        <v>7618</v>
      </c>
    </row>
    <row r="3018">
      <c r="A3018" s="56" t="s">
        <v>12386</v>
      </c>
      <c r="B3018" s="21"/>
      <c r="C3018" s="33" t="s">
        <v>12387</v>
      </c>
      <c r="E3018" s="46" t="s">
        <v>7616</v>
      </c>
    </row>
    <row r="3019">
      <c r="A3019" s="56" t="s">
        <v>12388</v>
      </c>
      <c r="B3019" s="21"/>
      <c r="C3019" s="33" t="s">
        <v>12387</v>
      </c>
      <c r="E3019" s="46" t="s">
        <v>7618</v>
      </c>
    </row>
    <row r="3020">
      <c r="A3020" s="56" t="s">
        <v>12389</v>
      </c>
      <c r="B3020" s="21"/>
      <c r="C3020" s="33" t="s">
        <v>12378</v>
      </c>
      <c r="E3020" s="46" t="s">
        <v>7616</v>
      </c>
    </row>
    <row r="3021">
      <c r="A3021" s="56" t="s">
        <v>12390</v>
      </c>
      <c r="B3021" s="21"/>
      <c r="C3021" s="33" t="s">
        <v>12378</v>
      </c>
      <c r="E3021" s="46" t="s">
        <v>7618</v>
      </c>
    </row>
    <row r="3022">
      <c r="A3022" s="56" t="s">
        <v>12392</v>
      </c>
      <c r="B3022" s="21"/>
      <c r="C3022" s="33" t="s">
        <v>12382</v>
      </c>
      <c r="E3022" s="46" t="s">
        <v>7616</v>
      </c>
    </row>
    <row r="3023">
      <c r="A3023" s="56" t="s">
        <v>12394</v>
      </c>
      <c r="B3023" s="21"/>
      <c r="C3023" s="33" t="s">
        <v>12382</v>
      </c>
      <c r="E3023" s="46" t="s">
        <v>7618</v>
      </c>
    </row>
    <row r="3024">
      <c r="A3024" s="56" t="s">
        <v>12396</v>
      </c>
      <c r="B3024" s="21"/>
      <c r="C3024" s="33" t="s">
        <v>12387</v>
      </c>
      <c r="E3024" s="46" t="s">
        <v>7616</v>
      </c>
    </row>
    <row r="3025">
      <c r="A3025" s="56" t="s">
        <v>12397</v>
      </c>
      <c r="B3025" s="21"/>
      <c r="C3025" s="33" t="s">
        <v>12387</v>
      </c>
      <c r="E3025" s="46" t="s">
        <v>7618</v>
      </c>
    </row>
    <row r="3026">
      <c r="A3026" s="56" t="s">
        <v>12400</v>
      </c>
      <c r="B3026" s="55"/>
      <c r="C3026" s="31"/>
      <c r="E3026" s="46" t="s">
        <v>3366</v>
      </c>
    </row>
    <row r="3027">
      <c r="A3027" s="56" t="s">
        <v>12401</v>
      </c>
      <c r="B3027" s="55"/>
      <c r="C3027" s="31"/>
      <c r="E3027" s="46" t="s">
        <v>3366</v>
      </c>
    </row>
    <row r="3028">
      <c r="A3028" s="56" t="s">
        <v>12402</v>
      </c>
      <c r="B3028" s="55"/>
      <c r="C3028" s="31"/>
      <c r="E3028" s="46" t="s">
        <v>3366</v>
      </c>
    </row>
    <row r="3029">
      <c r="A3029" s="56" t="s">
        <v>12403</v>
      </c>
      <c r="B3029" s="55"/>
      <c r="C3029" s="31"/>
      <c r="E3029" s="46" t="s">
        <v>3366</v>
      </c>
    </row>
    <row r="3030">
      <c r="A3030" s="56" t="s">
        <v>12404</v>
      </c>
      <c r="B3030" s="55"/>
      <c r="C3030" s="31"/>
      <c r="E3030" s="46" t="s">
        <v>3366</v>
      </c>
    </row>
    <row r="3031">
      <c r="A3031" s="56" t="s">
        <v>12405</v>
      </c>
      <c r="B3031" s="55"/>
      <c r="C3031" s="31"/>
      <c r="E3031" s="46" t="s">
        <v>3366</v>
      </c>
    </row>
    <row r="3032">
      <c r="A3032" s="56" t="s">
        <v>12407</v>
      </c>
      <c r="B3032" s="55"/>
      <c r="C3032" s="31"/>
      <c r="E3032" s="46" t="s">
        <v>3366</v>
      </c>
    </row>
    <row r="3033">
      <c r="A3033" s="56" t="s">
        <v>12408</v>
      </c>
      <c r="B3033" s="55"/>
      <c r="C3033" s="31"/>
      <c r="E3033" s="46" t="s">
        <v>3366</v>
      </c>
    </row>
    <row r="3034">
      <c r="A3034" s="56" t="s">
        <v>12409</v>
      </c>
      <c r="B3034" s="55"/>
      <c r="C3034" s="31"/>
      <c r="E3034" s="46" t="s">
        <v>3366</v>
      </c>
    </row>
    <row r="3035">
      <c r="A3035" s="56" t="s">
        <v>12411</v>
      </c>
      <c r="B3035" s="55"/>
      <c r="C3035" s="31"/>
      <c r="E3035" s="46" t="s">
        <v>3366</v>
      </c>
    </row>
    <row r="3036">
      <c r="A3036" s="56" t="s">
        <v>12413</v>
      </c>
      <c r="B3036" s="55"/>
      <c r="C3036" s="31"/>
      <c r="E3036" s="46" t="s">
        <v>3366</v>
      </c>
    </row>
    <row r="3037">
      <c r="A3037" s="56" t="s">
        <v>12414</v>
      </c>
      <c r="B3037" s="82"/>
      <c r="C3037" s="33" t="s">
        <v>12415</v>
      </c>
    </row>
    <row r="3038">
      <c r="A3038" s="56" t="s">
        <v>12417</v>
      </c>
      <c r="B3038" s="55"/>
      <c r="C3038" s="31"/>
    </row>
    <row r="3039">
      <c r="A3039" s="56" t="s">
        <v>12418</v>
      </c>
      <c r="B3039" s="55"/>
      <c r="C3039" s="31"/>
    </row>
    <row r="3040">
      <c r="A3040" s="56" t="s">
        <v>12419</v>
      </c>
      <c r="B3040" s="55"/>
      <c r="C3040" s="31"/>
    </row>
    <row r="3041">
      <c r="A3041" s="56" t="s">
        <v>12420</v>
      </c>
      <c r="B3041" s="55"/>
      <c r="C3041" s="31"/>
    </row>
    <row r="3042">
      <c r="A3042" s="56" t="s">
        <v>12422</v>
      </c>
      <c r="B3042" s="55"/>
      <c r="C3042" s="31"/>
    </row>
    <row r="3043">
      <c r="A3043" s="56" t="s">
        <v>12423</v>
      </c>
      <c r="B3043" s="55"/>
      <c r="C3043" s="31"/>
    </row>
    <row r="3044">
      <c r="A3044" s="56" t="s">
        <v>12424</v>
      </c>
      <c r="B3044" s="55"/>
      <c r="C3044" s="31"/>
    </row>
    <row r="3045">
      <c r="A3045" s="56" t="s">
        <v>12425</v>
      </c>
      <c r="B3045" s="55"/>
      <c r="C3045" s="31"/>
    </row>
    <row r="3046">
      <c r="A3046" s="56" t="s">
        <v>12427</v>
      </c>
      <c r="B3046" s="55"/>
      <c r="C3046" s="31"/>
    </row>
    <row r="3047">
      <c r="A3047" s="56" t="s">
        <v>12428</v>
      </c>
      <c r="B3047" s="55"/>
      <c r="C3047" s="31"/>
    </row>
    <row r="3048">
      <c r="A3048" s="56" t="s">
        <v>12429</v>
      </c>
      <c r="B3048" s="82"/>
      <c r="C3048" s="33" t="s">
        <v>12430</v>
      </c>
    </row>
    <row r="3049">
      <c r="A3049" s="56" t="s">
        <v>12431</v>
      </c>
      <c r="B3049" s="55"/>
      <c r="C3049" s="31"/>
    </row>
    <row r="3050">
      <c r="A3050" s="56" t="s">
        <v>12433</v>
      </c>
      <c r="B3050" s="55"/>
      <c r="C3050" s="31"/>
    </row>
    <row r="3051">
      <c r="A3051" s="56" t="s">
        <v>12434</v>
      </c>
      <c r="B3051" s="55"/>
      <c r="C3051" s="31"/>
    </row>
    <row r="3052">
      <c r="A3052" s="56" t="s">
        <v>12435</v>
      </c>
      <c r="B3052" s="55"/>
      <c r="C3052" s="31"/>
    </row>
    <row r="3053">
      <c r="A3053" s="56" t="s">
        <v>12436</v>
      </c>
      <c r="B3053" s="82"/>
      <c r="C3053" s="33" t="s">
        <v>12437</v>
      </c>
    </row>
    <row r="3054">
      <c r="A3054" s="56" t="s">
        <v>12439</v>
      </c>
      <c r="B3054" s="55"/>
      <c r="C3054" s="31"/>
    </row>
    <row r="3055">
      <c r="A3055" s="56" t="s">
        <v>12440</v>
      </c>
      <c r="B3055" s="55"/>
      <c r="C3055" s="31"/>
    </row>
    <row r="3056">
      <c r="A3056" s="56" t="s">
        <v>12441</v>
      </c>
      <c r="B3056" s="55"/>
      <c r="C3056" s="31"/>
    </row>
    <row r="3057">
      <c r="A3057" s="56" t="s">
        <v>12443</v>
      </c>
      <c r="B3057" s="82"/>
      <c r="C3057" s="33" t="s">
        <v>12444</v>
      </c>
    </row>
    <row r="3058">
      <c r="A3058" s="56" t="s">
        <v>12445</v>
      </c>
      <c r="B3058" s="55"/>
      <c r="C3058" s="31"/>
    </row>
    <row r="3059">
      <c r="A3059" s="56" t="s">
        <v>12446</v>
      </c>
      <c r="B3059" s="55"/>
      <c r="C3059" s="31"/>
    </row>
    <row r="3060">
      <c r="A3060" s="56" t="s">
        <v>12447</v>
      </c>
      <c r="B3060" s="55"/>
      <c r="C3060" s="31"/>
    </row>
    <row r="3061">
      <c r="A3061" s="56" t="s">
        <v>12449</v>
      </c>
      <c r="B3061" s="55"/>
      <c r="C3061" s="31"/>
    </row>
    <row r="3062">
      <c r="A3062" s="56" t="s">
        <v>12450</v>
      </c>
      <c r="B3062" s="55"/>
      <c r="C3062" s="31"/>
    </row>
    <row r="3063">
      <c r="A3063" s="56" t="s">
        <v>12451</v>
      </c>
      <c r="B3063" s="82"/>
      <c r="C3063" s="33" t="s">
        <v>12452</v>
      </c>
    </row>
    <row r="3064">
      <c r="A3064" s="56" t="s">
        <v>12454</v>
      </c>
      <c r="B3064" s="55"/>
      <c r="C3064" s="31"/>
    </row>
    <row r="3065">
      <c r="A3065" s="56" t="s">
        <v>12455</v>
      </c>
      <c r="B3065" s="55"/>
      <c r="C3065" s="31"/>
    </row>
    <row r="3066">
      <c r="A3066" s="56" t="s">
        <v>12456</v>
      </c>
      <c r="B3066" s="55"/>
      <c r="C3066" s="31"/>
    </row>
    <row r="3067">
      <c r="A3067" s="56" t="s">
        <v>12457</v>
      </c>
      <c r="B3067" s="55"/>
      <c r="C3067" s="31"/>
    </row>
    <row r="3068">
      <c r="A3068" s="56" t="s">
        <v>12458</v>
      </c>
      <c r="B3068" s="55"/>
      <c r="C3068" s="31"/>
    </row>
    <row r="3069">
      <c r="A3069" s="56" t="s">
        <v>12460</v>
      </c>
      <c r="B3069" s="55"/>
      <c r="C3069" s="31"/>
    </row>
    <row r="3070">
      <c r="A3070" s="56" t="s">
        <v>12461</v>
      </c>
      <c r="B3070" s="55"/>
      <c r="C3070" s="31"/>
    </row>
    <row r="3071">
      <c r="A3071" s="56" t="s">
        <v>12462</v>
      </c>
      <c r="B3071" s="55"/>
      <c r="C3071" s="31"/>
    </row>
    <row r="3072">
      <c r="A3072" s="56" t="s">
        <v>12463</v>
      </c>
      <c r="B3072" s="55"/>
      <c r="C3072" s="31"/>
    </row>
    <row r="3073">
      <c r="A3073" s="56" t="s">
        <v>12465</v>
      </c>
      <c r="B3073" s="55"/>
      <c r="C3073" s="31"/>
    </row>
    <row r="3074">
      <c r="A3074" s="56" t="s">
        <v>12466</v>
      </c>
      <c r="B3074" s="55"/>
      <c r="C3074" s="31"/>
    </row>
    <row r="3075">
      <c r="A3075" s="56" t="s">
        <v>12467</v>
      </c>
      <c r="B3075" s="55"/>
      <c r="C3075" s="31"/>
    </row>
    <row r="3076">
      <c r="A3076" s="56" t="s">
        <v>12468</v>
      </c>
      <c r="B3076" s="55"/>
      <c r="C3076" s="31"/>
    </row>
    <row r="3077">
      <c r="A3077" s="56" t="s">
        <v>12470</v>
      </c>
      <c r="B3077" s="55"/>
      <c r="C3077" s="31"/>
    </row>
    <row r="3078">
      <c r="A3078" s="56" t="s">
        <v>12471</v>
      </c>
      <c r="B3078" s="55"/>
      <c r="C3078" s="31"/>
    </row>
    <row r="3079">
      <c r="A3079" s="56" t="s">
        <v>12472</v>
      </c>
      <c r="B3079" s="55"/>
      <c r="C3079" s="31"/>
    </row>
    <row r="3080">
      <c r="A3080" s="56" t="s">
        <v>12473</v>
      </c>
      <c r="B3080" s="55"/>
      <c r="C3080" s="31"/>
    </row>
    <row r="3081">
      <c r="A3081" s="56" t="s">
        <v>12474</v>
      </c>
      <c r="B3081" s="55"/>
      <c r="C3081" s="31"/>
    </row>
    <row r="3082">
      <c r="A3082" s="56" t="s">
        <v>12475</v>
      </c>
      <c r="B3082" s="55"/>
      <c r="C3082" s="31"/>
    </row>
    <row r="3083">
      <c r="A3083" s="56" t="s">
        <v>12476</v>
      </c>
      <c r="B3083" s="82"/>
      <c r="C3083" s="33" t="s">
        <v>12477</v>
      </c>
    </row>
    <row r="3084">
      <c r="A3084" s="56" t="s">
        <v>12478</v>
      </c>
      <c r="B3084" s="82"/>
      <c r="C3084" s="33" t="s">
        <v>12479</v>
      </c>
    </row>
    <row r="3085">
      <c r="A3085" s="56" t="s">
        <v>12481</v>
      </c>
      <c r="B3085" s="82"/>
      <c r="C3085" s="33" t="s">
        <v>12479</v>
      </c>
    </row>
    <row r="3086">
      <c r="A3086" s="56" t="s">
        <v>12482</v>
      </c>
      <c r="B3086" s="55"/>
      <c r="C3086" s="31"/>
    </row>
    <row r="3087">
      <c r="A3087" s="56" t="s">
        <v>12484</v>
      </c>
      <c r="B3087" s="55"/>
      <c r="C3087" s="31"/>
    </row>
    <row r="3088">
      <c r="A3088" s="56" t="s">
        <v>12485</v>
      </c>
      <c r="B3088" s="55"/>
      <c r="C3088" s="31"/>
    </row>
    <row r="3089">
      <c r="A3089" s="56" t="s">
        <v>12486</v>
      </c>
      <c r="B3089" s="55"/>
      <c r="C3089" s="31"/>
    </row>
    <row r="3090">
      <c r="A3090" s="56" t="s">
        <v>12488</v>
      </c>
      <c r="B3090" s="55"/>
      <c r="C3090" s="31"/>
    </row>
    <row r="3091">
      <c r="A3091" s="56" t="s">
        <v>12489</v>
      </c>
      <c r="B3091" s="82"/>
      <c r="C3091" s="33" t="s">
        <v>12490</v>
      </c>
    </row>
    <row r="3092">
      <c r="A3092" s="56" t="s">
        <v>12491</v>
      </c>
      <c r="B3092" s="84"/>
      <c r="C3092" s="33" t="s">
        <v>12493</v>
      </c>
    </row>
    <row r="3093">
      <c r="A3093" s="56" t="s">
        <v>12494</v>
      </c>
      <c r="B3093" s="84"/>
      <c r="C3093" s="33" t="s">
        <v>12493</v>
      </c>
    </row>
    <row r="3094">
      <c r="A3094" s="56" t="s">
        <v>12495</v>
      </c>
      <c r="B3094" s="55"/>
      <c r="C3094" s="31"/>
    </row>
    <row r="3095">
      <c r="A3095" s="56" t="s">
        <v>12496</v>
      </c>
      <c r="B3095" s="55"/>
      <c r="C3095" s="31"/>
    </row>
    <row r="3096">
      <c r="A3096" s="56" t="s">
        <v>12497</v>
      </c>
      <c r="B3096" s="55"/>
      <c r="C3096" s="31"/>
    </row>
    <row r="3097">
      <c r="A3097" s="56" t="s">
        <v>12498</v>
      </c>
      <c r="B3097" s="55"/>
      <c r="C3097" s="31"/>
    </row>
    <row r="3098">
      <c r="A3098" s="56" t="s">
        <v>12499</v>
      </c>
      <c r="B3098" s="55"/>
      <c r="C3098" s="31"/>
    </row>
    <row r="3099">
      <c r="A3099" s="56" t="s">
        <v>12500</v>
      </c>
      <c r="B3099" s="55"/>
      <c r="C3099" s="31"/>
    </row>
    <row r="3100">
      <c r="A3100" s="56" t="s">
        <v>12501</v>
      </c>
      <c r="B3100" s="55"/>
      <c r="C3100" s="31"/>
    </row>
    <row r="3101">
      <c r="A3101" s="56" t="s">
        <v>12503</v>
      </c>
      <c r="B3101" s="55"/>
      <c r="C3101" s="31"/>
    </row>
    <row r="3102">
      <c r="A3102" s="56" t="s">
        <v>12504</v>
      </c>
      <c r="B3102" s="55"/>
      <c r="C3102" s="31"/>
    </row>
    <row r="3103">
      <c r="A3103" s="56" t="s">
        <v>12505</v>
      </c>
      <c r="B3103" s="55"/>
      <c r="C3103" s="31"/>
    </row>
    <row r="3104">
      <c r="A3104" s="56" t="s">
        <v>12506</v>
      </c>
      <c r="B3104" s="55"/>
      <c r="C3104" s="31"/>
    </row>
    <row r="3105">
      <c r="A3105" s="56" t="s">
        <v>12508</v>
      </c>
      <c r="B3105" s="55"/>
      <c r="C3105" s="31"/>
    </row>
    <row r="3106">
      <c r="A3106" s="56" t="s">
        <v>12510</v>
      </c>
      <c r="B3106" s="55"/>
      <c r="C3106" s="31"/>
    </row>
    <row r="3107">
      <c r="A3107" s="56" t="s">
        <v>12511</v>
      </c>
      <c r="B3107" s="55"/>
      <c r="C3107" s="31"/>
    </row>
    <row r="3108">
      <c r="A3108" s="56" t="s">
        <v>12513</v>
      </c>
      <c r="B3108" s="55"/>
      <c r="C3108" s="31"/>
    </row>
    <row r="3109">
      <c r="A3109" s="56" t="s">
        <v>12514</v>
      </c>
      <c r="B3109" s="55"/>
      <c r="C3109" s="31"/>
    </row>
    <row r="3110">
      <c r="A3110" s="56" t="s">
        <v>12515</v>
      </c>
      <c r="B3110" s="55"/>
      <c r="C3110" s="31"/>
    </row>
    <row r="3111">
      <c r="A3111" s="56" t="s">
        <v>12516</v>
      </c>
      <c r="B3111" s="55"/>
      <c r="C3111" s="31"/>
    </row>
    <row r="3112">
      <c r="A3112" s="56" t="s">
        <v>12518</v>
      </c>
      <c r="B3112" s="55"/>
      <c r="C3112" s="31"/>
    </row>
    <row r="3113">
      <c r="A3113" s="56" t="s">
        <v>12519</v>
      </c>
      <c r="B3113" s="55"/>
      <c r="C3113" s="31"/>
    </row>
    <row r="3114">
      <c r="A3114" s="56" t="s">
        <v>12520</v>
      </c>
      <c r="B3114" s="55"/>
      <c r="C3114" s="31"/>
    </row>
    <row r="3115">
      <c r="A3115" s="56" t="s">
        <v>12521</v>
      </c>
      <c r="B3115" s="55"/>
      <c r="C3115" s="31"/>
    </row>
    <row r="3116">
      <c r="A3116" s="56" t="s">
        <v>12523</v>
      </c>
      <c r="B3116" s="55"/>
      <c r="C3116" s="31"/>
    </row>
    <row r="3117">
      <c r="A3117" s="56" t="s">
        <v>12524</v>
      </c>
      <c r="B3117" s="55"/>
      <c r="C3117" s="31"/>
    </row>
    <row r="3118">
      <c r="A3118" s="56" t="s">
        <v>12525</v>
      </c>
      <c r="B3118" s="55"/>
      <c r="C3118" s="31"/>
    </row>
    <row r="3119">
      <c r="A3119" s="56" t="s">
        <v>12526</v>
      </c>
      <c r="B3119" s="55"/>
      <c r="C3119" s="31"/>
    </row>
    <row r="3120">
      <c r="A3120" s="56" t="s">
        <v>12528</v>
      </c>
      <c r="B3120" s="82"/>
      <c r="C3120" s="33" t="s">
        <v>12530</v>
      </c>
    </row>
    <row r="3121">
      <c r="A3121" s="56" t="s">
        <v>12531</v>
      </c>
      <c r="B3121" s="55"/>
      <c r="C3121" s="31"/>
    </row>
    <row r="3122">
      <c r="A3122" s="56" t="s">
        <v>12532</v>
      </c>
      <c r="B3122" s="55"/>
      <c r="C3122" s="31"/>
    </row>
    <row r="3123">
      <c r="A3123" s="56" t="s">
        <v>12533</v>
      </c>
      <c r="B3123" s="55"/>
      <c r="C3123" s="31"/>
    </row>
    <row r="3124">
      <c r="A3124" s="56" t="s">
        <v>12535</v>
      </c>
      <c r="B3124" s="55"/>
      <c r="C3124" s="31"/>
    </row>
    <row r="3125">
      <c r="A3125" s="56" t="s">
        <v>12536</v>
      </c>
      <c r="B3125" s="55"/>
      <c r="C3125" s="31"/>
    </row>
    <row r="3126">
      <c r="A3126" s="56" t="s">
        <v>12537</v>
      </c>
      <c r="B3126" s="55"/>
      <c r="C3126" s="31"/>
    </row>
    <row r="3127">
      <c r="A3127" s="56" t="s">
        <v>12538</v>
      </c>
      <c r="B3127" s="55"/>
      <c r="C3127" s="31"/>
    </row>
    <row r="3128">
      <c r="A3128" s="56" t="s">
        <v>12540</v>
      </c>
      <c r="B3128" s="55"/>
      <c r="C3128" s="31"/>
    </row>
    <row r="3129">
      <c r="A3129" s="56" t="s">
        <v>12541</v>
      </c>
      <c r="B3129" s="55"/>
      <c r="C3129" s="31"/>
    </row>
    <row r="3130">
      <c r="A3130" s="56" t="s">
        <v>12543</v>
      </c>
      <c r="B3130" s="55"/>
      <c r="C3130" s="31"/>
    </row>
    <row r="3131">
      <c r="A3131" s="56" t="s">
        <v>12545</v>
      </c>
      <c r="B3131" s="55"/>
      <c r="C3131" s="31"/>
    </row>
    <row r="3132">
      <c r="A3132" s="56" t="s">
        <v>12547</v>
      </c>
      <c r="B3132" s="55"/>
      <c r="C3132" s="31"/>
    </row>
    <row r="3133">
      <c r="A3133" s="56" t="s">
        <v>12548</v>
      </c>
      <c r="B3133" s="55"/>
      <c r="C3133" s="31"/>
    </row>
    <row r="3134">
      <c r="A3134" s="56" t="s">
        <v>12549</v>
      </c>
      <c r="B3134" s="55"/>
      <c r="C3134" s="31"/>
    </row>
    <row r="3135">
      <c r="A3135" s="56" t="s">
        <v>12550</v>
      </c>
      <c r="B3135" s="55"/>
      <c r="C3135" s="31"/>
    </row>
    <row r="3136">
      <c r="A3136" s="56" t="s">
        <v>12551</v>
      </c>
      <c r="B3136" s="55"/>
      <c r="C3136" s="31"/>
    </row>
    <row r="3137">
      <c r="A3137" s="56" t="s">
        <v>12552</v>
      </c>
      <c r="B3137" s="55"/>
      <c r="C3137" s="31"/>
    </row>
    <row r="3138">
      <c r="A3138" s="56" t="s">
        <v>12553</v>
      </c>
      <c r="B3138" s="55"/>
      <c r="C3138" s="31"/>
    </row>
    <row r="3139">
      <c r="A3139" s="56" t="s">
        <v>12554</v>
      </c>
      <c r="B3139" s="55"/>
      <c r="C3139" s="31"/>
    </row>
    <row r="3140">
      <c r="A3140" s="56" t="s">
        <v>12555</v>
      </c>
      <c r="B3140" s="55"/>
      <c r="C3140" s="31"/>
    </row>
    <row r="3141">
      <c r="A3141" s="56" t="s">
        <v>12556</v>
      </c>
      <c r="B3141" s="55"/>
      <c r="C3141" s="31"/>
    </row>
    <row r="3142">
      <c r="A3142" s="56" t="s">
        <v>12557</v>
      </c>
      <c r="B3142" s="55"/>
      <c r="C3142" s="31"/>
    </row>
    <row r="3143">
      <c r="A3143" s="56" t="s">
        <v>12558</v>
      </c>
      <c r="B3143" s="55"/>
      <c r="C3143" s="31"/>
    </row>
    <row r="3144">
      <c r="A3144" s="56" t="s">
        <v>12559</v>
      </c>
      <c r="B3144" s="55"/>
      <c r="C3144" s="31"/>
    </row>
    <row r="3145">
      <c r="A3145" s="56" t="s">
        <v>12561</v>
      </c>
      <c r="B3145" s="55"/>
      <c r="C3145" s="31"/>
    </row>
    <row r="3146">
      <c r="A3146" s="56" t="s">
        <v>12562</v>
      </c>
      <c r="B3146" s="55"/>
      <c r="C3146" s="31"/>
    </row>
    <row r="3147">
      <c r="A3147" s="56" t="s">
        <v>12563</v>
      </c>
      <c r="B3147" s="55"/>
      <c r="C3147" s="31"/>
    </row>
    <row r="3148">
      <c r="A3148" s="56" t="s">
        <v>12565</v>
      </c>
      <c r="B3148" s="55"/>
      <c r="C3148" s="31"/>
    </row>
    <row r="3149">
      <c r="A3149" s="56" t="s">
        <v>12566</v>
      </c>
      <c r="B3149" s="82"/>
      <c r="C3149" s="33" t="s">
        <v>12567</v>
      </c>
    </row>
    <row r="3150">
      <c r="A3150" s="56" t="s">
        <v>12568</v>
      </c>
      <c r="B3150" s="55"/>
      <c r="C3150" s="31"/>
    </row>
    <row r="3151">
      <c r="A3151" s="56" t="s">
        <v>12569</v>
      </c>
      <c r="B3151" s="55"/>
      <c r="C3151" s="31"/>
    </row>
    <row r="3152">
      <c r="A3152" s="56" t="s">
        <v>12570</v>
      </c>
      <c r="B3152" s="55"/>
      <c r="C3152" s="31"/>
    </row>
    <row r="3153">
      <c r="A3153" s="56" t="s">
        <v>12571</v>
      </c>
      <c r="B3153" s="55"/>
      <c r="C3153" s="31"/>
    </row>
    <row r="3154">
      <c r="A3154" s="56" t="s">
        <v>12572</v>
      </c>
      <c r="B3154" s="55"/>
      <c r="C3154" s="31"/>
    </row>
    <row r="3155">
      <c r="A3155" s="56" t="s">
        <v>12574</v>
      </c>
      <c r="B3155" s="55"/>
      <c r="C3155" s="31"/>
    </row>
    <row r="3156">
      <c r="A3156" s="56" t="s">
        <v>12575</v>
      </c>
      <c r="B3156" s="55"/>
      <c r="C3156" s="31"/>
    </row>
    <row r="3157">
      <c r="A3157" s="56" t="s">
        <v>12576</v>
      </c>
      <c r="B3157" s="55"/>
      <c r="C3157" s="31"/>
    </row>
    <row r="3158">
      <c r="A3158" s="56" t="s">
        <v>12577</v>
      </c>
      <c r="B3158" s="55"/>
      <c r="C3158" s="31"/>
    </row>
    <row r="3159">
      <c r="A3159" s="56" t="s">
        <v>12578</v>
      </c>
      <c r="B3159" s="55"/>
      <c r="C3159" s="31"/>
    </row>
    <row r="3160">
      <c r="A3160" s="56" t="s">
        <v>12579</v>
      </c>
      <c r="B3160" s="55"/>
      <c r="C3160" s="31"/>
    </row>
    <row r="3161">
      <c r="A3161" s="56" t="s">
        <v>12580</v>
      </c>
      <c r="B3161" s="55"/>
      <c r="C3161" s="31"/>
    </row>
    <row r="3162">
      <c r="A3162" s="56" t="s">
        <v>12581</v>
      </c>
      <c r="B3162" s="55"/>
      <c r="C3162" s="31"/>
    </row>
    <row r="3163">
      <c r="A3163" s="56" t="s">
        <v>12582</v>
      </c>
      <c r="B3163" s="55"/>
      <c r="C3163" s="31"/>
    </row>
    <row r="3164">
      <c r="A3164" s="56" t="s">
        <v>12583</v>
      </c>
      <c r="B3164" s="55"/>
      <c r="C3164" s="31"/>
    </row>
    <row r="3165">
      <c r="A3165" s="56" t="s">
        <v>12584</v>
      </c>
      <c r="B3165" s="55"/>
      <c r="C3165" s="31"/>
    </row>
    <row r="3166">
      <c r="A3166" s="56" t="s">
        <v>12585</v>
      </c>
      <c r="B3166" s="55"/>
      <c r="C3166" s="31"/>
    </row>
    <row r="3167">
      <c r="A3167" s="56" t="s">
        <v>12586</v>
      </c>
      <c r="B3167" s="55"/>
      <c r="C3167" s="31"/>
    </row>
    <row r="3168">
      <c r="A3168" s="56" t="s">
        <v>12587</v>
      </c>
      <c r="B3168" s="55"/>
      <c r="C3168" s="31"/>
    </row>
    <row r="3169">
      <c r="A3169" s="56" t="s">
        <v>12590</v>
      </c>
      <c r="B3169" s="55"/>
      <c r="C3169" s="31"/>
    </row>
    <row r="3170">
      <c r="A3170" s="56" t="s">
        <v>12591</v>
      </c>
      <c r="B3170" s="55"/>
      <c r="C3170" s="31"/>
    </row>
    <row r="3171">
      <c r="A3171" s="56" t="s">
        <v>12592</v>
      </c>
      <c r="B3171" s="55"/>
      <c r="C3171" s="31"/>
    </row>
    <row r="3172">
      <c r="A3172" s="56" t="s">
        <v>12593</v>
      </c>
      <c r="B3172" s="55"/>
      <c r="C3172" s="31"/>
    </row>
    <row r="3173">
      <c r="A3173" s="56" t="s">
        <v>12594</v>
      </c>
      <c r="B3173" s="55"/>
      <c r="C3173" s="31"/>
    </row>
    <row r="3174">
      <c r="A3174" s="56" t="s">
        <v>12595</v>
      </c>
      <c r="B3174" s="55"/>
      <c r="C3174" s="31"/>
    </row>
    <row r="3175">
      <c r="A3175" s="56" t="s">
        <v>12596</v>
      </c>
      <c r="B3175" s="55"/>
      <c r="C3175" s="31"/>
    </row>
    <row r="3176">
      <c r="A3176" s="56" t="s">
        <v>12598</v>
      </c>
      <c r="B3176" s="55"/>
      <c r="C3176" s="31"/>
    </row>
    <row r="3177">
      <c r="A3177" s="56" t="s">
        <v>12599</v>
      </c>
      <c r="B3177" s="55"/>
      <c r="C3177" s="31"/>
    </row>
    <row r="3178">
      <c r="A3178" s="56" t="s">
        <v>12601</v>
      </c>
      <c r="B3178" s="55"/>
      <c r="C3178" s="31"/>
    </row>
    <row r="3179">
      <c r="A3179" s="56" t="s">
        <v>12602</v>
      </c>
      <c r="B3179" s="55"/>
      <c r="C3179" s="31"/>
    </row>
    <row r="3180">
      <c r="A3180" s="56" t="s">
        <v>12603</v>
      </c>
      <c r="B3180" s="55"/>
      <c r="C3180" s="31"/>
    </row>
    <row r="3181">
      <c r="A3181" s="56" t="s">
        <v>12604</v>
      </c>
      <c r="B3181" s="55"/>
      <c r="C3181" s="31"/>
    </row>
    <row r="3182">
      <c r="A3182" s="56" t="s">
        <v>12605</v>
      </c>
      <c r="B3182" s="55"/>
      <c r="C3182" s="31"/>
    </row>
    <row r="3183">
      <c r="A3183" s="56" t="s">
        <v>12606</v>
      </c>
      <c r="B3183" s="55"/>
      <c r="C3183" s="31"/>
    </row>
    <row r="3184">
      <c r="A3184" s="56" t="s">
        <v>12607</v>
      </c>
      <c r="B3184" s="82"/>
      <c r="C3184" s="33" t="s">
        <v>12608</v>
      </c>
    </row>
    <row r="3185">
      <c r="A3185" s="56" t="s">
        <v>12609</v>
      </c>
      <c r="B3185" s="55"/>
      <c r="C3185" s="31"/>
    </row>
    <row r="3186">
      <c r="A3186" s="56" t="s">
        <v>12610</v>
      </c>
      <c r="B3186" s="55"/>
      <c r="C3186" s="31"/>
    </row>
    <row r="3187">
      <c r="A3187" s="56" t="s">
        <v>12612</v>
      </c>
      <c r="B3187" s="55"/>
      <c r="C3187" s="31"/>
    </row>
    <row r="3188">
      <c r="A3188" s="56" t="s">
        <v>12613</v>
      </c>
      <c r="B3188" s="55"/>
      <c r="C3188" s="31"/>
    </row>
    <row r="3189">
      <c r="A3189" s="56" t="s">
        <v>12617</v>
      </c>
      <c r="B3189" s="55"/>
      <c r="C3189" s="31"/>
    </row>
    <row r="3190">
      <c r="A3190" s="56" t="s">
        <v>12619</v>
      </c>
      <c r="B3190" s="55"/>
      <c r="C3190" s="31"/>
    </row>
    <row r="3191">
      <c r="A3191" s="56" t="s">
        <v>12620</v>
      </c>
      <c r="B3191" s="55"/>
      <c r="C3191" s="31"/>
    </row>
    <row r="3192">
      <c r="A3192" s="56" t="s">
        <v>12622</v>
      </c>
      <c r="B3192" s="55"/>
      <c r="C3192" s="31"/>
    </row>
    <row r="3193">
      <c r="A3193" s="56" t="s">
        <v>12623</v>
      </c>
      <c r="B3193" s="55"/>
      <c r="C3193" s="31"/>
    </row>
    <row r="3194">
      <c r="A3194" s="56" t="s">
        <v>12624</v>
      </c>
      <c r="B3194" s="55"/>
      <c r="C3194" s="31"/>
    </row>
    <row r="3195">
      <c r="A3195" s="56" t="s">
        <v>12625</v>
      </c>
      <c r="B3195" s="55"/>
      <c r="C3195" s="31"/>
    </row>
    <row r="3196">
      <c r="A3196" s="56" t="s">
        <v>12626</v>
      </c>
      <c r="B3196" s="55"/>
      <c r="C3196" s="31"/>
    </row>
    <row r="3197">
      <c r="A3197" s="56" t="s">
        <v>12627</v>
      </c>
      <c r="B3197" s="55"/>
      <c r="C3197" s="31"/>
    </row>
    <row r="3198">
      <c r="A3198" s="56" t="s">
        <v>12628</v>
      </c>
      <c r="B3198" s="55"/>
      <c r="C3198" s="31"/>
    </row>
    <row r="3199">
      <c r="A3199" s="56" t="s">
        <v>12629</v>
      </c>
      <c r="B3199" s="55"/>
      <c r="C3199" s="31"/>
    </row>
    <row r="3200">
      <c r="A3200" s="56" t="s">
        <v>12630</v>
      </c>
      <c r="B3200" s="55"/>
      <c r="C3200" s="31"/>
    </row>
    <row r="3201">
      <c r="A3201" s="56" t="s">
        <v>12632</v>
      </c>
      <c r="B3201" s="55"/>
      <c r="C3201" s="31"/>
    </row>
    <row r="3202">
      <c r="A3202" s="56" t="s">
        <v>12634</v>
      </c>
      <c r="B3202" s="55"/>
      <c r="C3202" s="31"/>
    </row>
    <row r="3203">
      <c r="A3203" s="56" t="s">
        <v>12635</v>
      </c>
      <c r="B3203" s="55"/>
      <c r="C3203" s="31"/>
    </row>
    <row r="3204">
      <c r="A3204" s="56" t="s">
        <v>12636</v>
      </c>
      <c r="B3204" s="55"/>
      <c r="C3204" s="31"/>
    </row>
    <row r="3205">
      <c r="A3205" s="56" t="s">
        <v>12637</v>
      </c>
      <c r="B3205" s="55"/>
      <c r="C3205" s="31"/>
    </row>
    <row r="3206">
      <c r="A3206" s="56" t="s">
        <v>12638</v>
      </c>
      <c r="B3206" s="82"/>
      <c r="C3206" s="33" t="s">
        <v>12639</v>
      </c>
      <c r="F3206" s="46" t="s">
        <v>12640</v>
      </c>
    </row>
    <row r="3207">
      <c r="A3207" s="56" t="s">
        <v>12641</v>
      </c>
      <c r="B3207" s="82"/>
      <c r="C3207" s="33" t="s">
        <v>9690</v>
      </c>
      <c r="E3207" s="46" t="s">
        <v>7616</v>
      </c>
    </row>
    <row r="3208">
      <c r="A3208" s="56" t="s">
        <v>12643</v>
      </c>
      <c r="B3208" s="82"/>
      <c r="C3208" s="33" t="s">
        <v>9690</v>
      </c>
      <c r="E3208" s="46" t="s">
        <v>7618</v>
      </c>
    </row>
    <row r="3209">
      <c r="A3209" s="56" t="s">
        <v>12644</v>
      </c>
      <c r="B3209" s="82"/>
      <c r="C3209" s="33" t="s">
        <v>9694</v>
      </c>
      <c r="E3209" s="46" t="s">
        <v>7616</v>
      </c>
    </row>
    <row r="3210">
      <c r="A3210" s="56" t="s">
        <v>12645</v>
      </c>
      <c r="B3210" s="82"/>
      <c r="C3210" s="33" t="s">
        <v>9694</v>
      </c>
      <c r="E3210" s="46" t="s">
        <v>7618</v>
      </c>
    </row>
    <row r="3211">
      <c r="A3211" s="56" t="s">
        <v>12646</v>
      </c>
      <c r="B3211" s="82"/>
      <c r="C3211" s="33" t="s">
        <v>9698</v>
      </c>
      <c r="E3211" s="46" t="s">
        <v>7616</v>
      </c>
    </row>
    <row r="3212">
      <c r="A3212" s="56" t="s">
        <v>12648</v>
      </c>
      <c r="B3212" s="82"/>
      <c r="C3212" s="33" t="s">
        <v>9698</v>
      </c>
      <c r="E3212" s="46" t="s">
        <v>7618</v>
      </c>
    </row>
    <row r="3213">
      <c r="A3213" s="56" t="s">
        <v>12649</v>
      </c>
      <c r="B3213" s="79"/>
      <c r="C3213" s="33" t="s">
        <v>9701</v>
      </c>
      <c r="E3213" s="46" t="s">
        <v>1348</v>
      </c>
    </row>
    <row r="3214">
      <c r="A3214" s="56" t="s">
        <v>12650</v>
      </c>
      <c r="B3214" s="79"/>
      <c r="C3214" s="33" t="s">
        <v>9701</v>
      </c>
      <c r="E3214" s="46" t="s">
        <v>1348</v>
      </c>
    </row>
    <row r="3215">
      <c r="A3215" s="56" t="s">
        <v>12653</v>
      </c>
      <c r="B3215" s="79"/>
      <c r="C3215" s="33" t="s">
        <v>9705</v>
      </c>
      <c r="E3215" s="46" t="s">
        <v>1348</v>
      </c>
    </row>
    <row r="3216">
      <c r="A3216" s="56" t="s">
        <v>12654</v>
      </c>
      <c r="B3216" s="21"/>
      <c r="C3216" s="33" t="s">
        <v>9707</v>
      </c>
      <c r="E3216" s="46" t="s">
        <v>7616</v>
      </c>
    </row>
    <row r="3217">
      <c r="A3217" s="56" t="s">
        <v>12655</v>
      </c>
      <c r="B3217" s="21"/>
      <c r="C3217" s="33" t="s">
        <v>9707</v>
      </c>
      <c r="E3217" s="46" t="s">
        <v>7618</v>
      </c>
    </row>
    <row r="3218">
      <c r="A3218" s="56" t="s">
        <v>12656</v>
      </c>
      <c r="B3218" s="21"/>
      <c r="C3218" s="33" t="s">
        <v>9711</v>
      </c>
      <c r="E3218" s="46" t="s">
        <v>7616</v>
      </c>
    </row>
    <row r="3219">
      <c r="A3219" s="56" t="s">
        <v>12658</v>
      </c>
      <c r="B3219" s="21"/>
      <c r="C3219" s="33" t="s">
        <v>9711</v>
      </c>
      <c r="E3219" s="46" t="s">
        <v>7618</v>
      </c>
    </row>
    <row r="3220">
      <c r="A3220" s="56" t="s">
        <v>12659</v>
      </c>
      <c r="B3220" s="21"/>
      <c r="C3220" s="33" t="s">
        <v>9715</v>
      </c>
      <c r="E3220" s="46" t="s">
        <v>7616</v>
      </c>
    </row>
    <row r="3221">
      <c r="A3221" s="56" t="s">
        <v>12660</v>
      </c>
      <c r="B3221" s="21"/>
      <c r="C3221" s="33" t="s">
        <v>9715</v>
      </c>
      <c r="E3221" s="46" t="s">
        <v>7618</v>
      </c>
    </row>
    <row r="3222">
      <c r="A3222" s="56" t="s">
        <v>12661</v>
      </c>
      <c r="B3222" s="21"/>
      <c r="C3222" s="33" t="s">
        <v>9718</v>
      </c>
      <c r="E3222" s="46" t="s">
        <v>7616</v>
      </c>
    </row>
    <row r="3223">
      <c r="A3223" s="56" t="s">
        <v>12662</v>
      </c>
      <c r="B3223" s="21"/>
      <c r="C3223" s="33" t="s">
        <v>9718</v>
      </c>
      <c r="E3223" s="46" t="s">
        <v>7618</v>
      </c>
    </row>
    <row r="3224">
      <c r="A3224" s="56" t="s">
        <v>12665</v>
      </c>
      <c r="B3224" s="21"/>
      <c r="C3224" s="33" t="s">
        <v>9711</v>
      </c>
      <c r="E3224" s="46" t="s">
        <v>7616</v>
      </c>
    </row>
    <row r="3225">
      <c r="A3225" s="56" t="s">
        <v>12667</v>
      </c>
      <c r="B3225" s="21"/>
      <c r="C3225" s="33" t="s">
        <v>9711</v>
      </c>
      <c r="E3225" s="46" t="s">
        <v>7618</v>
      </c>
    </row>
    <row r="3226">
      <c r="A3226" s="56" t="s">
        <v>12668</v>
      </c>
      <c r="B3226" s="21"/>
      <c r="C3226" s="33" t="s">
        <v>9715</v>
      </c>
      <c r="E3226" s="46" t="s">
        <v>7616</v>
      </c>
    </row>
    <row r="3227">
      <c r="A3227" s="56" t="s">
        <v>12669</v>
      </c>
      <c r="B3227" s="21"/>
      <c r="C3227" s="33" t="s">
        <v>9715</v>
      </c>
      <c r="E3227" s="46" t="s">
        <v>7618</v>
      </c>
    </row>
    <row r="3228">
      <c r="A3228" s="56" t="s">
        <v>12670</v>
      </c>
      <c r="B3228" s="21"/>
      <c r="C3228" s="33" t="s">
        <v>9718</v>
      </c>
      <c r="E3228" s="46" t="s">
        <v>7616</v>
      </c>
    </row>
    <row r="3229">
      <c r="A3229" s="56" t="s">
        <v>12671</v>
      </c>
      <c r="B3229" s="21"/>
      <c r="C3229" s="33" t="s">
        <v>9718</v>
      </c>
      <c r="E3229" s="46" t="s">
        <v>7618</v>
      </c>
    </row>
    <row r="3230">
      <c r="A3230" s="56" t="s">
        <v>12672</v>
      </c>
      <c r="B3230" s="21"/>
      <c r="C3230" s="33" t="s">
        <v>9730</v>
      </c>
      <c r="E3230" s="46" t="s">
        <v>7616</v>
      </c>
    </row>
    <row r="3231">
      <c r="A3231" s="56" t="s">
        <v>12674</v>
      </c>
      <c r="B3231" s="21"/>
      <c r="C3231" s="33" t="s">
        <v>9730</v>
      </c>
      <c r="E3231" s="46" t="s">
        <v>7618</v>
      </c>
    </row>
    <row r="3232">
      <c r="A3232" s="56" t="s">
        <v>12675</v>
      </c>
      <c r="B3232" s="21"/>
      <c r="C3232" s="33" t="s">
        <v>9733</v>
      </c>
      <c r="E3232" s="46" t="s">
        <v>7616</v>
      </c>
    </row>
    <row r="3233">
      <c r="A3233" s="56" t="s">
        <v>12678</v>
      </c>
      <c r="B3233" s="21"/>
      <c r="C3233" s="33" t="s">
        <v>9733</v>
      </c>
      <c r="E3233" s="46" t="s">
        <v>7618</v>
      </c>
    </row>
    <row r="3234">
      <c r="A3234" s="56" t="s">
        <v>12679</v>
      </c>
      <c r="B3234" s="21"/>
      <c r="C3234" s="33" t="s">
        <v>9737</v>
      </c>
      <c r="E3234" s="46" t="s">
        <v>7616</v>
      </c>
    </row>
    <row r="3235">
      <c r="A3235" s="56" t="s">
        <v>12681</v>
      </c>
      <c r="B3235" s="21"/>
      <c r="C3235" s="33" t="s">
        <v>9737</v>
      </c>
      <c r="E3235" s="46" t="s">
        <v>7618</v>
      </c>
    </row>
    <row r="3236">
      <c r="A3236" s="56" t="s">
        <v>12682</v>
      </c>
      <c r="B3236" s="21"/>
      <c r="C3236" s="33" t="s">
        <v>9730</v>
      </c>
      <c r="E3236" s="46" t="s">
        <v>7616</v>
      </c>
    </row>
    <row r="3237">
      <c r="A3237" s="56" t="s">
        <v>12683</v>
      </c>
      <c r="B3237" s="21"/>
      <c r="C3237" s="33" t="s">
        <v>9730</v>
      </c>
      <c r="E3237" s="46" t="s">
        <v>7618</v>
      </c>
    </row>
    <row r="3238">
      <c r="A3238" s="56" t="s">
        <v>12684</v>
      </c>
      <c r="B3238" s="21"/>
      <c r="C3238" s="33" t="s">
        <v>9733</v>
      </c>
      <c r="E3238" s="46" t="s">
        <v>7616</v>
      </c>
    </row>
    <row r="3239">
      <c r="A3239" s="56" t="s">
        <v>12686</v>
      </c>
      <c r="B3239" s="21"/>
      <c r="C3239" s="33" t="s">
        <v>9733</v>
      </c>
      <c r="E3239" s="46" t="s">
        <v>7618</v>
      </c>
    </row>
    <row r="3240">
      <c r="A3240" s="56" t="s">
        <v>12687</v>
      </c>
      <c r="B3240" s="21"/>
      <c r="C3240" s="33" t="s">
        <v>9737</v>
      </c>
      <c r="E3240" s="46" t="s">
        <v>7616</v>
      </c>
    </row>
    <row r="3241">
      <c r="A3241" s="56" t="s">
        <v>12688</v>
      </c>
      <c r="B3241" s="21"/>
      <c r="C3241" s="33" t="s">
        <v>9737</v>
      </c>
      <c r="E3241" s="46" t="s">
        <v>7618</v>
      </c>
    </row>
    <row r="3242">
      <c r="A3242" s="56" t="s">
        <v>12690</v>
      </c>
      <c r="B3242" s="55"/>
      <c r="C3242" s="31"/>
    </row>
    <row r="3243">
      <c r="A3243" s="56" t="s">
        <v>12691</v>
      </c>
      <c r="B3243" s="55"/>
      <c r="C3243" s="31"/>
    </row>
    <row r="3244">
      <c r="A3244" s="56" t="s">
        <v>12692</v>
      </c>
      <c r="B3244" s="55"/>
      <c r="C3244" s="31"/>
    </row>
    <row r="3245">
      <c r="A3245" s="56" t="s">
        <v>12694</v>
      </c>
      <c r="B3245" s="55"/>
      <c r="C3245" s="31"/>
    </row>
    <row r="3246">
      <c r="A3246" s="56" t="s">
        <v>12695</v>
      </c>
      <c r="B3246" s="55"/>
      <c r="C3246" s="31"/>
    </row>
    <row r="3247">
      <c r="A3247" s="56" t="s">
        <v>12696</v>
      </c>
      <c r="B3247" s="55"/>
      <c r="C3247" s="31"/>
    </row>
    <row r="3248">
      <c r="A3248" s="56" t="s">
        <v>12697</v>
      </c>
      <c r="B3248" s="55"/>
      <c r="C3248" s="31"/>
    </row>
    <row r="3249">
      <c r="A3249" s="56" t="s">
        <v>12698</v>
      </c>
      <c r="B3249" s="55"/>
      <c r="C3249" s="31"/>
    </row>
    <row r="3250">
      <c r="A3250" s="56" t="s">
        <v>12699</v>
      </c>
      <c r="B3250" s="55"/>
      <c r="C3250" s="31"/>
    </row>
    <row r="3251">
      <c r="A3251" s="56" t="s">
        <v>12700</v>
      </c>
      <c r="B3251" s="55"/>
      <c r="C3251" s="31"/>
    </row>
    <row r="3252">
      <c r="A3252" s="56" t="s">
        <v>12702</v>
      </c>
      <c r="B3252" s="55"/>
      <c r="C3252" s="31"/>
    </row>
    <row r="3253">
      <c r="A3253" s="56" t="s">
        <v>12704</v>
      </c>
      <c r="B3253" s="55"/>
      <c r="C3253" s="31"/>
    </row>
    <row r="3254">
      <c r="A3254" s="56" t="s">
        <v>12705</v>
      </c>
      <c r="B3254" s="55"/>
      <c r="C3254" s="31"/>
    </row>
    <row r="3255">
      <c r="A3255" s="56" t="s">
        <v>12706</v>
      </c>
      <c r="B3255" s="55"/>
      <c r="C3255" s="31"/>
    </row>
    <row r="3256">
      <c r="A3256" s="56" t="s">
        <v>12707</v>
      </c>
      <c r="B3256" s="82"/>
      <c r="C3256" s="33" t="s">
        <v>12708</v>
      </c>
    </row>
    <row r="3257">
      <c r="A3257" s="56" t="s">
        <v>12709</v>
      </c>
      <c r="B3257" s="82"/>
      <c r="C3257" s="33" t="s">
        <v>11373</v>
      </c>
      <c r="E3257" s="46" t="s">
        <v>7616</v>
      </c>
    </row>
    <row r="3258">
      <c r="A3258" s="56" t="s">
        <v>12710</v>
      </c>
      <c r="B3258" s="82"/>
      <c r="C3258" s="33" t="s">
        <v>11373</v>
      </c>
      <c r="E3258" s="46" t="s">
        <v>7618</v>
      </c>
    </row>
    <row r="3259">
      <c r="A3259" s="56" t="s">
        <v>12712</v>
      </c>
      <c r="B3259" s="82"/>
      <c r="C3259" s="33" t="s">
        <v>11376</v>
      </c>
      <c r="E3259" s="46" t="s">
        <v>7616</v>
      </c>
    </row>
    <row r="3260">
      <c r="A3260" s="56" t="s">
        <v>12713</v>
      </c>
      <c r="B3260" s="82"/>
      <c r="C3260" s="33" t="s">
        <v>11376</v>
      </c>
      <c r="E3260" s="46" t="s">
        <v>7618</v>
      </c>
    </row>
    <row r="3261">
      <c r="A3261" s="56" t="s">
        <v>12715</v>
      </c>
      <c r="B3261" s="82"/>
      <c r="C3261" s="33" t="s">
        <v>11380</v>
      </c>
      <c r="E3261" s="46" t="s">
        <v>7616</v>
      </c>
    </row>
    <row r="3262">
      <c r="A3262" s="56" t="s">
        <v>12717</v>
      </c>
      <c r="B3262" s="82"/>
      <c r="C3262" s="33" t="s">
        <v>11380</v>
      </c>
      <c r="E3262" s="46" t="s">
        <v>7618</v>
      </c>
    </row>
    <row r="3263">
      <c r="A3263" s="56" t="s">
        <v>12718</v>
      </c>
      <c r="B3263" s="79"/>
      <c r="C3263" s="33" t="s">
        <v>11384</v>
      </c>
      <c r="E3263" s="46" t="s">
        <v>1348</v>
      </c>
    </row>
    <row r="3264">
      <c r="A3264" s="56" t="s">
        <v>12719</v>
      </c>
      <c r="B3264" s="79"/>
      <c r="C3264" s="33" t="s">
        <v>11384</v>
      </c>
      <c r="E3264" s="46" t="s">
        <v>1348</v>
      </c>
    </row>
    <row r="3265">
      <c r="A3265" s="56" t="s">
        <v>12721</v>
      </c>
      <c r="B3265" s="79"/>
      <c r="C3265" s="33" t="s">
        <v>11389</v>
      </c>
      <c r="E3265" s="46" t="s">
        <v>1348</v>
      </c>
    </row>
    <row r="3266">
      <c r="A3266" s="56" t="s">
        <v>12722</v>
      </c>
      <c r="B3266" s="21"/>
      <c r="C3266" s="33" t="s">
        <v>11391</v>
      </c>
      <c r="E3266" s="46" t="s">
        <v>7616</v>
      </c>
    </row>
    <row r="3267">
      <c r="A3267" s="56" t="s">
        <v>12724</v>
      </c>
      <c r="B3267" s="21"/>
      <c r="C3267" s="33" t="s">
        <v>11391</v>
      </c>
      <c r="E3267" s="46" t="s">
        <v>7618</v>
      </c>
    </row>
    <row r="3268">
      <c r="A3268" s="56" t="s">
        <v>12725</v>
      </c>
      <c r="B3268" s="21"/>
      <c r="C3268" s="33" t="s">
        <v>11394</v>
      </c>
      <c r="E3268" s="46" t="s">
        <v>7616</v>
      </c>
    </row>
    <row r="3269">
      <c r="A3269" s="56" t="s">
        <v>12726</v>
      </c>
      <c r="B3269" s="21"/>
      <c r="C3269" s="33" t="s">
        <v>11394</v>
      </c>
      <c r="E3269" s="46" t="s">
        <v>7618</v>
      </c>
    </row>
    <row r="3270">
      <c r="A3270" s="56" t="s">
        <v>12728</v>
      </c>
      <c r="B3270" s="21"/>
      <c r="C3270" s="33" t="s">
        <v>11398</v>
      </c>
      <c r="E3270" s="46" t="s">
        <v>7616</v>
      </c>
    </row>
    <row r="3271">
      <c r="A3271" s="56" t="s">
        <v>12729</v>
      </c>
      <c r="B3271" s="21"/>
      <c r="C3271" s="33" t="s">
        <v>11398</v>
      </c>
      <c r="E3271" s="46" t="s">
        <v>7618</v>
      </c>
    </row>
    <row r="3272">
      <c r="A3272" s="56" t="s">
        <v>12732</v>
      </c>
      <c r="B3272" s="21"/>
      <c r="C3272" s="33" t="s">
        <v>11391</v>
      </c>
      <c r="E3272" s="46" t="s">
        <v>7616</v>
      </c>
    </row>
    <row r="3273">
      <c r="A3273" s="56" t="s">
        <v>12733</v>
      </c>
      <c r="B3273" s="21"/>
      <c r="C3273" s="33" t="s">
        <v>11391</v>
      </c>
      <c r="E3273" s="46" t="s">
        <v>7618</v>
      </c>
    </row>
    <row r="3274">
      <c r="A3274" s="56" t="s">
        <v>12734</v>
      </c>
      <c r="B3274" s="21"/>
      <c r="C3274" s="33" t="s">
        <v>11394</v>
      </c>
      <c r="E3274" s="46" t="s">
        <v>7616</v>
      </c>
    </row>
    <row r="3275">
      <c r="A3275" s="56" t="s">
        <v>12735</v>
      </c>
      <c r="B3275" s="21"/>
      <c r="C3275" s="33" t="s">
        <v>11394</v>
      </c>
      <c r="E3275" s="46" t="s">
        <v>7618</v>
      </c>
    </row>
    <row r="3276">
      <c r="A3276" s="56" t="s">
        <v>12737</v>
      </c>
      <c r="B3276" s="21"/>
      <c r="C3276" s="33" t="s">
        <v>11398</v>
      </c>
      <c r="E3276" s="46" t="s">
        <v>7616</v>
      </c>
    </row>
    <row r="3277">
      <c r="A3277" s="56" t="s">
        <v>12739</v>
      </c>
      <c r="B3277" s="21"/>
      <c r="C3277" s="33" t="s">
        <v>11398</v>
      </c>
      <c r="E3277" s="46" t="s">
        <v>7618</v>
      </c>
    </row>
    <row r="3278">
      <c r="A3278" s="56" t="s">
        <v>12740</v>
      </c>
      <c r="B3278" s="21"/>
      <c r="C3278" s="33" t="s">
        <v>11411</v>
      </c>
      <c r="E3278" s="46" t="s">
        <v>7616</v>
      </c>
    </row>
    <row r="3279">
      <c r="A3279" s="56" t="s">
        <v>12741</v>
      </c>
      <c r="B3279" s="21"/>
      <c r="C3279" s="33" t="s">
        <v>11411</v>
      </c>
      <c r="E3279" s="46" t="s">
        <v>7618</v>
      </c>
    </row>
    <row r="3280">
      <c r="A3280" s="56" t="s">
        <v>12742</v>
      </c>
      <c r="B3280" s="21"/>
      <c r="C3280" s="33" t="s">
        <v>11416</v>
      </c>
      <c r="E3280" s="46" t="s">
        <v>7616</v>
      </c>
    </row>
    <row r="3281">
      <c r="A3281" s="56" t="s">
        <v>12744</v>
      </c>
      <c r="B3281" s="21"/>
      <c r="C3281" s="33" t="s">
        <v>11416</v>
      </c>
      <c r="E3281" s="46" t="s">
        <v>7618</v>
      </c>
    </row>
    <row r="3282">
      <c r="A3282" s="56" t="s">
        <v>12745</v>
      </c>
      <c r="B3282" s="21"/>
      <c r="C3282" s="33" t="s">
        <v>11419</v>
      </c>
      <c r="E3282" s="46" t="s">
        <v>7616</v>
      </c>
    </row>
    <row r="3283">
      <c r="A3283" s="56" t="s">
        <v>12747</v>
      </c>
      <c r="B3283" s="21"/>
      <c r="C3283" s="33" t="s">
        <v>11419</v>
      </c>
      <c r="E3283" s="46" t="s">
        <v>7618</v>
      </c>
    </row>
    <row r="3284">
      <c r="A3284" s="56" t="s">
        <v>12748</v>
      </c>
      <c r="B3284" s="21"/>
      <c r="C3284" s="33" t="s">
        <v>11411</v>
      </c>
      <c r="E3284" s="46" t="s">
        <v>7616</v>
      </c>
    </row>
    <row r="3285">
      <c r="A3285" s="56" t="s">
        <v>12750</v>
      </c>
      <c r="B3285" s="21"/>
      <c r="C3285" s="33" t="s">
        <v>11411</v>
      </c>
      <c r="E3285" s="46" t="s">
        <v>7618</v>
      </c>
    </row>
    <row r="3286">
      <c r="A3286" s="56" t="s">
        <v>12751</v>
      </c>
      <c r="B3286" s="21"/>
      <c r="C3286" s="33" t="s">
        <v>11416</v>
      </c>
      <c r="E3286" s="46" t="s">
        <v>7616</v>
      </c>
    </row>
    <row r="3287">
      <c r="A3287" s="56" t="s">
        <v>12752</v>
      </c>
      <c r="B3287" s="21"/>
      <c r="C3287" s="33" t="s">
        <v>11416</v>
      </c>
      <c r="E3287" s="46" t="s">
        <v>7618</v>
      </c>
    </row>
    <row r="3288">
      <c r="A3288" s="56" t="s">
        <v>12753</v>
      </c>
      <c r="B3288" s="21"/>
      <c r="C3288" s="33" t="s">
        <v>11419</v>
      </c>
      <c r="E3288" s="46" t="s">
        <v>7616</v>
      </c>
    </row>
    <row r="3289">
      <c r="A3289" s="56" t="s">
        <v>12754</v>
      </c>
      <c r="B3289" s="21"/>
      <c r="C3289" s="33" t="s">
        <v>11419</v>
      </c>
      <c r="E3289" s="46" t="s">
        <v>7618</v>
      </c>
    </row>
    <row r="3290">
      <c r="A3290" s="56" t="s">
        <v>12756</v>
      </c>
      <c r="B3290" s="82"/>
      <c r="C3290" s="33" t="s">
        <v>11267</v>
      </c>
    </row>
    <row r="3291">
      <c r="A3291" s="56" t="s">
        <v>12757</v>
      </c>
      <c r="B3291" s="82"/>
      <c r="C3291" s="33" t="s">
        <v>11373</v>
      </c>
      <c r="E3291" s="46" t="s">
        <v>7616</v>
      </c>
    </row>
    <row r="3292">
      <c r="A3292" s="56" t="s">
        <v>12758</v>
      </c>
      <c r="B3292" s="82"/>
      <c r="C3292" s="33" t="s">
        <v>11373</v>
      </c>
      <c r="E3292" s="46" t="s">
        <v>7618</v>
      </c>
    </row>
    <row r="3293">
      <c r="A3293" s="56" t="s">
        <v>12759</v>
      </c>
      <c r="B3293" s="82"/>
      <c r="C3293" s="33" t="s">
        <v>11376</v>
      </c>
      <c r="E3293" s="46" t="s">
        <v>7616</v>
      </c>
    </row>
    <row r="3294">
      <c r="A3294" s="56" t="s">
        <v>12760</v>
      </c>
      <c r="B3294" s="82"/>
      <c r="C3294" s="33" t="s">
        <v>11376</v>
      </c>
      <c r="E3294" s="46" t="s">
        <v>7618</v>
      </c>
    </row>
    <row r="3295">
      <c r="A3295" s="56" t="s">
        <v>12761</v>
      </c>
      <c r="B3295" s="82"/>
      <c r="C3295" s="33" t="s">
        <v>11380</v>
      </c>
      <c r="E3295" s="46" t="s">
        <v>7616</v>
      </c>
    </row>
    <row r="3296">
      <c r="A3296" s="56" t="s">
        <v>12762</v>
      </c>
      <c r="B3296" s="82"/>
      <c r="C3296" s="33" t="s">
        <v>11380</v>
      </c>
      <c r="E3296" s="46" t="s">
        <v>7618</v>
      </c>
    </row>
    <row r="3297">
      <c r="A3297" s="56" t="s">
        <v>12765</v>
      </c>
      <c r="B3297" s="79"/>
      <c r="C3297" s="33" t="s">
        <v>11384</v>
      </c>
      <c r="E3297" s="46" t="s">
        <v>1348</v>
      </c>
    </row>
    <row r="3298">
      <c r="A3298" s="56" t="s">
        <v>12766</v>
      </c>
      <c r="B3298" s="79"/>
      <c r="C3298" s="33" t="s">
        <v>11384</v>
      </c>
      <c r="E3298" s="46" t="s">
        <v>1348</v>
      </c>
    </row>
    <row r="3299">
      <c r="A3299" s="56" t="s">
        <v>12767</v>
      </c>
      <c r="B3299" s="79"/>
      <c r="C3299" s="33" t="s">
        <v>11389</v>
      </c>
      <c r="E3299" s="46" t="s">
        <v>1348</v>
      </c>
    </row>
    <row r="3300">
      <c r="A3300" s="56" t="s">
        <v>12768</v>
      </c>
      <c r="B3300" s="21"/>
      <c r="C3300" s="33" t="s">
        <v>11391</v>
      </c>
      <c r="E3300" s="46" t="s">
        <v>7616</v>
      </c>
    </row>
    <row r="3301">
      <c r="A3301" s="56" t="s">
        <v>12769</v>
      </c>
      <c r="B3301" s="21"/>
      <c r="C3301" s="33" t="s">
        <v>11391</v>
      </c>
      <c r="E3301" s="46" t="s">
        <v>7618</v>
      </c>
    </row>
    <row r="3302">
      <c r="A3302" s="56" t="s">
        <v>12770</v>
      </c>
      <c r="B3302" s="21"/>
      <c r="C3302" s="33" t="s">
        <v>11394</v>
      </c>
      <c r="E3302" s="46" t="s">
        <v>7616</v>
      </c>
    </row>
    <row r="3303">
      <c r="A3303" s="56" t="s">
        <v>12771</v>
      </c>
      <c r="B3303" s="21"/>
      <c r="C3303" s="33" t="s">
        <v>11394</v>
      </c>
      <c r="E3303" s="46" t="s">
        <v>7618</v>
      </c>
    </row>
    <row r="3304">
      <c r="A3304" s="56" t="s">
        <v>12773</v>
      </c>
      <c r="B3304" s="21"/>
      <c r="C3304" s="33" t="s">
        <v>11398</v>
      </c>
      <c r="E3304" s="46" t="s">
        <v>7616</v>
      </c>
    </row>
    <row r="3305">
      <c r="A3305" s="56" t="s">
        <v>12775</v>
      </c>
      <c r="B3305" s="21"/>
      <c r="C3305" s="33" t="s">
        <v>11398</v>
      </c>
      <c r="E3305" s="46" t="s">
        <v>7618</v>
      </c>
    </row>
    <row r="3306">
      <c r="A3306" s="56" t="s">
        <v>12776</v>
      </c>
      <c r="B3306" s="21"/>
      <c r="C3306" s="33" t="s">
        <v>11391</v>
      </c>
      <c r="E3306" s="46" t="s">
        <v>7616</v>
      </c>
    </row>
    <row r="3307">
      <c r="A3307" s="56" t="s">
        <v>12777</v>
      </c>
      <c r="B3307" s="21"/>
      <c r="C3307" s="33" t="s">
        <v>11391</v>
      </c>
      <c r="E3307" s="46" t="s">
        <v>7618</v>
      </c>
    </row>
    <row r="3308">
      <c r="A3308" s="56" t="s">
        <v>12779</v>
      </c>
      <c r="B3308" s="21"/>
      <c r="C3308" s="33" t="s">
        <v>11394</v>
      </c>
      <c r="E3308" s="46" t="s">
        <v>7616</v>
      </c>
    </row>
    <row r="3309">
      <c r="A3309" s="56" t="s">
        <v>12780</v>
      </c>
      <c r="B3309" s="21"/>
      <c r="C3309" s="33" t="s">
        <v>11394</v>
      </c>
      <c r="E3309" s="46" t="s">
        <v>7618</v>
      </c>
    </row>
    <row r="3310">
      <c r="A3310" s="56" t="s">
        <v>12781</v>
      </c>
      <c r="B3310" s="21"/>
      <c r="C3310" s="33" t="s">
        <v>11398</v>
      </c>
      <c r="E3310" s="46" t="s">
        <v>7616</v>
      </c>
    </row>
    <row r="3311">
      <c r="A3311" s="56" t="s">
        <v>12782</v>
      </c>
      <c r="B3311" s="21"/>
      <c r="C3311" s="33" t="s">
        <v>11398</v>
      </c>
      <c r="E3311" s="46" t="s">
        <v>7618</v>
      </c>
    </row>
    <row r="3312">
      <c r="A3312" s="56" t="s">
        <v>12784</v>
      </c>
      <c r="B3312" s="21"/>
      <c r="C3312" s="33" t="s">
        <v>11411</v>
      </c>
      <c r="E3312" s="46" t="s">
        <v>7616</v>
      </c>
    </row>
    <row r="3313">
      <c r="A3313" s="56" t="s">
        <v>12785</v>
      </c>
      <c r="B3313" s="21"/>
      <c r="C3313" s="33" t="s">
        <v>11411</v>
      </c>
      <c r="E3313" s="46" t="s">
        <v>7618</v>
      </c>
    </row>
    <row r="3314">
      <c r="A3314" s="56" t="s">
        <v>12786</v>
      </c>
      <c r="B3314" s="21"/>
      <c r="C3314" s="33" t="s">
        <v>11416</v>
      </c>
      <c r="E3314" s="46" t="s">
        <v>7616</v>
      </c>
    </row>
    <row r="3315">
      <c r="A3315" s="56" t="s">
        <v>12788</v>
      </c>
      <c r="B3315" s="21"/>
      <c r="C3315" s="33" t="s">
        <v>11416</v>
      </c>
      <c r="E3315" s="46" t="s">
        <v>7618</v>
      </c>
    </row>
    <row r="3316">
      <c r="A3316" s="56" t="s">
        <v>12790</v>
      </c>
      <c r="B3316" s="21"/>
      <c r="C3316" s="33" t="s">
        <v>11419</v>
      </c>
      <c r="E3316" s="46" t="s">
        <v>7616</v>
      </c>
    </row>
    <row r="3317">
      <c r="A3317" s="56" t="s">
        <v>12791</v>
      </c>
      <c r="B3317" s="21"/>
      <c r="C3317" s="33" t="s">
        <v>11419</v>
      </c>
      <c r="E3317" s="46" t="s">
        <v>7618</v>
      </c>
    </row>
    <row r="3318">
      <c r="A3318" s="56" t="s">
        <v>12794</v>
      </c>
      <c r="B3318" s="21"/>
      <c r="C3318" s="33" t="s">
        <v>11411</v>
      </c>
      <c r="E3318" s="46" t="s">
        <v>7616</v>
      </c>
    </row>
    <row r="3319">
      <c r="A3319" s="56" t="s">
        <v>12795</v>
      </c>
      <c r="B3319" s="21"/>
      <c r="C3319" s="33" t="s">
        <v>11411</v>
      </c>
      <c r="E3319" s="46" t="s">
        <v>7618</v>
      </c>
    </row>
    <row r="3320">
      <c r="A3320" s="56" t="s">
        <v>12796</v>
      </c>
      <c r="B3320" s="21"/>
      <c r="C3320" s="33" t="s">
        <v>11416</v>
      </c>
      <c r="E3320" s="46" t="s">
        <v>7616</v>
      </c>
    </row>
    <row r="3321">
      <c r="A3321" s="56" t="s">
        <v>12797</v>
      </c>
      <c r="B3321" s="21"/>
      <c r="C3321" s="33" t="s">
        <v>11416</v>
      </c>
      <c r="E3321" s="46" t="s">
        <v>7618</v>
      </c>
    </row>
    <row r="3322">
      <c r="A3322" s="56" t="s">
        <v>12800</v>
      </c>
      <c r="B3322" s="21"/>
      <c r="C3322" s="33" t="s">
        <v>11419</v>
      </c>
      <c r="E3322" s="46" t="s">
        <v>7616</v>
      </c>
    </row>
    <row r="3323">
      <c r="A3323" s="56" t="s">
        <v>12802</v>
      </c>
      <c r="B3323" s="21"/>
      <c r="C3323" s="33" t="s">
        <v>11419</v>
      </c>
      <c r="E3323" s="46" t="s">
        <v>7618</v>
      </c>
    </row>
    <row r="3324">
      <c r="A3324" s="56" t="s">
        <v>12804</v>
      </c>
      <c r="B3324" s="55"/>
      <c r="C3324" s="31"/>
    </row>
    <row r="3325">
      <c r="A3325" s="56" t="s">
        <v>12805</v>
      </c>
      <c r="B3325" s="55"/>
      <c r="C3325" s="31"/>
    </row>
    <row r="3326">
      <c r="A3326" s="56" t="s">
        <v>12806</v>
      </c>
      <c r="B3326" s="55"/>
      <c r="C3326" s="31"/>
    </row>
    <row r="3327">
      <c r="A3327" s="56" t="s">
        <v>12807</v>
      </c>
      <c r="B3327" s="55"/>
      <c r="C3327" s="31"/>
    </row>
    <row r="3328">
      <c r="A3328" s="56" t="s">
        <v>12808</v>
      </c>
      <c r="B3328" s="55"/>
      <c r="C3328" s="31"/>
    </row>
    <row r="3329">
      <c r="A3329" s="56" t="s">
        <v>12809</v>
      </c>
      <c r="B3329" s="55"/>
      <c r="C3329" s="31"/>
    </row>
    <row r="3330">
      <c r="A3330" s="56" t="s">
        <v>12810</v>
      </c>
      <c r="B3330" s="55"/>
      <c r="C3330" s="31"/>
    </row>
    <row r="3331">
      <c r="A3331" s="56" t="s">
        <v>12811</v>
      </c>
      <c r="B3331" s="55"/>
      <c r="C3331" s="31"/>
    </row>
    <row r="3332">
      <c r="A3332" s="56" t="s">
        <v>12813</v>
      </c>
      <c r="B3332" s="55"/>
      <c r="C3332" s="31"/>
    </row>
    <row r="3333">
      <c r="A3333" s="56" t="s">
        <v>12815</v>
      </c>
      <c r="B3333" s="55"/>
      <c r="C3333" s="31"/>
    </row>
    <row r="3334">
      <c r="A3334" s="56" t="s">
        <v>12817</v>
      </c>
      <c r="B3334" s="55"/>
      <c r="C3334" s="31"/>
    </row>
    <row r="3335">
      <c r="A3335" s="56" t="s">
        <v>12818</v>
      </c>
      <c r="B3335" s="55"/>
      <c r="C3335" s="31"/>
    </row>
    <row r="3336">
      <c r="A3336" s="56" t="s">
        <v>12819</v>
      </c>
      <c r="B3336" s="82"/>
      <c r="C3336" s="33" t="s">
        <v>12820</v>
      </c>
    </row>
    <row r="3337">
      <c r="A3337" s="56" t="s">
        <v>12821</v>
      </c>
      <c r="B3337" s="55"/>
      <c r="C3337" s="31"/>
    </row>
    <row r="3338">
      <c r="A3338" s="56" t="s">
        <v>12822</v>
      </c>
      <c r="B3338" s="55"/>
      <c r="C3338" s="31"/>
    </row>
    <row r="3339">
      <c r="A3339" s="56" t="s">
        <v>12823</v>
      </c>
      <c r="B3339" s="55"/>
      <c r="C3339" s="31"/>
    </row>
    <row r="3340">
      <c r="A3340" s="56" t="s">
        <v>12825</v>
      </c>
      <c r="B3340" s="55"/>
      <c r="C3340" s="31"/>
    </row>
    <row r="3341">
      <c r="A3341" s="56" t="s">
        <v>12826</v>
      </c>
      <c r="B3341" s="55"/>
      <c r="C3341" s="31"/>
    </row>
    <row r="3342">
      <c r="A3342" s="56" t="s">
        <v>12827</v>
      </c>
      <c r="B3342" s="55"/>
      <c r="C3342" s="31"/>
    </row>
    <row r="3343">
      <c r="A3343" s="56" t="s">
        <v>12828</v>
      </c>
      <c r="B3343" s="55"/>
      <c r="C3343" s="31"/>
    </row>
    <row r="3344">
      <c r="A3344" s="56" t="s">
        <v>12829</v>
      </c>
      <c r="B3344" s="55"/>
      <c r="C3344" s="31"/>
    </row>
    <row r="3345">
      <c r="A3345" s="56" t="s">
        <v>12831</v>
      </c>
      <c r="B3345" s="55"/>
      <c r="C3345" s="31"/>
    </row>
    <row r="3346">
      <c r="A3346" s="56" t="s">
        <v>12832</v>
      </c>
      <c r="B3346" s="55"/>
      <c r="C3346" s="31"/>
    </row>
    <row r="3347">
      <c r="A3347" s="56" t="s">
        <v>12833</v>
      </c>
      <c r="B3347" s="55"/>
      <c r="C3347" s="31"/>
    </row>
    <row r="3348">
      <c r="A3348" s="56" t="s">
        <v>12834</v>
      </c>
      <c r="B3348" s="55"/>
      <c r="C3348" s="31"/>
    </row>
    <row r="3349">
      <c r="A3349" s="56" t="s">
        <v>12836</v>
      </c>
      <c r="B3349" s="55"/>
      <c r="C3349" s="31"/>
    </row>
    <row r="3350">
      <c r="A3350" s="56" t="s">
        <v>12837</v>
      </c>
      <c r="B3350" s="55"/>
      <c r="C3350" s="31"/>
    </row>
    <row r="3351">
      <c r="A3351" s="56" t="s">
        <v>12838</v>
      </c>
      <c r="B3351" s="55"/>
      <c r="C3351" s="31"/>
    </row>
    <row r="3352">
      <c r="A3352" s="56" t="s">
        <v>12839</v>
      </c>
      <c r="B3352" s="55"/>
      <c r="C3352" s="31"/>
    </row>
    <row r="3353">
      <c r="A3353" s="56" t="s">
        <v>12840</v>
      </c>
      <c r="B3353" s="55"/>
      <c r="C3353" s="31"/>
    </row>
    <row r="3354">
      <c r="A3354" s="56" t="s">
        <v>12841</v>
      </c>
      <c r="B3354" s="55"/>
      <c r="C3354" s="31"/>
    </row>
    <row r="3355">
      <c r="A3355" s="56" t="s">
        <v>12842</v>
      </c>
      <c r="B3355" s="55"/>
      <c r="C3355" s="31"/>
    </row>
    <row r="3356">
      <c r="A3356" s="56" t="s">
        <v>12844</v>
      </c>
      <c r="B3356" s="55"/>
      <c r="C3356" s="31"/>
    </row>
    <row r="3357">
      <c r="A3357" s="56" t="s">
        <v>12845</v>
      </c>
      <c r="B3357" s="55"/>
      <c r="C3357" s="31"/>
    </row>
    <row r="3358">
      <c r="A3358" s="56" t="s">
        <v>12846</v>
      </c>
      <c r="B3358" s="55"/>
      <c r="C3358" s="31"/>
    </row>
    <row r="3359">
      <c r="A3359" s="56" t="s">
        <v>12847</v>
      </c>
      <c r="B3359" s="55"/>
      <c r="C3359" s="31"/>
    </row>
    <row r="3360">
      <c r="A3360" s="56" t="s">
        <v>12848</v>
      </c>
      <c r="B3360" s="55"/>
      <c r="C3360" s="31"/>
    </row>
    <row r="3361">
      <c r="A3361" s="56" t="s">
        <v>12849</v>
      </c>
      <c r="B3361" s="55"/>
      <c r="C3361" s="31"/>
    </row>
    <row r="3362">
      <c r="A3362" s="56" t="s">
        <v>12851</v>
      </c>
      <c r="B3362" s="55"/>
      <c r="C3362" s="31"/>
    </row>
    <row r="3363">
      <c r="A3363" s="56" t="s">
        <v>12852</v>
      </c>
      <c r="B3363" s="55"/>
      <c r="C3363" s="31"/>
    </row>
    <row r="3364">
      <c r="A3364" s="56" t="s">
        <v>12854</v>
      </c>
      <c r="B3364" s="55"/>
      <c r="C3364" s="31"/>
    </row>
    <row r="3365">
      <c r="A3365" s="56" t="s">
        <v>12855</v>
      </c>
      <c r="B3365" s="55"/>
      <c r="C3365" s="31"/>
    </row>
    <row r="3366">
      <c r="A3366" s="56" t="s">
        <v>12856</v>
      </c>
      <c r="B3366" s="55"/>
      <c r="C3366" s="31"/>
    </row>
    <row r="3367">
      <c r="A3367" s="56" t="s">
        <v>12857</v>
      </c>
      <c r="B3367" s="55"/>
      <c r="C3367" s="31"/>
    </row>
    <row r="3368">
      <c r="A3368" s="56" t="s">
        <v>12858</v>
      </c>
      <c r="B3368" s="55"/>
      <c r="C3368" s="31"/>
    </row>
    <row r="3369">
      <c r="A3369" s="56" t="s">
        <v>12859</v>
      </c>
      <c r="B3369" s="55"/>
      <c r="C3369" s="31"/>
    </row>
    <row r="3370">
      <c r="A3370" s="56" t="s">
        <v>12860</v>
      </c>
      <c r="B3370" s="55"/>
      <c r="C3370" s="31"/>
    </row>
    <row r="3371">
      <c r="A3371" s="56" t="s">
        <v>12861</v>
      </c>
      <c r="B3371" s="55"/>
      <c r="C3371" s="31"/>
    </row>
    <row r="3372">
      <c r="A3372" s="56" t="s">
        <v>12863</v>
      </c>
      <c r="B3372" s="55"/>
      <c r="C3372" s="31"/>
    </row>
    <row r="3373">
      <c r="A3373" s="56" t="s">
        <v>12864</v>
      </c>
      <c r="B3373" s="55"/>
      <c r="C3373" s="31"/>
    </row>
    <row r="3374">
      <c r="A3374" s="56" t="s">
        <v>12866</v>
      </c>
      <c r="B3374" s="55"/>
      <c r="C3374" s="31"/>
    </row>
    <row r="3375">
      <c r="A3375" s="56" t="s">
        <v>12868</v>
      </c>
      <c r="B3375" s="55"/>
      <c r="C3375" s="31"/>
    </row>
    <row r="3376">
      <c r="A3376" s="56" t="s">
        <v>12869</v>
      </c>
      <c r="B3376" s="55"/>
      <c r="C3376" s="31"/>
    </row>
    <row r="3377">
      <c r="A3377" s="56" t="s">
        <v>12870</v>
      </c>
      <c r="B3377" s="55"/>
      <c r="C3377" s="31"/>
    </row>
    <row r="3378">
      <c r="A3378" s="56" t="s">
        <v>12871</v>
      </c>
      <c r="B3378" s="55"/>
      <c r="C3378" s="31"/>
    </row>
    <row r="3379">
      <c r="A3379" s="56" t="s">
        <v>12872</v>
      </c>
      <c r="B3379" s="55"/>
      <c r="C3379" s="31"/>
    </row>
    <row r="3380">
      <c r="A3380" s="56" t="s">
        <v>12875</v>
      </c>
      <c r="B3380" s="55"/>
      <c r="C3380" s="31"/>
    </row>
    <row r="3381">
      <c r="A3381" s="56" t="s">
        <v>12876</v>
      </c>
      <c r="B3381" s="55"/>
      <c r="C3381" s="31"/>
    </row>
    <row r="3382">
      <c r="A3382" s="56" t="s">
        <v>12877</v>
      </c>
      <c r="B3382" s="55"/>
      <c r="C3382" s="31"/>
    </row>
    <row r="3383">
      <c r="A3383" s="56" t="s">
        <v>12878</v>
      </c>
      <c r="B3383" s="55"/>
      <c r="C3383" s="31"/>
    </row>
    <row r="3384">
      <c r="A3384" s="56" t="s">
        <v>12879</v>
      </c>
      <c r="B3384" s="55"/>
      <c r="C3384" s="31"/>
    </row>
    <row r="3385">
      <c r="A3385" s="56" t="s">
        <v>12880</v>
      </c>
      <c r="B3385" s="55"/>
      <c r="C3385" s="31"/>
    </row>
    <row r="3386">
      <c r="A3386" s="56" t="s">
        <v>12881</v>
      </c>
      <c r="B3386" s="55"/>
      <c r="C3386" s="31"/>
    </row>
    <row r="3387">
      <c r="A3387" s="56" t="s">
        <v>12883</v>
      </c>
      <c r="B3387" s="55"/>
      <c r="C3387" s="31"/>
    </row>
    <row r="3388">
      <c r="A3388" s="56" t="s">
        <v>12885</v>
      </c>
      <c r="B3388" s="55"/>
      <c r="C3388" s="31"/>
    </row>
    <row r="3389">
      <c r="A3389" s="56" t="s">
        <v>12887</v>
      </c>
      <c r="B3389" s="55"/>
      <c r="C3389" s="31"/>
    </row>
    <row r="3390">
      <c r="A3390" s="56" t="s">
        <v>12888</v>
      </c>
      <c r="B3390" s="55"/>
      <c r="C3390" s="31"/>
    </row>
    <row r="3391">
      <c r="A3391" s="56" t="s">
        <v>12889</v>
      </c>
      <c r="B3391" s="55"/>
      <c r="C3391" s="31"/>
    </row>
    <row r="3392">
      <c r="A3392" s="56" t="s">
        <v>12890</v>
      </c>
      <c r="B3392" s="55"/>
      <c r="C3392" s="31"/>
    </row>
    <row r="3393">
      <c r="A3393" s="56" t="s">
        <v>12891</v>
      </c>
      <c r="B3393" s="55"/>
      <c r="C3393" s="31"/>
    </row>
    <row r="3394">
      <c r="A3394" s="56" t="s">
        <v>12892</v>
      </c>
      <c r="B3394" s="55"/>
      <c r="C3394" s="31"/>
    </row>
    <row r="3395">
      <c r="A3395" s="56" t="s">
        <v>12894</v>
      </c>
      <c r="B3395" s="55"/>
      <c r="C3395" s="31"/>
    </row>
    <row r="3396">
      <c r="A3396" s="56" t="s">
        <v>12895</v>
      </c>
      <c r="B3396" s="82"/>
      <c r="C3396" s="33" t="s">
        <v>12896</v>
      </c>
    </row>
    <row r="3397">
      <c r="A3397" s="56" t="s">
        <v>12897</v>
      </c>
      <c r="B3397" s="82"/>
      <c r="C3397" s="33" t="s">
        <v>12898</v>
      </c>
      <c r="E3397" s="46" t="s">
        <v>7616</v>
      </c>
    </row>
    <row r="3398">
      <c r="A3398" s="56" t="s">
        <v>12900</v>
      </c>
      <c r="B3398" s="82"/>
      <c r="C3398" s="33" t="s">
        <v>12898</v>
      </c>
      <c r="E3398" s="46" t="s">
        <v>7618</v>
      </c>
    </row>
    <row r="3399">
      <c r="A3399" s="56" t="s">
        <v>12901</v>
      </c>
      <c r="B3399" s="82"/>
      <c r="C3399" s="33" t="s">
        <v>12902</v>
      </c>
      <c r="E3399" s="46" t="s">
        <v>7616</v>
      </c>
    </row>
    <row r="3400">
      <c r="A3400" s="56" t="s">
        <v>12903</v>
      </c>
      <c r="B3400" s="82"/>
      <c r="C3400" s="33" t="s">
        <v>12902</v>
      </c>
      <c r="E3400" s="46" t="s">
        <v>7618</v>
      </c>
    </row>
    <row r="3401">
      <c r="A3401" s="56" t="s">
        <v>12905</v>
      </c>
      <c r="B3401" s="82"/>
      <c r="C3401" s="33" t="s">
        <v>12906</v>
      </c>
      <c r="E3401" s="46" t="s">
        <v>7616</v>
      </c>
    </row>
    <row r="3402">
      <c r="A3402" s="56" t="s">
        <v>12907</v>
      </c>
      <c r="B3402" s="82"/>
      <c r="C3402" s="33" t="s">
        <v>12906</v>
      </c>
      <c r="E3402" s="46" t="s">
        <v>7618</v>
      </c>
    </row>
    <row r="3403">
      <c r="A3403" s="56" t="s">
        <v>12908</v>
      </c>
      <c r="B3403" s="79"/>
      <c r="C3403" s="33" t="s">
        <v>12909</v>
      </c>
      <c r="E3403" s="46" t="s">
        <v>1348</v>
      </c>
    </row>
    <row r="3404">
      <c r="A3404" s="56" t="s">
        <v>12910</v>
      </c>
      <c r="B3404" s="79"/>
      <c r="C3404" s="33" t="s">
        <v>12909</v>
      </c>
      <c r="E3404" s="46" t="s">
        <v>1348</v>
      </c>
    </row>
    <row r="3405">
      <c r="A3405" s="56" t="s">
        <v>12911</v>
      </c>
      <c r="B3405" s="79"/>
      <c r="C3405" s="33" t="s">
        <v>12912</v>
      </c>
      <c r="E3405" s="46" t="s">
        <v>1348</v>
      </c>
    </row>
    <row r="3406">
      <c r="A3406" s="56" t="s">
        <v>12913</v>
      </c>
      <c r="B3406" s="21"/>
      <c r="C3406" s="33" t="s">
        <v>12914</v>
      </c>
      <c r="E3406" s="46" t="s">
        <v>7616</v>
      </c>
    </row>
    <row r="3407">
      <c r="A3407" s="56" t="s">
        <v>12916</v>
      </c>
      <c r="B3407" s="21"/>
      <c r="C3407" s="33" t="s">
        <v>12914</v>
      </c>
      <c r="E3407" s="46" t="s">
        <v>7618</v>
      </c>
    </row>
    <row r="3408">
      <c r="A3408" s="56" t="s">
        <v>12917</v>
      </c>
      <c r="B3408" s="21"/>
      <c r="C3408" s="33" t="s">
        <v>12918</v>
      </c>
      <c r="E3408" s="46" t="s">
        <v>7616</v>
      </c>
    </row>
    <row r="3409">
      <c r="A3409" s="56" t="s">
        <v>12919</v>
      </c>
      <c r="B3409" s="21"/>
      <c r="C3409" s="33" t="s">
        <v>12918</v>
      </c>
      <c r="E3409" s="46" t="s">
        <v>7618</v>
      </c>
    </row>
    <row r="3410">
      <c r="A3410" s="56" t="s">
        <v>12920</v>
      </c>
      <c r="B3410" s="21"/>
      <c r="C3410" s="33" t="s">
        <v>12921</v>
      </c>
      <c r="E3410" s="46" t="s">
        <v>7616</v>
      </c>
    </row>
    <row r="3411">
      <c r="A3411" s="56" t="s">
        <v>12922</v>
      </c>
      <c r="B3411" s="21"/>
      <c r="C3411" s="33" t="s">
        <v>12921</v>
      </c>
      <c r="E3411" s="46" t="s">
        <v>7618</v>
      </c>
    </row>
    <row r="3412">
      <c r="A3412" s="56" t="s">
        <v>12925</v>
      </c>
      <c r="B3412" s="21"/>
      <c r="C3412" s="33" t="s">
        <v>12914</v>
      </c>
      <c r="E3412" s="46" t="s">
        <v>7616</v>
      </c>
    </row>
    <row r="3413">
      <c r="A3413" s="56" t="s">
        <v>12927</v>
      </c>
      <c r="B3413" s="21"/>
      <c r="C3413" s="33" t="s">
        <v>12914</v>
      </c>
      <c r="E3413" s="46" t="s">
        <v>7618</v>
      </c>
    </row>
    <row r="3414">
      <c r="A3414" s="56" t="s">
        <v>12928</v>
      </c>
      <c r="B3414" s="21"/>
      <c r="C3414" s="33" t="s">
        <v>12918</v>
      </c>
      <c r="E3414" s="46" t="s">
        <v>7616</v>
      </c>
    </row>
    <row r="3415">
      <c r="A3415" s="56" t="s">
        <v>12929</v>
      </c>
      <c r="B3415" s="21"/>
      <c r="C3415" s="33" t="s">
        <v>12918</v>
      </c>
      <c r="E3415" s="46" t="s">
        <v>7618</v>
      </c>
    </row>
    <row r="3416">
      <c r="A3416" s="56" t="s">
        <v>12930</v>
      </c>
      <c r="B3416" s="21"/>
      <c r="C3416" s="33" t="s">
        <v>12921</v>
      </c>
      <c r="E3416" s="46" t="s">
        <v>7616</v>
      </c>
    </row>
    <row r="3417">
      <c r="A3417" s="56" t="s">
        <v>12931</v>
      </c>
      <c r="B3417" s="21"/>
      <c r="C3417" s="33" t="s">
        <v>12921</v>
      </c>
      <c r="E3417" s="46" t="s">
        <v>7618</v>
      </c>
    </row>
    <row r="3418">
      <c r="A3418" s="56" t="s">
        <v>12933</v>
      </c>
      <c r="B3418" s="21"/>
      <c r="C3418" s="33" t="s">
        <v>12934</v>
      </c>
      <c r="E3418" s="46" t="s">
        <v>7616</v>
      </c>
    </row>
    <row r="3419">
      <c r="A3419" s="56" t="s">
        <v>12936</v>
      </c>
      <c r="B3419" s="21"/>
      <c r="C3419" s="33" t="s">
        <v>12934</v>
      </c>
      <c r="E3419" s="46" t="s">
        <v>7618</v>
      </c>
    </row>
    <row r="3420">
      <c r="A3420" s="56" t="s">
        <v>12937</v>
      </c>
      <c r="B3420" s="21"/>
      <c r="C3420" s="33" t="s">
        <v>12938</v>
      </c>
      <c r="E3420" s="46" t="s">
        <v>7616</v>
      </c>
    </row>
    <row r="3421">
      <c r="A3421" s="56" t="s">
        <v>12940</v>
      </c>
      <c r="B3421" s="21"/>
      <c r="C3421" s="33" t="s">
        <v>12938</v>
      </c>
      <c r="E3421" s="46" t="s">
        <v>7618</v>
      </c>
    </row>
    <row r="3422">
      <c r="A3422" s="56" t="s">
        <v>12942</v>
      </c>
      <c r="B3422" s="21"/>
      <c r="C3422" s="33" t="s">
        <v>12943</v>
      </c>
      <c r="E3422" s="46" t="s">
        <v>7616</v>
      </c>
    </row>
    <row r="3423">
      <c r="A3423" s="56" t="s">
        <v>12944</v>
      </c>
      <c r="B3423" s="21"/>
      <c r="C3423" s="33" t="s">
        <v>12943</v>
      </c>
      <c r="E3423" s="46" t="s">
        <v>7618</v>
      </c>
    </row>
    <row r="3424">
      <c r="A3424" s="56" t="s">
        <v>12947</v>
      </c>
      <c r="B3424" s="21"/>
      <c r="C3424" s="33" t="s">
        <v>12934</v>
      </c>
      <c r="E3424" s="46" t="s">
        <v>7616</v>
      </c>
    </row>
    <row r="3425">
      <c r="A3425" s="56" t="s">
        <v>12948</v>
      </c>
      <c r="B3425" s="21"/>
      <c r="C3425" s="33" t="s">
        <v>12934</v>
      </c>
      <c r="E3425" s="46" t="s">
        <v>7618</v>
      </c>
    </row>
    <row r="3426">
      <c r="A3426" s="56" t="s">
        <v>12949</v>
      </c>
      <c r="B3426" s="21"/>
      <c r="C3426" s="33" t="s">
        <v>12938</v>
      </c>
      <c r="E3426" s="46" t="s">
        <v>7616</v>
      </c>
    </row>
    <row r="3427">
      <c r="A3427" s="56" t="s">
        <v>12950</v>
      </c>
      <c r="B3427" s="21"/>
      <c r="C3427" s="33" t="s">
        <v>12938</v>
      </c>
      <c r="E3427" s="46" t="s">
        <v>7618</v>
      </c>
    </row>
    <row r="3428">
      <c r="A3428" s="56" t="s">
        <v>12952</v>
      </c>
      <c r="B3428" s="21"/>
      <c r="C3428" s="33" t="s">
        <v>12943</v>
      </c>
      <c r="E3428" s="46" t="s">
        <v>7616</v>
      </c>
    </row>
    <row r="3429">
      <c r="A3429" s="56" t="s">
        <v>12954</v>
      </c>
      <c r="B3429" s="21"/>
      <c r="C3429" s="33" t="s">
        <v>12943</v>
      </c>
      <c r="E3429" s="46" t="s">
        <v>7618</v>
      </c>
    </row>
    <row r="3430">
      <c r="A3430" s="56" t="s">
        <v>12955</v>
      </c>
      <c r="B3430" s="55"/>
      <c r="C3430" s="31"/>
    </row>
    <row r="3431">
      <c r="A3431" s="56" t="s">
        <v>12958</v>
      </c>
      <c r="B3431" s="55"/>
      <c r="C3431" s="31"/>
    </row>
    <row r="3432">
      <c r="A3432" s="56" t="s">
        <v>12959</v>
      </c>
      <c r="B3432" s="55"/>
      <c r="C3432" s="31"/>
    </row>
    <row r="3433">
      <c r="A3433" s="56" t="s">
        <v>12960</v>
      </c>
      <c r="B3433" s="55"/>
      <c r="C3433" s="31"/>
    </row>
    <row r="3434">
      <c r="A3434" s="56" t="s">
        <v>12961</v>
      </c>
      <c r="B3434" s="55"/>
      <c r="C3434" s="31"/>
    </row>
    <row r="3435">
      <c r="A3435" s="56" t="s">
        <v>12962</v>
      </c>
      <c r="B3435" s="82"/>
      <c r="C3435" s="33" t="s">
        <v>12963</v>
      </c>
    </row>
    <row r="3436">
      <c r="A3436" s="56" t="s">
        <v>12964</v>
      </c>
      <c r="B3436" s="82"/>
      <c r="C3436" s="33" t="s">
        <v>11373</v>
      </c>
      <c r="E3436" s="46" t="s">
        <v>7616</v>
      </c>
    </row>
    <row r="3437">
      <c r="A3437" s="56" t="s">
        <v>12965</v>
      </c>
      <c r="B3437" s="82"/>
      <c r="C3437" s="33" t="s">
        <v>11373</v>
      </c>
      <c r="E3437" s="46" t="s">
        <v>7618</v>
      </c>
    </row>
    <row r="3438">
      <c r="A3438" s="56" t="s">
        <v>12966</v>
      </c>
      <c r="B3438" s="82"/>
      <c r="C3438" s="33" t="s">
        <v>11376</v>
      </c>
      <c r="E3438" s="46" t="s">
        <v>7616</v>
      </c>
    </row>
    <row r="3439">
      <c r="A3439" s="56" t="s">
        <v>12968</v>
      </c>
      <c r="B3439" s="82"/>
      <c r="C3439" s="33" t="s">
        <v>11376</v>
      </c>
      <c r="E3439" s="46" t="s">
        <v>7618</v>
      </c>
    </row>
    <row r="3440">
      <c r="A3440" s="56" t="s">
        <v>12970</v>
      </c>
      <c r="B3440" s="82"/>
      <c r="C3440" s="33" t="s">
        <v>11380</v>
      </c>
      <c r="E3440" s="46" t="s">
        <v>7616</v>
      </c>
    </row>
    <row r="3441">
      <c r="A3441" s="56" t="s">
        <v>12971</v>
      </c>
      <c r="B3441" s="82"/>
      <c r="C3441" s="33" t="s">
        <v>11380</v>
      </c>
      <c r="E3441" s="46" t="s">
        <v>7618</v>
      </c>
    </row>
    <row r="3442">
      <c r="A3442" s="56" t="s">
        <v>12972</v>
      </c>
      <c r="B3442" s="79"/>
      <c r="C3442" s="33" t="s">
        <v>11384</v>
      </c>
      <c r="E3442" s="46" t="s">
        <v>1348</v>
      </c>
    </row>
    <row r="3443">
      <c r="A3443" s="56" t="s">
        <v>12973</v>
      </c>
      <c r="B3443" s="79"/>
      <c r="C3443" s="33" t="s">
        <v>11384</v>
      </c>
      <c r="E3443" s="46" t="s">
        <v>1348</v>
      </c>
    </row>
    <row r="3444">
      <c r="A3444" s="56" t="s">
        <v>12975</v>
      </c>
      <c r="B3444" s="21"/>
      <c r="C3444" s="33" t="s">
        <v>11391</v>
      </c>
      <c r="E3444" s="46" t="s">
        <v>7616</v>
      </c>
    </row>
    <row r="3445">
      <c r="A3445" s="56" t="s">
        <v>12976</v>
      </c>
      <c r="B3445" s="21"/>
      <c r="C3445" s="33" t="s">
        <v>11391</v>
      </c>
      <c r="E3445" s="46" t="s">
        <v>7618</v>
      </c>
    </row>
    <row r="3446">
      <c r="A3446" s="56" t="s">
        <v>12977</v>
      </c>
      <c r="B3446" s="21"/>
      <c r="C3446" s="33" t="s">
        <v>11394</v>
      </c>
      <c r="E3446" s="46" t="s">
        <v>7616</v>
      </c>
    </row>
    <row r="3447">
      <c r="A3447" s="56" t="s">
        <v>12978</v>
      </c>
      <c r="B3447" s="21"/>
      <c r="C3447" s="33" t="s">
        <v>11394</v>
      </c>
      <c r="E3447" s="46" t="s">
        <v>7618</v>
      </c>
    </row>
    <row r="3448">
      <c r="A3448" s="56" t="s">
        <v>12979</v>
      </c>
      <c r="B3448" s="21"/>
      <c r="C3448" s="33" t="s">
        <v>11398</v>
      </c>
      <c r="E3448" s="46" t="s">
        <v>7616</v>
      </c>
    </row>
    <row r="3449">
      <c r="A3449" s="56" t="s">
        <v>12980</v>
      </c>
      <c r="B3449" s="21"/>
      <c r="C3449" s="33" t="s">
        <v>11398</v>
      </c>
      <c r="E3449" s="46" t="s">
        <v>7618</v>
      </c>
    </row>
    <row r="3450">
      <c r="A3450" s="56" t="s">
        <v>12982</v>
      </c>
      <c r="B3450" s="21"/>
      <c r="C3450" s="33" t="s">
        <v>11391</v>
      </c>
      <c r="E3450" s="46" t="s">
        <v>7616</v>
      </c>
    </row>
    <row r="3451">
      <c r="A3451" s="56" t="s">
        <v>12984</v>
      </c>
      <c r="B3451" s="21"/>
      <c r="C3451" s="33" t="s">
        <v>11391</v>
      </c>
      <c r="E3451" s="46" t="s">
        <v>7618</v>
      </c>
    </row>
    <row r="3452">
      <c r="A3452" s="56" t="s">
        <v>12985</v>
      </c>
      <c r="B3452" s="21"/>
      <c r="C3452" s="33" t="s">
        <v>11394</v>
      </c>
      <c r="E3452" s="46" t="s">
        <v>7616</v>
      </c>
    </row>
    <row r="3453">
      <c r="A3453" s="56" t="s">
        <v>12986</v>
      </c>
      <c r="B3453" s="21"/>
      <c r="C3453" s="33" t="s">
        <v>11394</v>
      </c>
      <c r="E3453" s="46" t="s">
        <v>7618</v>
      </c>
    </row>
    <row r="3454">
      <c r="A3454" s="56" t="s">
        <v>12987</v>
      </c>
      <c r="B3454" s="21"/>
      <c r="C3454" s="33" t="s">
        <v>11398</v>
      </c>
      <c r="E3454" s="46" t="s">
        <v>7616</v>
      </c>
    </row>
    <row r="3455">
      <c r="A3455" s="56" t="s">
        <v>12988</v>
      </c>
      <c r="B3455" s="21"/>
      <c r="C3455" s="33" t="s">
        <v>11398</v>
      </c>
      <c r="E3455" s="46" t="s">
        <v>7618</v>
      </c>
    </row>
    <row r="3456">
      <c r="A3456" s="56" t="s">
        <v>12990</v>
      </c>
      <c r="B3456" s="21"/>
      <c r="C3456" s="33" t="s">
        <v>11411</v>
      </c>
      <c r="E3456" s="46" t="s">
        <v>7616</v>
      </c>
    </row>
    <row r="3457">
      <c r="A3457" s="56" t="s">
        <v>12991</v>
      </c>
      <c r="B3457" s="21"/>
      <c r="C3457" s="33" t="s">
        <v>11411</v>
      </c>
      <c r="E3457" s="46" t="s">
        <v>7618</v>
      </c>
    </row>
    <row r="3458">
      <c r="A3458" s="56" t="s">
        <v>12992</v>
      </c>
      <c r="B3458" s="21"/>
      <c r="C3458" s="33" t="s">
        <v>11416</v>
      </c>
      <c r="E3458" s="46" t="s">
        <v>7616</v>
      </c>
    </row>
    <row r="3459">
      <c r="A3459" s="56" t="s">
        <v>12993</v>
      </c>
      <c r="B3459" s="21"/>
      <c r="C3459" s="33" t="s">
        <v>11416</v>
      </c>
      <c r="E3459" s="46" t="s">
        <v>7618</v>
      </c>
    </row>
    <row r="3460">
      <c r="A3460" s="56" t="s">
        <v>12994</v>
      </c>
      <c r="B3460" s="21"/>
      <c r="C3460" s="33" t="s">
        <v>11419</v>
      </c>
      <c r="E3460" s="46" t="s">
        <v>7616</v>
      </c>
    </row>
    <row r="3461">
      <c r="A3461" s="56" t="s">
        <v>12996</v>
      </c>
      <c r="B3461" s="21"/>
      <c r="C3461" s="33" t="s">
        <v>11419</v>
      </c>
      <c r="E3461" s="46" t="s">
        <v>7618</v>
      </c>
    </row>
    <row r="3462">
      <c r="A3462" s="56" t="s">
        <v>12999</v>
      </c>
      <c r="B3462" s="21"/>
      <c r="C3462" s="33" t="s">
        <v>11411</v>
      </c>
      <c r="E3462" s="46" t="s">
        <v>7616</v>
      </c>
    </row>
    <row r="3463">
      <c r="A3463" s="56" t="s">
        <v>13000</v>
      </c>
      <c r="B3463" s="21"/>
      <c r="C3463" s="33" t="s">
        <v>11411</v>
      </c>
      <c r="E3463" s="46" t="s">
        <v>7618</v>
      </c>
    </row>
    <row r="3464">
      <c r="A3464" s="56" t="s">
        <v>13001</v>
      </c>
      <c r="B3464" s="21"/>
      <c r="C3464" s="33" t="s">
        <v>11416</v>
      </c>
      <c r="E3464" s="46" t="s">
        <v>7616</v>
      </c>
    </row>
    <row r="3465">
      <c r="A3465" s="56" t="s">
        <v>13002</v>
      </c>
      <c r="B3465" s="21"/>
      <c r="C3465" s="33" t="s">
        <v>11416</v>
      </c>
      <c r="E3465" s="46" t="s">
        <v>7618</v>
      </c>
    </row>
    <row r="3466">
      <c r="A3466" s="56" t="s">
        <v>13004</v>
      </c>
      <c r="B3466" s="21"/>
      <c r="C3466" s="33" t="s">
        <v>11419</v>
      </c>
      <c r="E3466" s="46" t="s">
        <v>7616</v>
      </c>
    </row>
    <row r="3467">
      <c r="A3467" s="56" t="s">
        <v>13006</v>
      </c>
      <c r="B3467" s="21"/>
      <c r="C3467" s="33" t="s">
        <v>11419</v>
      </c>
      <c r="E3467" s="46" t="s">
        <v>7618</v>
      </c>
    </row>
    <row r="3468">
      <c r="A3468" s="56" t="s">
        <v>13007</v>
      </c>
      <c r="B3468" s="84"/>
      <c r="C3468" s="31"/>
      <c r="E3468" s="46" t="s">
        <v>3366</v>
      </c>
    </row>
    <row r="3469">
      <c r="A3469" s="56" t="s">
        <v>13008</v>
      </c>
      <c r="B3469" s="82"/>
      <c r="C3469" s="33" t="s">
        <v>13009</v>
      </c>
      <c r="F3469" s="46" t="s">
        <v>13010</v>
      </c>
    </row>
    <row r="3470">
      <c r="A3470" s="56" t="s">
        <v>13011</v>
      </c>
      <c r="B3470" s="82"/>
      <c r="C3470" s="33" t="s">
        <v>11373</v>
      </c>
      <c r="E3470" s="46" t="s">
        <v>7616</v>
      </c>
    </row>
    <row r="3471">
      <c r="A3471" s="56" t="s">
        <v>13013</v>
      </c>
      <c r="B3471" s="82"/>
      <c r="C3471" s="33" t="s">
        <v>11373</v>
      </c>
      <c r="E3471" s="46" t="s">
        <v>7618</v>
      </c>
    </row>
    <row r="3472">
      <c r="A3472" s="56" t="s">
        <v>13015</v>
      </c>
      <c r="B3472" s="82"/>
      <c r="C3472" s="33" t="s">
        <v>11376</v>
      </c>
      <c r="E3472" s="46" t="s">
        <v>7616</v>
      </c>
    </row>
    <row r="3473">
      <c r="A3473" s="56" t="s">
        <v>13017</v>
      </c>
      <c r="B3473" s="82"/>
      <c r="C3473" s="33" t="s">
        <v>11376</v>
      </c>
      <c r="E3473" s="46" t="s">
        <v>7618</v>
      </c>
    </row>
    <row r="3474">
      <c r="A3474" s="56" t="s">
        <v>13018</v>
      </c>
      <c r="B3474" s="82"/>
      <c r="C3474" s="33" t="s">
        <v>11380</v>
      </c>
      <c r="E3474" s="46" t="s">
        <v>7616</v>
      </c>
    </row>
    <row r="3475">
      <c r="A3475" s="56" t="s">
        <v>13019</v>
      </c>
      <c r="B3475" s="82"/>
      <c r="C3475" s="33" t="s">
        <v>11380</v>
      </c>
      <c r="E3475" s="46" t="s">
        <v>7618</v>
      </c>
    </row>
    <row r="3476">
      <c r="A3476" s="56" t="s">
        <v>13021</v>
      </c>
      <c r="B3476" s="79"/>
      <c r="C3476" s="33" t="s">
        <v>11384</v>
      </c>
      <c r="E3476" s="46" t="s">
        <v>1348</v>
      </c>
    </row>
    <row r="3477">
      <c r="A3477" s="56" t="s">
        <v>13022</v>
      </c>
      <c r="B3477" s="79"/>
      <c r="C3477" s="33" t="s">
        <v>11384</v>
      </c>
      <c r="E3477" s="46" t="s">
        <v>1348</v>
      </c>
    </row>
    <row r="3478">
      <c r="A3478" s="56" t="s">
        <v>13024</v>
      </c>
      <c r="B3478" s="21"/>
      <c r="C3478" s="33" t="s">
        <v>11391</v>
      </c>
      <c r="E3478" s="46" t="s">
        <v>7616</v>
      </c>
    </row>
    <row r="3479">
      <c r="A3479" s="56" t="s">
        <v>13026</v>
      </c>
      <c r="B3479" s="21"/>
      <c r="C3479" s="33" t="s">
        <v>11391</v>
      </c>
      <c r="E3479" s="46" t="s">
        <v>7618</v>
      </c>
    </row>
    <row r="3480">
      <c r="A3480" s="56" t="s">
        <v>13027</v>
      </c>
      <c r="B3480" s="21"/>
      <c r="C3480" s="33" t="s">
        <v>11394</v>
      </c>
      <c r="E3480" s="46" t="s">
        <v>7616</v>
      </c>
    </row>
    <row r="3481">
      <c r="A3481" s="56" t="s">
        <v>13028</v>
      </c>
      <c r="B3481" s="21"/>
      <c r="C3481" s="33" t="s">
        <v>11394</v>
      </c>
      <c r="E3481" s="46" t="s">
        <v>7618</v>
      </c>
    </row>
    <row r="3482">
      <c r="A3482" s="56" t="s">
        <v>13030</v>
      </c>
      <c r="B3482" s="21"/>
      <c r="C3482" s="33" t="s">
        <v>11398</v>
      </c>
      <c r="E3482" s="46" t="s">
        <v>7616</v>
      </c>
    </row>
    <row r="3483">
      <c r="A3483" s="56" t="s">
        <v>13031</v>
      </c>
      <c r="B3483" s="21"/>
      <c r="C3483" s="33" t="s">
        <v>11398</v>
      </c>
      <c r="E3483" s="46" t="s">
        <v>7618</v>
      </c>
    </row>
    <row r="3484">
      <c r="A3484" s="56" t="s">
        <v>13033</v>
      </c>
      <c r="B3484" s="21"/>
      <c r="C3484" s="33" t="s">
        <v>11391</v>
      </c>
      <c r="E3484" s="46" t="s">
        <v>7616</v>
      </c>
    </row>
    <row r="3485">
      <c r="A3485" s="56" t="s">
        <v>13034</v>
      </c>
      <c r="B3485" s="21"/>
      <c r="C3485" s="33" t="s">
        <v>11391</v>
      </c>
      <c r="E3485" s="46" t="s">
        <v>7618</v>
      </c>
    </row>
    <row r="3486">
      <c r="A3486" s="56" t="s">
        <v>13035</v>
      </c>
      <c r="B3486" s="21"/>
      <c r="C3486" s="33" t="s">
        <v>11394</v>
      </c>
      <c r="E3486" s="46" t="s">
        <v>7616</v>
      </c>
    </row>
    <row r="3487">
      <c r="A3487" s="56" t="s">
        <v>13036</v>
      </c>
      <c r="B3487" s="21"/>
      <c r="C3487" s="33" t="s">
        <v>11394</v>
      </c>
      <c r="E3487" s="46" t="s">
        <v>7618</v>
      </c>
    </row>
    <row r="3488">
      <c r="A3488" s="56" t="s">
        <v>13037</v>
      </c>
      <c r="B3488" s="21"/>
      <c r="C3488" s="33" t="s">
        <v>11398</v>
      </c>
      <c r="E3488" s="46" t="s">
        <v>7616</v>
      </c>
    </row>
    <row r="3489">
      <c r="A3489" s="56" t="s">
        <v>13038</v>
      </c>
      <c r="B3489" s="21"/>
      <c r="C3489" s="33" t="s">
        <v>11398</v>
      </c>
      <c r="E3489" s="46" t="s">
        <v>7618</v>
      </c>
    </row>
    <row r="3490">
      <c r="A3490" s="56" t="s">
        <v>13039</v>
      </c>
      <c r="B3490" s="21"/>
      <c r="C3490" s="33" t="s">
        <v>11411</v>
      </c>
      <c r="E3490" s="46" t="s">
        <v>7616</v>
      </c>
    </row>
    <row r="3491">
      <c r="A3491" s="56" t="s">
        <v>13041</v>
      </c>
      <c r="B3491" s="21"/>
      <c r="C3491" s="33" t="s">
        <v>11411</v>
      </c>
      <c r="E3491" s="46" t="s">
        <v>7618</v>
      </c>
    </row>
    <row r="3492">
      <c r="A3492" s="56" t="s">
        <v>13042</v>
      </c>
      <c r="B3492" s="21"/>
      <c r="C3492" s="33" t="s">
        <v>11416</v>
      </c>
      <c r="E3492" s="46" t="s">
        <v>7616</v>
      </c>
    </row>
    <row r="3493">
      <c r="A3493" s="56" t="s">
        <v>13044</v>
      </c>
      <c r="B3493" s="21"/>
      <c r="C3493" s="33" t="s">
        <v>11416</v>
      </c>
      <c r="E3493" s="46" t="s">
        <v>7618</v>
      </c>
    </row>
    <row r="3494">
      <c r="A3494" s="56" t="s">
        <v>13045</v>
      </c>
      <c r="B3494" s="21"/>
      <c r="C3494" s="33" t="s">
        <v>11419</v>
      </c>
      <c r="E3494" s="46" t="s">
        <v>7616</v>
      </c>
    </row>
    <row r="3495">
      <c r="A3495" s="56" t="s">
        <v>13046</v>
      </c>
      <c r="B3495" s="21"/>
      <c r="C3495" s="33" t="s">
        <v>11419</v>
      </c>
      <c r="E3495" s="46" t="s">
        <v>7618</v>
      </c>
    </row>
    <row r="3496">
      <c r="A3496" s="56" t="s">
        <v>13047</v>
      </c>
      <c r="B3496" s="21"/>
      <c r="C3496" s="33" t="s">
        <v>11411</v>
      </c>
      <c r="E3496" s="46" t="s">
        <v>7616</v>
      </c>
    </row>
    <row r="3497">
      <c r="A3497" s="56" t="s">
        <v>13049</v>
      </c>
      <c r="B3497" s="21"/>
      <c r="C3497" s="33" t="s">
        <v>11411</v>
      </c>
      <c r="E3497" s="46" t="s">
        <v>7618</v>
      </c>
    </row>
    <row r="3498">
      <c r="A3498" s="56" t="s">
        <v>13050</v>
      </c>
      <c r="B3498" s="21"/>
      <c r="C3498" s="33" t="s">
        <v>11416</v>
      </c>
      <c r="E3498" s="46" t="s">
        <v>7616</v>
      </c>
    </row>
    <row r="3499">
      <c r="A3499" s="56" t="s">
        <v>13051</v>
      </c>
      <c r="B3499" s="21"/>
      <c r="C3499" s="33" t="s">
        <v>11416</v>
      </c>
      <c r="E3499" s="46" t="s">
        <v>7618</v>
      </c>
    </row>
    <row r="3500">
      <c r="A3500" s="56" t="s">
        <v>13052</v>
      </c>
      <c r="B3500" s="21"/>
      <c r="C3500" s="33" t="s">
        <v>11419</v>
      </c>
      <c r="E3500" s="46" t="s">
        <v>7616</v>
      </c>
    </row>
    <row r="3501">
      <c r="A3501" s="56" t="s">
        <v>13053</v>
      </c>
      <c r="B3501" s="21"/>
      <c r="C3501" s="33" t="s">
        <v>11419</v>
      </c>
      <c r="E3501" s="46" t="s">
        <v>7618</v>
      </c>
    </row>
    <row r="3502">
      <c r="A3502" s="56" t="s">
        <v>13055</v>
      </c>
      <c r="B3502" s="84"/>
      <c r="C3502" s="31"/>
      <c r="E3502" s="46" t="s">
        <v>3366</v>
      </c>
    </row>
    <row r="3503">
      <c r="A3503" s="56" t="s">
        <v>13057</v>
      </c>
      <c r="B3503" s="55"/>
      <c r="C3503" s="31"/>
    </row>
    <row r="3504">
      <c r="A3504" s="56" t="s">
        <v>13058</v>
      </c>
      <c r="B3504" s="82"/>
      <c r="C3504" s="33" t="s">
        <v>13059</v>
      </c>
    </row>
    <row r="3505">
      <c r="A3505" s="56" t="s">
        <v>13060</v>
      </c>
      <c r="B3505" s="55"/>
      <c r="C3505" s="31"/>
    </row>
    <row r="3506">
      <c r="A3506" s="56" t="s">
        <v>13061</v>
      </c>
      <c r="B3506" s="55"/>
      <c r="C3506" s="31"/>
    </row>
    <row r="3507">
      <c r="A3507" s="56" t="s">
        <v>13063</v>
      </c>
      <c r="B3507" s="55"/>
      <c r="C3507" s="31"/>
    </row>
    <row r="3508">
      <c r="A3508" s="56" t="s">
        <v>13064</v>
      </c>
      <c r="B3508" s="55"/>
      <c r="C3508" s="31"/>
    </row>
    <row r="3509">
      <c r="A3509" s="56" t="s">
        <v>13065</v>
      </c>
      <c r="B3509" s="55"/>
      <c r="C3509" s="31"/>
    </row>
    <row r="3510">
      <c r="A3510" s="56" t="s">
        <v>13066</v>
      </c>
      <c r="B3510" s="55"/>
      <c r="C3510" s="31"/>
    </row>
    <row r="3511">
      <c r="A3511" s="56" t="s">
        <v>13067</v>
      </c>
      <c r="B3511" s="55"/>
      <c r="C3511" s="31"/>
    </row>
    <row r="3512">
      <c r="A3512" s="56" t="s">
        <v>13068</v>
      </c>
      <c r="B3512" s="55"/>
      <c r="C3512" s="31"/>
    </row>
    <row r="3513">
      <c r="A3513" s="56" t="s">
        <v>13069</v>
      </c>
      <c r="B3513" s="55"/>
      <c r="C3513" s="31"/>
    </row>
    <row r="3514">
      <c r="A3514" s="56" t="s">
        <v>13070</v>
      </c>
      <c r="B3514" s="55"/>
      <c r="C3514" s="31"/>
    </row>
    <row r="3515">
      <c r="A3515" s="56" t="s">
        <v>13073</v>
      </c>
      <c r="B3515" s="55"/>
      <c r="C3515" s="31"/>
    </row>
    <row r="3516">
      <c r="A3516" s="56" t="s">
        <v>13074</v>
      </c>
      <c r="B3516" s="55"/>
      <c r="C3516" s="31"/>
    </row>
    <row r="3517">
      <c r="A3517" s="56" t="s">
        <v>13075</v>
      </c>
      <c r="B3517" s="55"/>
      <c r="C3517" s="31"/>
    </row>
    <row r="3518">
      <c r="A3518" s="56" t="s">
        <v>13076</v>
      </c>
      <c r="B3518" s="55"/>
      <c r="C3518" s="31"/>
    </row>
    <row r="3519">
      <c r="A3519" s="56" t="s">
        <v>13077</v>
      </c>
      <c r="B3519" s="55"/>
      <c r="C3519" s="31"/>
    </row>
    <row r="3520">
      <c r="A3520" s="56" t="s">
        <v>13078</v>
      </c>
      <c r="B3520" s="55"/>
      <c r="C3520" s="31"/>
    </row>
    <row r="3521">
      <c r="A3521" s="56" t="s">
        <v>13079</v>
      </c>
      <c r="B3521" s="55"/>
      <c r="C3521" s="31"/>
    </row>
    <row r="3522">
      <c r="A3522" s="56" t="s">
        <v>13080</v>
      </c>
      <c r="B3522" s="55"/>
      <c r="C3522" s="31"/>
    </row>
    <row r="3523">
      <c r="A3523" s="56" t="s">
        <v>13081</v>
      </c>
      <c r="B3523" s="55"/>
      <c r="C3523" s="31"/>
    </row>
    <row r="3524">
      <c r="A3524" s="56" t="s">
        <v>13082</v>
      </c>
      <c r="B3524" s="55"/>
      <c r="C3524" s="31"/>
    </row>
    <row r="3525">
      <c r="A3525" s="56" t="s">
        <v>13083</v>
      </c>
      <c r="B3525" s="55"/>
      <c r="C3525" s="31"/>
    </row>
    <row r="3526">
      <c r="A3526" s="56" t="s">
        <v>13084</v>
      </c>
      <c r="B3526" s="55"/>
      <c r="C3526" s="31"/>
    </row>
    <row r="3527">
      <c r="A3527" s="56" t="s">
        <v>13086</v>
      </c>
      <c r="B3527" s="55"/>
      <c r="C3527" s="31"/>
    </row>
    <row r="3528">
      <c r="A3528" s="56" t="s">
        <v>13087</v>
      </c>
      <c r="B3528" s="55"/>
      <c r="C3528" s="31"/>
    </row>
    <row r="3529">
      <c r="A3529" s="56" t="s">
        <v>13090</v>
      </c>
      <c r="B3529" s="55"/>
      <c r="C3529" s="31"/>
    </row>
    <row r="3530">
      <c r="A3530" s="56" t="s">
        <v>13091</v>
      </c>
      <c r="B3530" s="55"/>
      <c r="C3530" s="31"/>
    </row>
    <row r="3531">
      <c r="A3531" s="56" t="s">
        <v>13092</v>
      </c>
      <c r="B3531" s="55"/>
      <c r="C3531" s="31"/>
    </row>
    <row r="3532">
      <c r="A3532" s="56" t="s">
        <v>13093</v>
      </c>
      <c r="B3532" s="55"/>
      <c r="C3532" s="31"/>
    </row>
    <row r="3533">
      <c r="A3533" s="56" t="s">
        <v>13094</v>
      </c>
      <c r="B3533" s="55"/>
      <c r="C3533" s="31"/>
    </row>
    <row r="3534">
      <c r="A3534" s="56" t="s">
        <v>13095</v>
      </c>
      <c r="B3534" s="55"/>
      <c r="C3534" s="31"/>
    </row>
    <row r="3535">
      <c r="A3535" s="56" t="s">
        <v>13096</v>
      </c>
      <c r="B3535" s="55"/>
      <c r="C3535" s="31"/>
    </row>
    <row r="3536">
      <c r="A3536" s="56" t="s">
        <v>13098</v>
      </c>
      <c r="B3536" s="55"/>
      <c r="C3536" s="31"/>
    </row>
    <row r="3537">
      <c r="A3537" s="56" t="s">
        <v>13100</v>
      </c>
      <c r="B3537" s="55"/>
      <c r="C3537" s="31"/>
    </row>
    <row r="3538">
      <c r="A3538" s="56" t="s">
        <v>13101</v>
      </c>
      <c r="B3538" s="55"/>
      <c r="C3538" s="31"/>
    </row>
    <row r="3539">
      <c r="A3539" s="56" t="s">
        <v>13102</v>
      </c>
      <c r="B3539" s="55"/>
      <c r="C3539" s="31"/>
    </row>
    <row r="3540">
      <c r="A3540" s="56" t="s">
        <v>13103</v>
      </c>
      <c r="B3540" s="82"/>
      <c r="C3540" s="33" t="s">
        <v>13104</v>
      </c>
    </row>
    <row r="3541">
      <c r="A3541" s="56" t="s">
        <v>13105</v>
      </c>
      <c r="B3541" s="82"/>
      <c r="C3541" s="33" t="s">
        <v>11373</v>
      </c>
      <c r="E3541" s="46" t="s">
        <v>7616</v>
      </c>
    </row>
    <row r="3542">
      <c r="A3542" s="56" t="s">
        <v>13106</v>
      </c>
      <c r="B3542" s="82"/>
      <c r="C3542" s="33" t="s">
        <v>11373</v>
      </c>
      <c r="E3542" s="46" t="s">
        <v>7618</v>
      </c>
    </row>
    <row r="3543">
      <c r="A3543" s="56" t="s">
        <v>13109</v>
      </c>
      <c r="B3543" s="82"/>
      <c r="C3543" s="33" t="s">
        <v>11376</v>
      </c>
      <c r="E3543" s="46" t="s">
        <v>7616</v>
      </c>
    </row>
    <row r="3544">
      <c r="A3544" s="56" t="s">
        <v>13110</v>
      </c>
      <c r="B3544" s="82"/>
      <c r="C3544" s="33" t="s">
        <v>11376</v>
      </c>
      <c r="E3544" s="46" t="s">
        <v>7618</v>
      </c>
    </row>
    <row r="3545">
      <c r="A3545" s="56" t="s">
        <v>13111</v>
      </c>
      <c r="B3545" s="82"/>
      <c r="C3545" s="33" t="s">
        <v>11380</v>
      </c>
      <c r="E3545" s="46" t="s">
        <v>7616</v>
      </c>
    </row>
    <row r="3546">
      <c r="A3546" s="56" t="s">
        <v>13112</v>
      </c>
      <c r="B3546" s="82"/>
      <c r="C3546" s="33" t="s">
        <v>11380</v>
      </c>
      <c r="E3546" s="46" t="s">
        <v>7618</v>
      </c>
    </row>
    <row r="3547">
      <c r="A3547" s="56" t="s">
        <v>13114</v>
      </c>
      <c r="B3547" s="79"/>
      <c r="C3547" s="33" t="s">
        <v>11384</v>
      </c>
      <c r="E3547" s="46" t="s">
        <v>1348</v>
      </c>
    </row>
    <row r="3548">
      <c r="A3548" s="56" t="s">
        <v>13116</v>
      </c>
      <c r="B3548" s="79"/>
      <c r="C3548" s="33" t="s">
        <v>11384</v>
      </c>
      <c r="E3548" s="46" t="s">
        <v>1348</v>
      </c>
    </row>
    <row r="3549">
      <c r="A3549" s="56" t="s">
        <v>13117</v>
      </c>
      <c r="B3549" s="79"/>
      <c r="C3549" s="33" t="s">
        <v>11389</v>
      </c>
      <c r="E3549" s="46" t="s">
        <v>1348</v>
      </c>
    </row>
    <row r="3550">
      <c r="A3550" s="56" t="s">
        <v>13118</v>
      </c>
      <c r="B3550" s="21"/>
      <c r="C3550" s="33" t="s">
        <v>11391</v>
      </c>
      <c r="E3550" s="46" t="s">
        <v>7616</v>
      </c>
    </row>
    <row r="3551">
      <c r="A3551" s="56" t="s">
        <v>13119</v>
      </c>
      <c r="B3551" s="21"/>
      <c r="C3551" s="33" t="s">
        <v>11391</v>
      </c>
      <c r="E3551" s="46" t="s">
        <v>7618</v>
      </c>
    </row>
    <row r="3552">
      <c r="A3552" s="56" t="s">
        <v>13120</v>
      </c>
      <c r="B3552" s="21"/>
      <c r="C3552" s="33" t="s">
        <v>11394</v>
      </c>
      <c r="E3552" s="46" t="s">
        <v>7616</v>
      </c>
    </row>
    <row r="3553">
      <c r="A3553" s="56" t="s">
        <v>13121</v>
      </c>
      <c r="B3553" s="21"/>
      <c r="C3553" s="33" t="s">
        <v>11394</v>
      </c>
      <c r="E3553" s="46" t="s">
        <v>7618</v>
      </c>
    </row>
    <row r="3554">
      <c r="A3554" s="56" t="s">
        <v>13122</v>
      </c>
      <c r="B3554" s="21"/>
      <c r="C3554" s="33" t="s">
        <v>11398</v>
      </c>
      <c r="E3554" s="46" t="s">
        <v>7616</v>
      </c>
    </row>
    <row r="3555">
      <c r="A3555" s="56" t="s">
        <v>13123</v>
      </c>
      <c r="B3555" s="21"/>
      <c r="C3555" s="33" t="s">
        <v>11398</v>
      </c>
      <c r="E3555" s="46" t="s">
        <v>7618</v>
      </c>
    </row>
    <row r="3556">
      <c r="A3556" s="56" t="s">
        <v>13126</v>
      </c>
      <c r="B3556" s="21"/>
      <c r="C3556" s="33" t="s">
        <v>11391</v>
      </c>
      <c r="E3556" s="46" t="s">
        <v>7616</v>
      </c>
    </row>
    <row r="3557">
      <c r="A3557" s="56" t="s">
        <v>13127</v>
      </c>
      <c r="B3557" s="21"/>
      <c r="C3557" s="33" t="s">
        <v>11391</v>
      </c>
      <c r="E3557" s="46" t="s">
        <v>7618</v>
      </c>
    </row>
    <row r="3558">
      <c r="A3558" s="56" t="s">
        <v>13128</v>
      </c>
      <c r="B3558" s="21"/>
      <c r="C3558" s="33" t="s">
        <v>11394</v>
      </c>
      <c r="E3558" s="46" t="s">
        <v>7616</v>
      </c>
    </row>
    <row r="3559">
      <c r="A3559" s="56" t="s">
        <v>13129</v>
      </c>
      <c r="B3559" s="21"/>
      <c r="C3559" s="33" t="s">
        <v>11394</v>
      </c>
      <c r="E3559" s="46" t="s">
        <v>7618</v>
      </c>
    </row>
    <row r="3560">
      <c r="A3560" s="56" t="s">
        <v>13130</v>
      </c>
      <c r="B3560" s="21"/>
      <c r="C3560" s="33" t="s">
        <v>11398</v>
      </c>
      <c r="E3560" s="46" t="s">
        <v>7616</v>
      </c>
    </row>
    <row r="3561">
      <c r="A3561" s="56" t="s">
        <v>13131</v>
      </c>
      <c r="B3561" s="21"/>
      <c r="C3561" s="33" t="s">
        <v>11398</v>
      </c>
      <c r="E3561" s="46" t="s">
        <v>7618</v>
      </c>
    </row>
    <row r="3562">
      <c r="A3562" s="56" t="s">
        <v>13132</v>
      </c>
      <c r="B3562" s="21"/>
      <c r="C3562" s="33" t="s">
        <v>11411</v>
      </c>
      <c r="E3562" s="46" t="s">
        <v>7616</v>
      </c>
    </row>
    <row r="3563">
      <c r="A3563" s="56" t="s">
        <v>13134</v>
      </c>
      <c r="B3563" s="21"/>
      <c r="C3563" s="33" t="s">
        <v>11411</v>
      </c>
      <c r="E3563" s="46" t="s">
        <v>7618</v>
      </c>
    </row>
    <row r="3564">
      <c r="A3564" s="56" t="s">
        <v>13135</v>
      </c>
      <c r="B3564" s="21"/>
      <c r="C3564" s="33" t="s">
        <v>11416</v>
      </c>
      <c r="E3564" s="46" t="s">
        <v>7616</v>
      </c>
    </row>
    <row r="3565">
      <c r="A3565" s="56" t="s">
        <v>13136</v>
      </c>
      <c r="B3565" s="21"/>
      <c r="C3565" s="33" t="s">
        <v>11416</v>
      </c>
      <c r="E3565" s="46" t="s">
        <v>7618</v>
      </c>
    </row>
    <row r="3566">
      <c r="A3566" s="56" t="s">
        <v>13137</v>
      </c>
      <c r="B3566" s="21"/>
      <c r="C3566" s="33" t="s">
        <v>11419</v>
      </c>
      <c r="E3566" s="46" t="s">
        <v>7616</v>
      </c>
    </row>
    <row r="3567">
      <c r="A3567" s="56" t="s">
        <v>13138</v>
      </c>
      <c r="B3567" s="21"/>
      <c r="C3567" s="33" t="s">
        <v>11419</v>
      </c>
      <c r="E3567" s="46" t="s">
        <v>7618</v>
      </c>
    </row>
    <row r="3568">
      <c r="A3568" s="56" t="s">
        <v>13139</v>
      </c>
      <c r="B3568" s="21"/>
      <c r="C3568" s="33" t="s">
        <v>11411</v>
      </c>
      <c r="E3568" s="46" t="s">
        <v>7616</v>
      </c>
    </row>
    <row r="3569">
      <c r="A3569" s="56" t="s">
        <v>13140</v>
      </c>
      <c r="B3569" s="21"/>
      <c r="C3569" s="33" t="s">
        <v>11411</v>
      </c>
      <c r="E3569" s="46" t="s">
        <v>7618</v>
      </c>
    </row>
    <row r="3570">
      <c r="A3570" s="56" t="s">
        <v>13143</v>
      </c>
      <c r="B3570" s="21"/>
      <c r="C3570" s="33" t="s">
        <v>11416</v>
      </c>
      <c r="E3570" s="46" t="s">
        <v>7616</v>
      </c>
    </row>
    <row r="3571">
      <c r="A3571" s="56" t="s">
        <v>13144</v>
      </c>
      <c r="B3571" s="21"/>
      <c r="C3571" s="33" t="s">
        <v>11416</v>
      </c>
      <c r="E3571" s="46" t="s">
        <v>7618</v>
      </c>
    </row>
    <row r="3572">
      <c r="A3572" s="56" t="s">
        <v>13146</v>
      </c>
      <c r="B3572" s="21"/>
      <c r="C3572" s="33" t="s">
        <v>11419</v>
      </c>
      <c r="E3572" s="46" t="s">
        <v>7616</v>
      </c>
    </row>
    <row r="3573">
      <c r="A3573" s="56" t="s">
        <v>13147</v>
      </c>
      <c r="B3573" s="21"/>
      <c r="C3573" s="33" t="s">
        <v>11419</v>
      </c>
      <c r="E3573" s="46" t="s">
        <v>7618</v>
      </c>
    </row>
    <row r="3574">
      <c r="A3574" s="56" t="s">
        <v>13148</v>
      </c>
      <c r="B3574" s="55"/>
      <c r="C3574" s="31"/>
    </row>
    <row r="3575">
      <c r="A3575" s="56" t="s">
        <v>13149</v>
      </c>
      <c r="B3575" s="82"/>
      <c r="C3575" s="33" t="s">
        <v>13150</v>
      </c>
    </row>
    <row r="3576">
      <c r="A3576" s="56" t="s">
        <v>13151</v>
      </c>
      <c r="B3576" s="82"/>
      <c r="C3576" s="33" t="s">
        <v>11373</v>
      </c>
      <c r="E3576" s="46" t="s">
        <v>7616</v>
      </c>
    </row>
    <row r="3577">
      <c r="A3577" s="56" t="s">
        <v>13153</v>
      </c>
      <c r="B3577" s="82"/>
      <c r="C3577" s="33" t="s">
        <v>11373</v>
      </c>
      <c r="E3577" s="46" t="s">
        <v>7618</v>
      </c>
    </row>
    <row r="3578">
      <c r="A3578" s="56" t="s">
        <v>13154</v>
      </c>
      <c r="B3578" s="82"/>
      <c r="C3578" s="33" t="s">
        <v>11376</v>
      </c>
      <c r="E3578" s="46" t="s">
        <v>7616</v>
      </c>
    </row>
    <row r="3579">
      <c r="A3579" s="56" t="s">
        <v>13156</v>
      </c>
      <c r="B3579" s="82"/>
      <c r="C3579" s="33" t="s">
        <v>11376</v>
      </c>
      <c r="E3579" s="46" t="s">
        <v>7618</v>
      </c>
    </row>
    <row r="3580">
      <c r="A3580" s="56" t="s">
        <v>13157</v>
      </c>
      <c r="B3580" s="82"/>
      <c r="C3580" s="33" t="s">
        <v>11380</v>
      </c>
      <c r="E3580" s="46" t="s">
        <v>7616</v>
      </c>
    </row>
    <row r="3581">
      <c r="A3581" s="56" t="s">
        <v>13158</v>
      </c>
      <c r="B3581" s="82"/>
      <c r="C3581" s="33" t="s">
        <v>11380</v>
      </c>
      <c r="E3581" s="46" t="s">
        <v>7618</v>
      </c>
    </row>
    <row r="3582">
      <c r="A3582" s="56" t="s">
        <v>13159</v>
      </c>
      <c r="B3582" s="79"/>
      <c r="C3582" s="33" t="s">
        <v>11384</v>
      </c>
      <c r="E3582" s="46" t="s">
        <v>1348</v>
      </c>
    </row>
    <row r="3583">
      <c r="A3583" s="56" t="s">
        <v>13160</v>
      </c>
      <c r="B3583" s="79"/>
      <c r="C3583" s="33" t="s">
        <v>11384</v>
      </c>
      <c r="E3583" s="46" t="s">
        <v>1348</v>
      </c>
    </row>
    <row r="3584">
      <c r="A3584" s="56" t="s">
        <v>13161</v>
      </c>
      <c r="B3584" s="79"/>
      <c r="C3584" s="33" t="s">
        <v>11389</v>
      </c>
      <c r="E3584" s="46" t="s">
        <v>1348</v>
      </c>
    </row>
    <row r="3585">
      <c r="A3585" s="56" t="s">
        <v>13163</v>
      </c>
      <c r="B3585" s="21"/>
      <c r="C3585" s="33" t="s">
        <v>11391</v>
      </c>
      <c r="E3585" s="46" t="s">
        <v>7616</v>
      </c>
    </row>
    <row r="3586">
      <c r="A3586" s="56" t="s">
        <v>13166</v>
      </c>
      <c r="B3586" s="21"/>
      <c r="C3586" s="33" t="s">
        <v>11391</v>
      </c>
      <c r="E3586" s="46" t="s">
        <v>7618</v>
      </c>
    </row>
    <row r="3587">
      <c r="A3587" s="56" t="s">
        <v>13167</v>
      </c>
      <c r="B3587" s="21"/>
      <c r="C3587" s="33" t="s">
        <v>11394</v>
      </c>
      <c r="E3587" s="46" t="s">
        <v>7616</v>
      </c>
    </row>
    <row r="3588">
      <c r="A3588" s="56" t="s">
        <v>13168</v>
      </c>
      <c r="B3588" s="21"/>
      <c r="C3588" s="33" t="s">
        <v>11394</v>
      </c>
      <c r="E3588" s="46" t="s">
        <v>7618</v>
      </c>
    </row>
    <row r="3589">
      <c r="A3589" s="56" t="s">
        <v>13169</v>
      </c>
      <c r="B3589" s="21"/>
      <c r="C3589" s="33" t="s">
        <v>11398</v>
      </c>
      <c r="E3589" s="46" t="s">
        <v>7616</v>
      </c>
    </row>
    <row r="3590">
      <c r="A3590" s="56" t="s">
        <v>13170</v>
      </c>
      <c r="B3590" s="21"/>
      <c r="C3590" s="33" t="s">
        <v>11398</v>
      </c>
      <c r="E3590" s="46" t="s">
        <v>7618</v>
      </c>
    </row>
    <row r="3591">
      <c r="A3591" s="56" t="s">
        <v>13172</v>
      </c>
      <c r="B3591" s="21"/>
      <c r="C3591" s="33" t="s">
        <v>11391</v>
      </c>
      <c r="E3591" s="46" t="s">
        <v>7616</v>
      </c>
    </row>
    <row r="3592">
      <c r="A3592" s="56" t="s">
        <v>13174</v>
      </c>
      <c r="B3592" s="21"/>
      <c r="C3592" s="33" t="s">
        <v>11391</v>
      </c>
      <c r="E3592" s="46" t="s">
        <v>7618</v>
      </c>
    </row>
    <row r="3593">
      <c r="A3593" s="56" t="s">
        <v>13175</v>
      </c>
      <c r="B3593" s="21"/>
      <c r="C3593" s="33" t="s">
        <v>11394</v>
      </c>
      <c r="E3593" s="46" t="s">
        <v>7616</v>
      </c>
    </row>
    <row r="3594">
      <c r="A3594" s="56" t="s">
        <v>13176</v>
      </c>
      <c r="B3594" s="21"/>
      <c r="C3594" s="33" t="s">
        <v>11394</v>
      </c>
      <c r="E3594" s="46" t="s">
        <v>7618</v>
      </c>
    </row>
    <row r="3595">
      <c r="A3595" s="56" t="s">
        <v>13177</v>
      </c>
      <c r="B3595" s="21"/>
      <c r="C3595" s="33" t="s">
        <v>11398</v>
      </c>
      <c r="E3595" s="46" t="s">
        <v>7616</v>
      </c>
    </row>
    <row r="3596">
      <c r="A3596" s="56" t="s">
        <v>13178</v>
      </c>
      <c r="B3596" s="21"/>
      <c r="C3596" s="33" t="s">
        <v>11398</v>
      </c>
      <c r="E3596" s="46" t="s">
        <v>7618</v>
      </c>
    </row>
    <row r="3597">
      <c r="A3597" s="56" t="s">
        <v>13179</v>
      </c>
      <c r="B3597" s="21"/>
      <c r="C3597" s="33" t="s">
        <v>11411</v>
      </c>
      <c r="E3597" s="46" t="s">
        <v>7616</v>
      </c>
    </row>
    <row r="3598">
      <c r="A3598" s="56" t="s">
        <v>13180</v>
      </c>
      <c r="B3598" s="21"/>
      <c r="C3598" s="33" t="s">
        <v>11411</v>
      </c>
      <c r="E3598" s="46" t="s">
        <v>7618</v>
      </c>
    </row>
    <row r="3599">
      <c r="A3599" s="56" t="s">
        <v>13183</v>
      </c>
      <c r="B3599" s="21"/>
      <c r="C3599" s="33" t="s">
        <v>11416</v>
      </c>
      <c r="E3599" s="46" t="s">
        <v>7616</v>
      </c>
    </row>
    <row r="3600">
      <c r="A3600" s="56" t="s">
        <v>13184</v>
      </c>
      <c r="B3600" s="21"/>
      <c r="C3600" s="33" t="s">
        <v>11416</v>
      </c>
      <c r="E3600" s="46" t="s">
        <v>7618</v>
      </c>
    </row>
    <row r="3601">
      <c r="A3601" s="56" t="s">
        <v>13185</v>
      </c>
      <c r="B3601" s="21"/>
      <c r="C3601" s="33" t="s">
        <v>11419</v>
      </c>
      <c r="E3601" s="46" t="s">
        <v>7616</v>
      </c>
    </row>
    <row r="3602">
      <c r="A3602" s="56" t="s">
        <v>13186</v>
      </c>
      <c r="B3602" s="21"/>
      <c r="C3602" s="33" t="s">
        <v>11419</v>
      </c>
      <c r="E3602" s="46" t="s">
        <v>7618</v>
      </c>
    </row>
    <row r="3603">
      <c r="A3603" s="56" t="s">
        <v>13187</v>
      </c>
      <c r="B3603" s="21"/>
      <c r="C3603" s="33" t="s">
        <v>11411</v>
      </c>
      <c r="E3603" s="46" t="s">
        <v>7616</v>
      </c>
    </row>
    <row r="3604">
      <c r="A3604" s="56" t="s">
        <v>13188</v>
      </c>
      <c r="B3604" s="21"/>
      <c r="C3604" s="33" t="s">
        <v>11411</v>
      </c>
      <c r="E3604" s="46" t="s">
        <v>7618</v>
      </c>
    </row>
    <row r="3605">
      <c r="A3605" s="56" t="s">
        <v>13190</v>
      </c>
      <c r="B3605" s="21"/>
      <c r="C3605" s="33" t="s">
        <v>11416</v>
      </c>
      <c r="E3605" s="46" t="s">
        <v>7616</v>
      </c>
    </row>
    <row r="3606">
      <c r="A3606" s="56" t="s">
        <v>13191</v>
      </c>
      <c r="B3606" s="21"/>
      <c r="C3606" s="33" t="s">
        <v>11416</v>
      </c>
      <c r="E3606" s="46" t="s">
        <v>7618</v>
      </c>
    </row>
    <row r="3607">
      <c r="A3607" s="56" t="s">
        <v>13192</v>
      </c>
      <c r="B3607" s="21"/>
      <c r="C3607" s="33" t="s">
        <v>11419</v>
      </c>
      <c r="E3607" s="46" t="s">
        <v>7616</v>
      </c>
    </row>
    <row r="3608">
      <c r="A3608" s="56" t="s">
        <v>13195</v>
      </c>
      <c r="B3608" s="21"/>
      <c r="C3608" s="33" t="s">
        <v>11419</v>
      </c>
      <c r="E3608" s="46" t="s">
        <v>7618</v>
      </c>
    </row>
    <row r="3609">
      <c r="A3609" s="56" t="s">
        <v>13196</v>
      </c>
      <c r="B3609" s="82"/>
      <c r="C3609" s="33" t="s">
        <v>13197</v>
      </c>
    </row>
    <row r="3610">
      <c r="A3610" s="56" t="s">
        <v>13198</v>
      </c>
      <c r="B3610" s="82"/>
      <c r="C3610" s="33" t="s">
        <v>11373</v>
      </c>
      <c r="E3610" s="46" t="s">
        <v>7616</v>
      </c>
    </row>
    <row r="3611">
      <c r="A3611" s="56" t="s">
        <v>13199</v>
      </c>
      <c r="B3611" s="82"/>
      <c r="C3611" s="33" t="s">
        <v>11373</v>
      </c>
      <c r="E3611" s="46" t="s">
        <v>7618</v>
      </c>
    </row>
    <row r="3612">
      <c r="A3612" s="56" t="s">
        <v>13200</v>
      </c>
      <c r="B3612" s="82"/>
      <c r="C3612" s="33" t="s">
        <v>11376</v>
      </c>
      <c r="E3612" s="46" t="s">
        <v>7616</v>
      </c>
    </row>
    <row r="3613">
      <c r="A3613" s="56" t="s">
        <v>13201</v>
      </c>
      <c r="B3613" s="82"/>
      <c r="C3613" s="33" t="s">
        <v>11376</v>
      </c>
      <c r="E3613" s="46" t="s">
        <v>7618</v>
      </c>
    </row>
    <row r="3614">
      <c r="A3614" s="56" t="s">
        <v>13202</v>
      </c>
      <c r="B3614" s="82"/>
      <c r="C3614" s="33" t="s">
        <v>11380</v>
      </c>
      <c r="E3614" s="46" t="s">
        <v>7616</v>
      </c>
    </row>
    <row r="3615">
      <c r="A3615" s="56" t="s">
        <v>13204</v>
      </c>
      <c r="B3615" s="82"/>
      <c r="C3615" s="33" t="s">
        <v>11380</v>
      </c>
      <c r="E3615" s="46" t="s">
        <v>7618</v>
      </c>
    </row>
    <row r="3616">
      <c r="A3616" s="56" t="s">
        <v>13206</v>
      </c>
      <c r="B3616" s="79"/>
      <c r="C3616" s="33" t="s">
        <v>11384</v>
      </c>
      <c r="E3616" s="46" t="s">
        <v>1348</v>
      </c>
    </row>
    <row r="3617">
      <c r="A3617" s="56" t="s">
        <v>13208</v>
      </c>
      <c r="B3617" s="79"/>
      <c r="C3617" s="33" t="s">
        <v>11384</v>
      </c>
      <c r="E3617" s="46" t="s">
        <v>1348</v>
      </c>
    </row>
    <row r="3618">
      <c r="A3618" s="56" t="s">
        <v>13209</v>
      </c>
      <c r="B3618" s="79"/>
      <c r="C3618" s="33" t="s">
        <v>11389</v>
      </c>
      <c r="E3618" s="46" t="s">
        <v>1348</v>
      </c>
    </row>
    <row r="3619">
      <c r="A3619" s="56" t="s">
        <v>13211</v>
      </c>
      <c r="B3619" s="21"/>
      <c r="C3619" s="33" t="s">
        <v>11391</v>
      </c>
      <c r="E3619" s="46" t="s">
        <v>7616</v>
      </c>
    </row>
    <row r="3620">
      <c r="A3620" s="56" t="s">
        <v>13213</v>
      </c>
      <c r="B3620" s="21"/>
      <c r="C3620" s="33" t="s">
        <v>11391</v>
      </c>
      <c r="E3620" s="46" t="s">
        <v>7618</v>
      </c>
    </row>
    <row r="3621">
      <c r="A3621" s="56" t="s">
        <v>13214</v>
      </c>
      <c r="B3621" s="21"/>
      <c r="C3621" s="33" t="s">
        <v>11394</v>
      </c>
      <c r="E3621" s="46" t="s">
        <v>7616</v>
      </c>
    </row>
    <row r="3622">
      <c r="A3622" s="56" t="s">
        <v>13215</v>
      </c>
      <c r="B3622" s="21"/>
      <c r="C3622" s="33" t="s">
        <v>11394</v>
      </c>
      <c r="E3622" s="46" t="s">
        <v>7618</v>
      </c>
    </row>
    <row r="3623">
      <c r="A3623" s="56" t="s">
        <v>13216</v>
      </c>
      <c r="B3623" s="21"/>
      <c r="C3623" s="33" t="s">
        <v>11398</v>
      </c>
      <c r="E3623" s="46" t="s">
        <v>7616</v>
      </c>
    </row>
    <row r="3624">
      <c r="A3624" s="56" t="s">
        <v>13217</v>
      </c>
      <c r="B3624" s="21"/>
      <c r="C3624" s="33" t="s">
        <v>11398</v>
      </c>
      <c r="E3624" s="46" t="s">
        <v>7618</v>
      </c>
    </row>
    <row r="3625">
      <c r="A3625" s="56" t="s">
        <v>13220</v>
      </c>
      <c r="B3625" s="21"/>
      <c r="C3625" s="33" t="s">
        <v>11391</v>
      </c>
      <c r="E3625" s="46" t="s">
        <v>7616</v>
      </c>
    </row>
    <row r="3626">
      <c r="A3626" s="56" t="s">
        <v>13221</v>
      </c>
      <c r="B3626" s="21"/>
      <c r="C3626" s="33" t="s">
        <v>11391</v>
      </c>
      <c r="E3626" s="46" t="s">
        <v>7618</v>
      </c>
    </row>
    <row r="3627">
      <c r="A3627" s="56" t="s">
        <v>13222</v>
      </c>
      <c r="B3627" s="21"/>
      <c r="C3627" s="33" t="s">
        <v>11394</v>
      </c>
      <c r="E3627" s="46" t="s">
        <v>7616</v>
      </c>
    </row>
    <row r="3628">
      <c r="A3628" s="56" t="s">
        <v>13223</v>
      </c>
      <c r="B3628" s="21"/>
      <c r="C3628" s="33" t="s">
        <v>11394</v>
      </c>
      <c r="E3628" s="46" t="s">
        <v>7618</v>
      </c>
    </row>
    <row r="3629">
      <c r="A3629" s="56" t="s">
        <v>13224</v>
      </c>
      <c r="B3629" s="21"/>
      <c r="C3629" s="33" t="s">
        <v>11398</v>
      </c>
      <c r="E3629" s="46" t="s">
        <v>7616</v>
      </c>
    </row>
    <row r="3630">
      <c r="A3630" s="56" t="s">
        <v>13225</v>
      </c>
      <c r="B3630" s="21"/>
      <c r="C3630" s="33" t="s">
        <v>11398</v>
      </c>
      <c r="E3630" s="46" t="s">
        <v>7618</v>
      </c>
    </row>
    <row r="3631">
      <c r="A3631" s="56" t="s">
        <v>13226</v>
      </c>
      <c r="B3631" s="21"/>
      <c r="C3631" s="33" t="s">
        <v>11411</v>
      </c>
      <c r="E3631" s="46" t="s">
        <v>7616</v>
      </c>
    </row>
    <row r="3632">
      <c r="A3632" s="56" t="s">
        <v>13228</v>
      </c>
      <c r="B3632" s="21"/>
      <c r="C3632" s="33" t="s">
        <v>11411</v>
      </c>
      <c r="E3632" s="46" t="s">
        <v>7618</v>
      </c>
    </row>
    <row r="3633">
      <c r="A3633" s="56" t="s">
        <v>13230</v>
      </c>
      <c r="B3633" s="21"/>
      <c r="C3633" s="33" t="s">
        <v>11416</v>
      </c>
      <c r="E3633" s="46" t="s">
        <v>7616</v>
      </c>
    </row>
    <row r="3634">
      <c r="A3634" s="56" t="s">
        <v>13232</v>
      </c>
      <c r="B3634" s="21"/>
      <c r="C3634" s="33" t="s">
        <v>11416</v>
      </c>
      <c r="E3634" s="46" t="s">
        <v>7618</v>
      </c>
    </row>
    <row r="3635">
      <c r="A3635" s="56" t="s">
        <v>13233</v>
      </c>
      <c r="B3635" s="21"/>
      <c r="C3635" s="33" t="s">
        <v>11419</v>
      </c>
      <c r="E3635" s="46" t="s">
        <v>7616</v>
      </c>
    </row>
    <row r="3636">
      <c r="A3636" s="56" t="s">
        <v>13234</v>
      </c>
      <c r="B3636" s="21"/>
      <c r="C3636" s="33" t="s">
        <v>11419</v>
      </c>
      <c r="E3636" s="46" t="s">
        <v>7618</v>
      </c>
    </row>
    <row r="3637">
      <c r="A3637" s="56" t="s">
        <v>13235</v>
      </c>
      <c r="B3637" s="21"/>
      <c r="C3637" s="33" t="s">
        <v>11411</v>
      </c>
      <c r="E3637" s="46" t="s">
        <v>7616</v>
      </c>
    </row>
    <row r="3638">
      <c r="A3638" s="56" t="s">
        <v>13236</v>
      </c>
      <c r="B3638" s="21"/>
      <c r="C3638" s="33" t="s">
        <v>11411</v>
      </c>
      <c r="E3638" s="46" t="s">
        <v>7618</v>
      </c>
    </row>
    <row r="3639">
      <c r="A3639" s="56" t="s">
        <v>13237</v>
      </c>
      <c r="B3639" s="21"/>
      <c r="C3639" s="33" t="s">
        <v>11416</v>
      </c>
      <c r="E3639" s="46" t="s">
        <v>7616</v>
      </c>
    </row>
    <row r="3640">
      <c r="A3640" s="56" t="s">
        <v>13238</v>
      </c>
      <c r="B3640" s="21"/>
      <c r="C3640" s="33" t="s">
        <v>11416</v>
      </c>
      <c r="E3640" s="46" t="s">
        <v>7618</v>
      </c>
    </row>
    <row r="3641">
      <c r="A3641" s="56" t="s">
        <v>13239</v>
      </c>
      <c r="B3641" s="21"/>
      <c r="C3641" s="33" t="s">
        <v>11419</v>
      </c>
      <c r="E3641" s="46" t="s">
        <v>7616</v>
      </c>
    </row>
    <row r="3642">
      <c r="A3642" s="56" t="s">
        <v>13241</v>
      </c>
      <c r="B3642" s="21"/>
      <c r="C3642" s="33" t="s">
        <v>11419</v>
      </c>
      <c r="E3642" s="46" t="s">
        <v>7618</v>
      </c>
    </row>
    <row r="3643">
      <c r="A3643" s="56" t="s">
        <v>13242</v>
      </c>
      <c r="B3643" s="55"/>
      <c r="C3643" s="31"/>
    </row>
    <row r="3644">
      <c r="A3644" s="56" t="s">
        <v>13244</v>
      </c>
      <c r="B3644" s="82"/>
      <c r="C3644" s="33" t="s">
        <v>13245</v>
      </c>
    </row>
    <row r="3645">
      <c r="A3645" s="56" t="s">
        <v>13246</v>
      </c>
      <c r="B3645" s="55"/>
      <c r="C3645" s="31"/>
    </row>
    <row r="3646">
      <c r="A3646" s="56" t="s">
        <v>13247</v>
      </c>
      <c r="B3646" s="55"/>
      <c r="C3646" s="31"/>
    </row>
    <row r="3647">
      <c r="A3647" s="56" t="s">
        <v>13248</v>
      </c>
      <c r="B3647" s="55"/>
      <c r="C3647" s="31"/>
    </row>
    <row r="3648">
      <c r="A3648" s="56" t="s">
        <v>13249</v>
      </c>
      <c r="B3648" s="55"/>
      <c r="C3648" s="31"/>
    </row>
    <row r="3649">
      <c r="A3649" s="56" t="s">
        <v>13251</v>
      </c>
      <c r="B3649" s="55"/>
      <c r="C3649" s="31"/>
    </row>
    <row r="3650">
      <c r="A3650" s="56" t="s">
        <v>13252</v>
      </c>
      <c r="B3650" s="55"/>
      <c r="C3650" s="31"/>
    </row>
    <row r="3651">
      <c r="A3651" s="56" t="s">
        <v>13253</v>
      </c>
      <c r="B3651" s="55"/>
      <c r="C3651" s="31"/>
    </row>
    <row r="3652">
      <c r="A3652" s="56" t="s">
        <v>13254</v>
      </c>
      <c r="B3652" s="55"/>
      <c r="C3652" s="31"/>
    </row>
    <row r="3653">
      <c r="A3653" s="56" t="s">
        <v>13255</v>
      </c>
      <c r="B3653" s="55"/>
      <c r="C3653" s="31"/>
    </row>
    <row r="3654">
      <c r="A3654" s="56" t="s">
        <v>13256</v>
      </c>
      <c r="B3654" s="55"/>
      <c r="C3654" s="31"/>
    </row>
    <row r="3655">
      <c r="A3655" s="56" t="s">
        <v>13257</v>
      </c>
      <c r="B3655" s="55"/>
      <c r="C3655" s="31"/>
    </row>
    <row r="3656">
      <c r="A3656" s="56" t="s">
        <v>13258</v>
      </c>
      <c r="B3656" s="55"/>
      <c r="C3656" s="31"/>
    </row>
    <row r="3657">
      <c r="A3657" s="56" t="s">
        <v>13260</v>
      </c>
      <c r="B3657" s="55"/>
      <c r="C3657" s="31"/>
    </row>
    <row r="3658">
      <c r="A3658" s="56" t="s">
        <v>13261</v>
      </c>
      <c r="B3658" s="55"/>
      <c r="C3658" s="31"/>
    </row>
    <row r="3659">
      <c r="A3659" s="56" t="s">
        <v>13262</v>
      </c>
      <c r="B3659" s="55"/>
      <c r="C3659" s="31"/>
    </row>
    <row r="3660">
      <c r="A3660" s="56" t="s">
        <v>13263</v>
      </c>
      <c r="B3660" s="55"/>
      <c r="C3660" s="31"/>
    </row>
    <row r="3661">
      <c r="A3661" s="56" t="s">
        <v>13264</v>
      </c>
      <c r="B3661" s="55"/>
      <c r="C3661" s="31"/>
    </row>
    <row r="3662">
      <c r="A3662" s="56" t="s">
        <v>13266</v>
      </c>
      <c r="B3662" s="55"/>
      <c r="C3662" s="31"/>
    </row>
    <row r="3663">
      <c r="A3663" s="56" t="s">
        <v>13267</v>
      </c>
      <c r="B3663" s="55"/>
      <c r="C3663" s="31"/>
    </row>
    <row r="3664">
      <c r="A3664" s="56" t="s">
        <v>13268</v>
      </c>
      <c r="B3664" s="55"/>
      <c r="C3664" s="31"/>
    </row>
    <row r="3665">
      <c r="A3665" s="56" t="s">
        <v>13269</v>
      </c>
      <c r="B3665" s="55"/>
      <c r="C3665" s="31"/>
    </row>
    <row r="3666">
      <c r="A3666" s="56" t="s">
        <v>13270</v>
      </c>
      <c r="B3666" s="55"/>
      <c r="C3666" s="31"/>
    </row>
    <row r="3667">
      <c r="A3667" s="56" t="s">
        <v>13271</v>
      </c>
      <c r="B3667" s="55"/>
      <c r="C3667" s="31"/>
    </row>
    <row r="3668">
      <c r="A3668" s="56" t="s">
        <v>13272</v>
      </c>
      <c r="B3668" s="55"/>
      <c r="C3668" s="31"/>
    </row>
    <row r="3669">
      <c r="A3669" s="56" t="s">
        <v>13273</v>
      </c>
      <c r="B3669" s="55"/>
      <c r="C3669" s="31"/>
    </row>
    <row r="3670">
      <c r="A3670" s="56" t="s">
        <v>13274</v>
      </c>
      <c r="B3670" s="55"/>
      <c r="C3670" s="31"/>
    </row>
    <row r="3671">
      <c r="A3671" s="56" t="s">
        <v>13275</v>
      </c>
      <c r="B3671" s="55"/>
      <c r="C3671" s="31"/>
    </row>
    <row r="3672">
      <c r="A3672" s="56" t="s">
        <v>13276</v>
      </c>
      <c r="B3672" s="55"/>
      <c r="C3672" s="31"/>
    </row>
    <row r="3673">
      <c r="A3673" s="56" t="s">
        <v>13277</v>
      </c>
      <c r="B3673" s="55"/>
      <c r="C3673" s="31"/>
    </row>
    <row r="3674">
      <c r="A3674" s="56" t="s">
        <v>13279</v>
      </c>
      <c r="B3674" s="55"/>
      <c r="C3674" s="31"/>
    </row>
    <row r="3675">
      <c r="A3675" s="56" t="s">
        <v>13282</v>
      </c>
      <c r="B3675" s="55"/>
      <c r="C3675" s="31"/>
    </row>
    <row r="3676">
      <c r="A3676" s="56" t="s">
        <v>13283</v>
      </c>
      <c r="B3676" s="55"/>
      <c r="C3676" s="31"/>
    </row>
    <row r="3677">
      <c r="A3677" s="56" t="s">
        <v>13284</v>
      </c>
      <c r="B3677" s="55"/>
      <c r="C3677" s="31"/>
    </row>
    <row r="3678">
      <c r="A3678" s="56" t="s">
        <v>13285</v>
      </c>
      <c r="B3678" s="55"/>
      <c r="C3678" s="31"/>
    </row>
    <row r="3679">
      <c r="A3679" s="56" t="s">
        <v>13286</v>
      </c>
      <c r="B3679" s="55"/>
      <c r="C3679" s="31"/>
    </row>
    <row r="3680">
      <c r="A3680" s="56" t="s">
        <v>13287</v>
      </c>
      <c r="B3680" s="55"/>
      <c r="C3680" s="31"/>
    </row>
    <row r="3681">
      <c r="A3681" s="56" t="s">
        <v>13289</v>
      </c>
      <c r="B3681" s="55"/>
      <c r="C3681" s="31"/>
    </row>
    <row r="3682">
      <c r="A3682" s="56" t="s">
        <v>13290</v>
      </c>
      <c r="B3682" s="82"/>
      <c r="C3682" s="33" t="s">
        <v>13291</v>
      </c>
    </row>
    <row r="3683">
      <c r="A3683" s="56" t="s">
        <v>13292</v>
      </c>
      <c r="B3683" s="82"/>
      <c r="C3683" s="33" t="s">
        <v>11373</v>
      </c>
      <c r="E3683" s="46" t="s">
        <v>7616</v>
      </c>
    </row>
    <row r="3684">
      <c r="A3684" s="56" t="s">
        <v>13293</v>
      </c>
      <c r="B3684" s="82"/>
      <c r="C3684" s="33" t="s">
        <v>11373</v>
      </c>
      <c r="E3684" s="46" t="s">
        <v>7618</v>
      </c>
    </row>
    <row r="3685">
      <c r="A3685" s="56" t="s">
        <v>13294</v>
      </c>
      <c r="B3685" s="82"/>
      <c r="C3685" s="33" t="s">
        <v>11376</v>
      </c>
      <c r="E3685" s="46" t="s">
        <v>7616</v>
      </c>
    </row>
    <row r="3686">
      <c r="A3686" s="56" t="s">
        <v>13297</v>
      </c>
      <c r="B3686" s="82"/>
      <c r="C3686" s="33" t="s">
        <v>11376</v>
      </c>
      <c r="E3686" s="46" t="s">
        <v>7618</v>
      </c>
    </row>
    <row r="3687">
      <c r="A3687" s="56" t="s">
        <v>13299</v>
      </c>
      <c r="B3687" s="82"/>
      <c r="C3687" s="33" t="s">
        <v>11380</v>
      </c>
      <c r="E3687" s="46" t="s">
        <v>7616</v>
      </c>
    </row>
    <row r="3688">
      <c r="A3688" s="56" t="s">
        <v>13300</v>
      </c>
      <c r="B3688" s="82"/>
      <c r="C3688" s="33" t="s">
        <v>11380</v>
      </c>
      <c r="E3688" s="46" t="s">
        <v>7618</v>
      </c>
    </row>
    <row r="3689">
      <c r="A3689" s="56" t="s">
        <v>13301</v>
      </c>
      <c r="B3689" s="79"/>
      <c r="C3689" s="33" t="s">
        <v>11384</v>
      </c>
      <c r="E3689" s="46" t="s">
        <v>1348</v>
      </c>
    </row>
    <row r="3690">
      <c r="A3690" s="56" t="s">
        <v>13303</v>
      </c>
      <c r="B3690" s="79"/>
      <c r="C3690" s="33" t="s">
        <v>11384</v>
      </c>
      <c r="E3690" s="46" t="s">
        <v>1348</v>
      </c>
    </row>
    <row r="3691">
      <c r="A3691" s="56" t="s">
        <v>13304</v>
      </c>
      <c r="B3691" s="79"/>
      <c r="C3691" s="33" t="s">
        <v>11389</v>
      </c>
      <c r="E3691" s="46" t="s">
        <v>1348</v>
      </c>
    </row>
    <row r="3692">
      <c r="A3692" s="56" t="s">
        <v>13306</v>
      </c>
      <c r="B3692" s="21"/>
      <c r="C3692" s="33" t="s">
        <v>11391</v>
      </c>
      <c r="E3692" s="46" t="s">
        <v>7616</v>
      </c>
    </row>
    <row r="3693">
      <c r="A3693" s="56" t="s">
        <v>13307</v>
      </c>
      <c r="B3693" s="21"/>
      <c r="C3693" s="33" t="s">
        <v>11391</v>
      </c>
      <c r="E3693" s="46" t="s">
        <v>7618</v>
      </c>
    </row>
    <row r="3694">
      <c r="A3694" s="56" t="s">
        <v>13309</v>
      </c>
      <c r="B3694" s="21"/>
      <c r="C3694" s="33" t="s">
        <v>11394</v>
      </c>
      <c r="E3694" s="46" t="s">
        <v>7616</v>
      </c>
    </row>
    <row r="3695">
      <c r="A3695" s="56" t="s">
        <v>13310</v>
      </c>
      <c r="B3695" s="21"/>
      <c r="C3695" s="33" t="s">
        <v>11394</v>
      </c>
      <c r="E3695" s="46" t="s">
        <v>7618</v>
      </c>
    </row>
    <row r="3696">
      <c r="A3696" s="56" t="s">
        <v>13311</v>
      </c>
      <c r="B3696" s="21"/>
      <c r="C3696" s="33" t="s">
        <v>11398</v>
      </c>
      <c r="E3696" s="46" t="s">
        <v>7616</v>
      </c>
    </row>
    <row r="3697">
      <c r="A3697" s="56" t="s">
        <v>13312</v>
      </c>
      <c r="B3697" s="21"/>
      <c r="C3697" s="33" t="s">
        <v>11398</v>
      </c>
      <c r="E3697" s="46" t="s">
        <v>7618</v>
      </c>
    </row>
    <row r="3698">
      <c r="A3698" s="56" t="s">
        <v>13313</v>
      </c>
      <c r="B3698" s="21"/>
      <c r="C3698" s="33" t="s">
        <v>11391</v>
      </c>
      <c r="E3698" s="46" t="s">
        <v>7616</v>
      </c>
    </row>
    <row r="3699">
      <c r="A3699" s="56" t="s">
        <v>13314</v>
      </c>
      <c r="B3699" s="21"/>
      <c r="C3699" s="33" t="s">
        <v>11391</v>
      </c>
      <c r="E3699" s="46" t="s">
        <v>7618</v>
      </c>
    </row>
    <row r="3700">
      <c r="A3700" s="56" t="s">
        <v>13316</v>
      </c>
      <c r="B3700" s="21"/>
      <c r="C3700" s="33" t="s">
        <v>11394</v>
      </c>
      <c r="E3700" s="46" t="s">
        <v>7616</v>
      </c>
    </row>
    <row r="3701">
      <c r="A3701" s="56" t="s">
        <v>13317</v>
      </c>
      <c r="B3701" s="21"/>
      <c r="C3701" s="33" t="s">
        <v>11394</v>
      </c>
      <c r="E3701" s="46" t="s">
        <v>7618</v>
      </c>
    </row>
    <row r="3702">
      <c r="A3702" s="56" t="s">
        <v>13318</v>
      </c>
      <c r="B3702" s="21"/>
      <c r="C3702" s="33" t="s">
        <v>11398</v>
      </c>
      <c r="E3702" s="46" t="s">
        <v>7616</v>
      </c>
    </row>
    <row r="3703">
      <c r="A3703" s="56" t="s">
        <v>13319</v>
      </c>
      <c r="B3703" s="21"/>
      <c r="C3703" s="33" t="s">
        <v>11398</v>
      </c>
      <c r="E3703" s="46" t="s">
        <v>7618</v>
      </c>
    </row>
    <row r="3704">
      <c r="A3704" s="56" t="s">
        <v>13321</v>
      </c>
      <c r="B3704" s="21"/>
      <c r="C3704" s="33" t="s">
        <v>11411</v>
      </c>
      <c r="E3704" s="46" t="s">
        <v>7616</v>
      </c>
    </row>
    <row r="3705">
      <c r="A3705" s="56" t="s">
        <v>13322</v>
      </c>
      <c r="B3705" s="21"/>
      <c r="C3705" s="33" t="s">
        <v>11411</v>
      </c>
      <c r="E3705" s="46" t="s">
        <v>7618</v>
      </c>
    </row>
    <row r="3706">
      <c r="A3706" s="56" t="s">
        <v>13323</v>
      </c>
      <c r="B3706" s="21"/>
      <c r="C3706" s="33" t="s">
        <v>11416</v>
      </c>
      <c r="E3706" s="46" t="s">
        <v>7616</v>
      </c>
    </row>
    <row r="3707">
      <c r="A3707" s="56" t="s">
        <v>13325</v>
      </c>
      <c r="B3707" s="21"/>
      <c r="C3707" s="33" t="s">
        <v>11416</v>
      </c>
      <c r="E3707" s="46" t="s">
        <v>7618</v>
      </c>
    </row>
    <row r="3708">
      <c r="A3708" s="56" t="s">
        <v>13326</v>
      </c>
      <c r="B3708" s="21"/>
      <c r="C3708" s="33" t="s">
        <v>11419</v>
      </c>
      <c r="E3708" s="46" t="s">
        <v>7616</v>
      </c>
    </row>
    <row r="3709">
      <c r="A3709" s="56" t="s">
        <v>13327</v>
      </c>
      <c r="B3709" s="21"/>
      <c r="C3709" s="33" t="s">
        <v>11419</v>
      </c>
      <c r="E3709" s="46" t="s">
        <v>7618</v>
      </c>
    </row>
    <row r="3710">
      <c r="A3710" s="56" t="s">
        <v>13328</v>
      </c>
      <c r="B3710" s="21"/>
      <c r="C3710" s="33" t="s">
        <v>11411</v>
      </c>
      <c r="E3710" s="46" t="s">
        <v>7616</v>
      </c>
    </row>
    <row r="3711">
      <c r="A3711" s="56" t="s">
        <v>13329</v>
      </c>
      <c r="B3711" s="21"/>
      <c r="C3711" s="33" t="s">
        <v>11411</v>
      </c>
      <c r="E3711" s="46" t="s">
        <v>7618</v>
      </c>
    </row>
    <row r="3712">
      <c r="A3712" s="56" t="s">
        <v>13330</v>
      </c>
      <c r="B3712" s="21"/>
      <c r="C3712" s="33" t="s">
        <v>11416</v>
      </c>
      <c r="E3712" s="46" t="s">
        <v>7616</v>
      </c>
    </row>
    <row r="3713">
      <c r="A3713" s="56" t="s">
        <v>13331</v>
      </c>
      <c r="B3713" s="21"/>
      <c r="C3713" s="33" t="s">
        <v>11416</v>
      </c>
      <c r="E3713" s="46" t="s">
        <v>7618</v>
      </c>
    </row>
    <row r="3714">
      <c r="A3714" s="56" t="s">
        <v>13334</v>
      </c>
      <c r="B3714" s="21"/>
      <c r="C3714" s="33" t="s">
        <v>11419</v>
      </c>
      <c r="E3714" s="46" t="s">
        <v>7616</v>
      </c>
    </row>
    <row r="3715">
      <c r="A3715" s="56" t="s">
        <v>13335</v>
      </c>
      <c r="B3715" s="21"/>
      <c r="C3715" s="33" t="s">
        <v>11419</v>
      </c>
      <c r="E3715" s="46" t="s">
        <v>7618</v>
      </c>
    </row>
    <row r="3716">
      <c r="A3716" s="56" t="s">
        <v>13336</v>
      </c>
      <c r="B3716" s="82"/>
      <c r="C3716" s="33" t="s">
        <v>13337</v>
      </c>
    </row>
    <row r="3717">
      <c r="A3717" s="56" t="s">
        <v>13338</v>
      </c>
      <c r="B3717" s="82"/>
      <c r="C3717" s="33" t="s">
        <v>11373</v>
      </c>
      <c r="E3717" s="46" t="s">
        <v>7616</v>
      </c>
    </row>
    <row r="3718">
      <c r="A3718" s="56" t="s">
        <v>13339</v>
      </c>
      <c r="B3718" s="82"/>
      <c r="C3718" s="33" t="s">
        <v>11373</v>
      </c>
      <c r="E3718" s="46" t="s">
        <v>7618</v>
      </c>
    </row>
    <row r="3719">
      <c r="A3719" s="56" t="s">
        <v>13340</v>
      </c>
      <c r="B3719" s="82"/>
      <c r="C3719" s="33" t="s">
        <v>11376</v>
      </c>
      <c r="E3719" s="46" t="s">
        <v>7616</v>
      </c>
    </row>
    <row r="3720">
      <c r="A3720" s="56" t="s">
        <v>13342</v>
      </c>
      <c r="B3720" s="82"/>
      <c r="C3720" s="33" t="s">
        <v>11376</v>
      </c>
      <c r="E3720" s="46" t="s">
        <v>7618</v>
      </c>
    </row>
    <row r="3721">
      <c r="A3721" s="56" t="s">
        <v>13343</v>
      </c>
      <c r="B3721" s="82"/>
      <c r="C3721" s="33" t="s">
        <v>11380</v>
      </c>
      <c r="E3721" s="46" t="s">
        <v>7616</v>
      </c>
    </row>
    <row r="3722">
      <c r="A3722" s="56" t="s">
        <v>13344</v>
      </c>
      <c r="B3722" s="82"/>
      <c r="C3722" s="33" t="s">
        <v>11380</v>
      </c>
      <c r="E3722" s="46" t="s">
        <v>7618</v>
      </c>
    </row>
    <row r="3723">
      <c r="A3723" s="56" t="s">
        <v>13345</v>
      </c>
      <c r="B3723" s="79"/>
      <c r="C3723" s="33" t="s">
        <v>11384</v>
      </c>
      <c r="E3723" s="46" t="s">
        <v>1348</v>
      </c>
    </row>
    <row r="3724">
      <c r="A3724" s="56" t="s">
        <v>13346</v>
      </c>
      <c r="B3724" s="79"/>
      <c r="C3724" s="33" t="s">
        <v>11384</v>
      </c>
      <c r="E3724" s="46" t="s">
        <v>1348</v>
      </c>
    </row>
    <row r="3725">
      <c r="A3725" s="56" t="s">
        <v>13347</v>
      </c>
      <c r="B3725" s="79"/>
      <c r="C3725" s="33" t="s">
        <v>11389</v>
      </c>
      <c r="E3725" s="46" t="s">
        <v>1348</v>
      </c>
    </row>
    <row r="3726">
      <c r="A3726" s="56" t="s">
        <v>13350</v>
      </c>
      <c r="B3726" s="21"/>
      <c r="C3726" s="33" t="s">
        <v>11391</v>
      </c>
      <c r="E3726" s="46" t="s">
        <v>7616</v>
      </c>
    </row>
    <row r="3727">
      <c r="A3727" s="56" t="s">
        <v>13351</v>
      </c>
      <c r="B3727" s="21"/>
      <c r="C3727" s="33" t="s">
        <v>11391</v>
      </c>
      <c r="E3727" s="46" t="s">
        <v>7618</v>
      </c>
    </row>
    <row r="3728">
      <c r="A3728" s="56" t="s">
        <v>13352</v>
      </c>
      <c r="B3728" s="21"/>
      <c r="C3728" s="33" t="s">
        <v>11394</v>
      </c>
      <c r="E3728" s="46" t="s">
        <v>7616</v>
      </c>
    </row>
    <row r="3729">
      <c r="A3729" s="56" t="s">
        <v>13353</v>
      </c>
      <c r="B3729" s="21"/>
      <c r="C3729" s="33" t="s">
        <v>11394</v>
      </c>
      <c r="E3729" s="46" t="s">
        <v>7618</v>
      </c>
    </row>
    <row r="3730">
      <c r="A3730" s="56" t="s">
        <v>13354</v>
      </c>
      <c r="B3730" s="21"/>
      <c r="C3730" s="33" t="s">
        <v>11398</v>
      </c>
      <c r="E3730" s="46" t="s">
        <v>7616</v>
      </c>
    </row>
    <row r="3731">
      <c r="A3731" s="56" t="s">
        <v>13355</v>
      </c>
      <c r="B3731" s="21"/>
      <c r="C3731" s="33" t="s">
        <v>11398</v>
      </c>
      <c r="E3731" s="46" t="s">
        <v>7618</v>
      </c>
    </row>
    <row r="3732">
      <c r="A3732" s="56" t="s">
        <v>13356</v>
      </c>
      <c r="B3732" s="21"/>
      <c r="C3732" s="33" t="s">
        <v>11391</v>
      </c>
      <c r="E3732" s="46" t="s">
        <v>7616</v>
      </c>
    </row>
    <row r="3733">
      <c r="A3733" s="56" t="s">
        <v>13357</v>
      </c>
      <c r="B3733" s="21"/>
      <c r="C3733" s="33" t="s">
        <v>11391</v>
      </c>
      <c r="E3733" s="46" t="s">
        <v>7618</v>
      </c>
    </row>
    <row r="3734">
      <c r="A3734" s="56" t="s">
        <v>13358</v>
      </c>
      <c r="B3734" s="21"/>
      <c r="C3734" s="33" t="s">
        <v>11394</v>
      </c>
      <c r="E3734" s="46" t="s">
        <v>7616</v>
      </c>
    </row>
    <row r="3735">
      <c r="A3735" s="56" t="s">
        <v>13360</v>
      </c>
      <c r="B3735" s="21"/>
      <c r="C3735" s="33" t="s">
        <v>11394</v>
      </c>
      <c r="E3735" s="46" t="s">
        <v>7618</v>
      </c>
    </row>
    <row r="3736">
      <c r="A3736" s="56" t="s">
        <v>13362</v>
      </c>
      <c r="B3736" s="21"/>
      <c r="C3736" s="33" t="s">
        <v>11398</v>
      </c>
      <c r="E3736" s="46" t="s">
        <v>7616</v>
      </c>
    </row>
    <row r="3737">
      <c r="A3737" s="56" t="s">
        <v>13363</v>
      </c>
      <c r="B3737" s="21"/>
      <c r="C3737" s="33" t="s">
        <v>11398</v>
      </c>
      <c r="E3737" s="46" t="s">
        <v>7618</v>
      </c>
    </row>
    <row r="3738">
      <c r="A3738" s="56" t="s">
        <v>13364</v>
      </c>
      <c r="B3738" s="21"/>
      <c r="C3738" s="33" t="s">
        <v>11411</v>
      </c>
      <c r="E3738" s="46" t="s">
        <v>7616</v>
      </c>
    </row>
    <row r="3739">
      <c r="A3739" s="56" t="s">
        <v>13365</v>
      </c>
      <c r="B3739" s="21"/>
      <c r="C3739" s="33" t="s">
        <v>11411</v>
      </c>
      <c r="E3739" s="46" t="s">
        <v>7618</v>
      </c>
    </row>
    <row r="3740">
      <c r="A3740" s="56" t="s">
        <v>13366</v>
      </c>
      <c r="B3740" s="21"/>
      <c r="C3740" s="33" t="s">
        <v>11416</v>
      </c>
      <c r="E3740" s="46" t="s">
        <v>7616</v>
      </c>
    </row>
    <row r="3741">
      <c r="A3741" s="56" t="s">
        <v>13368</v>
      </c>
      <c r="B3741" s="21"/>
      <c r="C3741" s="33" t="s">
        <v>11416</v>
      </c>
      <c r="E3741" s="46" t="s">
        <v>7618</v>
      </c>
    </row>
    <row r="3742">
      <c r="A3742" s="56" t="s">
        <v>13369</v>
      </c>
      <c r="B3742" s="21"/>
      <c r="C3742" s="33" t="s">
        <v>11419</v>
      </c>
      <c r="E3742" s="46" t="s">
        <v>7616</v>
      </c>
    </row>
    <row r="3743">
      <c r="A3743" s="56" t="s">
        <v>13370</v>
      </c>
      <c r="B3743" s="21"/>
      <c r="C3743" s="33" t="s">
        <v>11419</v>
      </c>
      <c r="E3743" s="46" t="s">
        <v>7618</v>
      </c>
    </row>
    <row r="3744">
      <c r="A3744" s="56" t="s">
        <v>13371</v>
      </c>
      <c r="B3744" s="21"/>
      <c r="C3744" s="33" t="s">
        <v>11411</v>
      </c>
      <c r="E3744" s="46" t="s">
        <v>7616</v>
      </c>
    </row>
    <row r="3745">
      <c r="A3745" s="56" t="s">
        <v>13373</v>
      </c>
      <c r="B3745" s="21"/>
      <c r="C3745" s="33" t="s">
        <v>11411</v>
      </c>
      <c r="E3745" s="46" t="s">
        <v>7618</v>
      </c>
    </row>
    <row r="3746">
      <c r="A3746" s="56" t="s">
        <v>13374</v>
      </c>
      <c r="B3746" s="21"/>
      <c r="C3746" s="33" t="s">
        <v>11416</v>
      </c>
      <c r="E3746" s="46" t="s">
        <v>7616</v>
      </c>
    </row>
    <row r="3747">
      <c r="A3747" s="56" t="s">
        <v>13376</v>
      </c>
      <c r="B3747" s="21"/>
      <c r="C3747" s="33" t="s">
        <v>11416</v>
      </c>
      <c r="E3747" s="46" t="s">
        <v>7618</v>
      </c>
    </row>
    <row r="3748">
      <c r="A3748" s="56" t="s">
        <v>13377</v>
      </c>
      <c r="B3748" s="21"/>
      <c r="C3748" s="33" t="s">
        <v>11419</v>
      </c>
      <c r="E3748" s="46" t="s">
        <v>7616</v>
      </c>
    </row>
    <row r="3749">
      <c r="A3749" s="56" t="s">
        <v>13378</v>
      </c>
      <c r="B3749" s="21"/>
      <c r="C3749" s="33" t="s">
        <v>11419</v>
      </c>
      <c r="E3749" s="46" t="s">
        <v>7618</v>
      </c>
    </row>
    <row r="3750">
      <c r="A3750" s="56" t="s">
        <v>13379</v>
      </c>
      <c r="B3750" s="55"/>
      <c r="C3750" s="31"/>
    </row>
    <row r="3751">
      <c r="A3751" s="56" t="s">
        <v>13380</v>
      </c>
      <c r="B3751" s="55"/>
      <c r="C3751" s="31"/>
    </row>
    <row r="3752">
      <c r="A3752" s="56" t="s">
        <v>13381</v>
      </c>
      <c r="B3752" s="55"/>
      <c r="C3752" s="31"/>
    </row>
    <row r="3753">
      <c r="A3753" s="56" t="s">
        <v>13382</v>
      </c>
      <c r="B3753" s="55"/>
      <c r="C3753" s="31"/>
    </row>
    <row r="3754">
      <c r="A3754" s="56" t="s">
        <v>13384</v>
      </c>
      <c r="B3754" s="55"/>
      <c r="C3754" s="31"/>
    </row>
    <row r="3755">
      <c r="A3755" s="56" t="s">
        <v>13386</v>
      </c>
      <c r="B3755" s="82"/>
      <c r="C3755" s="33" t="s">
        <v>13387</v>
      </c>
    </row>
    <row r="3756">
      <c r="A3756" s="56" t="s">
        <v>13388</v>
      </c>
      <c r="B3756" s="82"/>
      <c r="C3756" s="33" t="s">
        <v>11373</v>
      </c>
      <c r="E3756" s="46" t="s">
        <v>7616</v>
      </c>
    </row>
    <row r="3757">
      <c r="A3757" s="56" t="s">
        <v>13389</v>
      </c>
      <c r="B3757" s="82"/>
      <c r="C3757" s="33" t="s">
        <v>11373</v>
      </c>
      <c r="E3757" s="46" t="s">
        <v>7618</v>
      </c>
    </row>
    <row r="3758">
      <c r="A3758" s="56" t="s">
        <v>13390</v>
      </c>
      <c r="B3758" s="82"/>
      <c r="C3758" s="33" t="s">
        <v>11376</v>
      </c>
      <c r="E3758" s="46" t="s">
        <v>7616</v>
      </c>
    </row>
    <row r="3759">
      <c r="A3759" s="56" t="s">
        <v>13391</v>
      </c>
      <c r="B3759" s="82"/>
      <c r="C3759" s="33" t="s">
        <v>11376</v>
      </c>
      <c r="E3759" s="46" t="s">
        <v>7618</v>
      </c>
    </row>
    <row r="3760">
      <c r="A3760" s="56" t="s">
        <v>13392</v>
      </c>
      <c r="B3760" s="82"/>
      <c r="C3760" s="33" t="s">
        <v>11380</v>
      </c>
      <c r="E3760" s="46" t="s">
        <v>7616</v>
      </c>
    </row>
    <row r="3761">
      <c r="A3761" s="56" t="s">
        <v>13394</v>
      </c>
      <c r="B3761" s="82"/>
      <c r="C3761" s="33" t="s">
        <v>11380</v>
      </c>
      <c r="E3761" s="46" t="s">
        <v>7618</v>
      </c>
    </row>
    <row r="3762">
      <c r="A3762" s="56" t="s">
        <v>13396</v>
      </c>
      <c r="B3762" s="79"/>
      <c r="C3762" s="33" t="s">
        <v>11384</v>
      </c>
      <c r="E3762" s="46" t="s">
        <v>1348</v>
      </c>
    </row>
    <row r="3763">
      <c r="A3763" s="56" t="s">
        <v>13397</v>
      </c>
      <c r="B3763" s="79"/>
      <c r="C3763" s="33" t="s">
        <v>11384</v>
      </c>
      <c r="E3763" s="46" t="s">
        <v>1348</v>
      </c>
    </row>
    <row r="3764">
      <c r="A3764" s="56" t="s">
        <v>13398</v>
      </c>
      <c r="B3764" s="79"/>
      <c r="C3764" s="33" t="s">
        <v>11389</v>
      </c>
      <c r="E3764" s="46" t="s">
        <v>1348</v>
      </c>
    </row>
    <row r="3765">
      <c r="A3765" s="56" t="s">
        <v>13399</v>
      </c>
      <c r="B3765" s="21"/>
      <c r="C3765" s="33" t="s">
        <v>11391</v>
      </c>
      <c r="E3765" s="46" t="s">
        <v>7616</v>
      </c>
    </row>
    <row r="3766">
      <c r="A3766" s="56" t="s">
        <v>13400</v>
      </c>
      <c r="B3766" s="21"/>
      <c r="C3766" s="33" t="s">
        <v>11391</v>
      </c>
      <c r="E3766" s="46" t="s">
        <v>7618</v>
      </c>
    </row>
    <row r="3767">
      <c r="A3767" s="56" t="s">
        <v>13402</v>
      </c>
      <c r="B3767" s="21"/>
      <c r="C3767" s="33" t="s">
        <v>11394</v>
      </c>
      <c r="E3767" s="46" t="s">
        <v>7616</v>
      </c>
    </row>
    <row r="3768">
      <c r="A3768" s="56" t="s">
        <v>13403</v>
      </c>
      <c r="B3768" s="21"/>
      <c r="C3768" s="33" t="s">
        <v>11394</v>
      </c>
      <c r="E3768" s="46" t="s">
        <v>7618</v>
      </c>
    </row>
    <row r="3769">
      <c r="A3769" s="56" t="s">
        <v>13404</v>
      </c>
      <c r="B3769" s="21"/>
      <c r="C3769" s="33" t="s">
        <v>11398</v>
      </c>
      <c r="E3769" s="46" t="s">
        <v>7616</v>
      </c>
    </row>
    <row r="3770">
      <c r="A3770" s="56" t="s">
        <v>13405</v>
      </c>
      <c r="B3770" s="21"/>
      <c r="C3770" s="33" t="s">
        <v>11398</v>
      </c>
      <c r="E3770" s="46" t="s">
        <v>7618</v>
      </c>
    </row>
    <row r="3771">
      <c r="A3771" s="56" t="s">
        <v>13406</v>
      </c>
      <c r="B3771" s="21"/>
      <c r="C3771" s="33" t="s">
        <v>11391</v>
      </c>
      <c r="E3771" s="46" t="s">
        <v>7616</v>
      </c>
    </row>
    <row r="3772">
      <c r="A3772" s="56" t="s">
        <v>13409</v>
      </c>
      <c r="B3772" s="21"/>
      <c r="C3772" s="33" t="s">
        <v>11391</v>
      </c>
      <c r="E3772" s="46" t="s">
        <v>7618</v>
      </c>
    </row>
    <row r="3773">
      <c r="A3773" s="56" t="s">
        <v>13410</v>
      </c>
      <c r="B3773" s="21"/>
      <c r="C3773" s="33" t="s">
        <v>11394</v>
      </c>
      <c r="E3773" s="46" t="s">
        <v>7616</v>
      </c>
    </row>
    <row r="3774">
      <c r="A3774" s="56" t="s">
        <v>13412</v>
      </c>
      <c r="B3774" s="21"/>
      <c r="C3774" s="33" t="s">
        <v>11394</v>
      </c>
      <c r="E3774" s="46" t="s">
        <v>7618</v>
      </c>
    </row>
    <row r="3775">
      <c r="A3775" s="56" t="s">
        <v>13413</v>
      </c>
      <c r="B3775" s="21"/>
      <c r="C3775" s="33" t="s">
        <v>11398</v>
      </c>
      <c r="E3775" s="46" t="s">
        <v>7616</v>
      </c>
    </row>
    <row r="3776">
      <c r="A3776" s="56" t="s">
        <v>13415</v>
      </c>
      <c r="B3776" s="21"/>
      <c r="C3776" s="33" t="s">
        <v>11398</v>
      </c>
      <c r="E3776" s="46" t="s">
        <v>7618</v>
      </c>
    </row>
    <row r="3777">
      <c r="A3777" s="56" t="s">
        <v>13416</v>
      </c>
      <c r="B3777" s="21"/>
      <c r="C3777" s="33" t="s">
        <v>11411</v>
      </c>
      <c r="E3777" s="46" t="s">
        <v>7616</v>
      </c>
    </row>
    <row r="3778">
      <c r="A3778" s="56" t="s">
        <v>13418</v>
      </c>
      <c r="B3778" s="21"/>
      <c r="C3778" s="33" t="s">
        <v>11411</v>
      </c>
      <c r="E3778" s="46" t="s">
        <v>7618</v>
      </c>
    </row>
    <row r="3779">
      <c r="A3779" s="56" t="s">
        <v>13420</v>
      </c>
      <c r="B3779" s="21"/>
      <c r="C3779" s="33" t="s">
        <v>11416</v>
      </c>
      <c r="E3779" s="46" t="s">
        <v>7616</v>
      </c>
    </row>
    <row r="3780">
      <c r="A3780" s="56" t="s">
        <v>13422</v>
      </c>
      <c r="B3780" s="21"/>
      <c r="C3780" s="33" t="s">
        <v>11416</v>
      </c>
      <c r="E3780" s="46" t="s">
        <v>7618</v>
      </c>
    </row>
    <row r="3781">
      <c r="A3781" s="56" t="s">
        <v>13423</v>
      </c>
      <c r="B3781" s="21"/>
      <c r="C3781" s="33" t="s">
        <v>11419</v>
      </c>
      <c r="E3781" s="46" t="s">
        <v>7616</v>
      </c>
    </row>
    <row r="3782">
      <c r="A3782" s="56" t="s">
        <v>13424</v>
      </c>
      <c r="B3782" s="21"/>
      <c r="C3782" s="33" t="s">
        <v>11419</v>
      </c>
      <c r="E3782" s="46" t="s">
        <v>7618</v>
      </c>
    </row>
    <row r="3783">
      <c r="A3783" s="56" t="s">
        <v>13426</v>
      </c>
      <c r="B3783" s="21"/>
      <c r="C3783" s="33" t="s">
        <v>11411</v>
      </c>
      <c r="E3783" s="46" t="s">
        <v>7616</v>
      </c>
    </row>
    <row r="3784">
      <c r="A3784" s="56" t="s">
        <v>13427</v>
      </c>
      <c r="B3784" s="21"/>
      <c r="C3784" s="33" t="s">
        <v>11411</v>
      </c>
      <c r="E3784" s="46" t="s">
        <v>7618</v>
      </c>
    </row>
    <row r="3785">
      <c r="A3785" s="56" t="s">
        <v>13429</v>
      </c>
      <c r="B3785" s="21"/>
      <c r="C3785" s="33" t="s">
        <v>11416</v>
      </c>
      <c r="E3785" s="46" t="s">
        <v>7616</v>
      </c>
    </row>
    <row r="3786">
      <c r="A3786" s="56" t="s">
        <v>13430</v>
      </c>
      <c r="B3786" s="21"/>
      <c r="C3786" s="33" t="s">
        <v>11416</v>
      </c>
      <c r="E3786" s="46" t="s">
        <v>7618</v>
      </c>
    </row>
    <row r="3787">
      <c r="A3787" s="56" t="s">
        <v>13431</v>
      </c>
      <c r="B3787" s="21"/>
      <c r="C3787" s="33" t="s">
        <v>11419</v>
      </c>
      <c r="E3787" s="46" t="s">
        <v>7616</v>
      </c>
    </row>
    <row r="3788">
      <c r="A3788" s="56" t="s">
        <v>13433</v>
      </c>
      <c r="B3788" s="21"/>
      <c r="C3788" s="33" t="s">
        <v>11419</v>
      </c>
      <c r="E3788" s="46" t="s">
        <v>7618</v>
      </c>
    </row>
    <row r="3789">
      <c r="A3789" s="56" t="s">
        <v>13434</v>
      </c>
      <c r="B3789" s="55"/>
      <c r="C3789" s="31"/>
    </row>
    <row r="3790">
      <c r="A3790" s="56" t="s">
        <v>13436</v>
      </c>
      <c r="B3790" s="55"/>
      <c r="C3790" s="31"/>
    </row>
    <row r="3791">
      <c r="A3791" s="56" t="s">
        <v>13437</v>
      </c>
      <c r="B3791" s="55"/>
      <c r="C3791" s="31"/>
    </row>
    <row r="3792">
      <c r="A3792" s="56" t="s">
        <v>13438</v>
      </c>
      <c r="B3792" s="55"/>
      <c r="C3792" s="31"/>
    </row>
    <row r="3793">
      <c r="A3793" s="56" t="s">
        <v>13439</v>
      </c>
      <c r="B3793" s="55"/>
      <c r="C3793" s="31"/>
    </row>
    <row r="3794">
      <c r="A3794" s="56" t="s">
        <v>13441</v>
      </c>
      <c r="B3794" s="82"/>
      <c r="C3794" s="33" t="s">
        <v>13443</v>
      </c>
    </row>
    <row r="3795">
      <c r="A3795" s="56" t="s">
        <v>13444</v>
      </c>
      <c r="B3795" s="82"/>
      <c r="C3795" s="33" t="s">
        <v>11373</v>
      </c>
      <c r="E3795" s="46" t="s">
        <v>7616</v>
      </c>
    </row>
    <row r="3796">
      <c r="A3796" s="56" t="s">
        <v>13445</v>
      </c>
      <c r="B3796" s="82"/>
      <c r="C3796" s="33" t="s">
        <v>11373</v>
      </c>
      <c r="E3796" s="46" t="s">
        <v>7618</v>
      </c>
    </row>
    <row r="3797">
      <c r="A3797" s="56" t="s">
        <v>13446</v>
      </c>
      <c r="B3797" s="82"/>
      <c r="C3797" s="33" t="s">
        <v>11376</v>
      </c>
      <c r="E3797" s="46" t="s">
        <v>7616</v>
      </c>
    </row>
    <row r="3798">
      <c r="A3798" s="56" t="s">
        <v>13447</v>
      </c>
      <c r="B3798" s="82"/>
      <c r="C3798" s="33" t="s">
        <v>11376</v>
      </c>
      <c r="E3798" s="46" t="s">
        <v>7618</v>
      </c>
    </row>
    <row r="3799">
      <c r="A3799" s="56" t="s">
        <v>13449</v>
      </c>
      <c r="B3799" s="82"/>
      <c r="C3799" s="33" t="s">
        <v>11380</v>
      </c>
      <c r="E3799" s="46" t="s">
        <v>7616</v>
      </c>
    </row>
    <row r="3800">
      <c r="A3800" s="56" t="s">
        <v>13450</v>
      </c>
      <c r="B3800" s="82"/>
      <c r="C3800" s="33" t="s">
        <v>11380</v>
      </c>
      <c r="E3800" s="46" t="s">
        <v>7618</v>
      </c>
    </row>
    <row r="3801">
      <c r="A3801" s="56" t="s">
        <v>13452</v>
      </c>
      <c r="B3801" s="79"/>
      <c r="C3801" s="33" t="s">
        <v>11384</v>
      </c>
      <c r="E3801" s="46" t="s">
        <v>1348</v>
      </c>
    </row>
    <row r="3802">
      <c r="A3802" s="56" t="s">
        <v>13453</v>
      </c>
      <c r="B3802" s="79"/>
      <c r="C3802" s="33" t="s">
        <v>11384</v>
      </c>
      <c r="E3802" s="46" t="s">
        <v>1348</v>
      </c>
    </row>
    <row r="3803">
      <c r="A3803" s="56" t="s">
        <v>13454</v>
      </c>
      <c r="B3803" s="79"/>
      <c r="C3803" s="33" t="s">
        <v>11389</v>
      </c>
      <c r="E3803" s="46" t="s">
        <v>1348</v>
      </c>
    </row>
    <row r="3804">
      <c r="A3804" s="56" t="s">
        <v>13455</v>
      </c>
      <c r="B3804" s="21"/>
      <c r="C3804" s="33" t="s">
        <v>11391</v>
      </c>
      <c r="E3804" s="46" t="s">
        <v>7616</v>
      </c>
    </row>
    <row r="3805">
      <c r="A3805" s="56" t="s">
        <v>13457</v>
      </c>
      <c r="B3805" s="21"/>
      <c r="C3805" s="33" t="s">
        <v>11391</v>
      </c>
      <c r="E3805" s="46" t="s">
        <v>7618</v>
      </c>
    </row>
    <row r="3806">
      <c r="A3806" s="56" t="s">
        <v>13458</v>
      </c>
      <c r="B3806" s="21"/>
      <c r="C3806" s="33" t="s">
        <v>11394</v>
      </c>
      <c r="E3806" s="46" t="s">
        <v>7616</v>
      </c>
    </row>
    <row r="3807">
      <c r="A3807" s="56" t="s">
        <v>13459</v>
      </c>
      <c r="B3807" s="21"/>
      <c r="C3807" s="33" t="s">
        <v>11394</v>
      </c>
      <c r="E3807" s="46" t="s">
        <v>7618</v>
      </c>
    </row>
    <row r="3808">
      <c r="A3808" s="56" t="s">
        <v>13460</v>
      </c>
      <c r="B3808" s="21"/>
      <c r="C3808" s="33" t="s">
        <v>11398</v>
      </c>
      <c r="E3808" s="46" t="s">
        <v>7616</v>
      </c>
    </row>
    <row r="3809">
      <c r="A3809" s="56" t="s">
        <v>13462</v>
      </c>
      <c r="B3809" s="21"/>
      <c r="C3809" s="33" t="s">
        <v>11398</v>
      </c>
      <c r="E3809" s="46" t="s">
        <v>7618</v>
      </c>
    </row>
    <row r="3810">
      <c r="A3810" s="56" t="s">
        <v>13463</v>
      </c>
      <c r="B3810" s="21"/>
      <c r="C3810" s="33" t="s">
        <v>11391</v>
      </c>
      <c r="E3810" s="46" t="s">
        <v>7616</v>
      </c>
    </row>
    <row r="3811">
      <c r="A3811" s="56" t="s">
        <v>13465</v>
      </c>
      <c r="B3811" s="21"/>
      <c r="C3811" s="33" t="s">
        <v>11391</v>
      </c>
      <c r="E3811" s="46" t="s">
        <v>7618</v>
      </c>
    </row>
    <row r="3812">
      <c r="A3812" s="56" t="s">
        <v>13466</v>
      </c>
      <c r="B3812" s="21"/>
      <c r="C3812" s="33" t="s">
        <v>11394</v>
      </c>
      <c r="E3812" s="46" t="s">
        <v>7616</v>
      </c>
    </row>
    <row r="3813">
      <c r="A3813" s="56" t="s">
        <v>13469</v>
      </c>
      <c r="B3813" s="21"/>
      <c r="C3813" s="33" t="s">
        <v>11394</v>
      </c>
      <c r="E3813" s="46" t="s">
        <v>7618</v>
      </c>
    </row>
    <row r="3814">
      <c r="A3814" s="56" t="s">
        <v>13470</v>
      </c>
      <c r="B3814" s="21"/>
      <c r="C3814" s="33" t="s">
        <v>11398</v>
      </c>
      <c r="E3814" s="46" t="s">
        <v>7616</v>
      </c>
    </row>
    <row r="3815">
      <c r="A3815" s="56" t="s">
        <v>13472</v>
      </c>
      <c r="B3815" s="21"/>
      <c r="C3815" s="33" t="s">
        <v>11398</v>
      </c>
      <c r="E3815" s="46" t="s">
        <v>7618</v>
      </c>
    </row>
    <row r="3816">
      <c r="A3816" s="56" t="s">
        <v>13473</v>
      </c>
      <c r="B3816" s="21"/>
      <c r="C3816" s="33" t="s">
        <v>11411</v>
      </c>
      <c r="E3816" s="46" t="s">
        <v>7616</v>
      </c>
    </row>
    <row r="3817">
      <c r="A3817" s="56" t="s">
        <v>13476</v>
      </c>
      <c r="B3817" s="21"/>
      <c r="C3817" s="33" t="s">
        <v>11411</v>
      </c>
      <c r="E3817" s="46" t="s">
        <v>7618</v>
      </c>
    </row>
    <row r="3818">
      <c r="A3818" s="56" t="s">
        <v>13477</v>
      </c>
      <c r="B3818" s="21"/>
      <c r="C3818" s="33" t="s">
        <v>11416</v>
      </c>
      <c r="E3818" s="46" t="s">
        <v>7616</v>
      </c>
    </row>
    <row r="3819">
      <c r="A3819" s="56" t="s">
        <v>13480</v>
      </c>
      <c r="B3819" s="21"/>
      <c r="C3819" s="33" t="s">
        <v>11416</v>
      </c>
      <c r="E3819" s="46" t="s">
        <v>7618</v>
      </c>
    </row>
    <row r="3820">
      <c r="A3820" s="56" t="s">
        <v>13481</v>
      </c>
      <c r="B3820" s="21"/>
      <c r="C3820" s="33" t="s">
        <v>11419</v>
      </c>
      <c r="E3820" s="46" t="s">
        <v>7616</v>
      </c>
    </row>
    <row r="3821">
      <c r="A3821" s="56" t="s">
        <v>13482</v>
      </c>
      <c r="B3821" s="21"/>
      <c r="C3821" s="33" t="s">
        <v>11419</v>
      </c>
      <c r="E3821" s="46" t="s">
        <v>7618</v>
      </c>
    </row>
    <row r="3822">
      <c r="A3822" s="56" t="s">
        <v>13483</v>
      </c>
      <c r="B3822" s="21"/>
      <c r="C3822" s="33" t="s">
        <v>11411</v>
      </c>
      <c r="E3822" s="46" t="s">
        <v>7616</v>
      </c>
    </row>
    <row r="3823">
      <c r="A3823" s="56" t="s">
        <v>13484</v>
      </c>
      <c r="B3823" s="21"/>
      <c r="C3823" s="33" t="s">
        <v>11411</v>
      </c>
      <c r="E3823" s="46" t="s">
        <v>7618</v>
      </c>
    </row>
    <row r="3824">
      <c r="A3824" s="56" t="s">
        <v>13485</v>
      </c>
      <c r="B3824" s="21"/>
      <c r="C3824" s="33" t="s">
        <v>11416</v>
      </c>
      <c r="E3824" s="46" t="s">
        <v>7616</v>
      </c>
    </row>
    <row r="3825">
      <c r="A3825" s="56" t="s">
        <v>13486</v>
      </c>
      <c r="B3825" s="21"/>
      <c r="C3825" s="33" t="s">
        <v>11416</v>
      </c>
      <c r="E3825" s="46" t="s">
        <v>7618</v>
      </c>
    </row>
    <row r="3826">
      <c r="A3826" s="56" t="s">
        <v>13489</v>
      </c>
      <c r="B3826" s="21"/>
      <c r="C3826" s="33" t="s">
        <v>11419</v>
      </c>
      <c r="E3826" s="46" t="s">
        <v>7616</v>
      </c>
    </row>
    <row r="3827">
      <c r="A3827" s="56" t="s">
        <v>13490</v>
      </c>
      <c r="B3827" s="21"/>
      <c r="C3827" s="33" t="s">
        <v>11419</v>
      </c>
      <c r="E3827" s="46" t="s">
        <v>7618</v>
      </c>
    </row>
    <row r="3828">
      <c r="A3828" s="56" t="s">
        <v>13491</v>
      </c>
      <c r="B3828" s="55"/>
      <c r="C3828" s="31"/>
    </row>
    <row r="3829">
      <c r="A3829" s="56" t="s">
        <v>13492</v>
      </c>
      <c r="B3829" s="82"/>
      <c r="C3829" s="33" t="s">
        <v>13493</v>
      </c>
    </row>
    <row r="3830">
      <c r="A3830" s="56" t="s">
        <v>13494</v>
      </c>
      <c r="B3830" s="55"/>
      <c r="C3830" s="31"/>
    </row>
    <row r="3831">
      <c r="A3831" s="56" t="s">
        <v>13496</v>
      </c>
      <c r="B3831" s="55"/>
      <c r="C3831" s="31"/>
    </row>
    <row r="3832">
      <c r="A3832" s="56" t="s">
        <v>13497</v>
      </c>
      <c r="B3832" s="55"/>
      <c r="C3832" s="31"/>
    </row>
    <row r="3833">
      <c r="A3833" s="56" t="s">
        <v>13498</v>
      </c>
      <c r="B3833" s="55"/>
      <c r="C3833" s="31"/>
    </row>
    <row r="3834">
      <c r="A3834" s="56" t="s">
        <v>13499</v>
      </c>
      <c r="B3834" s="55"/>
      <c r="C3834" s="31"/>
    </row>
    <row r="3835">
      <c r="A3835" s="56" t="s">
        <v>13500</v>
      </c>
      <c r="B3835" s="55"/>
      <c r="C3835" s="31"/>
    </row>
    <row r="3836">
      <c r="A3836" s="56" t="s">
        <v>13501</v>
      </c>
      <c r="B3836" s="55"/>
      <c r="C3836" s="31"/>
    </row>
    <row r="3837">
      <c r="A3837" s="56" t="s">
        <v>13502</v>
      </c>
      <c r="B3837" s="55"/>
      <c r="C3837" s="31"/>
    </row>
    <row r="3838">
      <c r="A3838" s="56" t="s">
        <v>13503</v>
      </c>
      <c r="B3838" s="55"/>
      <c r="C3838" s="31"/>
    </row>
    <row r="3839">
      <c r="A3839" s="56" t="s">
        <v>13504</v>
      </c>
      <c r="B3839" s="55"/>
      <c r="C3839" s="31"/>
    </row>
    <row r="3840">
      <c r="A3840" s="56" t="s">
        <v>13507</v>
      </c>
      <c r="B3840" s="55"/>
      <c r="C3840" s="31"/>
    </row>
    <row r="3841">
      <c r="A3841" s="56" t="s">
        <v>13508</v>
      </c>
      <c r="B3841" s="55"/>
      <c r="C3841" s="31"/>
    </row>
    <row r="3842">
      <c r="A3842" s="56" t="s">
        <v>13509</v>
      </c>
      <c r="B3842" s="55"/>
      <c r="C3842" s="31"/>
    </row>
    <row r="3843">
      <c r="A3843" s="56" t="s">
        <v>13510</v>
      </c>
      <c r="B3843" s="55"/>
      <c r="C3843" s="31"/>
    </row>
    <row r="3844">
      <c r="A3844" s="56" t="s">
        <v>13511</v>
      </c>
      <c r="B3844" s="55"/>
      <c r="C3844" s="31"/>
    </row>
    <row r="3845">
      <c r="A3845" s="56" t="s">
        <v>13512</v>
      </c>
      <c r="B3845" s="55"/>
      <c r="C3845" s="31"/>
    </row>
    <row r="3846">
      <c r="A3846" s="56" t="s">
        <v>13513</v>
      </c>
      <c r="B3846" s="55"/>
      <c r="C3846" s="31"/>
    </row>
    <row r="3847">
      <c r="A3847" s="56" t="s">
        <v>13514</v>
      </c>
      <c r="B3847" s="55"/>
      <c r="C3847" s="31"/>
    </row>
    <row r="3848">
      <c r="A3848" s="56" t="s">
        <v>13515</v>
      </c>
      <c r="B3848" s="55"/>
      <c r="C3848" s="31"/>
    </row>
    <row r="3849">
      <c r="A3849" s="56" t="s">
        <v>13516</v>
      </c>
      <c r="B3849" s="55"/>
      <c r="C3849" s="31"/>
    </row>
    <row r="3850">
      <c r="A3850" s="56" t="s">
        <v>13517</v>
      </c>
      <c r="B3850" s="55"/>
      <c r="C3850" s="31"/>
    </row>
    <row r="3851">
      <c r="A3851" s="56" t="s">
        <v>13519</v>
      </c>
      <c r="B3851" s="55"/>
      <c r="C3851" s="31"/>
    </row>
    <row r="3852">
      <c r="A3852" s="56" t="s">
        <v>13520</v>
      </c>
      <c r="B3852" s="55"/>
      <c r="C3852" s="31"/>
    </row>
    <row r="3853">
      <c r="A3853" s="56" t="s">
        <v>13521</v>
      </c>
      <c r="B3853" s="55"/>
      <c r="C3853" s="31"/>
    </row>
    <row r="3854">
      <c r="A3854" s="56" t="s">
        <v>13523</v>
      </c>
      <c r="B3854" s="55"/>
      <c r="C3854" s="31"/>
    </row>
    <row r="3855">
      <c r="A3855" s="56" t="s">
        <v>13524</v>
      </c>
      <c r="B3855" s="55"/>
      <c r="C3855" s="31"/>
    </row>
    <row r="3856">
      <c r="A3856" s="56" t="s">
        <v>13525</v>
      </c>
      <c r="B3856" s="55"/>
      <c r="C3856" s="31"/>
    </row>
    <row r="3857">
      <c r="A3857" s="56" t="s">
        <v>13526</v>
      </c>
      <c r="B3857" s="55"/>
      <c r="C3857" s="31"/>
    </row>
    <row r="3858">
      <c r="A3858" s="56" t="s">
        <v>13527</v>
      </c>
      <c r="B3858" s="55"/>
      <c r="C3858" s="31"/>
    </row>
    <row r="3859">
      <c r="A3859" s="56" t="s">
        <v>13528</v>
      </c>
      <c r="B3859" s="55"/>
      <c r="C3859" s="31"/>
    </row>
    <row r="3860">
      <c r="A3860" s="56" t="s">
        <v>13529</v>
      </c>
      <c r="B3860" s="55"/>
      <c r="C3860" s="31"/>
    </row>
    <row r="3861">
      <c r="A3861" s="56" t="s">
        <v>13530</v>
      </c>
      <c r="B3861" s="82"/>
      <c r="C3861" s="33" t="s">
        <v>13532</v>
      </c>
    </row>
    <row r="3862">
      <c r="A3862" s="56" t="s">
        <v>13533</v>
      </c>
      <c r="B3862" s="55"/>
      <c r="C3862" s="31"/>
    </row>
    <row r="3863">
      <c r="A3863" s="56" t="s">
        <v>13534</v>
      </c>
      <c r="B3863" s="55"/>
      <c r="C3863" s="31"/>
    </row>
    <row r="3864">
      <c r="A3864" s="56" t="s">
        <v>13535</v>
      </c>
      <c r="B3864" s="55"/>
      <c r="C3864" s="31"/>
    </row>
    <row r="3865">
      <c r="A3865" s="56" t="s">
        <v>13536</v>
      </c>
      <c r="B3865" s="55"/>
      <c r="C3865" s="31"/>
    </row>
    <row r="3866">
      <c r="A3866" s="56" t="s">
        <v>13537</v>
      </c>
      <c r="B3866" s="55"/>
      <c r="C3866" s="31"/>
    </row>
    <row r="3867">
      <c r="A3867" s="56" t="s">
        <v>13539</v>
      </c>
      <c r="B3867" s="55"/>
      <c r="C3867" s="31"/>
    </row>
    <row r="3868">
      <c r="A3868" s="56" t="s">
        <v>13541</v>
      </c>
      <c r="B3868" s="55"/>
      <c r="C3868" s="31"/>
    </row>
    <row r="3869">
      <c r="A3869" s="56" t="s">
        <v>13542</v>
      </c>
      <c r="B3869" s="55"/>
      <c r="C3869" s="31"/>
    </row>
    <row r="3870">
      <c r="A3870" s="56" t="s">
        <v>13543</v>
      </c>
      <c r="B3870" s="55"/>
      <c r="C3870" s="31"/>
    </row>
    <row r="3871">
      <c r="A3871" s="56" t="s">
        <v>13544</v>
      </c>
      <c r="B3871" s="55"/>
      <c r="C3871" s="31"/>
    </row>
    <row r="3872">
      <c r="A3872" s="56" t="s">
        <v>13545</v>
      </c>
      <c r="B3872" s="55"/>
      <c r="C3872" s="31"/>
    </row>
    <row r="3873">
      <c r="A3873" s="56" t="s">
        <v>13547</v>
      </c>
      <c r="B3873" s="55"/>
      <c r="C3873" s="31"/>
    </row>
    <row r="3874">
      <c r="A3874" s="56" t="s">
        <v>13549</v>
      </c>
      <c r="B3874" s="55"/>
      <c r="C3874" s="31"/>
    </row>
    <row r="3875">
      <c r="A3875" s="56" t="s">
        <v>13550</v>
      </c>
      <c r="B3875" s="55"/>
      <c r="C3875" s="31"/>
    </row>
    <row r="3876">
      <c r="A3876" s="56" t="s">
        <v>13551</v>
      </c>
      <c r="B3876" s="55"/>
      <c r="C3876" s="31"/>
    </row>
    <row r="3877">
      <c r="A3877" s="56" t="s">
        <v>13552</v>
      </c>
      <c r="B3877" s="55"/>
      <c r="C3877" s="31"/>
    </row>
    <row r="3878">
      <c r="A3878" s="56" t="s">
        <v>13553</v>
      </c>
      <c r="B3878" s="55"/>
      <c r="C3878" s="31"/>
    </row>
    <row r="3879">
      <c r="A3879" s="56" t="s">
        <v>13554</v>
      </c>
      <c r="B3879" s="55"/>
      <c r="C3879" s="31"/>
    </row>
    <row r="3880">
      <c r="A3880" s="56" t="s">
        <v>13555</v>
      </c>
      <c r="B3880" s="55"/>
      <c r="C3880" s="31"/>
    </row>
    <row r="3881">
      <c r="A3881" s="56" t="s">
        <v>13557</v>
      </c>
      <c r="B3881" s="55"/>
      <c r="C3881" s="31"/>
    </row>
    <row r="3882">
      <c r="A3882" s="56" t="s">
        <v>13560</v>
      </c>
      <c r="B3882" s="55"/>
      <c r="C3882" s="31"/>
    </row>
    <row r="3883">
      <c r="A3883" s="56" t="s">
        <v>13561</v>
      </c>
      <c r="B3883" s="55"/>
      <c r="C3883" s="31"/>
    </row>
    <row r="3884">
      <c r="A3884" s="56" t="s">
        <v>13562</v>
      </c>
      <c r="B3884" s="55"/>
      <c r="C3884" s="31"/>
    </row>
    <row r="3885">
      <c r="A3885" s="56" t="s">
        <v>13563</v>
      </c>
      <c r="B3885" s="55"/>
      <c r="C3885" s="31"/>
    </row>
    <row r="3886">
      <c r="A3886" s="56" t="s">
        <v>13564</v>
      </c>
      <c r="B3886" s="55"/>
      <c r="C3886" s="31"/>
    </row>
    <row r="3887">
      <c r="A3887" s="56" t="s">
        <v>13565</v>
      </c>
      <c r="B3887" s="55"/>
      <c r="C3887" s="31"/>
    </row>
    <row r="3888">
      <c r="A3888" s="56" t="s">
        <v>13566</v>
      </c>
      <c r="B3888" s="55"/>
      <c r="C3888" s="31"/>
    </row>
    <row r="3889">
      <c r="A3889" s="56" t="s">
        <v>13568</v>
      </c>
      <c r="B3889" s="55"/>
      <c r="C3889" s="31"/>
    </row>
    <row r="3890">
      <c r="A3890" s="56" t="s">
        <v>13569</v>
      </c>
      <c r="B3890" s="55"/>
      <c r="C3890" s="31"/>
    </row>
    <row r="3891">
      <c r="A3891" s="56" t="s">
        <v>13570</v>
      </c>
      <c r="B3891" s="55"/>
      <c r="C3891" s="31"/>
    </row>
    <row r="3892">
      <c r="A3892" s="56" t="s">
        <v>13571</v>
      </c>
      <c r="B3892" s="55"/>
      <c r="C3892" s="31"/>
    </row>
    <row r="3893">
      <c r="A3893" s="56" t="s">
        <v>13573</v>
      </c>
      <c r="B3893" s="55"/>
      <c r="C3893" s="31"/>
    </row>
    <row r="3894">
      <c r="A3894" s="56" t="s">
        <v>13574</v>
      </c>
      <c r="B3894" s="55"/>
      <c r="C3894" s="31"/>
    </row>
    <row r="3895">
      <c r="A3895" s="56" t="s">
        <v>13576</v>
      </c>
      <c r="B3895" s="55"/>
      <c r="C3895" s="31"/>
    </row>
    <row r="3896">
      <c r="A3896" s="56" t="s">
        <v>13577</v>
      </c>
      <c r="B3896" s="55"/>
      <c r="C3896" s="31"/>
    </row>
    <row r="3897">
      <c r="A3897" s="56" t="s">
        <v>13578</v>
      </c>
      <c r="B3897" s="55"/>
      <c r="C3897" s="31"/>
    </row>
    <row r="3898">
      <c r="A3898" s="56" t="s">
        <v>13579</v>
      </c>
      <c r="B3898" s="55"/>
      <c r="C3898" s="31"/>
    </row>
    <row r="3899">
      <c r="A3899" s="56" t="s">
        <v>13580</v>
      </c>
      <c r="B3899" s="55"/>
      <c r="C3899" s="31"/>
    </row>
    <row r="3900">
      <c r="A3900" s="56" t="s">
        <v>13581</v>
      </c>
      <c r="B3900" s="55"/>
      <c r="C3900" s="31"/>
    </row>
    <row r="3901">
      <c r="A3901" s="56" t="s">
        <v>13582</v>
      </c>
      <c r="B3901" s="55"/>
      <c r="C3901" s="31"/>
    </row>
    <row r="3902">
      <c r="A3902" s="56" t="s">
        <v>13583</v>
      </c>
      <c r="B3902" s="55"/>
      <c r="C3902" s="31"/>
    </row>
    <row r="3903">
      <c r="A3903" s="56" t="s">
        <v>13584</v>
      </c>
      <c r="B3903" s="55"/>
      <c r="C3903" s="31"/>
    </row>
    <row r="3904">
      <c r="A3904" s="56" t="s">
        <v>13586</v>
      </c>
      <c r="B3904" s="82"/>
      <c r="C3904" s="33" t="s">
        <v>13587</v>
      </c>
    </row>
    <row r="3905">
      <c r="A3905" s="56" t="s">
        <v>13589</v>
      </c>
      <c r="B3905" s="55"/>
      <c r="C3905" s="31"/>
    </row>
    <row r="3906">
      <c r="A3906" s="56" t="s">
        <v>13591</v>
      </c>
      <c r="B3906" s="55"/>
      <c r="C3906" s="31"/>
    </row>
    <row r="3907">
      <c r="A3907" s="56" t="s">
        <v>13592</v>
      </c>
      <c r="B3907" s="55"/>
      <c r="C3907" s="31"/>
    </row>
    <row r="3908">
      <c r="A3908" s="56" t="s">
        <v>13593</v>
      </c>
      <c r="B3908" s="55"/>
      <c r="C3908" s="31"/>
    </row>
    <row r="3909">
      <c r="A3909" s="56" t="s">
        <v>13594</v>
      </c>
      <c r="B3909" s="55"/>
      <c r="C3909" s="31"/>
    </row>
    <row r="3910">
      <c r="A3910" s="56" t="s">
        <v>13595</v>
      </c>
      <c r="B3910" s="55"/>
      <c r="C3910" s="31"/>
    </row>
    <row r="3911">
      <c r="A3911" s="56" t="s">
        <v>13597</v>
      </c>
      <c r="B3911" s="55"/>
      <c r="C3911" s="31"/>
    </row>
    <row r="3912">
      <c r="A3912" s="56" t="s">
        <v>13598</v>
      </c>
      <c r="B3912" s="55"/>
      <c r="C3912" s="31"/>
    </row>
    <row r="3913">
      <c r="A3913" s="56" t="s">
        <v>13599</v>
      </c>
      <c r="B3913" s="55"/>
      <c r="C3913" s="31"/>
    </row>
    <row r="3914">
      <c r="A3914" s="56" t="s">
        <v>13600</v>
      </c>
      <c r="B3914" s="55"/>
      <c r="C3914" s="31"/>
    </row>
    <row r="3915">
      <c r="A3915" s="56" t="s">
        <v>13601</v>
      </c>
      <c r="B3915" s="55"/>
      <c r="C3915" s="31"/>
    </row>
    <row r="3916">
      <c r="A3916" s="56" t="s">
        <v>13602</v>
      </c>
      <c r="B3916" s="55"/>
      <c r="C3916" s="31"/>
    </row>
    <row r="3917">
      <c r="A3917" s="56" t="s">
        <v>13603</v>
      </c>
      <c r="B3917" s="55"/>
      <c r="C3917" s="31"/>
    </row>
    <row r="3918">
      <c r="A3918" s="56" t="s">
        <v>13606</v>
      </c>
      <c r="B3918" s="55"/>
      <c r="C3918" s="31"/>
    </row>
    <row r="3919">
      <c r="A3919" s="56" t="s">
        <v>13608</v>
      </c>
      <c r="B3919" s="55"/>
      <c r="C3919" s="31"/>
    </row>
    <row r="3920">
      <c r="A3920" s="56" t="s">
        <v>13609</v>
      </c>
      <c r="B3920" s="55"/>
      <c r="C3920" s="31"/>
    </row>
    <row r="3921">
      <c r="A3921" s="56" t="s">
        <v>13610</v>
      </c>
      <c r="B3921" s="55"/>
      <c r="C3921" s="31"/>
    </row>
    <row r="3922">
      <c r="A3922" s="56" t="s">
        <v>13611</v>
      </c>
      <c r="B3922" s="55"/>
      <c r="C3922" s="31"/>
    </row>
    <row r="3923">
      <c r="A3923" s="56" t="s">
        <v>13612</v>
      </c>
      <c r="B3923" s="55"/>
      <c r="C3923" s="31"/>
    </row>
    <row r="3924">
      <c r="A3924" s="56" t="s">
        <v>13613</v>
      </c>
      <c r="B3924" s="55"/>
      <c r="C3924" s="31"/>
    </row>
    <row r="3925">
      <c r="A3925" s="56" t="s">
        <v>13614</v>
      </c>
      <c r="B3925" s="55"/>
      <c r="C3925" s="31"/>
    </row>
    <row r="3926">
      <c r="A3926" s="56" t="s">
        <v>13615</v>
      </c>
      <c r="B3926" s="55"/>
      <c r="C3926" s="31"/>
    </row>
    <row r="3927">
      <c r="A3927" s="56" t="s">
        <v>13617</v>
      </c>
      <c r="B3927" s="55"/>
      <c r="C3927" s="31"/>
    </row>
    <row r="3928">
      <c r="A3928" s="56" t="s">
        <v>13620</v>
      </c>
      <c r="B3928" s="55"/>
      <c r="C3928" s="31"/>
    </row>
    <row r="3929">
      <c r="A3929" s="56" t="s">
        <v>13621</v>
      </c>
      <c r="B3929" s="55"/>
      <c r="C3929" s="31"/>
    </row>
    <row r="3930">
      <c r="A3930" s="56" t="s">
        <v>13622</v>
      </c>
      <c r="B3930" s="55"/>
      <c r="C3930" s="31"/>
    </row>
    <row r="3931">
      <c r="A3931" s="56" t="s">
        <v>13623</v>
      </c>
      <c r="B3931" s="55"/>
      <c r="C3931" s="31"/>
    </row>
    <row r="3932">
      <c r="A3932" s="56" t="s">
        <v>13624</v>
      </c>
      <c r="B3932" s="55"/>
      <c r="C3932" s="31"/>
    </row>
    <row r="3933">
      <c r="A3933" s="56" t="s">
        <v>13625</v>
      </c>
      <c r="B3933" s="55"/>
      <c r="C3933" s="31"/>
    </row>
    <row r="3934">
      <c r="A3934" s="56" t="s">
        <v>13626</v>
      </c>
      <c r="B3934" s="55"/>
      <c r="C3934" s="31"/>
    </row>
    <row r="3935">
      <c r="A3935" s="56" t="s">
        <v>13627</v>
      </c>
      <c r="B3935" s="82"/>
      <c r="C3935" s="33" t="s">
        <v>13629</v>
      </c>
    </row>
    <row r="3936">
      <c r="A3936" s="56" t="s">
        <v>13630</v>
      </c>
      <c r="B3936" s="82"/>
      <c r="C3936" s="33" t="s">
        <v>11373</v>
      </c>
      <c r="E3936" s="46" t="s">
        <v>7616</v>
      </c>
    </row>
    <row r="3937">
      <c r="A3937" s="56" t="s">
        <v>13631</v>
      </c>
      <c r="B3937" s="82"/>
      <c r="C3937" s="33" t="s">
        <v>11373</v>
      </c>
      <c r="E3937" s="46" t="s">
        <v>7618</v>
      </c>
    </row>
    <row r="3938">
      <c r="A3938" s="56" t="s">
        <v>13633</v>
      </c>
      <c r="B3938" s="82"/>
      <c r="C3938" s="33" t="s">
        <v>11376</v>
      </c>
      <c r="E3938" s="46" t="s">
        <v>7616</v>
      </c>
    </row>
    <row r="3939">
      <c r="A3939" s="56" t="s">
        <v>13634</v>
      </c>
      <c r="B3939" s="82"/>
      <c r="C3939" s="33" t="s">
        <v>11376</v>
      </c>
      <c r="E3939" s="46" t="s">
        <v>7618</v>
      </c>
    </row>
    <row r="3940">
      <c r="A3940" s="56" t="s">
        <v>13635</v>
      </c>
      <c r="B3940" s="82"/>
      <c r="C3940" s="33" t="s">
        <v>11380</v>
      </c>
      <c r="E3940" s="46" t="s">
        <v>7616</v>
      </c>
    </row>
    <row r="3941">
      <c r="A3941" s="56" t="s">
        <v>13637</v>
      </c>
      <c r="B3941" s="82"/>
      <c r="C3941" s="33" t="s">
        <v>11380</v>
      </c>
      <c r="E3941" s="46" t="s">
        <v>7618</v>
      </c>
    </row>
    <row r="3942">
      <c r="A3942" s="56" t="s">
        <v>13638</v>
      </c>
      <c r="B3942" s="79"/>
      <c r="C3942" s="33" t="s">
        <v>11384</v>
      </c>
      <c r="E3942" s="46" t="s">
        <v>1348</v>
      </c>
    </row>
    <row r="3943">
      <c r="A3943" s="56" t="s">
        <v>13639</v>
      </c>
      <c r="B3943" s="79"/>
      <c r="C3943" s="33" t="s">
        <v>11384</v>
      </c>
      <c r="E3943" s="46" t="s">
        <v>1348</v>
      </c>
    </row>
    <row r="3944">
      <c r="A3944" s="56" t="s">
        <v>13640</v>
      </c>
      <c r="B3944" s="79"/>
      <c r="C3944" s="33" t="s">
        <v>11389</v>
      </c>
      <c r="E3944" s="46" t="s">
        <v>1348</v>
      </c>
    </row>
    <row r="3945">
      <c r="A3945" s="56" t="s">
        <v>13641</v>
      </c>
      <c r="B3945" s="21"/>
      <c r="C3945" s="33" t="s">
        <v>11391</v>
      </c>
      <c r="E3945" s="46" t="s">
        <v>7616</v>
      </c>
    </row>
    <row r="3946">
      <c r="A3946" s="56" t="s">
        <v>13642</v>
      </c>
      <c r="B3946" s="21"/>
      <c r="C3946" s="33" t="s">
        <v>11391</v>
      </c>
      <c r="E3946" s="46" t="s">
        <v>7618</v>
      </c>
    </row>
    <row r="3947">
      <c r="A3947" s="56" t="s">
        <v>13643</v>
      </c>
      <c r="B3947" s="21"/>
      <c r="C3947" s="33" t="s">
        <v>11394</v>
      </c>
      <c r="E3947" s="46" t="s">
        <v>7616</v>
      </c>
    </row>
    <row r="3948">
      <c r="A3948" s="56" t="s">
        <v>13645</v>
      </c>
      <c r="B3948" s="21"/>
      <c r="C3948" s="33" t="s">
        <v>11394</v>
      </c>
      <c r="E3948" s="46" t="s">
        <v>7618</v>
      </c>
    </row>
    <row r="3949">
      <c r="A3949" s="56" t="s">
        <v>13646</v>
      </c>
      <c r="B3949" s="21"/>
      <c r="C3949" s="33" t="s">
        <v>11398</v>
      </c>
      <c r="E3949" s="46" t="s">
        <v>7616</v>
      </c>
    </row>
    <row r="3950">
      <c r="A3950" s="56" t="s">
        <v>13647</v>
      </c>
      <c r="B3950" s="21"/>
      <c r="C3950" s="33" t="s">
        <v>11398</v>
      </c>
      <c r="E3950" s="46" t="s">
        <v>7618</v>
      </c>
    </row>
    <row r="3951">
      <c r="A3951" s="56" t="s">
        <v>13648</v>
      </c>
      <c r="B3951" s="21"/>
      <c r="C3951" s="33" t="s">
        <v>11391</v>
      </c>
      <c r="E3951" s="46" t="s">
        <v>7616</v>
      </c>
    </row>
    <row r="3952">
      <c r="A3952" s="56" t="s">
        <v>13649</v>
      </c>
      <c r="B3952" s="21"/>
      <c r="C3952" s="33" t="s">
        <v>11391</v>
      </c>
      <c r="E3952" s="46" t="s">
        <v>7618</v>
      </c>
    </row>
    <row r="3953">
      <c r="A3953" s="56" t="s">
        <v>13652</v>
      </c>
      <c r="B3953" s="21"/>
      <c r="C3953" s="33" t="s">
        <v>11394</v>
      </c>
      <c r="E3953" s="46" t="s">
        <v>7616</v>
      </c>
    </row>
    <row r="3954">
      <c r="A3954" s="56" t="s">
        <v>13653</v>
      </c>
      <c r="B3954" s="21"/>
      <c r="C3954" s="33" t="s">
        <v>11394</v>
      </c>
      <c r="E3954" s="46" t="s">
        <v>7618</v>
      </c>
    </row>
    <row r="3955">
      <c r="A3955" s="56" t="s">
        <v>13654</v>
      </c>
      <c r="B3955" s="21"/>
      <c r="C3955" s="33" t="s">
        <v>11398</v>
      </c>
      <c r="E3955" s="46" t="s">
        <v>7616</v>
      </c>
    </row>
    <row r="3956">
      <c r="A3956" s="56" t="s">
        <v>13655</v>
      </c>
      <c r="B3956" s="21"/>
      <c r="C3956" s="33" t="s">
        <v>11398</v>
      </c>
      <c r="E3956" s="46" t="s">
        <v>7618</v>
      </c>
    </row>
    <row r="3957">
      <c r="A3957" s="56" t="s">
        <v>13657</v>
      </c>
      <c r="B3957" s="21"/>
      <c r="C3957" s="33" t="s">
        <v>11411</v>
      </c>
      <c r="E3957" s="46" t="s">
        <v>7616</v>
      </c>
    </row>
    <row r="3958">
      <c r="A3958" s="56" t="s">
        <v>13659</v>
      </c>
      <c r="B3958" s="21"/>
      <c r="C3958" s="33" t="s">
        <v>11411</v>
      </c>
      <c r="E3958" s="46" t="s">
        <v>7618</v>
      </c>
    </row>
    <row r="3959">
      <c r="A3959" s="56" t="s">
        <v>13660</v>
      </c>
      <c r="B3959" s="21"/>
      <c r="C3959" s="33" t="s">
        <v>11416</v>
      </c>
      <c r="E3959" s="46" t="s">
        <v>7616</v>
      </c>
    </row>
    <row r="3960">
      <c r="A3960" s="56" t="s">
        <v>13661</v>
      </c>
      <c r="B3960" s="21"/>
      <c r="C3960" s="33" t="s">
        <v>11416</v>
      </c>
      <c r="E3960" s="46" t="s">
        <v>7618</v>
      </c>
    </row>
    <row r="3961">
      <c r="A3961" s="56" t="s">
        <v>13662</v>
      </c>
      <c r="B3961" s="21"/>
      <c r="C3961" s="33" t="s">
        <v>11419</v>
      </c>
      <c r="E3961" s="46" t="s">
        <v>7616</v>
      </c>
    </row>
    <row r="3962">
      <c r="A3962" s="56" t="s">
        <v>13663</v>
      </c>
      <c r="B3962" s="21"/>
      <c r="C3962" s="33" t="s">
        <v>11419</v>
      </c>
      <c r="E3962" s="46" t="s">
        <v>7618</v>
      </c>
    </row>
    <row r="3963">
      <c r="A3963" s="56" t="s">
        <v>13664</v>
      </c>
      <c r="B3963" s="21"/>
      <c r="C3963" s="33" t="s">
        <v>11411</v>
      </c>
      <c r="E3963" s="46" t="s">
        <v>7616</v>
      </c>
    </row>
    <row r="3964">
      <c r="A3964" s="56" t="s">
        <v>13666</v>
      </c>
      <c r="B3964" s="21"/>
      <c r="C3964" s="33" t="s">
        <v>11411</v>
      </c>
      <c r="E3964" s="46" t="s">
        <v>7618</v>
      </c>
    </row>
    <row r="3965">
      <c r="A3965" s="56" t="s">
        <v>13668</v>
      </c>
      <c r="B3965" s="21"/>
      <c r="C3965" s="33" t="s">
        <v>11416</v>
      </c>
      <c r="E3965" s="46" t="s">
        <v>7616</v>
      </c>
    </row>
    <row r="3966">
      <c r="A3966" s="56" t="s">
        <v>13669</v>
      </c>
      <c r="B3966" s="21"/>
      <c r="C3966" s="33" t="s">
        <v>11416</v>
      </c>
      <c r="E3966" s="46" t="s">
        <v>7618</v>
      </c>
    </row>
    <row r="3967">
      <c r="A3967" s="56" t="s">
        <v>13671</v>
      </c>
      <c r="B3967" s="21"/>
      <c r="C3967" s="33" t="s">
        <v>11419</v>
      </c>
      <c r="E3967" s="46" t="s">
        <v>7616</v>
      </c>
    </row>
    <row r="3968">
      <c r="A3968" s="56" t="s">
        <v>13672</v>
      </c>
      <c r="B3968" s="21"/>
      <c r="C3968" s="33" t="s">
        <v>11419</v>
      </c>
      <c r="E3968" s="46" t="s">
        <v>7618</v>
      </c>
    </row>
    <row r="3969">
      <c r="A3969" s="56" t="s">
        <v>13674</v>
      </c>
      <c r="B3969" s="82"/>
      <c r="C3969" s="33" t="s">
        <v>13675</v>
      </c>
    </row>
    <row r="3970">
      <c r="A3970" s="56" t="s">
        <v>13676</v>
      </c>
      <c r="B3970" s="55"/>
      <c r="C3970" s="31"/>
    </row>
    <row r="3971">
      <c r="A3971" s="56" t="s">
        <v>13677</v>
      </c>
      <c r="B3971" s="55"/>
      <c r="C3971" s="31"/>
    </row>
    <row r="3972">
      <c r="A3972" s="56" t="s">
        <v>13678</v>
      </c>
      <c r="B3972" s="55"/>
      <c r="C3972" s="31"/>
    </row>
    <row r="3973">
      <c r="A3973" s="56" t="s">
        <v>13679</v>
      </c>
      <c r="B3973" s="82"/>
      <c r="C3973" s="33" t="s">
        <v>13680</v>
      </c>
    </row>
    <row r="3974">
      <c r="A3974" s="56" t="s">
        <v>13682</v>
      </c>
      <c r="B3974" s="55"/>
      <c r="C3974" s="31"/>
    </row>
    <row r="3975">
      <c r="A3975" s="56" t="s">
        <v>13683</v>
      </c>
      <c r="B3975" s="55"/>
      <c r="C3975" s="31"/>
    </row>
    <row r="3976">
      <c r="A3976" s="56" t="s">
        <v>13685</v>
      </c>
      <c r="B3976" s="55"/>
      <c r="C3976" s="31"/>
    </row>
    <row r="3977">
      <c r="A3977" s="56" t="s">
        <v>13686</v>
      </c>
      <c r="B3977" s="55"/>
      <c r="C3977" s="31"/>
    </row>
    <row r="3978">
      <c r="A3978" s="56" t="s">
        <v>13687</v>
      </c>
      <c r="B3978" s="55"/>
      <c r="C3978" s="31"/>
    </row>
    <row r="3979">
      <c r="A3979" s="56" t="s">
        <v>13688</v>
      </c>
      <c r="B3979" s="55"/>
      <c r="C3979" s="31"/>
    </row>
    <row r="3980">
      <c r="A3980" s="56" t="s">
        <v>13689</v>
      </c>
      <c r="B3980" s="55"/>
      <c r="C3980" s="31"/>
    </row>
    <row r="3981">
      <c r="A3981" s="56" t="s">
        <v>13690</v>
      </c>
      <c r="B3981" s="55"/>
      <c r="C3981" s="31"/>
    </row>
    <row r="3982">
      <c r="A3982" s="56" t="s">
        <v>13691</v>
      </c>
      <c r="B3982" s="55"/>
      <c r="C3982" s="31"/>
    </row>
    <row r="3983">
      <c r="A3983" s="56" t="s">
        <v>13692</v>
      </c>
      <c r="B3983" s="55"/>
      <c r="C3983" s="31"/>
    </row>
    <row r="3984">
      <c r="A3984" s="56" t="s">
        <v>13693</v>
      </c>
      <c r="B3984" s="55"/>
      <c r="C3984" s="31"/>
    </row>
    <row r="3985">
      <c r="A3985" s="56" t="s">
        <v>13694</v>
      </c>
      <c r="B3985" s="55"/>
      <c r="C3985" s="31"/>
    </row>
    <row r="3986">
      <c r="A3986" s="56" t="s">
        <v>13696</v>
      </c>
      <c r="B3986" s="55"/>
      <c r="C3986" s="31"/>
    </row>
    <row r="3987">
      <c r="A3987" s="56" t="s">
        <v>13698</v>
      </c>
      <c r="B3987" s="55"/>
      <c r="C3987" s="31"/>
    </row>
    <row r="3988">
      <c r="A3988" s="56" t="s">
        <v>13699</v>
      </c>
      <c r="B3988" s="55"/>
      <c r="C3988" s="31"/>
    </row>
    <row r="3989">
      <c r="A3989" s="56" t="s">
        <v>13700</v>
      </c>
      <c r="B3989" s="82"/>
      <c r="C3989" s="33" t="s">
        <v>13701</v>
      </c>
    </row>
    <row r="3990">
      <c r="A3990" s="56" t="s">
        <v>13703</v>
      </c>
      <c r="B3990" s="55"/>
      <c r="C3990" s="31"/>
    </row>
    <row r="3991">
      <c r="A3991" s="56" t="s">
        <v>13704</v>
      </c>
      <c r="B3991" s="55"/>
      <c r="C3991" s="31"/>
    </row>
    <row r="3992">
      <c r="A3992" s="56" t="s">
        <v>13705</v>
      </c>
      <c r="B3992" s="55"/>
      <c r="C3992" s="31"/>
    </row>
    <row r="3993">
      <c r="A3993" s="56" t="s">
        <v>13706</v>
      </c>
      <c r="B3993" s="55"/>
      <c r="C3993" s="31"/>
    </row>
    <row r="3994">
      <c r="A3994" s="56" t="s">
        <v>13707</v>
      </c>
      <c r="B3994" s="55"/>
      <c r="C3994" s="31"/>
    </row>
    <row r="3995">
      <c r="A3995" s="56" t="s">
        <v>13708</v>
      </c>
      <c r="B3995" s="55"/>
      <c r="C3995" s="31"/>
    </row>
    <row r="3996">
      <c r="A3996" s="56" t="s">
        <v>13709</v>
      </c>
      <c r="B3996" s="55"/>
      <c r="C3996" s="31"/>
    </row>
    <row r="3997">
      <c r="A3997" s="56" t="s">
        <v>13711</v>
      </c>
      <c r="B3997" s="55"/>
      <c r="C3997" s="31"/>
    </row>
    <row r="3998">
      <c r="A3998" s="56" t="s">
        <v>13712</v>
      </c>
      <c r="B3998" s="55"/>
      <c r="C3998" s="31"/>
    </row>
    <row r="3999">
      <c r="A3999" s="56" t="s">
        <v>13713</v>
      </c>
      <c r="B3999" s="55"/>
      <c r="C3999" s="31"/>
    </row>
    <row r="4000">
      <c r="A4000" s="56" t="s">
        <v>13714</v>
      </c>
      <c r="B4000" s="55"/>
      <c r="C4000" s="31"/>
    </row>
    <row r="4001">
      <c r="A4001" s="56" t="s">
        <v>13715</v>
      </c>
      <c r="B4001" s="55"/>
      <c r="C4001" s="31"/>
    </row>
    <row r="4002">
      <c r="A4002" s="56" t="s">
        <v>13716</v>
      </c>
      <c r="B4002" s="55"/>
      <c r="C4002" s="31"/>
    </row>
    <row r="4003">
      <c r="A4003" s="56" t="s">
        <v>13717</v>
      </c>
      <c r="B4003" s="55"/>
      <c r="C4003" s="31"/>
    </row>
    <row r="4004">
      <c r="A4004" s="56" t="s">
        <v>13719</v>
      </c>
      <c r="B4004" s="55"/>
      <c r="C4004" s="31"/>
    </row>
    <row r="4005">
      <c r="A4005" s="56" t="s">
        <v>13720</v>
      </c>
      <c r="B4005" s="82"/>
      <c r="C4005" s="33" t="s">
        <v>13721</v>
      </c>
    </row>
    <row r="4006">
      <c r="A4006" s="56" t="s">
        <v>13722</v>
      </c>
      <c r="B4006" s="82"/>
      <c r="C4006" s="33" t="s">
        <v>11373</v>
      </c>
      <c r="E4006" s="46" t="s">
        <v>7616</v>
      </c>
    </row>
    <row r="4007">
      <c r="A4007" s="56" t="s">
        <v>13724</v>
      </c>
      <c r="B4007" s="82"/>
      <c r="C4007" s="33" t="s">
        <v>11373</v>
      </c>
      <c r="E4007" s="46" t="s">
        <v>7618</v>
      </c>
    </row>
    <row r="4008">
      <c r="A4008" s="56" t="s">
        <v>13725</v>
      </c>
      <c r="B4008" s="82"/>
      <c r="C4008" s="33" t="s">
        <v>11376</v>
      </c>
      <c r="E4008" s="46" t="s">
        <v>7616</v>
      </c>
    </row>
    <row r="4009">
      <c r="A4009" s="56" t="s">
        <v>13726</v>
      </c>
      <c r="B4009" s="82"/>
      <c r="C4009" s="33" t="s">
        <v>11376</v>
      </c>
      <c r="E4009" s="46" t="s">
        <v>7618</v>
      </c>
    </row>
    <row r="4010">
      <c r="A4010" s="56" t="s">
        <v>13728</v>
      </c>
      <c r="B4010" s="82"/>
      <c r="C4010" s="33" t="s">
        <v>11380</v>
      </c>
      <c r="E4010" s="46" t="s">
        <v>7616</v>
      </c>
    </row>
    <row r="4011">
      <c r="A4011" s="56" t="s">
        <v>13729</v>
      </c>
      <c r="B4011" s="82"/>
      <c r="C4011" s="33" t="s">
        <v>11380</v>
      </c>
      <c r="E4011" s="46" t="s">
        <v>7618</v>
      </c>
    </row>
    <row r="4012">
      <c r="A4012" s="56" t="s">
        <v>13730</v>
      </c>
      <c r="B4012" s="79"/>
      <c r="C4012" s="33" t="s">
        <v>11384</v>
      </c>
      <c r="E4012" s="46" t="s">
        <v>1348</v>
      </c>
    </row>
    <row r="4013">
      <c r="A4013" s="56" t="s">
        <v>13731</v>
      </c>
      <c r="B4013" s="79"/>
      <c r="C4013" s="33" t="s">
        <v>11384</v>
      </c>
      <c r="E4013" s="46" t="s">
        <v>1348</v>
      </c>
    </row>
    <row r="4014">
      <c r="A4014" s="56" t="s">
        <v>13732</v>
      </c>
      <c r="B4014" s="79"/>
      <c r="C4014" s="33" t="s">
        <v>11389</v>
      </c>
      <c r="E4014" s="46" t="s">
        <v>1348</v>
      </c>
    </row>
    <row r="4015">
      <c r="A4015" s="56" t="s">
        <v>13734</v>
      </c>
      <c r="B4015" s="21"/>
      <c r="C4015" s="33" t="s">
        <v>11391</v>
      </c>
      <c r="E4015" s="46" t="s">
        <v>7616</v>
      </c>
    </row>
    <row r="4016">
      <c r="A4016" s="56" t="s">
        <v>13736</v>
      </c>
      <c r="B4016" s="21"/>
      <c r="C4016" s="33" t="s">
        <v>11391</v>
      </c>
      <c r="E4016" s="46" t="s">
        <v>7618</v>
      </c>
    </row>
    <row r="4017">
      <c r="A4017" s="56" t="s">
        <v>13737</v>
      </c>
      <c r="B4017" s="21"/>
      <c r="C4017" s="33" t="s">
        <v>11394</v>
      </c>
      <c r="E4017" s="46" t="s">
        <v>7616</v>
      </c>
    </row>
    <row r="4018">
      <c r="A4018" s="56" t="s">
        <v>13738</v>
      </c>
      <c r="B4018" s="21"/>
      <c r="C4018" s="33" t="s">
        <v>11394</v>
      </c>
      <c r="E4018" s="46" t="s">
        <v>7618</v>
      </c>
    </row>
    <row r="4019">
      <c r="A4019" s="56" t="s">
        <v>13739</v>
      </c>
      <c r="B4019" s="21"/>
      <c r="C4019" s="33" t="s">
        <v>11398</v>
      </c>
      <c r="E4019" s="46" t="s">
        <v>7616</v>
      </c>
    </row>
    <row r="4020">
      <c r="A4020" s="56" t="s">
        <v>13740</v>
      </c>
      <c r="B4020" s="21"/>
      <c r="C4020" s="33" t="s">
        <v>11398</v>
      </c>
      <c r="E4020" s="46" t="s">
        <v>7618</v>
      </c>
    </row>
    <row r="4021">
      <c r="A4021" s="56" t="s">
        <v>13741</v>
      </c>
      <c r="B4021" s="21"/>
      <c r="C4021" s="33" t="s">
        <v>11391</v>
      </c>
      <c r="E4021" s="46" t="s">
        <v>7616</v>
      </c>
    </row>
    <row r="4022">
      <c r="A4022" s="56" t="s">
        <v>13743</v>
      </c>
      <c r="B4022" s="21"/>
      <c r="C4022" s="33" t="s">
        <v>11391</v>
      </c>
      <c r="E4022" s="46" t="s">
        <v>7618</v>
      </c>
    </row>
    <row r="4023">
      <c r="A4023" s="56" t="s">
        <v>13744</v>
      </c>
      <c r="B4023" s="21"/>
      <c r="C4023" s="33" t="s">
        <v>11394</v>
      </c>
      <c r="E4023" s="46" t="s">
        <v>7616</v>
      </c>
    </row>
    <row r="4024">
      <c r="A4024" s="56" t="s">
        <v>13745</v>
      </c>
      <c r="B4024" s="21"/>
      <c r="C4024" s="33" t="s">
        <v>11394</v>
      </c>
      <c r="E4024" s="46" t="s">
        <v>7618</v>
      </c>
    </row>
    <row r="4025">
      <c r="A4025" s="56" t="s">
        <v>13746</v>
      </c>
      <c r="B4025" s="21"/>
      <c r="C4025" s="33" t="s">
        <v>11398</v>
      </c>
      <c r="E4025" s="46" t="s">
        <v>7616</v>
      </c>
    </row>
    <row r="4026">
      <c r="A4026" s="56" t="s">
        <v>13747</v>
      </c>
      <c r="B4026" s="21"/>
      <c r="C4026" s="33" t="s">
        <v>11398</v>
      </c>
      <c r="E4026" s="46" t="s">
        <v>7618</v>
      </c>
    </row>
    <row r="4027">
      <c r="A4027" s="56" t="s">
        <v>13748</v>
      </c>
      <c r="B4027" s="21"/>
      <c r="C4027" s="33" t="s">
        <v>11411</v>
      </c>
      <c r="E4027" s="46" t="s">
        <v>7616</v>
      </c>
    </row>
    <row r="4028">
      <c r="A4028" s="56" t="s">
        <v>13751</v>
      </c>
      <c r="B4028" s="21"/>
      <c r="C4028" s="33" t="s">
        <v>11411</v>
      </c>
      <c r="E4028" s="46" t="s">
        <v>7618</v>
      </c>
    </row>
    <row r="4029">
      <c r="A4029" s="56" t="s">
        <v>13752</v>
      </c>
      <c r="B4029" s="21"/>
      <c r="C4029" s="33" t="s">
        <v>11416</v>
      </c>
      <c r="E4029" s="46" t="s">
        <v>7616</v>
      </c>
    </row>
    <row r="4030">
      <c r="A4030" s="56" t="s">
        <v>13753</v>
      </c>
      <c r="B4030" s="21"/>
      <c r="C4030" s="33" t="s">
        <v>11416</v>
      </c>
      <c r="E4030" s="46" t="s">
        <v>7618</v>
      </c>
    </row>
    <row r="4031">
      <c r="A4031" s="56" t="s">
        <v>13756</v>
      </c>
      <c r="B4031" s="21"/>
      <c r="C4031" s="33" t="s">
        <v>11419</v>
      </c>
      <c r="E4031" s="46" t="s">
        <v>7616</v>
      </c>
    </row>
    <row r="4032">
      <c r="A4032" s="56" t="s">
        <v>13757</v>
      </c>
      <c r="B4032" s="21"/>
      <c r="C4032" s="33" t="s">
        <v>11419</v>
      </c>
      <c r="E4032" s="46" t="s">
        <v>7618</v>
      </c>
    </row>
    <row r="4033">
      <c r="A4033" s="56" t="s">
        <v>13758</v>
      </c>
      <c r="B4033" s="21"/>
      <c r="C4033" s="33" t="s">
        <v>11411</v>
      </c>
      <c r="E4033" s="46" t="s">
        <v>7616</v>
      </c>
    </row>
    <row r="4034">
      <c r="A4034" s="56" t="s">
        <v>13759</v>
      </c>
      <c r="B4034" s="21"/>
      <c r="C4034" s="33" t="s">
        <v>11411</v>
      </c>
      <c r="E4034" s="46" t="s">
        <v>7618</v>
      </c>
    </row>
    <row r="4035">
      <c r="A4035" s="56" t="s">
        <v>13760</v>
      </c>
      <c r="B4035" s="21"/>
      <c r="C4035" s="33" t="s">
        <v>11416</v>
      </c>
      <c r="E4035" s="46" t="s">
        <v>7616</v>
      </c>
    </row>
    <row r="4036">
      <c r="A4036" s="56" t="s">
        <v>13761</v>
      </c>
      <c r="B4036" s="21"/>
      <c r="C4036" s="33" t="s">
        <v>11416</v>
      </c>
      <c r="E4036" s="46" t="s">
        <v>7618</v>
      </c>
    </row>
    <row r="4037">
      <c r="A4037" s="56" t="s">
        <v>13763</v>
      </c>
      <c r="B4037" s="21"/>
      <c r="C4037" s="33" t="s">
        <v>11419</v>
      </c>
      <c r="E4037" s="46" t="s">
        <v>7616</v>
      </c>
    </row>
    <row r="4038">
      <c r="A4038" s="56" t="s">
        <v>13764</v>
      </c>
      <c r="B4038" s="21"/>
      <c r="C4038" s="33" t="s">
        <v>11419</v>
      </c>
      <c r="E4038" s="46" t="s">
        <v>7618</v>
      </c>
    </row>
    <row r="4039">
      <c r="A4039" s="56" t="s">
        <v>13766</v>
      </c>
      <c r="B4039" s="82"/>
      <c r="C4039" s="33" t="s">
        <v>13768</v>
      </c>
      <c r="F4039" s="46" t="s">
        <v>13769</v>
      </c>
    </row>
    <row r="4040">
      <c r="A4040" s="56" t="s">
        <v>13770</v>
      </c>
      <c r="B4040" s="82"/>
      <c r="C4040" s="33" t="s">
        <v>13771</v>
      </c>
      <c r="E4040" s="46" t="s">
        <v>7616</v>
      </c>
    </row>
    <row r="4041">
      <c r="A4041" s="56" t="s">
        <v>13772</v>
      </c>
      <c r="B4041" s="82"/>
      <c r="C4041" s="33" t="s">
        <v>13771</v>
      </c>
      <c r="E4041" s="46" t="s">
        <v>7618</v>
      </c>
    </row>
    <row r="4042">
      <c r="A4042" s="56" t="s">
        <v>13774</v>
      </c>
      <c r="B4042" s="82"/>
      <c r="C4042" s="33" t="s">
        <v>13775</v>
      </c>
      <c r="E4042" s="46" t="s">
        <v>7616</v>
      </c>
    </row>
    <row r="4043">
      <c r="A4043" s="56" t="s">
        <v>13776</v>
      </c>
      <c r="B4043" s="82"/>
      <c r="C4043" s="33" t="s">
        <v>13775</v>
      </c>
      <c r="E4043" s="46" t="s">
        <v>7618</v>
      </c>
    </row>
    <row r="4044">
      <c r="A4044" s="56" t="s">
        <v>13777</v>
      </c>
      <c r="B4044" s="82"/>
      <c r="C4044" s="33" t="s">
        <v>13778</v>
      </c>
      <c r="E4044" s="46" t="s">
        <v>7616</v>
      </c>
    </row>
    <row r="4045">
      <c r="A4045" s="56" t="s">
        <v>13779</v>
      </c>
      <c r="B4045" s="82"/>
      <c r="C4045" s="33" t="s">
        <v>13778</v>
      </c>
      <c r="E4045" s="46" t="s">
        <v>7618</v>
      </c>
    </row>
    <row r="4046">
      <c r="A4046" s="56" t="s">
        <v>13781</v>
      </c>
      <c r="B4046" s="79"/>
      <c r="C4046" s="33" t="s">
        <v>13782</v>
      </c>
      <c r="E4046" s="46" t="s">
        <v>1348</v>
      </c>
    </row>
    <row r="4047">
      <c r="A4047" s="56" t="s">
        <v>13783</v>
      </c>
      <c r="B4047" s="79"/>
      <c r="C4047" s="33" t="s">
        <v>13782</v>
      </c>
      <c r="E4047" s="46" t="s">
        <v>1348</v>
      </c>
    </row>
    <row r="4048">
      <c r="A4048" s="56" t="s">
        <v>13784</v>
      </c>
      <c r="B4048" s="79"/>
      <c r="C4048" s="33" t="s">
        <v>13785</v>
      </c>
      <c r="E4048" s="46" t="s">
        <v>1348</v>
      </c>
    </row>
    <row r="4049">
      <c r="A4049" s="56" t="s">
        <v>13787</v>
      </c>
      <c r="B4049" s="21"/>
      <c r="C4049" s="33" t="s">
        <v>13788</v>
      </c>
      <c r="E4049" s="46" t="s">
        <v>7616</v>
      </c>
    </row>
    <row r="4050">
      <c r="A4050" s="56" t="s">
        <v>13789</v>
      </c>
      <c r="B4050" s="21"/>
      <c r="C4050" s="33" t="s">
        <v>13788</v>
      </c>
      <c r="E4050" s="46" t="s">
        <v>7618</v>
      </c>
    </row>
    <row r="4051">
      <c r="A4051" s="56" t="s">
        <v>13790</v>
      </c>
      <c r="B4051" s="21"/>
      <c r="C4051" s="33" t="s">
        <v>13791</v>
      </c>
      <c r="E4051" s="46" t="s">
        <v>7616</v>
      </c>
    </row>
    <row r="4052">
      <c r="A4052" s="56" t="s">
        <v>13792</v>
      </c>
      <c r="B4052" s="21"/>
      <c r="C4052" s="33" t="s">
        <v>13791</v>
      </c>
      <c r="E4052" s="46" t="s">
        <v>7618</v>
      </c>
    </row>
    <row r="4053">
      <c r="A4053" s="56" t="s">
        <v>13793</v>
      </c>
      <c r="B4053" s="21"/>
      <c r="C4053" s="33" t="s">
        <v>13794</v>
      </c>
      <c r="E4053" s="46" t="s">
        <v>7616</v>
      </c>
    </row>
    <row r="4054">
      <c r="A4054" s="56" t="s">
        <v>13796</v>
      </c>
      <c r="B4054" s="21"/>
      <c r="C4054" s="33" t="s">
        <v>13794</v>
      </c>
      <c r="E4054" s="46" t="s">
        <v>7618</v>
      </c>
    </row>
    <row r="4055">
      <c r="A4055" s="56" t="s">
        <v>13798</v>
      </c>
      <c r="B4055" s="21"/>
      <c r="C4055" s="33" t="s">
        <v>13788</v>
      </c>
      <c r="E4055" s="46" t="s">
        <v>7616</v>
      </c>
    </row>
    <row r="4056">
      <c r="A4056" s="56" t="s">
        <v>13799</v>
      </c>
      <c r="B4056" s="21"/>
      <c r="C4056" s="33" t="s">
        <v>13788</v>
      </c>
      <c r="E4056" s="46" t="s">
        <v>7618</v>
      </c>
    </row>
    <row r="4057">
      <c r="A4057" s="56" t="s">
        <v>13800</v>
      </c>
      <c r="B4057" s="21"/>
      <c r="C4057" s="33" t="s">
        <v>13791</v>
      </c>
      <c r="E4057" s="46" t="s">
        <v>7616</v>
      </c>
    </row>
    <row r="4058">
      <c r="A4058" s="56" t="s">
        <v>13801</v>
      </c>
      <c r="B4058" s="21"/>
      <c r="C4058" s="33" t="s">
        <v>13791</v>
      </c>
      <c r="E4058" s="46" t="s">
        <v>7618</v>
      </c>
    </row>
    <row r="4059">
      <c r="A4059" s="56" t="s">
        <v>13802</v>
      </c>
      <c r="B4059" s="21"/>
      <c r="C4059" s="33" t="s">
        <v>13794</v>
      </c>
      <c r="E4059" s="46" t="s">
        <v>7616</v>
      </c>
    </row>
    <row r="4060">
      <c r="A4060" s="56" t="s">
        <v>13803</v>
      </c>
      <c r="B4060" s="21"/>
      <c r="C4060" s="33" t="s">
        <v>13794</v>
      </c>
      <c r="E4060" s="46" t="s">
        <v>7618</v>
      </c>
    </row>
    <row r="4061">
      <c r="A4061" s="56" t="s">
        <v>13804</v>
      </c>
      <c r="B4061" s="21"/>
      <c r="C4061" s="33" t="s">
        <v>13805</v>
      </c>
      <c r="E4061" s="46" t="s">
        <v>7616</v>
      </c>
    </row>
    <row r="4062">
      <c r="A4062" s="56" t="s">
        <v>13807</v>
      </c>
      <c r="B4062" s="21"/>
      <c r="C4062" s="33" t="s">
        <v>13805</v>
      </c>
      <c r="E4062" s="46" t="s">
        <v>7618</v>
      </c>
    </row>
    <row r="4063">
      <c r="A4063" s="56" t="s">
        <v>13808</v>
      </c>
      <c r="B4063" s="21"/>
      <c r="C4063" s="33" t="s">
        <v>13809</v>
      </c>
      <c r="E4063" s="46" t="s">
        <v>7616</v>
      </c>
    </row>
    <row r="4064">
      <c r="A4064" s="56" t="s">
        <v>13810</v>
      </c>
      <c r="B4064" s="21"/>
      <c r="C4064" s="33" t="s">
        <v>13809</v>
      </c>
      <c r="E4064" s="46" t="s">
        <v>7618</v>
      </c>
    </row>
    <row r="4065">
      <c r="A4065" s="56" t="s">
        <v>13811</v>
      </c>
      <c r="B4065" s="21"/>
      <c r="C4065" s="33" t="s">
        <v>13812</v>
      </c>
      <c r="E4065" s="46" t="s">
        <v>7616</v>
      </c>
    </row>
    <row r="4066">
      <c r="A4066" s="56" t="s">
        <v>13813</v>
      </c>
      <c r="B4066" s="21"/>
      <c r="C4066" s="33" t="s">
        <v>13812</v>
      </c>
      <c r="E4066" s="46" t="s">
        <v>7618</v>
      </c>
    </row>
    <row r="4067">
      <c r="A4067" s="56" t="s">
        <v>13814</v>
      </c>
      <c r="B4067" s="21"/>
      <c r="C4067" s="33" t="s">
        <v>13805</v>
      </c>
      <c r="E4067" s="46" t="s">
        <v>7616</v>
      </c>
    </row>
    <row r="4068">
      <c r="A4068" s="56" t="s">
        <v>13815</v>
      </c>
      <c r="B4068" s="21"/>
      <c r="C4068" s="33" t="s">
        <v>13805</v>
      </c>
      <c r="E4068" s="46" t="s">
        <v>7618</v>
      </c>
    </row>
    <row r="4069">
      <c r="A4069" s="56" t="s">
        <v>13816</v>
      </c>
      <c r="B4069" s="21"/>
      <c r="C4069" s="33" t="s">
        <v>13809</v>
      </c>
      <c r="E4069" s="46" t="s">
        <v>7616</v>
      </c>
    </row>
    <row r="4070">
      <c r="A4070" s="56" t="s">
        <v>13817</v>
      </c>
      <c r="B4070" s="21"/>
      <c r="C4070" s="33" t="s">
        <v>13809</v>
      </c>
      <c r="E4070" s="46" t="s">
        <v>7618</v>
      </c>
    </row>
    <row r="4071">
      <c r="A4071" s="56" t="s">
        <v>13820</v>
      </c>
      <c r="B4071" s="21"/>
      <c r="C4071" s="33" t="s">
        <v>13812</v>
      </c>
      <c r="E4071" s="46" t="s">
        <v>7616</v>
      </c>
    </row>
    <row r="4072">
      <c r="A4072" s="56" t="s">
        <v>13821</v>
      </c>
      <c r="B4072" s="21"/>
      <c r="C4072" s="33" t="s">
        <v>13812</v>
      </c>
      <c r="E4072" s="46" t="s">
        <v>7618</v>
      </c>
    </row>
    <row r="4073">
      <c r="A4073" s="56" t="s">
        <v>13824</v>
      </c>
      <c r="B4073" s="55"/>
      <c r="C4073" s="31"/>
    </row>
    <row r="4074">
      <c r="A4074" s="56" t="s">
        <v>13826</v>
      </c>
      <c r="B4074" s="82"/>
      <c r="C4074" s="33" t="s">
        <v>13827</v>
      </c>
    </row>
    <row r="4075">
      <c r="A4075" s="56" t="s">
        <v>13828</v>
      </c>
      <c r="B4075" s="82"/>
      <c r="C4075" s="33" t="s">
        <v>11373</v>
      </c>
      <c r="E4075" s="46" t="s">
        <v>7616</v>
      </c>
    </row>
    <row r="4076">
      <c r="A4076" s="56" t="s">
        <v>13829</v>
      </c>
      <c r="B4076" s="82"/>
      <c r="C4076" s="33" t="s">
        <v>11373</v>
      </c>
      <c r="E4076" s="46" t="s">
        <v>7618</v>
      </c>
    </row>
    <row r="4077">
      <c r="A4077" s="56" t="s">
        <v>13830</v>
      </c>
      <c r="B4077" s="82"/>
      <c r="C4077" s="33" t="s">
        <v>11376</v>
      </c>
      <c r="E4077" s="46" t="s">
        <v>7616</v>
      </c>
    </row>
    <row r="4078">
      <c r="A4078" s="56" t="s">
        <v>13831</v>
      </c>
      <c r="B4078" s="82"/>
      <c r="C4078" s="33" t="s">
        <v>11376</v>
      </c>
      <c r="E4078" s="46" t="s">
        <v>7618</v>
      </c>
    </row>
    <row r="4079">
      <c r="A4079" s="56" t="s">
        <v>13832</v>
      </c>
      <c r="B4079" s="82"/>
      <c r="C4079" s="33" t="s">
        <v>11380</v>
      </c>
      <c r="E4079" s="46" t="s">
        <v>7616</v>
      </c>
    </row>
    <row r="4080">
      <c r="A4080" s="56" t="s">
        <v>13835</v>
      </c>
      <c r="B4080" s="82"/>
      <c r="C4080" s="33" t="s">
        <v>11380</v>
      </c>
      <c r="E4080" s="46" t="s">
        <v>7618</v>
      </c>
    </row>
    <row r="4081">
      <c r="A4081" s="56" t="s">
        <v>13837</v>
      </c>
      <c r="B4081" s="79"/>
      <c r="C4081" s="33" t="s">
        <v>11384</v>
      </c>
      <c r="E4081" s="46" t="s">
        <v>1348</v>
      </c>
    </row>
    <row r="4082">
      <c r="A4082" s="56" t="s">
        <v>13838</v>
      </c>
      <c r="B4082" s="79"/>
      <c r="C4082" s="33" t="s">
        <v>11384</v>
      </c>
      <c r="E4082" s="46" t="s">
        <v>1348</v>
      </c>
    </row>
    <row r="4083">
      <c r="A4083" s="56" t="s">
        <v>13839</v>
      </c>
      <c r="B4083" s="79"/>
      <c r="C4083" s="33" t="s">
        <v>11389</v>
      </c>
      <c r="E4083" s="46" t="s">
        <v>1348</v>
      </c>
    </row>
    <row r="4084">
      <c r="A4084" s="56" t="s">
        <v>13840</v>
      </c>
      <c r="B4084" s="21"/>
      <c r="C4084" s="33" t="s">
        <v>11391</v>
      </c>
      <c r="E4084" s="46" t="s">
        <v>7616</v>
      </c>
    </row>
    <row r="4085">
      <c r="A4085" s="56" t="s">
        <v>13842</v>
      </c>
      <c r="B4085" s="21"/>
      <c r="C4085" s="33" t="s">
        <v>11391</v>
      </c>
      <c r="E4085" s="46" t="s">
        <v>7618</v>
      </c>
    </row>
    <row r="4086">
      <c r="A4086" s="56" t="s">
        <v>13845</v>
      </c>
      <c r="B4086" s="21"/>
      <c r="C4086" s="33" t="s">
        <v>11394</v>
      </c>
      <c r="E4086" s="46" t="s">
        <v>7616</v>
      </c>
    </row>
    <row r="4087">
      <c r="A4087" s="56" t="s">
        <v>13846</v>
      </c>
      <c r="B4087" s="21"/>
      <c r="C4087" s="33" t="s">
        <v>11394</v>
      </c>
      <c r="E4087" s="46" t="s">
        <v>7618</v>
      </c>
    </row>
    <row r="4088">
      <c r="A4088" s="56" t="s">
        <v>13847</v>
      </c>
      <c r="B4088" s="21"/>
      <c r="C4088" s="33" t="s">
        <v>11398</v>
      </c>
      <c r="E4088" s="46" t="s">
        <v>7616</v>
      </c>
    </row>
    <row r="4089">
      <c r="A4089" s="56" t="s">
        <v>13848</v>
      </c>
      <c r="B4089" s="21"/>
      <c r="C4089" s="33" t="s">
        <v>11398</v>
      </c>
      <c r="E4089" s="46" t="s">
        <v>7618</v>
      </c>
    </row>
    <row r="4090">
      <c r="A4090" s="56" t="s">
        <v>13850</v>
      </c>
      <c r="B4090" s="21"/>
      <c r="C4090" s="33" t="s">
        <v>11391</v>
      </c>
      <c r="E4090" s="46" t="s">
        <v>7616</v>
      </c>
    </row>
    <row r="4091">
      <c r="A4091" s="56" t="s">
        <v>13851</v>
      </c>
      <c r="B4091" s="21"/>
      <c r="C4091" s="33" t="s">
        <v>11391</v>
      </c>
      <c r="E4091" s="46" t="s">
        <v>7618</v>
      </c>
    </row>
    <row r="4092">
      <c r="A4092" s="56" t="s">
        <v>13852</v>
      </c>
      <c r="B4092" s="21"/>
      <c r="C4092" s="33" t="s">
        <v>11394</v>
      </c>
      <c r="E4092" s="46" t="s">
        <v>7616</v>
      </c>
    </row>
    <row r="4093">
      <c r="A4093" s="56" t="s">
        <v>13853</v>
      </c>
      <c r="B4093" s="21"/>
      <c r="C4093" s="33" t="s">
        <v>11394</v>
      </c>
      <c r="E4093" s="46" t="s">
        <v>7618</v>
      </c>
    </row>
    <row r="4094">
      <c r="A4094" s="56" t="s">
        <v>13855</v>
      </c>
      <c r="B4094" s="21"/>
      <c r="C4094" s="33" t="s">
        <v>11398</v>
      </c>
      <c r="E4094" s="46" t="s">
        <v>7616</v>
      </c>
    </row>
    <row r="4095">
      <c r="A4095" s="56" t="s">
        <v>13856</v>
      </c>
      <c r="B4095" s="21"/>
      <c r="C4095" s="33" t="s">
        <v>11398</v>
      </c>
      <c r="E4095" s="46" t="s">
        <v>7618</v>
      </c>
    </row>
    <row r="4096">
      <c r="A4096" s="56" t="s">
        <v>13857</v>
      </c>
      <c r="B4096" s="21"/>
      <c r="C4096" s="33" t="s">
        <v>11411</v>
      </c>
      <c r="E4096" s="46" t="s">
        <v>7616</v>
      </c>
    </row>
    <row r="4097">
      <c r="A4097" s="56" t="s">
        <v>13859</v>
      </c>
      <c r="B4097" s="21"/>
      <c r="C4097" s="33" t="s">
        <v>11411</v>
      </c>
      <c r="E4097" s="46" t="s">
        <v>7618</v>
      </c>
    </row>
    <row r="4098">
      <c r="A4098" s="56" t="s">
        <v>13861</v>
      </c>
      <c r="B4098" s="21"/>
      <c r="C4098" s="33" t="s">
        <v>11416</v>
      </c>
      <c r="E4098" s="46" t="s">
        <v>7616</v>
      </c>
    </row>
    <row r="4099">
      <c r="A4099" s="56" t="s">
        <v>13862</v>
      </c>
      <c r="B4099" s="21"/>
      <c r="C4099" s="33" t="s">
        <v>11416</v>
      </c>
      <c r="E4099" s="46" t="s">
        <v>7618</v>
      </c>
    </row>
    <row r="4100">
      <c r="A4100" s="56" t="s">
        <v>13863</v>
      </c>
      <c r="B4100" s="21"/>
      <c r="C4100" s="33" t="s">
        <v>11419</v>
      </c>
      <c r="E4100" s="46" t="s">
        <v>7616</v>
      </c>
    </row>
    <row r="4101">
      <c r="A4101" s="56" t="s">
        <v>13864</v>
      </c>
      <c r="B4101" s="21"/>
      <c r="C4101" s="33" t="s">
        <v>11419</v>
      </c>
      <c r="E4101" s="46" t="s">
        <v>7618</v>
      </c>
    </row>
    <row r="4102">
      <c r="A4102" s="56" t="s">
        <v>13865</v>
      </c>
      <c r="B4102" s="21"/>
      <c r="C4102" s="33" t="s">
        <v>11411</v>
      </c>
      <c r="E4102" s="46" t="s">
        <v>7616</v>
      </c>
    </row>
    <row r="4103">
      <c r="A4103" s="56" t="s">
        <v>13867</v>
      </c>
      <c r="B4103" s="21"/>
      <c r="C4103" s="33" t="s">
        <v>11411</v>
      </c>
      <c r="E4103" s="46" t="s">
        <v>7618</v>
      </c>
    </row>
    <row r="4104">
      <c r="A4104" s="56" t="s">
        <v>13868</v>
      </c>
      <c r="B4104" s="21"/>
      <c r="C4104" s="33" t="s">
        <v>11416</v>
      </c>
      <c r="E4104" s="46" t="s">
        <v>7616</v>
      </c>
    </row>
    <row r="4105">
      <c r="A4105" s="56" t="s">
        <v>13870</v>
      </c>
      <c r="B4105" s="21"/>
      <c r="C4105" s="33" t="s">
        <v>11416</v>
      </c>
      <c r="E4105" s="46" t="s">
        <v>7618</v>
      </c>
    </row>
    <row r="4106">
      <c r="A4106" s="56" t="s">
        <v>13872</v>
      </c>
      <c r="B4106" s="21"/>
      <c r="C4106" s="33" t="s">
        <v>11419</v>
      </c>
      <c r="E4106" s="46" t="s">
        <v>7616</v>
      </c>
    </row>
    <row r="4107">
      <c r="A4107" s="56" t="s">
        <v>13874</v>
      </c>
      <c r="B4107" s="21"/>
      <c r="C4107" s="33" t="s">
        <v>11419</v>
      </c>
      <c r="E4107" s="46" t="s">
        <v>7618</v>
      </c>
    </row>
    <row r="4108">
      <c r="A4108" s="56" t="s">
        <v>13875</v>
      </c>
      <c r="B4108" s="55"/>
      <c r="C4108" s="31"/>
    </row>
    <row r="4109">
      <c r="A4109" s="56" t="s">
        <v>13876</v>
      </c>
      <c r="B4109" s="55"/>
      <c r="C4109" s="31"/>
    </row>
    <row r="4110">
      <c r="A4110" s="56" t="s">
        <v>13877</v>
      </c>
      <c r="B4110" s="55"/>
      <c r="C4110" s="31"/>
    </row>
    <row r="4111">
      <c r="A4111" s="56" t="s">
        <v>13878</v>
      </c>
      <c r="B4111" s="55"/>
      <c r="C4111" s="31"/>
    </row>
    <row r="4112">
      <c r="A4112" s="56" t="s">
        <v>13879</v>
      </c>
      <c r="B4112" s="55"/>
      <c r="C4112" s="31"/>
    </row>
    <row r="4113">
      <c r="A4113" s="56" t="s">
        <v>13881</v>
      </c>
      <c r="B4113" s="55"/>
      <c r="C4113" s="31"/>
    </row>
    <row r="4114">
      <c r="A4114" s="56" t="s">
        <v>13883</v>
      </c>
      <c r="B4114" s="55"/>
      <c r="C4114" s="31"/>
    </row>
    <row r="4115">
      <c r="A4115" s="56" t="s">
        <v>13884</v>
      </c>
      <c r="B4115" s="55"/>
      <c r="C4115" s="31"/>
    </row>
    <row r="4116">
      <c r="A4116" s="56" t="s">
        <v>13886</v>
      </c>
      <c r="B4116" s="55"/>
      <c r="C4116" s="31"/>
    </row>
    <row r="4117">
      <c r="A4117" s="56" t="s">
        <v>13887</v>
      </c>
      <c r="B4117" s="55"/>
      <c r="C4117" s="31"/>
    </row>
    <row r="4118">
      <c r="A4118" s="56" t="s">
        <v>13888</v>
      </c>
      <c r="B4118" s="55"/>
      <c r="C4118" s="31"/>
    </row>
    <row r="4119">
      <c r="A4119" s="56" t="s">
        <v>13890</v>
      </c>
      <c r="B4119" s="55"/>
      <c r="C4119" s="31"/>
    </row>
    <row r="4120">
      <c r="A4120" s="56" t="s">
        <v>13891</v>
      </c>
      <c r="B4120" s="55"/>
      <c r="C4120" s="31"/>
    </row>
    <row r="4121">
      <c r="A4121" s="56" t="s">
        <v>13892</v>
      </c>
      <c r="B4121" s="82"/>
      <c r="C4121" s="33" t="s">
        <v>13895</v>
      </c>
    </row>
    <row r="4122">
      <c r="A4122" s="56" t="s">
        <v>13896</v>
      </c>
      <c r="B4122" s="82"/>
      <c r="C4122" s="33" t="s">
        <v>13897</v>
      </c>
      <c r="E4122" s="46" t="s">
        <v>7616</v>
      </c>
    </row>
    <row r="4123">
      <c r="A4123" s="56" t="s">
        <v>13898</v>
      </c>
      <c r="B4123" s="82"/>
      <c r="C4123" s="33" t="s">
        <v>13897</v>
      </c>
      <c r="E4123" s="46" t="s">
        <v>7618</v>
      </c>
    </row>
    <row r="4124">
      <c r="A4124" s="56" t="s">
        <v>13899</v>
      </c>
      <c r="B4124" s="82"/>
      <c r="C4124" s="33" t="s">
        <v>13900</v>
      </c>
      <c r="E4124" s="46" t="s">
        <v>7616</v>
      </c>
    </row>
    <row r="4125">
      <c r="A4125" s="56" t="s">
        <v>13901</v>
      </c>
      <c r="B4125" s="82"/>
      <c r="C4125" s="33" t="s">
        <v>13900</v>
      </c>
      <c r="E4125" s="46" t="s">
        <v>7618</v>
      </c>
    </row>
    <row r="4126">
      <c r="A4126" s="56" t="s">
        <v>13904</v>
      </c>
      <c r="B4126" s="82"/>
      <c r="C4126" s="33" t="s">
        <v>13905</v>
      </c>
      <c r="E4126" s="46" t="s">
        <v>7616</v>
      </c>
    </row>
    <row r="4127">
      <c r="A4127" s="56" t="s">
        <v>13906</v>
      </c>
      <c r="B4127" s="82"/>
      <c r="C4127" s="33" t="s">
        <v>13905</v>
      </c>
      <c r="E4127" s="46" t="s">
        <v>7618</v>
      </c>
    </row>
    <row r="4128">
      <c r="A4128" s="56" t="s">
        <v>13907</v>
      </c>
      <c r="B4128" s="79"/>
      <c r="C4128" s="33" t="s">
        <v>13908</v>
      </c>
      <c r="E4128" s="46" t="s">
        <v>1348</v>
      </c>
    </row>
    <row r="4129">
      <c r="A4129" s="56" t="s">
        <v>13910</v>
      </c>
      <c r="B4129" s="79"/>
      <c r="C4129" s="33" t="s">
        <v>13908</v>
      </c>
      <c r="E4129" s="46" t="s">
        <v>1348</v>
      </c>
    </row>
    <row r="4130">
      <c r="A4130" s="56" t="s">
        <v>13911</v>
      </c>
      <c r="B4130" s="79"/>
      <c r="C4130" s="33" t="s">
        <v>13912</v>
      </c>
      <c r="E4130" s="46" t="s">
        <v>1348</v>
      </c>
    </row>
    <row r="4131">
      <c r="A4131" s="56" t="s">
        <v>13913</v>
      </c>
      <c r="B4131" s="21"/>
      <c r="C4131" s="33" t="s">
        <v>13914</v>
      </c>
      <c r="E4131" s="46" t="s">
        <v>7616</v>
      </c>
    </row>
    <row r="4132">
      <c r="A4132" s="56" t="s">
        <v>13915</v>
      </c>
      <c r="B4132" s="21"/>
      <c r="C4132" s="33" t="s">
        <v>13914</v>
      </c>
      <c r="E4132" s="46" t="s">
        <v>7618</v>
      </c>
    </row>
    <row r="4133">
      <c r="A4133" s="56" t="s">
        <v>13918</v>
      </c>
      <c r="B4133" s="21"/>
      <c r="C4133" s="33" t="s">
        <v>13919</v>
      </c>
      <c r="E4133" s="46" t="s">
        <v>7616</v>
      </c>
    </row>
    <row r="4134">
      <c r="A4134" s="56" t="s">
        <v>13920</v>
      </c>
      <c r="B4134" s="21"/>
      <c r="C4134" s="33" t="s">
        <v>13919</v>
      </c>
      <c r="E4134" s="46" t="s">
        <v>7618</v>
      </c>
    </row>
    <row r="4135">
      <c r="A4135" s="56" t="s">
        <v>13921</v>
      </c>
      <c r="B4135" s="21"/>
      <c r="C4135" s="33" t="s">
        <v>13922</v>
      </c>
      <c r="E4135" s="46" t="s">
        <v>7616</v>
      </c>
    </row>
    <row r="4136">
      <c r="A4136" s="56" t="s">
        <v>13923</v>
      </c>
      <c r="B4136" s="21"/>
      <c r="C4136" s="33" t="s">
        <v>13922</v>
      </c>
      <c r="E4136" s="46" t="s">
        <v>7618</v>
      </c>
    </row>
    <row r="4137">
      <c r="A4137" s="56" t="s">
        <v>13924</v>
      </c>
      <c r="B4137" s="21"/>
      <c r="C4137" s="33" t="s">
        <v>13925</v>
      </c>
      <c r="E4137" s="46" t="s">
        <v>7616</v>
      </c>
    </row>
    <row r="4138">
      <c r="A4138" s="56" t="s">
        <v>13927</v>
      </c>
      <c r="B4138" s="21"/>
      <c r="C4138" s="33" t="s">
        <v>13925</v>
      </c>
      <c r="E4138" s="46" t="s">
        <v>7618</v>
      </c>
    </row>
    <row r="4139">
      <c r="A4139" s="56" t="s">
        <v>13928</v>
      </c>
      <c r="B4139" s="21"/>
      <c r="C4139" s="33" t="s">
        <v>13919</v>
      </c>
      <c r="E4139" s="46" t="s">
        <v>7616</v>
      </c>
    </row>
    <row r="4140">
      <c r="A4140" s="56" t="s">
        <v>13929</v>
      </c>
      <c r="B4140" s="21"/>
      <c r="C4140" s="33" t="s">
        <v>13919</v>
      </c>
      <c r="E4140" s="46" t="s">
        <v>7618</v>
      </c>
    </row>
    <row r="4141">
      <c r="A4141" s="56" t="s">
        <v>13931</v>
      </c>
      <c r="B4141" s="21"/>
      <c r="C4141" s="33" t="s">
        <v>13922</v>
      </c>
      <c r="E4141" s="46" t="s">
        <v>7616</v>
      </c>
    </row>
    <row r="4142">
      <c r="A4142" s="56" t="s">
        <v>13933</v>
      </c>
      <c r="B4142" s="21"/>
      <c r="C4142" s="33" t="s">
        <v>13922</v>
      </c>
      <c r="E4142" s="46" t="s">
        <v>7618</v>
      </c>
    </row>
    <row r="4143">
      <c r="A4143" s="56" t="s">
        <v>13934</v>
      </c>
      <c r="B4143" s="21"/>
      <c r="C4143" s="33" t="s">
        <v>13925</v>
      </c>
      <c r="E4143" s="46" t="s">
        <v>7616</v>
      </c>
    </row>
    <row r="4144">
      <c r="A4144" s="56" t="s">
        <v>13936</v>
      </c>
      <c r="B4144" s="21"/>
      <c r="C4144" s="33" t="s">
        <v>13925</v>
      </c>
      <c r="E4144" s="46" t="s">
        <v>7618</v>
      </c>
    </row>
    <row r="4145">
      <c r="A4145" s="56" t="s">
        <v>13937</v>
      </c>
      <c r="B4145" s="21"/>
      <c r="C4145" s="33" t="s">
        <v>13938</v>
      </c>
      <c r="E4145" s="46" t="s">
        <v>7616</v>
      </c>
    </row>
    <row r="4146">
      <c r="A4146" s="56" t="s">
        <v>13939</v>
      </c>
      <c r="B4146" s="21"/>
      <c r="C4146" s="33" t="s">
        <v>13938</v>
      </c>
      <c r="E4146" s="46" t="s">
        <v>7618</v>
      </c>
    </row>
    <row r="4147">
      <c r="A4147" s="56" t="s">
        <v>13941</v>
      </c>
      <c r="B4147" s="21"/>
      <c r="C4147" s="33" t="s">
        <v>13942</v>
      </c>
      <c r="E4147" s="46" t="s">
        <v>7616</v>
      </c>
    </row>
    <row r="4148">
      <c r="A4148" s="56" t="s">
        <v>13943</v>
      </c>
      <c r="B4148" s="21"/>
      <c r="C4148" s="33" t="s">
        <v>13942</v>
      </c>
      <c r="E4148" s="46" t="s">
        <v>7618</v>
      </c>
    </row>
    <row r="4149">
      <c r="A4149" s="56" t="s">
        <v>13945</v>
      </c>
      <c r="B4149" s="21"/>
      <c r="C4149" s="33" t="s">
        <v>13946</v>
      </c>
      <c r="E4149" s="46" t="s">
        <v>7616</v>
      </c>
    </row>
    <row r="4150">
      <c r="A4150" s="56" t="s">
        <v>13947</v>
      </c>
      <c r="B4150" s="21"/>
      <c r="C4150" s="33" t="s">
        <v>13946</v>
      </c>
      <c r="E4150" s="46" t="s">
        <v>7618</v>
      </c>
    </row>
    <row r="4151">
      <c r="A4151" s="56" t="s">
        <v>13948</v>
      </c>
      <c r="B4151" s="21"/>
      <c r="C4151" s="33" t="s">
        <v>13938</v>
      </c>
      <c r="E4151" s="46" t="s">
        <v>7616</v>
      </c>
    </row>
    <row r="4152">
      <c r="A4152" s="56" t="s">
        <v>13950</v>
      </c>
      <c r="B4152" s="21"/>
      <c r="C4152" s="33" t="s">
        <v>13938</v>
      </c>
      <c r="E4152" s="46" t="s">
        <v>7618</v>
      </c>
    </row>
    <row r="4153">
      <c r="A4153" s="56" t="s">
        <v>13951</v>
      </c>
      <c r="B4153" s="21"/>
      <c r="C4153" s="33" t="s">
        <v>13942</v>
      </c>
      <c r="E4153" s="46" t="s">
        <v>7616</v>
      </c>
    </row>
    <row r="4154">
      <c r="A4154" s="56" t="s">
        <v>13952</v>
      </c>
      <c r="B4154" s="21"/>
      <c r="C4154" s="33" t="s">
        <v>13942</v>
      </c>
      <c r="E4154" s="46" t="s">
        <v>7618</v>
      </c>
    </row>
    <row r="4155">
      <c r="A4155" s="56" t="s">
        <v>13953</v>
      </c>
      <c r="B4155" s="21"/>
      <c r="C4155" s="33" t="s">
        <v>13946</v>
      </c>
      <c r="E4155" s="46" t="s">
        <v>7616</v>
      </c>
    </row>
    <row r="4156">
      <c r="A4156" s="56" t="s">
        <v>13954</v>
      </c>
      <c r="B4156" s="21"/>
      <c r="C4156" s="33" t="s">
        <v>13946</v>
      </c>
      <c r="E4156" s="46" t="s">
        <v>7618</v>
      </c>
    </row>
    <row r="4157">
      <c r="A4157" s="56" t="s">
        <v>13956</v>
      </c>
      <c r="B4157" s="55"/>
      <c r="C4157" s="31"/>
    </row>
    <row r="4158">
      <c r="A4158" s="56" t="s">
        <v>13959</v>
      </c>
      <c r="B4158" s="82"/>
      <c r="C4158" s="33" t="s">
        <v>13960</v>
      </c>
      <c r="F4158" s="46" t="s">
        <v>13961</v>
      </c>
    </row>
    <row r="4159">
      <c r="A4159" s="56" t="s">
        <v>13962</v>
      </c>
      <c r="B4159" s="82"/>
      <c r="C4159" s="33" t="s">
        <v>9690</v>
      </c>
      <c r="E4159" s="46" t="s">
        <v>7616</v>
      </c>
    </row>
    <row r="4160">
      <c r="A4160" s="56" t="s">
        <v>13963</v>
      </c>
      <c r="B4160" s="82"/>
      <c r="C4160" s="33" t="s">
        <v>9690</v>
      </c>
      <c r="E4160" s="46" t="s">
        <v>7618</v>
      </c>
    </row>
    <row r="4161">
      <c r="A4161" s="56" t="s">
        <v>13964</v>
      </c>
      <c r="B4161" s="82"/>
      <c r="C4161" s="33" t="s">
        <v>9694</v>
      </c>
      <c r="E4161" s="46" t="s">
        <v>7616</v>
      </c>
    </row>
    <row r="4162">
      <c r="A4162" s="56" t="s">
        <v>13965</v>
      </c>
      <c r="B4162" s="82"/>
      <c r="C4162" s="33" t="s">
        <v>9694</v>
      </c>
      <c r="E4162" s="46" t="s">
        <v>7618</v>
      </c>
    </row>
    <row r="4163">
      <c r="A4163" s="56" t="s">
        <v>13966</v>
      </c>
      <c r="B4163" s="82"/>
      <c r="C4163" s="33" t="s">
        <v>9698</v>
      </c>
      <c r="E4163" s="46" t="s">
        <v>7616</v>
      </c>
    </row>
    <row r="4164">
      <c r="A4164" s="56" t="s">
        <v>13969</v>
      </c>
      <c r="B4164" s="82"/>
      <c r="C4164" s="33" t="s">
        <v>9698</v>
      </c>
      <c r="E4164" s="46" t="s">
        <v>7618</v>
      </c>
    </row>
    <row r="4165">
      <c r="A4165" s="56" t="s">
        <v>13970</v>
      </c>
      <c r="B4165" s="79"/>
      <c r="C4165" s="33" t="s">
        <v>9701</v>
      </c>
      <c r="E4165" s="46" t="s">
        <v>1348</v>
      </c>
    </row>
    <row r="4166">
      <c r="A4166" s="56" t="s">
        <v>13971</v>
      </c>
      <c r="B4166" s="79"/>
      <c r="C4166" s="33" t="s">
        <v>9701</v>
      </c>
      <c r="E4166" s="46" t="s">
        <v>1348</v>
      </c>
    </row>
    <row r="4167">
      <c r="A4167" s="56" t="s">
        <v>13972</v>
      </c>
      <c r="B4167" s="79"/>
      <c r="C4167" s="33" t="s">
        <v>9705</v>
      </c>
      <c r="E4167" s="46" t="s">
        <v>1348</v>
      </c>
    </row>
    <row r="4168">
      <c r="A4168" s="56" t="s">
        <v>13973</v>
      </c>
      <c r="B4168" s="21"/>
      <c r="C4168" s="33" t="s">
        <v>9711</v>
      </c>
      <c r="E4168" s="46" t="s">
        <v>7616</v>
      </c>
    </row>
    <row r="4169">
      <c r="A4169" s="56" t="s">
        <v>13975</v>
      </c>
      <c r="B4169" s="21"/>
      <c r="C4169" s="33" t="s">
        <v>9711</v>
      </c>
      <c r="E4169" s="46" t="s">
        <v>7618</v>
      </c>
    </row>
    <row r="4170">
      <c r="A4170" s="56" t="s">
        <v>13976</v>
      </c>
      <c r="B4170" s="21"/>
      <c r="C4170" s="33" t="s">
        <v>9715</v>
      </c>
      <c r="E4170" s="46" t="s">
        <v>7616</v>
      </c>
    </row>
    <row r="4171">
      <c r="A4171" s="56" t="s">
        <v>13977</v>
      </c>
      <c r="B4171" s="21"/>
      <c r="C4171" s="33" t="s">
        <v>9715</v>
      </c>
      <c r="E4171" s="46" t="s">
        <v>7618</v>
      </c>
    </row>
    <row r="4172">
      <c r="A4172" s="56" t="s">
        <v>13978</v>
      </c>
      <c r="B4172" s="21"/>
      <c r="C4172" s="33" t="s">
        <v>9718</v>
      </c>
      <c r="E4172" s="46" t="s">
        <v>7616</v>
      </c>
    </row>
    <row r="4173">
      <c r="A4173" s="56" t="s">
        <v>13979</v>
      </c>
      <c r="B4173" s="21"/>
      <c r="C4173" s="33" t="s">
        <v>9718</v>
      </c>
      <c r="E4173" s="46" t="s">
        <v>7618</v>
      </c>
    </row>
    <row r="4174">
      <c r="A4174" s="56" t="s">
        <v>13980</v>
      </c>
      <c r="B4174" s="21"/>
      <c r="C4174" s="33" t="s">
        <v>9711</v>
      </c>
      <c r="E4174" s="46" t="s">
        <v>7616</v>
      </c>
    </row>
    <row r="4175">
      <c r="A4175" s="56" t="s">
        <v>13983</v>
      </c>
      <c r="B4175" s="21"/>
      <c r="C4175" s="33" t="s">
        <v>9711</v>
      </c>
      <c r="E4175" s="46" t="s">
        <v>7618</v>
      </c>
    </row>
    <row r="4176">
      <c r="A4176" s="56" t="s">
        <v>13984</v>
      </c>
      <c r="B4176" s="21"/>
      <c r="C4176" s="33" t="s">
        <v>9715</v>
      </c>
      <c r="E4176" s="46" t="s">
        <v>7616</v>
      </c>
    </row>
    <row r="4177">
      <c r="A4177" s="56" t="s">
        <v>13985</v>
      </c>
      <c r="B4177" s="21"/>
      <c r="C4177" s="33" t="s">
        <v>9715</v>
      </c>
      <c r="E4177" s="46" t="s">
        <v>7618</v>
      </c>
    </row>
    <row r="4178">
      <c r="A4178" s="56" t="s">
        <v>13986</v>
      </c>
      <c r="B4178" s="21"/>
      <c r="C4178" s="33" t="s">
        <v>9718</v>
      </c>
      <c r="E4178" s="46" t="s">
        <v>7616</v>
      </c>
    </row>
    <row r="4179">
      <c r="A4179" s="56" t="s">
        <v>13987</v>
      </c>
      <c r="B4179" s="21"/>
      <c r="C4179" s="33" t="s">
        <v>9718</v>
      </c>
      <c r="E4179" s="46" t="s">
        <v>7618</v>
      </c>
    </row>
    <row r="4180">
      <c r="A4180" s="56" t="s">
        <v>13989</v>
      </c>
      <c r="B4180" s="21"/>
      <c r="C4180" s="33" t="s">
        <v>9730</v>
      </c>
      <c r="E4180" s="46" t="s">
        <v>7616</v>
      </c>
    </row>
    <row r="4181">
      <c r="A4181" s="56" t="s">
        <v>13990</v>
      </c>
      <c r="B4181" s="21"/>
      <c r="C4181" s="33" t="s">
        <v>9730</v>
      </c>
      <c r="E4181" s="46" t="s">
        <v>7618</v>
      </c>
    </row>
    <row r="4182">
      <c r="A4182" s="56" t="s">
        <v>13991</v>
      </c>
      <c r="B4182" s="21"/>
      <c r="C4182" s="33" t="s">
        <v>9733</v>
      </c>
      <c r="E4182" s="46" t="s">
        <v>7616</v>
      </c>
    </row>
    <row r="4183">
      <c r="A4183" s="56" t="s">
        <v>13992</v>
      </c>
      <c r="B4183" s="21"/>
      <c r="C4183" s="33" t="s">
        <v>9733</v>
      </c>
      <c r="E4183" s="46" t="s">
        <v>7618</v>
      </c>
    </row>
    <row r="4184">
      <c r="A4184" s="56" t="s">
        <v>13993</v>
      </c>
      <c r="B4184" s="21"/>
      <c r="C4184" s="33" t="s">
        <v>9737</v>
      </c>
      <c r="E4184" s="46" t="s">
        <v>7616</v>
      </c>
    </row>
    <row r="4185">
      <c r="A4185" s="56" t="s">
        <v>13996</v>
      </c>
      <c r="B4185" s="21"/>
      <c r="C4185" s="33" t="s">
        <v>9737</v>
      </c>
      <c r="E4185" s="46" t="s">
        <v>7618</v>
      </c>
    </row>
    <row r="4186">
      <c r="A4186" s="56" t="s">
        <v>13997</v>
      </c>
      <c r="B4186" s="21"/>
      <c r="C4186" s="33" t="s">
        <v>9730</v>
      </c>
      <c r="E4186" s="46" t="s">
        <v>7616</v>
      </c>
    </row>
    <row r="4187">
      <c r="A4187" s="56" t="s">
        <v>13998</v>
      </c>
      <c r="B4187" s="21"/>
      <c r="C4187" s="33" t="s">
        <v>9730</v>
      </c>
      <c r="E4187" s="46" t="s">
        <v>7618</v>
      </c>
    </row>
    <row r="4188">
      <c r="A4188" s="56" t="s">
        <v>14000</v>
      </c>
      <c r="B4188" s="21"/>
      <c r="C4188" s="33" t="s">
        <v>9733</v>
      </c>
      <c r="E4188" s="46" t="s">
        <v>7616</v>
      </c>
    </row>
    <row r="4189">
      <c r="A4189" s="56" t="s">
        <v>14001</v>
      </c>
      <c r="B4189" s="21"/>
      <c r="C4189" s="33" t="s">
        <v>9733</v>
      </c>
      <c r="E4189" s="46" t="s">
        <v>7618</v>
      </c>
    </row>
    <row r="4190">
      <c r="A4190" s="56" t="s">
        <v>14002</v>
      </c>
      <c r="B4190" s="21"/>
      <c r="C4190" s="33" t="s">
        <v>9737</v>
      </c>
      <c r="E4190" s="46" t="s">
        <v>7616</v>
      </c>
    </row>
    <row r="4191">
      <c r="A4191" s="56" t="s">
        <v>14004</v>
      </c>
      <c r="B4191" s="21"/>
      <c r="C4191" s="33" t="s">
        <v>9737</v>
      </c>
      <c r="E4191" s="46" t="s">
        <v>7618</v>
      </c>
    </row>
    <row r="4192">
      <c r="A4192" s="56" t="s">
        <v>14005</v>
      </c>
      <c r="B4192" s="55"/>
      <c r="C4192" s="31"/>
    </row>
    <row r="4193">
      <c r="A4193" s="56" t="s">
        <v>14006</v>
      </c>
      <c r="B4193" s="55"/>
      <c r="C4193" s="31"/>
    </row>
    <row r="4194">
      <c r="A4194" s="56" t="s">
        <v>14007</v>
      </c>
      <c r="B4194" s="82"/>
      <c r="C4194" s="33" t="s">
        <v>14008</v>
      </c>
    </row>
    <row r="4195">
      <c r="A4195" s="56" t="s">
        <v>14009</v>
      </c>
      <c r="B4195" s="82"/>
      <c r="C4195" s="33" t="s">
        <v>11373</v>
      </c>
      <c r="E4195" s="46" t="s">
        <v>7616</v>
      </c>
    </row>
    <row r="4196">
      <c r="A4196" s="56" t="s">
        <v>14011</v>
      </c>
      <c r="B4196" s="82"/>
      <c r="C4196" s="33" t="s">
        <v>11373</v>
      </c>
      <c r="E4196" s="46" t="s">
        <v>7618</v>
      </c>
    </row>
    <row r="4197">
      <c r="A4197" s="56" t="s">
        <v>14014</v>
      </c>
      <c r="B4197" s="82"/>
      <c r="C4197" s="33" t="s">
        <v>11376</v>
      </c>
      <c r="E4197" s="46" t="s">
        <v>7616</v>
      </c>
    </row>
    <row r="4198">
      <c r="A4198" s="56" t="s">
        <v>14015</v>
      </c>
      <c r="B4198" s="82"/>
      <c r="C4198" s="33" t="s">
        <v>11376</v>
      </c>
      <c r="E4198" s="46" t="s">
        <v>7618</v>
      </c>
    </row>
    <row r="4199">
      <c r="A4199" s="56" t="s">
        <v>14016</v>
      </c>
      <c r="B4199" s="82"/>
      <c r="C4199" s="33" t="s">
        <v>11380</v>
      </c>
      <c r="E4199" s="46" t="s">
        <v>7616</v>
      </c>
    </row>
    <row r="4200">
      <c r="A4200" s="56" t="s">
        <v>14017</v>
      </c>
      <c r="B4200" s="82"/>
      <c r="C4200" s="33" t="s">
        <v>11380</v>
      </c>
      <c r="E4200" s="46" t="s">
        <v>7618</v>
      </c>
    </row>
    <row r="4201">
      <c r="A4201" s="56" t="s">
        <v>14019</v>
      </c>
      <c r="B4201" s="79"/>
      <c r="C4201" s="33" t="s">
        <v>11384</v>
      </c>
      <c r="E4201" s="46" t="s">
        <v>1348</v>
      </c>
    </row>
    <row r="4202">
      <c r="A4202" s="56" t="s">
        <v>14021</v>
      </c>
      <c r="B4202" s="79"/>
      <c r="C4202" s="33" t="s">
        <v>11384</v>
      </c>
      <c r="E4202" s="46" t="s">
        <v>1348</v>
      </c>
    </row>
    <row r="4203">
      <c r="A4203" s="56" t="s">
        <v>14022</v>
      </c>
      <c r="B4203" s="79"/>
      <c r="C4203" s="33" t="s">
        <v>11389</v>
      </c>
      <c r="E4203" s="46" t="s">
        <v>1348</v>
      </c>
    </row>
    <row r="4204">
      <c r="A4204" s="56" t="s">
        <v>14023</v>
      </c>
      <c r="B4204" s="21"/>
      <c r="C4204" s="33" t="s">
        <v>11391</v>
      </c>
      <c r="E4204" s="46" t="s">
        <v>7616</v>
      </c>
    </row>
    <row r="4205">
      <c r="A4205" s="56" t="s">
        <v>14024</v>
      </c>
      <c r="B4205" s="21"/>
      <c r="C4205" s="33" t="s">
        <v>11391</v>
      </c>
      <c r="E4205" s="46" t="s">
        <v>7618</v>
      </c>
    </row>
    <row r="4206">
      <c r="A4206" s="56" t="s">
        <v>14026</v>
      </c>
      <c r="B4206" s="21"/>
      <c r="C4206" s="33" t="s">
        <v>11394</v>
      </c>
      <c r="E4206" s="46" t="s">
        <v>7616</v>
      </c>
    </row>
    <row r="4207">
      <c r="A4207" s="56" t="s">
        <v>14029</v>
      </c>
      <c r="B4207" s="21"/>
      <c r="C4207" s="33" t="s">
        <v>11394</v>
      </c>
      <c r="E4207" s="46" t="s">
        <v>7618</v>
      </c>
    </row>
    <row r="4208">
      <c r="A4208" s="56" t="s">
        <v>14031</v>
      </c>
      <c r="B4208" s="21"/>
      <c r="C4208" s="33" t="s">
        <v>11398</v>
      </c>
      <c r="E4208" s="46" t="s">
        <v>7616</v>
      </c>
    </row>
    <row r="4209">
      <c r="A4209" s="56" t="s">
        <v>14032</v>
      </c>
      <c r="B4209" s="21"/>
      <c r="C4209" s="33" t="s">
        <v>11398</v>
      </c>
      <c r="E4209" s="46" t="s">
        <v>7618</v>
      </c>
    </row>
    <row r="4210">
      <c r="A4210" s="56" t="s">
        <v>14033</v>
      </c>
      <c r="B4210" s="21"/>
      <c r="C4210" s="33" t="s">
        <v>11391</v>
      </c>
      <c r="E4210" s="46" t="s">
        <v>7616</v>
      </c>
    </row>
    <row r="4211">
      <c r="A4211" s="56" t="s">
        <v>14034</v>
      </c>
      <c r="B4211" s="21"/>
      <c r="C4211" s="33" t="s">
        <v>11391</v>
      </c>
      <c r="E4211" s="46" t="s">
        <v>7618</v>
      </c>
    </row>
    <row r="4212">
      <c r="A4212" s="56" t="s">
        <v>14036</v>
      </c>
      <c r="B4212" s="21"/>
      <c r="C4212" s="33" t="s">
        <v>11394</v>
      </c>
      <c r="E4212" s="46" t="s">
        <v>7616</v>
      </c>
    </row>
    <row r="4213">
      <c r="A4213" s="56" t="s">
        <v>14038</v>
      </c>
      <c r="B4213" s="21"/>
      <c r="C4213" s="33" t="s">
        <v>11394</v>
      </c>
      <c r="E4213" s="46" t="s">
        <v>7618</v>
      </c>
    </row>
    <row r="4214">
      <c r="A4214" s="56" t="s">
        <v>14039</v>
      </c>
      <c r="B4214" s="21"/>
      <c r="C4214" s="33" t="s">
        <v>11398</v>
      </c>
      <c r="E4214" s="46" t="s">
        <v>7616</v>
      </c>
    </row>
    <row r="4215">
      <c r="A4215" s="56" t="s">
        <v>14040</v>
      </c>
      <c r="B4215" s="21"/>
      <c r="C4215" s="33" t="s">
        <v>11398</v>
      </c>
      <c r="E4215" s="46" t="s">
        <v>7618</v>
      </c>
    </row>
    <row r="4216">
      <c r="A4216" s="56" t="s">
        <v>14042</v>
      </c>
      <c r="B4216" s="21"/>
      <c r="C4216" s="33" t="s">
        <v>11411</v>
      </c>
      <c r="E4216" s="46" t="s">
        <v>7616</v>
      </c>
    </row>
    <row r="4217">
      <c r="A4217" s="56" t="s">
        <v>14043</v>
      </c>
      <c r="B4217" s="21"/>
      <c r="C4217" s="33" t="s">
        <v>11411</v>
      </c>
      <c r="E4217" s="46" t="s">
        <v>7618</v>
      </c>
    </row>
    <row r="4218">
      <c r="A4218" s="56" t="s">
        <v>14044</v>
      </c>
      <c r="B4218" s="21"/>
      <c r="C4218" s="33" t="s">
        <v>11416</v>
      </c>
      <c r="E4218" s="46" t="s">
        <v>7616</v>
      </c>
    </row>
    <row r="4219">
      <c r="A4219" s="56" t="s">
        <v>14046</v>
      </c>
      <c r="B4219" s="21"/>
      <c r="C4219" s="33" t="s">
        <v>11416</v>
      </c>
      <c r="E4219" s="46" t="s">
        <v>7618</v>
      </c>
    </row>
    <row r="4220">
      <c r="A4220" s="56" t="s">
        <v>14048</v>
      </c>
      <c r="B4220" s="21"/>
      <c r="C4220" s="33" t="s">
        <v>11419</v>
      </c>
      <c r="E4220" s="46" t="s">
        <v>7616</v>
      </c>
    </row>
    <row r="4221">
      <c r="A4221" s="56" t="s">
        <v>14049</v>
      </c>
      <c r="B4221" s="21"/>
      <c r="C4221" s="33" t="s">
        <v>11419</v>
      </c>
      <c r="E4221" s="46" t="s">
        <v>7618</v>
      </c>
    </row>
    <row r="4222">
      <c r="A4222" s="56" t="s">
        <v>14050</v>
      </c>
      <c r="B4222" s="21"/>
      <c r="C4222" s="33" t="s">
        <v>11411</v>
      </c>
      <c r="E4222" s="46" t="s">
        <v>7616</v>
      </c>
    </row>
    <row r="4223">
      <c r="A4223" s="56" t="s">
        <v>14051</v>
      </c>
      <c r="B4223" s="21"/>
      <c r="C4223" s="33" t="s">
        <v>11411</v>
      </c>
      <c r="E4223" s="46" t="s">
        <v>7618</v>
      </c>
    </row>
    <row r="4224">
      <c r="A4224" s="56" t="s">
        <v>14052</v>
      </c>
      <c r="B4224" s="21"/>
      <c r="C4224" s="33" t="s">
        <v>11416</v>
      </c>
      <c r="E4224" s="46" t="s">
        <v>7616</v>
      </c>
    </row>
    <row r="4225">
      <c r="A4225" s="56" t="s">
        <v>14054</v>
      </c>
      <c r="B4225" s="21"/>
      <c r="C4225" s="33" t="s">
        <v>11416</v>
      </c>
      <c r="E4225" s="46" t="s">
        <v>7618</v>
      </c>
    </row>
    <row r="4226">
      <c r="A4226" s="56" t="s">
        <v>14055</v>
      </c>
      <c r="B4226" s="21"/>
      <c r="C4226" s="33" t="s">
        <v>11419</v>
      </c>
      <c r="E4226" s="46" t="s">
        <v>7616</v>
      </c>
    </row>
    <row r="4227">
      <c r="A4227" s="56" t="s">
        <v>14056</v>
      </c>
      <c r="B4227" s="21"/>
      <c r="C4227" s="33" t="s">
        <v>11419</v>
      </c>
      <c r="E4227" s="46" t="s">
        <v>7618</v>
      </c>
    </row>
    <row r="4228">
      <c r="A4228" s="56" t="s">
        <v>14057</v>
      </c>
      <c r="B4228" s="55"/>
      <c r="C4228" s="31"/>
    </row>
    <row r="4229">
      <c r="A4229" s="56" t="s">
        <v>14060</v>
      </c>
      <c r="B4229" s="55"/>
      <c r="C4229" s="31"/>
    </row>
    <row r="4230">
      <c r="A4230" s="56" t="s">
        <v>14062</v>
      </c>
      <c r="B4230" s="55"/>
      <c r="C4230" s="31"/>
    </row>
    <row r="4231">
      <c r="A4231" s="56" t="s">
        <v>14065</v>
      </c>
      <c r="B4231" s="55"/>
      <c r="C4231" s="31"/>
    </row>
    <row r="4232">
      <c r="A4232" s="56" t="s">
        <v>14066</v>
      </c>
      <c r="B4232" s="55"/>
      <c r="C4232" s="31"/>
    </row>
    <row r="4233">
      <c r="A4233" s="56" t="s">
        <v>14067</v>
      </c>
      <c r="B4233" s="82"/>
      <c r="C4233" s="33" t="s">
        <v>14068</v>
      </c>
    </row>
    <row r="4234">
      <c r="A4234" s="56" t="s">
        <v>14069</v>
      </c>
      <c r="B4234" s="82"/>
      <c r="C4234" s="33" t="s">
        <v>11373</v>
      </c>
      <c r="E4234" s="46" t="s">
        <v>7616</v>
      </c>
    </row>
    <row r="4235">
      <c r="A4235" s="56" t="s">
        <v>14072</v>
      </c>
      <c r="B4235" s="82"/>
      <c r="C4235" s="33" t="s">
        <v>11373</v>
      </c>
      <c r="E4235" s="46" t="s">
        <v>7618</v>
      </c>
    </row>
    <row r="4236">
      <c r="A4236" s="56" t="s">
        <v>14076</v>
      </c>
      <c r="B4236" s="82"/>
      <c r="C4236" s="33" t="s">
        <v>11376</v>
      </c>
      <c r="E4236" s="46" t="s">
        <v>7616</v>
      </c>
    </row>
    <row r="4237">
      <c r="A4237" s="56" t="s">
        <v>14079</v>
      </c>
      <c r="B4237" s="82"/>
      <c r="C4237" s="33" t="s">
        <v>11376</v>
      </c>
      <c r="E4237" s="46" t="s">
        <v>7618</v>
      </c>
    </row>
    <row r="4238">
      <c r="A4238" s="56" t="s">
        <v>14080</v>
      </c>
      <c r="B4238" s="82"/>
      <c r="C4238" s="33" t="s">
        <v>11380</v>
      </c>
      <c r="E4238" s="46" t="s">
        <v>7616</v>
      </c>
    </row>
    <row r="4239">
      <c r="A4239" s="56" t="s">
        <v>14081</v>
      </c>
      <c r="B4239" s="82"/>
      <c r="C4239" s="33" t="s">
        <v>11380</v>
      </c>
      <c r="E4239" s="46" t="s">
        <v>7618</v>
      </c>
    </row>
    <row r="4240">
      <c r="A4240" s="56" t="s">
        <v>14082</v>
      </c>
      <c r="B4240" s="79"/>
      <c r="C4240" s="33" t="s">
        <v>11384</v>
      </c>
      <c r="E4240" s="46" t="s">
        <v>1348</v>
      </c>
    </row>
    <row r="4241">
      <c r="A4241" s="56" t="s">
        <v>14083</v>
      </c>
      <c r="B4241" s="79"/>
      <c r="C4241" s="33" t="s">
        <v>11384</v>
      </c>
      <c r="E4241" s="46" t="s">
        <v>1348</v>
      </c>
    </row>
    <row r="4242">
      <c r="A4242" s="56" t="s">
        <v>14087</v>
      </c>
      <c r="B4242" s="79"/>
      <c r="C4242" s="33" t="s">
        <v>11389</v>
      </c>
      <c r="E4242" s="46" t="s">
        <v>1348</v>
      </c>
    </row>
    <row r="4243">
      <c r="A4243" s="56" t="s">
        <v>14088</v>
      </c>
      <c r="B4243" s="21"/>
      <c r="C4243" s="33" t="s">
        <v>11391</v>
      </c>
      <c r="E4243" s="46" t="s">
        <v>7616</v>
      </c>
    </row>
    <row r="4244">
      <c r="A4244" s="56" t="s">
        <v>14089</v>
      </c>
      <c r="B4244" s="21"/>
      <c r="C4244" s="33" t="s">
        <v>11391</v>
      </c>
      <c r="E4244" s="46" t="s">
        <v>7618</v>
      </c>
    </row>
    <row r="4245">
      <c r="A4245" s="56" t="s">
        <v>14090</v>
      </c>
      <c r="B4245" s="21"/>
      <c r="C4245" s="33" t="s">
        <v>11394</v>
      </c>
      <c r="E4245" s="46" t="s">
        <v>7616</v>
      </c>
    </row>
    <row r="4246">
      <c r="A4246" s="56" t="s">
        <v>14091</v>
      </c>
      <c r="B4246" s="21"/>
      <c r="C4246" s="33" t="s">
        <v>11394</v>
      </c>
      <c r="E4246" s="46" t="s">
        <v>7618</v>
      </c>
    </row>
    <row r="4247">
      <c r="A4247" s="56" t="s">
        <v>14092</v>
      </c>
      <c r="B4247" s="21"/>
      <c r="C4247" s="33" t="s">
        <v>11398</v>
      </c>
      <c r="E4247" s="46" t="s">
        <v>7616</v>
      </c>
    </row>
    <row r="4248">
      <c r="A4248" s="56" t="s">
        <v>14096</v>
      </c>
      <c r="B4248" s="21"/>
      <c r="C4248" s="33" t="s">
        <v>11398</v>
      </c>
      <c r="E4248" s="46" t="s">
        <v>7618</v>
      </c>
    </row>
    <row r="4249">
      <c r="A4249" s="56" t="s">
        <v>14097</v>
      </c>
      <c r="B4249" s="21"/>
      <c r="C4249" s="33" t="s">
        <v>11391</v>
      </c>
      <c r="E4249" s="46" t="s">
        <v>7616</v>
      </c>
    </row>
    <row r="4250">
      <c r="A4250" s="56" t="s">
        <v>14098</v>
      </c>
      <c r="B4250" s="21"/>
      <c r="C4250" s="33" t="s">
        <v>11391</v>
      </c>
      <c r="E4250" s="46" t="s">
        <v>7618</v>
      </c>
    </row>
    <row r="4251">
      <c r="A4251" s="56" t="s">
        <v>14099</v>
      </c>
      <c r="B4251" s="21"/>
      <c r="C4251" s="33" t="s">
        <v>11394</v>
      </c>
      <c r="E4251" s="46" t="s">
        <v>7616</v>
      </c>
    </row>
    <row r="4252">
      <c r="A4252" s="56" t="s">
        <v>14101</v>
      </c>
      <c r="B4252" s="21"/>
      <c r="C4252" s="33" t="s">
        <v>11394</v>
      </c>
      <c r="E4252" s="46" t="s">
        <v>7618</v>
      </c>
    </row>
    <row r="4253">
      <c r="A4253" s="56" t="s">
        <v>14103</v>
      </c>
      <c r="B4253" s="21"/>
      <c r="C4253" s="33" t="s">
        <v>11398</v>
      </c>
      <c r="E4253" s="46" t="s">
        <v>7616</v>
      </c>
    </row>
    <row r="4254">
      <c r="A4254" s="56" t="s">
        <v>14105</v>
      </c>
      <c r="B4254" s="21"/>
      <c r="C4254" s="33" t="s">
        <v>11398</v>
      </c>
      <c r="E4254" s="46" t="s">
        <v>7618</v>
      </c>
    </row>
    <row r="4255">
      <c r="A4255" s="56" t="s">
        <v>14107</v>
      </c>
      <c r="B4255" s="21"/>
      <c r="C4255" s="33" t="s">
        <v>11411</v>
      </c>
      <c r="E4255" s="46" t="s">
        <v>7616</v>
      </c>
    </row>
    <row r="4256">
      <c r="A4256" s="56" t="s">
        <v>14108</v>
      </c>
      <c r="B4256" s="21"/>
      <c r="C4256" s="33" t="s">
        <v>11411</v>
      </c>
      <c r="E4256" s="46" t="s">
        <v>7618</v>
      </c>
    </row>
    <row r="4257">
      <c r="A4257" s="56" t="s">
        <v>14109</v>
      </c>
      <c r="B4257" s="21"/>
      <c r="C4257" s="33" t="s">
        <v>11416</v>
      </c>
      <c r="E4257" s="46" t="s">
        <v>7616</v>
      </c>
    </row>
    <row r="4258">
      <c r="A4258" s="56" t="s">
        <v>14111</v>
      </c>
      <c r="B4258" s="21"/>
      <c r="C4258" s="33" t="s">
        <v>11416</v>
      </c>
      <c r="E4258" s="46" t="s">
        <v>7618</v>
      </c>
    </row>
    <row r="4259">
      <c r="A4259" s="56" t="s">
        <v>14114</v>
      </c>
      <c r="B4259" s="21"/>
      <c r="C4259" s="33" t="s">
        <v>11419</v>
      </c>
      <c r="E4259" s="46" t="s">
        <v>7616</v>
      </c>
    </row>
    <row r="4260">
      <c r="A4260" s="56" t="s">
        <v>14115</v>
      </c>
      <c r="B4260" s="21"/>
      <c r="C4260" s="33" t="s">
        <v>11419</v>
      </c>
      <c r="E4260" s="46" t="s">
        <v>7618</v>
      </c>
    </row>
    <row r="4261">
      <c r="A4261" s="56" t="s">
        <v>14116</v>
      </c>
      <c r="B4261" s="21"/>
      <c r="C4261" s="33" t="s">
        <v>11411</v>
      </c>
      <c r="E4261" s="46" t="s">
        <v>7616</v>
      </c>
    </row>
    <row r="4262">
      <c r="A4262" s="56" t="s">
        <v>14118</v>
      </c>
      <c r="B4262" s="21"/>
      <c r="C4262" s="33" t="s">
        <v>11411</v>
      </c>
      <c r="E4262" s="46" t="s">
        <v>7618</v>
      </c>
    </row>
    <row r="4263">
      <c r="A4263" s="56" t="s">
        <v>14119</v>
      </c>
      <c r="B4263" s="21"/>
      <c r="C4263" s="33" t="s">
        <v>11416</v>
      </c>
      <c r="E4263" s="46" t="s">
        <v>7616</v>
      </c>
    </row>
    <row r="4264">
      <c r="A4264" s="56" t="s">
        <v>14122</v>
      </c>
      <c r="B4264" s="21"/>
      <c r="C4264" s="33" t="s">
        <v>11416</v>
      </c>
      <c r="E4264" s="46" t="s">
        <v>7618</v>
      </c>
    </row>
    <row r="4265">
      <c r="A4265" s="56" t="s">
        <v>14124</v>
      </c>
      <c r="B4265" s="21"/>
      <c r="C4265" s="33" t="s">
        <v>11419</v>
      </c>
      <c r="E4265" s="46" t="s">
        <v>7616</v>
      </c>
    </row>
    <row r="4266">
      <c r="A4266" s="56" t="s">
        <v>14125</v>
      </c>
      <c r="B4266" s="21"/>
      <c r="C4266" s="33" t="s">
        <v>11419</v>
      </c>
      <c r="E4266" s="46" t="s">
        <v>7618</v>
      </c>
    </row>
    <row r="4267">
      <c r="A4267" s="56" t="s">
        <v>14126</v>
      </c>
      <c r="B4267" s="55"/>
      <c r="C4267" s="31"/>
    </row>
    <row r="4268">
      <c r="A4268" s="56" t="s">
        <v>14127</v>
      </c>
      <c r="B4268" s="55"/>
      <c r="C4268" s="31"/>
    </row>
    <row r="4269">
      <c r="A4269" s="56" t="s">
        <v>14128</v>
      </c>
      <c r="B4269" s="82"/>
      <c r="C4269" s="33" t="s">
        <v>14129</v>
      </c>
    </row>
    <row r="4270">
      <c r="A4270" s="56" t="s">
        <v>14132</v>
      </c>
      <c r="B4270" s="82"/>
      <c r="C4270" s="33" t="s">
        <v>11373</v>
      </c>
      <c r="E4270" s="46" t="s">
        <v>7616</v>
      </c>
    </row>
    <row r="4271">
      <c r="A4271" s="56" t="s">
        <v>14134</v>
      </c>
      <c r="B4271" s="82"/>
      <c r="C4271" s="33" t="s">
        <v>11373</v>
      </c>
      <c r="E4271" s="46" t="s">
        <v>7618</v>
      </c>
    </row>
    <row r="4272">
      <c r="A4272" s="56" t="s">
        <v>14135</v>
      </c>
      <c r="B4272" s="82"/>
      <c r="C4272" s="33" t="s">
        <v>11376</v>
      </c>
      <c r="E4272" s="46" t="s">
        <v>7616</v>
      </c>
    </row>
    <row r="4273">
      <c r="A4273" s="56" t="s">
        <v>14136</v>
      </c>
      <c r="B4273" s="82"/>
      <c r="C4273" s="33" t="s">
        <v>11376</v>
      </c>
      <c r="E4273" s="46" t="s">
        <v>7618</v>
      </c>
    </row>
    <row r="4274">
      <c r="A4274" s="56" t="s">
        <v>14137</v>
      </c>
      <c r="B4274" s="82"/>
      <c r="C4274" s="33" t="s">
        <v>11380</v>
      </c>
      <c r="E4274" s="46" t="s">
        <v>7616</v>
      </c>
    </row>
    <row r="4275">
      <c r="A4275" s="56" t="s">
        <v>14139</v>
      </c>
      <c r="B4275" s="82"/>
      <c r="C4275" s="33" t="s">
        <v>11380</v>
      </c>
      <c r="E4275" s="46" t="s">
        <v>7618</v>
      </c>
    </row>
    <row r="4276">
      <c r="A4276" s="56" t="s">
        <v>14142</v>
      </c>
      <c r="B4276" s="79"/>
      <c r="C4276" s="33" t="s">
        <v>11384</v>
      </c>
      <c r="E4276" s="46" t="s">
        <v>1348</v>
      </c>
    </row>
    <row r="4277">
      <c r="A4277" s="56" t="s">
        <v>14143</v>
      </c>
      <c r="B4277" s="79"/>
      <c r="C4277" s="33" t="s">
        <v>11384</v>
      </c>
      <c r="E4277" s="46" t="s">
        <v>1348</v>
      </c>
    </row>
    <row r="4278">
      <c r="A4278" s="56" t="s">
        <v>14144</v>
      </c>
      <c r="B4278" s="79"/>
      <c r="C4278" s="33" t="s">
        <v>11389</v>
      </c>
      <c r="E4278" s="46" t="s">
        <v>1348</v>
      </c>
    </row>
    <row r="4279">
      <c r="A4279" s="56" t="s">
        <v>14146</v>
      </c>
      <c r="B4279" s="21"/>
      <c r="C4279" s="33" t="s">
        <v>11391</v>
      </c>
      <c r="E4279" s="46" t="s">
        <v>7616</v>
      </c>
    </row>
    <row r="4280">
      <c r="A4280" s="56" t="s">
        <v>14147</v>
      </c>
      <c r="B4280" s="21"/>
      <c r="C4280" s="33" t="s">
        <v>11391</v>
      </c>
      <c r="E4280" s="46" t="s">
        <v>7618</v>
      </c>
    </row>
    <row r="4281">
      <c r="A4281" s="56" t="s">
        <v>14148</v>
      </c>
      <c r="B4281" s="21"/>
      <c r="C4281" s="33" t="s">
        <v>11394</v>
      </c>
      <c r="E4281" s="46" t="s">
        <v>7616</v>
      </c>
    </row>
    <row r="4282">
      <c r="A4282" s="56" t="s">
        <v>14151</v>
      </c>
      <c r="B4282" s="21"/>
      <c r="C4282" s="33" t="s">
        <v>11394</v>
      </c>
      <c r="E4282" s="46" t="s">
        <v>7618</v>
      </c>
    </row>
    <row r="4283">
      <c r="A4283" s="56" t="s">
        <v>14153</v>
      </c>
      <c r="B4283" s="21"/>
      <c r="C4283" s="33" t="s">
        <v>11398</v>
      </c>
      <c r="E4283" s="46" t="s">
        <v>7616</v>
      </c>
    </row>
    <row r="4284">
      <c r="A4284" s="56" t="s">
        <v>14154</v>
      </c>
      <c r="B4284" s="21"/>
      <c r="C4284" s="33" t="s">
        <v>11398</v>
      </c>
      <c r="E4284" s="46" t="s">
        <v>7618</v>
      </c>
    </row>
    <row r="4285">
      <c r="A4285" s="56" t="s">
        <v>14155</v>
      </c>
      <c r="B4285" s="21"/>
      <c r="C4285" s="33" t="s">
        <v>11391</v>
      </c>
      <c r="E4285" s="46" t="s">
        <v>7616</v>
      </c>
    </row>
    <row r="4286">
      <c r="A4286" s="56" t="s">
        <v>14156</v>
      </c>
      <c r="B4286" s="21"/>
      <c r="C4286" s="33" t="s">
        <v>11391</v>
      </c>
      <c r="E4286" s="46" t="s">
        <v>7618</v>
      </c>
    </row>
    <row r="4287">
      <c r="A4287" s="56" t="s">
        <v>14158</v>
      </c>
      <c r="B4287" s="21"/>
      <c r="C4287" s="33" t="s">
        <v>11394</v>
      </c>
      <c r="E4287" s="46" t="s">
        <v>7616</v>
      </c>
    </row>
    <row r="4288">
      <c r="A4288" s="56" t="s">
        <v>14159</v>
      </c>
      <c r="B4288" s="21"/>
      <c r="C4288" s="33" t="s">
        <v>11394</v>
      </c>
      <c r="E4288" s="46" t="s">
        <v>7618</v>
      </c>
    </row>
    <row r="4289">
      <c r="A4289" s="56" t="s">
        <v>14160</v>
      </c>
      <c r="B4289" s="21"/>
      <c r="C4289" s="33" t="s">
        <v>11398</v>
      </c>
      <c r="E4289" s="46" t="s">
        <v>7616</v>
      </c>
    </row>
    <row r="4290">
      <c r="A4290" s="56" t="s">
        <v>14161</v>
      </c>
      <c r="B4290" s="21"/>
      <c r="C4290" s="33" t="s">
        <v>11398</v>
      </c>
      <c r="E4290" s="46" t="s">
        <v>7618</v>
      </c>
    </row>
    <row r="4291">
      <c r="A4291" s="56" t="s">
        <v>14163</v>
      </c>
      <c r="B4291" s="21"/>
      <c r="C4291" s="33" t="s">
        <v>11411</v>
      </c>
      <c r="E4291" s="46" t="s">
        <v>7616</v>
      </c>
    </row>
    <row r="4292">
      <c r="A4292" s="56" t="s">
        <v>14164</v>
      </c>
      <c r="B4292" s="21"/>
      <c r="C4292" s="33" t="s">
        <v>11411</v>
      </c>
      <c r="E4292" s="46" t="s">
        <v>7618</v>
      </c>
    </row>
    <row r="4293">
      <c r="A4293" s="56" t="s">
        <v>14165</v>
      </c>
      <c r="B4293" s="21"/>
      <c r="C4293" s="33" t="s">
        <v>11416</v>
      </c>
      <c r="E4293" s="46" t="s">
        <v>7616</v>
      </c>
    </row>
    <row r="4294">
      <c r="A4294" s="56" t="s">
        <v>14166</v>
      </c>
      <c r="B4294" s="21"/>
      <c r="C4294" s="33" t="s">
        <v>11416</v>
      </c>
      <c r="E4294" s="46" t="s">
        <v>7618</v>
      </c>
    </row>
    <row r="4295">
      <c r="A4295" s="56" t="s">
        <v>14168</v>
      </c>
      <c r="B4295" s="21"/>
      <c r="C4295" s="33" t="s">
        <v>11419</v>
      </c>
      <c r="E4295" s="46" t="s">
        <v>7616</v>
      </c>
    </row>
    <row r="4296">
      <c r="A4296" s="56" t="s">
        <v>14169</v>
      </c>
      <c r="B4296" s="21"/>
      <c r="C4296" s="33" t="s">
        <v>11419</v>
      </c>
      <c r="E4296" s="46" t="s">
        <v>7618</v>
      </c>
    </row>
    <row r="4297">
      <c r="A4297" s="56" t="s">
        <v>14170</v>
      </c>
      <c r="B4297" s="21"/>
      <c r="C4297" s="33" t="s">
        <v>11411</v>
      </c>
      <c r="E4297" s="46" t="s">
        <v>7616</v>
      </c>
    </row>
    <row r="4298">
      <c r="A4298" s="56" t="s">
        <v>14172</v>
      </c>
      <c r="B4298" s="21"/>
      <c r="C4298" s="33" t="s">
        <v>11411</v>
      </c>
      <c r="E4298" s="46" t="s">
        <v>7618</v>
      </c>
    </row>
    <row r="4299">
      <c r="A4299" s="56" t="s">
        <v>14173</v>
      </c>
      <c r="B4299" s="21"/>
      <c r="C4299" s="33" t="s">
        <v>11416</v>
      </c>
      <c r="E4299" s="46" t="s">
        <v>7616</v>
      </c>
    </row>
    <row r="4300">
      <c r="A4300" s="56" t="s">
        <v>14174</v>
      </c>
      <c r="B4300" s="21"/>
      <c r="C4300" s="33" t="s">
        <v>11416</v>
      </c>
      <c r="E4300" s="46" t="s">
        <v>7618</v>
      </c>
    </row>
    <row r="4301">
      <c r="A4301" s="56" t="s">
        <v>14175</v>
      </c>
      <c r="B4301" s="21"/>
      <c r="C4301" s="33" t="s">
        <v>11419</v>
      </c>
      <c r="E4301" s="46" t="s">
        <v>7616</v>
      </c>
    </row>
    <row r="4302">
      <c r="A4302" s="56" t="s">
        <v>14177</v>
      </c>
      <c r="B4302" s="21"/>
      <c r="C4302" s="33" t="s">
        <v>11419</v>
      </c>
      <c r="E4302" s="46" t="s">
        <v>7618</v>
      </c>
    </row>
    <row r="4303">
      <c r="A4303" s="56" t="s">
        <v>14179</v>
      </c>
      <c r="B4303" s="55"/>
      <c r="C4303" s="31"/>
    </row>
    <row r="4304">
      <c r="A4304" s="56" t="s">
        <v>14181</v>
      </c>
      <c r="B4304" s="55"/>
      <c r="C4304" s="31"/>
    </row>
    <row r="4305">
      <c r="A4305" s="56" t="s">
        <v>14182</v>
      </c>
      <c r="B4305" s="55"/>
      <c r="C4305" s="31"/>
    </row>
    <row r="4306">
      <c r="A4306" s="56" t="s">
        <v>14183</v>
      </c>
      <c r="B4306" s="55"/>
      <c r="C4306" s="31"/>
    </row>
    <row r="4307">
      <c r="A4307" s="56" t="s">
        <v>14184</v>
      </c>
      <c r="B4307" s="55"/>
      <c r="C4307" s="31"/>
    </row>
    <row r="4308">
      <c r="A4308" s="56" t="s">
        <v>14185</v>
      </c>
      <c r="B4308" s="55"/>
      <c r="C4308" s="31"/>
    </row>
    <row r="4309">
      <c r="A4309" s="56" t="s">
        <v>14186</v>
      </c>
      <c r="B4309" s="55"/>
      <c r="C4309" s="31"/>
    </row>
    <row r="4310">
      <c r="A4310" s="56" t="s">
        <v>14188</v>
      </c>
      <c r="B4310" s="55"/>
      <c r="C4310" s="31"/>
    </row>
    <row r="4311">
      <c r="A4311" s="56" t="s">
        <v>14189</v>
      </c>
      <c r="B4311" s="55"/>
      <c r="C4311" s="31"/>
    </row>
    <row r="4312">
      <c r="A4312" s="56" t="s">
        <v>14190</v>
      </c>
      <c r="B4312" s="79"/>
      <c r="C4312" s="33" t="s">
        <v>14191</v>
      </c>
    </row>
    <row r="4313">
      <c r="A4313" s="56" t="s">
        <v>14192</v>
      </c>
      <c r="B4313" s="79"/>
      <c r="C4313" s="33" t="s">
        <v>14193</v>
      </c>
    </row>
    <row r="4314">
      <c r="A4314" s="56" t="s">
        <v>14194</v>
      </c>
      <c r="B4314" s="79"/>
      <c r="C4314" s="33" t="s">
        <v>14193</v>
      </c>
    </row>
    <row r="4315">
      <c r="A4315" s="56" t="s">
        <v>14195</v>
      </c>
      <c r="B4315" s="55"/>
      <c r="C4315" s="31"/>
    </row>
    <row r="4316">
      <c r="A4316" s="56" t="s">
        <v>14196</v>
      </c>
      <c r="B4316" s="82"/>
      <c r="C4316" s="33" t="s">
        <v>14197</v>
      </c>
    </row>
    <row r="4317">
      <c r="A4317" s="56" t="s">
        <v>14198</v>
      </c>
      <c r="B4317" s="82"/>
      <c r="C4317" s="33" t="s">
        <v>11373</v>
      </c>
      <c r="E4317" s="46" t="s">
        <v>7616</v>
      </c>
    </row>
    <row r="4318">
      <c r="A4318" s="56" t="s">
        <v>14199</v>
      </c>
      <c r="B4318" s="82"/>
      <c r="C4318" s="33" t="s">
        <v>11373</v>
      </c>
      <c r="E4318" s="46" t="s">
        <v>7618</v>
      </c>
    </row>
    <row r="4319">
      <c r="A4319" s="56" t="s">
        <v>14200</v>
      </c>
      <c r="B4319" s="82"/>
      <c r="C4319" s="33" t="s">
        <v>11376</v>
      </c>
      <c r="E4319" s="46" t="s">
        <v>7616</v>
      </c>
    </row>
    <row r="4320">
      <c r="A4320" s="56" t="s">
        <v>14201</v>
      </c>
      <c r="B4320" s="82"/>
      <c r="C4320" s="33" t="s">
        <v>11376</v>
      </c>
      <c r="E4320" s="46" t="s">
        <v>7618</v>
      </c>
    </row>
    <row r="4321">
      <c r="A4321" s="56" t="s">
        <v>14202</v>
      </c>
      <c r="B4321" s="82"/>
      <c r="C4321" s="33" t="s">
        <v>11380</v>
      </c>
      <c r="E4321" s="46" t="s">
        <v>7616</v>
      </c>
    </row>
    <row r="4322">
      <c r="A4322" s="56" t="s">
        <v>14205</v>
      </c>
      <c r="B4322" s="82"/>
      <c r="C4322" s="33" t="s">
        <v>11380</v>
      </c>
      <c r="E4322" s="46" t="s">
        <v>7618</v>
      </c>
    </row>
    <row r="4323">
      <c r="A4323" s="56" t="s">
        <v>14207</v>
      </c>
      <c r="B4323" s="79"/>
      <c r="C4323" s="33" t="s">
        <v>11384</v>
      </c>
      <c r="E4323" s="46" t="s">
        <v>1348</v>
      </c>
    </row>
    <row r="4324">
      <c r="A4324" s="56" t="s">
        <v>14208</v>
      </c>
      <c r="B4324" s="79"/>
      <c r="C4324" s="33" t="s">
        <v>11384</v>
      </c>
      <c r="E4324" s="46" t="s">
        <v>1348</v>
      </c>
    </row>
    <row r="4325">
      <c r="A4325" s="56" t="s">
        <v>14209</v>
      </c>
      <c r="B4325" s="79"/>
      <c r="C4325" s="33" t="s">
        <v>11389</v>
      </c>
      <c r="E4325" s="46" t="s">
        <v>1348</v>
      </c>
    </row>
    <row r="4326">
      <c r="A4326" s="56" t="s">
        <v>14210</v>
      </c>
      <c r="B4326" s="21"/>
      <c r="C4326" s="33" t="s">
        <v>11391</v>
      </c>
      <c r="E4326" s="46" t="s">
        <v>7616</v>
      </c>
    </row>
    <row r="4327">
      <c r="A4327" s="56" t="s">
        <v>14212</v>
      </c>
      <c r="B4327" s="21"/>
      <c r="C4327" s="33" t="s">
        <v>11391</v>
      </c>
      <c r="E4327" s="46" t="s">
        <v>7618</v>
      </c>
    </row>
    <row r="4328">
      <c r="A4328" s="56" t="s">
        <v>14213</v>
      </c>
      <c r="B4328" s="21"/>
      <c r="C4328" s="33" t="s">
        <v>11394</v>
      </c>
      <c r="E4328" s="46" t="s">
        <v>7616</v>
      </c>
    </row>
    <row r="4329">
      <c r="A4329" s="56" t="s">
        <v>14214</v>
      </c>
      <c r="B4329" s="21"/>
      <c r="C4329" s="33" t="s">
        <v>11394</v>
      </c>
      <c r="E4329" s="46" t="s">
        <v>7618</v>
      </c>
    </row>
    <row r="4330">
      <c r="A4330" s="56" t="s">
        <v>14215</v>
      </c>
      <c r="B4330" s="21"/>
      <c r="C4330" s="33" t="s">
        <v>11398</v>
      </c>
      <c r="E4330" s="46" t="s">
        <v>7616</v>
      </c>
    </row>
    <row r="4331">
      <c r="A4331" s="56" t="s">
        <v>14216</v>
      </c>
      <c r="B4331" s="21"/>
      <c r="C4331" s="33" t="s">
        <v>11398</v>
      </c>
      <c r="E4331" s="46" t="s">
        <v>7618</v>
      </c>
    </row>
    <row r="4332">
      <c r="A4332" s="56" t="s">
        <v>14217</v>
      </c>
      <c r="B4332" s="21"/>
      <c r="C4332" s="33" t="s">
        <v>11391</v>
      </c>
      <c r="E4332" s="46" t="s">
        <v>7616</v>
      </c>
    </row>
    <row r="4333">
      <c r="A4333" s="56" t="s">
        <v>14221</v>
      </c>
      <c r="B4333" s="21"/>
      <c r="C4333" s="33" t="s">
        <v>11391</v>
      </c>
      <c r="E4333" s="46" t="s">
        <v>7618</v>
      </c>
    </row>
    <row r="4334">
      <c r="A4334" s="56" t="s">
        <v>14222</v>
      </c>
      <c r="B4334" s="21"/>
      <c r="C4334" s="33" t="s">
        <v>11394</v>
      </c>
      <c r="E4334" s="46" t="s">
        <v>7616</v>
      </c>
    </row>
    <row r="4335">
      <c r="A4335" s="56" t="s">
        <v>14223</v>
      </c>
      <c r="B4335" s="21"/>
      <c r="C4335" s="33" t="s">
        <v>11394</v>
      </c>
      <c r="E4335" s="46" t="s">
        <v>7618</v>
      </c>
    </row>
    <row r="4336">
      <c r="A4336" s="56" t="s">
        <v>14224</v>
      </c>
      <c r="B4336" s="21"/>
      <c r="C4336" s="33" t="s">
        <v>11398</v>
      </c>
      <c r="E4336" s="46" t="s">
        <v>7616</v>
      </c>
    </row>
    <row r="4337">
      <c r="A4337" s="56" t="s">
        <v>14225</v>
      </c>
      <c r="B4337" s="21"/>
      <c r="C4337" s="33" t="s">
        <v>11398</v>
      </c>
      <c r="E4337" s="46" t="s">
        <v>7618</v>
      </c>
    </row>
    <row r="4338">
      <c r="A4338" s="56" t="s">
        <v>14226</v>
      </c>
      <c r="B4338" s="21"/>
      <c r="C4338" s="33" t="s">
        <v>11411</v>
      </c>
      <c r="E4338" s="46" t="s">
        <v>7616</v>
      </c>
    </row>
    <row r="4339">
      <c r="A4339" s="56" t="s">
        <v>14229</v>
      </c>
      <c r="B4339" s="21"/>
      <c r="C4339" s="33" t="s">
        <v>11411</v>
      </c>
      <c r="E4339" s="46" t="s">
        <v>7618</v>
      </c>
    </row>
    <row r="4340">
      <c r="A4340" s="56" t="s">
        <v>14231</v>
      </c>
      <c r="B4340" s="21"/>
      <c r="C4340" s="33" t="s">
        <v>11416</v>
      </c>
      <c r="E4340" s="46" t="s">
        <v>7616</v>
      </c>
    </row>
    <row r="4341">
      <c r="A4341" s="56" t="s">
        <v>14232</v>
      </c>
      <c r="B4341" s="21"/>
      <c r="C4341" s="33" t="s">
        <v>11416</v>
      </c>
      <c r="E4341" s="46" t="s">
        <v>7618</v>
      </c>
    </row>
    <row r="4342">
      <c r="A4342" s="56" t="s">
        <v>14233</v>
      </c>
      <c r="B4342" s="21"/>
      <c r="C4342" s="33" t="s">
        <v>11419</v>
      </c>
      <c r="E4342" s="46" t="s">
        <v>7616</v>
      </c>
    </row>
    <row r="4343">
      <c r="A4343" s="56" t="s">
        <v>14234</v>
      </c>
      <c r="B4343" s="21"/>
      <c r="C4343" s="33" t="s">
        <v>11419</v>
      </c>
      <c r="E4343" s="46" t="s">
        <v>7618</v>
      </c>
    </row>
    <row r="4344">
      <c r="A4344" s="56" t="s">
        <v>14235</v>
      </c>
      <c r="B4344" s="21"/>
      <c r="C4344" s="33" t="s">
        <v>11411</v>
      </c>
      <c r="E4344" s="46" t="s">
        <v>7616</v>
      </c>
    </row>
    <row r="4345">
      <c r="A4345" s="56" t="s">
        <v>14237</v>
      </c>
      <c r="B4345" s="21"/>
      <c r="C4345" s="33" t="s">
        <v>11411</v>
      </c>
      <c r="E4345" s="46" t="s">
        <v>7618</v>
      </c>
    </row>
    <row r="4346">
      <c r="A4346" s="56" t="s">
        <v>14239</v>
      </c>
      <c r="B4346" s="21"/>
      <c r="C4346" s="33" t="s">
        <v>11416</v>
      </c>
      <c r="E4346" s="46" t="s">
        <v>7616</v>
      </c>
    </row>
    <row r="4347">
      <c r="A4347" s="56" t="s">
        <v>14241</v>
      </c>
      <c r="B4347" s="21"/>
      <c r="C4347" s="33" t="s">
        <v>11416</v>
      </c>
      <c r="E4347" s="46" t="s">
        <v>7618</v>
      </c>
    </row>
    <row r="4348">
      <c r="A4348" s="56" t="s">
        <v>14242</v>
      </c>
      <c r="B4348" s="21"/>
      <c r="C4348" s="33" t="s">
        <v>11419</v>
      </c>
      <c r="E4348" s="46" t="s">
        <v>7616</v>
      </c>
    </row>
    <row r="4349">
      <c r="A4349" s="56" t="s">
        <v>14243</v>
      </c>
      <c r="B4349" s="21"/>
      <c r="C4349" s="33" t="s">
        <v>11419</v>
      </c>
      <c r="E4349" s="46" t="s">
        <v>7618</v>
      </c>
    </row>
    <row r="4350">
      <c r="A4350" s="56" t="s">
        <v>14244</v>
      </c>
      <c r="B4350" s="55"/>
      <c r="C4350" s="31"/>
    </row>
    <row r="4351">
      <c r="A4351" s="56" t="s">
        <v>14245</v>
      </c>
      <c r="B4351" s="82"/>
      <c r="C4351" s="33" t="s">
        <v>14246</v>
      </c>
    </row>
    <row r="4352">
      <c r="A4352" s="56" t="s">
        <v>14247</v>
      </c>
      <c r="B4352" s="55"/>
      <c r="C4352" s="31"/>
    </row>
    <row r="4353">
      <c r="A4353" s="56" t="s">
        <v>14248</v>
      </c>
      <c r="B4353" s="55"/>
      <c r="C4353" s="31"/>
    </row>
    <row r="4354">
      <c r="A4354" s="56" t="s">
        <v>14249</v>
      </c>
      <c r="B4354" s="55"/>
      <c r="C4354" s="31"/>
    </row>
    <row r="4355">
      <c r="A4355" s="56" t="s">
        <v>14251</v>
      </c>
      <c r="B4355" s="55"/>
      <c r="C4355" s="31"/>
    </row>
    <row r="4356">
      <c r="A4356" s="56" t="s">
        <v>14252</v>
      </c>
      <c r="B4356" s="55"/>
      <c r="C4356" s="31"/>
    </row>
    <row r="4357">
      <c r="A4357" s="56" t="s">
        <v>14254</v>
      </c>
      <c r="B4357" s="55"/>
      <c r="C4357" s="31"/>
    </row>
    <row r="4358">
      <c r="A4358" s="56" t="s">
        <v>14256</v>
      </c>
      <c r="B4358" s="55"/>
      <c r="C4358" s="31"/>
    </row>
    <row r="4359">
      <c r="A4359" s="56" t="s">
        <v>14258</v>
      </c>
      <c r="B4359" s="55"/>
      <c r="C4359" s="31"/>
    </row>
    <row r="4360">
      <c r="A4360" s="56" t="s">
        <v>14259</v>
      </c>
      <c r="B4360" s="55"/>
      <c r="C4360" s="31"/>
    </row>
    <row r="4361">
      <c r="A4361" s="56" t="s">
        <v>14261</v>
      </c>
      <c r="B4361" s="55"/>
      <c r="C4361" s="31"/>
    </row>
    <row r="4362">
      <c r="A4362" s="56" t="s">
        <v>14262</v>
      </c>
      <c r="B4362" s="55"/>
      <c r="C4362" s="31"/>
    </row>
    <row r="4363">
      <c r="A4363" s="56" t="s">
        <v>14263</v>
      </c>
      <c r="B4363" s="55"/>
      <c r="C4363" s="31"/>
    </row>
    <row r="4364">
      <c r="A4364" s="56" t="s">
        <v>14264</v>
      </c>
      <c r="B4364" s="55"/>
      <c r="C4364" s="31"/>
    </row>
    <row r="4365">
      <c r="A4365" s="56" t="s">
        <v>14265</v>
      </c>
      <c r="B4365" s="55"/>
      <c r="C4365" s="31"/>
    </row>
    <row r="4366">
      <c r="A4366" s="56" t="s">
        <v>14266</v>
      </c>
      <c r="B4366" s="55"/>
      <c r="C4366" s="31"/>
    </row>
    <row r="4367">
      <c r="A4367" s="56" t="s">
        <v>14267</v>
      </c>
      <c r="B4367" s="55"/>
      <c r="C4367" s="31"/>
    </row>
    <row r="4368">
      <c r="A4368" s="56" t="s">
        <v>14268</v>
      </c>
      <c r="B4368" s="55"/>
      <c r="C4368" s="31"/>
    </row>
    <row r="4369">
      <c r="A4369" s="56" t="s">
        <v>14271</v>
      </c>
      <c r="B4369" s="55"/>
      <c r="C4369" s="31"/>
    </row>
    <row r="4370">
      <c r="A4370" s="56" t="s">
        <v>14273</v>
      </c>
      <c r="B4370" s="55"/>
      <c r="C4370" s="31"/>
    </row>
    <row r="4371">
      <c r="A4371" s="56" t="s">
        <v>14275</v>
      </c>
      <c r="B4371" s="55"/>
      <c r="C4371" s="31"/>
    </row>
    <row r="4372">
      <c r="A4372" s="56" t="s">
        <v>14276</v>
      </c>
      <c r="B4372" s="55"/>
      <c r="C4372" s="31"/>
    </row>
    <row r="4373">
      <c r="A4373" s="56" t="s">
        <v>14277</v>
      </c>
      <c r="B4373" s="55"/>
      <c r="C4373" s="31"/>
    </row>
    <row r="4374">
      <c r="A4374" s="56" t="s">
        <v>14278</v>
      </c>
      <c r="B4374" s="55"/>
      <c r="C4374" s="31"/>
    </row>
    <row r="4375">
      <c r="A4375" s="56" t="s">
        <v>14280</v>
      </c>
      <c r="B4375" s="55"/>
      <c r="C4375" s="31"/>
    </row>
    <row r="4376">
      <c r="A4376" s="56" t="s">
        <v>14281</v>
      </c>
      <c r="B4376" s="55"/>
      <c r="C4376" s="31"/>
    </row>
    <row r="4377">
      <c r="A4377" s="56" t="s">
        <v>14282</v>
      </c>
      <c r="B4377" s="55"/>
      <c r="C4377" s="31"/>
    </row>
    <row r="4378">
      <c r="A4378" s="56" t="s">
        <v>14283</v>
      </c>
      <c r="B4378" s="55"/>
      <c r="C4378" s="31"/>
    </row>
    <row r="4379">
      <c r="A4379" s="56" t="s">
        <v>14284</v>
      </c>
      <c r="B4379" s="55"/>
      <c r="C4379" s="31"/>
    </row>
    <row r="4380">
      <c r="A4380" s="56" t="s">
        <v>14285</v>
      </c>
      <c r="B4380" s="55"/>
      <c r="C4380" s="31"/>
    </row>
    <row r="4381">
      <c r="A4381" s="56" t="s">
        <v>14286</v>
      </c>
      <c r="B4381" s="55"/>
      <c r="C4381" s="31"/>
    </row>
    <row r="4382">
      <c r="A4382" s="56" t="s">
        <v>14287</v>
      </c>
      <c r="B4382" s="55"/>
      <c r="C4382" s="31"/>
    </row>
    <row r="4383">
      <c r="A4383" s="56" t="s">
        <v>14288</v>
      </c>
      <c r="B4383" s="55"/>
      <c r="C4383" s="31"/>
    </row>
    <row r="4384">
      <c r="A4384" s="56" t="s">
        <v>14289</v>
      </c>
      <c r="B4384" s="55"/>
      <c r="C4384" s="31"/>
    </row>
    <row r="4385">
      <c r="A4385" s="56" t="s">
        <v>14290</v>
      </c>
      <c r="B4385" s="55"/>
      <c r="C4385" s="31"/>
    </row>
    <row r="4386">
      <c r="A4386" s="56" t="s">
        <v>14291</v>
      </c>
      <c r="B4386" s="55"/>
      <c r="C4386" s="31"/>
    </row>
    <row r="4387">
      <c r="A4387" s="56" t="s">
        <v>14292</v>
      </c>
      <c r="B4387" s="55"/>
      <c r="C4387" s="31"/>
    </row>
    <row r="4388">
      <c r="A4388" s="56" t="s">
        <v>14294</v>
      </c>
      <c r="B4388" s="55"/>
      <c r="C4388" s="31"/>
    </row>
    <row r="4389">
      <c r="A4389" s="56" t="s">
        <v>14296</v>
      </c>
      <c r="B4389" s="55"/>
      <c r="C4389" s="31"/>
    </row>
    <row r="4390">
      <c r="A4390" s="56" t="s">
        <v>14297</v>
      </c>
      <c r="B4390" s="55"/>
      <c r="C4390" s="31"/>
    </row>
    <row r="4391">
      <c r="A4391" s="56" t="s">
        <v>14298</v>
      </c>
      <c r="B4391" s="55"/>
      <c r="C4391" s="31"/>
    </row>
    <row r="4392">
      <c r="A4392" s="56" t="s">
        <v>14299</v>
      </c>
      <c r="B4392" s="55"/>
      <c r="C4392" s="31"/>
    </row>
    <row r="4393">
      <c r="A4393" s="56" t="s">
        <v>14300</v>
      </c>
      <c r="B4393" s="55"/>
      <c r="C4393" s="31"/>
    </row>
    <row r="4394">
      <c r="A4394" s="56" t="s">
        <v>14301</v>
      </c>
      <c r="B4394" s="82"/>
      <c r="C4394" s="33" t="s">
        <v>14303</v>
      </c>
    </row>
    <row r="4395">
      <c r="A4395" s="56" t="s">
        <v>14304</v>
      </c>
      <c r="B4395" s="55"/>
      <c r="C4395" s="31"/>
    </row>
    <row r="4396">
      <c r="A4396" s="56" t="s">
        <v>14305</v>
      </c>
      <c r="B4396" s="55"/>
      <c r="C4396" s="31"/>
    </row>
    <row r="4397">
      <c r="A4397" s="56" t="s">
        <v>14307</v>
      </c>
      <c r="B4397" s="55"/>
      <c r="C4397" s="31"/>
    </row>
    <row r="4398">
      <c r="A4398" s="56" t="s">
        <v>14309</v>
      </c>
      <c r="B4398" s="55"/>
      <c r="C4398" s="31"/>
    </row>
    <row r="4399">
      <c r="A4399" s="56" t="s">
        <v>14310</v>
      </c>
      <c r="B4399" s="55"/>
      <c r="C4399" s="31"/>
    </row>
    <row r="4400">
      <c r="A4400" s="56" t="s">
        <v>14311</v>
      </c>
      <c r="B4400" s="55"/>
      <c r="C4400" s="31"/>
    </row>
    <row r="4401">
      <c r="A4401" s="56" t="s">
        <v>14312</v>
      </c>
      <c r="B4401" s="55"/>
      <c r="C4401" s="31"/>
    </row>
    <row r="4402">
      <c r="A4402" s="56" t="s">
        <v>14313</v>
      </c>
      <c r="B4402" s="55"/>
      <c r="C4402" s="31"/>
    </row>
    <row r="4403">
      <c r="A4403" s="56" t="s">
        <v>14314</v>
      </c>
      <c r="B4403" s="55"/>
      <c r="C4403" s="31"/>
    </row>
    <row r="4404">
      <c r="A4404" s="56" t="s">
        <v>14315</v>
      </c>
      <c r="B4404" s="55"/>
      <c r="C4404" s="31"/>
    </row>
    <row r="4405">
      <c r="A4405" s="56" t="s">
        <v>14317</v>
      </c>
      <c r="B4405" s="55"/>
      <c r="C4405" s="31"/>
    </row>
    <row r="4406">
      <c r="A4406" s="56" t="s">
        <v>14319</v>
      </c>
      <c r="B4406" s="55"/>
      <c r="C4406" s="31"/>
    </row>
    <row r="4407">
      <c r="A4407" s="56" t="s">
        <v>14320</v>
      </c>
      <c r="B4407" s="55"/>
      <c r="C4407" s="31"/>
    </row>
    <row r="4408">
      <c r="A4408" s="56" t="s">
        <v>14321</v>
      </c>
      <c r="B4408" s="55"/>
      <c r="C4408" s="31"/>
    </row>
    <row r="4409">
      <c r="A4409" s="56" t="s">
        <v>14322</v>
      </c>
      <c r="B4409" s="55"/>
      <c r="C4409" s="31"/>
    </row>
    <row r="4410">
      <c r="A4410" s="56" t="s">
        <v>14323</v>
      </c>
      <c r="B4410" s="55"/>
      <c r="C4410" s="31"/>
    </row>
    <row r="4411">
      <c r="A4411" s="56" t="s">
        <v>14324</v>
      </c>
      <c r="B4411" s="55"/>
      <c r="C4411" s="31"/>
    </row>
    <row r="4412">
      <c r="A4412" s="56" t="s">
        <v>14326</v>
      </c>
      <c r="B4412" s="55"/>
      <c r="C4412" s="31"/>
    </row>
    <row r="4413">
      <c r="A4413" s="56" t="s">
        <v>14327</v>
      </c>
      <c r="B4413" s="55"/>
      <c r="C4413" s="31"/>
    </row>
    <row r="4414">
      <c r="A4414" s="56" t="s">
        <v>14328</v>
      </c>
      <c r="B4414" s="55"/>
      <c r="C4414" s="31"/>
    </row>
    <row r="4415">
      <c r="A4415" s="56" t="s">
        <v>14329</v>
      </c>
      <c r="B4415" s="55"/>
      <c r="C4415" s="31"/>
    </row>
    <row r="4416">
      <c r="A4416" s="56" t="s">
        <v>14331</v>
      </c>
      <c r="B4416" s="55"/>
      <c r="C4416" s="31"/>
    </row>
    <row r="4417">
      <c r="A4417" s="56" t="s">
        <v>14332</v>
      </c>
      <c r="B4417" s="55"/>
      <c r="C4417" s="31"/>
    </row>
    <row r="4418">
      <c r="A4418" s="56" t="s">
        <v>14333</v>
      </c>
      <c r="B4418" s="55"/>
      <c r="C4418" s="31"/>
    </row>
    <row r="4419">
      <c r="A4419" s="56" t="s">
        <v>14334</v>
      </c>
      <c r="B4419" s="55"/>
      <c r="C4419" s="31"/>
    </row>
    <row r="4420">
      <c r="A4420" s="56" t="s">
        <v>14335</v>
      </c>
      <c r="B4420" s="55"/>
      <c r="C4420" s="31"/>
    </row>
    <row r="4421">
      <c r="A4421" s="56" t="s">
        <v>14336</v>
      </c>
      <c r="B4421" s="55"/>
      <c r="C4421" s="31"/>
    </row>
    <row r="4422">
      <c r="A4422" s="56" t="s">
        <v>14337</v>
      </c>
      <c r="B4422" s="55"/>
      <c r="C4422" s="31"/>
    </row>
    <row r="4423">
      <c r="A4423" s="56" t="s">
        <v>14339</v>
      </c>
      <c r="B4423" s="55"/>
      <c r="C4423" s="31"/>
    </row>
    <row r="4424">
      <c r="A4424" s="56" t="s">
        <v>14341</v>
      </c>
      <c r="B4424" s="55"/>
      <c r="C4424" s="31"/>
    </row>
    <row r="4425">
      <c r="A4425" s="56" t="s">
        <v>14343</v>
      </c>
      <c r="B4425" s="55"/>
      <c r="C4425" s="31"/>
    </row>
    <row r="4426">
      <c r="A4426" s="56" t="s">
        <v>14344</v>
      </c>
      <c r="B4426" s="55"/>
      <c r="C4426" s="31"/>
    </row>
    <row r="4427">
      <c r="A4427" s="56" t="s">
        <v>14345</v>
      </c>
      <c r="B4427" s="55"/>
      <c r="C4427" s="31"/>
    </row>
    <row r="4428">
      <c r="A4428" s="56" t="s">
        <v>14346</v>
      </c>
      <c r="B4428" s="82"/>
      <c r="C4428" s="33" t="s">
        <v>14347</v>
      </c>
    </row>
    <row r="4429">
      <c r="A4429" s="56" t="s">
        <v>14348</v>
      </c>
      <c r="B4429" s="55"/>
      <c r="C4429" s="31"/>
    </row>
    <row r="4430">
      <c r="A4430" s="56" t="s">
        <v>14349</v>
      </c>
      <c r="B4430" s="55"/>
      <c r="C4430" s="31"/>
    </row>
    <row r="4431">
      <c r="A4431" s="56" t="s">
        <v>14351</v>
      </c>
      <c r="B4431" s="55"/>
      <c r="C4431" s="31"/>
    </row>
    <row r="4432">
      <c r="A4432" s="56" t="s">
        <v>14353</v>
      </c>
      <c r="B4432" s="55"/>
      <c r="C4432" s="31"/>
    </row>
    <row r="4433">
      <c r="A4433" s="56" t="s">
        <v>14355</v>
      </c>
      <c r="B4433" s="55"/>
      <c r="C4433" s="31"/>
    </row>
    <row r="4434">
      <c r="A4434" s="56" t="s">
        <v>14356</v>
      </c>
      <c r="B4434" s="55"/>
      <c r="C4434" s="31"/>
    </row>
    <row r="4435">
      <c r="A4435" s="56" t="s">
        <v>14357</v>
      </c>
      <c r="B4435" s="55"/>
      <c r="C4435" s="31"/>
    </row>
    <row r="4436">
      <c r="A4436" s="56" t="s">
        <v>14358</v>
      </c>
      <c r="B4436" s="55"/>
      <c r="C4436" s="31"/>
    </row>
    <row r="4437">
      <c r="A4437" s="56" t="s">
        <v>14359</v>
      </c>
      <c r="B4437" s="55"/>
      <c r="C4437" s="31"/>
    </row>
    <row r="4438">
      <c r="A4438" s="56" t="s">
        <v>14360</v>
      </c>
      <c r="B4438" s="55"/>
      <c r="C4438" s="31"/>
    </row>
    <row r="4439">
      <c r="A4439" s="56" t="s">
        <v>14362</v>
      </c>
      <c r="B4439" s="55"/>
      <c r="C4439" s="31"/>
    </row>
    <row r="4440">
      <c r="A4440" s="56" t="s">
        <v>14364</v>
      </c>
      <c r="B4440" s="55"/>
      <c r="C4440" s="31"/>
    </row>
    <row r="4441">
      <c r="A4441" s="56" t="s">
        <v>14365</v>
      </c>
      <c r="B4441" s="55"/>
      <c r="C4441" s="31"/>
    </row>
    <row r="4442">
      <c r="A4442" s="56" t="s">
        <v>14366</v>
      </c>
      <c r="B4442" s="55"/>
      <c r="C4442" s="31"/>
    </row>
    <row r="4443">
      <c r="A4443" s="56" t="s">
        <v>14367</v>
      </c>
      <c r="B4443" s="55"/>
      <c r="C4443" s="31"/>
    </row>
    <row r="4444">
      <c r="A4444" s="56" t="s">
        <v>14368</v>
      </c>
      <c r="B4444" s="55"/>
      <c r="C4444" s="31"/>
    </row>
    <row r="4445">
      <c r="A4445" s="56" t="s">
        <v>14370</v>
      </c>
      <c r="B4445" s="55"/>
      <c r="C4445" s="31"/>
    </row>
    <row r="4446">
      <c r="A4446" s="56" t="s">
        <v>14372</v>
      </c>
      <c r="B4446" s="55"/>
      <c r="C4446" s="31"/>
    </row>
    <row r="4447">
      <c r="A4447" s="56" t="s">
        <v>14374</v>
      </c>
      <c r="B4447" s="55"/>
      <c r="C4447" s="31"/>
    </row>
    <row r="4448">
      <c r="A4448" s="56" t="s">
        <v>14376</v>
      </c>
      <c r="B4448" s="55"/>
      <c r="C4448" s="31"/>
    </row>
    <row r="4449">
      <c r="A4449" s="56" t="s">
        <v>14379</v>
      </c>
      <c r="B4449" s="55"/>
      <c r="C4449" s="31"/>
    </row>
    <row r="4450">
      <c r="A4450" s="56" t="s">
        <v>14381</v>
      </c>
      <c r="B4450" s="55"/>
      <c r="C4450" s="31"/>
    </row>
    <row r="4451">
      <c r="A4451" s="56" t="s">
        <v>14382</v>
      </c>
      <c r="B4451" s="55"/>
      <c r="C4451" s="31"/>
    </row>
    <row r="4452">
      <c r="A4452" s="56" t="s">
        <v>14383</v>
      </c>
      <c r="B4452" s="55"/>
      <c r="C4452" s="31"/>
    </row>
    <row r="4453">
      <c r="A4453" s="56" t="s">
        <v>14385</v>
      </c>
      <c r="B4453" s="55"/>
      <c r="C4453" s="31"/>
    </row>
    <row r="4454">
      <c r="A4454" s="56" t="s">
        <v>14387</v>
      </c>
      <c r="B4454" s="55"/>
      <c r="C4454" s="31"/>
    </row>
    <row r="4455">
      <c r="A4455" s="56" t="s">
        <v>14389</v>
      </c>
      <c r="B4455" s="55"/>
      <c r="C4455" s="31"/>
    </row>
    <row r="4456">
      <c r="A4456" s="56" t="s">
        <v>14390</v>
      </c>
      <c r="B4456" s="55"/>
      <c r="C4456" s="31"/>
    </row>
    <row r="4457">
      <c r="A4457" s="56" t="s">
        <v>14391</v>
      </c>
      <c r="B4457" s="55"/>
      <c r="C4457" s="31"/>
    </row>
    <row r="4458">
      <c r="A4458" s="56" t="s">
        <v>14392</v>
      </c>
      <c r="B4458" s="55"/>
      <c r="C4458" s="31"/>
    </row>
    <row r="4459">
      <c r="A4459" s="56" t="s">
        <v>14394</v>
      </c>
      <c r="B4459" s="55"/>
      <c r="C4459" s="31"/>
    </row>
    <row r="4460">
      <c r="A4460" s="56" t="s">
        <v>14396</v>
      </c>
      <c r="B4460" s="55"/>
      <c r="C4460" s="31"/>
    </row>
    <row r="4461">
      <c r="A4461" s="56" t="s">
        <v>14397</v>
      </c>
      <c r="B4461" s="55"/>
      <c r="C4461" s="31"/>
    </row>
    <row r="4462">
      <c r="A4462" s="56" t="s">
        <v>14398</v>
      </c>
      <c r="B4462" s="82"/>
      <c r="C4462" s="33" t="s">
        <v>14399</v>
      </c>
    </row>
    <row r="4463">
      <c r="A4463" s="56" t="s">
        <v>14400</v>
      </c>
      <c r="B4463" s="55"/>
      <c r="C4463" s="31"/>
    </row>
    <row r="4464">
      <c r="A4464" s="56" t="s">
        <v>14403</v>
      </c>
      <c r="B4464" s="55"/>
      <c r="C4464" s="31"/>
    </row>
    <row r="4465">
      <c r="A4465" s="56" t="s">
        <v>14406</v>
      </c>
      <c r="B4465" s="55"/>
      <c r="C4465" s="31"/>
    </row>
    <row r="4466">
      <c r="A4466" s="56" t="s">
        <v>14407</v>
      </c>
      <c r="B4466" s="55"/>
      <c r="C4466" s="31"/>
    </row>
    <row r="4467">
      <c r="A4467" s="56" t="s">
        <v>14408</v>
      </c>
      <c r="B4467" s="55"/>
      <c r="C4467" s="31"/>
    </row>
    <row r="4468">
      <c r="A4468" s="56" t="s">
        <v>14409</v>
      </c>
      <c r="B4468" s="55"/>
      <c r="C4468" s="31"/>
    </row>
    <row r="4469">
      <c r="A4469" s="56" t="s">
        <v>14410</v>
      </c>
      <c r="B4469" s="55"/>
      <c r="C4469" s="31"/>
    </row>
    <row r="4470">
      <c r="A4470" s="56" t="s">
        <v>14413</v>
      </c>
      <c r="B4470" s="55"/>
      <c r="C4470" s="31"/>
    </row>
    <row r="4471">
      <c r="A4471" s="56" t="s">
        <v>14415</v>
      </c>
      <c r="B4471" s="55"/>
      <c r="C4471" s="31"/>
    </row>
    <row r="4472">
      <c r="A4472" s="56" t="s">
        <v>14416</v>
      </c>
      <c r="B4472" s="55"/>
      <c r="C4472" s="31"/>
    </row>
    <row r="4473">
      <c r="A4473" s="56" t="s">
        <v>14417</v>
      </c>
      <c r="B4473" s="55"/>
      <c r="C4473" s="31"/>
    </row>
    <row r="4474">
      <c r="A4474" s="56" t="s">
        <v>14418</v>
      </c>
      <c r="B4474" s="55"/>
      <c r="C4474" s="31"/>
    </row>
    <row r="4475">
      <c r="A4475" s="56" t="s">
        <v>14420</v>
      </c>
      <c r="B4475" s="55"/>
      <c r="C4475" s="31"/>
    </row>
    <row r="4476">
      <c r="A4476" s="56" t="s">
        <v>14422</v>
      </c>
      <c r="B4476" s="55"/>
      <c r="C4476" s="31"/>
    </row>
    <row r="4477">
      <c r="A4477" s="56" t="s">
        <v>14423</v>
      </c>
      <c r="B4477" s="55"/>
      <c r="C4477" s="31"/>
    </row>
    <row r="4478">
      <c r="A4478" s="56" t="s">
        <v>14424</v>
      </c>
      <c r="B4478" s="55"/>
      <c r="C4478" s="31"/>
    </row>
    <row r="4479">
      <c r="A4479" s="56" t="s">
        <v>14425</v>
      </c>
      <c r="B4479" s="55"/>
      <c r="C4479" s="31"/>
    </row>
    <row r="4480">
      <c r="A4480" s="56" t="s">
        <v>14426</v>
      </c>
      <c r="B4480" s="55"/>
      <c r="C4480" s="31"/>
    </row>
    <row r="4481">
      <c r="A4481" s="56" t="s">
        <v>14427</v>
      </c>
      <c r="B4481" s="55"/>
      <c r="C4481" s="31"/>
    </row>
    <row r="4482">
      <c r="A4482" s="56" t="s">
        <v>14430</v>
      </c>
      <c r="B4482" s="55"/>
      <c r="C4482" s="31"/>
    </row>
    <row r="4483">
      <c r="A4483" s="56" t="s">
        <v>14432</v>
      </c>
      <c r="B4483" s="55"/>
      <c r="C4483" s="31"/>
    </row>
    <row r="4484">
      <c r="A4484" s="56" t="s">
        <v>14433</v>
      </c>
      <c r="B4484" s="55"/>
      <c r="C4484" s="31"/>
    </row>
    <row r="4485">
      <c r="A4485" s="56" t="s">
        <v>14434</v>
      </c>
      <c r="B4485" s="55"/>
      <c r="C4485" s="31"/>
    </row>
    <row r="4486">
      <c r="A4486" s="56" t="s">
        <v>14435</v>
      </c>
      <c r="B4486" s="55"/>
      <c r="C4486" s="31"/>
    </row>
    <row r="4487">
      <c r="A4487" s="56" t="s">
        <v>14436</v>
      </c>
      <c r="B4487" s="55"/>
      <c r="C4487" s="31"/>
    </row>
    <row r="4488">
      <c r="A4488" s="56" t="s">
        <v>14437</v>
      </c>
      <c r="B4488" s="55"/>
      <c r="C4488" s="31"/>
    </row>
    <row r="4489">
      <c r="A4489" s="56" t="s">
        <v>14439</v>
      </c>
      <c r="B4489" s="55"/>
      <c r="C4489" s="31"/>
    </row>
    <row r="4490">
      <c r="A4490" s="56" t="s">
        <v>14440</v>
      </c>
      <c r="B4490" s="55"/>
      <c r="C4490" s="31"/>
    </row>
    <row r="4491">
      <c r="A4491" s="56" t="s">
        <v>14441</v>
      </c>
      <c r="B4491" s="55"/>
      <c r="C4491" s="31"/>
    </row>
    <row r="4492">
      <c r="A4492" s="56" t="s">
        <v>14442</v>
      </c>
      <c r="B4492" s="55"/>
      <c r="C4492" s="31"/>
    </row>
    <row r="4493">
      <c r="A4493" s="56" t="s">
        <v>14443</v>
      </c>
      <c r="B4493" s="55"/>
      <c r="C4493" s="31"/>
    </row>
    <row r="4494">
      <c r="A4494" s="56" t="s">
        <v>14446</v>
      </c>
      <c r="B4494" s="55"/>
      <c r="C4494" s="31"/>
    </row>
    <row r="4495">
      <c r="A4495" s="56" t="s">
        <v>14447</v>
      </c>
      <c r="B4495" s="55"/>
      <c r="C4495" s="31"/>
    </row>
    <row r="4496">
      <c r="A4496" s="56" t="s">
        <v>14448</v>
      </c>
      <c r="B4496" s="55"/>
      <c r="C4496" s="31"/>
    </row>
    <row r="4497">
      <c r="A4497" s="56" t="s">
        <v>14450</v>
      </c>
      <c r="B4497" s="55"/>
      <c r="C4497" s="31"/>
    </row>
    <row r="4498">
      <c r="A4498" s="56" t="s">
        <v>14452</v>
      </c>
      <c r="B4498" s="55"/>
      <c r="C4498" s="31"/>
    </row>
    <row r="4499">
      <c r="A4499" s="56" t="s">
        <v>14453</v>
      </c>
      <c r="B4499" s="55"/>
      <c r="C4499" s="31"/>
    </row>
    <row r="4500">
      <c r="A4500" s="56" t="s">
        <v>14454</v>
      </c>
      <c r="B4500" s="55"/>
      <c r="C4500" s="31"/>
    </row>
    <row r="4501">
      <c r="A4501" s="56" t="s">
        <v>14455</v>
      </c>
      <c r="B4501" s="55"/>
      <c r="C4501" s="31"/>
    </row>
    <row r="4502">
      <c r="A4502" s="56" t="s">
        <v>14457</v>
      </c>
      <c r="B4502" s="55"/>
      <c r="C4502" s="31"/>
    </row>
    <row r="4503">
      <c r="A4503" s="56" t="s">
        <v>14459</v>
      </c>
      <c r="B4503" s="55"/>
      <c r="C4503" s="31"/>
    </row>
    <row r="4504">
      <c r="A4504" s="56" t="s">
        <v>14460</v>
      </c>
      <c r="B4504" s="55"/>
      <c r="C4504" s="31"/>
    </row>
    <row r="4505">
      <c r="A4505" s="56" t="s">
        <v>14461</v>
      </c>
      <c r="B4505" s="55"/>
      <c r="C4505" s="31"/>
    </row>
    <row r="4506">
      <c r="A4506" s="56" t="s">
        <v>14462</v>
      </c>
      <c r="B4506" s="55"/>
      <c r="C4506" s="31"/>
    </row>
    <row r="4507">
      <c r="A4507" s="56" t="s">
        <v>14463</v>
      </c>
      <c r="B4507" s="55"/>
      <c r="C4507" s="31"/>
    </row>
    <row r="4508">
      <c r="A4508" s="56" t="s">
        <v>14464</v>
      </c>
      <c r="B4508" s="55"/>
      <c r="C4508" s="31"/>
    </row>
    <row r="4509">
      <c r="A4509" s="56" t="s">
        <v>14465</v>
      </c>
      <c r="B4509" s="82"/>
      <c r="C4509" s="33" t="s">
        <v>14466</v>
      </c>
    </row>
    <row r="4510">
      <c r="A4510" s="56" t="s">
        <v>14468</v>
      </c>
      <c r="B4510" s="82"/>
      <c r="C4510" s="33" t="s">
        <v>11373</v>
      </c>
      <c r="E4510" s="46" t="s">
        <v>7616</v>
      </c>
    </row>
    <row r="4511">
      <c r="A4511" s="56" t="s">
        <v>14470</v>
      </c>
      <c r="B4511" s="82"/>
      <c r="C4511" s="33" t="s">
        <v>11373</v>
      </c>
      <c r="E4511" s="46" t="s">
        <v>7618</v>
      </c>
    </row>
    <row r="4512">
      <c r="A4512" s="56" t="s">
        <v>14471</v>
      </c>
      <c r="B4512" s="82"/>
      <c r="C4512" s="33" t="s">
        <v>11376</v>
      </c>
      <c r="E4512" s="46" t="s">
        <v>7616</v>
      </c>
    </row>
    <row r="4513">
      <c r="A4513" s="56" t="s">
        <v>14474</v>
      </c>
      <c r="B4513" s="82"/>
      <c r="C4513" s="33" t="s">
        <v>11376</v>
      </c>
      <c r="E4513" s="46" t="s">
        <v>7618</v>
      </c>
    </row>
    <row r="4514">
      <c r="A4514" s="56" t="s">
        <v>14477</v>
      </c>
      <c r="B4514" s="82"/>
      <c r="C4514" s="33" t="s">
        <v>11380</v>
      </c>
      <c r="E4514" s="46" t="s">
        <v>7616</v>
      </c>
    </row>
    <row r="4515">
      <c r="A4515" s="56" t="s">
        <v>14478</v>
      </c>
      <c r="B4515" s="82"/>
      <c r="C4515" s="33" t="s">
        <v>11380</v>
      </c>
      <c r="E4515" s="46" t="s">
        <v>7618</v>
      </c>
    </row>
    <row r="4516">
      <c r="A4516" s="56" t="s">
        <v>14479</v>
      </c>
      <c r="B4516" s="79"/>
      <c r="C4516" s="33" t="s">
        <v>11384</v>
      </c>
      <c r="E4516" s="46" t="s">
        <v>1348</v>
      </c>
    </row>
    <row r="4517">
      <c r="A4517" s="56" t="s">
        <v>14482</v>
      </c>
      <c r="B4517" s="79"/>
      <c r="C4517" s="33" t="s">
        <v>11384</v>
      </c>
      <c r="E4517" s="46" t="s">
        <v>1348</v>
      </c>
    </row>
    <row r="4518">
      <c r="A4518" s="56" t="s">
        <v>14483</v>
      </c>
      <c r="B4518" s="79"/>
      <c r="C4518" s="33" t="s">
        <v>11389</v>
      </c>
      <c r="E4518" s="46" t="s">
        <v>1348</v>
      </c>
    </row>
    <row r="4519">
      <c r="A4519" s="56" t="s">
        <v>14484</v>
      </c>
      <c r="B4519" s="21"/>
      <c r="C4519" s="33" t="s">
        <v>11391</v>
      </c>
      <c r="E4519" s="46" t="s">
        <v>7616</v>
      </c>
    </row>
    <row r="4520">
      <c r="A4520" s="56" t="s">
        <v>14485</v>
      </c>
      <c r="B4520" s="21"/>
      <c r="C4520" s="33" t="s">
        <v>11391</v>
      </c>
      <c r="E4520" s="46" t="s">
        <v>7618</v>
      </c>
    </row>
    <row r="4521">
      <c r="A4521" s="56" t="s">
        <v>14488</v>
      </c>
      <c r="B4521" s="21"/>
      <c r="C4521" s="33" t="s">
        <v>11394</v>
      </c>
      <c r="E4521" s="46" t="s">
        <v>7616</v>
      </c>
    </row>
    <row r="4522">
      <c r="A4522" s="56" t="s">
        <v>14489</v>
      </c>
      <c r="B4522" s="21"/>
      <c r="C4522" s="33" t="s">
        <v>11394</v>
      </c>
      <c r="E4522" s="46" t="s">
        <v>7618</v>
      </c>
    </row>
    <row r="4523">
      <c r="A4523" s="56" t="s">
        <v>14490</v>
      </c>
      <c r="B4523" s="21"/>
      <c r="C4523" s="33" t="s">
        <v>11398</v>
      </c>
      <c r="E4523" s="46" t="s">
        <v>7616</v>
      </c>
    </row>
    <row r="4524">
      <c r="A4524" s="56" t="s">
        <v>14491</v>
      </c>
      <c r="B4524" s="21"/>
      <c r="C4524" s="33" t="s">
        <v>11398</v>
      </c>
      <c r="E4524" s="46" t="s">
        <v>7618</v>
      </c>
    </row>
    <row r="4525">
      <c r="A4525" s="56" t="s">
        <v>14494</v>
      </c>
      <c r="B4525" s="21"/>
      <c r="C4525" s="33" t="s">
        <v>11391</v>
      </c>
      <c r="E4525" s="46" t="s">
        <v>7616</v>
      </c>
    </row>
    <row r="4526">
      <c r="A4526" s="56" t="s">
        <v>14497</v>
      </c>
      <c r="B4526" s="21"/>
      <c r="C4526" s="33" t="s">
        <v>11391</v>
      </c>
      <c r="E4526" s="46" t="s">
        <v>7618</v>
      </c>
    </row>
    <row r="4527">
      <c r="A4527" s="56" t="s">
        <v>14498</v>
      </c>
      <c r="B4527" s="21"/>
      <c r="C4527" s="33" t="s">
        <v>11394</v>
      </c>
      <c r="E4527" s="46" t="s">
        <v>7616</v>
      </c>
    </row>
    <row r="4528">
      <c r="A4528" s="56" t="s">
        <v>14499</v>
      </c>
      <c r="B4528" s="21"/>
      <c r="C4528" s="33" t="s">
        <v>11394</v>
      </c>
      <c r="E4528" s="46" t="s">
        <v>7618</v>
      </c>
    </row>
    <row r="4529">
      <c r="A4529" s="56" t="s">
        <v>14501</v>
      </c>
      <c r="B4529" s="21"/>
      <c r="C4529" s="33" t="s">
        <v>11398</v>
      </c>
      <c r="E4529" s="46" t="s">
        <v>7616</v>
      </c>
    </row>
    <row r="4530">
      <c r="A4530" s="56" t="s">
        <v>14504</v>
      </c>
      <c r="B4530" s="21"/>
      <c r="C4530" s="33" t="s">
        <v>11398</v>
      </c>
      <c r="E4530" s="46" t="s">
        <v>7618</v>
      </c>
    </row>
    <row r="4531">
      <c r="A4531" s="56" t="s">
        <v>14505</v>
      </c>
      <c r="B4531" s="21"/>
      <c r="C4531" s="33" t="s">
        <v>11411</v>
      </c>
      <c r="E4531" s="46" t="s">
        <v>7616</v>
      </c>
    </row>
    <row r="4532">
      <c r="A4532" s="56" t="s">
        <v>14506</v>
      </c>
      <c r="B4532" s="21"/>
      <c r="C4532" s="33" t="s">
        <v>11411</v>
      </c>
      <c r="E4532" s="46" t="s">
        <v>7618</v>
      </c>
    </row>
    <row r="4533">
      <c r="A4533" s="56" t="s">
        <v>14508</v>
      </c>
      <c r="B4533" s="21"/>
      <c r="C4533" s="33" t="s">
        <v>11416</v>
      </c>
      <c r="E4533" s="46" t="s">
        <v>7616</v>
      </c>
    </row>
    <row r="4534">
      <c r="A4534" s="56" t="s">
        <v>14511</v>
      </c>
      <c r="B4534" s="21"/>
      <c r="C4534" s="33" t="s">
        <v>11416</v>
      </c>
      <c r="E4534" s="46" t="s">
        <v>7618</v>
      </c>
    </row>
    <row r="4535">
      <c r="A4535" s="56" t="s">
        <v>14512</v>
      </c>
      <c r="B4535" s="21"/>
      <c r="C4535" s="33" t="s">
        <v>11419</v>
      </c>
      <c r="E4535" s="46" t="s">
        <v>7616</v>
      </c>
    </row>
    <row r="4536">
      <c r="A4536" s="56" t="s">
        <v>14515</v>
      </c>
      <c r="B4536" s="21"/>
      <c r="C4536" s="33" t="s">
        <v>11419</v>
      </c>
      <c r="E4536" s="46" t="s">
        <v>7618</v>
      </c>
    </row>
    <row r="4537">
      <c r="A4537" s="56" t="s">
        <v>14517</v>
      </c>
      <c r="B4537" s="21"/>
      <c r="C4537" s="33" t="s">
        <v>11411</v>
      </c>
      <c r="E4537" s="46" t="s">
        <v>7616</v>
      </c>
    </row>
    <row r="4538">
      <c r="A4538" s="56" t="s">
        <v>14519</v>
      </c>
      <c r="B4538" s="21"/>
      <c r="C4538" s="33" t="s">
        <v>11411</v>
      </c>
      <c r="E4538" s="46" t="s">
        <v>7618</v>
      </c>
    </row>
    <row r="4539">
      <c r="A4539" s="56" t="s">
        <v>14522</v>
      </c>
      <c r="B4539" s="21"/>
      <c r="C4539" s="33" t="s">
        <v>11416</v>
      </c>
      <c r="E4539" s="46" t="s">
        <v>7616</v>
      </c>
    </row>
    <row r="4540">
      <c r="A4540" s="56" t="s">
        <v>14524</v>
      </c>
      <c r="B4540" s="21"/>
      <c r="C4540" s="33" t="s">
        <v>11416</v>
      </c>
      <c r="E4540" s="46" t="s">
        <v>7618</v>
      </c>
    </row>
    <row r="4541">
      <c r="A4541" s="56" t="s">
        <v>14525</v>
      </c>
      <c r="B4541" s="21"/>
      <c r="C4541" s="33" t="s">
        <v>11419</v>
      </c>
      <c r="E4541" s="46" t="s">
        <v>7616</v>
      </c>
    </row>
    <row r="4542">
      <c r="A4542" s="56" t="s">
        <v>14526</v>
      </c>
      <c r="B4542" s="21"/>
      <c r="C4542" s="33" t="s">
        <v>11419</v>
      </c>
      <c r="E4542" s="46" t="s">
        <v>7618</v>
      </c>
    </row>
    <row r="4543">
      <c r="A4543" s="56" t="s">
        <v>14527</v>
      </c>
      <c r="B4543" s="55"/>
      <c r="C4543" s="31"/>
    </row>
    <row r="4544">
      <c r="A4544" s="56" t="s">
        <v>14528</v>
      </c>
      <c r="B4544" s="55"/>
      <c r="C4544" s="31"/>
    </row>
    <row r="4545">
      <c r="A4545" s="56" t="s">
        <v>14529</v>
      </c>
      <c r="B4545" s="55"/>
      <c r="C4545" s="31"/>
    </row>
    <row r="4546">
      <c r="A4546" s="56" t="s">
        <v>14531</v>
      </c>
      <c r="B4546" s="55"/>
      <c r="C4546" s="31"/>
    </row>
    <row r="4547">
      <c r="A4547" s="56" t="s">
        <v>14532</v>
      </c>
      <c r="B4547" s="55"/>
      <c r="C4547" s="31"/>
    </row>
    <row r="4548">
      <c r="A4548" s="56" t="s">
        <v>14533</v>
      </c>
      <c r="B4548" s="55"/>
      <c r="C4548" s="31"/>
    </row>
    <row r="4549">
      <c r="A4549" s="56" t="s">
        <v>14534</v>
      </c>
      <c r="B4549" s="55"/>
      <c r="C4549" s="31"/>
    </row>
    <row r="4550">
      <c r="A4550" s="56" t="s">
        <v>14535</v>
      </c>
      <c r="B4550" s="55"/>
      <c r="C4550" s="31"/>
    </row>
    <row r="4551">
      <c r="A4551" s="56" t="s">
        <v>14536</v>
      </c>
      <c r="B4551" s="55"/>
      <c r="C4551" s="31"/>
    </row>
    <row r="4552">
      <c r="A4552" s="56" t="s">
        <v>14537</v>
      </c>
      <c r="B4552" s="55"/>
      <c r="C4552" s="31"/>
    </row>
    <row r="4553">
      <c r="A4553" s="56" t="s">
        <v>14540</v>
      </c>
      <c r="B4553" s="55"/>
      <c r="C4553" s="31"/>
    </row>
    <row r="4554">
      <c r="A4554" s="56" t="s">
        <v>14542</v>
      </c>
      <c r="B4554" s="55"/>
      <c r="C4554" s="31"/>
    </row>
    <row r="4555">
      <c r="A4555" s="56" t="s">
        <v>14543</v>
      </c>
      <c r="B4555" s="55"/>
      <c r="C4555" s="31"/>
    </row>
    <row r="4556">
      <c r="A4556" s="56" t="s">
        <v>14544</v>
      </c>
      <c r="B4556" s="55"/>
      <c r="C4556" s="31"/>
    </row>
    <row r="4557">
      <c r="A4557" s="56" t="s">
        <v>14545</v>
      </c>
      <c r="B4557" s="55"/>
      <c r="C4557" s="31"/>
    </row>
    <row r="4558">
      <c r="A4558" s="56" t="s">
        <v>14546</v>
      </c>
      <c r="B4558" s="55"/>
      <c r="C4558" s="31"/>
    </row>
    <row r="4559">
      <c r="A4559" s="56" t="s">
        <v>14547</v>
      </c>
      <c r="B4559" s="55"/>
      <c r="C4559" s="31"/>
    </row>
    <row r="4560">
      <c r="A4560" s="56" t="s">
        <v>14548</v>
      </c>
      <c r="B4560" s="55"/>
      <c r="C4560" s="31"/>
    </row>
    <row r="4561">
      <c r="A4561" s="56" t="s">
        <v>14549</v>
      </c>
      <c r="B4561" s="55"/>
      <c r="C4561" s="31"/>
    </row>
    <row r="4562">
      <c r="A4562" s="56" t="s">
        <v>14551</v>
      </c>
      <c r="B4562" s="55"/>
      <c r="C4562" s="31"/>
    </row>
    <row r="4563">
      <c r="A4563" s="56" t="s">
        <v>14552</v>
      </c>
      <c r="B4563" s="55"/>
      <c r="C4563" s="31"/>
    </row>
    <row r="4564">
      <c r="A4564" s="56" t="s">
        <v>14553</v>
      </c>
      <c r="B4564" s="55"/>
      <c r="C4564" s="31"/>
    </row>
    <row r="4565">
      <c r="A4565" s="56" t="s">
        <v>14554</v>
      </c>
      <c r="B4565" s="55"/>
      <c r="C4565" s="31"/>
    </row>
    <row r="4566">
      <c r="A4566" s="56" t="s">
        <v>14555</v>
      </c>
      <c r="B4566" s="55"/>
      <c r="C4566" s="31"/>
    </row>
    <row r="4567">
      <c r="A4567" s="56" t="s">
        <v>14556</v>
      </c>
      <c r="B4567" s="55"/>
      <c r="C4567" s="31"/>
    </row>
    <row r="4568">
      <c r="A4568" s="56" t="s">
        <v>14557</v>
      </c>
      <c r="B4568" s="55"/>
      <c r="C4568" s="31"/>
    </row>
    <row r="4569">
      <c r="A4569" s="56" t="s">
        <v>14558</v>
      </c>
      <c r="B4569" s="55"/>
      <c r="C4569" s="31"/>
    </row>
    <row r="4570">
      <c r="A4570" s="56" t="s">
        <v>14561</v>
      </c>
      <c r="B4570" s="55"/>
      <c r="C4570" s="31"/>
    </row>
    <row r="4571">
      <c r="A4571" s="56" t="s">
        <v>14563</v>
      </c>
      <c r="B4571" s="55"/>
      <c r="C4571" s="31"/>
    </row>
    <row r="4572">
      <c r="A4572" s="56" t="s">
        <v>14564</v>
      </c>
      <c r="B4572" s="55"/>
      <c r="C4572" s="31"/>
    </row>
    <row r="4573">
      <c r="A4573" s="56" t="s">
        <v>14565</v>
      </c>
      <c r="B4573" s="55"/>
      <c r="C4573" s="31"/>
    </row>
    <row r="4574">
      <c r="A4574" s="56" t="s">
        <v>14566</v>
      </c>
      <c r="B4574" s="55"/>
      <c r="C4574" s="31"/>
    </row>
    <row r="4575">
      <c r="A4575" s="56" t="s">
        <v>14568</v>
      </c>
      <c r="B4575" s="55"/>
      <c r="C4575" s="31"/>
    </row>
    <row r="4576">
      <c r="A4576" s="56" t="s">
        <v>14569</v>
      </c>
      <c r="B4576" s="55"/>
      <c r="C4576" s="31"/>
    </row>
    <row r="4577">
      <c r="A4577" s="56" t="s">
        <v>14570</v>
      </c>
      <c r="B4577" s="55"/>
      <c r="C4577" s="31"/>
    </row>
    <row r="4578">
      <c r="A4578" s="56" t="s">
        <v>14571</v>
      </c>
      <c r="B4578" s="55"/>
      <c r="C4578" s="31"/>
    </row>
    <row r="4579">
      <c r="A4579" s="56" t="s">
        <v>14572</v>
      </c>
      <c r="B4579" s="55"/>
      <c r="C4579" s="31"/>
    </row>
    <row r="4580">
      <c r="A4580" s="56" t="s">
        <v>14574</v>
      </c>
      <c r="B4580" s="55"/>
      <c r="C4580" s="31"/>
    </row>
    <row r="4581">
      <c r="A4581" s="56" t="s">
        <v>14575</v>
      </c>
      <c r="B4581" s="55"/>
      <c r="C4581" s="31"/>
    </row>
    <row r="4582">
      <c r="A4582" s="56" t="s">
        <v>14576</v>
      </c>
      <c r="B4582" s="55"/>
      <c r="C4582" s="31"/>
    </row>
    <row r="4583">
      <c r="A4583" s="56" t="s">
        <v>14577</v>
      </c>
      <c r="B4583" s="55"/>
      <c r="C4583" s="31"/>
    </row>
    <row r="4584">
      <c r="A4584" s="56" t="s">
        <v>14579</v>
      </c>
      <c r="B4584" s="55"/>
      <c r="C4584" s="31"/>
    </row>
    <row r="4585">
      <c r="A4585" s="56" t="s">
        <v>14580</v>
      </c>
      <c r="B4585" s="55"/>
      <c r="C4585" s="31"/>
    </row>
    <row r="4586">
      <c r="A4586" s="56" t="s">
        <v>14583</v>
      </c>
      <c r="B4586" s="55"/>
      <c r="C4586" s="31"/>
    </row>
    <row r="4587">
      <c r="A4587" s="56" t="s">
        <v>14584</v>
      </c>
      <c r="B4587" s="55"/>
      <c r="C4587" s="31"/>
    </row>
    <row r="4588">
      <c r="A4588" s="56" t="s">
        <v>14585</v>
      </c>
      <c r="B4588" s="55"/>
      <c r="C4588" s="31"/>
    </row>
    <row r="4589">
      <c r="A4589" s="56" t="s">
        <v>14587</v>
      </c>
      <c r="B4589" s="55"/>
      <c r="C4589" s="31"/>
    </row>
    <row r="4590">
      <c r="A4590" s="56" t="s">
        <v>14588</v>
      </c>
      <c r="B4590" s="55"/>
      <c r="C4590" s="31"/>
    </row>
    <row r="4591">
      <c r="A4591" s="56" t="s">
        <v>14589</v>
      </c>
      <c r="B4591" s="55"/>
      <c r="C4591" s="31"/>
    </row>
    <row r="4592">
      <c r="A4592" s="56" t="s">
        <v>14590</v>
      </c>
      <c r="B4592" s="55"/>
      <c r="C4592" s="31"/>
    </row>
    <row r="4593">
      <c r="A4593" s="56" t="s">
        <v>14591</v>
      </c>
      <c r="B4593" s="55"/>
      <c r="C4593" s="31"/>
    </row>
    <row r="4594">
      <c r="A4594" s="56" t="s">
        <v>14592</v>
      </c>
      <c r="B4594" s="55"/>
      <c r="C4594" s="31"/>
    </row>
    <row r="4595">
      <c r="A4595" s="56" t="s">
        <v>14593</v>
      </c>
      <c r="B4595" s="55"/>
      <c r="C4595" s="31"/>
    </row>
    <row r="4596">
      <c r="A4596" s="56" t="s">
        <v>14594</v>
      </c>
      <c r="B4596" s="55"/>
      <c r="C4596" s="31"/>
    </row>
    <row r="4597">
      <c r="A4597" s="56" t="s">
        <v>14595</v>
      </c>
      <c r="B4597" s="55"/>
      <c r="C4597" s="31"/>
    </row>
    <row r="4598">
      <c r="A4598" s="56" t="s">
        <v>14596</v>
      </c>
      <c r="B4598" s="55"/>
      <c r="C4598" s="31"/>
    </row>
    <row r="4599">
      <c r="A4599" s="56" t="s">
        <v>14598</v>
      </c>
      <c r="B4599" s="55"/>
      <c r="C4599" s="31"/>
    </row>
    <row r="4600">
      <c r="A4600" s="56" t="s">
        <v>14599</v>
      </c>
      <c r="B4600" s="55"/>
      <c r="C4600" s="31"/>
    </row>
    <row r="4601">
      <c r="A4601" s="56" t="s">
        <v>14600</v>
      </c>
      <c r="B4601" s="55"/>
      <c r="C4601" s="31"/>
    </row>
    <row r="4602">
      <c r="A4602" s="56" t="s">
        <v>14601</v>
      </c>
      <c r="B4602" s="55"/>
      <c r="C4602" s="31"/>
    </row>
    <row r="4603">
      <c r="A4603" s="56" t="s">
        <v>14603</v>
      </c>
      <c r="B4603" s="55"/>
      <c r="C4603" s="31"/>
    </row>
    <row r="4604">
      <c r="A4604" s="56" t="s">
        <v>14605</v>
      </c>
      <c r="B4604" s="55"/>
      <c r="C4604" s="31"/>
    </row>
    <row r="4605">
      <c r="A4605" s="56" t="s">
        <v>14607</v>
      </c>
      <c r="B4605" s="55"/>
      <c r="C4605" s="31"/>
    </row>
    <row r="4606">
      <c r="A4606" s="56" t="s">
        <v>14608</v>
      </c>
      <c r="B4606" s="82"/>
      <c r="C4606" s="33" t="s">
        <v>14609</v>
      </c>
      <c r="F4606" s="46" t="s">
        <v>14610</v>
      </c>
    </row>
    <row r="4607">
      <c r="A4607" s="56" t="s">
        <v>14611</v>
      </c>
      <c r="B4607" s="82"/>
      <c r="C4607" s="33" t="s">
        <v>14612</v>
      </c>
      <c r="E4607" s="46" t="s">
        <v>7616</v>
      </c>
    </row>
    <row r="4608">
      <c r="A4608" s="56" t="s">
        <v>14613</v>
      </c>
      <c r="B4608" s="82"/>
      <c r="C4608" s="33" t="s">
        <v>14612</v>
      </c>
      <c r="E4608" s="46" t="s">
        <v>7618</v>
      </c>
    </row>
    <row r="4609">
      <c r="A4609" s="56" t="s">
        <v>14614</v>
      </c>
      <c r="B4609" s="82"/>
      <c r="C4609" s="33" t="s">
        <v>14615</v>
      </c>
      <c r="E4609" s="46" t="s">
        <v>7616</v>
      </c>
    </row>
    <row r="4610">
      <c r="A4610" s="56" t="s">
        <v>14616</v>
      </c>
      <c r="B4610" s="82"/>
      <c r="C4610" s="33" t="s">
        <v>14615</v>
      </c>
      <c r="E4610" s="46" t="s">
        <v>7618</v>
      </c>
    </row>
    <row r="4611">
      <c r="A4611" s="56" t="s">
        <v>14618</v>
      </c>
      <c r="B4611" s="82"/>
      <c r="C4611" s="33" t="s">
        <v>14619</v>
      </c>
      <c r="E4611" s="46" t="s">
        <v>7616</v>
      </c>
    </row>
    <row r="4612">
      <c r="A4612" s="56" t="s">
        <v>14620</v>
      </c>
      <c r="B4612" s="82"/>
      <c r="C4612" s="33" t="s">
        <v>14619</v>
      </c>
      <c r="E4612" s="46" t="s">
        <v>7618</v>
      </c>
    </row>
    <row r="4613">
      <c r="A4613" s="56" t="s">
        <v>14621</v>
      </c>
      <c r="B4613" s="79"/>
      <c r="C4613" s="33" t="s">
        <v>14622</v>
      </c>
      <c r="E4613" s="46" t="s">
        <v>1348</v>
      </c>
    </row>
    <row r="4614">
      <c r="A4614" s="56" t="s">
        <v>14623</v>
      </c>
      <c r="B4614" s="79"/>
      <c r="C4614" s="33" t="s">
        <v>14622</v>
      </c>
      <c r="E4614" s="46" t="s">
        <v>1348</v>
      </c>
    </row>
    <row r="4615">
      <c r="A4615" s="56" t="s">
        <v>14625</v>
      </c>
      <c r="B4615" s="79"/>
      <c r="C4615" s="33" t="s">
        <v>14627</v>
      </c>
      <c r="E4615" s="46" t="s">
        <v>1348</v>
      </c>
    </row>
    <row r="4616">
      <c r="A4616" s="56" t="s">
        <v>14628</v>
      </c>
      <c r="B4616" s="21"/>
      <c r="C4616" s="33" t="s">
        <v>14629</v>
      </c>
      <c r="E4616" s="46" t="s">
        <v>7616</v>
      </c>
    </row>
    <row r="4617">
      <c r="A4617" s="56" t="s">
        <v>14630</v>
      </c>
      <c r="B4617" s="21"/>
      <c r="C4617" s="33" t="s">
        <v>14629</v>
      </c>
      <c r="E4617" s="46" t="s">
        <v>7618</v>
      </c>
    </row>
    <row r="4618">
      <c r="A4618" s="56" t="s">
        <v>14632</v>
      </c>
      <c r="B4618" s="21"/>
      <c r="C4618" s="33" t="s">
        <v>14633</v>
      </c>
      <c r="E4618" s="46" t="s">
        <v>7616</v>
      </c>
    </row>
    <row r="4619">
      <c r="A4619" s="56" t="s">
        <v>14634</v>
      </c>
      <c r="B4619" s="21"/>
      <c r="C4619" s="33" t="s">
        <v>14633</v>
      </c>
      <c r="E4619" s="46" t="s">
        <v>7618</v>
      </c>
    </row>
    <row r="4620">
      <c r="A4620" s="56" t="s">
        <v>14635</v>
      </c>
      <c r="B4620" s="21"/>
      <c r="C4620" s="33" t="s">
        <v>14636</v>
      </c>
      <c r="E4620" s="46" t="s">
        <v>7616</v>
      </c>
    </row>
    <row r="4621">
      <c r="A4621" s="56" t="s">
        <v>14637</v>
      </c>
      <c r="B4621" s="21"/>
      <c r="C4621" s="33" t="s">
        <v>14636</v>
      </c>
      <c r="E4621" s="46" t="s">
        <v>7618</v>
      </c>
    </row>
    <row r="4622">
      <c r="A4622" s="56" t="s">
        <v>14638</v>
      </c>
      <c r="B4622" s="21"/>
      <c r="C4622" s="33" t="s">
        <v>14629</v>
      </c>
      <c r="E4622" s="46" t="s">
        <v>7616</v>
      </c>
    </row>
    <row r="4623">
      <c r="A4623" s="56" t="s">
        <v>14639</v>
      </c>
      <c r="B4623" s="21"/>
      <c r="C4623" s="33" t="s">
        <v>14629</v>
      </c>
      <c r="E4623" s="46" t="s">
        <v>7618</v>
      </c>
    </row>
    <row r="4624">
      <c r="A4624" s="56" t="s">
        <v>14641</v>
      </c>
      <c r="B4624" s="21"/>
      <c r="C4624" s="33" t="s">
        <v>14633</v>
      </c>
      <c r="E4624" s="46" t="s">
        <v>7616</v>
      </c>
    </row>
    <row r="4625">
      <c r="A4625" s="56" t="s">
        <v>14642</v>
      </c>
      <c r="B4625" s="21"/>
      <c r="C4625" s="33" t="s">
        <v>14633</v>
      </c>
      <c r="E4625" s="46" t="s">
        <v>7618</v>
      </c>
    </row>
    <row r="4626">
      <c r="A4626" s="56" t="s">
        <v>14643</v>
      </c>
      <c r="B4626" s="21"/>
      <c r="C4626" s="33" t="s">
        <v>14636</v>
      </c>
      <c r="E4626" s="46" t="s">
        <v>7616</v>
      </c>
    </row>
    <row r="4627">
      <c r="A4627" s="56" t="s">
        <v>14645</v>
      </c>
      <c r="B4627" s="21"/>
      <c r="C4627" s="33" t="s">
        <v>14636</v>
      </c>
      <c r="E4627" s="46" t="s">
        <v>7618</v>
      </c>
    </row>
    <row r="4628">
      <c r="A4628" s="56" t="s">
        <v>14648</v>
      </c>
      <c r="B4628" s="21"/>
      <c r="C4628" s="33" t="s">
        <v>14649</v>
      </c>
      <c r="E4628" s="46" t="s">
        <v>7616</v>
      </c>
    </row>
    <row r="4629">
      <c r="A4629" s="56" t="s">
        <v>14650</v>
      </c>
      <c r="B4629" s="21"/>
      <c r="C4629" s="33" t="s">
        <v>14649</v>
      </c>
      <c r="E4629" s="46" t="s">
        <v>7618</v>
      </c>
    </row>
    <row r="4630">
      <c r="A4630" s="56" t="s">
        <v>14651</v>
      </c>
      <c r="B4630" s="21"/>
      <c r="C4630" s="33" t="s">
        <v>14652</v>
      </c>
      <c r="E4630" s="46" t="s">
        <v>7616</v>
      </c>
    </row>
    <row r="4631">
      <c r="A4631" s="56" t="s">
        <v>14653</v>
      </c>
      <c r="B4631" s="21"/>
      <c r="C4631" s="33" t="s">
        <v>14652</v>
      </c>
      <c r="E4631" s="46" t="s">
        <v>7618</v>
      </c>
    </row>
    <row r="4632">
      <c r="A4632" s="56" t="s">
        <v>14654</v>
      </c>
      <c r="B4632" s="21"/>
      <c r="C4632" s="33" t="s">
        <v>14655</v>
      </c>
      <c r="E4632" s="46" t="s">
        <v>7616</v>
      </c>
    </row>
    <row r="4633">
      <c r="A4633" s="56" t="s">
        <v>14656</v>
      </c>
      <c r="B4633" s="21"/>
      <c r="C4633" s="33" t="s">
        <v>14655</v>
      </c>
      <c r="E4633" s="46" t="s">
        <v>7618</v>
      </c>
    </row>
    <row r="4634">
      <c r="A4634" s="56" t="s">
        <v>14658</v>
      </c>
      <c r="B4634" s="21"/>
      <c r="C4634" s="33" t="s">
        <v>14649</v>
      </c>
      <c r="E4634" s="46" t="s">
        <v>7616</v>
      </c>
    </row>
    <row r="4635">
      <c r="A4635" s="56" t="s">
        <v>14659</v>
      </c>
      <c r="B4635" s="21"/>
      <c r="C4635" s="33" t="s">
        <v>14649</v>
      </c>
      <c r="E4635" s="46" t="s">
        <v>7618</v>
      </c>
    </row>
    <row r="4636">
      <c r="A4636" s="56" t="s">
        <v>14660</v>
      </c>
      <c r="B4636" s="21"/>
      <c r="C4636" s="33" t="s">
        <v>14652</v>
      </c>
      <c r="E4636" s="46" t="s">
        <v>7616</v>
      </c>
    </row>
    <row r="4637">
      <c r="A4637" s="56" t="s">
        <v>14661</v>
      </c>
      <c r="B4637" s="21"/>
      <c r="C4637" s="33" t="s">
        <v>14652</v>
      </c>
      <c r="E4637" s="46" t="s">
        <v>7618</v>
      </c>
    </row>
    <row r="4638">
      <c r="A4638" s="56" t="s">
        <v>14665</v>
      </c>
      <c r="B4638" s="21"/>
      <c r="C4638" s="33" t="s">
        <v>14655</v>
      </c>
      <c r="E4638" s="46" t="s">
        <v>7616</v>
      </c>
    </row>
    <row r="4639">
      <c r="A4639" s="56" t="s">
        <v>14666</v>
      </c>
      <c r="B4639" s="21"/>
      <c r="C4639" s="33" t="s">
        <v>14655</v>
      </c>
      <c r="E4639" s="46" t="s">
        <v>7618</v>
      </c>
    </row>
    <row r="4640">
      <c r="A4640" s="56" t="s">
        <v>14667</v>
      </c>
      <c r="B4640" s="55"/>
      <c r="C4640" s="31"/>
    </row>
    <row r="4641">
      <c r="A4641" s="56" t="s">
        <v>14668</v>
      </c>
      <c r="B4641" s="55"/>
      <c r="C4641" s="31"/>
    </row>
    <row r="4642">
      <c r="A4642" s="56" t="s">
        <v>14669</v>
      </c>
      <c r="B4642" s="55"/>
      <c r="C4642" s="31"/>
    </row>
    <row r="4643">
      <c r="A4643" s="56" t="s">
        <v>14671</v>
      </c>
      <c r="B4643" s="55"/>
      <c r="C4643" s="31"/>
    </row>
    <row r="4644">
      <c r="A4644" s="56" t="s">
        <v>14672</v>
      </c>
      <c r="B4644" s="55"/>
      <c r="C4644" s="31"/>
    </row>
    <row r="4645">
      <c r="A4645" s="56" t="s">
        <v>14673</v>
      </c>
      <c r="B4645" s="55"/>
      <c r="C4645" s="31"/>
    </row>
    <row r="4646">
      <c r="A4646" s="56" t="s">
        <v>14674</v>
      </c>
      <c r="B4646" s="55"/>
      <c r="C4646" s="31"/>
    </row>
    <row r="4647">
      <c r="A4647" s="56" t="s">
        <v>14675</v>
      </c>
      <c r="B4647" s="55"/>
      <c r="C4647" s="31"/>
    </row>
    <row r="4648">
      <c r="A4648" s="56" t="s">
        <v>14676</v>
      </c>
      <c r="B4648" s="55"/>
      <c r="C4648" s="31"/>
    </row>
    <row r="4649">
      <c r="A4649" s="56" t="s">
        <v>14677</v>
      </c>
      <c r="B4649" s="55"/>
      <c r="C4649" s="31"/>
    </row>
    <row r="4650">
      <c r="A4650" s="56" t="s">
        <v>14678</v>
      </c>
      <c r="B4650" s="55"/>
      <c r="C4650" s="31"/>
    </row>
    <row r="4651">
      <c r="A4651" s="56" t="s">
        <v>14680</v>
      </c>
      <c r="B4651" s="55"/>
      <c r="C4651" s="31"/>
    </row>
    <row r="4652">
      <c r="A4652" s="56" t="s">
        <v>14681</v>
      </c>
      <c r="B4652" s="55"/>
      <c r="C4652" s="31"/>
    </row>
    <row r="4653">
      <c r="A4653" s="56" t="s">
        <v>14682</v>
      </c>
      <c r="B4653" s="55"/>
      <c r="C4653" s="31"/>
    </row>
    <row r="4654">
      <c r="A4654" s="56" t="s">
        <v>14684</v>
      </c>
      <c r="B4654" s="55"/>
      <c r="C4654" s="31"/>
    </row>
    <row r="4655">
      <c r="A4655" s="56" t="s">
        <v>14686</v>
      </c>
      <c r="B4655" s="82"/>
      <c r="C4655" s="33" t="s">
        <v>14687</v>
      </c>
    </row>
    <row r="4656">
      <c r="A4656" s="56" t="s">
        <v>14688</v>
      </c>
      <c r="B4656" s="82"/>
      <c r="C4656" s="33" t="s">
        <v>11373</v>
      </c>
      <c r="E4656" s="46" t="s">
        <v>7616</v>
      </c>
    </row>
    <row r="4657">
      <c r="A4657" s="56" t="s">
        <v>14689</v>
      </c>
      <c r="B4657" s="82"/>
      <c r="C4657" s="33" t="s">
        <v>11373</v>
      </c>
      <c r="E4657" s="46" t="s">
        <v>7618</v>
      </c>
    </row>
    <row r="4658">
      <c r="A4658" s="56" t="s">
        <v>14691</v>
      </c>
      <c r="B4658" s="82"/>
      <c r="C4658" s="33" t="s">
        <v>11376</v>
      </c>
      <c r="E4658" s="46" t="s">
        <v>7616</v>
      </c>
    </row>
    <row r="4659">
      <c r="A4659" s="56" t="s">
        <v>14692</v>
      </c>
      <c r="B4659" s="82"/>
      <c r="C4659" s="33" t="s">
        <v>11376</v>
      </c>
      <c r="E4659" s="46" t="s">
        <v>7618</v>
      </c>
    </row>
    <row r="4660">
      <c r="A4660" s="56" t="s">
        <v>14693</v>
      </c>
      <c r="B4660" s="82"/>
      <c r="C4660" s="33" t="s">
        <v>11380</v>
      </c>
      <c r="E4660" s="46" t="s">
        <v>7616</v>
      </c>
    </row>
    <row r="4661">
      <c r="A4661" s="56" t="s">
        <v>14694</v>
      </c>
      <c r="B4661" s="82"/>
      <c r="C4661" s="33" t="s">
        <v>11380</v>
      </c>
      <c r="E4661" s="46" t="s">
        <v>7618</v>
      </c>
    </row>
    <row r="4662">
      <c r="A4662" s="56" t="s">
        <v>14695</v>
      </c>
      <c r="B4662" s="79"/>
      <c r="C4662" s="33" t="s">
        <v>11384</v>
      </c>
      <c r="E4662" s="46" t="s">
        <v>1348</v>
      </c>
    </row>
    <row r="4663">
      <c r="A4663" s="56" t="s">
        <v>14696</v>
      </c>
      <c r="B4663" s="79"/>
      <c r="C4663" s="33" t="s">
        <v>11384</v>
      </c>
      <c r="E4663" s="46" t="s">
        <v>1348</v>
      </c>
    </row>
    <row r="4664">
      <c r="A4664" s="56" t="s">
        <v>14698</v>
      </c>
      <c r="B4664" s="79"/>
      <c r="C4664" s="33" t="s">
        <v>11389</v>
      </c>
      <c r="E4664" s="46" t="s">
        <v>1348</v>
      </c>
    </row>
    <row r="4665">
      <c r="A4665" s="56" t="s">
        <v>14699</v>
      </c>
      <c r="B4665" s="21"/>
      <c r="C4665" s="33" t="s">
        <v>11391</v>
      </c>
      <c r="E4665" s="46" t="s">
        <v>7616</v>
      </c>
    </row>
    <row r="4666">
      <c r="A4666" s="56" t="s">
        <v>14700</v>
      </c>
      <c r="B4666" s="21"/>
      <c r="C4666" s="33" t="s">
        <v>11391</v>
      </c>
      <c r="E4666" s="46" t="s">
        <v>7618</v>
      </c>
    </row>
    <row r="4667">
      <c r="A4667" s="56" t="s">
        <v>14703</v>
      </c>
      <c r="B4667" s="21"/>
      <c r="C4667" s="33" t="s">
        <v>11394</v>
      </c>
      <c r="E4667" s="46" t="s">
        <v>7616</v>
      </c>
    </row>
    <row r="4668">
      <c r="A4668" s="56" t="s">
        <v>14704</v>
      </c>
      <c r="B4668" s="21"/>
      <c r="C4668" s="33" t="s">
        <v>11394</v>
      </c>
      <c r="E4668" s="46" t="s">
        <v>7618</v>
      </c>
    </row>
    <row r="4669">
      <c r="A4669" s="56" t="s">
        <v>14705</v>
      </c>
      <c r="B4669" s="21"/>
      <c r="C4669" s="33" t="s">
        <v>11398</v>
      </c>
      <c r="E4669" s="46" t="s">
        <v>7616</v>
      </c>
    </row>
    <row r="4670">
      <c r="A4670" s="56" t="s">
        <v>14707</v>
      </c>
      <c r="B4670" s="21"/>
      <c r="C4670" s="33" t="s">
        <v>11398</v>
      </c>
      <c r="E4670" s="46" t="s">
        <v>7618</v>
      </c>
    </row>
    <row r="4671">
      <c r="A4671" s="56" t="s">
        <v>14708</v>
      </c>
      <c r="B4671" s="21"/>
      <c r="C4671" s="33" t="s">
        <v>11391</v>
      </c>
      <c r="E4671" s="46" t="s">
        <v>7616</v>
      </c>
    </row>
    <row r="4672">
      <c r="A4672" s="56" t="s">
        <v>14709</v>
      </c>
      <c r="B4672" s="21"/>
      <c r="C4672" s="33" t="s">
        <v>11391</v>
      </c>
      <c r="E4672" s="46" t="s">
        <v>7618</v>
      </c>
    </row>
    <row r="4673">
      <c r="A4673" s="56" t="s">
        <v>14710</v>
      </c>
      <c r="B4673" s="21"/>
      <c r="C4673" s="33" t="s">
        <v>11394</v>
      </c>
      <c r="E4673" s="46" t="s">
        <v>7616</v>
      </c>
    </row>
    <row r="4674">
      <c r="A4674" s="56" t="s">
        <v>14711</v>
      </c>
      <c r="B4674" s="21"/>
      <c r="C4674" s="33" t="s">
        <v>11394</v>
      </c>
      <c r="E4674" s="46" t="s">
        <v>7618</v>
      </c>
    </row>
    <row r="4675">
      <c r="A4675" s="56" t="s">
        <v>14712</v>
      </c>
      <c r="B4675" s="21"/>
      <c r="C4675" s="33" t="s">
        <v>11398</v>
      </c>
      <c r="E4675" s="46" t="s">
        <v>7616</v>
      </c>
    </row>
    <row r="4676">
      <c r="A4676" s="56" t="s">
        <v>14714</v>
      </c>
      <c r="B4676" s="21"/>
      <c r="C4676" s="33" t="s">
        <v>11398</v>
      </c>
      <c r="E4676" s="46" t="s">
        <v>7618</v>
      </c>
    </row>
    <row r="4677">
      <c r="A4677" s="56" t="s">
        <v>14715</v>
      </c>
      <c r="B4677" s="21"/>
      <c r="C4677" s="33" t="s">
        <v>11411</v>
      </c>
      <c r="E4677" s="46" t="s">
        <v>7616</v>
      </c>
    </row>
    <row r="4678">
      <c r="A4678" s="56" t="s">
        <v>14716</v>
      </c>
      <c r="B4678" s="21"/>
      <c r="C4678" s="33" t="s">
        <v>11411</v>
      </c>
      <c r="E4678" s="46" t="s">
        <v>7618</v>
      </c>
    </row>
    <row r="4679">
      <c r="A4679" s="56" t="s">
        <v>14719</v>
      </c>
      <c r="B4679" s="21"/>
      <c r="C4679" s="33" t="s">
        <v>11416</v>
      </c>
      <c r="E4679" s="46" t="s">
        <v>7616</v>
      </c>
    </row>
    <row r="4680">
      <c r="A4680" s="56" t="s">
        <v>14720</v>
      </c>
      <c r="B4680" s="21"/>
      <c r="C4680" s="33" t="s">
        <v>11416</v>
      </c>
      <c r="E4680" s="46" t="s">
        <v>7618</v>
      </c>
    </row>
    <row r="4681">
      <c r="A4681" s="56" t="s">
        <v>14721</v>
      </c>
      <c r="B4681" s="21"/>
      <c r="C4681" s="33" t="s">
        <v>11419</v>
      </c>
      <c r="E4681" s="46" t="s">
        <v>7616</v>
      </c>
    </row>
    <row r="4682">
      <c r="A4682" s="56" t="s">
        <v>14723</v>
      </c>
      <c r="B4682" s="21"/>
      <c r="C4682" s="33" t="s">
        <v>11419</v>
      </c>
      <c r="E4682" s="46" t="s">
        <v>7618</v>
      </c>
    </row>
    <row r="4683">
      <c r="A4683" s="56" t="s">
        <v>14724</v>
      </c>
      <c r="B4683" s="21"/>
      <c r="C4683" s="33" t="s">
        <v>11411</v>
      </c>
      <c r="E4683" s="46" t="s">
        <v>7616</v>
      </c>
    </row>
    <row r="4684">
      <c r="A4684" s="56" t="s">
        <v>14725</v>
      </c>
      <c r="B4684" s="21"/>
      <c r="C4684" s="33" t="s">
        <v>11411</v>
      </c>
      <c r="E4684" s="46" t="s">
        <v>7618</v>
      </c>
    </row>
    <row r="4685">
      <c r="A4685" s="56" t="s">
        <v>14726</v>
      </c>
      <c r="B4685" s="21"/>
      <c r="C4685" s="33" t="s">
        <v>11416</v>
      </c>
      <c r="E4685" s="46" t="s">
        <v>7616</v>
      </c>
    </row>
    <row r="4686">
      <c r="A4686" s="56" t="s">
        <v>14727</v>
      </c>
      <c r="B4686" s="21"/>
      <c r="C4686" s="33" t="s">
        <v>11416</v>
      </c>
      <c r="E4686" s="46" t="s">
        <v>7618</v>
      </c>
    </row>
    <row r="4687">
      <c r="A4687" s="56" t="s">
        <v>14728</v>
      </c>
      <c r="B4687" s="21"/>
      <c r="C4687" s="33" t="s">
        <v>11419</v>
      </c>
      <c r="E4687" s="46" t="s">
        <v>7616</v>
      </c>
    </row>
    <row r="4688">
      <c r="A4688" s="56" t="s">
        <v>14730</v>
      </c>
      <c r="B4688" s="21"/>
      <c r="C4688" s="33" t="s">
        <v>11419</v>
      </c>
      <c r="E4688" s="46" t="s">
        <v>7618</v>
      </c>
    </row>
    <row r="4689">
      <c r="A4689" s="56" t="s">
        <v>14731</v>
      </c>
      <c r="B4689" s="82"/>
      <c r="C4689" s="33" t="s">
        <v>14732</v>
      </c>
      <c r="F4689" s="46" t="s">
        <v>14733</v>
      </c>
    </row>
    <row r="4690">
      <c r="A4690" s="56" t="s">
        <v>14734</v>
      </c>
      <c r="B4690" s="21"/>
      <c r="C4690" s="33" t="s">
        <v>14735</v>
      </c>
    </row>
    <row r="4691">
      <c r="A4691" s="56" t="s">
        <v>14736</v>
      </c>
      <c r="B4691" s="21"/>
      <c r="C4691" s="33" t="s">
        <v>14735</v>
      </c>
    </row>
    <row r="4692">
      <c r="A4692" s="56" t="s">
        <v>14738</v>
      </c>
      <c r="B4692" s="55"/>
      <c r="C4692" s="31"/>
    </row>
    <row r="4693">
      <c r="A4693" s="56" t="s">
        <v>14740</v>
      </c>
      <c r="B4693" s="55"/>
      <c r="C4693" s="31"/>
    </row>
    <row r="4694">
      <c r="A4694" s="56" t="s">
        <v>14741</v>
      </c>
      <c r="B4694" s="55"/>
      <c r="C4694" s="31"/>
    </row>
    <row r="4695">
      <c r="A4695" s="56" t="s">
        <v>14743</v>
      </c>
      <c r="B4695" s="55"/>
      <c r="C4695" s="31"/>
    </row>
    <row r="4696">
      <c r="A4696" s="56" t="s">
        <v>14744</v>
      </c>
      <c r="B4696" s="55"/>
      <c r="C4696" s="31"/>
    </row>
    <row r="4697">
      <c r="A4697" s="56" t="s">
        <v>14745</v>
      </c>
      <c r="B4697" s="55"/>
      <c r="C4697" s="31"/>
    </row>
    <row r="4698">
      <c r="A4698" s="56" t="s">
        <v>14746</v>
      </c>
      <c r="B4698" s="55"/>
      <c r="C4698" s="31"/>
    </row>
    <row r="4699">
      <c r="A4699" s="56" t="s">
        <v>14747</v>
      </c>
      <c r="B4699" s="82"/>
      <c r="C4699" s="33" t="s">
        <v>14748</v>
      </c>
      <c r="F4699" s="46" t="s">
        <v>14749</v>
      </c>
    </row>
    <row r="4700">
      <c r="A4700" s="56" t="s">
        <v>14750</v>
      </c>
      <c r="B4700" s="82"/>
      <c r="C4700" s="33" t="s">
        <v>14751</v>
      </c>
    </row>
    <row r="4701">
      <c r="A4701" s="56" t="s">
        <v>14753</v>
      </c>
      <c r="B4701" s="82"/>
      <c r="C4701" s="33" t="s">
        <v>14751</v>
      </c>
    </row>
    <row r="4702">
      <c r="A4702" s="56" t="s">
        <v>14754</v>
      </c>
      <c r="B4702" s="55"/>
      <c r="C4702" s="31"/>
    </row>
    <row r="4703">
      <c r="A4703" s="56" t="s">
        <v>14755</v>
      </c>
      <c r="B4703" s="82"/>
      <c r="C4703" s="33" t="s">
        <v>14756</v>
      </c>
      <c r="F4703" s="46" t="s">
        <v>14757</v>
      </c>
    </row>
    <row r="4704">
      <c r="A4704" s="56" t="s">
        <v>14758</v>
      </c>
      <c r="B4704" s="21"/>
      <c r="C4704" s="33" t="s">
        <v>14757</v>
      </c>
    </row>
    <row r="4705">
      <c r="A4705" s="56" t="s">
        <v>14759</v>
      </c>
      <c r="B4705" s="21"/>
      <c r="C4705" s="33" t="s">
        <v>14757</v>
      </c>
    </row>
    <row r="4706">
      <c r="A4706" s="56" t="s">
        <v>14760</v>
      </c>
      <c r="B4706" s="55"/>
      <c r="C4706" s="31"/>
    </row>
    <row r="4707">
      <c r="A4707" s="56" t="s">
        <v>14762</v>
      </c>
      <c r="B4707" s="55"/>
      <c r="C4707" s="31"/>
    </row>
    <row r="4708">
      <c r="A4708" s="56" t="s">
        <v>14765</v>
      </c>
      <c r="B4708" s="55"/>
      <c r="C4708" s="31"/>
    </row>
    <row r="4709">
      <c r="A4709" s="56" t="s">
        <v>14766</v>
      </c>
      <c r="B4709" s="55"/>
      <c r="C4709" s="31"/>
    </row>
    <row r="4710">
      <c r="A4710" s="56" t="s">
        <v>14767</v>
      </c>
      <c r="B4710" s="55"/>
      <c r="C4710" s="31"/>
    </row>
    <row r="4711">
      <c r="A4711" s="56" t="s">
        <v>14768</v>
      </c>
      <c r="B4711" s="55"/>
      <c r="C4711" s="31"/>
    </row>
    <row r="4712">
      <c r="A4712" s="56" t="s">
        <v>14769</v>
      </c>
      <c r="B4712" s="55"/>
      <c r="C4712" s="31"/>
    </row>
    <row r="4713">
      <c r="A4713" s="56" t="s">
        <v>14770</v>
      </c>
      <c r="B4713" s="55"/>
      <c r="C4713" s="31"/>
    </row>
    <row r="4714">
      <c r="A4714" s="56" t="s">
        <v>14771</v>
      </c>
      <c r="B4714" s="55"/>
      <c r="C4714" s="31"/>
    </row>
    <row r="4715">
      <c r="A4715" s="56" t="s">
        <v>14772</v>
      </c>
      <c r="B4715" s="55"/>
      <c r="C4715" s="31"/>
    </row>
    <row r="4716">
      <c r="A4716" s="56" t="s">
        <v>14773</v>
      </c>
      <c r="B4716" s="55"/>
      <c r="C4716" s="31"/>
    </row>
    <row r="4717">
      <c r="A4717" s="56" t="s">
        <v>14774</v>
      </c>
      <c r="B4717" s="55"/>
      <c r="C4717" s="31"/>
    </row>
    <row r="4718">
      <c r="A4718" s="56" t="s">
        <v>14776</v>
      </c>
      <c r="B4718" s="55"/>
      <c r="C4718" s="31"/>
    </row>
    <row r="4719">
      <c r="A4719" s="56" t="s">
        <v>14777</v>
      </c>
      <c r="B4719" s="55"/>
      <c r="C4719" s="31"/>
    </row>
    <row r="4720">
      <c r="A4720" s="56" t="s">
        <v>14778</v>
      </c>
      <c r="B4720" s="55"/>
      <c r="C4720" s="31"/>
    </row>
    <row r="4721">
      <c r="A4721" s="56" t="s">
        <v>14779</v>
      </c>
      <c r="B4721" s="55"/>
      <c r="C4721" s="31"/>
    </row>
    <row r="4722">
      <c r="A4722" s="56" t="s">
        <v>14780</v>
      </c>
      <c r="B4722" s="55"/>
      <c r="C4722" s="31"/>
    </row>
    <row r="4723">
      <c r="A4723" s="56" t="s">
        <v>14781</v>
      </c>
      <c r="B4723" s="55"/>
      <c r="C4723" s="31"/>
    </row>
    <row r="4724">
      <c r="A4724" s="56" t="s">
        <v>14783</v>
      </c>
      <c r="B4724" s="55"/>
      <c r="C4724" s="31"/>
    </row>
    <row r="4725">
      <c r="A4725" s="56" t="s">
        <v>14785</v>
      </c>
      <c r="B4725" s="55"/>
      <c r="C4725" s="31"/>
    </row>
    <row r="4726">
      <c r="A4726" s="56" t="s">
        <v>14786</v>
      </c>
      <c r="B4726" s="55"/>
      <c r="C4726" s="31"/>
    </row>
    <row r="4727">
      <c r="A4727" s="56" t="s">
        <v>14787</v>
      </c>
      <c r="B4727" s="55"/>
      <c r="C4727" s="31"/>
    </row>
    <row r="4728">
      <c r="A4728" s="56" t="s">
        <v>14788</v>
      </c>
      <c r="B4728" s="55"/>
      <c r="C4728" s="31"/>
    </row>
    <row r="4729">
      <c r="A4729" s="56" t="s">
        <v>14789</v>
      </c>
      <c r="B4729" s="55"/>
      <c r="C4729" s="31"/>
    </row>
    <row r="4730">
      <c r="A4730" s="56" t="s">
        <v>14790</v>
      </c>
      <c r="B4730" s="55"/>
      <c r="C4730" s="31"/>
    </row>
    <row r="4731">
      <c r="A4731" s="56" t="s">
        <v>14792</v>
      </c>
      <c r="B4731" s="55"/>
      <c r="C4731" s="31"/>
    </row>
    <row r="4732">
      <c r="A4732" s="56" t="s">
        <v>14793</v>
      </c>
      <c r="B4732" s="55"/>
      <c r="C4732" s="31"/>
    </row>
    <row r="4733">
      <c r="A4733" s="56" t="s">
        <v>14794</v>
      </c>
      <c r="B4733" s="79"/>
      <c r="C4733" s="33" t="s">
        <v>14795</v>
      </c>
    </row>
    <row r="4734">
      <c r="A4734" s="56" t="s">
        <v>14796</v>
      </c>
      <c r="B4734" s="79"/>
      <c r="C4734" s="33" t="s">
        <v>14797</v>
      </c>
    </row>
    <row r="4735">
      <c r="A4735" s="56" t="s">
        <v>14798</v>
      </c>
      <c r="B4735" s="79"/>
      <c r="C4735" s="33" t="s">
        <v>14797</v>
      </c>
    </row>
    <row r="4736">
      <c r="A4736" s="56" t="s">
        <v>14799</v>
      </c>
      <c r="B4736" s="55"/>
      <c r="C4736" s="31"/>
    </row>
    <row r="4737">
      <c r="A4737" s="56" t="s">
        <v>14800</v>
      </c>
      <c r="B4737" s="55"/>
      <c r="C4737" s="31"/>
    </row>
    <row r="4738">
      <c r="A4738" s="56" t="s">
        <v>14801</v>
      </c>
      <c r="B4738" s="55"/>
      <c r="C4738" s="31"/>
    </row>
    <row r="4739">
      <c r="A4739" s="56" t="s">
        <v>14803</v>
      </c>
      <c r="B4739" s="55"/>
      <c r="C4739" s="31"/>
    </row>
    <row r="4740">
      <c r="A4740" s="56" t="s">
        <v>14804</v>
      </c>
      <c r="B4740" s="55"/>
      <c r="C4740" s="31"/>
    </row>
    <row r="4741">
      <c r="A4741" s="56" t="s">
        <v>14805</v>
      </c>
      <c r="B4741" s="55"/>
      <c r="C4741" s="31"/>
    </row>
    <row r="4742">
      <c r="A4742" s="56" t="s">
        <v>14806</v>
      </c>
      <c r="B4742" s="55"/>
      <c r="C4742" s="31"/>
    </row>
    <row r="4743">
      <c r="A4743" s="56" t="s">
        <v>14807</v>
      </c>
      <c r="B4743" s="55"/>
      <c r="C4743" s="31"/>
    </row>
    <row r="4744">
      <c r="A4744" s="56" t="s">
        <v>14808</v>
      </c>
      <c r="B4744" s="55"/>
      <c r="C4744" s="31"/>
    </row>
    <row r="4745">
      <c r="A4745" s="56" t="s">
        <v>14809</v>
      </c>
      <c r="B4745" s="55"/>
      <c r="C4745" s="31"/>
    </row>
    <row r="4746">
      <c r="A4746" s="56" t="s">
        <v>14811</v>
      </c>
      <c r="B4746" s="55"/>
      <c r="C4746" s="31"/>
    </row>
    <row r="4747">
      <c r="A4747" s="56" t="s">
        <v>14813</v>
      </c>
      <c r="B4747" s="55"/>
      <c r="C4747" s="31"/>
    </row>
    <row r="4748">
      <c r="A4748" s="56" t="s">
        <v>14816</v>
      </c>
      <c r="B4748" s="55"/>
      <c r="C4748" s="31"/>
    </row>
    <row r="4749">
      <c r="A4749" s="56" t="s">
        <v>14817</v>
      </c>
      <c r="B4749" s="55"/>
      <c r="C4749" s="31"/>
    </row>
    <row r="4750">
      <c r="A4750" s="56" t="s">
        <v>14819</v>
      </c>
      <c r="B4750" s="55"/>
      <c r="C4750" s="31"/>
    </row>
    <row r="4751">
      <c r="A4751" s="56" t="s">
        <v>14821</v>
      </c>
      <c r="B4751" s="55"/>
      <c r="C4751" s="31"/>
    </row>
    <row r="4752">
      <c r="A4752" s="56" t="s">
        <v>14822</v>
      </c>
      <c r="B4752" s="55"/>
      <c r="C4752" s="31"/>
    </row>
    <row r="4753">
      <c r="A4753" s="56" t="s">
        <v>14823</v>
      </c>
      <c r="B4753" s="82"/>
      <c r="C4753" s="33" t="s">
        <v>14824</v>
      </c>
    </row>
    <row r="4754">
      <c r="A4754" s="56" t="s">
        <v>14825</v>
      </c>
      <c r="B4754" s="82"/>
      <c r="C4754" s="33" t="s">
        <v>11373</v>
      </c>
      <c r="E4754" s="46" t="s">
        <v>7616</v>
      </c>
    </row>
    <row r="4755">
      <c r="A4755" s="56" t="s">
        <v>14826</v>
      </c>
      <c r="B4755" s="82"/>
      <c r="C4755" s="33" t="s">
        <v>11373</v>
      </c>
      <c r="E4755" s="46" t="s">
        <v>7618</v>
      </c>
    </row>
    <row r="4756">
      <c r="A4756" s="56" t="s">
        <v>14827</v>
      </c>
      <c r="B4756" s="82"/>
      <c r="C4756" s="33" t="s">
        <v>11376</v>
      </c>
      <c r="E4756" s="46" t="s">
        <v>7616</v>
      </c>
    </row>
    <row r="4757">
      <c r="A4757" s="56" t="s">
        <v>14828</v>
      </c>
      <c r="B4757" s="82"/>
      <c r="C4757" s="33" t="s">
        <v>11376</v>
      </c>
      <c r="E4757" s="46" t="s">
        <v>7618</v>
      </c>
    </row>
    <row r="4758">
      <c r="A4758" s="56" t="s">
        <v>14830</v>
      </c>
      <c r="B4758" s="82"/>
      <c r="C4758" s="33" t="s">
        <v>11380</v>
      </c>
      <c r="E4758" s="46" t="s">
        <v>7616</v>
      </c>
    </row>
    <row r="4759">
      <c r="A4759" s="56" t="s">
        <v>14831</v>
      </c>
      <c r="B4759" s="82"/>
      <c r="C4759" s="33" t="s">
        <v>11380</v>
      </c>
      <c r="E4759" s="46" t="s">
        <v>7618</v>
      </c>
    </row>
    <row r="4760">
      <c r="A4760" s="56" t="s">
        <v>14832</v>
      </c>
      <c r="B4760" s="79"/>
      <c r="C4760" s="33" t="s">
        <v>11384</v>
      </c>
      <c r="E4760" s="46" t="s">
        <v>1348</v>
      </c>
    </row>
    <row r="4761">
      <c r="A4761" s="56" t="s">
        <v>14836</v>
      </c>
      <c r="B4761" s="79"/>
      <c r="C4761" s="33" t="s">
        <v>11384</v>
      </c>
      <c r="E4761" s="46" t="s">
        <v>1348</v>
      </c>
    </row>
    <row r="4762">
      <c r="A4762" s="56" t="s">
        <v>14838</v>
      </c>
      <c r="B4762" s="79"/>
      <c r="C4762" s="33" t="s">
        <v>11389</v>
      </c>
      <c r="E4762" s="46" t="s">
        <v>1348</v>
      </c>
    </row>
    <row r="4763">
      <c r="A4763" s="56" t="s">
        <v>14840</v>
      </c>
      <c r="B4763" s="21"/>
      <c r="C4763" s="33" t="s">
        <v>11391</v>
      </c>
      <c r="E4763" s="46" t="s">
        <v>7616</v>
      </c>
    </row>
    <row r="4764">
      <c r="A4764" s="56" t="s">
        <v>14841</v>
      </c>
      <c r="B4764" s="21"/>
      <c r="C4764" s="33" t="s">
        <v>11391</v>
      </c>
      <c r="E4764" s="46" t="s">
        <v>7618</v>
      </c>
    </row>
    <row r="4765">
      <c r="A4765" s="56" t="s">
        <v>14842</v>
      </c>
      <c r="B4765" s="21"/>
      <c r="C4765" s="33" t="s">
        <v>11394</v>
      </c>
      <c r="E4765" s="46" t="s">
        <v>7616</v>
      </c>
    </row>
    <row r="4766">
      <c r="A4766" s="56" t="s">
        <v>14843</v>
      </c>
      <c r="B4766" s="21"/>
      <c r="C4766" s="33" t="s">
        <v>11394</v>
      </c>
      <c r="E4766" s="46" t="s">
        <v>7618</v>
      </c>
    </row>
    <row r="4767">
      <c r="A4767" s="56" t="s">
        <v>14844</v>
      </c>
      <c r="B4767" s="21"/>
      <c r="C4767" s="33" t="s">
        <v>11398</v>
      </c>
      <c r="E4767" s="46" t="s">
        <v>7616</v>
      </c>
    </row>
    <row r="4768">
      <c r="A4768" s="56" t="s">
        <v>14846</v>
      </c>
      <c r="B4768" s="21"/>
      <c r="C4768" s="33" t="s">
        <v>11398</v>
      </c>
      <c r="E4768" s="46" t="s">
        <v>7618</v>
      </c>
    </row>
    <row r="4769">
      <c r="A4769" s="56" t="s">
        <v>14848</v>
      </c>
      <c r="B4769" s="21"/>
      <c r="C4769" s="33" t="s">
        <v>11391</v>
      </c>
      <c r="E4769" s="46" t="s">
        <v>7616</v>
      </c>
    </row>
    <row r="4770">
      <c r="A4770" s="56" t="s">
        <v>14849</v>
      </c>
      <c r="B4770" s="21"/>
      <c r="C4770" s="33" t="s">
        <v>11391</v>
      </c>
      <c r="E4770" s="46" t="s">
        <v>7618</v>
      </c>
    </row>
    <row r="4771">
      <c r="A4771" s="56" t="s">
        <v>14850</v>
      </c>
      <c r="B4771" s="21"/>
      <c r="C4771" s="33" t="s">
        <v>11394</v>
      </c>
      <c r="E4771" s="46" t="s">
        <v>7616</v>
      </c>
    </row>
    <row r="4772">
      <c r="A4772" s="56" t="s">
        <v>14851</v>
      </c>
      <c r="B4772" s="21"/>
      <c r="C4772" s="33" t="s">
        <v>11394</v>
      </c>
      <c r="E4772" s="46" t="s">
        <v>7618</v>
      </c>
    </row>
    <row r="4773">
      <c r="A4773" s="56" t="s">
        <v>14852</v>
      </c>
      <c r="B4773" s="21"/>
      <c r="C4773" s="33" t="s">
        <v>11398</v>
      </c>
      <c r="E4773" s="46" t="s">
        <v>7616</v>
      </c>
    </row>
    <row r="4774">
      <c r="A4774" s="56" t="s">
        <v>14855</v>
      </c>
      <c r="B4774" s="21"/>
      <c r="C4774" s="33" t="s">
        <v>11398</v>
      </c>
      <c r="E4774" s="46" t="s">
        <v>7618</v>
      </c>
    </row>
    <row r="4775">
      <c r="A4775" s="56" t="s">
        <v>14858</v>
      </c>
      <c r="B4775" s="21"/>
      <c r="C4775" s="33" t="s">
        <v>11411</v>
      </c>
      <c r="E4775" s="46" t="s">
        <v>7616</v>
      </c>
    </row>
    <row r="4776">
      <c r="A4776" s="56" t="s">
        <v>14859</v>
      </c>
      <c r="B4776" s="21"/>
      <c r="C4776" s="33" t="s">
        <v>11411</v>
      </c>
      <c r="E4776" s="46" t="s">
        <v>7618</v>
      </c>
    </row>
    <row r="4777">
      <c r="A4777" s="56" t="s">
        <v>14860</v>
      </c>
      <c r="B4777" s="21"/>
      <c r="C4777" s="33" t="s">
        <v>11416</v>
      </c>
      <c r="E4777" s="46" t="s">
        <v>7616</v>
      </c>
    </row>
    <row r="4778">
      <c r="A4778" s="56" t="s">
        <v>14861</v>
      </c>
      <c r="B4778" s="21"/>
      <c r="C4778" s="33" t="s">
        <v>11416</v>
      </c>
      <c r="E4778" s="46" t="s">
        <v>7618</v>
      </c>
    </row>
    <row r="4779">
      <c r="A4779" s="56" t="s">
        <v>14862</v>
      </c>
      <c r="B4779" s="21"/>
      <c r="C4779" s="33" t="s">
        <v>11419</v>
      </c>
      <c r="E4779" s="46" t="s">
        <v>7616</v>
      </c>
    </row>
    <row r="4780">
      <c r="A4780" s="56" t="s">
        <v>14864</v>
      </c>
      <c r="B4780" s="21"/>
      <c r="C4780" s="33" t="s">
        <v>11419</v>
      </c>
      <c r="E4780" s="46" t="s">
        <v>7618</v>
      </c>
    </row>
    <row r="4781">
      <c r="A4781" s="56" t="s">
        <v>14865</v>
      </c>
      <c r="B4781" s="21"/>
      <c r="C4781" s="33" t="s">
        <v>11411</v>
      </c>
      <c r="E4781" s="46" t="s">
        <v>7616</v>
      </c>
    </row>
    <row r="4782">
      <c r="A4782" s="56" t="s">
        <v>14869</v>
      </c>
      <c r="B4782" s="21"/>
      <c r="C4782" s="33" t="s">
        <v>11411</v>
      </c>
      <c r="E4782" s="46" t="s">
        <v>7618</v>
      </c>
    </row>
    <row r="4783">
      <c r="A4783" s="56" t="s">
        <v>14872</v>
      </c>
      <c r="B4783" s="21"/>
      <c r="C4783" s="33" t="s">
        <v>11416</v>
      </c>
      <c r="E4783" s="46" t="s">
        <v>7616</v>
      </c>
    </row>
    <row r="4784">
      <c r="A4784" s="56" t="s">
        <v>14873</v>
      </c>
      <c r="B4784" s="21"/>
      <c r="C4784" s="33" t="s">
        <v>11416</v>
      </c>
      <c r="E4784" s="46" t="s">
        <v>7618</v>
      </c>
    </row>
    <row r="4785">
      <c r="A4785" s="56" t="s">
        <v>14874</v>
      </c>
      <c r="B4785" s="21"/>
      <c r="C4785" s="33" t="s">
        <v>11419</v>
      </c>
      <c r="E4785" s="46" t="s">
        <v>7616</v>
      </c>
    </row>
    <row r="4786">
      <c r="A4786" s="56" t="s">
        <v>14875</v>
      </c>
      <c r="B4786" s="21"/>
      <c r="C4786" s="33" t="s">
        <v>11419</v>
      </c>
      <c r="E4786" s="46" t="s">
        <v>7618</v>
      </c>
    </row>
    <row r="4787">
      <c r="A4787" s="56" t="s">
        <v>14876</v>
      </c>
      <c r="B4787" s="55"/>
      <c r="C4787" s="31"/>
    </row>
    <row r="4788">
      <c r="A4788" s="56" t="s">
        <v>14879</v>
      </c>
      <c r="B4788" s="55"/>
      <c r="C4788" s="31"/>
    </row>
    <row r="4789">
      <c r="A4789" s="56" t="s">
        <v>14881</v>
      </c>
      <c r="B4789" s="55"/>
      <c r="C4789" s="31"/>
    </row>
    <row r="4790">
      <c r="A4790" s="56" t="s">
        <v>14882</v>
      </c>
      <c r="B4790" s="55"/>
      <c r="C4790" s="31"/>
    </row>
    <row r="4791">
      <c r="A4791" s="56" t="s">
        <v>14884</v>
      </c>
      <c r="B4791" s="55"/>
      <c r="C4791" s="31"/>
    </row>
    <row r="4792">
      <c r="A4792" s="56" t="s">
        <v>14885</v>
      </c>
      <c r="B4792" s="55"/>
      <c r="C4792" s="31"/>
    </row>
    <row r="4793">
      <c r="A4793" s="56" t="s">
        <v>14886</v>
      </c>
      <c r="B4793" s="55"/>
      <c r="C4793" s="31"/>
    </row>
    <row r="4794">
      <c r="A4794" s="56" t="s">
        <v>14887</v>
      </c>
      <c r="B4794" s="55"/>
      <c r="C4794" s="31"/>
    </row>
    <row r="4795">
      <c r="A4795" s="56" t="s">
        <v>14888</v>
      </c>
      <c r="B4795" s="55"/>
      <c r="C4795" s="31"/>
    </row>
    <row r="4796">
      <c r="A4796" s="56" t="s">
        <v>14889</v>
      </c>
      <c r="B4796" s="55"/>
      <c r="C4796" s="31"/>
    </row>
    <row r="4797">
      <c r="A4797" s="56" t="s">
        <v>14891</v>
      </c>
      <c r="B4797" s="55"/>
      <c r="C4797" s="31"/>
    </row>
    <row r="4798">
      <c r="A4798" s="56" t="s">
        <v>14893</v>
      </c>
      <c r="B4798" s="55"/>
      <c r="C4798" s="31"/>
    </row>
    <row r="4799">
      <c r="A4799" s="56" t="s">
        <v>14895</v>
      </c>
      <c r="B4799" s="55"/>
      <c r="C4799" s="31"/>
    </row>
    <row r="4800">
      <c r="A4800" s="56" t="s">
        <v>14896</v>
      </c>
      <c r="B4800" s="55"/>
      <c r="C4800" s="31"/>
    </row>
    <row r="4801">
      <c r="A4801" s="56" t="s">
        <v>14897</v>
      </c>
      <c r="B4801" s="55"/>
      <c r="C4801" s="31"/>
    </row>
    <row r="4802">
      <c r="A4802" s="56" t="s">
        <v>14898</v>
      </c>
      <c r="B4802" s="55"/>
      <c r="C4802" s="31"/>
    </row>
    <row r="4803">
      <c r="A4803" s="56" t="s">
        <v>14899</v>
      </c>
      <c r="B4803" s="55"/>
      <c r="C4803" s="31"/>
    </row>
    <row r="4804">
      <c r="A4804" s="56" t="s">
        <v>14900</v>
      </c>
      <c r="B4804" s="55"/>
      <c r="C4804" s="31"/>
    </row>
    <row r="4805">
      <c r="A4805" s="56" t="s">
        <v>14902</v>
      </c>
      <c r="B4805" s="55"/>
      <c r="C4805" s="31"/>
    </row>
    <row r="4806">
      <c r="A4806" s="56" t="s">
        <v>14904</v>
      </c>
      <c r="B4806" s="55"/>
      <c r="C4806" s="31"/>
    </row>
    <row r="4807">
      <c r="A4807" s="56" t="s">
        <v>14906</v>
      </c>
      <c r="B4807" s="55"/>
      <c r="C4807" s="31"/>
    </row>
    <row r="4808">
      <c r="A4808" s="56" t="s">
        <v>14907</v>
      </c>
      <c r="B4808" s="82"/>
      <c r="C4808" s="33" t="s">
        <v>14908</v>
      </c>
    </row>
    <row r="4809">
      <c r="A4809" s="56" t="s">
        <v>14909</v>
      </c>
      <c r="B4809" s="82"/>
      <c r="C4809" s="33" t="s">
        <v>11373</v>
      </c>
      <c r="E4809" s="46" t="s">
        <v>7616</v>
      </c>
    </row>
    <row r="4810">
      <c r="A4810" s="56" t="s">
        <v>14910</v>
      </c>
      <c r="B4810" s="82"/>
      <c r="C4810" s="33" t="s">
        <v>11373</v>
      </c>
      <c r="E4810" s="46" t="s">
        <v>7618</v>
      </c>
    </row>
    <row r="4811">
      <c r="A4811" s="56" t="s">
        <v>14911</v>
      </c>
      <c r="B4811" s="82"/>
      <c r="C4811" s="33" t="s">
        <v>11376</v>
      </c>
      <c r="E4811" s="46" t="s">
        <v>7616</v>
      </c>
    </row>
    <row r="4812">
      <c r="A4812" s="56" t="s">
        <v>14914</v>
      </c>
      <c r="B4812" s="82"/>
      <c r="C4812" s="33" t="s">
        <v>11376</v>
      </c>
      <c r="E4812" s="46" t="s">
        <v>7618</v>
      </c>
    </row>
    <row r="4813">
      <c r="A4813" s="56" t="s">
        <v>14916</v>
      </c>
      <c r="B4813" s="82"/>
      <c r="C4813" s="33" t="s">
        <v>11380</v>
      </c>
      <c r="E4813" s="46" t="s">
        <v>7616</v>
      </c>
    </row>
    <row r="4814">
      <c r="A4814" s="56" t="s">
        <v>14917</v>
      </c>
      <c r="B4814" s="82"/>
      <c r="C4814" s="33" t="s">
        <v>11380</v>
      </c>
      <c r="E4814" s="46" t="s">
        <v>7618</v>
      </c>
    </row>
    <row r="4815">
      <c r="A4815" s="56" t="s">
        <v>14918</v>
      </c>
      <c r="B4815" s="79"/>
      <c r="C4815" s="33" t="s">
        <v>11384</v>
      </c>
      <c r="E4815" s="46" t="s">
        <v>1348</v>
      </c>
    </row>
    <row r="4816">
      <c r="A4816" s="56" t="s">
        <v>14919</v>
      </c>
      <c r="B4816" s="79"/>
      <c r="C4816" s="33" t="s">
        <v>11384</v>
      </c>
      <c r="E4816" s="46" t="s">
        <v>1348</v>
      </c>
    </row>
    <row r="4817">
      <c r="A4817" s="56" t="s">
        <v>14922</v>
      </c>
      <c r="B4817" s="79"/>
      <c r="C4817" s="33" t="s">
        <v>11389</v>
      </c>
      <c r="E4817" s="46" t="s">
        <v>1348</v>
      </c>
    </row>
    <row r="4818">
      <c r="A4818" s="56" t="s">
        <v>14924</v>
      </c>
      <c r="B4818" s="21"/>
      <c r="C4818" s="33" t="s">
        <v>11391</v>
      </c>
      <c r="E4818" s="46" t="s">
        <v>7616</v>
      </c>
    </row>
    <row r="4819">
      <c r="A4819" s="56" t="s">
        <v>14925</v>
      </c>
      <c r="B4819" s="21"/>
      <c r="C4819" s="33" t="s">
        <v>11391</v>
      </c>
      <c r="E4819" s="46" t="s">
        <v>7618</v>
      </c>
    </row>
    <row r="4820">
      <c r="A4820" s="56" t="s">
        <v>14926</v>
      </c>
      <c r="B4820" s="21"/>
      <c r="C4820" s="33" t="s">
        <v>11394</v>
      </c>
      <c r="E4820" s="46" t="s">
        <v>7616</v>
      </c>
    </row>
    <row r="4821">
      <c r="A4821" s="56" t="s">
        <v>14928</v>
      </c>
      <c r="B4821" s="21"/>
      <c r="C4821" s="33" t="s">
        <v>11394</v>
      </c>
      <c r="E4821" s="46" t="s">
        <v>7618</v>
      </c>
    </row>
    <row r="4822">
      <c r="A4822" s="56" t="s">
        <v>14929</v>
      </c>
      <c r="B4822" s="21"/>
      <c r="C4822" s="33" t="s">
        <v>11398</v>
      </c>
      <c r="E4822" s="46" t="s">
        <v>7616</v>
      </c>
    </row>
    <row r="4823">
      <c r="A4823" s="56" t="s">
        <v>14932</v>
      </c>
      <c r="B4823" s="21"/>
      <c r="C4823" s="33" t="s">
        <v>11398</v>
      </c>
      <c r="E4823" s="46" t="s">
        <v>7618</v>
      </c>
    </row>
    <row r="4824">
      <c r="A4824" s="56" t="s">
        <v>14933</v>
      </c>
      <c r="B4824" s="21"/>
      <c r="C4824" s="33" t="s">
        <v>11391</v>
      </c>
      <c r="E4824" s="46" t="s">
        <v>7616</v>
      </c>
    </row>
    <row r="4825">
      <c r="A4825" s="56" t="s">
        <v>14935</v>
      </c>
      <c r="B4825" s="21"/>
      <c r="C4825" s="33" t="s">
        <v>11391</v>
      </c>
      <c r="E4825" s="46" t="s">
        <v>7618</v>
      </c>
    </row>
    <row r="4826">
      <c r="A4826" s="56" t="s">
        <v>14936</v>
      </c>
      <c r="B4826" s="21"/>
      <c r="C4826" s="33" t="s">
        <v>11394</v>
      </c>
      <c r="E4826" s="46" t="s">
        <v>7616</v>
      </c>
    </row>
    <row r="4827">
      <c r="A4827" s="56" t="s">
        <v>14937</v>
      </c>
      <c r="B4827" s="21"/>
      <c r="C4827" s="33" t="s">
        <v>11394</v>
      </c>
      <c r="E4827" s="46" t="s">
        <v>7618</v>
      </c>
    </row>
    <row r="4828">
      <c r="A4828" s="56" t="s">
        <v>14939</v>
      </c>
      <c r="B4828" s="21"/>
      <c r="C4828" s="33" t="s">
        <v>11398</v>
      </c>
      <c r="E4828" s="46" t="s">
        <v>7616</v>
      </c>
    </row>
    <row r="4829">
      <c r="A4829" s="56" t="s">
        <v>14941</v>
      </c>
      <c r="B4829" s="21"/>
      <c r="C4829" s="33" t="s">
        <v>11398</v>
      </c>
      <c r="E4829" s="46" t="s">
        <v>7618</v>
      </c>
    </row>
    <row r="4830">
      <c r="A4830" s="56" t="s">
        <v>14942</v>
      </c>
      <c r="B4830" s="21"/>
      <c r="C4830" s="33" t="s">
        <v>11411</v>
      </c>
      <c r="E4830" s="46" t="s">
        <v>7616</v>
      </c>
    </row>
    <row r="4831">
      <c r="A4831" s="56" t="s">
        <v>14944</v>
      </c>
      <c r="B4831" s="21"/>
      <c r="C4831" s="33" t="s">
        <v>11411</v>
      </c>
      <c r="E4831" s="46" t="s">
        <v>7618</v>
      </c>
    </row>
    <row r="4832">
      <c r="A4832" s="56" t="s">
        <v>14945</v>
      </c>
      <c r="B4832" s="21"/>
      <c r="C4832" s="33" t="s">
        <v>11416</v>
      </c>
      <c r="E4832" s="46" t="s">
        <v>7616</v>
      </c>
    </row>
    <row r="4833">
      <c r="A4833" s="56" t="s">
        <v>14947</v>
      </c>
      <c r="B4833" s="21"/>
      <c r="C4833" s="33" t="s">
        <v>11416</v>
      </c>
      <c r="E4833" s="46" t="s">
        <v>7618</v>
      </c>
    </row>
    <row r="4834">
      <c r="A4834" s="56" t="s">
        <v>14949</v>
      </c>
      <c r="B4834" s="21"/>
      <c r="C4834" s="33" t="s">
        <v>11419</v>
      </c>
      <c r="E4834" s="46" t="s">
        <v>7616</v>
      </c>
    </row>
    <row r="4835">
      <c r="A4835" s="56" t="s">
        <v>14950</v>
      </c>
      <c r="B4835" s="21"/>
      <c r="C4835" s="33" t="s">
        <v>11419</v>
      </c>
      <c r="E4835" s="46" t="s">
        <v>7618</v>
      </c>
    </row>
    <row r="4836">
      <c r="A4836" s="56" t="s">
        <v>14952</v>
      </c>
      <c r="B4836" s="21"/>
      <c r="C4836" s="33" t="s">
        <v>11411</v>
      </c>
      <c r="E4836" s="46" t="s">
        <v>7616</v>
      </c>
    </row>
    <row r="4837">
      <c r="A4837" s="56" t="s">
        <v>14953</v>
      </c>
      <c r="B4837" s="21"/>
      <c r="C4837" s="33" t="s">
        <v>11411</v>
      </c>
      <c r="E4837" s="46" t="s">
        <v>7618</v>
      </c>
    </row>
    <row r="4838">
      <c r="A4838" s="56" t="s">
        <v>14955</v>
      </c>
      <c r="B4838" s="21"/>
      <c r="C4838" s="33" t="s">
        <v>11416</v>
      </c>
      <c r="E4838" s="46" t="s">
        <v>7616</v>
      </c>
    </row>
    <row r="4839">
      <c r="A4839" s="56" t="s">
        <v>14957</v>
      </c>
      <c r="B4839" s="21"/>
      <c r="C4839" s="33" t="s">
        <v>11416</v>
      </c>
      <c r="E4839" s="46" t="s">
        <v>7618</v>
      </c>
    </row>
    <row r="4840">
      <c r="A4840" s="56" t="s">
        <v>14959</v>
      </c>
      <c r="B4840" s="21"/>
      <c r="C4840" s="33" t="s">
        <v>11419</v>
      </c>
      <c r="E4840" s="46" t="s">
        <v>7616</v>
      </c>
    </row>
    <row r="4841">
      <c r="A4841" s="56" t="s">
        <v>14960</v>
      </c>
      <c r="B4841" s="21"/>
      <c r="C4841" s="33" t="s">
        <v>11419</v>
      </c>
      <c r="E4841" s="46" t="s">
        <v>7618</v>
      </c>
    </row>
    <row r="4842">
      <c r="A4842" s="56" t="s">
        <v>14961</v>
      </c>
      <c r="B4842" s="55"/>
      <c r="C4842" s="31"/>
    </row>
    <row r="4843">
      <c r="A4843" s="56" t="s">
        <v>14962</v>
      </c>
      <c r="B4843" s="55"/>
      <c r="C4843" s="31"/>
    </row>
    <row r="4844">
      <c r="A4844" s="56" t="s">
        <v>14964</v>
      </c>
      <c r="B4844" s="55"/>
      <c r="C4844" s="31"/>
    </row>
    <row r="4845">
      <c r="A4845" s="56" t="s">
        <v>14965</v>
      </c>
      <c r="B4845" s="55"/>
      <c r="C4845" s="31"/>
    </row>
    <row r="4846">
      <c r="A4846" s="56" t="s">
        <v>14967</v>
      </c>
      <c r="B4846" s="55"/>
      <c r="C4846" s="31"/>
    </row>
    <row r="4847">
      <c r="A4847" s="56" t="s">
        <v>14968</v>
      </c>
      <c r="B4847" s="55"/>
      <c r="C4847" s="31"/>
    </row>
    <row r="4848">
      <c r="A4848" s="56" t="s">
        <v>14969</v>
      </c>
      <c r="B4848" s="55"/>
      <c r="C4848" s="31"/>
    </row>
    <row r="4849">
      <c r="A4849" s="56" t="s">
        <v>14970</v>
      </c>
      <c r="B4849" s="55"/>
      <c r="C4849" s="31"/>
    </row>
    <row r="4850">
      <c r="A4850" s="56" t="s">
        <v>14971</v>
      </c>
      <c r="B4850" s="55"/>
      <c r="C4850" s="31"/>
    </row>
    <row r="4851">
      <c r="A4851" s="56" t="s">
        <v>14973</v>
      </c>
      <c r="B4851" s="55"/>
      <c r="C4851" s="31"/>
    </row>
    <row r="4852">
      <c r="A4852" s="56" t="s">
        <v>14974</v>
      </c>
      <c r="B4852" s="55"/>
      <c r="C4852" s="31"/>
    </row>
    <row r="4853">
      <c r="A4853" s="56" t="s">
        <v>14976</v>
      </c>
      <c r="B4853" s="55"/>
      <c r="C4853" s="31"/>
    </row>
    <row r="4854">
      <c r="A4854" s="56" t="s">
        <v>14978</v>
      </c>
      <c r="B4854" s="55"/>
      <c r="C4854" s="31"/>
    </row>
    <row r="4855">
      <c r="A4855" s="56" t="s">
        <v>14981</v>
      </c>
      <c r="B4855" s="55"/>
      <c r="C4855" s="31"/>
    </row>
    <row r="4856">
      <c r="A4856" s="56" t="s">
        <v>14982</v>
      </c>
      <c r="B4856" s="55"/>
      <c r="C4856" s="31"/>
    </row>
    <row r="4857">
      <c r="A4857" s="56" t="s">
        <v>14983</v>
      </c>
      <c r="B4857" s="55"/>
      <c r="C4857" s="31"/>
    </row>
    <row r="4858">
      <c r="A4858" s="56" t="s">
        <v>14984</v>
      </c>
      <c r="B4858" s="82"/>
      <c r="C4858" s="33" t="s">
        <v>14985</v>
      </c>
    </row>
    <row r="4859">
      <c r="A4859" s="56" t="s">
        <v>14987</v>
      </c>
      <c r="B4859" s="55"/>
      <c r="C4859" s="31"/>
    </row>
    <row r="4860">
      <c r="A4860" s="56" t="s">
        <v>14988</v>
      </c>
      <c r="B4860" s="55"/>
      <c r="C4860" s="31"/>
    </row>
    <row r="4861">
      <c r="A4861" s="56" t="s">
        <v>14989</v>
      </c>
      <c r="B4861" s="55"/>
      <c r="C4861" s="31"/>
    </row>
    <row r="4862">
      <c r="A4862" s="56" t="s">
        <v>14991</v>
      </c>
      <c r="B4862" s="55"/>
      <c r="C4862" s="31"/>
    </row>
    <row r="4863">
      <c r="A4863" s="56" t="s">
        <v>14993</v>
      </c>
      <c r="B4863" s="55"/>
      <c r="C4863" s="31"/>
    </row>
    <row r="4864">
      <c r="A4864" s="56" t="s">
        <v>14995</v>
      </c>
      <c r="B4864" s="55"/>
      <c r="C4864" s="31"/>
    </row>
    <row r="4865">
      <c r="A4865" s="56" t="s">
        <v>14996</v>
      </c>
      <c r="B4865" s="55"/>
      <c r="C4865" s="31"/>
    </row>
    <row r="4866">
      <c r="A4866" s="56" t="s">
        <v>14997</v>
      </c>
      <c r="B4866" s="55"/>
      <c r="C4866" s="31"/>
    </row>
    <row r="4867">
      <c r="A4867" s="56" t="s">
        <v>14998</v>
      </c>
      <c r="B4867" s="55"/>
      <c r="C4867" s="31"/>
    </row>
    <row r="4868">
      <c r="A4868" s="56" t="s">
        <v>14999</v>
      </c>
      <c r="B4868" s="55"/>
      <c r="C4868" s="31"/>
    </row>
    <row r="4869">
      <c r="A4869" s="56" t="s">
        <v>15000</v>
      </c>
      <c r="B4869" s="55"/>
      <c r="C4869" s="31"/>
    </row>
    <row r="4870">
      <c r="A4870" s="56" t="s">
        <v>15001</v>
      </c>
      <c r="B4870" s="55"/>
      <c r="C4870" s="31"/>
    </row>
    <row r="4871">
      <c r="A4871" s="56" t="s">
        <v>15002</v>
      </c>
      <c r="B4871" s="55"/>
      <c r="C4871" s="31"/>
    </row>
    <row r="4872">
      <c r="A4872" s="56" t="s">
        <v>15004</v>
      </c>
      <c r="B4872" s="55"/>
      <c r="C4872" s="31"/>
    </row>
    <row r="4873">
      <c r="A4873" s="56" t="s">
        <v>15005</v>
      </c>
      <c r="B4873" s="82"/>
      <c r="C4873" s="33" t="s">
        <v>15007</v>
      </c>
    </row>
    <row r="4874">
      <c r="A4874" s="56" t="s">
        <v>15009</v>
      </c>
      <c r="B4874" s="55"/>
      <c r="C4874" s="31"/>
    </row>
    <row r="4875">
      <c r="A4875" s="56" t="s">
        <v>15010</v>
      </c>
      <c r="B4875" s="55"/>
      <c r="C4875" s="31"/>
    </row>
    <row r="4876">
      <c r="A4876" s="56" t="s">
        <v>15011</v>
      </c>
      <c r="B4876" s="55"/>
      <c r="C4876" s="31"/>
    </row>
    <row r="4877">
      <c r="A4877" s="56" t="s">
        <v>15013</v>
      </c>
      <c r="B4877" s="55"/>
      <c r="C4877" s="31"/>
    </row>
    <row r="4878">
      <c r="A4878" s="56" t="s">
        <v>15014</v>
      </c>
      <c r="B4878" s="55"/>
      <c r="C4878" s="31"/>
    </row>
    <row r="4879">
      <c r="A4879" s="56" t="s">
        <v>15015</v>
      </c>
      <c r="B4879" s="55"/>
      <c r="C4879" s="31"/>
    </row>
    <row r="4880">
      <c r="A4880" s="56" t="s">
        <v>15016</v>
      </c>
      <c r="B4880" s="55"/>
      <c r="C4880" s="31"/>
    </row>
    <row r="4881">
      <c r="A4881" s="56" t="s">
        <v>15018</v>
      </c>
      <c r="B4881" s="55"/>
      <c r="C4881" s="31"/>
    </row>
    <row r="4882">
      <c r="A4882" s="56" t="s">
        <v>15020</v>
      </c>
      <c r="B4882" s="55"/>
      <c r="C4882" s="31"/>
    </row>
    <row r="4883">
      <c r="A4883" s="56" t="s">
        <v>15021</v>
      </c>
      <c r="B4883" s="55"/>
      <c r="C4883" s="31"/>
    </row>
    <row r="4884">
      <c r="A4884" s="56" t="s">
        <v>15023</v>
      </c>
      <c r="B4884" s="55"/>
      <c r="C4884" s="31"/>
    </row>
    <row r="4885">
      <c r="A4885" s="56" t="s">
        <v>15024</v>
      </c>
      <c r="B4885" s="55"/>
      <c r="C4885" s="31"/>
    </row>
    <row r="4886">
      <c r="A4886" s="56" t="s">
        <v>15025</v>
      </c>
      <c r="B4886" s="55"/>
      <c r="C4886" s="31"/>
    </row>
    <row r="4887">
      <c r="A4887" s="56" t="s">
        <v>15026</v>
      </c>
      <c r="B4887" s="55"/>
      <c r="C4887" s="31"/>
    </row>
    <row r="4888">
      <c r="A4888" s="56" t="s">
        <v>15028</v>
      </c>
      <c r="B4888" s="55"/>
      <c r="C4888" s="31"/>
    </row>
    <row r="4889">
      <c r="A4889" s="56" t="s">
        <v>15031</v>
      </c>
      <c r="B4889" s="55"/>
      <c r="C4889" s="31"/>
    </row>
    <row r="4890">
      <c r="A4890" s="56" t="s">
        <v>15032</v>
      </c>
      <c r="B4890" s="55"/>
      <c r="C4890" s="31"/>
    </row>
    <row r="4891">
      <c r="A4891" s="56" t="s">
        <v>15033</v>
      </c>
      <c r="B4891" s="55"/>
      <c r="C4891" s="31"/>
    </row>
    <row r="4892">
      <c r="A4892" s="56" t="s">
        <v>15034</v>
      </c>
      <c r="B4892" s="82"/>
      <c r="C4892" s="33" t="s">
        <v>15035</v>
      </c>
    </row>
    <row r="4893">
      <c r="A4893" s="56" t="s">
        <v>15036</v>
      </c>
      <c r="B4893" s="82"/>
      <c r="C4893" s="33" t="s">
        <v>11373</v>
      </c>
      <c r="E4893" s="46" t="s">
        <v>7616</v>
      </c>
    </row>
    <row r="4894">
      <c r="A4894" s="56" t="s">
        <v>15037</v>
      </c>
      <c r="B4894" s="82"/>
      <c r="C4894" s="33" t="s">
        <v>11373</v>
      </c>
      <c r="E4894" s="46" t="s">
        <v>7618</v>
      </c>
    </row>
    <row r="4895">
      <c r="A4895" s="56" t="s">
        <v>15039</v>
      </c>
      <c r="B4895" s="82"/>
      <c r="C4895" s="33" t="s">
        <v>11376</v>
      </c>
      <c r="E4895" s="46" t="s">
        <v>7616</v>
      </c>
    </row>
    <row r="4896">
      <c r="A4896" s="56" t="s">
        <v>15042</v>
      </c>
      <c r="B4896" s="82"/>
      <c r="C4896" s="33" t="s">
        <v>11376</v>
      </c>
      <c r="E4896" s="46" t="s">
        <v>7618</v>
      </c>
    </row>
    <row r="4897">
      <c r="A4897" s="56" t="s">
        <v>15043</v>
      </c>
      <c r="B4897" s="82"/>
      <c r="C4897" s="33" t="s">
        <v>11380</v>
      </c>
      <c r="E4897" s="46" t="s">
        <v>7616</v>
      </c>
    </row>
    <row r="4898">
      <c r="A4898" s="56" t="s">
        <v>15044</v>
      </c>
      <c r="B4898" s="82"/>
      <c r="C4898" s="33" t="s">
        <v>11380</v>
      </c>
      <c r="E4898" s="46" t="s">
        <v>7618</v>
      </c>
    </row>
    <row r="4899">
      <c r="A4899" s="56" t="s">
        <v>15045</v>
      </c>
      <c r="B4899" s="79"/>
      <c r="C4899" s="33" t="s">
        <v>11384</v>
      </c>
      <c r="E4899" s="46" t="s">
        <v>1348</v>
      </c>
    </row>
    <row r="4900">
      <c r="A4900" s="56" t="s">
        <v>15046</v>
      </c>
      <c r="B4900" s="79"/>
      <c r="C4900" s="33" t="s">
        <v>11384</v>
      </c>
      <c r="E4900" s="46" t="s">
        <v>1348</v>
      </c>
    </row>
    <row r="4901">
      <c r="A4901" s="56" t="s">
        <v>15047</v>
      </c>
      <c r="B4901" s="79"/>
      <c r="C4901" s="33" t="s">
        <v>11389</v>
      </c>
      <c r="E4901" s="46" t="s">
        <v>1348</v>
      </c>
    </row>
    <row r="4902">
      <c r="A4902" s="56" t="s">
        <v>15050</v>
      </c>
      <c r="B4902" s="21"/>
      <c r="C4902" s="33" t="s">
        <v>11391</v>
      </c>
      <c r="E4902" s="46" t="s">
        <v>7616</v>
      </c>
    </row>
    <row r="4903">
      <c r="A4903" s="56" t="s">
        <v>15052</v>
      </c>
      <c r="B4903" s="21"/>
      <c r="C4903" s="33" t="s">
        <v>11391</v>
      </c>
      <c r="E4903" s="46" t="s">
        <v>7618</v>
      </c>
    </row>
    <row r="4904">
      <c r="A4904" s="56" t="s">
        <v>15053</v>
      </c>
      <c r="B4904" s="21"/>
      <c r="C4904" s="33" t="s">
        <v>11394</v>
      </c>
      <c r="E4904" s="46" t="s">
        <v>7616</v>
      </c>
    </row>
    <row r="4905">
      <c r="A4905" s="56" t="s">
        <v>15054</v>
      </c>
      <c r="B4905" s="21"/>
      <c r="C4905" s="33" t="s">
        <v>11394</v>
      </c>
      <c r="E4905" s="46" t="s">
        <v>7618</v>
      </c>
    </row>
    <row r="4906">
      <c r="A4906" s="56" t="s">
        <v>15055</v>
      </c>
      <c r="B4906" s="21"/>
      <c r="C4906" s="33" t="s">
        <v>11398</v>
      </c>
      <c r="E4906" s="46" t="s">
        <v>7616</v>
      </c>
    </row>
    <row r="4907">
      <c r="A4907" s="56" t="s">
        <v>15056</v>
      </c>
      <c r="B4907" s="21"/>
      <c r="C4907" s="33" t="s">
        <v>11398</v>
      </c>
      <c r="E4907" s="46" t="s">
        <v>7618</v>
      </c>
    </row>
    <row r="4908">
      <c r="A4908" s="56" t="s">
        <v>15059</v>
      </c>
      <c r="B4908" s="21"/>
      <c r="C4908" s="33" t="s">
        <v>11391</v>
      </c>
      <c r="E4908" s="46" t="s">
        <v>7616</v>
      </c>
    </row>
    <row r="4909">
      <c r="A4909" s="56" t="s">
        <v>15061</v>
      </c>
      <c r="B4909" s="21"/>
      <c r="C4909" s="33" t="s">
        <v>11391</v>
      </c>
      <c r="E4909" s="46" t="s">
        <v>7618</v>
      </c>
    </row>
    <row r="4910">
      <c r="A4910" s="56" t="s">
        <v>15062</v>
      </c>
      <c r="B4910" s="21"/>
      <c r="C4910" s="33" t="s">
        <v>11394</v>
      </c>
      <c r="E4910" s="46" t="s">
        <v>7616</v>
      </c>
    </row>
    <row r="4911">
      <c r="A4911" s="56" t="s">
        <v>15063</v>
      </c>
      <c r="B4911" s="21"/>
      <c r="C4911" s="33" t="s">
        <v>11394</v>
      </c>
      <c r="E4911" s="46" t="s">
        <v>7618</v>
      </c>
    </row>
    <row r="4912">
      <c r="A4912" s="56" t="s">
        <v>15064</v>
      </c>
      <c r="B4912" s="21"/>
      <c r="C4912" s="33" t="s">
        <v>11398</v>
      </c>
      <c r="E4912" s="46" t="s">
        <v>7616</v>
      </c>
    </row>
    <row r="4913">
      <c r="A4913" s="56" t="s">
        <v>15065</v>
      </c>
      <c r="B4913" s="21"/>
      <c r="C4913" s="33" t="s">
        <v>11398</v>
      </c>
      <c r="E4913" s="46" t="s">
        <v>7618</v>
      </c>
    </row>
    <row r="4914">
      <c r="A4914" s="56" t="s">
        <v>15067</v>
      </c>
      <c r="B4914" s="21"/>
      <c r="C4914" s="33" t="s">
        <v>11411</v>
      </c>
      <c r="E4914" s="46" t="s">
        <v>7616</v>
      </c>
    </row>
    <row r="4915">
      <c r="A4915" s="56" t="s">
        <v>15070</v>
      </c>
      <c r="B4915" s="21"/>
      <c r="C4915" s="33" t="s">
        <v>11411</v>
      </c>
      <c r="E4915" s="46" t="s">
        <v>7618</v>
      </c>
    </row>
    <row r="4916">
      <c r="A4916" s="56" t="s">
        <v>15071</v>
      </c>
      <c r="B4916" s="21"/>
      <c r="C4916" s="33" t="s">
        <v>11416</v>
      </c>
      <c r="E4916" s="46" t="s">
        <v>7616</v>
      </c>
    </row>
    <row r="4917">
      <c r="A4917" s="56" t="s">
        <v>15072</v>
      </c>
      <c r="B4917" s="21"/>
      <c r="C4917" s="33" t="s">
        <v>11416</v>
      </c>
      <c r="E4917" s="46" t="s">
        <v>7618</v>
      </c>
    </row>
    <row r="4918">
      <c r="A4918" s="56" t="s">
        <v>15074</v>
      </c>
      <c r="B4918" s="21"/>
      <c r="C4918" s="33" t="s">
        <v>11419</v>
      </c>
      <c r="E4918" s="46" t="s">
        <v>7616</v>
      </c>
    </row>
    <row r="4919">
      <c r="A4919" s="56" t="s">
        <v>15075</v>
      </c>
      <c r="B4919" s="21"/>
      <c r="C4919" s="33" t="s">
        <v>11419</v>
      </c>
      <c r="E4919" s="46" t="s">
        <v>7618</v>
      </c>
    </row>
    <row r="4920">
      <c r="A4920" s="56" t="s">
        <v>15077</v>
      </c>
      <c r="B4920" s="21"/>
      <c r="C4920" s="33" t="s">
        <v>11411</v>
      </c>
      <c r="E4920" s="46" t="s">
        <v>7616</v>
      </c>
    </row>
    <row r="4921">
      <c r="A4921" s="56" t="s">
        <v>15079</v>
      </c>
      <c r="B4921" s="21"/>
      <c r="C4921" s="33" t="s">
        <v>11411</v>
      </c>
      <c r="E4921" s="46" t="s">
        <v>7618</v>
      </c>
    </row>
    <row r="4922">
      <c r="A4922" s="56" t="s">
        <v>15080</v>
      </c>
      <c r="B4922" s="21"/>
      <c r="C4922" s="33" t="s">
        <v>11416</v>
      </c>
      <c r="E4922" s="46" t="s">
        <v>7616</v>
      </c>
    </row>
    <row r="4923">
      <c r="A4923" s="56" t="s">
        <v>15081</v>
      </c>
      <c r="B4923" s="21"/>
      <c r="C4923" s="33" t="s">
        <v>11416</v>
      </c>
      <c r="E4923" s="46" t="s">
        <v>7618</v>
      </c>
    </row>
    <row r="4924">
      <c r="A4924" s="56" t="s">
        <v>15083</v>
      </c>
      <c r="B4924" s="21"/>
      <c r="C4924" s="33" t="s">
        <v>11419</v>
      </c>
      <c r="E4924" s="46" t="s">
        <v>7616</v>
      </c>
    </row>
    <row r="4925">
      <c r="A4925" s="56" t="s">
        <v>15084</v>
      </c>
      <c r="B4925" s="21"/>
      <c r="C4925" s="33" t="s">
        <v>11419</v>
      </c>
      <c r="E4925" s="46" t="s">
        <v>7618</v>
      </c>
    </row>
    <row r="4926">
      <c r="A4926" s="56" t="s">
        <v>15085</v>
      </c>
      <c r="B4926" s="55"/>
      <c r="C4926" s="31"/>
    </row>
    <row r="4927">
      <c r="A4927" s="56" t="s">
        <v>15086</v>
      </c>
      <c r="B4927" s="55"/>
      <c r="C4927" s="31"/>
    </row>
    <row r="4928">
      <c r="A4928" s="56" t="s">
        <v>15087</v>
      </c>
      <c r="B4928" s="55"/>
      <c r="C4928" s="31"/>
    </row>
    <row r="4929">
      <c r="A4929" s="56" t="s">
        <v>15089</v>
      </c>
      <c r="B4929" s="55"/>
      <c r="C4929" s="31"/>
    </row>
    <row r="4930">
      <c r="A4930" s="56" t="s">
        <v>15092</v>
      </c>
      <c r="B4930" s="55"/>
      <c r="C4930" s="31"/>
    </row>
    <row r="4931">
      <c r="A4931" s="56" t="s">
        <v>15093</v>
      </c>
      <c r="B4931" s="55"/>
      <c r="C4931" s="31"/>
    </row>
    <row r="4932">
      <c r="A4932" s="56" t="s">
        <v>15094</v>
      </c>
      <c r="B4932" s="55"/>
      <c r="C4932" s="31"/>
    </row>
    <row r="4933">
      <c r="A4933" s="56" t="s">
        <v>15095</v>
      </c>
      <c r="B4933" s="55"/>
      <c r="C4933" s="31"/>
    </row>
    <row r="4934">
      <c r="A4934" s="56" t="s">
        <v>15096</v>
      </c>
      <c r="B4934" s="55"/>
      <c r="C4934" s="31"/>
    </row>
    <row r="4935">
      <c r="A4935" s="56" t="s">
        <v>15097</v>
      </c>
      <c r="B4935" s="55"/>
      <c r="C4935" s="31"/>
    </row>
    <row r="4936">
      <c r="A4936" s="56" t="s">
        <v>15098</v>
      </c>
      <c r="B4936" s="55"/>
      <c r="C4936" s="31"/>
    </row>
    <row r="4937">
      <c r="A4937" s="56" t="s">
        <v>15099</v>
      </c>
      <c r="B4937" s="55"/>
      <c r="C4937" s="31"/>
    </row>
    <row r="4938">
      <c r="A4938" s="56" t="s">
        <v>15101</v>
      </c>
      <c r="B4938" s="55"/>
      <c r="C4938" s="31"/>
    </row>
    <row r="4939">
      <c r="A4939" s="56" t="s">
        <v>15102</v>
      </c>
      <c r="B4939" s="55"/>
      <c r="C4939" s="31"/>
    </row>
    <row r="4940">
      <c r="A4940" s="56" t="s">
        <v>15104</v>
      </c>
      <c r="B4940" s="55"/>
      <c r="C4940" s="31"/>
    </row>
    <row r="4941">
      <c r="A4941" s="56" t="s">
        <v>15106</v>
      </c>
      <c r="B4941" s="55"/>
      <c r="C4941" s="31"/>
    </row>
    <row r="4942">
      <c r="A4942" s="56" t="s">
        <v>15107</v>
      </c>
      <c r="B4942" s="55"/>
      <c r="C4942" s="31"/>
    </row>
    <row r="4943">
      <c r="A4943" s="56" t="s">
        <v>15108</v>
      </c>
      <c r="B4943" s="55"/>
      <c r="C4943" s="31"/>
    </row>
    <row r="4944">
      <c r="A4944" s="56" t="s">
        <v>15109</v>
      </c>
      <c r="B4944" s="82"/>
      <c r="C4944" s="33" t="s">
        <v>15110</v>
      </c>
    </row>
    <row r="4945">
      <c r="A4945" s="56" t="s">
        <v>15112</v>
      </c>
      <c r="B4945" s="82"/>
      <c r="C4945" s="33" t="s">
        <v>11373</v>
      </c>
      <c r="E4945" s="46" t="s">
        <v>7616</v>
      </c>
    </row>
    <row r="4946">
      <c r="A4946" s="56" t="s">
        <v>15113</v>
      </c>
      <c r="B4946" s="82"/>
      <c r="C4946" s="33" t="s">
        <v>11373</v>
      </c>
      <c r="E4946" s="46" t="s">
        <v>7618</v>
      </c>
    </row>
    <row r="4947">
      <c r="A4947" s="56" t="s">
        <v>15114</v>
      </c>
      <c r="B4947" s="82"/>
      <c r="C4947" s="33" t="s">
        <v>11376</v>
      </c>
      <c r="E4947" s="46" t="s">
        <v>7616</v>
      </c>
    </row>
    <row r="4948">
      <c r="A4948" s="56" t="s">
        <v>15115</v>
      </c>
      <c r="B4948" s="82"/>
      <c r="C4948" s="33" t="s">
        <v>11376</v>
      </c>
      <c r="E4948" s="46" t="s">
        <v>7618</v>
      </c>
    </row>
    <row r="4949">
      <c r="A4949" s="56" t="s">
        <v>15117</v>
      </c>
      <c r="B4949" s="82"/>
      <c r="C4949" s="33" t="s">
        <v>11380</v>
      </c>
      <c r="E4949" s="46" t="s">
        <v>7616</v>
      </c>
    </row>
    <row r="4950">
      <c r="A4950" s="56" t="s">
        <v>15120</v>
      </c>
      <c r="B4950" s="82"/>
      <c r="C4950" s="33" t="s">
        <v>11380</v>
      </c>
      <c r="E4950" s="46" t="s">
        <v>7618</v>
      </c>
    </row>
    <row r="4951">
      <c r="A4951" s="56" t="s">
        <v>15121</v>
      </c>
      <c r="B4951" s="79"/>
      <c r="C4951" s="33" t="s">
        <v>11384</v>
      </c>
      <c r="E4951" s="46" t="s">
        <v>1348</v>
      </c>
    </row>
    <row r="4952">
      <c r="A4952" s="56" t="s">
        <v>15122</v>
      </c>
      <c r="B4952" s="79"/>
      <c r="C4952" s="33" t="s">
        <v>11384</v>
      </c>
      <c r="E4952" s="46" t="s">
        <v>1348</v>
      </c>
    </row>
    <row r="4953">
      <c r="A4953" s="56" t="s">
        <v>15123</v>
      </c>
      <c r="B4953" s="79"/>
      <c r="C4953" s="33" t="s">
        <v>11389</v>
      </c>
      <c r="E4953" s="46" t="s">
        <v>1348</v>
      </c>
    </row>
    <row r="4954">
      <c r="A4954" s="56" t="s">
        <v>15124</v>
      </c>
      <c r="B4954" s="21"/>
      <c r="C4954" s="33" t="s">
        <v>11391</v>
      </c>
      <c r="E4954" s="46" t="s">
        <v>7616</v>
      </c>
    </row>
    <row r="4955">
      <c r="A4955" s="56" t="s">
        <v>15126</v>
      </c>
      <c r="B4955" s="21"/>
      <c r="C4955" s="33" t="s">
        <v>11391</v>
      </c>
      <c r="E4955" s="46" t="s">
        <v>7618</v>
      </c>
    </row>
    <row r="4956">
      <c r="A4956" s="56" t="s">
        <v>15127</v>
      </c>
      <c r="B4956" s="21"/>
      <c r="C4956" s="33" t="s">
        <v>11394</v>
      </c>
      <c r="E4956" s="46" t="s">
        <v>7616</v>
      </c>
    </row>
    <row r="4957">
      <c r="A4957" s="56" t="s">
        <v>15129</v>
      </c>
      <c r="B4957" s="21"/>
      <c r="C4957" s="33" t="s">
        <v>11394</v>
      </c>
      <c r="E4957" s="46" t="s">
        <v>7618</v>
      </c>
    </row>
    <row r="4958">
      <c r="A4958" s="56" t="s">
        <v>15131</v>
      </c>
      <c r="B4958" s="21"/>
      <c r="C4958" s="33" t="s">
        <v>11398</v>
      </c>
      <c r="E4958" s="46" t="s">
        <v>7616</v>
      </c>
    </row>
    <row r="4959">
      <c r="A4959" s="56" t="s">
        <v>15132</v>
      </c>
      <c r="B4959" s="21"/>
      <c r="C4959" s="33" t="s">
        <v>11398</v>
      </c>
      <c r="E4959" s="46" t="s">
        <v>7618</v>
      </c>
    </row>
    <row r="4960">
      <c r="A4960" s="56" t="s">
        <v>15133</v>
      </c>
      <c r="B4960" s="21"/>
      <c r="C4960" s="33" t="s">
        <v>11391</v>
      </c>
      <c r="E4960" s="46" t="s">
        <v>7616</v>
      </c>
    </row>
    <row r="4961">
      <c r="A4961" s="56" t="s">
        <v>15136</v>
      </c>
      <c r="B4961" s="21"/>
      <c r="C4961" s="33" t="s">
        <v>11391</v>
      </c>
      <c r="E4961" s="46" t="s">
        <v>7618</v>
      </c>
    </row>
    <row r="4962">
      <c r="A4962" s="56" t="s">
        <v>15137</v>
      </c>
      <c r="B4962" s="21"/>
      <c r="C4962" s="33" t="s">
        <v>11394</v>
      </c>
      <c r="E4962" s="46" t="s">
        <v>7616</v>
      </c>
    </row>
    <row r="4963">
      <c r="A4963" s="56" t="s">
        <v>15140</v>
      </c>
      <c r="B4963" s="21"/>
      <c r="C4963" s="33" t="s">
        <v>11394</v>
      </c>
      <c r="E4963" s="46" t="s">
        <v>7618</v>
      </c>
    </row>
    <row r="4964">
      <c r="A4964" s="56" t="s">
        <v>15142</v>
      </c>
      <c r="B4964" s="21"/>
      <c r="C4964" s="33" t="s">
        <v>11398</v>
      </c>
      <c r="E4964" s="46" t="s">
        <v>7616</v>
      </c>
    </row>
    <row r="4965">
      <c r="A4965" s="56" t="s">
        <v>15143</v>
      </c>
      <c r="B4965" s="21"/>
      <c r="C4965" s="33" t="s">
        <v>11398</v>
      </c>
      <c r="E4965" s="46" t="s">
        <v>7618</v>
      </c>
    </row>
    <row r="4966">
      <c r="A4966" s="56" t="s">
        <v>15146</v>
      </c>
      <c r="B4966" s="21"/>
      <c r="C4966" s="33" t="s">
        <v>11411</v>
      </c>
      <c r="E4966" s="46" t="s">
        <v>7616</v>
      </c>
    </row>
    <row r="4967">
      <c r="A4967" s="56" t="s">
        <v>15149</v>
      </c>
      <c r="B4967" s="21"/>
      <c r="C4967" s="33" t="s">
        <v>11411</v>
      </c>
      <c r="E4967" s="46" t="s">
        <v>7618</v>
      </c>
    </row>
    <row r="4968">
      <c r="A4968" s="56" t="s">
        <v>15151</v>
      </c>
      <c r="B4968" s="21"/>
      <c r="C4968" s="33" t="s">
        <v>11416</v>
      </c>
      <c r="E4968" s="46" t="s">
        <v>7616</v>
      </c>
    </row>
    <row r="4969">
      <c r="A4969" s="56" t="s">
        <v>15153</v>
      </c>
      <c r="B4969" s="21"/>
      <c r="C4969" s="33" t="s">
        <v>11416</v>
      </c>
      <c r="E4969" s="46" t="s">
        <v>7618</v>
      </c>
    </row>
    <row r="4970">
      <c r="A4970" s="56" t="s">
        <v>15154</v>
      </c>
      <c r="B4970" s="21"/>
      <c r="C4970" s="33" t="s">
        <v>11419</v>
      </c>
      <c r="E4970" s="46" t="s">
        <v>7616</v>
      </c>
    </row>
    <row r="4971">
      <c r="A4971" s="56" t="s">
        <v>15156</v>
      </c>
      <c r="B4971" s="21"/>
      <c r="C4971" s="33" t="s">
        <v>11419</v>
      </c>
      <c r="E4971" s="46" t="s">
        <v>7618</v>
      </c>
    </row>
    <row r="4972">
      <c r="A4972" s="56" t="s">
        <v>15158</v>
      </c>
      <c r="B4972" s="21"/>
      <c r="C4972" s="33" t="s">
        <v>11411</v>
      </c>
      <c r="E4972" s="46" t="s">
        <v>7616</v>
      </c>
    </row>
    <row r="4973">
      <c r="A4973" s="56" t="s">
        <v>15160</v>
      </c>
      <c r="B4973" s="21"/>
      <c r="C4973" s="33" t="s">
        <v>11411</v>
      </c>
      <c r="E4973" s="46" t="s">
        <v>7618</v>
      </c>
    </row>
    <row r="4974">
      <c r="A4974" s="56" t="s">
        <v>15161</v>
      </c>
      <c r="B4974" s="21"/>
      <c r="C4974" s="33" t="s">
        <v>11416</v>
      </c>
      <c r="E4974" s="46" t="s">
        <v>7616</v>
      </c>
    </row>
    <row r="4975">
      <c r="A4975" s="56" t="s">
        <v>15162</v>
      </c>
      <c r="B4975" s="21"/>
      <c r="C4975" s="33" t="s">
        <v>11416</v>
      </c>
      <c r="E4975" s="46" t="s">
        <v>7618</v>
      </c>
    </row>
    <row r="4976">
      <c r="A4976" s="56" t="s">
        <v>15163</v>
      </c>
      <c r="B4976" s="21"/>
      <c r="C4976" s="33" t="s">
        <v>11419</v>
      </c>
      <c r="E4976" s="46" t="s">
        <v>7616</v>
      </c>
    </row>
    <row r="4977">
      <c r="A4977" s="56" t="s">
        <v>15164</v>
      </c>
      <c r="B4977" s="21"/>
      <c r="C4977" s="33" t="s">
        <v>11419</v>
      </c>
      <c r="E4977" s="46" t="s">
        <v>7618</v>
      </c>
    </row>
    <row r="4978">
      <c r="A4978" s="56" t="s">
        <v>15166</v>
      </c>
      <c r="B4978" s="55"/>
      <c r="C4978" s="31"/>
    </row>
    <row r="4979">
      <c r="A4979" s="56" t="s">
        <v>15168</v>
      </c>
      <c r="B4979" s="55"/>
      <c r="C4979" s="31"/>
    </row>
    <row r="4980">
      <c r="A4980" s="56" t="s">
        <v>15169</v>
      </c>
      <c r="B4980" s="82"/>
      <c r="C4980" s="33" t="s">
        <v>15170</v>
      </c>
    </row>
    <row r="4981">
      <c r="A4981" s="56" t="s">
        <v>15172</v>
      </c>
      <c r="B4981" s="82"/>
      <c r="C4981" s="33" t="s">
        <v>11373</v>
      </c>
      <c r="E4981" s="46" t="s">
        <v>7616</v>
      </c>
    </row>
    <row r="4982">
      <c r="A4982" s="56" t="s">
        <v>15173</v>
      </c>
      <c r="B4982" s="82"/>
      <c r="C4982" s="33" t="s">
        <v>11373</v>
      </c>
      <c r="E4982" s="46" t="s">
        <v>7618</v>
      </c>
    </row>
    <row r="4983">
      <c r="A4983" s="56" t="s">
        <v>15174</v>
      </c>
      <c r="B4983" s="82"/>
      <c r="C4983" s="33" t="s">
        <v>11376</v>
      </c>
      <c r="E4983" s="46" t="s">
        <v>7616</v>
      </c>
    </row>
    <row r="4984">
      <c r="A4984" s="56" t="s">
        <v>15175</v>
      </c>
      <c r="B4984" s="82"/>
      <c r="C4984" s="33" t="s">
        <v>11376</v>
      </c>
      <c r="E4984" s="46" t="s">
        <v>7618</v>
      </c>
    </row>
    <row r="4985">
      <c r="A4985" s="56" t="s">
        <v>15176</v>
      </c>
      <c r="B4985" s="82"/>
      <c r="C4985" s="33" t="s">
        <v>11380</v>
      </c>
      <c r="E4985" s="46" t="s">
        <v>7616</v>
      </c>
    </row>
    <row r="4986">
      <c r="A4986" s="56" t="s">
        <v>15177</v>
      </c>
      <c r="B4986" s="82"/>
      <c r="C4986" s="33" t="s">
        <v>11380</v>
      </c>
      <c r="E4986" s="46" t="s">
        <v>7618</v>
      </c>
    </row>
    <row r="4987">
      <c r="A4987" s="56" t="s">
        <v>15178</v>
      </c>
      <c r="B4987" s="79"/>
      <c r="C4987" s="33" t="s">
        <v>11384</v>
      </c>
      <c r="E4987" s="46" t="s">
        <v>1348</v>
      </c>
    </row>
    <row r="4988">
      <c r="A4988" s="56" t="s">
        <v>15181</v>
      </c>
      <c r="B4988" s="79"/>
      <c r="C4988" s="33" t="s">
        <v>11384</v>
      </c>
      <c r="E4988" s="46" t="s">
        <v>1348</v>
      </c>
    </row>
    <row r="4989">
      <c r="A4989" s="56" t="s">
        <v>15182</v>
      </c>
      <c r="B4989" s="79"/>
      <c r="C4989" s="33" t="s">
        <v>11389</v>
      </c>
      <c r="E4989" s="46" t="s">
        <v>1348</v>
      </c>
    </row>
    <row r="4990">
      <c r="A4990" s="56" t="s">
        <v>15183</v>
      </c>
      <c r="B4990" s="21"/>
      <c r="C4990" s="33" t="s">
        <v>11391</v>
      </c>
      <c r="E4990" s="46" t="s">
        <v>7616</v>
      </c>
    </row>
    <row r="4991">
      <c r="A4991" s="56" t="s">
        <v>15185</v>
      </c>
      <c r="B4991" s="21"/>
      <c r="C4991" s="33" t="s">
        <v>11391</v>
      </c>
      <c r="E4991" s="46" t="s">
        <v>7618</v>
      </c>
    </row>
    <row r="4992">
      <c r="A4992" s="56" t="s">
        <v>15186</v>
      </c>
      <c r="B4992" s="21"/>
      <c r="C4992" s="33" t="s">
        <v>11394</v>
      </c>
      <c r="E4992" s="46" t="s">
        <v>7616</v>
      </c>
    </row>
    <row r="4993">
      <c r="A4993" s="56" t="s">
        <v>15187</v>
      </c>
      <c r="B4993" s="21"/>
      <c r="C4993" s="33" t="s">
        <v>11394</v>
      </c>
      <c r="E4993" s="46" t="s">
        <v>7618</v>
      </c>
    </row>
    <row r="4994">
      <c r="A4994" s="56" t="s">
        <v>15188</v>
      </c>
      <c r="B4994" s="21"/>
      <c r="C4994" s="33" t="s">
        <v>11398</v>
      </c>
      <c r="E4994" s="46" t="s">
        <v>7616</v>
      </c>
    </row>
    <row r="4995">
      <c r="A4995" s="56" t="s">
        <v>15189</v>
      </c>
      <c r="B4995" s="21"/>
      <c r="C4995" s="33" t="s">
        <v>11398</v>
      </c>
      <c r="E4995" s="46" t="s">
        <v>7618</v>
      </c>
    </row>
    <row r="4996">
      <c r="A4996" s="56" t="s">
        <v>15191</v>
      </c>
      <c r="B4996" s="21"/>
      <c r="C4996" s="33" t="s">
        <v>11391</v>
      </c>
      <c r="E4996" s="46" t="s">
        <v>7616</v>
      </c>
    </row>
    <row r="4997">
      <c r="A4997" s="56" t="s">
        <v>15194</v>
      </c>
      <c r="B4997" s="21"/>
      <c r="C4997" s="33" t="s">
        <v>11391</v>
      </c>
      <c r="E4997" s="46" t="s">
        <v>7618</v>
      </c>
    </row>
    <row r="4998">
      <c r="A4998" s="56" t="s">
        <v>15195</v>
      </c>
      <c r="B4998" s="21"/>
      <c r="C4998" s="33" t="s">
        <v>11394</v>
      </c>
      <c r="E4998" s="46" t="s">
        <v>7616</v>
      </c>
    </row>
    <row r="4999">
      <c r="A4999" s="56" t="s">
        <v>15196</v>
      </c>
      <c r="B4999" s="21"/>
      <c r="C4999" s="33" t="s">
        <v>11394</v>
      </c>
      <c r="E4999" s="46" t="s">
        <v>7618</v>
      </c>
    </row>
    <row r="5000">
      <c r="A5000" s="56" t="s">
        <v>15197</v>
      </c>
      <c r="B5000" s="21"/>
      <c r="C5000" s="33" t="s">
        <v>11398</v>
      </c>
      <c r="E5000" s="46" t="s">
        <v>7616</v>
      </c>
    </row>
    <row r="5001">
      <c r="A5001" s="56" t="s">
        <v>15198</v>
      </c>
      <c r="B5001" s="21"/>
      <c r="C5001" s="33" t="s">
        <v>11398</v>
      </c>
      <c r="E5001" s="46" t="s">
        <v>7618</v>
      </c>
    </row>
    <row r="5002">
      <c r="A5002" s="56" t="s">
        <v>15199</v>
      </c>
      <c r="B5002" s="21"/>
      <c r="C5002" s="33" t="s">
        <v>11411</v>
      </c>
      <c r="E5002" s="46" t="s">
        <v>7616</v>
      </c>
    </row>
    <row r="5003">
      <c r="A5003" s="56" t="s">
        <v>15201</v>
      </c>
      <c r="B5003" s="21"/>
      <c r="C5003" s="33" t="s">
        <v>11411</v>
      </c>
      <c r="E5003" s="46" t="s">
        <v>7618</v>
      </c>
    </row>
    <row r="5004">
      <c r="A5004" s="56" t="s">
        <v>15202</v>
      </c>
      <c r="B5004" s="21"/>
      <c r="C5004" s="33" t="s">
        <v>11416</v>
      </c>
      <c r="E5004" s="46" t="s">
        <v>7616</v>
      </c>
    </row>
    <row r="5005">
      <c r="A5005" s="56" t="s">
        <v>15205</v>
      </c>
      <c r="B5005" s="21"/>
      <c r="C5005" s="33" t="s">
        <v>11416</v>
      </c>
      <c r="E5005" s="46" t="s">
        <v>7618</v>
      </c>
    </row>
    <row r="5006">
      <c r="A5006" s="56" t="s">
        <v>15206</v>
      </c>
      <c r="B5006" s="21"/>
      <c r="C5006" s="33" t="s">
        <v>11419</v>
      </c>
      <c r="E5006" s="46" t="s">
        <v>7616</v>
      </c>
    </row>
    <row r="5007">
      <c r="A5007" s="56" t="s">
        <v>15207</v>
      </c>
      <c r="B5007" s="21"/>
      <c r="C5007" s="33" t="s">
        <v>11419</v>
      </c>
      <c r="E5007" s="46" t="s">
        <v>7618</v>
      </c>
    </row>
    <row r="5008">
      <c r="A5008" s="56" t="s">
        <v>15208</v>
      </c>
      <c r="B5008" s="21"/>
      <c r="C5008" s="33" t="s">
        <v>11411</v>
      </c>
      <c r="E5008" s="46" t="s">
        <v>7616</v>
      </c>
    </row>
    <row r="5009">
      <c r="A5009" s="56" t="s">
        <v>15210</v>
      </c>
      <c r="B5009" s="21"/>
      <c r="C5009" s="33" t="s">
        <v>11411</v>
      </c>
      <c r="E5009" s="46" t="s">
        <v>7618</v>
      </c>
    </row>
    <row r="5010">
      <c r="A5010" s="56" t="s">
        <v>15211</v>
      </c>
      <c r="B5010" s="21"/>
      <c r="C5010" s="33" t="s">
        <v>11416</v>
      </c>
      <c r="E5010" s="46" t="s">
        <v>7616</v>
      </c>
    </row>
    <row r="5011">
      <c r="A5011" s="56" t="s">
        <v>15212</v>
      </c>
      <c r="B5011" s="21"/>
      <c r="C5011" s="33" t="s">
        <v>11416</v>
      </c>
      <c r="E5011" s="46" t="s">
        <v>7618</v>
      </c>
    </row>
    <row r="5012">
      <c r="A5012" s="56" t="s">
        <v>15213</v>
      </c>
      <c r="B5012" s="21"/>
      <c r="C5012" s="33" t="s">
        <v>11419</v>
      </c>
      <c r="E5012" s="46" t="s">
        <v>7616</v>
      </c>
    </row>
    <row r="5013">
      <c r="A5013" s="56" t="s">
        <v>15215</v>
      </c>
      <c r="B5013" s="21"/>
      <c r="C5013" s="33" t="s">
        <v>11419</v>
      </c>
      <c r="E5013" s="46" t="s">
        <v>7618</v>
      </c>
    </row>
    <row r="5014">
      <c r="A5014" s="56" t="s">
        <v>15218</v>
      </c>
      <c r="B5014" s="82"/>
      <c r="C5014" s="33" t="s">
        <v>15219</v>
      </c>
    </row>
    <row r="5015">
      <c r="A5015" s="56" t="s">
        <v>15220</v>
      </c>
      <c r="B5015" s="55"/>
      <c r="C5015" s="31"/>
    </row>
    <row r="5016">
      <c r="A5016" s="56" t="s">
        <v>15221</v>
      </c>
      <c r="B5016" s="55"/>
      <c r="C5016" s="31"/>
    </row>
    <row r="5017">
      <c r="A5017" s="56" t="s">
        <v>15222</v>
      </c>
      <c r="B5017" s="55"/>
      <c r="C5017" s="31"/>
    </row>
    <row r="5018">
      <c r="A5018" s="56" t="s">
        <v>15223</v>
      </c>
      <c r="B5018" s="55"/>
      <c r="C5018" s="31"/>
    </row>
    <row r="5019">
      <c r="A5019" s="56" t="s">
        <v>15224</v>
      </c>
      <c r="B5019" s="55"/>
      <c r="C5019" s="31"/>
    </row>
    <row r="5020">
      <c r="A5020" s="56" t="s">
        <v>15225</v>
      </c>
      <c r="B5020" s="55"/>
      <c r="C5020" s="31"/>
    </row>
    <row r="5021">
      <c r="A5021" s="56" t="s">
        <v>15226</v>
      </c>
      <c r="B5021" s="55"/>
      <c r="C5021" s="31"/>
    </row>
    <row r="5022">
      <c r="A5022" s="56" t="s">
        <v>15228</v>
      </c>
      <c r="B5022" s="55"/>
      <c r="C5022" s="31"/>
    </row>
    <row r="5023">
      <c r="A5023" s="56" t="s">
        <v>15229</v>
      </c>
      <c r="B5023" s="55"/>
      <c r="C5023" s="31"/>
    </row>
    <row r="5024">
      <c r="A5024" s="56" t="s">
        <v>15230</v>
      </c>
      <c r="B5024" s="55"/>
      <c r="C5024" s="31"/>
    </row>
    <row r="5025">
      <c r="A5025" s="56" t="s">
        <v>15231</v>
      </c>
      <c r="B5025" s="55"/>
      <c r="C5025" s="31"/>
    </row>
    <row r="5026">
      <c r="A5026" s="56" t="s">
        <v>15232</v>
      </c>
      <c r="B5026" s="55"/>
      <c r="C5026" s="31"/>
    </row>
    <row r="5027">
      <c r="A5027" s="56" t="s">
        <v>15233</v>
      </c>
      <c r="B5027" s="55"/>
      <c r="C5027" s="31"/>
    </row>
    <row r="5028">
      <c r="A5028" s="56" t="s">
        <v>15234</v>
      </c>
      <c r="B5028" s="55"/>
      <c r="C5028" s="31"/>
    </row>
    <row r="5029">
      <c r="A5029" s="56" t="s">
        <v>15235</v>
      </c>
      <c r="B5029" s="55"/>
      <c r="C5029" s="31"/>
    </row>
    <row r="5030">
      <c r="A5030" s="56" t="s">
        <v>15236</v>
      </c>
      <c r="B5030" s="55"/>
      <c r="C5030" s="31"/>
    </row>
    <row r="5031">
      <c r="A5031" s="56" t="s">
        <v>15237</v>
      </c>
      <c r="B5031" s="55"/>
      <c r="C5031" s="31"/>
    </row>
    <row r="5032">
      <c r="A5032" s="56" t="s">
        <v>15238</v>
      </c>
      <c r="B5032" s="55"/>
      <c r="C5032" s="31"/>
    </row>
    <row r="5033">
      <c r="A5033" s="56" t="s">
        <v>15239</v>
      </c>
      <c r="B5033" s="55"/>
      <c r="C5033" s="31"/>
    </row>
    <row r="5034">
      <c r="A5034" s="56" t="s">
        <v>15240</v>
      </c>
      <c r="B5034" s="55"/>
      <c r="C5034" s="31"/>
    </row>
    <row r="5035">
      <c r="A5035" s="56" t="s">
        <v>15241</v>
      </c>
      <c r="B5035" s="55"/>
      <c r="C5035" s="31"/>
    </row>
    <row r="5036">
      <c r="A5036" s="56" t="s">
        <v>15243</v>
      </c>
      <c r="B5036" s="55"/>
      <c r="C5036" s="31"/>
    </row>
    <row r="5037">
      <c r="A5037" s="56" t="s">
        <v>15244</v>
      </c>
      <c r="B5037" s="55"/>
      <c r="C5037" s="31"/>
    </row>
    <row r="5038">
      <c r="A5038" s="56" t="s">
        <v>15245</v>
      </c>
      <c r="B5038" s="55"/>
      <c r="C5038" s="31"/>
    </row>
    <row r="5039">
      <c r="A5039" s="56" t="s">
        <v>15246</v>
      </c>
      <c r="B5039" s="55"/>
      <c r="C5039" s="31"/>
    </row>
    <row r="5040">
      <c r="A5040" s="56" t="s">
        <v>15247</v>
      </c>
      <c r="B5040" s="55"/>
      <c r="C5040" s="31"/>
    </row>
    <row r="5041">
      <c r="A5041" s="56" t="s">
        <v>15249</v>
      </c>
      <c r="B5041" s="55"/>
      <c r="C5041" s="31"/>
    </row>
    <row r="5042">
      <c r="A5042" s="56" t="s">
        <v>15250</v>
      </c>
      <c r="B5042" s="55"/>
      <c r="C5042" s="31"/>
    </row>
    <row r="5043">
      <c r="A5043" s="56" t="s">
        <v>15252</v>
      </c>
      <c r="B5043" s="55"/>
      <c r="C5043" s="31"/>
    </row>
    <row r="5044">
      <c r="A5044" s="56" t="s">
        <v>15253</v>
      </c>
      <c r="B5044" s="55"/>
      <c r="C5044" s="31"/>
    </row>
    <row r="5045">
      <c r="A5045" s="56" t="s">
        <v>15254</v>
      </c>
      <c r="B5045" s="55"/>
      <c r="C5045" s="31"/>
    </row>
    <row r="5046">
      <c r="A5046" s="56" t="s">
        <v>15255</v>
      </c>
      <c r="B5046" s="55"/>
      <c r="C5046" s="31"/>
    </row>
    <row r="5047">
      <c r="A5047" s="56" t="s">
        <v>15256</v>
      </c>
      <c r="B5047" s="55"/>
      <c r="C5047" s="31"/>
    </row>
    <row r="5048">
      <c r="A5048" s="56" t="s">
        <v>15257</v>
      </c>
      <c r="B5048" s="55"/>
      <c r="C5048" s="31"/>
    </row>
    <row r="5049">
      <c r="A5049" s="56" t="s">
        <v>15258</v>
      </c>
      <c r="B5049" s="55"/>
      <c r="C5049" s="31"/>
    </row>
    <row r="5050">
      <c r="A5050" s="56" t="s">
        <v>15260</v>
      </c>
      <c r="B5050" s="55"/>
      <c r="C5050" s="31"/>
    </row>
    <row r="5051">
      <c r="A5051" s="56" t="s">
        <v>15261</v>
      </c>
      <c r="B5051" s="55"/>
      <c r="C5051" s="31"/>
    </row>
    <row r="5052">
      <c r="A5052" s="56" t="s">
        <v>15262</v>
      </c>
      <c r="B5052" s="55"/>
      <c r="C5052" s="31"/>
    </row>
    <row r="5053">
      <c r="A5053" s="56" t="s">
        <v>15263</v>
      </c>
      <c r="B5053" s="55"/>
      <c r="C5053" s="31"/>
    </row>
    <row r="5054">
      <c r="A5054" s="56" t="s">
        <v>15264</v>
      </c>
      <c r="B5054" s="55"/>
      <c r="C5054" s="31"/>
    </row>
    <row r="5055">
      <c r="A5055" s="56" t="s">
        <v>15265</v>
      </c>
      <c r="B5055" s="55"/>
      <c r="C5055" s="31"/>
    </row>
    <row r="5056">
      <c r="A5056" s="56" t="s">
        <v>15266</v>
      </c>
      <c r="B5056" s="55"/>
      <c r="C5056" s="31"/>
    </row>
    <row r="5057">
      <c r="A5057" s="56" t="s">
        <v>15267</v>
      </c>
      <c r="B5057" s="55"/>
      <c r="C5057" s="31"/>
    </row>
    <row r="5058">
      <c r="A5058" s="56" t="s">
        <v>15268</v>
      </c>
      <c r="B5058" s="55"/>
      <c r="C5058" s="31"/>
    </row>
    <row r="5059">
      <c r="A5059" s="56" t="s">
        <v>15269</v>
      </c>
      <c r="B5059" s="55"/>
      <c r="C5059" s="31"/>
    </row>
    <row r="5060">
      <c r="A5060" s="56" t="s">
        <v>15270</v>
      </c>
      <c r="B5060" s="55"/>
      <c r="C5060" s="31"/>
    </row>
    <row r="5061">
      <c r="A5061" s="56" t="s">
        <v>15271</v>
      </c>
      <c r="B5061" s="82"/>
      <c r="C5061" s="33" t="s">
        <v>15273</v>
      </c>
    </row>
    <row r="5062">
      <c r="A5062" s="56" t="s">
        <v>15274</v>
      </c>
      <c r="B5062" s="82"/>
      <c r="C5062" s="33" t="s">
        <v>11373</v>
      </c>
      <c r="E5062" s="46" t="s">
        <v>7616</v>
      </c>
    </row>
    <row r="5063">
      <c r="A5063" s="56" t="s">
        <v>15275</v>
      </c>
      <c r="B5063" s="82"/>
      <c r="C5063" s="33" t="s">
        <v>11373</v>
      </c>
      <c r="E5063" s="46" t="s">
        <v>7618</v>
      </c>
    </row>
    <row r="5064">
      <c r="A5064" s="56" t="s">
        <v>15276</v>
      </c>
      <c r="B5064" s="82"/>
      <c r="C5064" s="33" t="s">
        <v>11376</v>
      </c>
      <c r="E5064" s="46" t="s">
        <v>7616</v>
      </c>
    </row>
    <row r="5065">
      <c r="A5065" s="56" t="s">
        <v>15277</v>
      </c>
      <c r="B5065" s="82"/>
      <c r="C5065" s="33" t="s">
        <v>11376</v>
      </c>
      <c r="E5065" s="46" t="s">
        <v>7618</v>
      </c>
    </row>
    <row r="5066">
      <c r="A5066" s="56" t="s">
        <v>15280</v>
      </c>
      <c r="B5066" s="82"/>
      <c r="C5066" s="33" t="s">
        <v>11380</v>
      </c>
      <c r="E5066" s="46" t="s">
        <v>7616</v>
      </c>
    </row>
    <row r="5067">
      <c r="A5067" s="56" t="s">
        <v>15282</v>
      </c>
      <c r="B5067" s="82"/>
      <c r="C5067" s="33" t="s">
        <v>11380</v>
      </c>
      <c r="E5067" s="46" t="s">
        <v>7618</v>
      </c>
    </row>
    <row r="5068">
      <c r="A5068" s="56" t="s">
        <v>15283</v>
      </c>
      <c r="B5068" s="79"/>
      <c r="C5068" s="33" t="s">
        <v>11384</v>
      </c>
      <c r="E5068" s="46" t="s">
        <v>1348</v>
      </c>
    </row>
    <row r="5069">
      <c r="A5069" s="56" t="s">
        <v>15284</v>
      </c>
      <c r="B5069" s="79"/>
      <c r="C5069" s="33" t="s">
        <v>11384</v>
      </c>
      <c r="E5069" s="46" t="s">
        <v>1348</v>
      </c>
    </row>
    <row r="5070">
      <c r="A5070" s="56" t="s">
        <v>15285</v>
      </c>
      <c r="B5070" s="79"/>
      <c r="C5070" s="33" t="s">
        <v>11389</v>
      </c>
      <c r="E5070" s="46" t="s">
        <v>1348</v>
      </c>
    </row>
    <row r="5071">
      <c r="A5071" s="56" t="s">
        <v>15286</v>
      </c>
      <c r="B5071" s="21"/>
      <c r="C5071" s="33" t="s">
        <v>11391</v>
      </c>
      <c r="E5071" s="46" t="s">
        <v>7616</v>
      </c>
    </row>
    <row r="5072">
      <c r="A5072" s="56" t="s">
        <v>15287</v>
      </c>
      <c r="B5072" s="21"/>
      <c r="C5072" s="33" t="s">
        <v>11391</v>
      </c>
      <c r="E5072" s="46" t="s">
        <v>7618</v>
      </c>
    </row>
    <row r="5073">
      <c r="A5073" s="56" t="s">
        <v>15289</v>
      </c>
      <c r="B5073" s="21"/>
      <c r="C5073" s="33" t="s">
        <v>11394</v>
      </c>
      <c r="E5073" s="46" t="s">
        <v>7616</v>
      </c>
    </row>
    <row r="5074">
      <c r="A5074" s="56" t="s">
        <v>15290</v>
      </c>
      <c r="B5074" s="21"/>
      <c r="C5074" s="33" t="s">
        <v>11394</v>
      </c>
      <c r="E5074" s="46" t="s">
        <v>7618</v>
      </c>
    </row>
    <row r="5075">
      <c r="A5075" s="56" t="s">
        <v>15291</v>
      </c>
      <c r="B5075" s="21"/>
      <c r="C5075" s="33" t="s">
        <v>11398</v>
      </c>
      <c r="E5075" s="46" t="s">
        <v>7616</v>
      </c>
    </row>
    <row r="5076">
      <c r="A5076" s="56" t="s">
        <v>15293</v>
      </c>
      <c r="B5076" s="21"/>
      <c r="C5076" s="33" t="s">
        <v>11398</v>
      </c>
      <c r="E5076" s="46" t="s">
        <v>7618</v>
      </c>
    </row>
    <row r="5077">
      <c r="A5077" s="56" t="s">
        <v>15295</v>
      </c>
      <c r="B5077" s="21"/>
      <c r="C5077" s="33" t="s">
        <v>11391</v>
      </c>
      <c r="E5077" s="46" t="s">
        <v>7616</v>
      </c>
    </row>
    <row r="5078">
      <c r="A5078" s="56" t="s">
        <v>15296</v>
      </c>
      <c r="B5078" s="21"/>
      <c r="C5078" s="33" t="s">
        <v>11391</v>
      </c>
      <c r="E5078" s="46" t="s">
        <v>7618</v>
      </c>
    </row>
    <row r="5079">
      <c r="A5079" s="56" t="s">
        <v>15297</v>
      </c>
      <c r="B5079" s="21"/>
      <c r="C5079" s="33" t="s">
        <v>11394</v>
      </c>
      <c r="E5079" s="46" t="s">
        <v>7616</v>
      </c>
    </row>
    <row r="5080">
      <c r="A5080" s="56" t="s">
        <v>15299</v>
      </c>
      <c r="B5080" s="21"/>
      <c r="C5080" s="33" t="s">
        <v>11394</v>
      </c>
      <c r="E5080" s="46" t="s">
        <v>7618</v>
      </c>
    </row>
    <row r="5081">
      <c r="A5081" s="56" t="s">
        <v>15301</v>
      </c>
      <c r="B5081" s="21"/>
      <c r="C5081" s="33" t="s">
        <v>11398</v>
      </c>
      <c r="E5081" s="46" t="s">
        <v>7616</v>
      </c>
    </row>
    <row r="5082">
      <c r="A5082" s="56" t="s">
        <v>15302</v>
      </c>
      <c r="B5082" s="21"/>
      <c r="C5082" s="33" t="s">
        <v>11398</v>
      </c>
      <c r="E5082" s="46" t="s">
        <v>7618</v>
      </c>
    </row>
    <row r="5083">
      <c r="A5083" s="56" t="s">
        <v>15303</v>
      </c>
      <c r="B5083" s="21"/>
      <c r="C5083" s="33" t="s">
        <v>11411</v>
      </c>
      <c r="E5083" s="46" t="s">
        <v>7616</v>
      </c>
    </row>
    <row r="5084">
      <c r="A5084" s="56" t="s">
        <v>15304</v>
      </c>
      <c r="B5084" s="21"/>
      <c r="C5084" s="33" t="s">
        <v>11411</v>
      </c>
      <c r="E5084" s="46" t="s">
        <v>7618</v>
      </c>
    </row>
    <row r="5085">
      <c r="A5085" s="56" t="s">
        <v>15306</v>
      </c>
      <c r="B5085" s="21"/>
      <c r="C5085" s="33" t="s">
        <v>11416</v>
      </c>
      <c r="E5085" s="46" t="s">
        <v>7616</v>
      </c>
    </row>
    <row r="5086">
      <c r="A5086" s="56" t="s">
        <v>15308</v>
      </c>
      <c r="B5086" s="21"/>
      <c r="C5086" s="33" t="s">
        <v>11416</v>
      </c>
      <c r="E5086" s="46" t="s">
        <v>7618</v>
      </c>
    </row>
    <row r="5087">
      <c r="A5087" s="56" t="s">
        <v>15310</v>
      </c>
      <c r="B5087" s="21"/>
      <c r="C5087" s="33" t="s">
        <v>11419</v>
      </c>
      <c r="E5087" s="46" t="s">
        <v>7616</v>
      </c>
    </row>
    <row r="5088">
      <c r="A5088" s="56" t="s">
        <v>15311</v>
      </c>
      <c r="B5088" s="21"/>
      <c r="C5088" s="33" t="s">
        <v>11419</v>
      </c>
      <c r="E5088" s="46" t="s">
        <v>7618</v>
      </c>
    </row>
    <row r="5089">
      <c r="A5089" s="56" t="s">
        <v>15312</v>
      </c>
      <c r="B5089" s="21"/>
      <c r="C5089" s="33" t="s">
        <v>11411</v>
      </c>
      <c r="E5089" s="46" t="s">
        <v>7616</v>
      </c>
    </row>
    <row r="5090">
      <c r="A5090" s="56" t="s">
        <v>15314</v>
      </c>
      <c r="B5090" s="21"/>
      <c r="C5090" s="33" t="s">
        <v>11411</v>
      </c>
      <c r="E5090" s="46" t="s">
        <v>7618</v>
      </c>
    </row>
    <row r="5091">
      <c r="A5091" s="56" t="s">
        <v>15315</v>
      </c>
      <c r="B5091" s="21"/>
      <c r="C5091" s="33" t="s">
        <v>11416</v>
      </c>
      <c r="E5091" s="46" t="s">
        <v>7616</v>
      </c>
    </row>
    <row r="5092">
      <c r="A5092" s="56" t="s">
        <v>15316</v>
      </c>
      <c r="B5092" s="21"/>
      <c r="C5092" s="33" t="s">
        <v>11416</v>
      </c>
      <c r="E5092" s="46" t="s">
        <v>7618</v>
      </c>
    </row>
    <row r="5093">
      <c r="A5093" s="56" t="s">
        <v>15317</v>
      </c>
      <c r="B5093" s="21"/>
      <c r="C5093" s="33" t="s">
        <v>11419</v>
      </c>
      <c r="E5093" s="46" t="s">
        <v>7616</v>
      </c>
    </row>
    <row r="5094">
      <c r="A5094" s="56" t="s">
        <v>15318</v>
      </c>
      <c r="B5094" s="21"/>
      <c r="C5094" s="33" t="s">
        <v>11419</v>
      </c>
      <c r="E5094" s="46" t="s">
        <v>7618</v>
      </c>
    </row>
    <row r="5095">
      <c r="A5095" s="56" t="s">
        <v>15319</v>
      </c>
      <c r="B5095" s="55"/>
      <c r="C5095" s="31"/>
    </row>
    <row r="5096">
      <c r="A5096" s="56" t="s">
        <v>15320</v>
      </c>
      <c r="B5096" s="55"/>
      <c r="C5096" s="31"/>
    </row>
    <row r="5097">
      <c r="A5097" s="56" t="s">
        <v>15321</v>
      </c>
      <c r="B5097" s="82"/>
      <c r="C5097" s="33" t="s">
        <v>15322</v>
      </c>
    </row>
    <row r="5098">
      <c r="A5098" s="56" t="s">
        <v>15323</v>
      </c>
      <c r="B5098" s="82"/>
      <c r="C5098" s="33" t="s">
        <v>11373</v>
      </c>
      <c r="E5098" s="46" t="s">
        <v>7616</v>
      </c>
    </row>
    <row r="5099">
      <c r="A5099" s="56" t="s">
        <v>15325</v>
      </c>
      <c r="B5099" s="82"/>
      <c r="C5099" s="33" t="s">
        <v>11373</v>
      </c>
      <c r="E5099" s="46" t="s">
        <v>7618</v>
      </c>
    </row>
    <row r="5100">
      <c r="A5100" s="56" t="s">
        <v>15327</v>
      </c>
      <c r="B5100" s="82"/>
      <c r="C5100" s="33" t="s">
        <v>11376</v>
      </c>
      <c r="E5100" s="46" t="s">
        <v>7616</v>
      </c>
    </row>
    <row r="5101">
      <c r="A5101" s="56" t="s">
        <v>15329</v>
      </c>
      <c r="B5101" s="82"/>
      <c r="C5101" s="33" t="s">
        <v>11376</v>
      </c>
      <c r="E5101" s="46" t="s">
        <v>7618</v>
      </c>
    </row>
    <row r="5102">
      <c r="A5102" s="56" t="s">
        <v>15330</v>
      </c>
      <c r="B5102" s="82"/>
      <c r="C5102" s="33" t="s">
        <v>11380</v>
      </c>
      <c r="E5102" s="46" t="s">
        <v>7616</v>
      </c>
    </row>
    <row r="5103">
      <c r="A5103" s="56" t="s">
        <v>15331</v>
      </c>
      <c r="B5103" s="82"/>
      <c r="C5103" s="33" t="s">
        <v>11380</v>
      </c>
      <c r="E5103" s="46" t="s">
        <v>7618</v>
      </c>
    </row>
    <row r="5104">
      <c r="A5104" s="56" t="s">
        <v>15332</v>
      </c>
      <c r="B5104" s="79"/>
      <c r="C5104" s="33" t="s">
        <v>11384</v>
      </c>
      <c r="E5104" s="46" t="s">
        <v>1348</v>
      </c>
    </row>
    <row r="5105">
      <c r="A5105" s="56" t="s">
        <v>15334</v>
      </c>
      <c r="B5105" s="79"/>
      <c r="C5105" s="33" t="s">
        <v>11384</v>
      </c>
      <c r="E5105" s="46" t="s">
        <v>1348</v>
      </c>
    </row>
    <row r="5106">
      <c r="A5106" s="56" t="s">
        <v>15335</v>
      </c>
      <c r="B5106" s="79"/>
      <c r="C5106" s="33" t="s">
        <v>11389</v>
      </c>
      <c r="E5106" s="46" t="s">
        <v>1348</v>
      </c>
    </row>
    <row r="5107">
      <c r="A5107" s="56" t="s">
        <v>15336</v>
      </c>
      <c r="B5107" s="21"/>
      <c r="C5107" s="33" t="s">
        <v>11391</v>
      </c>
      <c r="E5107" s="46" t="s">
        <v>7616</v>
      </c>
    </row>
    <row r="5108">
      <c r="A5108" s="56" t="s">
        <v>15337</v>
      </c>
      <c r="B5108" s="21"/>
      <c r="C5108" s="33" t="s">
        <v>11391</v>
      </c>
      <c r="E5108" s="46" t="s">
        <v>7618</v>
      </c>
    </row>
    <row r="5109">
      <c r="A5109" s="56" t="s">
        <v>15338</v>
      </c>
      <c r="B5109" s="21"/>
      <c r="C5109" s="33" t="s">
        <v>11394</v>
      </c>
      <c r="E5109" s="46" t="s">
        <v>7616</v>
      </c>
    </row>
    <row r="5110">
      <c r="A5110" s="56" t="s">
        <v>15339</v>
      </c>
      <c r="B5110" s="21"/>
      <c r="C5110" s="33" t="s">
        <v>11394</v>
      </c>
      <c r="E5110" s="46" t="s">
        <v>7618</v>
      </c>
    </row>
    <row r="5111">
      <c r="A5111" s="56" t="s">
        <v>15340</v>
      </c>
      <c r="B5111" s="21"/>
      <c r="C5111" s="33" t="s">
        <v>11398</v>
      </c>
      <c r="E5111" s="46" t="s">
        <v>7616</v>
      </c>
    </row>
    <row r="5112">
      <c r="A5112" s="56" t="s">
        <v>15341</v>
      </c>
      <c r="B5112" s="21"/>
      <c r="C5112" s="33" t="s">
        <v>11398</v>
      </c>
      <c r="E5112" s="46" t="s">
        <v>7618</v>
      </c>
    </row>
    <row r="5113">
      <c r="A5113" s="56" t="s">
        <v>15342</v>
      </c>
      <c r="B5113" s="21"/>
      <c r="C5113" s="33" t="s">
        <v>11391</v>
      </c>
      <c r="E5113" s="46" t="s">
        <v>7616</v>
      </c>
    </row>
    <row r="5114">
      <c r="A5114" s="56" t="s">
        <v>15344</v>
      </c>
      <c r="B5114" s="21"/>
      <c r="C5114" s="33" t="s">
        <v>11391</v>
      </c>
      <c r="E5114" s="46" t="s">
        <v>7618</v>
      </c>
    </row>
    <row r="5115">
      <c r="A5115" s="56" t="s">
        <v>15345</v>
      </c>
      <c r="B5115" s="21"/>
      <c r="C5115" s="33" t="s">
        <v>11394</v>
      </c>
      <c r="E5115" s="46" t="s">
        <v>7616</v>
      </c>
    </row>
    <row r="5116">
      <c r="A5116" s="56" t="s">
        <v>15348</v>
      </c>
      <c r="B5116" s="21"/>
      <c r="C5116" s="33" t="s">
        <v>11394</v>
      </c>
      <c r="E5116" s="46" t="s">
        <v>7618</v>
      </c>
    </row>
    <row r="5117">
      <c r="A5117" s="56" t="s">
        <v>15349</v>
      </c>
      <c r="B5117" s="21"/>
      <c r="C5117" s="33" t="s">
        <v>11398</v>
      </c>
      <c r="E5117" s="46" t="s">
        <v>7616</v>
      </c>
    </row>
    <row r="5118">
      <c r="A5118" s="56" t="s">
        <v>15350</v>
      </c>
      <c r="B5118" s="21"/>
      <c r="C5118" s="33" t="s">
        <v>11398</v>
      </c>
      <c r="E5118" s="46" t="s">
        <v>7618</v>
      </c>
    </row>
    <row r="5119">
      <c r="A5119" s="56" t="s">
        <v>15351</v>
      </c>
      <c r="B5119" s="21"/>
      <c r="C5119" s="33" t="s">
        <v>11411</v>
      </c>
      <c r="E5119" s="46" t="s">
        <v>7616</v>
      </c>
    </row>
    <row r="5120">
      <c r="A5120" s="56" t="s">
        <v>15353</v>
      </c>
      <c r="B5120" s="21"/>
      <c r="C5120" s="33" t="s">
        <v>11411</v>
      </c>
      <c r="E5120" s="46" t="s">
        <v>7618</v>
      </c>
    </row>
    <row r="5121">
      <c r="A5121" s="56" t="s">
        <v>15354</v>
      </c>
      <c r="B5121" s="21"/>
      <c r="C5121" s="33" t="s">
        <v>11416</v>
      </c>
      <c r="E5121" s="46" t="s">
        <v>7616</v>
      </c>
    </row>
    <row r="5122">
      <c r="A5122" s="56" t="s">
        <v>15355</v>
      </c>
      <c r="B5122" s="21"/>
      <c r="C5122" s="33" t="s">
        <v>11416</v>
      </c>
      <c r="E5122" s="46" t="s">
        <v>7618</v>
      </c>
    </row>
    <row r="5123">
      <c r="A5123" s="56" t="s">
        <v>15356</v>
      </c>
      <c r="B5123" s="21"/>
      <c r="C5123" s="33" t="s">
        <v>11419</v>
      </c>
      <c r="E5123" s="46" t="s">
        <v>7616</v>
      </c>
    </row>
    <row r="5124">
      <c r="A5124" s="56" t="s">
        <v>15357</v>
      </c>
      <c r="B5124" s="21"/>
      <c r="C5124" s="33" t="s">
        <v>11419</v>
      </c>
      <c r="E5124" s="46" t="s">
        <v>7618</v>
      </c>
    </row>
    <row r="5125">
      <c r="A5125" s="56" t="s">
        <v>15358</v>
      </c>
      <c r="B5125" s="21"/>
      <c r="C5125" s="33" t="s">
        <v>11411</v>
      </c>
      <c r="E5125" s="46" t="s">
        <v>7616</v>
      </c>
    </row>
    <row r="5126">
      <c r="A5126" s="56" t="s">
        <v>15360</v>
      </c>
      <c r="B5126" s="21"/>
      <c r="C5126" s="33" t="s">
        <v>11411</v>
      </c>
      <c r="E5126" s="46" t="s">
        <v>7618</v>
      </c>
    </row>
    <row r="5127">
      <c r="A5127" s="56" t="s">
        <v>15361</v>
      </c>
      <c r="B5127" s="21"/>
      <c r="C5127" s="33" t="s">
        <v>11416</v>
      </c>
      <c r="E5127" s="46" t="s">
        <v>7616</v>
      </c>
    </row>
    <row r="5128">
      <c r="A5128" s="56" t="s">
        <v>15364</v>
      </c>
      <c r="B5128" s="21"/>
      <c r="C5128" s="33" t="s">
        <v>11416</v>
      </c>
      <c r="E5128" s="46" t="s">
        <v>7618</v>
      </c>
    </row>
    <row r="5129">
      <c r="A5129" s="56" t="s">
        <v>15365</v>
      </c>
      <c r="B5129" s="21"/>
      <c r="C5129" s="33" t="s">
        <v>11419</v>
      </c>
      <c r="E5129" s="46" t="s">
        <v>7616</v>
      </c>
    </row>
    <row r="5130">
      <c r="A5130" s="56" t="s">
        <v>15367</v>
      </c>
      <c r="B5130" s="21"/>
      <c r="C5130" s="33" t="s">
        <v>11419</v>
      </c>
      <c r="E5130" s="46" t="s">
        <v>7618</v>
      </c>
    </row>
    <row r="5131">
      <c r="A5131" s="56" t="s">
        <v>15368</v>
      </c>
      <c r="B5131" s="55"/>
      <c r="C5131" s="31"/>
    </row>
    <row r="5132">
      <c r="A5132" s="56" t="s">
        <v>15369</v>
      </c>
      <c r="B5132" s="55"/>
      <c r="C5132" s="31"/>
    </row>
    <row r="5133">
      <c r="A5133" s="56" t="s">
        <v>15370</v>
      </c>
      <c r="B5133" s="55"/>
      <c r="C5133" s="31"/>
    </row>
    <row r="5134">
      <c r="A5134" s="56" t="s">
        <v>15371</v>
      </c>
      <c r="B5134" s="55"/>
      <c r="C5134" s="31"/>
    </row>
    <row r="5135">
      <c r="A5135" s="56" t="s">
        <v>15372</v>
      </c>
      <c r="B5135" s="55"/>
      <c r="C5135" s="31"/>
    </row>
    <row r="5136">
      <c r="A5136" s="56" t="s">
        <v>15373</v>
      </c>
      <c r="B5136" s="55"/>
      <c r="C5136" s="31"/>
    </row>
    <row r="5137">
      <c r="A5137" s="56" t="s">
        <v>15374</v>
      </c>
      <c r="B5137" s="55"/>
      <c r="C5137" s="31"/>
    </row>
    <row r="5138">
      <c r="A5138" s="56" t="s">
        <v>15376</v>
      </c>
      <c r="B5138" s="55"/>
      <c r="C5138" s="31"/>
    </row>
    <row r="5139">
      <c r="A5139" s="56" t="s">
        <v>15377</v>
      </c>
      <c r="B5139" s="55"/>
      <c r="C5139" s="31"/>
    </row>
    <row r="5140">
      <c r="A5140" s="56" t="s">
        <v>15378</v>
      </c>
      <c r="B5140" s="55"/>
      <c r="C5140" s="31"/>
    </row>
    <row r="5141">
      <c r="A5141" s="56" t="s">
        <v>15379</v>
      </c>
      <c r="B5141" s="55"/>
      <c r="C5141" s="31"/>
    </row>
    <row r="5142">
      <c r="A5142" s="56" t="s">
        <v>15381</v>
      </c>
      <c r="B5142" s="55"/>
      <c r="C5142" s="31"/>
    </row>
    <row r="5143">
      <c r="A5143" s="56" t="s">
        <v>15383</v>
      </c>
      <c r="B5143" s="55"/>
      <c r="C5143" s="31"/>
    </row>
    <row r="5144">
      <c r="A5144" s="56" t="s">
        <v>15384</v>
      </c>
      <c r="B5144" s="55"/>
      <c r="C5144" s="31"/>
    </row>
    <row r="5145">
      <c r="A5145" s="56" t="s">
        <v>15386</v>
      </c>
      <c r="B5145" s="55"/>
      <c r="C5145" s="31"/>
    </row>
    <row r="5146">
      <c r="A5146" s="56" t="s">
        <v>15387</v>
      </c>
      <c r="B5146" s="55"/>
      <c r="C5146" s="31"/>
    </row>
    <row r="5147">
      <c r="A5147" s="56" t="s">
        <v>15388</v>
      </c>
      <c r="B5147" s="82"/>
      <c r="C5147" s="33" t="s">
        <v>9100</v>
      </c>
    </row>
    <row r="5148">
      <c r="A5148" s="56" t="s">
        <v>15389</v>
      </c>
      <c r="B5148" s="55"/>
      <c r="C5148" s="31"/>
    </row>
    <row r="5149">
      <c r="A5149" s="56" t="s">
        <v>15390</v>
      </c>
      <c r="B5149" s="55"/>
      <c r="C5149" s="31"/>
    </row>
    <row r="5150">
      <c r="A5150" s="56" t="s">
        <v>15391</v>
      </c>
      <c r="B5150" s="55"/>
      <c r="C5150" s="31"/>
    </row>
    <row r="5151">
      <c r="A5151" s="56" t="s">
        <v>15393</v>
      </c>
      <c r="B5151" s="55"/>
      <c r="C5151" s="31"/>
    </row>
    <row r="5152">
      <c r="A5152" s="56" t="s">
        <v>15394</v>
      </c>
      <c r="B5152" s="55"/>
      <c r="C5152" s="31"/>
    </row>
    <row r="5153">
      <c r="A5153" s="56" t="s">
        <v>15395</v>
      </c>
      <c r="B5153" s="55"/>
      <c r="C5153" s="31"/>
    </row>
    <row r="5154">
      <c r="A5154" s="56" t="s">
        <v>15396</v>
      </c>
      <c r="B5154" s="55"/>
      <c r="C5154" s="31"/>
    </row>
    <row r="5155">
      <c r="A5155" s="56" t="s">
        <v>15397</v>
      </c>
      <c r="B5155" s="55"/>
      <c r="C5155" s="31"/>
    </row>
    <row r="5156">
      <c r="A5156" s="56" t="s">
        <v>15398</v>
      </c>
      <c r="B5156" s="55"/>
      <c r="C5156" s="31"/>
    </row>
    <row r="5157">
      <c r="A5157" s="56" t="s">
        <v>15399</v>
      </c>
      <c r="B5157" s="55"/>
      <c r="C5157" s="31"/>
    </row>
    <row r="5158">
      <c r="A5158" s="56" t="s">
        <v>15401</v>
      </c>
      <c r="B5158" s="55"/>
      <c r="C5158" s="31"/>
    </row>
    <row r="5159">
      <c r="A5159" s="56" t="s">
        <v>15404</v>
      </c>
      <c r="B5159" s="55"/>
      <c r="C5159" s="31"/>
    </row>
    <row r="5160">
      <c r="A5160" s="56" t="s">
        <v>15405</v>
      </c>
      <c r="B5160" s="55"/>
      <c r="C5160" s="31"/>
    </row>
    <row r="5161">
      <c r="A5161" s="56" t="s">
        <v>15406</v>
      </c>
      <c r="B5161" s="55"/>
      <c r="C5161" s="31"/>
    </row>
    <row r="5162">
      <c r="A5162" s="56" t="s">
        <v>15407</v>
      </c>
      <c r="B5162" s="55"/>
      <c r="C5162" s="31"/>
    </row>
    <row r="5163">
      <c r="A5163" s="56" t="s">
        <v>15408</v>
      </c>
      <c r="B5163" s="55"/>
      <c r="C5163" s="31"/>
    </row>
    <row r="5164">
      <c r="A5164" s="56" t="s">
        <v>15409</v>
      </c>
      <c r="B5164" s="55"/>
      <c r="C5164" s="31"/>
    </row>
    <row r="5165">
      <c r="A5165" s="56" t="s">
        <v>15410</v>
      </c>
      <c r="B5165" s="55"/>
      <c r="C5165" s="31"/>
    </row>
    <row r="5166">
      <c r="A5166" s="56" t="s">
        <v>15411</v>
      </c>
      <c r="B5166" s="55"/>
      <c r="C5166" s="31"/>
    </row>
    <row r="5167">
      <c r="A5167" s="56" t="s">
        <v>15413</v>
      </c>
      <c r="B5167" s="55"/>
      <c r="C5167" s="31"/>
    </row>
    <row r="5168">
      <c r="A5168" s="56" t="s">
        <v>15414</v>
      </c>
      <c r="B5168" s="55"/>
      <c r="C5168" s="31"/>
    </row>
    <row r="5169">
      <c r="A5169" s="56" t="s">
        <v>15415</v>
      </c>
      <c r="B5169" s="55"/>
      <c r="C5169" s="31"/>
    </row>
    <row r="5170">
      <c r="A5170" s="56" t="s">
        <v>15416</v>
      </c>
      <c r="B5170" s="55"/>
      <c r="C5170" s="31"/>
    </row>
    <row r="5171">
      <c r="A5171" s="56" t="s">
        <v>15417</v>
      </c>
      <c r="B5171" s="55"/>
      <c r="C5171" s="31"/>
    </row>
    <row r="5172">
      <c r="A5172" s="56" t="s">
        <v>15418</v>
      </c>
      <c r="B5172" s="55"/>
      <c r="C5172" s="31"/>
    </row>
    <row r="5173">
      <c r="A5173" s="56" t="s">
        <v>15419</v>
      </c>
      <c r="B5173" s="55"/>
      <c r="C5173" s="31"/>
    </row>
    <row r="5174">
      <c r="A5174" s="56" t="s">
        <v>15420</v>
      </c>
      <c r="B5174" s="55"/>
      <c r="C5174" s="31"/>
    </row>
    <row r="5175">
      <c r="A5175" s="56" t="s">
        <v>15422</v>
      </c>
      <c r="B5175" s="55"/>
      <c r="C5175" s="31"/>
    </row>
    <row r="5176">
      <c r="A5176" s="56" t="s">
        <v>15425</v>
      </c>
      <c r="B5176" s="55"/>
      <c r="C5176" s="31"/>
    </row>
    <row r="5177">
      <c r="A5177" s="56" t="s">
        <v>15426</v>
      </c>
      <c r="B5177" s="55"/>
      <c r="C5177" s="31"/>
    </row>
    <row r="5178">
      <c r="A5178" s="56" t="s">
        <v>15427</v>
      </c>
      <c r="B5178" s="55"/>
      <c r="C5178" s="31"/>
    </row>
    <row r="5179">
      <c r="A5179" s="56" t="s">
        <v>15428</v>
      </c>
      <c r="B5179" s="55"/>
      <c r="C5179" s="31"/>
    </row>
    <row r="5180">
      <c r="A5180" s="56" t="s">
        <v>15429</v>
      </c>
      <c r="B5180" s="55"/>
      <c r="C5180" s="31"/>
    </row>
    <row r="5181">
      <c r="A5181" s="56" t="s">
        <v>15430</v>
      </c>
      <c r="B5181" s="55"/>
      <c r="C5181" s="31"/>
    </row>
    <row r="5182">
      <c r="A5182" s="56" t="s">
        <v>15431</v>
      </c>
      <c r="B5182" s="82"/>
      <c r="C5182" s="33" t="s">
        <v>15432</v>
      </c>
    </row>
    <row r="5183">
      <c r="A5183" s="56" t="s">
        <v>15433</v>
      </c>
      <c r="B5183" s="55"/>
      <c r="C5183" s="31"/>
    </row>
    <row r="5184">
      <c r="A5184" s="56" t="s">
        <v>15434</v>
      </c>
      <c r="B5184" s="55"/>
      <c r="C5184" s="31"/>
    </row>
    <row r="5185">
      <c r="A5185" s="56" t="s">
        <v>15435</v>
      </c>
      <c r="B5185" s="55"/>
      <c r="C5185" s="31"/>
    </row>
    <row r="5186">
      <c r="A5186" s="56" t="s">
        <v>15437</v>
      </c>
      <c r="B5186" s="55"/>
      <c r="C5186" s="31"/>
    </row>
    <row r="5187">
      <c r="A5187" s="56" t="s">
        <v>15438</v>
      </c>
      <c r="B5187" s="55"/>
      <c r="C5187" s="31"/>
    </row>
    <row r="5188">
      <c r="A5188" s="56" t="s">
        <v>15439</v>
      </c>
      <c r="B5188" s="55"/>
      <c r="C5188" s="31"/>
    </row>
    <row r="5189">
      <c r="A5189" s="56" t="s">
        <v>15440</v>
      </c>
      <c r="B5189" s="82"/>
      <c r="C5189" s="33" t="s">
        <v>15441</v>
      </c>
    </row>
    <row r="5190">
      <c r="A5190" s="56" t="s">
        <v>15443</v>
      </c>
      <c r="B5190" s="55"/>
      <c r="C5190" s="31"/>
    </row>
    <row r="5191">
      <c r="A5191" s="56" t="s">
        <v>15445</v>
      </c>
      <c r="B5191" s="55"/>
      <c r="C5191" s="31"/>
    </row>
    <row r="5192">
      <c r="A5192" s="56" t="s">
        <v>15446</v>
      </c>
      <c r="B5192" s="55"/>
      <c r="C5192" s="31"/>
    </row>
    <row r="5193">
      <c r="A5193" s="56" t="s">
        <v>15447</v>
      </c>
      <c r="B5193" s="82"/>
      <c r="C5193" s="33" t="s">
        <v>15448</v>
      </c>
    </row>
    <row r="5194">
      <c r="A5194" s="56" t="s">
        <v>15450</v>
      </c>
      <c r="B5194" s="55"/>
      <c r="C5194" s="31"/>
    </row>
    <row r="5195">
      <c r="A5195" s="56" t="s">
        <v>15451</v>
      </c>
      <c r="B5195" s="55"/>
      <c r="C5195" s="31"/>
    </row>
    <row r="5196">
      <c r="A5196" s="56" t="s">
        <v>15452</v>
      </c>
      <c r="B5196" s="55"/>
      <c r="C5196" s="31"/>
    </row>
    <row r="5197">
      <c r="A5197" s="56" t="s">
        <v>15453</v>
      </c>
      <c r="B5197" s="55"/>
      <c r="C5197" s="31"/>
    </row>
    <row r="5198">
      <c r="A5198" s="56" t="s">
        <v>15454</v>
      </c>
      <c r="B5198" s="55"/>
      <c r="C5198" s="31"/>
    </row>
    <row r="5199">
      <c r="A5199" s="56" t="s">
        <v>15455</v>
      </c>
      <c r="B5199" s="55"/>
      <c r="C5199" s="31"/>
    </row>
    <row r="5200">
      <c r="A5200" s="56" t="s">
        <v>15456</v>
      </c>
      <c r="B5200" s="55"/>
      <c r="C5200" s="31"/>
    </row>
    <row r="5201">
      <c r="A5201" s="56" t="s">
        <v>15457</v>
      </c>
      <c r="B5201" s="55"/>
      <c r="C5201" s="31"/>
    </row>
    <row r="5202">
      <c r="A5202" s="56" t="s">
        <v>15458</v>
      </c>
      <c r="B5202" s="55"/>
      <c r="C5202" s="31"/>
    </row>
    <row r="5203">
      <c r="A5203" s="56" t="s">
        <v>15460</v>
      </c>
      <c r="B5203" s="55"/>
      <c r="C5203" s="31"/>
    </row>
    <row r="5204">
      <c r="A5204" s="56" t="s">
        <v>15461</v>
      </c>
      <c r="B5204" s="55"/>
      <c r="C5204" s="31"/>
    </row>
    <row r="5205">
      <c r="A5205" s="56" t="s">
        <v>15462</v>
      </c>
      <c r="B5205" s="55"/>
      <c r="C5205" s="31"/>
    </row>
    <row r="5206">
      <c r="A5206" s="56" t="s">
        <v>15463</v>
      </c>
      <c r="B5206" s="55"/>
      <c r="C5206" s="31"/>
    </row>
    <row r="5207">
      <c r="A5207" s="56" t="s">
        <v>15464</v>
      </c>
      <c r="B5207" s="55"/>
      <c r="C5207" s="31"/>
    </row>
    <row r="5208">
      <c r="A5208" s="56" t="s">
        <v>15465</v>
      </c>
      <c r="B5208" s="55"/>
      <c r="C5208" s="31"/>
    </row>
    <row r="5209">
      <c r="A5209" s="56" t="s">
        <v>15466</v>
      </c>
      <c r="B5209" s="55"/>
      <c r="C5209" s="31"/>
    </row>
    <row r="5210">
      <c r="A5210" s="56" t="s">
        <v>15468</v>
      </c>
      <c r="B5210" s="55"/>
      <c r="C5210" s="31"/>
    </row>
    <row r="5211">
      <c r="A5211" s="56" t="s">
        <v>15469</v>
      </c>
      <c r="B5211" s="55"/>
      <c r="C5211" s="31"/>
    </row>
    <row r="5212">
      <c r="A5212" s="56" t="s">
        <v>15472</v>
      </c>
      <c r="B5212" s="55"/>
      <c r="C5212" s="31"/>
    </row>
    <row r="5213">
      <c r="A5213" s="56" t="s">
        <v>15473</v>
      </c>
      <c r="B5213" s="55"/>
      <c r="C5213" s="31"/>
    </row>
    <row r="5214">
      <c r="A5214" s="56" t="s">
        <v>15474</v>
      </c>
      <c r="B5214" s="55"/>
      <c r="C5214" s="31"/>
    </row>
    <row r="5215">
      <c r="A5215" s="56" t="s">
        <v>15475</v>
      </c>
      <c r="B5215" s="55"/>
      <c r="C5215" s="31"/>
    </row>
    <row r="5216">
      <c r="A5216" s="56" t="s">
        <v>15476</v>
      </c>
      <c r="B5216" s="55"/>
      <c r="C5216" s="31"/>
    </row>
    <row r="5217">
      <c r="A5217" s="56" t="s">
        <v>15478</v>
      </c>
      <c r="B5217" s="55"/>
      <c r="C5217" s="31"/>
    </row>
    <row r="5218">
      <c r="A5218" s="56" t="s">
        <v>15479</v>
      </c>
      <c r="B5218" s="55"/>
      <c r="C5218" s="31"/>
    </row>
    <row r="5219">
      <c r="A5219" s="56" t="s">
        <v>15480</v>
      </c>
      <c r="B5219" s="55"/>
      <c r="C5219" s="31"/>
    </row>
    <row r="5220">
      <c r="A5220" s="56" t="s">
        <v>15481</v>
      </c>
      <c r="B5220" s="55"/>
      <c r="C5220" s="31"/>
    </row>
    <row r="5221">
      <c r="A5221" s="56" t="s">
        <v>15482</v>
      </c>
      <c r="B5221" s="55"/>
      <c r="C5221" s="31"/>
    </row>
    <row r="5222">
      <c r="A5222" s="56" t="s">
        <v>15483</v>
      </c>
      <c r="B5222" s="55"/>
      <c r="C5222" s="31"/>
    </row>
    <row r="5223">
      <c r="A5223" s="56" t="s">
        <v>15484</v>
      </c>
      <c r="B5223" s="55"/>
      <c r="C5223" s="31"/>
    </row>
    <row r="5224">
      <c r="A5224" s="56" t="s">
        <v>15485</v>
      </c>
      <c r="B5224" s="55"/>
      <c r="C5224" s="31"/>
    </row>
    <row r="5225">
      <c r="A5225" s="56" t="s">
        <v>15487</v>
      </c>
      <c r="B5225" s="55"/>
      <c r="C5225" s="31"/>
    </row>
    <row r="5226">
      <c r="A5226" s="56" t="s">
        <v>15489</v>
      </c>
      <c r="B5226" s="55"/>
      <c r="C5226" s="31"/>
    </row>
    <row r="5227">
      <c r="A5227" s="56" t="s">
        <v>15491</v>
      </c>
      <c r="B5227" s="55"/>
      <c r="C5227" s="31"/>
    </row>
    <row r="5228">
      <c r="A5228" s="56" t="s">
        <v>15492</v>
      </c>
      <c r="B5228" s="55"/>
      <c r="C5228" s="31"/>
    </row>
    <row r="5229">
      <c r="A5229" s="56" t="s">
        <v>15494</v>
      </c>
      <c r="B5229" s="55"/>
      <c r="C5229" s="31"/>
    </row>
    <row r="5230">
      <c r="A5230" s="56" t="s">
        <v>15495</v>
      </c>
      <c r="B5230" s="55"/>
      <c r="C5230" s="31"/>
    </row>
    <row r="5231">
      <c r="A5231" s="56" t="s">
        <v>15496</v>
      </c>
      <c r="B5231" s="55"/>
      <c r="C5231" s="31"/>
    </row>
    <row r="5232">
      <c r="A5232" s="56" t="s">
        <v>15497</v>
      </c>
      <c r="B5232" s="55"/>
      <c r="C5232" s="31"/>
    </row>
    <row r="5233">
      <c r="A5233" s="56" t="s">
        <v>15498</v>
      </c>
      <c r="B5233" s="55"/>
      <c r="C5233" s="31"/>
    </row>
    <row r="5234">
      <c r="A5234" s="56" t="s">
        <v>15499</v>
      </c>
      <c r="B5234" s="55"/>
      <c r="C5234" s="31"/>
    </row>
    <row r="5235">
      <c r="A5235" s="56" t="s">
        <v>15500</v>
      </c>
      <c r="B5235" s="55"/>
      <c r="C5235" s="31"/>
    </row>
    <row r="5236">
      <c r="A5236" s="56" t="s">
        <v>15501</v>
      </c>
      <c r="B5236" s="55"/>
      <c r="C5236" s="31"/>
    </row>
    <row r="5237">
      <c r="A5237" s="56" t="s">
        <v>15503</v>
      </c>
      <c r="B5237" s="82"/>
      <c r="C5237" s="33" t="s">
        <v>15504</v>
      </c>
    </row>
    <row r="5238">
      <c r="A5238" s="56" t="s">
        <v>15505</v>
      </c>
      <c r="B5238" s="82"/>
      <c r="C5238" s="33" t="s">
        <v>11373</v>
      </c>
      <c r="E5238" s="46" t="s">
        <v>7616</v>
      </c>
    </row>
    <row r="5239">
      <c r="A5239" s="56" t="s">
        <v>15506</v>
      </c>
      <c r="B5239" s="82"/>
      <c r="C5239" s="33" t="s">
        <v>11373</v>
      </c>
      <c r="E5239" s="46" t="s">
        <v>7618</v>
      </c>
    </row>
    <row r="5240">
      <c r="A5240" s="56" t="s">
        <v>15507</v>
      </c>
      <c r="B5240" s="82"/>
      <c r="C5240" s="33" t="s">
        <v>11376</v>
      </c>
      <c r="E5240" s="46" t="s">
        <v>7616</v>
      </c>
    </row>
    <row r="5241">
      <c r="A5241" s="56" t="s">
        <v>15510</v>
      </c>
      <c r="B5241" s="82"/>
      <c r="C5241" s="33" t="s">
        <v>11376</v>
      </c>
      <c r="E5241" s="46" t="s">
        <v>7618</v>
      </c>
    </row>
    <row r="5242">
      <c r="A5242" s="56" t="s">
        <v>15511</v>
      </c>
      <c r="B5242" s="82"/>
      <c r="C5242" s="33" t="s">
        <v>11380</v>
      </c>
      <c r="E5242" s="46" t="s">
        <v>7616</v>
      </c>
    </row>
    <row r="5243">
      <c r="A5243" s="56" t="s">
        <v>15513</v>
      </c>
      <c r="B5243" s="82"/>
      <c r="C5243" s="33" t="s">
        <v>11380</v>
      </c>
      <c r="E5243" s="46" t="s">
        <v>7618</v>
      </c>
    </row>
    <row r="5244">
      <c r="A5244" s="56" t="s">
        <v>15514</v>
      </c>
      <c r="B5244" s="79"/>
      <c r="C5244" s="33" t="s">
        <v>11384</v>
      </c>
      <c r="E5244" s="46" t="s">
        <v>1348</v>
      </c>
    </row>
    <row r="5245">
      <c r="A5245" s="56" t="s">
        <v>15515</v>
      </c>
      <c r="B5245" s="79"/>
      <c r="C5245" s="33" t="s">
        <v>11384</v>
      </c>
      <c r="E5245" s="46" t="s">
        <v>1348</v>
      </c>
    </row>
    <row r="5246">
      <c r="A5246" s="56" t="s">
        <v>15517</v>
      </c>
      <c r="B5246" s="79"/>
      <c r="C5246" s="33" t="s">
        <v>11389</v>
      </c>
      <c r="E5246" s="46" t="s">
        <v>1348</v>
      </c>
    </row>
    <row r="5247">
      <c r="A5247" s="56" t="s">
        <v>15518</v>
      </c>
      <c r="B5247" s="21"/>
      <c r="C5247" s="33" t="s">
        <v>11391</v>
      </c>
      <c r="E5247" s="46" t="s">
        <v>7616</v>
      </c>
    </row>
    <row r="5248">
      <c r="A5248" s="56" t="s">
        <v>15519</v>
      </c>
      <c r="B5248" s="21"/>
      <c r="C5248" s="33" t="s">
        <v>11391</v>
      </c>
      <c r="E5248" s="46" t="s">
        <v>7618</v>
      </c>
    </row>
    <row r="5249">
      <c r="A5249" s="56" t="s">
        <v>15520</v>
      </c>
      <c r="B5249" s="21"/>
      <c r="C5249" s="33" t="s">
        <v>11394</v>
      </c>
      <c r="E5249" s="46" t="s">
        <v>7616</v>
      </c>
    </row>
    <row r="5250">
      <c r="A5250" s="56" t="s">
        <v>15521</v>
      </c>
      <c r="B5250" s="21"/>
      <c r="C5250" s="33" t="s">
        <v>11394</v>
      </c>
      <c r="E5250" s="46" t="s">
        <v>7618</v>
      </c>
    </row>
    <row r="5251">
      <c r="A5251" s="56" t="s">
        <v>15522</v>
      </c>
      <c r="B5251" s="21"/>
      <c r="C5251" s="33" t="s">
        <v>11398</v>
      </c>
      <c r="E5251" s="46" t="s">
        <v>7616</v>
      </c>
    </row>
    <row r="5252">
      <c r="A5252" s="56" t="s">
        <v>15524</v>
      </c>
      <c r="B5252" s="21"/>
      <c r="C5252" s="33" t="s">
        <v>11398</v>
      </c>
      <c r="E5252" s="46" t="s">
        <v>7618</v>
      </c>
    </row>
    <row r="5253">
      <c r="A5253" s="56" t="s">
        <v>15527</v>
      </c>
      <c r="B5253" s="21"/>
      <c r="C5253" s="33" t="s">
        <v>11391</v>
      </c>
      <c r="E5253" s="46" t="s">
        <v>7616</v>
      </c>
    </row>
    <row r="5254">
      <c r="A5254" s="56" t="s">
        <v>15528</v>
      </c>
      <c r="B5254" s="21"/>
      <c r="C5254" s="33" t="s">
        <v>11391</v>
      </c>
      <c r="E5254" s="46" t="s">
        <v>7618</v>
      </c>
    </row>
    <row r="5255">
      <c r="A5255" s="56" t="s">
        <v>15529</v>
      </c>
      <c r="B5255" s="21"/>
      <c r="C5255" s="33" t="s">
        <v>11394</v>
      </c>
      <c r="E5255" s="46" t="s">
        <v>7616</v>
      </c>
    </row>
    <row r="5256">
      <c r="A5256" s="56" t="s">
        <v>15530</v>
      </c>
      <c r="B5256" s="21"/>
      <c r="C5256" s="33" t="s">
        <v>11394</v>
      </c>
      <c r="E5256" s="46" t="s">
        <v>7618</v>
      </c>
    </row>
    <row r="5257">
      <c r="A5257" s="56" t="s">
        <v>15532</v>
      </c>
      <c r="B5257" s="21"/>
      <c r="C5257" s="33" t="s">
        <v>11398</v>
      </c>
      <c r="E5257" s="46" t="s">
        <v>7616</v>
      </c>
    </row>
    <row r="5258">
      <c r="A5258" s="56" t="s">
        <v>15533</v>
      </c>
      <c r="B5258" s="21"/>
      <c r="C5258" s="33" t="s">
        <v>11398</v>
      </c>
      <c r="E5258" s="46" t="s">
        <v>7618</v>
      </c>
    </row>
    <row r="5259">
      <c r="A5259" s="56" t="s">
        <v>15536</v>
      </c>
      <c r="B5259" s="21"/>
      <c r="C5259" s="33" t="s">
        <v>11411</v>
      </c>
      <c r="E5259" s="46" t="s">
        <v>7616</v>
      </c>
    </row>
    <row r="5260">
      <c r="A5260" s="56" t="s">
        <v>15537</v>
      </c>
      <c r="B5260" s="21"/>
      <c r="C5260" s="33" t="s">
        <v>11411</v>
      </c>
      <c r="E5260" s="46" t="s">
        <v>7618</v>
      </c>
    </row>
    <row r="5261">
      <c r="A5261" s="56" t="s">
        <v>15538</v>
      </c>
      <c r="B5261" s="21"/>
      <c r="C5261" s="33" t="s">
        <v>11416</v>
      </c>
      <c r="E5261" s="46" t="s">
        <v>7616</v>
      </c>
    </row>
    <row r="5262">
      <c r="A5262" s="56" t="s">
        <v>15539</v>
      </c>
      <c r="B5262" s="21"/>
      <c r="C5262" s="33" t="s">
        <v>11416</v>
      </c>
      <c r="E5262" s="46" t="s">
        <v>7618</v>
      </c>
    </row>
    <row r="5263">
      <c r="A5263" s="56" t="s">
        <v>15541</v>
      </c>
      <c r="B5263" s="21"/>
      <c r="C5263" s="33" t="s">
        <v>11419</v>
      </c>
      <c r="E5263" s="46" t="s">
        <v>7616</v>
      </c>
    </row>
    <row r="5264">
      <c r="A5264" s="56" t="s">
        <v>15543</v>
      </c>
      <c r="B5264" s="21"/>
      <c r="C5264" s="33" t="s">
        <v>11419</v>
      </c>
      <c r="E5264" s="46" t="s">
        <v>7618</v>
      </c>
    </row>
    <row r="5265">
      <c r="A5265" s="56" t="s">
        <v>15544</v>
      </c>
      <c r="B5265" s="21"/>
      <c r="C5265" s="33" t="s">
        <v>11411</v>
      </c>
      <c r="E5265" s="46" t="s">
        <v>7616</v>
      </c>
    </row>
    <row r="5266">
      <c r="A5266" s="56" t="s">
        <v>15545</v>
      </c>
      <c r="B5266" s="21"/>
      <c r="C5266" s="33" t="s">
        <v>11411</v>
      </c>
      <c r="E5266" s="46" t="s">
        <v>7618</v>
      </c>
    </row>
    <row r="5267">
      <c r="A5267" s="56" t="s">
        <v>15546</v>
      </c>
      <c r="B5267" s="21"/>
      <c r="C5267" s="33" t="s">
        <v>11416</v>
      </c>
      <c r="E5267" s="46" t="s">
        <v>7616</v>
      </c>
    </row>
    <row r="5268">
      <c r="A5268" s="56" t="s">
        <v>15547</v>
      </c>
      <c r="B5268" s="21"/>
      <c r="C5268" s="33" t="s">
        <v>11416</v>
      </c>
      <c r="E5268" s="46" t="s">
        <v>7618</v>
      </c>
    </row>
    <row r="5269">
      <c r="A5269" s="56" t="s">
        <v>15548</v>
      </c>
      <c r="B5269" s="21"/>
      <c r="C5269" s="33" t="s">
        <v>11419</v>
      </c>
      <c r="E5269" s="46" t="s">
        <v>7616</v>
      </c>
    </row>
    <row r="5270">
      <c r="A5270" s="56" t="s">
        <v>15549</v>
      </c>
      <c r="B5270" s="21"/>
      <c r="C5270" s="33" t="s">
        <v>11419</v>
      </c>
      <c r="E5270" s="46" t="s">
        <v>7618</v>
      </c>
    </row>
    <row r="5271">
      <c r="A5271" s="56" t="s">
        <v>15550</v>
      </c>
      <c r="B5271" s="55"/>
      <c r="C5271" s="31"/>
    </row>
    <row r="5272">
      <c r="A5272" s="56" t="s">
        <v>15551</v>
      </c>
      <c r="B5272" s="55"/>
      <c r="C5272" s="31"/>
    </row>
    <row r="5273">
      <c r="A5273" s="56" t="s">
        <v>15552</v>
      </c>
      <c r="B5273" s="55"/>
      <c r="C5273" s="31"/>
    </row>
    <row r="5274">
      <c r="A5274" s="56" t="s">
        <v>15553</v>
      </c>
      <c r="B5274" s="55"/>
      <c r="C5274" s="31"/>
    </row>
    <row r="5275">
      <c r="A5275" s="56" t="s">
        <v>15554</v>
      </c>
      <c r="B5275" s="55"/>
      <c r="C5275" s="31"/>
    </row>
    <row r="5276">
      <c r="A5276" s="56" t="s">
        <v>15555</v>
      </c>
      <c r="B5276" s="55"/>
      <c r="C5276" s="31"/>
    </row>
    <row r="5277">
      <c r="A5277" s="56" t="s">
        <v>15557</v>
      </c>
      <c r="B5277" s="55"/>
      <c r="C5277" s="31"/>
    </row>
    <row r="5278">
      <c r="A5278" s="56" t="s">
        <v>15559</v>
      </c>
      <c r="B5278" s="55"/>
      <c r="C5278" s="31"/>
    </row>
    <row r="5279">
      <c r="A5279" s="56" t="s">
        <v>15561</v>
      </c>
      <c r="B5279" s="55"/>
      <c r="C5279" s="31"/>
    </row>
    <row r="5280">
      <c r="A5280" s="56" t="s">
        <v>15563</v>
      </c>
      <c r="B5280" s="55"/>
      <c r="C5280" s="31"/>
    </row>
    <row r="5281">
      <c r="A5281" s="56" t="s">
        <v>15564</v>
      </c>
      <c r="B5281" s="55"/>
      <c r="C5281" s="31"/>
    </row>
    <row r="5282">
      <c r="A5282" s="56" t="s">
        <v>15566</v>
      </c>
      <c r="B5282" s="55"/>
      <c r="C5282" s="31"/>
    </row>
    <row r="5283">
      <c r="A5283" s="56" t="s">
        <v>15567</v>
      </c>
      <c r="B5283" s="55"/>
      <c r="C5283" s="31"/>
    </row>
    <row r="5284">
      <c r="A5284" s="56" t="s">
        <v>15568</v>
      </c>
      <c r="B5284" s="55"/>
      <c r="C5284" s="31"/>
    </row>
    <row r="5285">
      <c r="A5285" s="56" t="s">
        <v>15569</v>
      </c>
      <c r="B5285" s="55"/>
      <c r="C5285" s="31"/>
    </row>
    <row r="5286">
      <c r="A5286" s="56" t="s">
        <v>15570</v>
      </c>
      <c r="B5286" s="55"/>
      <c r="C5286" s="31"/>
    </row>
    <row r="5287">
      <c r="A5287" s="56" t="s">
        <v>15571</v>
      </c>
      <c r="B5287" s="55"/>
      <c r="C5287" s="31"/>
    </row>
    <row r="5288">
      <c r="A5288" s="56" t="s">
        <v>15572</v>
      </c>
      <c r="B5288" s="55"/>
      <c r="C5288" s="31"/>
    </row>
    <row r="5289">
      <c r="A5289" s="56" t="s">
        <v>15573</v>
      </c>
      <c r="B5289" s="55"/>
      <c r="C5289" s="31"/>
    </row>
    <row r="5290">
      <c r="A5290" s="56" t="s">
        <v>15575</v>
      </c>
      <c r="B5290" s="55"/>
      <c r="C5290" s="31"/>
    </row>
    <row r="5291">
      <c r="A5291" s="56" t="s">
        <v>15576</v>
      </c>
      <c r="B5291" s="55"/>
      <c r="C5291" s="31"/>
    </row>
    <row r="5292">
      <c r="A5292" s="56" t="s">
        <v>15577</v>
      </c>
      <c r="B5292" s="82"/>
      <c r="C5292" s="33" t="s">
        <v>15578</v>
      </c>
    </row>
    <row r="5293">
      <c r="A5293" s="56" t="s">
        <v>15580</v>
      </c>
      <c r="B5293" s="55"/>
      <c r="C5293" s="31"/>
    </row>
    <row r="5294">
      <c r="A5294" s="56" t="s">
        <v>15582</v>
      </c>
      <c r="B5294" s="55"/>
      <c r="C5294" s="31"/>
    </row>
    <row r="5295">
      <c r="A5295" s="56" t="s">
        <v>15583</v>
      </c>
      <c r="B5295" s="55"/>
      <c r="C5295" s="31"/>
    </row>
    <row r="5296">
      <c r="A5296" s="56" t="s">
        <v>15584</v>
      </c>
      <c r="B5296" s="82"/>
      <c r="C5296" s="33" t="s">
        <v>15585</v>
      </c>
    </row>
    <row r="5297">
      <c r="A5297" s="56" t="s">
        <v>15586</v>
      </c>
      <c r="B5297" s="55"/>
      <c r="C5297" s="31"/>
    </row>
    <row r="5298">
      <c r="A5298" s="56" t="s">
        <v>15587</v>
      </c>
      <c r="B5298" s="55"/>
      <c r="C5298" s="31"/>
    </row>
    <row r="5299">
      <c r="A5299" s="56" t="s">
        <v>15589</v>
      </c>
      <c r="B5299" s="55"/>
      <c r="C5299" s="31"/>
    </row>
    <row r="5300">
      <c r="A5300" s="56" t="s">
        <v>15590</v>
      </c>
      <c r="B5300" s="55"/>
      <c r="C5300" s="31"/>
    </row>
    <row r="5301">
      <c r="A5301" s="56" t="s">
        <v>15593</v>
      </c>
      <c r="B5301" s="55"/>
      <c r="C5301" s="31"/>
    </row>
    <row r="5302">
      <c r="A5302" s="56" t="s">
        <v>15594</v>
      </c>
      <c r="B5302" s="55"/>
      <c r="C5302" s="31"/>
    </row>
    <row r="5303">
      <c r="A5303" s="56" t="s">
        <v>15595</v>
      </c>
      <c r="B5303" s="55"/>
      <c r="C5303" s="31"/>
    </row>
    <row r="5304">
      <c r="A5304" s="56" t="s">
        <v>15596</v>
      </c>
      <c r="B5304" s="55"/>
      <c r="C5304" s="31"/>
    </row>
    <row r="5305">
      <c r="A5305" s="56" t="s">
        <v>15597</v>
      </c>
      <c r="B5305" s="55"/>
      <c r="C5305" s="31"/>
    </row>
    <row r="5306">
      <c r="A5306" s="56" t="s">
        <v>15599</v>
      </c>
      <c r="B5306" s="55"/>
      <c r="C5306" s="31"/>
    </row>
    <row r="5307">
      <c r="A5307" s="56" t="s">
        <v>15601</v>
      </c>
      <c r="B5307" s="55"/>
      <c r="C5307" s="31"/>
    </row>
    <row r="5308">
      <c r="A5308" s="56" t="s">
        <v>15603</v>
      </c>
      <c r="B5308" s="55"/>
      <c r="C5308" s="31"/>
    </row>
    <row r="5309">
      <c r="A5309" s="56" t="s">
        <v>15604</v>
      </c>
      <c r="B5309" s="55"/>
      <c r="C5309" s="31"/>
    </row>
    <row r="5310">
      <c r="A5310" s="56" t="s">
        <v>15605</v>
      </c>
      <c r="B5310" s="55"/>
      <c r="C5310" s="31"/>
    </row>
    <row r="5311">
      <c r="A5311" s="56" t="s">
        <v>15606</v>
      </c>
      <c r="B5311" s="55"/>
      <c r="C5311" s="31"/>
    </row>
    <row r="5312">
      <c r="A5312" s="56" t="s">
        <v>15607</v>
      </c>
      <c r="B5312" s="55"/>
      <c r="C5312" s="31"/>
    </row>
    <row r="5313">
      <c r="A5313" s="56" t="s">
        <v>15608</v>
      </c>
      <c r="B5313" s="82"/>
      <c r="C5313" s="33" t="s">
        <v>15610</v>
      </c>
    </row>
    <row r="5314">
      <c r="A5314" s="56" t="s">
        <v>15611</v>
      </c>
      <c r="B5314" s="55"/>
      <c r="C5314" s="31"/>
    </row>
    <row r="5315">
      <c r="A5315" s="56" t="s">
        <v>15613</v>
      </c>
      <c r="B5315" s="55"/>
      <c r="C5315" s="31"/>
    </row>
    <row r="5316">
      <c r="A5316" s="56" t="s">
        <v>15614</v>
      </c>
      <c r="B5316" s="55"/>
      <c r="C5316" s="31"/>
    </row>
    <row r="5317">
      <c r="A5317" s="56" t="s">
        <v>15616</v>
      </c>
      <c r="B5317" s="55"/>
      <c r="C5317" s="31"/>
    </row>
    <row r="5318">
      <c r="A5318" s="56" t="s">
        <v>15617</v>
      </c>
      <c r="B5318" s="55"/>
      <c r="C5318" s="31"/>
    </row>
    <row r="5319">
      <c r="A5319" s="56" t="s">
        <v>15618</v>
      </c>
      <c r="B5319" s="55"/>
      <c r="C5319" s="31"/>
    </row>
    <row r="5320">
      <c r="A5320" s="56" t="s">
        <v>15619</v>
      </c>
      <c r="B5320" s="55"/>
      <c r="C5320" s="31"/>
    </row>
    <row r="5321">
      <c r="A5321" s="56" t="s">
        <v>15620</v>
      </c>
      <c r="B5321" s="55"/>
      <c r="C5321" s="31"/>
    </row>
    <row r="5322">
      <c r="A5322" s="56" t="s">
        <v>15621</v>
      </c>
      <c r="B5322" s="55"/>
      <c r="C5322" s="31"/>
    </row>
    <row r="5323">
      <c r="A5323" s="56" t="s">
        <v>15623</v>
      </c>
      <c r="B5323" s="55"/>
      <c r="C5323" s="31"/>
    </row>
    <row r="5324">
      <c r="A5324" s="56" t="s">
        <v>15624</v>
      </c>
      <c r="B5324" s="55"/>
      <c r="C5324" s="31"/>
    </row>
    <row r="5325">
      <c r="A5325" s="56" t="s">
        <v>15625</v>
      </c>
      <c r="B5325" s="55"/>
      <c r="C5325" s="31"/>
    </row>
    <row r="5326">
      <c r="A5326" s="56" t="s">
        <v>15626</v>
      </c>
      <c r="B5326" s="55"/>
      <c r="C5326" s="31"/>
    </row>
    <row r="5327">
      <c r="A5327" s="56" t="s">
        <v>15628</v>
      </c>
      <c r="B5327" s="55"/>
      <c r="C5327" s="31"/>
    </row>
    <row r="5328">
      <c r="A5328" s="56" t="s">
        <v>15630</v>
      </c>
      <c r="B5328" s="55"/>
      <c r="C5328" s="31"/>
    </row>
    <row r="5329">
      <c r="A5329" s="56" t="s">
        <v>15631</v>
      </c>
      <c r="B5329" s="55"/>
      <c r="C5329" s="31"/>
    </row>
    <row r="5330">
      <c r="A5330" s="56" t="s">
        <v>15632</v>
      </c>
      <c r="B5330" s="55"/>
      <c r="C5330" s="31"/>
    </row>
    <row r="5331">
      <c r="A5331" s="56" t="s">
        <v>15633</v>
      </c>
      <c r="B5331" s="55"/>
      <c r="C5331" s="31"/>
    </row>
    <row r="5332">
      <c r="A5332" s="56" t="s">
        <v>15634</v>
      </c>
      <c r="B5332" s="55"/>
      <c r="C5332" s="31"/>
    </row>
    <row r="5333">
      <c r="A5333" s="56" t="s">
        <v>15635</v>
      </c>
      <c r="B5333" s="55"/>
      <c r="C5333" s="31"/>
    </row>
    <row r="5334">
      <c r="A5334" s="56" t="s">
        <v>15636</v>
      </c>
      <c r="B5334" s="55"/>
      <c r="C5334" s="31"/>
    </row>
    <row r="5335">
      <c r="A5335" s="56" t="s">
        <v>15637</v>
      </c>
      <c r="B5335" s="55"/>
      <c r="C5335" s="31"/>
    </row>
    <row r="5336">
      <c r="A5336" s="56" t="s">
        <v>15639</v>
      </c>
      <c r="B5336" s="55"/>
      <c r="C5336" s="31"/>
    </row>
    <row r="5337">
      <c r="A5337" s="56" t="s">
        <v>15640</v>
      </c>
      <c r="B5337" s="55"/>
      <c r="C5337" s="31"/>
    </row>
    <row r="5338">
      <c r="A5338" s="56" t="s">
        <v>15641</v>
      </c>
      <c r="B5338" s="55"/>
      <c r="C5338" s="31"/>
    </row>
    <row r="5339">
      <c r="A5339" s="56" t="s">
        <v>15644</v>
      </c>
      <c r="B5339" s="55"/>
      <c r="C5339" s="31"/>
    </row>
    <row r="5340">
      <c r="A5340" s="56" t="s">
        <v>15645</v>
      </c>
      <c r="B5340" s="55"/>
      <c r="C5340" s="31"/>
    </row>
    <row r="5341">
      <c r="A5341" s="56" t="s">
        <v>15646</v>
      </c>
      <c r="B5341" s="55"/>
      <c r="C5341" s="31"/>
    </row>
    <row r="5342">
      <c r="A5342" s="56" t="s">
        <v>15647</v>
      </c>
      <c r="B5342" s="55"/>
      <c r="C5342" s="31"/>
    </row>
    <row r="5343">
      <c r="A5343" s="56" t="s">
        <v>15648</v>
      </c>
      <c r="B5343" s="55"/>
      <c r="C5343" s="31"/>
    </row>
    <row r="5344">
      <c r="A5344" s="56" t="s">
        <v>15650</v>
      </c>
      <c r="B5344" s="55"/>
      <c r="C5344" s="31"/>
    </row>
    <row r="5345">
      <c r="A5345" s="56" t="s">
        <v>15651</v>
      </c>
      <c r="B5345" s="55"/>
      <c r="C5345" s="31"/>
    </row>
    <row r="5346">
      <c r="A5346" s="56" t="s">
        <v>15652</v>
      </c>
      <c r="B5346" s="55"/>
      <c r="C5346" s="31"/>
    </row>
    <row r="5347">
      <c r="A5347" s="56" t="s">
        <v>15654</v>
      </c>
      <c r="B5347" s="55"/>
      <c r="C5347" s="31"/>
    </row>
    <row r="5348">
      <c r="A5348" s="56" t="s">
        <v>15656</v>
      </c>
      <c r="B5348" s="55"/>
      <c r="C5348" s="31"/>
    </row>
    <row r="5349">
      <c r="A5349" s="56" t="s">
        <v>15657</v>
      </c>
      <c r="B5349" s="55"/>
      <c r="C5349" s="31"/>
    </row>
    <row r="5350">
      <c r="A5350" s="56" t="s">
        <v>15658</v>
      </c>
      <c r="B5350" s="55"/>
      <c r="C5350" s="31"/>
    </row>
    <row r="5351">
      <c r="A5351" s="56" t="s">
        <v>15659</v>
      </c>
      <c r="B5351" s="55"/>
      <c r="C5351" s="31"/>
    </row>
    <row r="5352">
      <c r="A5352" s="56" t="s">
        <v>15660</v>
      </c>
      <c r="B5352" s="55"/>
      <c r="C5352" s="31"/>
    </row>
    <row r="5353">
      <c r="A5353" s="56" t="s">
        <v>15662</v>
      </c>
      <c r="B5353" s="55"/>
      <c r="C5353" s="31"/>
    </row>
    <row r="5354">
      <c r="A5354" s="56" t="s">
        <v>15663</v>
      </c>
      <c r="B5354" s="55"/>
      <c r="C5354" s="31"/>
    </row>
    <row r="5355">
      <c r="A5355" s="56" t="s">
        <v>15666</v>
      </c>
      <c r="B5355" s="55"/>
      <c r="C5355" s="31"/>
    </row>
    <row r="5356">
      <c r="A5356" s="56" t="s">
        <v>15667</v>
      </c>
      <c r="B5356" s="55"/>
      <c r="C5356" s="31"/>
    </row>
    <row r="5357">
      <c r="A5357" s="56" t="s">
        <v>15668</v>
      </c>
      <c r="B5357" s="55"/>
      <c r="C5357" s="31"/>
    </row>
    <row r="5358">
      <c r="A5358" s="56" t="s">
        <v>15669</v>
      </c>
      <c r="B5358" s="55"/>
      <c r="C5358" s="31"/>
    </row>
    <row r="5359">
      <c r="A5359" s="56" t="s">
        <v>15670</v>
      </c>
      <c r="B5359" s="55"/>
      <c r="C5359" s="31"/>
    </row>
    <row r="5360">
      <c r="A5360" s="56" t="s">
        <v>15671</v>
      </c>
      <c r="B5360" s="55"/>
      <c r="C5360" s="31"/>
    </row>
    <row r="5361">
      <c r="A5361" s="56" t="s">
        <v>15672</v>
      </c>
      <c r="B5361" s="55"/>
      <c r="C5361" s="31"/>
    </row>
    <row r="5362">
      <c r="A5362" s="56" t="s">
        <v>15674</v>
      </c>
      <c r="B5362" s="55"/>
      <c r="C5362" s="31"/>
    </row>
    <row r="5363">
      <c r="A5363" s="56" t="s">
        <v>15676</v>
      </c>
      <c r="B5363" s="55"/>
      <c r="C5363" s="31"/>
    </row>
    <row r="5364">
      <c r="A5364" s="56" t="s">
        <v>15678</v>
      </c>
      <c r="B5364" s="55"/>
      <c r="C5364" s="31"/>
    </row>
    <row r="5365">
      <c r="A5365" s="56" t="s">
        <v>15679</v>
      </c>
      <c r="B5365" s="55"/>
      <c r="C5365" s="31"/>
    </row>
    <row r="5366">
      <c r="A5366" s="56" t="s">
        <v>15680</v>
      </c>
      <c r="B5366" s="55"/>
      <c r="C5366" s="31"/>
    </row>
    <row r="5367">
      <c r="A5367" s="56" t="s">
        <v>15681</v>
      </c>
      <c r="B5367" s="55"/>
      <c r="C5367" s="31"/>
    </row>
    <row r="5368">
      <c r="A5368" s="56" t="s">
        <v>15682</v>
      </c>
      <c r="B5368" s="55"/>
      <c r="C5368" s="31"/>
    </row>
    <row r="5369">
      <c r="A5369" s="56" t="s">
        <v>15684</v>
      </c>
      <c r="B5369" s="55"/>
      <c r="C5369" s="31"/>
    </row>
    <row r="5370">
      <c r="A5370" s="56" t="s">
        <v>15685</v>
      </c>
      <c r="B5370" s="55"/>
      <c r="C5370" s="31"/>
    </row>
    <row r="5371">
      <c r="A5371" s="56" t="s">
        <v>15686</v>
      </c>
      <c r="B5371" s="55"/>
      <c r="C5371" s="31"/>
    </row>
    <row r="5372">
      <c r="A5372" s="56" t="s">
        <v>15687</v>
      </c>
      <c r="B5372" s="55"/>
      <c r="C5372" s="31"/>
    </row>
    <row r="5373">
      <c r="A5373" s="56" t="s">
        <v>15689</v>
      </c>
      <c r="B5373" s="55"/>
      <c r="C5373" s="31"/>
    </row>
    <row r="5374">
      <c r="A5374" s="56" t="s">
        <v>15690</v>
      </c>
      <c r="B5374" s="82"/>
      <c r="C5374" s="33" t="s">
        <v>15692</v>
      </c>
    </row>
    <row r="5375">
      <c r="A5375" s="56" t="s">
        <v>15693</v>
      </c>
      <c r="B5375" s="55"/>
      <c r="C5375" s="31"/>
    </row>
    <row r="5376">
      <c r="A5376" s="56" t="s">
        <v>15694</v>
      </c>
      <c r="B5376" s="55"/>
      <c r="C5376" s="31"/>
    </row>
    <row r="5377">
      <c r="A5377" s="56" t="s">
        <v>15695</v>
      </c>
      <c r="B5377" s="55"/>
      <c r="C5377" s="31"/>
    </row>
    <row r="5378">
      <c r="A5378" s="56" t="s">
        <v>15696</v>
      </c>
      <c r="B5378" s="55"/>
      <c r="C5378" s="31"/>
    </row>
    <row r="5379">
      <c r="A5379" s="56" t="s">
        <v>15697</v>
      </c>
      <c r="B5379" s="82"/>
      <c r="C5379" s="33" t="s">
        <v>15698</v>
      </c>
    </row>
    <row r="5380">
      <c r="A5380" s="56" t="s">
        <v>15699</v>
      </c>
      <c r="B5380" s="55"/>
      <c r="C5380" s="31"/>
    </row>
    <row r="5381">
      <c r="A5381" s="56" t="s">
        <v>15701</v>
      </c>
      <c r="B5381" s="55"/>
      <c r="C5381" s="31"/>
    </row>
    <row r="5382">
      <c r="A5382" s="56" t="s">
        <v>15702</v>
      </c>
      <c r="B5382" s="55"/>
      <c r="C5382" s="31"/>
    </row>
    <row r="5383">
      <c r="A5383" s="56" t="s">
        <v>15703</v>
      </c>
      <c r="B5383" s="55"/>
      <c r="C5383" s="31"/>
    </row>
    <row r="5384">
      <c r="A5384" s="56" t="s">
        <v>15704</v>
      </c>
      <c r="B5384" s="55"/>
      <c r="C5384" s="31"/>
    </row>
    <row r="5385">
      <c r="A5385" s="56" t="s">
        <v>15705</v>
      </c>
      <c r="B5385" s="55"/>
      <c r="C5385" s="31"/>
    </row>
    <row r="5386">
      <c r="A5386" s="56" t="s">
        <v>15707</v>
      </c>
      <c r="B5386" s="55"/>
      <c r="C5386" s="31"/>
    </row>
    <row r="5387">
      <c r="A5387" s="56" t="s">
        <v>15708</v>
      </c>
      <c r="B5387" s="55"/>
      <c r="C5387" s="31"/>
    </row>
    <row r="5388">
      <c r="A5388" s="56" t="s">
        <v>15710</v>
      </c>
      <c r="B5388" s="55"/>
      <c r="C5388" s="31"/>
    </row>
    <row r="5389">
      <c r="A5389" s="56" t="s">
        <v>15711</v>
      </c>
      <c r="B5389" s="55"/>
      <c r="C5389" s="31"/>
    </row>
    <row r="5390">
      <c r="A5390" s="56" t="s">
        <v>15713</v>
      </c>
      <c r="B5390" s="55"/>
      <c r="C5390" s="31"/>
    </row>
    <row r="5391">
      <c r="A5391" s="56" t="s">
        <v>15714</v>
      </c>
      <c r="B5391" s="55"/>
      <c r="C5391" s="31"/>
    </row>
    <row r="5392">
      <c r="A5392" s="56" t="s">
        <v>15715</v>
      </c>
      <c r="B5392" s="55"/>
      <c r="C5392" s="31"/>
    </row>
    <row r="5393">
      <c r="A5393" s="56" t="s">
        <v>15716</v>
      </c>
      <c r="B5393" s="55"/>
      <c r="C5393" s="31"/>
    </row>
    <row r="5394">
      <c r="A5394" s="56" t="s">
        <v>15717</v>
      </c>
      <c r="B5394" s="55"/>
      <c r="C5394" s="31"/>
    </row>
    <row r="5395">
      <c r="A5395" s="56" t="s">
        <v>15718</v>
      </c>
      <c r="B5395" s="55"/>
      <c r="C5395" s="31"/>
    </row>
    <row r="5396">
      <c r="A5396" s="56" t="s">
        <v>15719</v>
      </c>
      <c r="B5396" s="55"/>
      <c r="C5396" s="31"/>
    </row>
    <row r="5397">
      <c r="A5397" s="56" t="s">
        <v>15722</v>
      </c>
      <c r="B5397" s="55"/>
      <c r="C5397" s="31"/>
    </row>
    <row r="5398">
      <c r="A5398" s="56" t="s">
        <v>15724</v>
      </c>
      <c r="B5398" s="55"/>
      <c r="C5398" s="31"/>
    </row>
    <row r="5399">
      <c r="A5399" s="56" t="s">
        <v>15725</v>
      </c>
      <c r="B5399" s="55"/>
      <c r="C5399" s="31"/>
    </row>
    <row r="5400">
      <c r="A5400" s="56" t="s">
        <v>15726</v>
      </c>
      <c r="B5400" s="55"/>
      <c r="C5400" s="31"/>
    </row>
    <row r="5401">
      <c r="A5401" s="56" t="s">
        <v>15727</v>
      </c>
      <c r="B5401" s="55"/>
      <c r="C5401" s="31"/>
    </row>
    <row r="5402">
      <c r="A5402" s="56" t="s">
        <v>15728</v>
      </c>
      <c r="B5402" s="55"/>
      <c r="C5402" s="31"/>
    </row>
    <row r="5403">
      <c r="A5403" s="56" t="s">
        <v>15729</v>
      </c>
      <c r="B5403" s="55"/>
      <c r="C5403" s="31"/>
    </row>
    <row r="5404">
      <c r="A5404" s="56" t="s">
        <v>15732</v>
      </c>
      <c r="B5404" s="55"/>
      <c r="C5404" s="31"/>
    </row>
    <row r="5405">
      <c r="A5405" s="56" t="s">
        <v>15734</v>
      </c>
      <c r="B5405" s="55"/>
      <c r="C5405" s="31"/>
    </row>
    <row r="5406">
      <c r="A5406" s="56" t="s">
        <v>15735</v>
      </c>
      <c r="B5406" s="55"/>
      <c r="C5406" s="31"/>
    </row>
    <row r="5407">
      <c r="A5407" s="56" t="s">
        <v>15736</v>
      </c>
      <c r="B5407" s="55"/>
      <c r="C5407" s="31"/>
    </row>
    <row r="5408">
      <c r="A5408" s="56" t="s">
        <v>15737</v>
      </c>
      <c r="B5408" s="55"/>
      <c r="C5408" s="31"/>
    </row>
    <row r="5409">
      <c r="A5409" s="56" t="s">
        <v>15738</v>
      </c>
      <c r="B5409" s="55"/>
      <c r="C5409" s="31"/>
    </row>
    <row r="5410">
      <c r="A5410" s="56" t="s">
        <v>15739</v>
      </c>
      <c r="B5410" s="55"/>
      <c r="C5410" s="31"/>
    </row>
    <row r="5411">
      <c r="A5411" s="56" t="s">
        <v>15741</v>
      </c>
      <c r="B5411" s="55"/>
      <c r="C5411" s="31"/>
    </row>
    <row r="5412">
      <c r="A5412" s="56" t="s">
        <v>15744</v>
      </c>
      <c r="B5412" s="55"/>
      <c r="C5412" s="31"/>
    </row>
    <row r="5413">
      <c r="A5413" s="56" t="s">
        <v>15745</v>
      </c>
      <c r="B5413" s="82"/>
      <c r="C5413" s="33" t="s">
        <v>15746</v>
      </c>
    </row>
    <row r="5414">
      <c r="A5414" s="56" t="s">
        <v>15747</v>
      </c>
      <c r="B5414" s="82"/>
      <c r="C5414" s="33" t="s">
        <v>11373</v>
      </c>
      <c r="E5414" s="46" t="s">
        <v>7616</v>
      </c>
    </row>
    <row r="5415">
      <c r="A5415" s="56" t="s">
        <v>15748</v>
      </c>
      <c r="B5415" s="82"/>
      <c r="C5415" s="33" t="s">
        <v>11373</v>
      </c>
      <c r="E5415" s="46" t="s">
        <v>7618</v>
      </c>
    </row>
    <row r="5416">
      <c r="A5416" s="56" t="s">
        <v>15749</v>
      </c>
      <c r="B5416" s="82"/>
      <c r="C5416" s="33" t="s">
        <v>11376</v>
      </c>
      <c r="E5416" s="46" t="s">
        <v>7616</v>
      </c>
    </row>
    <row r="5417">
      <c r="A5417" s="56" t="s">
        <v>15752</v>
      </c>
      <c r="B5417" s="82"/>
      <c r="C5417" s="33" t="s">
        <v>11376</v>
      </c>
      <c r="E5417" s="46" t="s">
        <v>7618</v>
      </c>
    </row>
    <row r="5418">
      <c r="A5418" s="56" t="s">
        <v>15754</v>
      </c>
      <c r="B5418" s="82"/>
      <c r="C5418" s="33" t="s">
        <v>11380</v>
      </c>
      <c r="E5418" s="46" t="s">
        <v>7616</v>
      </c>
    </row>
    <row r="5419">
      <c r="A5419" s="56" t="s">
        <v>15755</v>
      </c>
      <c r="B5419" s="82"/>
      <c r="C5419" s="33" t="s">
        <v>11380</v>
      </c>
      <c r="E5419" s="46" t="s">
        <v>7618</v>
      </c>
    </row>
    <row r="5420">
      <c r="A5420" s="56" t="s">
        <v>15756</v>
      </c>
      <c r="B5420" s="79"/>
      <c r="C5420" s="33" t="s">
        <v>11384</v>
      </c>
      <c r="E5420" s="46" t="s">
        <v>1348</v>
      </c>
    </row>
    <row r="5421">
      <c r="A5421" s="56" t="s">
        <v>15757</v>
      </c>
      <c r="B5421" s="79"/>
      <c r="C5421" s="33" t="s">
        <v>11384</v>
      </c>
      <c r="E5421" s="46" t="s">
        <v>1348</v>
      </c>
    </row>
    <row r="5422">
      <c r="A5422" s="56" t="s">
        <v>15759</v>
      </c>
      <c r="B5422" s="79"/>
      <c r="C5422" s="33" t="s">
        <v>11389</v>
      </c>
      <c r="E5422" s="46" t="s">
        <v>1348</v>
      </c>
    </row>
    <row r="5423">
      <c r="A5423" s="56" t="s">
        <v>15762</v>
      </c>
      <c r="B5423" s="21"/>
      <c r="C5423" s="33" t="s">
        <v>11391</v>
      </c>
      <c r="E5423" s="46" t="s">
        <v>7616</v>
      </c>
    </row>
    <row r="5424">
      <c r="A5424" s="56" t="s">
        <v>15763</v>
      </c>
      <c r="B5424" s="21"/>
      <c r="C5424" s="33" t="s">
        <v>11391</v>
      </c>
      <c r="E5424" s="46" t="s">
        <v>7618</v>
      </c>
    </row>
    <row r="5425">
      <c r="A5425" s="56" t="s">
        <v>15764</v>
      </c>
      <c r="B5425" s="21"/>
      <c r="C5425" s="33" t="s">
        <v>11394</v>
      </c>
      <c r="E5425" s="46" t="s">
        <v>7616</v>
      </c>
    </row>
    <row r="5426">
      <c r="A5426" s="56" t="s">
        <v>15765</v>
      </c>
      <c r="B5426" s="21"/>
      <c r="C5426" s="33" t="s">
        <v>11394</v>
      </c>
      <c r="E5426" s="46" t="s">
        <v>7618</v>
      </c>
    </row>
    <row r="5427">
      <c r="A5427" s="56" t="s">
        <v>15767</v>
      </c>
      <c r="B5427" s="21"/>
      <c r="C5427" s="33" t="s">
        <v>11398</v>
      </c>
      <c r="E5427" s="46" t="s">
        <v>7616</v>
      </c>
    </row>
    <row r="5428">
      <c r="A5428" s="56" t="s">
        <v>15769</v>
      </c>
      <c r="B5428" s="21"/>
      <c r="C5428" s="33" t="s">
        <v>11398</v>
      </c>
      <c r="E5428" s="46" t="s">
        <v>7618</v>
      </c>
    </row>
    <row r="5429">
      <c r="A5429" s="56" t="s">
        <v>15771</v>
      </c>
      <c r="B5429" s="21"/>
      <c r="C5429" s="33" t="s">
        <v>11391</v>
      </c>
      <c r="E5429" s="46" t="s">
        <v>7616</v>
      </c>
    </row>
    <row r="5430">
      <c r="A5430" s="56" t="s">
        <v>15772</v>
      </c>
      <c r="B5430" s="21"/>
      <c r="C5430" s="33" t="s">
        <v>11391</v>
      </c>
      <c r="E5430" s="46" t="s">
        <v>7618</v>
      </c>
    </row>
    <row r="5431">
      <c r="A5431" s="56" t="s">
        <v>15773</v>
      </c>
      <c r="B5431" s="21"/>
      <c r="C5431" s="33" t="s">
        <v>11394</v>
      </c>
      <c r="E5431" s="46" t="s">
        <v>7616</v>
      </c>
    </row>
    <row r="5432">
      <c r="A5432" s="56" t="s">
        <v>15774</v>
      </c>
      <c r="B5432" s="21"/>
      <c r="C5432" s="33" t="s">
        <v>11394</v>
      </c>
      <c r="E5432" s="46" t="s">
        <v>7618</v>
      </c>
    </row>
    <row r="5433">
      <c r="A5433" s="56" t="s">
        <v>15777</v>
      </c>
      <c r="B5433" s="21"/>
      <c r="C5433" s="33" t="s">
        <v>11398</v>
      </c>
      <c r="E5433" s="46" t="s">
        <v>7616</v>
      </c>
    </row>
    <row r="5434">
      <c r="A5434" s="56" t="s">
        <v>15779</v>
      </c>
      <c r="B5434" s="21"/>
      <c r="C5434" s="33" t="s">
        <v>11398</v>
      </c>
      <c r="E5434" s="46" t="s">
        <v>7618</v>
      </c>
    </row>
    <row r="5435">
      <c r="A5435" s="56" t="s">
        <v>15780</v>
      </c>
      <c r="B5435" s="21"/>
      <c r="C5435" s="33" t="s">
        <v>11411</v>
      </c>
      <c r="E5435" s="46" t="s">
        <v>7616</v>
      </c>
    </row>
    <row r="5436">
      <c r="A5436" s="56" t="s">
        <v>15781</v>
      </c>
      <c r="B5436" s="21"/>
      <c r="C5436" s="33" t="s">
        <v>11411</v>
      </c>
      <c r="E5436" s="46" t="s">
        <v>7618</v>
      </c>
    </row>
    <row r="5437">
      <c r="A5437" s="56" t="s">
        <v>15782</v>
      </c>
      <c r="B5437" s="21"/>
      <c r="C5437" s="33" t="s">
        <v>11416</v>
      </c>
      <c r="E5437" s="46" t="s">
        <v>7616</v>
      </c>
    </row>
    <row r="5438">
      <c r="A5438" s="56" t="s">
        <v>15784</v>
      </c>
      <c r="B5438" s="21"/>
      <c r="C5438" s="33" t="s">
        <v>11416</v>
      </c>
      <c r="E5438" s="46" t="s">
        <v>7618</v>
      </c>
    </row>
    <row r="5439">
      <c r="A5439" s="56" t="s">
        <v>15787</v>
      </c>
      <c r="B5439" s="21"/>
      <c r="C5439" s="33" t="s">
        <v>11419</v>
      </c>
      <c r="E5439" s="46" t="s">
        <v>7616</v>
      </c>
    </row>
    <row r="5440">
      <c r="A5440" s="56" t="s">
        <v>15788</v>
      </c>
      <c r="B5440" s="21"/>
      <c r="C5440" s="33" t="s">
        <v>11419</v>
      </c>
      <c r="E5440" s="46" t="s">
        <v>7618</v>
      </c>
    </row>
    <row r="5441">
      <c r="A5441" s="56" t="s">
        <v>15789</v>
      </c>
      <c r="B5441" s="21"/>
      <c r="C5441" s="33" t="s">
        <v>11411</v>
      </c>
      <c r="E5441" s="46" t="s">
        <v>7616</v>
      </c>
    </row>
    <row r="5442">
      <c r="A5442" s="56" t="s">
        <v>15790</v>
      </c>
      <c r="B5442" s="21"/>
      <c r="C5442" s="33" t="s">
        <v>11411</v>
      </c>
      <c r="E5442" s="46" t="s">
        <v>7618</v>
      </c>
    </row>
    <row r="5443">
      <c r="A5443" s="56" t="s">
        <v>15791</v>
      </c>
      <c r="B5443" s="21"/>
      <c r="C5443" s="33" t="s">
        <v>11416</v>
      </c>
      <c r="E5443" s="46" t="s">
        <v>7616</v>
      </c>
    </row>
    <row r="5444">
      <c r="A5444" s="56" t="s">
        <v>15795</v>
      </c>
      <c r="B5444" s="21"/>
      <c r="C5444" s="33" t="s">
        <v>11416</v>
      </c>
      <c r="E5444" s="46" t="s">
        <v>7618</v>
      </c>
    </row>
    <row r="5445">
      <c r="A5445" s="56" t="s">
        <v>15796</v>
      </c>
      <c r="B5445" s="21"/>
      <c r="C5445" s="33" t="s">
        <v>11419</v>
      </c>
      <c r="E5445" s="46" t="s">
        <v>7616</v>
      </c>
    </row>
    <row r="5446">
      <c r="A5446" s="56" t="s">
        <v>15797</v>
      </c>
      <c r="B5446" s="21"/>
      <c r="C5446" s="33" t="s">
        <v>11419</v>
      </c>
      <c r="E5446" s="46" t="s">
        <v>7618</v>
      </c>
    </row>
    <row r="5447">
      <c r="A5447" s="56" t="s">
        <v>15798</v>
      </c>
      <c r="B5447" s="55"/>
      <c r="C5447" s="31"/>
    </row>
    <row r="5448">
      <c r="A5448" s="56" t="s">
        <v>15799</v>
      </c>
      <c r="B5448" s="55"/>
      <c r="C5448" s="31"/>
    </row>
    <row r="5449">
      <c r="A5449" s="56" t="s">
        <v>15800</v>
      </c>
      <c r="B5449" s="55"/>
      <c r="C5449" s="31"/>
    </row>
    <row r="5450">
      <c r="A5450" s="56" t="s">
        <v>15802</v>
      </c>
      <c r="B5450" s="55"/>
      <c r="C5450" s="31"/>
    </row>
    <row r="5451">
      <c r="A5451" s="56" t="s">
        <v>15804</v>
      </c>
      <c r="B5451" s="55"/>
      <c r="C5451" s="31"/>
    </row>
    <row r="5452">
      <c r="A5452" s="56" t="s">
        <v>15806</v>
      </c>
      <c r="B5452" s="55"/>
      <c r="C5452" s="31"/>
    </row>
    <row r="5453">
      <c r="A5453" s="56" t="s">
        <v>15807</v>
      </c>
      <c r="B5453" s="55"/>
      <c r="C5453" s="31"/>
    </row>
    <row r="5454">
      <c r="A5454" s="56" t="s">
        <v>15808</v>
      </c>
      <c r="B5454" s="55"/>
      <c r="C5454" s="31"/>
    </row>
    <row r="5455">
      <c r="A5455" s="56" t="s">
        <v>15809</v>
      </c>
      <c r="B5455" s="82"/>
      <c r="C5455" s="33" t="s">
        <v>15810</v>
      </c>
    </row>
    <row r="5456">
      <c r="A5456" s="56" t="s">
        <v>15811</v>
      </c>
      <c r="B5456" s="82"/>
      <c r="C5456" s="33" t="s">
        <v>11373</v>
      </c>
      <c r="E5456" s="46" t="s">
        <v>7616</v>
      </c>
    </row>
    <row r="5457">
      <c r="A5457" s="56" t="s">
        <v>15813</v>
      </c>
      <c r="B5457" s="82"/>
      <c r="C5457" s="33" t="s">
        <v>11373</v>
      </c>
      <c r="E5457" s="46" t="s">
        <v>7618</v>
      </c>
    </row>
    <row r="5458">
      <c r="A5458" s="56" t="s">
        <v>15814</v>
      </c>
      <c r="B5458" s="82"/>
      <c r="C5458" s="33" t="s">
        <v>11376</v>
      </c>
      <c r="E5458" s="46" t="s">
        <v>7616</v>
      </c>
    </row>
    <row r="5459">
      <c r="A5459" s="56" t="s">
        <v>15815</v>
      </c>
      <c r="B5459" s="82"/>
      <c r="C5459" s="33" t="s">
        <v>11376</v>
      </c>
      <c r="E5459" s="46" t="s">
        <v>7618</v>
      </c>
    </row>
    <row r="5460">
      <c r="A5460" s="56" t="s">
        <v>15816</v>
      </c>
      <c r="B5460" s="82"/>
      <c r="C5460" s="33" t="s">
        <v>11380</v>
      </c>
      <c r="E5460" s="46" t="s">
        <v>7616</v>
      </c>
    </row>
    <row r="5461">
      <c r="A5461" s="56" t="s">
        <v>15818</v>
      </c>
      <c r="B5461" s="82"/>
      <c r="C5461" s="33" t="s">
        <v>11380</v>
      </c>
      <c r="E5461" s="46" t="s">
        <v>7618</v>
      </c>
    </row>
    <row r="5462">
      <c r="A5462" s="56" t="s">
        <v>15821</v>
      </c>
      <c r="B5462" s="79"/>
      <c r="C5462" s="33" t="s">
        <v>11384</v>
      </c>
      <c r="E5462" s="46" t="s">
        <v>1348</v>
      </c>
    </row>
    <row r="5463">
      <c r="A5463" s="56" t="s">
        <v>15822</v>
      </c>
      <c r="B5463" s="79"/>
      <c r="C5463" s="33" t="s">
        <v>11384</v>
      </c>
      <c r="E5463" s="46" t="s">
        <v>1348</v>
      </c>
    </row>
    <row r="5464">
      <c r="A5464" s="56" t="s">
        <v>15825</v>
      </c>
      <c r="B5464" s="79"/>
      <c r="C5464" s="33" t="s">
        <v>11389</v>
      </c>
      <c r="E5464" s="46" t="s">
        <v>1348</v>
      </c>
    </row>
    <row r="5465">
      <c r="A5465" s="56" t="s">
        <v>15827</v>
      </c>
      <c r="B5465" s="21"/>
      <c r="C5465" s="33" t="s">
        <v>11391</v>
      </c>
      <c r="E5465" s="46" t="s">
        <v>7616</v>
      </c>
    </row>
    <row r="5466">
      <c r="A5466" s="56" t="s">
        <v>15829</v>
      </c>
      <c r="B5466" s="21"/>
      <c r="C5466" s="33" t="s">
        <v>11391</v>
      </c>
      <c r="E5466" s="46" t="s">
        <v>7618</v>
      </c>
    </row>
    <row r="5467">
      <c r="A5467" s="56" t="s">
        <v>15830</v>
      </c>
      <c r="B5467" s="21"/>
      <c r="C5467" s="33" t="s">
        <v>11394</v>
      </c>
      <c r="E5467" s="46" t="s">
        <v>7616</v>
      </c>
    </row>
    <row r="5468">
      <c r="A5468" s="56" t="s">
        <v>15831</v>
      </c>
      <c r="B5468" s="21"/>
      <c r="C5468" s="33" t="s">
        <v>11394</v>
      </c>
      <c r="E5468" s="46" t="s">
        <v>7618</v>
      </c>
    </row>
    <row r="5469">
      <c r="A5469" s="56" t="s">
        <v>15834</v>
      </c>
      <c r="B5469" s="21"/>
      <c r="C5469" s="33" t="s">
        <v>11398</v>
      </c>
      <c r="E5469" s="46" t="s">
        <v>7616</v>
      </c>
    </row>
    <row r="5470">
      <c r="A5470" s="56" t="s">
        <v>15836</v>
      </c>
      <c r="B5470" s="21"/>
      <c r="C5470" s="33" t="s">
        <v>11398</v>
      </c>
      <c r="E5470" s="46" t="s">
        <v>7618</v>
      </c>
    </row>
    <row r="5471">
      <c r="A5471" s="56" t="s">
        <v>15838</v>
      </c>
      <c r="B5471" s="21"/>
      <c r="C5471" s="33" t="s">
        <v>11391</v>
      </c>
      <c r="E5471" s="46" t="s">
        <v>7616</v>
      </c>
    </row>
    <row r="5472">
      <c r="A5472" s="56" t="s">
        <v>15841</v>
      </c>
      <c r="B5472" s="21"/>
      <c r="C5472" s="33" t="s">
        <v>11391</v>
      </c>
      <c r="E5472" s="46" t="s">
        <v>7618</v>
      </c>
    </row>
    <row r="5473">
      <c r="A5473" s="56" t="s">
        <v>15842</v>
      </c>
      <c r="B5473" s="21"/>
      <c r="C5473" s="33" t="s">
        <v>11394</v>
      </c>
      <c r="E5473" s="46" t="s">
        <v>7616</v>
      </c>
    </row>
    <row r="5474">
      <c r="A5474" s="56" t="s">
        <v>15843</v>
      </c>
      <c r="B5474" s="21"/>
      <c r="C5474" s="33" t="s">
        <v>11394</v>
      </c>
      <c r="E5474" s="46" t="s">
        <v>7618</v>
      </c>
    </row>
    <row r="5475">
      <c r="A5475" s="56" t="s">
        <v>15844</v>
      </c>
      <c r="B5475" s="21"/>
      <c r="C5475" s="33" t="s">
        <v>11398</v>
      </c>
      <c r="E5475" s="46" t="s">
        <v>7616</v>
      </c>
    </row>
    <row r="5476">
      <c r="A5476" s="56" t="s">
        <v>15845</v>
      </c>
      <c r="B5476" s="21"/>
      <c r="C5476" s="33" t="s">
        <v>11398</v>
      </c>
      <c r="E5476" s="46" t="s">
        <v>7618</v>
      </c>
    </row>
    <row r="5477">
      <c r="A5477" s="56" t="s">
        <v>15848</v>
      </c>
      <c r="B5477" s="21"/>
      <c r="C5477" s="33" t="s">
        <v>11411</v>
      </c>
      <c r="E5477" s="46" t="s">
        <v>7616</v>
      </c>
    </row>
    <row r="5478">
      <c r="A5478" s="56" t="s">
        <v>15849</v>
      </c>
      <c r="B5478" s="21"/>
      <c r="C5478" s="33" t="s">
        <v>11411</v>
      </c>
      <c r="E5478" s="46" t="s">
        <v>7618</v>
      </c>
    </row>
    <row r="5479">
      <c r="A5479" s="56" t="s">
        <v>15851</v>
      </c>
      <c r="B5479" s="21"/>
      <c r="C5479" s="33" t="s">
        <v>11416</v>
      </c>
      <c r="E5479" s="46" t="s">
        <v>7616</v>
      </c>
    </row>
    <row r="5480">
      <c r="A5480" s="56" t="s">
        <v>15852</v>
      </c>
      <c r="B5480" s="21"/>
      <c r="C5480" s="33" t="s">
        <v>11416</v>
      </c>
      <c r="E5480" s="46" t="s">
        <v>7618</v>
      </c>
    </row>
    <row r="5481">
      <c r="A5481" s="56" t="s">
        <v>15853</v>
      </c>
      <c r="B5481" s="21"/>
      <c r="C5481" s="33" t="s">
        <v>11419</v>
      </c>
      <c r="E5481" s="46" t="s">
        <v>7616</v>
      </c>
    </row>
    <row r="5482">
      <c r="A5482" s="56" t="s">
        <v>15854</v>
      </c>
      <c r="B5482" s="21"/>
      <c r="C5482" s="33" t="s">
        <v>11419</v>
      </c>
      <c r="E5482" s="46" t="s">
        <v>7618</v>
      </c>
    </row>
    <row r="5483">
      <c r="A5483" s="56" t="s">
        <v>15855</v>
      </c>
      <c r="B5483" s="21"/>
      <c r="C5483" s="33" t="s">
        <v>11411</v>
      </c>
      <c r="E5483" s="46" t="s">
        <v>7616</v>
      </c>
    </row>
    <row r="5484">
      <c r="A5484" s="56" t="s">
        <v>15856</v>
      </c>
      <c r="B5484" s="21"/>
      <c r="C5484" s="33" t="s">
        <v>11411</v>
      </c>
      <c r="E5484" s="46" t="s">
        <v>7618</v>
      </c>
    </row>
    <row r="5485">
      <c r="A5485" s="56" t="s">
        <v>15857</v>
      </c>
      <c r="B5485" s="21"/>
      <c r="C5485" s="33" t="s">
        <v>11416</v>
      </c>
      <c r="E5485" s="46" t="s">
        <v>7616</v>
      </c>
    </row>
    <row r="5486">
      <c r="A5486" s="56" t="s">
        <v>15859</v>
      </c>
      <c r="B5486" s="21"/>
      <c r="C5486" s="33" t="s">
        <v>11416</v>
      </c>
      <c r="E5486" s="46" t="s">
        <v>7618</v>
      </c>
    </row>
    <row r="5487">
      <c r="A5487" s="56" t="s">
        <v>15860</v>
      </c>
      <c r="B5487" s="21"/>
      <c r="C5487" s="33" t="s">
        <v>11419</v>
      </c>
      <c r="E5487" s="46" t="s">
        <v>7616</v>
      </c>
    </row>
    <row r="5488">
      <c r="A5488" s="56" t="s">
        <v>15862</v>
      </c>
      <c r="B5488" s="21"/>
      <c r="C5488" s="33" t="s">
        <v>11419</v>
      </c>
      <c r="E5488" s="46" t="s">
        <v>7618</v>
      </c>
    </row>
    <row r="5489">
      <c r="A5489" s="56" t="s">
        <v>15865</v>
      </c>
      <c r="B5489" s="55"/>
      <c r="C5489" s="31"/>
    </row>
    <row r="5490">
      <c r="A5490" s="56" t="s">
        <v>15866</v>
      </c>
      <c r="B5490" s="82"/>
      <c r="C5490" s="33" t="s">
        <v>15867</v>
      </c>
    </row>
    <row r="5491">
      <c r="A5491" s="56" t="s">
        <v>15868</v>
      </c>
      <c r="B5491" s="55"/>
      <c r="C5491" s="31"/>
    </row>
    <row r="5492">
      <c r="A5492" s="56" t="s">
        <v>15870</v>
      </c>
      <c r="B5492" s="55"/>
      <c r="C5492" s="31"/>
    </row>
    <row r="5493">
      <c r="A5493" s="56" t="s">
        <v>15871</v>
      </c>
      <c r="B5493" s="55"/>
      <c r="C5493" s="31"/>
    </row>
    <row r="5494">
      <c r="A5494" s="56" t="s">
        <v>15872</v>
      </c>
      <c r="B5494" s="55"/>
      <c r="C5494" s="31"/>
    </row>
    <row r="5495">
      <c r="A5495" s="56" t="s">
        <v>15873</v>
      </c>
      <c r="B5495" s="55"/>
      <c r="C5495" s="31"/>
    </row>
    <row r="5496">
      <c r="A5496" s="56" t="s">
        <v>15874</v>
      </c>
      <c r="B5496" s="55"/>
      <c r="C5496" s="31"/>
    </row>
    <row r="5497">
      <c r="A5497" s="56" t="s">
        <v>15876</v>
      </c>
      <c r="B5497" s="55"/>
      <c r="C5497" s="31"/>
    </row>
    <row r="5498">
      <c r="A5498" s="56" t="s">
        <v>15878</v>
      </c>
      <c r="B5498" s="55"/>
      <c r="C5498" s="31"/>
    </row>
    <row r="5499">
      <c r="A5499" s="56" t="s">
        <v>15880</v>
      </c>
      <c r="B5499" s="55"/>
      <c r="C5499" s="31"/>
    </row>
    <row r="5500">
      <c r="A5500" s="56" t="s">
        <v>15881</v>
      </c>
      <c r="B5500" s="55"/>
      <c r="C5500" s="31"/>
    </row>
    <row r="5501">
      <c r="A5501" s="56" t="s">
        <v>15882</v>
      </c>
      <c r="B5501" s="55"/>
      <c r="C5501" s="31"/>
    </row>
    <row r="5502">
      <c r="A5502" s="56" t="s">
        <v>15883</v>
      </c>
      <c r="B5502" s="55"/>
      <c r="C5502" s="31"/>
    </row>
    <row r="5503">
      <c r="A5503" s="56" t="s">
        <v>15884</v>
      </c>
      <c r="B5503" s="55"/>
      <c r="C5503" s="31"/>
    </row>
    <row r="5504">
      <c r="A5504" s="56" t="s">
        <v>15885</v>
      </c>
      <c r="B5504" s="55"/>
      <c r="C5504" s="31"/>
    </row>
    <row r="5505">
      <c r="A5505" s="56" t="s">
        <v>15886</v>
      </c>
      <c r="B5505" s="55"/>
      <c r="C5505" s="31"/>
    </row>
    <row r="5506">
      <c r="A5506" s="56" t="s">
        <v>15888</v>
      </c>
      <c r="B5506" s="55"/>
      <c r="C5506" s="31"/>
    </row>
    <row r="5507">
      <c r="A5507" s="56" t="s">
        <v>15890</v>
      </c>
      <c r="B5507" s="55"/>
      <c r="C5507" s="31"/>
    </row>
    <row r="5508">
      <c r="A5508" s="56" t="s">
        <v>15891</v>
      </c>
      <c r="B5508" s="55"/>
      <c r="C5508" s="31"/>
    </row>
    <row r="5509">
      <c r="A5509" s="56" t="s">
        <v>15893</v>
      </c>
      <c r="B5509" s="55"/>
      <c r="C5509" s="31"/>
    </row>
    <row r="5510">
      <c r="A5510" s="56" t="s">
        <v>15894</v>
      </c>
      <c r="B5510" s="55"/>
      <c r="C5510" s="31"/>
    </row>
    <row r="5511">
      <c r="A5511" s="56" t="s">
        <v>15895</v>
      </c>
      <c r="B5511" s="55"/>
      <c r="C5511" s="31"/>
    </row>
    <row r="5512">
      <c r="A5512" s="56" t="s">
        <v>15896</v>
      </c>
      <c r="B5512" s="55"/>
      <c r="C5512" s="31"/>
    </row>
    <row r="5513">
      <c r="A5513" s="56" t="s">
        <v>15897</v>
      </c>
      <c r="B5513" s="55"/>
      <c r="C5513" s="31"/>
    </row>
    <row r="5514">
      <c r="A5514" s="56" t="s">
        <v>15899</v>
      </c>
      <c r="B5514" s="55"/>
      <c r="C5514" s="31"/>
    </row>
    <row r="5515">
      <c r="A5515" s="56" t="s">
        <v>15902</v>
      </c>
      <c r="B5515" s="55"/>
      <c r="C5515" s="31"/>
    </row>
    <row r="5516">
      <c r="A5516" s="56" t="s">
        <v>15903</v>
      </c>
      <c r="B5516" s="55"/>
      <c r="C5516" s="31"/>
    </row>
    <row r="5517">
      <c r="A5517" s="56" t="s">
        <v>15904</v>
      </c>
      <c r="B5517" s="55"/>
      <c r="C5517" s="31"/>
    </row>
    <row r="5518">
      <c r="A5518" s="56" t="s">
        <v>15905</v>
      </c>
      <c r="B5518" s="55"/>
      <c r="C5518" s="31"/>
    </row>
    <row r="5519">
      <c r="A5519" s="56" t="s">
        <v>15907</v>
      </c>
      <c r="B5519" s="55"/>
      <c r="C5519" s="31"/>
    </row>
    <row r="5520">
      <c r="A5520" s="56" t="s">
        <v>15909</v>
      </c>
      <c r="B5520" s="55"/>
      <c r="C5520" s="31"/>
    </row>
    <row r="5521">
      <c r="A5521" s="56" t="s">
        <v>15910</v>
      </c>
      <c r="B5521" s="55"/>
      <c r="C5521" s="31"/>
    </row>
    <row r="5522">
      <c r="A5522" s="56" t="s">
        <v>15911</v>
      </c>
      <c r="B5522" s="55"/>
      <c r="C5522" s="31"/>
    </row>
    <row r="5523">
      <c r="A5523" s="56" t="s">
        <v>15912</v>
      </c>
      <c r="B5523" s="55"/>
      <c r="C5523" s="31"/>
    </row>
    <row r="5524">
      <c r="A5524" s="56" t="s">
        <v>15914</v>
      </c>
      <c r="B5524" s="55"/>
      <c r="C5524" s="31"/>
    </row>
    <row r="5525">
      <c r="A5525" s="56" t="s">
        <v>15915</v>
      </c>
      <c r="B5525" s="82"/>
      <c r="C5525" s="33" t="s">
        <v>15916</v>
      </c>
    </row>
    <row r="5526">
      <c r="A5526" s="56" t="s">
        <v>15917</v>
      </c>
      <c r="B5526" s="82"/>
      <c r="C5526" s="33" t="s">
        <v>11373</v>
      </c>
      <c r="E5526" s="46" t="s">
        <v>7616</v>
      </c>
    </row>
    <row r="5527">
      <c r="A5527" s="56" t="s">
        <v>15920</v>
      </c>
      <c r="B5527" s="82"/>
      <c r="C5527" s="33" t="s">
        <v>11373</v>
      </c>
      <c r="E5527" s="46" t="s">
        <v>7618</v>
      </c>
    </row>
    <row r="5528">
      <c r="A5528" s="56" t="s">
        <v>15921</v>
      </c>
      <c r="B5528" s="82"/>
      <c r="C5528" s="33" t="s">
        <v>11376</v>
      </c>
      <c r="E5528" s="46" t="s">
        <v>7616</v>
      </c>
    </row>
    <row r="5529">
      <c r="A5529" s="56" t="s">
        <v>15923</v>
      </c>
      <c r="B5529" s="82"/>
      <c r="C5529" s="33" t="s">
        <v>11376</v>
      </c>
      <c r="E5529" s="46" t="s">
        <v>7618</v>
      </c>
    </row>
    <row r="5530">
      <c r="A5530" s="56" t="s">
        <v>15925</v>
      </c>
      <c r="B5530" s="82"/>
      <c r="C5530" s="33" t="s">
        <v>11380</v>
      </c>
      <c r="E5530" s="46" t="s">
        <v>7616</v>
      </c>
    </row>
    <row r="5531">
      <c r="A5531" s="56" t="s">
        <v>15927</v>
      </c>
      <c r="B5531" s="82"/>
      <c r="C5531" s="33" t="s">
        <v>11380</v>
      </c>
      <c r="E5531" s="46" t="s">
        <v>7618</v>
      </c>
    </row>
    <row r="5532">
      <c r="A5532" s="56" t="s">
        <v>15928</v>
      </c>
      <c r="B5532" s="79"/>
      <c r="C5532" s="33" t="s">
        <v>11384</v>
      </c>
      <c r="E5532" s="46" t="s">
        <v>1348</v>
      </c>
    </row>
    <row r="5533">
      <c r="A5533" s="56" t="s">
        <v>15929</v>
      </c>
      <c r="B5533" s="79"/>
      <c r="C5533" s="33" t="s">
        <v>11384</v>
      </c>
      <c r="E5533" s="46" t="s">
        <v>1348</v>
      </c>
    </row>
    <row r="5534">
      <c r="A5534" s="56" t="s">
        <v>15931</v>
      </c>
      <c r="B5534" s="79"/>
      <c r="C5534" s="33" t="s">
        <v>11389</v>
      </c>
      <c r="E5534" s="46" t="s">
        <v>1348</v>
      </c>
    </row>
    <row r="5535">
      <c r="A5535" s="56" t="s">
        <v>15933</v>
      </c>
      <c r="B5535" s="21"/>
      <c r="C5535" s="33" t="s">
        <v>11391</v>
      </c>
      <c r="E5535" s="46" t="s">
        <v>7616</v>
      </c>
    </row>
    <row r="5536">
      <c r="A5536" s="56" t="s">
        <v>15935</v>
      </c>
      <c r="B5536" s="21"/>
      <c r="C5536" s="33" t="s">
        <v>11391</v>
      </c>
      <c r="E5536" s="46" t="s">
        <v>7618</v>
      </c>
    </row>
    <row r="5537">
      <c r="A5537" s="56" t="s">
        <v>15936</v>
      </c>
      <c r="B5537" s="21"/>
      <c r="C5537" s="33" t="s">
        <v>11394</v>
      </c>
      <c r="E5537" s="46" t="s">
        <v>7616</v>
      </c>
    </row>
    <row r="5538">
      <c r="A5538" s="56" t="s">
        <v>15937</v>
      </c>
      <c r="B5538" s="21"/>
      <c r="C5538" s="33" t="s">
        <v>11394</v>
      </c>
      <c r="E5538" s="46" t="s">
        <v>7618</v>
      </c>
    </row>
    <row r="5539">
      <c r="A5539" s="56" t="s">
        <v>15939</v>
      </c>
      <c r="B5539" s="21"/>
      <c r="C5539" s="33" t="s">
        <v>11398</v>
      </c>
      <c r="E5539" s="46" t="s">
        <v>7616</v>
      </c>
    </row>
    <row r="5540">
      <c r="A5540" s="56" t="s">
        <v>15940</v>
      </c>
      <c r="B5540" s="21"/>
      <c r="C5540" s="33" t="s">
        <v>11398</v>
      </c>
      <c r="E5540" s="46" t="s">
        <v>7618</v>
      </c>
    </row>
    <row r="5541">
      <c r="A5541" s="56" t="s">
        <v>15943</v>
      </c>
      <c r="B5541" s="21"/>
      <c r="C5541" s="33" t="s">
        <v>11391</v>
      </c>
      <c r="E5541" s="46" t="s">
        <v>7616</v>
      </c>
    </row>
    <row r="5542">
      <c r="A5542" s="56" t="s">
        <v>15944</v>
      </c>
      <c r="B5542" s="21"/>
      <c r="C5542" s="33" t="s">
        <v>11391</v>
      </c>
      <c r="E5542" s="46" t="s">
        <v>7618</v>
      </c>
    </row>
    <row r="5543">
      <c r="A5543" s="56" t="s">
        <v>15946</v>
      </c>
      <c r="B5543" s="21"/>
      <c r="C5543" s="33" t="s">
        <v>11394</v>
      </c>
      <c r="E5543" s="46" t="s">
        <v>7616</v>
      </c>
    </row>
    <row r="5544">
      <c r="A5544" s="56" t="s">
        <v>15947</v>
      </c>
      <c r="B5544" s="21"/>
      <c r="C5544" s="33" t="s">
        <v>11394</v>
      </c>
      <c r="E5544" s="46" t="s">
        <v>7618</v>
      </c>
    </row>
    <row r="5545">
      <c r="A5545" s="56" t="s">
        <v>15948</v>
      </c>
      <c r="B5545" s="21"/>
      <c r="C5545" s="33" t="s">
        <v>11398</v>
      </c>
      <c r="E5545" s="46" t="s">
        <v>7616</v>
      </c>
    </row>
    <row r="5546">
      <c r="A5546" s="56" t="s">
        <v>15949</v>
      </c>
      <c r="B5546" s="21"/>
      <c r="C5546" s="33" t="s">
        <v>11398</v>
      </c>
      <c r="E5546" s="46" t="s">
        <v>7618</v>
      </c>
    </row>
    <row r="5547">
      <c r="A5547" s="56" t="s">
        <v>15950</v>
      </c>
      <c r="B5547" s="21"/>
      <c r="C5547" s="33" t="s">
        <v>11411</v>
      </c>
      <c r="E5547" s="46" t="s">
        <v>7616</v>
      </c>
    </row>
    <row r="5548">
      <c r="A5548" s="56" t="s">
        <v>15951</v>
      </c>
      <c r="B5548" s="21"/>
      <c r="C5548" s="33" t="s">
        <v>11411</v>
      </c>
      <c r="E5548" s="46" t="s">
        <v>7618</v>
      </c>
    </row>
    <row r="5549">
      <c r="A5549" s="56" t="s">
        <v>15953</v>
      </c>
      <c r="B5549" s="21"/>
      <c r="C5549" s="33" t="s">
        <v>11416</v>
      </c>
      <c r="E5549" s="46" t="s">
        <v>7616</v>
      </c>
    </row>
    <row r="5550">
      <c r="A5550" s="56" t="s">
        <v>15955</v>
      </c>
      <c r="B5550" s="21"/>
      <c r="C5550" s="33" t="s">
        <v>11416</v>
      </c>
      <c r="E5550" s="46" t="s">
        <v>7618</v>
      </c>
    </row>
    <row r="5551">
      <c r="A5551" s="56" t="s">
        <v>15957</v>
      </c>
      <c r="B5551" s="21"/>
      <c r="C5551" s="33" t="s">
        <v>11419</v>
      </c>
      <c r="E5551" s="46" t="s">
        <v>7616</v>
      </c>
    </row>
    <row r="5552">
      <c r="A5552" s="56" t="s">
        <v>15958</v>
      </c>
      <c r="B5552" s="21"/>
      <c r="C5552" s="33" t="s">
        <v>11419</v>
      </c>
      <c r="E5552" s="46" t="s">
        <v>7618</v>
      </c>
    </row>
    <row r="5553">
      <c r="A5553" s="56" t="s">
        <v>15959</v>
      </c>
      <c r="B5553" s="21"/>
      <c r="C5553" s="33" t="s">
        <v>11411</v>
      </c>
      <c r="E5553" s="46" t="s">
        <v>7616</v>
      </c>
    </row>
    <row r="5554">
      <c r="A5554" s="56" t="s">
        <v>15961</v>
      </c>
      <c r="B5554" s="21"/>
      <c r="C5554" s="33" t="s">
        <v>11411</v>
      </c>
      <c r="E5554" s="46" t="s">
        <v>7618</v>
      </c>
    </row>
    <row r="5555">
      <c r="A5555" s="56" t="s">
        <v>15963</v>
      </c>
      <c r="B5555" s="21"/>
      <c r="C5555" s="33" t="s">
        <v>11416</v>
      </c>
      <c r="E5555" s="46" t="s">
        <v>7616</v>
      </c>
    </row>
    <row r="5556">
      <c r="A5556" s="56" t="s">
        <v>15964</v>
      </c>
      <c r="B5556" s="21"/>
      <c r="C5556" s="33" t="s">
        <v>11416</v>
      </c>
      <c r="E5556" s="46" t="s">
        <v>7618</v>
      </c>
    </row>
    <row r="5557">
      <c r="A5557" s="56" t="s">
        <v>15965</v>
      </c>
      <c r="B5557" s="21"/>
      <c r="C5557" s="33" t="s">
        <v>11419</v>
      </c>
      <c r="E5557" s="46" t="s">
        <v>7616</v>
      </c>
    </row>
    <row r="5558">
      <c r="A5558" s="56" t="s">
        <v>15969</v>
      </c>
      <c r="B5558" s="21"/>
      <c r="C5558" s="33" t="s">
        <v>11419</v>
      </c>
      <c r="E5558" s="46" t="s">
        <v>7618</v>
      </c>
    </row>
    <row r="5559">
      <c r="A5559" s="56" t="s">
        <v>15970</v>
      </c>
      <c r="B5559" s="55"/>
      <c r="C5559" s="31"/>
    </row>
    <row r="5560">
      <c r="A5560" s="56" t="s">
        <v>15971</v>
      </c>
      <c r="B5560" s="82"/>
      <c r="C5560" s="33" t="s">
        <v>15972</v>
      </c>
    </row>
    <row r="5561">
      <c r="A5561" s="56" t="s">
        <v>15973</v>
      </c>
      <c r="B5561" s="82"/>
      <c r="C5561" s="33" t="s">
        <v>11373</v>
      </c>
      <c r="E5561" s="46" t="s">
        <v>7616</v>
      </c>
    </row>
    <row r="5562">
      <c r="A5562" s="56" t="s">
        <v>15974</v>
      </c>
      <c r="B5562" s="82"/>
      <c r="C5562" s="33" t="s">
        <v>11373</v>
      </c>
      <c r="E5562" s="46" t="s">
        <v>7618</v>
      </c>
    </row>
    <row r="5563">
      <c r="A5563" s="56" t="s">
        <v>15976</v>
      </c>
      <c r="B5563" s="82"/>
      <c r="C5563" s="33" t="s">
        <v>11376</v>
      </c>
      <c r="E5563" s="46" t="s">
        <v>7616</v>
      </c>
    </row>
    <row r="5564">
      <c r="A5564" s="56" t="s">
        <v>15977</v>
      </c>
      <c r="B5564" s="82"/>
      <c r="C5564" s="33" t="s">
        <v>11376</v>
      </c>
      <c r="E5564" s="46" t="s">
        <v>7618</v>
      </c>
    </row>
    <row r="5565">
      <c r="A5565" s="56" t="s">
        <v>15979</v>
      </c>
      <c r="B5565" s="82"/>
      <c r="C5565" s="33" t="s">
        <v>11380</v>
      </c>
      <c r="E5565" s="46" t="s">
        <v>7616</v>
      </c>
    </row>
    <row r="5566">
      <c r="A5566" s="56" t="s">
        <v>15980</v>
      </c>
      <c r="B5566" s="82"/>
      <c r="C5566" s="33" t="s">
        <v>11380</v>
      </c>
      <c r="E5566" s="46" t="s">
        <v>7618</v>
      </c>
    </row>
    <row r="5567">
      <c r="A5567" s="56" t="s">
        <v>15983</v>
      </c>
      <c r="B5567" s="79"/>
      <c r="C5567" s="33" t="s">
        <v>11384</v>
      </c>
      <c r="E5567" s="46" t="s">
        <v>1348</v>
      </c>
    </row>
    <row r="5568">
      <c r="A5568" s="56" t="s">
        <v>15984</v>
      </c>
      <c r="B5568" s="79"/>
      <c r="C5568" s="33" t="s">
        <v>11384</v>
      </c>
      <c r="E5568" s="46" t="s">
        <v>1348</v>
      </c>
    </row>
    <row r="5569">
      <c r="A5569" s="56" t="s">
        <v>15985</v>
      </c>
      <c r="B5569" s="79"/>
      <c r="C5569" s="33" t="s">
        <v>11389</v>
      </c>
      <c r="E5569" s="46" t="s">
        <v>1348</v>
      </c>
    </row>
    <row r="5570">
      <c r="A5570" s="56" t="s">
        <v>15986</v>
      </c>
      <c r="B5570" s="21"/>
      <c r="C5570" s="33" t="s">
        <v>11391</v>
      </c>
      <c r="E5570" s="46" t="s">
        <v>7616</v>
      </c>
    </row>
    <row r="5571">
      <c r="A5571" s="56" t="s">
        <v>15990</v>
      </c>
      <c r="B5571" s="21"/>
      <c r="C5571" s="33" t="s">
        <v>11391</v>
      </c>
      <c r="E5571" s="46" t="s">
        <v>7618</v>
      </c>
    </row>
    <row r="5572">
      <c r="A5572" s="56" t="s">
        <v>15991</v>
      </c>
      <c r="B5572" s="21"/>
      <c r="C5572" s="33" t="s">
        <v>11394</v>
      </c>
      <c r="E5572" s="46" t="s">
        <v>7616</v>
      </c>
    </row>
    <row r="5573">
      <c r="A5573" s="56" t="s">
        <v>15992</v>
      </c>
      <c r="B5573" s="21"/>
      <c r="C5573" s="33" t="s">
        <v>11394</v>
      </c>
      <c r="E5573" s="46" t="s">
        <v>7618</v>
      </c>
    </row>
    <row r="5574">
      <c r="A5574" s="56" t="s">
        <v>15995</v>
      </c>
      <c r="B5574" s="21"/>
      <c r="C5574" s="33" t="s">
        <v>11398</v>
      </c>
      <c r="E5574" s="46" t="s">
        <v>7616</v>
      </c>
    </row>
    <row r="5575">
      <c r="A5575" s="56" t="s">
        <v>15996</v>
      </c>
      <c r="B5575" s="21"/>
      <c r="C5575" s="33" t="s">
        <v>11398</v>
      </c>
      <c r="E5575" s="46" t="s">
        <v>7618</v>
      </c>
    </row>
    <row r="5576">
      <c r="A5576" s="56" t="s">
        <v>15997</v>
      </c>
      <c r="B5576" s="21"/>
      <c r="C5576" s="33" t="s">
        <v>11391</v>
      </c>
      <c r="E5576" s="46" t="s">
        <v>7616</v>
      </c>
    </row>
    <row r="5577">
      <c r="A5577" s="56" t="s">
        <v>15999</v>
      </c>
      <c r="B5577" s="21"/>
      <c r="C5577" s="33" t="s">
        <v>11391</v>
      </c>
      <c r="E5577" s="46" t="s">
        <v>7618</v>
      </c>
    </row>
    <row r="5578">
      <c r="A5578" s="56" t="s">
        <v>16001</v>
      </c>
      <c r="B5578" s="21"/>
      <c r="C5578" s="33" t="s">
        <v>11394</v>
      </c>
      <c r="E5578" s="46" t="s">
        <v>7616</v>
      </c>
    </row>
    <row r="5579">
      <c r="A5579" s="56" t="s">
        <v>16003</v>
      </c>
      <c r="B5579" s="21"/>
      <c r="C5579" s="33" t="s">
        <v>11394</v>
      </c>
      <c r="E5579" s="46" t="s">
        <v>7618</v>
      </c>
    </row>
    <row r="5580">
      <c r="A5580" s="56" t="s">
        <v>16004</v>
      </c>
      <c r="B5580" s="21"/>
      <c r="C5580" s="33" t="s">
        <v>11398</v>
      </c>
      <c r="E5580" s="46" t="s">
        <v>7616</v>
      </c>
    </row>
    <row r="5581">
      <c r="A5581" s="56" t="s">
        <v>16005</v>
      </c>
      <c r="B5581" s="21"/>
      <c r="C5581" s="33" t="s">
        <v>11398</v>
      </c>
      <c r="E5581" s="46" t="s">
        <v>7618</v>
      </c>
    </row>
    <row r="5582">
      <c r="A5582" s="56" t="s">
        <v>16006</v>
      </c>
      <c r="B5582" s="21"/>
      <c r="C5582" s="33" t="s">
        <v>11411</v>
      </c>
      <c r="E5582" s="46" t="s">
        <v>7616</v>
      </c>
    </row>
    <row r="5583">
      <c r="A5583" s="56" t="s">
        <v>16008</v>
      </c>
      <c r="B5583" s="21"/>
      <c r="C5583" s="33" t="s">
        <v>11411</v>
      </c>
      <c r="E5583" s="46" t="s">
        <v>7618</v>
      </c>
    </row>
    <row r="5584">
      <c r="A5584" s="56" t="s">
        <v>16010</v>
      </c>
      <c r="B5584" s="21"/>
      <c r="C5584" s="33" t="s">
        <v>11416</v>
      </c>
      <c r="E5584" s="46" t="s">
        <v>7616</v>
      </c>
    </row>
    <row r="5585">
      <c r="A5585" s="56" t="s">
        <v>16012</v>
      </c>
      <c r="B5585" s="21"/>
      <c r="C5585" s="33" t="s">
        <v>11416</v>
      </c>
      <c r="E5585" s="46" t="s">
        <v>7618</v>
      </c>
    </row>
    <row r="5586">
      <c r="A5586" s="56" t="s">
        <v>16013</v>
      </c>
      <c r="B5586" s="21"/>
      <c r="C5586" s="33" t="s">
        <v>11419</v>
      </c>
      <c r="E5586" s="46" t="s">
        <v>7616</v>
      </c>
    </row>
    <row r="5587">
      <c r="A5587" s="56" t="s">
        <v>16014</v>
      </c>
      <c r="B5587" s="21"/>
      <c r="C5587" s="33" t="s">
        <v>11419</v>
      </c>
      <c r="E5587" s="46" t="s">
        <v>7618</v>
      </c>
    </row>
    <row r="5588">
      <c r="A5588" s="56" t="s">
        <v>16016</v>
      </c>
      <c r="B5588" s="21"/>
      <c r="C5588" s="33" t="s">
        <v>11411</v>
      </c>
      <c r="E5588" s="46" t="s">
        <v>7616</v>
      </c>
    </row>
    <row r="5589">
      <c r="A5589" s="56" t="s">
        <v>16017</v>
      </c>
      <c r="B5589" s="21"/>
      <c r="C5589" s="33" t="s">
        <v>11411</v>
      </c>
      <c r="E5589" s="46" t="s">
        <v>7618</v>
      </c>
    </row>
    <row r="5590">
      <c r="A5590" s="56" t="s">
        <v>16020</v>
      </c>
      <c r="B5590" s="21"/>
      <c r="C5590" s="33" t="s">
        <v>11416</v>
      </c>
      <c r="E5590" s="46" t="s">
        <v>7616</v>
      </c>
    </row>
    <row r="5591">
      <c r="A5591" s="56" t="s">
        <v>16021</v>
      </c>
      <c r="B5591" s="21"/>
      <c r="C5591" s="33" t="s">
        <v>11416</v>
      </c>
      <c r="E5591" s="46" t="s">
        <v>7618</v>
      </c>
    </row>
    <row r="5592">
      <c r="A5592" s="56" t="s">
        <v>16022</v>
      </c>
      <c r="B5592" s="21"/>
      <c r="C5592" s="33" t="s">
        <v>11419</v>
      </c>
      <c r="E5592" s="46" t="s">
        <v>7616</v>
      </c>
    </row>
    <row r="5593">
      <c r="A5593" s="56" t="s">
        <v>16023</v>
      </c>
      <c r="B5593" s="21"/>
      <c r="C5593" s="33" t="s">
        <v>11419</v>
      </c>
      <c r="E5593" s="46" t="s">
        <v>7618</v>
      </c>
    </row>
    <row r="5594">
      <c r="A5594" s="56" t="s">
        <v>16025</v>
      </c>
      <c r="B5594" s="55"/>
      <c r="C5594" s="31"/>
    </row>
    <row r="5595">
      <c r="A5595" s="56" t="s">
        <v>16027</v>
      </c>
      <c r="B5595" s="55"/>
      <c r="C5595" s="31"/>
    </row>
    <row r="5596">
      <c r="A5596" s="56" t="s">
        <v>16029</v>
      </c>
      <c r="B5596" s="55"/>
      <c r="C5596" s="31"/>
    </row>
    <row r="5597">
      <c r="A5597" s="56" t="s">
        <v>16030</v>
      </c>
      <c r="B5597" s="55"/>
      <c r="C5597" s="31"/>
    </row>
    <row r="5598">
      <c r="A5598" s="56" t="s">
        <v>16031</v>
      </c>
      <c r="B5598" s="82"/>
      <c r="C5598" s="33" t="s">
        <v>16032</v>
      </c>
    </row>
    <row r="5599">
      <c r="A5599" s="56" t="s">
        <v>16033</v>
      </c>
      <c r="B5599" s="55"/>
      <c r="C5599" s="31"/>
    </row>
    <row r="5600">
      <c r="A5600" s="56" t="s">
        <v>16034</v>
      </c>
      <c r="B5600" s="55"/>
      <c r="C5600" s="31"/>
    </row>
    <row r="5601">
      <c r="A5601" s="56" t="s">
        <v>16036</v>
      </c>
      <c r="B5601" s="55"/>
      <c r="C5601" s="31"/>
    </row>
    <row r="5602">
      <c r="A5602" s="56" t="s">
        <v>16037</v>
      </c>
      <c r="B5602" s="55"/>
      <c r="C5602" s="31"/>
    </row>
    <row r="5603">
      <c r="A5603" s="56" t="s">
        <v>16038</v>
      </c>
      <c r="B5603" s="55"/>
      <c r="C5603" s="31"/>
    </row>
    <row r="5604">
      <c r="A5604" s="56" t="s">
        <v>16041</v>
      </c>
      <c r="B5604" s="55"/>
      <c r="C5604" s="31"/>
    </row>
    <row r="5605">
      <c r="A5605" s="56" t="s">
        <v>16042</v>
      </c>
      <c r="B5605" s="55"/>
      <c r="C5605" s="31"/>
    </row>
    <row r="5606">
      <c r="A5606" s="56" t="s">
        <v>16043</v>
      </c>
      <c r="B5606" s="55"/>
      <c r="C5606" s="31"/>
    </row>
    <row r="5607">
      <c r="A5607" s="56" t="s">
        <v>16044</v>
      </c>
      <c r="B5607" s="55"/>
      <c r="C5607" s="31"/>
    </row>
    <row r="5608">
      <c r="A5608" s="56" t="s">
        <v>16045</v>
      </c>
      <c r="B5608" s="55"/>
      <c r="C5608" s="31"/>
    </row>
    <row r="5609">
      <c r="A5609" s="56" t="s">
        <v>16046</v>
      </c>
      <c r="B5609" s="55"/>
      <c r="C5609" s="31"/>
    </row>
    <row r="5610">
      <c r="A5610" s="56" t="s">
        <v>16048</v>
      </c>
      <c r="B5610" s="55"/>
      <c r="C5610" s="31"/>
    </row>
    <row r="5611">
      <c r="A5611" s="56" t="s">
        <v>16049</v>
      </c>
      <c r="B5611" s="82"/>
      <c r="C5611" s="33" t="s">
        <v>16051</v>
      </c>
    </row>
    <row r="5612">
      <c r="A5612" s="56" t="s">
        <v>16053</v>
      </c>
      <c r="B5612" s="82"/>
      <c r="C5612" s="33" t="s">
        <v>11373</v>
      </c>
      <c r="E5612" s="46" t="s">
        <v>7616</v>
      </c>
    </row>
    <row r="5613">
      <c r="A5613" s="56" t="s">
        <v>16054</v>
      </c>
      <c r="B5613" s="82"/>
      <c r="C5613" s="33" t="s">
        <v>11373</v>
      </c>
      <c r="E5613" s="46" t="s">
        <v>7618</v>
      </c>
    </row>
    <row r="5614">
      <c r="A5614" s="56" t="s">
        <v>16055</v>
      </c>
      <c r="B5614" s="82"/>
      <c r="C5614" s="33" t="s">
        <v>11376</v>
      </c>
      <c r="E5614" s="46" t="s">
        <v>7616</v>
      </c>
    </row>
    <row r="5615">
      <c r="A5615" s="56" t="s">
        <v>16056</v>
      </c>
      <c r="B5615" s="82"/>
      <c r="C5615" s="33" t="s">
        <v>11376</v>
      </c>
      <c r="E5615" s="46" t="s">
        <v>7618</v>
      </c>
    </row>
    <row r="5616">
      <c r="A5616" s="56" t="s">
        <v>16057</v>
      </c>
      <c r="B5616" s="82"/>
      <c r="C5616" s="33" t="s">
        <v>11380</v>
      </c>
      <c r="E5616" s="46" t="s">
        <v>7616</v>
      </c>
    </row>
    <row r="5617">
      <c r="A5617" s="56" t="s">
        <v>16059</v>
      </c>
      <c r="B5617" s="82"/>
      <c r="C5617" s="33" t="s">
        <v>11380</v>
      </c>
      <c r="E5617" s="46" t="s">
        <v>7618</v>
      </c>
    </row>
    <row r="5618">
      <c r="A5618" s="56" t="s">
        <v>16060</v>
      </c>
      <c r="B5618" s="79"/>
      <c r="C5618" s="33" t="s">
        <v>11384</v>
      </c>
      <c r="E5618" s="46" t="s">
        <v>1348</v>
      </c>
    </row>
    <row r="5619">
      <c r="A5619" s="56" t="s">
        <v>16061</v>
      </c>
      <c r="B5619" s="79"/>
      <c r="C5619" s="33" t="s">
        <v>11384</v>
      </c>
      <c r="E5619" s="46" t="s">
        <v>1348</v>
      </c>
    </row>
    <row r="5620">
      <c r="A5620" s="56" t="s">
        <v>16062</v>
      </c>
      <c r="B5620" s="79"/>
      <c r="C5620" s="33" t="s">
        <v>11389</v>
      </c>
      <c r="E5620" s="46" t="s">
        <v>1348</v>
      </c>
    </row>
    <row r="5621">
      <c r="A5621" s="56" t="s">
        <v>16063</v>
      </c>
      <c r="B5621" s="21"/>
      <c r="C5621" s="33" t="s">
        <v>11391</v>
      </c>
      <c r="E5621" s="46" t="s">
        <v>7616</v>
      </c>
    </row>
    <row r="5622">
      <c r="A5622" s="56" t="s">
        <v>16066</v>
      </c>
      <c r="B5622" s="21"/>
      <c r="C5622" s="33" t="s">
        <v>11391</v>
      </c>
      <c r="E5622" s="46" t="s">
        <v>7618</v>
      </c>
    </row>
    <row r="5623">
      <c r="A5623" s="56" t="s">
        <v>16068</v>
      </c>
      <c r="B5623" s="21"/>
      <c r="C5623" s="33" t="s">
        <v>11394</v>
      </c>
      <c r="E5623" s="46" t="s">
        <v>7616</v>
      </c>
    </row>
    <row r="5624">
      <c r="A5624" s="56" t="s">
        <v>16069</v>
      </c>
      <c r="B5624" s="21"/>
      <c r="C5624" s="33" t="s">
        <v>11394</v>
      </c>
      <c r="E5624" s="46" t="s">
        <v>7618</v>
      </c>
    </row>
    <row r="5625">
      <c r="A5625" s="56" t="s">
        <v>16070</v>
      </c>
      <c r="B5625" s="21"/>
      <c r="C5625" s="33" t="s">
        <v>11398</v>
      </c>
      <c r="E5625" s="46" t="s">
        <v>7616</v>
      </c>
    </row>
    <row r="5626">
      <c r="A5626" s="56" t="s">
        <v>16071</v>
      </c>
      <c r="B5626" s="21"/>
      <c r="C5626" s="33" t="s">
        <v>11398</v>
      </c>
      <c r="E5626" s="46" t="s">
        <v>7618</v>
      </c>
    </row>
    <row r="5627">
      <c r="A5627" s="56" t="s">
        <v>16072</v>
      </c>
      <c r="B5627" s="21"/>
      <c r="C5627" s="33" t="s">
        <v>11391</v>
      </c>
      <c r="E5627" s="46" t="s">
        <v>7616</v>
      </c>
    </row>
    <row r="5628">
      <c r="A5628" s="56" t="s">
        <v>16074</v>
      </c>
      <c r="B5628" s="21"/>
      <c r="C5628" s="33" t="s">
        <v>11391</v>
      </c>
      <c r="E5628" s="46" t="s">
        <v>7618</v>
      </c>
    </row>
    <row r="5629">
      <c r="A5629" s="56" t="s">
        <v>16075</v>
      </c>
      <c r="B5629" s="21"/>
      <c r="C5629" s="33" t="s">
        <v>11394</v>
      </c>
      <c r="E5629" s="46" t="s">
        <v>7616</v>
      </c>
    </row>
    <row r="5630">
      <c r="A5630" s="56" t="s">
        <v>16077</v>
      </c>
      <c r="B5630" s="21"/>
      <c r="C5630" s="33" t="s">
        <v>11394</v>
      </c>
      <c r="E5630" s="46" t="s">
        <v>7618</v>
      </c>
    </row>
    <row r="5631">
      <c r="A5631" s="56" t="s">
        <v>16078</v>
      </c>
      <c r="B5631" s="21"/>
      <c r="C5631" s="33" t="s">
        <v>11398</v>
      </c>
      <c r="E5631" s="46" t="s">
        <v>7616</v>
      </c>
    </row>
    <row r="5632">
      <c r="A5632" s="56" t="s">
        <v>16079</v>
      </c>
      <c r="B5632" s="21"/>
      <c r="C5632" s="33" t="s">
        <v>11398</v>
      </c>
      <c r="E5632" s="46" t="s">
        <v>7618</v>
      </c>
    </row>
    <row r="5633">
      <c r="A5633" s="56" t="s">
        <v>16080</v>
      </c>
      <c r="B5633" s="21"/>
      <c r="C5633" s="33" t="s">
        <v>11411</v>
      </c>
      <c r="E5633" s="46" t="s">
        <v>7616</v>
      </c>
    </row>
    <row r="5634">
      <c r="A5634" s="56" t="s">
        <v>16081</v>
      </c>
      <c r="B5634" s="21"/>
      <c r="C5634" s="33" t="s">
        <v>11411</v>
      </c>
      <c r="E5634" s="46" t="s">
        <v>7618</v>
      </c>
    </row>
    <row r="5635">
      <c r="A5635" s="56" t="s">
        <v>16082</v>
      </c>
      <c r="B5635" s="21"/>
      <c r="C5635" s="33" t="s">
        <v>11416</v>
      </c>
      <c r="E5635" s="46" t="s">
        <v>7616</v>
      </c>
    </row>
    <row r="5636">
      <c r="A5636" s="56" t="s">
        <v>16083</v>
      </c>
      <c r="B5636" s="21"/>
      <c r="C5636" s="33" t="s">
        <v>11416</v>
      </c>
      <c r="E5636" s="46" t="s">
        <v>7618</v>
      </c>
    </row>
    <row r="5637">
      <c r="A5637" s="56" t="s">
        <v>16085</v>
      </c>
      <c r="B5637" s="21"/>
      <c r="C5637" s="33" t="s">
        <v>11419</v>
      </c>
      <c r="E5637" s="46" t="s">
        <v>7616</v>
      </c>
    </row>
    <row r="5638">
      <c r="A5638" s="56" t="s">
        <v>16086</v>
      </c>
      <c r="B5638" s="21"/>
      <c r="C5638" s="33" t="s">
        <v>11419</v>
      </c>
      <c r="E5638" s="46" t="s">
        <v>7618</v>
      </c>
    </row>
    <row r="5639">
      <c r="A5639" s="56" t="s">
        <v>16088</v>
      </c>
      <c r="B5639" s="21"/>
      <c r="C5639" s="33" t="s">
        <v>11411</v>
      </c>
      <c r="E5639" s="46" t="s">
        <v>7616</v>
      </c>
    </row>
    <row r="5640">
      <c r="A5640" s="56" t="s">
        <v>16089</v>
      </c>
      <c r="B5640" s="21"/>
      <c r="C5640" s="33" t="s">
        <v>11411</v>
      </c>
      <c r="E5640" s="46" t="s">
        <v>7618</v>
      </c>
    </row>
    <row r="5641">
      <c r="A5641" s="56" t="s">
        <v>16090</v>
      </c>
      <c r="B5641" s="21"/>
      <c r="C5641" s="33" t="s">
        <v>11416</v>
      </c>
      <c r="E5641" s="46" t="s">
        <v>7616</v>
      </c>
    </row>
    <row r="5642">
      <c r="A5642" s="56" t="s">
        <v>16091</v>
      </c>
      <c r="B5642" s="21"/>
      <c r="C5642" s="33" t="s">
        <v>11416</v>
      </c>
      <c r="E5642" s="46" t="s">
        <v>7618</v>
      </c>
    </row>
    <row r="5643">
      <c r="A5643" s="56" t="s">
        <v>16092</v>
      </c>
      <c r="B5643" s="21"/>
      <c r="C5643" s="33" t="s">
        <v>11419</v>
      </c>
      <c r="E5643" s="46" t="s">
        <v>7616</v>
      </c>
    </row>
    <row r="5644">
      <c r="A5644" s="56" t="s">
        <v>16093</v>
      </c>
      <c r="B5644" s="21"/>
      <c r="C5644" s="33" t="s">
        <v>11419</v>
      </c>
      <c r="E5644" s="46" t="s">
        <v>7618</v>
      </c>
    </row>
    <row r="5645">
      <c r="A5645" s="56" t="s">
        <v>16094</v>
      </c>
      <c r="B5645" s="55"/>
      <c r="C5645" s="31"/>
    </row>
    <row r="5646">
      <c r="A5646" s="56" t="s">
        <v>16096</v>
      </c>
      <c r="B5646" s="55"/>
      <c r="C5646" s="31"/>
    </row>
    <row r="5647">
      <c r="A5647" s="56" t="s">
        <v>16097</v>
      </c>
      <c r="B5647" s="55"/>
      <c r="C5647" s="31"/>
    </row>
    <row r="5648">
      <c r="A5648" s="56" t="s">
        <v>16098</v>
      </c>
      <c r="B5648" s="55"/>
      <c r="C5648" s="31"/>
    </row>
    <row r="5649">
      <c r="A5649" s="56" t="s">
        <v>16099</v>
      </c>
      <c r="B5649" s="55"/>
      <c r="C5649" s="31"/>
    </row>
    <row r="5650">
      <c r="A5650" s="56" t="s">
        <v>16101</v>
      </c>
      <c r="B5650" s="55"/>
      <c r="C5650" s="31"/>
    </row>
    <row r="5651">
      <c r="A5651" s="56" t="s">
        <v>16102</v>
      </c>
      <c r="B5651" s="82"/>
      <c r="C5651" s="33" t="s">
        <v>16103</v>
      </c>
    </row>
    <row r="5652">
      <c r="A5652" s="56" t="s">
        <v>16104</v>
      </c>
      <c r="B5652" s="82"/>
      <c r="C5652" s="33" t="s">
        <v>11373</v>
      </c>
      <c r="E5652" s="46" t="s">
        <v>7616</v>
      </c>
    </row>
    <row r="5653">
      <c r="A5653" s="56" t="s">
        <v>16105</v>
      </c>
      <c r="B5653" s="82"/>
      <c r="C5653" s="33" t="s">
        <v>11373</v>
      </c>
      <c r="E5653" s="46" t="s">
        <v>7618</v>
      </c>
    </row>
    <row r="5654">
      <c r="A5654" s="56" t="s">
        <v>16109</v>
      </c>
      <c r="B5654" s="82"/>
      <c r="C5654" s="33" t="s">
        <v>11376</v>
      </c>
      <c r="E5654" s="46" t="s">
        <v>7616</v>
      </c>
    </row>
    <row r="5655">
      <c r="A5655" s="56" t="s">
        <v>16110</v>
      </c>
      <c r="B5655" s="82"/>
      <c r="C5655" s="33" t="s">
        <v>11376</v>
      </c>
      <c r="E5655" s="46" t="s">
        <v>7618</v>
      </c>
    </row>
    <row r="5656">
      <c r="A5656" s="56" t="s">
        <v>16111</v>
      </c>
      <c r="B5656" s="82"/>
      <c r="C5656" s="33" t="s">
        <v>11380</v>
      </c>
      <c r="E5656" s="46" t="s">
        <v>7616</v>
      </c>
    </row>
    <row r="5657">
      <c r="A5657" s="56" t="s">
        <v>16112</v>
      </c>
      <c r="B5657" s="82"/>
      <c r="C5657" s="33" t="s">
        <v>11380</v>
      </c>
      <c r="E5657" s="46" t="s">
        <v>7618</v>
      </c>
    </row>
    <row r="5658">
      <c r="A5658" s="56" t="s">
        <v>16113</v>
      </c>
      <c r="B5658" s="79"/>
      <c r="C5658" s="33" t="s">
        <v>11384</v>
      </c>
      <c r="E5658" s="46" t="s">
        <v>1348</v>
      </c>
    </row>
    <row r="5659">
      <c r="A5659" s="56" t="s">
        <v>16114</v>
      </c>
      <c r="B5659" s="79"/>
      <c r="C5659" s="33" t="s">
        <v>11384</v>
      </c>
      <c r="E5659" s="46" t="s">
        <v>1348</v>
      </c>
    </row>
    <row r="5660">
      <c r="A5660" s="56" t="s">
        <v>16115</v>
      </c>
      <c r="B5660" s="79"/>
      <c r="C5660" s="33" t="s">
        <v>11389</v>
      </c>
      <c r="E5660" s="46" t="s">
        <v>1348</v>
      </c>
    </row>
    <row r="5661">
      <c r="A5661" s="56" t="s">
        <v>16118</v>
      </c>
      <c r="B5661" s="21"/>
      <c r="C5661" s="33" t="s">
        <v>11391</v>
      </c>
      <c r="E5661" s="46" t="s">
        <v>7616</v>
      </c>
    </row>
    <row r="5662">
      <c r="A5662" s="56" t="s">
        <v>16120</v>
      </c>
      <c r="B5662" s="21"/>
      <c r="C5662" s="33" t="s">
        <v>11391</v>
      </c>
      <c r="E5662" s="46" t="s">
        <v>7618</v>
      </c>
    </row>
    <row r="5663">
      <c r="A5663" s="56" t="s">
        <v>16121</v>
      </c>
      <c r="B5663" s="21"/>
      <c r="C5663" s="33" t="s">
        <v>11394</v>
      </c>
      <c r="E5663" s="46" t="s">
        <v>7616</v>
      </c>
    </row>
    <row r="5664">
      <c r="A5664" s="56" t="s">
        <v>16123</v>
      </c>
      <c r="B5664" s="21"/>
      <c r="C5664" s="33" t="s">
        <v>11394</v>
      </c>
      <c r="E5664" s="46" t="s">
        <v>7618</v>
      </c>
    </row>
    <row r="5665">
      <c r="A5665" s="56" t="s">
        <v>16124</v>
      </c>
      <c r="B5665" s="21"/>
      <c r="C5665" s="33" t="s">
        <v>11398</v>
      </c>
      <c r="E5665" s="46" t="s">
        <v>7616</v>
      </c>
    </row>
    <row r="5666">
      <c r="A5666" s="56" t="s">
        <v>16125</v>
      </c>
      <c r="B5666" s="21"/>
      <c r="C5666" s="33" t="s">
        <v>11398</v>
      </c>
      <c r="E5666" s="46" t="s">
        <v>7618</v>
      </c>
    </row>
    <row r="5667">
      <c r="A5667" s="56" t="s">
        <v>16126</v>
      </c>
      <c r="B5667" s="21"/>
      <c r="C5667" s="33" t="s">
        <v>11391</v>
      </c>
      <c r="E5667" s="46" t="s">
        <v>7616</v>
      </c>
    </row>
    <row r="5668">
      <c r="A5668" s="56" t="s">
        <v>16127</v>
      </c>
      <c r="B5668" s="21"/>
      <c r="C5668" s="33" t="s">
        <v>11391</v>
      </c>
      <c r="E5668" s="46" t="s">
        <v>7618</v>
      </c>
    </row>
    <row r="5669">
      <c r="A5669" s="56" t="s">
        <v>16129</v>
      </c>
      <c r="B5669" s="21"/>
      <c r="C5669" s="33" t="s">
        <v>11394</v>
      </c>
      <c r="E5669" s="46" t="s">
        <v>7616</v>
      </c>
    </row>
    <row r="5670">
      <c r="A5670" s="56" t="s">
        <v>16131</v>
      </c>
      <c r="B5670" s="21"/>
      <c r="C5670" s="33" t="s">
        <v>11394</v>
      </c>
      <c r="E5670" s="46" t="s">
        <v>7618</v>
      </c>
    </row>
    <row r="5671">
      <c r="A5671" s="56" t="s">
        <v>16132</v>
      </c>
      <c r="B5671" s="21"/>
      <c r="C5671" s="33" t="s">
        <v>11398</v>
      </c>
      <c r="E5671" s="46" t="s">
        <v>7616</v>
      </c>
    </row>
    <row r="5672">
      <c r="A5672" s="56" t="s">
        <v>16133</v>
      </c>
      <c r="B5672" s="21"/>
      <c r="C5672" s="33" t="s">
        <v>11398</v>
      </c>
      <c r="E5672" s="46" t="s">
        <v>7618</v>
      </c>
    </row>
    <row r="5673">
      <c r="A5673" s="56" t="s">
        <v>16135</v>
      </c>
      <c r="B5673" s="21"/>
      <c r="C5673" s="33" t="s">
        <v>11411</v>
      </c>
      <c r="E5673" s="46" t="s">
        <v>7616</v>
      </c>
    </row>
    <row r="5674">
      <c r="A5674" s="56" t="s">
        <v>16136</v>
      </c>
      <c r="B5674" s="21"/>
      <c r="C5674" s="33" t="s">
        <v>11411</v>
      </c>
      <c r="E5674" s="46" t="s">
        <v>7618</v>
      </c>
    </row>
    <row r="5675">
      <c r="A5675" s="56" t="s">
        <v>16137</v>
      </c>
      <c r="B5675" s="21"/>
      <c r="C5675" s="33" t="s">
        <v>11416</v>
      </c>
      <c r="E5675" s="46" t="s">
        <v>7616</v>
      </c>
    </row>
    <row r="5676">
      <c r="A5676" s="56" t="s">
        <v>16138</v>
      </c>
      <c r="B5676" s="21"/>
      <c r="C5676" s="33" t="s">
        <v>11416</v>
      </c>
      <c r="E5676" s="46" t="s">
        <v>7618</v>
      </c>
    </row>
    <row r="5677">
      <c r="A5677" s="56" t="s">
        <v>16140</v>
      </c>
      <c r="B5677" s="21"/>
      <c r="C5677" s="33" t="s">
        <v>11419</v>
      </c>
      <c r="E5677" s="46" t="s">
        <v>7616</v>
      </c>
    </row>
    <row r="5678">
      <c r="A5678" s="56" t="s">
        <v>16141</v>
      </c>
      <c r="B5678" s="21"/>
      <c r="C5678" s="33" t="s">
        <v>11419</v>
      </c>
      <c r="E5678" s="46" t="s">
        <v>7618</v>
      </c>
    </row>
    <row r="5679">
      <c r="A5679" s="56" t="s">
        <v>16142</v>
      </c>
      <c r="B5679" s="21"/>
      <c r="C5679" s="33" t="s">
        <v>11411</v>
      </c>
      <c r="E5679" s="46" t="s">
        <v>7616</v>
      </c>
    </row>
    <row r="5680">
      <c r="A5680" s="56" t="s">
        <v>16143</v>
      </c>
      <c r="B5680" s="21"/>
      <c r="C5680" s="33" t="s">
        <v>11411</v>
      </c>
      <c r="E5680" s="46" t="s">
        <v>7618</v>
      </c>
    </row>
    <row r="5681">
      <c r="A5681" s="56" t="s">
        <v>16144</v>
      </c>
      <c r="B5681" s="21"/>
      <c r="C5681" s="33" t="s">
        <v>11416</v>
      </c>
      <c r="E5681" s="46" t="s">
        <v>7616</v>
      </c>
    </row>
    <row r="5682">
      <c r="A5682" s="56" t="s">
        <v>16146</v>
      </c>
      <c r="B5682" s="21"/>
      <c r="C5682" s="33" t="s">
        <v>11416</v>
      </c>
      <c r="E5682" s="46" t="s">
        <v>7618</v>
      </c>
    </row>
    <row r="5683">
      <c r="A5683" s="56" t="s">
        <v>16147</v>
      </c>
      <c r="B5683" s="21"/>
      <c r="C5683" s="33" t="s">
        <v>11419</v>
      </c>
      <c r="E5683" s="46" t="s">
        <v>7616</v>
      </c>
    </row>
    <row r="5684">
      <c r="A5684" s="56" t="s">
        <v>16148</v>
      </c>
      <c r="B5684" s="21"/>
      <c r="C5684" s="33" t="s">
        <v>11419</v>
      </c>
      <c r="E5684" s="46" t="s">
        <v>7618</v>
      </c>
    </row>
    <row r="5685">
      <c r="A5685" s="56" t="s">
        <v>16149</v>
      </c>
      <c r="B5685" s="55"/>
      <c r="C5685" s="31"/>
    </row>
    <row r="5686">
      <c r="A5686" s="56" t="s">
        <v>16151</v>
      </c>
      <c r="B5686" s="82"/>
      <c r="C5686" s="33" t="s">
        <v>16153</v>
      </c>
    </row>
    <row r="5687">
      <c r="A5687" s="56" t="s">
        <v>16154</v>
      </c>
      <c r="B5687" s="82"/>
      <c r="C5687" s="33" t="s">
        <v>11373</v>
      </c>
      <c r="E5687" s="46" t="s">
        <v>7616</v>
      </c>
    </row>
    <row r="5688">
      <c r="A5688" s="56" t="s">
        <v>16155</v>
      </c>
      <c r="B5688" s="82"/>
      <c r="C5688" s="33" t="s">
        <v>11373</v>
      </c>
      <c r="E5688" s="46" t="s">
        <v>7618</v>
      </c>
    </row>
    <row r="5689">
      <c r="A5689" s="56" t="s">
        <v>16156</v>
      </c>
      <c r="B5689" s="82"/>
      <c r="C5689" s="33" t="s">
        <v>11376</v>
      </c>
      <c r="E5689" s="46" t="s">
        <v>7616</v>
      </c>
    </row>
    <row r="5690">
      <c r="A5690" s="56" t="s">
        <v>16157</v>
      </c>
      <c r="B5690" s="82"/>
      <c r="C5690" s="33" t="s">
        <v>11376</v>
      </c>
      <c r="E5690" s="46" t="s">
        <v>7618</v>
      </c>
    </row>
    <row r="5691">
      <c r="A5691" s="56" t="s">
        <v>16159</v>
      </c>
      <c r="B5691" s="82"/>
      <c r="C5691" s="33" t="s">
        <v>11380</v>
      </c>
      <c r="E5691" s="46" t="s">
        <v>7616</v>
      </c>
    </row>
    <row r="5692">
      <c r="A5692" s="56" t="s">
        <v>16160</v>
      </c>
      <c r="B5692" s="82"/>
      <c r="C5692" s="33" t="s">
        <v>11380</v>
      </c>
      <c r="E5692" s="46" t="s">
        <v>7618</v>
      </c>
    </row>
    <row r="5693">
      <c r="A5693" s="56" t="s">
        <v>16161</v>
      </c>
      <c r="B5693" s="79"/>
      <c r="C5693" s="33" t="s">
        <v>11384</v>
      </c>
      <c r="E5693" s="46" t="s">
        <v>1348</v>
      </c>
    </row>
    <row r="5694">
      <c r="A5694" s="56" t="s">
        <v>16162</v>
      </c>
      <c r="B5694" s="79"/>
      <c r="C5694" s="33" t="s">
        <v>11384</v>
      </c>
      <c r="E5694" s="46" t="s">
        <v>1348</v>
      </c>
    </row>
    <row r="5695">
      <c r="A5695" s="56" t="s">
        <v>16163</v>
      </c>
      <c r="B5695" s="79"/>
      <c r="C5695" s="33" t="s">
        <v>11389</v>
      </c>
      <c r="E5695" s="46" t="s">
        <v>1348</v>
      </c>
    </row>
    <row r="5696">
      <c r="A5696" s="56" t="s">
        <v>16164</v>
      </c>
      <c r="B5696" s="21"/>
      <c r="C5696" s="33" t="s">
        <v>11391</v>
      </c>
      <c r="E5696" s="46" t="s">
        <v>7616</v>
      </c>
    </row>
    <row r="5697">
      <c r="A5697" s="56" t="s">
        <v>16165</v>
      </c>
      <c r="B5697" s="21"/>
      <c r="C5697" s="33" t="s">
        <v>11391</v>
      </c>
      <c r="E5697" s="46" t="s">
        <v>7618</v>
      </c>
    </row>
    <row r="5698">
      <c r="A5698" s="56" t="s">
        <v>16166</v>
      </c>
      <c r="B5698" s="21"/>
      <c r="C5698" s="33" t="s">
        <v>11394</v>
      </c>
      <c r="E5698" s="46" t="s">
        <v>7616</v>
      </c>
    </row>
    <row r="5699">
      <c r="A5699" s="56" t="s">
        <v>16170</v>
      </c>
      <c r="B5699" s="21"/>
      <c r="C5699" s="33" t="s">
        <v>11394</v>
      </c>
      <c r="E5699" s="46" t="s">
        <v>7618</v>
      </c>
    </row>
    <row r="5700">
      <c r="A5700" s="56" t="s">
        <v>16171</v>
      </c>
      <c r="B5700" s="21"/>
      <c r="C5700" s="33" t="s">
        <v>11398</v>
      </c>
      <c r="E5700" s="46" t="s">
        <v>7616</v>
      </c>
    </row>
    <row r="5701">
      <c r="A5701" s="56" t="s">
        <v>16172</v>
      </c>
      <c r="B5701" s="21"/>
      <c r="C5701" s="33" t="s">
        <v>11398</v>
      </c>
      <c r="E5701" s="46" t="s">
        <v>7618</v>
      </c>
    </row>
    <row r="5702">
      <c r="A5702" s="56" t="s">
        <v>16173</v>
      </c>
      <c r="B5702" s="21"/>
      <c r="C5702" s="33" t="s">
        <v>11391</v>
      </c>
      <c r="E5702" s="46" t="s">
        <v>7616</v>
      </c>
    </row>
    <row r="5703">
      <c r="A5703" s="56" t="s">
        <v>16174</v>
      </c>
      <c r="B5703" s="21"/>
      <c r="C5703" s="33" t="s">
        <v>11391</v>
      </c>
      <c r="E5703" s="46" t="s">
        <v>7618</v>
      </c>
    </row>
    <row r="5704">
      <c r="A5704" s="56" t="s">
        <v>16175</v>
      </c>
      <c r="B5704" s="21"/>
      <c r="C5704" s="33" t="s">
        <v>11394</v>
      </c>
      <c r="E5704" s="46" t="s">
        <v>7616</v>
      </c>
    </row>
    <row r="5705">
      <c r="A5705" s="56" t="s">
        <v>16179</v>
      </c>
      <c r="B5705" s="21"/>
      <c r="C5705" s="33" t="s">
        <v>11394</v>
      </c>
      <c r="E5705" s="46" t="s">
        <v>7618</v>
      </c>
    </row>
    <row r="5706">
      <c r="A5706" s="56" t="s">
        <v>16180</v>
      </c>
      <c r="B5706" s="21"/>
      <c r="C5706" s="33" t="s">
        <v>11398</v>
      </c>
      <c r="E5706" s="46" t="s">
        <v>7616</v>
      </c>
    </row>
    <row r="5707">
      <c r="A5707" s="56" t="s">
        <v>16181</v>
      </c>
      <c r="B5707" s="21"/>
      <c r="C5707" s="33" t="s">
        <v>11398</v>
      </c>
      <c r="E5707" s="46" t="s">
        <v>7618</v>
      </c>
    </row>
    <row r="5708">
      <c r="A5708" s="56" t="s">
        <v>16182</v>
      </c>
      <c r="B5708" s="21"/>
      <c r="C5708" s="33" t="s">
        <v>11411</v>
      </c>
      <c r="E5708" s="46" t="s">
        <v>7616</v>
      </c>
    </row>
    <row r="5709">
      <c r="A5709" s="56" t="s">
        <v>16183</v>
      </c>
      <c r="B5709" s="21"/>
      <c r="C5709" s="33" t="s">
        <v>11411</v>
      </c>
      <c r="E5709" s="46" t="s">
        <v>7618</v>
      </c>
    </row>
    <row r="5710">
      <c r="A5710" s="56" t="s">
        <v>16184</v>
      </c>
      <c r="B5710" s="21"/>
      <c r="C5710" s="33" t="s">
        <v>11416</v>
      </c>
      <c r="E5710" s="46" t="s">
        <v>7616</v>
      </c>
    </row>
    <row r="5711">
      <c r="A5711" s="56" t="s">
        <v>16185</v>
      </c>
      <c r="B5711" s="21"/>
      <c r="C5711" s="33" t="s">
        <v>11416</v>
      </c>
      <c r="E5711" s="46" t="s">
        <v>7618</v>
      </c>
    </row>
    <row r="5712">
      <c r="A5712" s="56" t="s">
        <v>16187</v>
      </c>
      <c r="B5712" s="21"/>
      <c r="C5712" s="33" t="s">
        <v>11419</v>
      </c>
      <c r="E5712" s="46" t="s">
        <v>7616</v>
      </c>
    </row>
    <row r="5713">
      <c r="A5713" s="56" t="s">
        <v>16189</v>
      </c>
      <c r="B5713" s="21"/>
      <c r="C5713" s="33" t="s">
        <v>11419</v>
      </c>
      <c r="E5713" s="46" t="s">
        <v>7618</v>
      </c>
    </row>
    <row r="5714">
      <c r="A5714" s="56" t="s">
        <v>16190</v>
      </c>
      <c r="B5714" s="21"/>
      <c r="C5714" s="33" t="s">
        <v>11411</v>
      </c>
      <c r="E5714" s="46" t="s">
        <v>7616</v>
      </c>
    </row>
    <row r="5715">
      <c r="A5715" s="56" t="s">
        <v>16191</v>
      </c>
      <c r="B5715" s="21"/>
      <c r="C5715" s="33" t="s">
        <v>11411</v>
      </c>
      <c r="E5715" s="46" t="s">
        <v>7618</v>
      </c>
    </row>
    <row r="5716">
      <c r="A5716" s="56" t="s">
        <v>16192</v>
      </c>
      <c r="B5716" s="21"/>
      <c r="C5716" s="33" t="s">
        <v>11416</v>
      </c>
      <c r="E5716" s="46" t="s">
        <v>7616</v>
      </c>
    </row>
    <row r="5717">
      <c r="A5717" s="56" t="s">
        <v>16193</v>
      </c>
      <c r="B5717" s="21"/>
      <c r="C5717" s="33" t="s">
        <v>11416</v>
      </c>
      <c r="E5717" s="46" t="s">
        <v>7618</v>
      </c>
    </row>
    <row r="5718">
      <c r="A5718" s="56" t="s">
        <v>16194</v>
      </c>
      <c r="B5718" s="21"/>
      <c r="C5718" s="33" t="s">
        <v>11419</v>
      </c>
      <c r="E5718" s="46" t="s">
        <v>7616</v>
      </c>
    </row>
    <row r="5719">
      <c r="A5719" s="56" t="s">
        <v>16196</v>
      </c>
      <c r="B5719" s="21"/>
      <c r="C5719" s="33" t="s">
        <v>11419</v>
      </c>
      <c r="E5719" s="46" t="s">
        <v>7618</v>
      </c>
    </row>
    <row r="5720">
      <c r="A5720" s="56" t="s">
        <v>16197</v>
      </c>
      <c r="B5720" s="55"/>
      <c r="C5720" s="31"/>
    </row>
    <row r="5721">
      <c r="A5721" s="56" t="s">
        <v>16199</v>
      </c>
      <c r="B5721" s="82"/>
      <c r="C5721" s="33" t="s">
        <v>16200</v>
      </c>
    </row>
    <row r="5722">
      <c r="A5722" s="56" t="s">
        <v>16202</v>
      </c>
      <c r="B5722" s="82"/>
      <c r="C5722" s="33" t="s">
        <v>11373</v>
      </c>
      <c r="E5722" s="46" t="s">
        <v>7616</v>
      </c>
    </row>
    <row r="5723">
      <c r="A5723" s="56" t="s">
        <v>16203</v>
      </c>
      <c r="B5723" s="82"/>
      <c r="C5723" s="33" t="s">
        <v>11373</v>
      </c>
      <c r="E5723" s="46" t="s">
        <v>7618</v>
      </c>
    </row>
    <row r="5724">
      <c r="A5724" s="56" t="s">
        <v>16204</v>
      </c>
      <c r="B5724" s="82"/>
      <c r="C5724" s="33" t="s">
        <v>11376</v>
      </c>
      <c r="E5724" s="46" t="s">
        <v>7616</v>
      </c>
    </row>
    <row r="5725">
      <c r="A5725" s="56" t="s">
        <v>16205</v>
      </c>
      <c r="B5725" s="82"/>
      <c r="C5725" s="33" t="s">
        <v>11376</v>
      </c>
      <c r="E5725" s="46" t="s">
        <v>7618</v>
      </c>
    </row>
    <row r="5726">
      <c r="A5726" s="56" t="s">
        <v>16206</v>
      </c>
      <c r="B5726" s="82"/>
      <c r="C5726" s="33" t="s">
        <v>11380</v>
      </c>
      <c r="E5726" s="46" t="s">
        <v>7616</v>
      </c>
    </row>
    <row r="5727">
      <c r="A5727" s="56" t="s">
        <v>16207</v>
      </c>
      <c r="B5727" s="82"/>
      <c r="C5727" s="33" t="s">
        <v>11380</v>
      </c>
      <c r="E5727" s="46" t="s">
        <v>7618</v>
      </c>
    </row>
    <row r="5728">
      <c r="A5728" s="56" t="s">
        <v>16208</v>
      </c>
      <c r="B5728" s="79"/>
      <c r="C5728" s="33" t="s">
        <v>11384</v>
      </c>
      <c r="E5728" s="46" t="s">
        <v>1348</v>
      </c>
    </row>
    <row r="5729">
      <c r="A5729" s="56" t="s">
        <v>16210</v>
      </c>
      <c r="B5729" s="79"/>
      <c r="C5729" s="33" t="s">
        <v>11384</v>
      </c>
      <c r="E5729" s="46" t="s">
        <v>1348</v>
      </c>
    </row>
    <row r="5730">
      <c r="A5730" s="56" t="s">
        <v>16212</v>
      </c>
      <c r="B5730" s="79"/>
      <c r="C5730" s="33" t="s">
        <v>11389</v>
      </c>
      <c r="E5730" s="46" t="s">
        <v>1348</v>
      </c>
    </row>
    <row r="5731">
      <c r="A5731" s="56" t="s">
        <v>16214</v>
      </c>
      <c r="B5731" s="21"/>
      <c r="C5731" s="33" t="s">
        <v>11391</v>
      </c>
      <c r="E5731" s="46" t="s">
        <v>7616</v>
      </c>
    </row>
    <row r="5732">
      <c r="A5732" s="56" t="s">
        <v>16215</v>
      </c>
      <c r="B5732" s="21"/>
      <c r="C5732" s="33" t="s">
        <v>11391</v>
      </c>
      <c r="E5732" s="46" t="s">
        <v>7618</v>
      </c>
    </row>
    <row r="5733">
      <c r="A5733" s="56" t="s">
        <v>16216</v>
      </c>
      <c r="B5733" s="21"/>
      <c r="C5733" s="33" t="s">
        <v>11394</v>
      </c>
      <c r="E5733" s="46" t="s">
        <v>7616</v>
      </c>
    </row>
    <row r="5734">
      <c r="A5734" s="56" t="s">
        <v>16217</v>
      </c>
      <c r="B5734" s="21"/>
      <c r="C5734" s="33" t="s">
        <v>11394</v>
      </c>
      <c r="E5734" s="46" t="s">
        <v>7618</v>
      </c>
    </row>
    <row r="5735">
      <c r="A5735" s="56" t="s">
        <v>16218</v>
      </c>
      <c r="B5735" s="21"/>
      <c r="C5735" s="33" t="s">
        <v>11398</v>
      </c>
      <c r="E5735" s="46" t="s">
        <v>7616</v>
      </c>
    </row>
    <row r="5736">
      <c r="A5736" s="56" t="s">
        <v>16220</v>
      </c>
      <c r="B5736" s="21"/>
      <c r="C5736" s="33" t="s">
        <v>11398</v>
      </c>
      <c r="E5736" s="46" t="s">
        <v>7618</v>
      </c>
    </row>
    <row r="5737">
      <c r="A5737" s="56" t="s">
        <v>16223</v>
      </c>
      <c r="B5737" s="21"/>
      <c r="C5737" s="33" t="s">
        <v>11391</v>
      </c>
      <c r="E5737" s="46" t="s">
        <v>7616</v>
      </c>
    </row>
    <row r="5738">
      <c r="A5738" s="56" t="s">
        <v>16224</v>
      </c>
      <c r="B5738" s="21"/>
      <c r="C5738" s="33" t="s">
        <v>11391</v>
      </c>
      <c r="E5738" s="46" t="s">
        <v>7618</v>
      </c>
    </row>
    <row r="5739">
      <c r="A5739" s="56" t="s">
        <v>16225</v>
      </c>
      <c r="B5739" s="21"/>
      <c r="C5739" s="33" t="s">
        <v>11394</v>
      </c>
      <c r="E5739" s="46" t="s">
        <v>7616</v>
      </c>
    </row>
    <row r="5740">
      <c r="A5740" s="56" t="s">
        <v>16226</v>
      </c>
      <c r="B5740" s="21"/>
      <c r="C5740" s="33" t="s">
        <v>11394</v>
      </c>
      <c r="E5740" s="46" t="s">
        <v>7618</v>
      </c>
    </row>
    <row r="5741">
      <c r="A5741" s="56" t="s">
        <v>16227</v>
      </c>
      <c r="B5741" s="21"/>
      <c r="C5741" s="33" t="s">
        <v>11398</v>
      </c>
      <c r="E5741" s="46" t="s">
        <v>7616</v>
      </c>
    </row>
    <row r="5742">
      <c r="A5742" s="56" t="s">
        <v>16229</v>
      </c>
      <c r="B5742" s="21"/>
      <c r="C5742" s="33" t="s">
        <v>11398</v>
      </c>
      <c r="E5742" s="46" t="s">
        <v>7618</v>
      </c>
    </row>
    <row r="5743">
      <c r="A5743" s="56" t="s">
        <v>16231</v>
      </c>
      <c r="B5743" s="21"/>
      <c r="C5743" s="33" t="s">
        <v>11411</v>
      </c>
      <c r="E5743" s="46" t="s">
        <v>7616</v>
      </c>
    </row>
    <row r="5744">
      <c r="A5744" s="56" t="s">
        <v>16232</v>
      </c>
      <c r="B5744" s="21"/>
      <c r="C5744" s="33" t="s">
        <v>11411</v>
      </c>
      <c r="E5744" s="46" t="s">
        <v>7618</v>
      </c>
    </row>
    <row r="5745">
      <c r="A5745" s="56" t="s">
        <v>16233</v>
      </c>
      <c r="B5745" s="21"/>
      <c r="C5745" s="33" t="s">
        <v>11416</v>
      </c>
      <c r="E5745" s="46" t="s">
        <v>7616</v>
      </c>
    </row>
    <row r="5746">
      <c r="A5746" s="56" t="s">
        <v>16234</v>
      </c>
      <c r="B5746" s="21"/>
      <c r="C5746" s="33" t="s">
        <v>11416</v>
      </c>
      <c r="E5746" s="46" t="s">
        <v>7618</v>
      </c>
    </row>
    <row r="5747">
      <c r="A5747" s="56" t="s">
        <v>16235</v>
      </c>
      <c r="B5747" s="21"/>
      <c r="C5747" s="33" t="s">
        <v>11419</v>
      </c>
      <c r="E5747" s="46" t="s">
        <v>7616</v>
      </c>
    </row>
    <row r="5748">
      <c r="A5748" s="56" t="s">
        <v>16237</v>
      </c>
      <c r="B5748" s="21"/>
      <c r="C5748" s="33" t="s">
        <v>11419</v>
      </c>
      <c r="E5748" s="46" t="s">
        <v>7618</v>
      </c>
    </row>
    <row r="5749">
      <c r="A5749" s="56" t="s">
        <v>16238</v>
      </c>
      <c r="B5749" s="21"/>
      <c r="C5749" s="33" t="s">
        <v>11411</v>
      </c>
      <c r="E5749" s="46" t="s">
        <v>7616</v>
      </c>
    </row>
    <row r="5750">
      <c r="A5750" s="56" t="s">
        <v>16240</v>
      </c>
      <c r="B5750" s="21"/>
      <c r="C5750" s="33" t="s">
        <v>11411</v>
      </c>
      <c r="E5750" s="46" t="s">
        <v>7618</v>
      </c>
    </row>
    <row r="5751">
      <c r="A5751" s="56" t="s">
        <v>16242</v>
      </c>
      <c r="B5751" s="21"/>
      <c r="C5751" s="33" t="s">
        <v>11416</v>
      </c>
      <c r="E5751" s="46" t="s">
        <v>7616</v>
      </c>
    </row>
    <row r="5752">
      <c r="A5752" s="56" t="s">
        <v>16243</v>
      </c>
      <c r="B5752" s="21"/>
      <c r="C5752" s="33" t="s">
        <v>11416</v>
      </c>
      <c r="E5752" s="46" t="s">
        <v>7618</v>
      </c>
    </row>
    <row r="5753">
      <c r="A5753" s="56" t="s">
        <v>16244</v>
      </c>
      <c r="B5753" s="21"/>
      <c r="C5753" s="33" t="s">
        <v>11419</v>
      </c>
      <c r="E5753" s="46" t="s">
        <v>7616</v>
      </c>
    </row>
    <row r="5754">
      <c r="A5754" s="56" t="s">
        <v>16246</v>
      </c>
      <c r="B5754" s="21"/>
      <c r="C5754" s="33" t="s">
        <v>11419</v>
      </c>
      <c r="E5754" s="46" t="s">
        <v>7618</v>
      </c>
    </row>
    <row r="5755">
      <c r="A5755" s="56" t="s">
        <v>16247</v>
      </c>
      <c r="B5755" s="55"/>
      <c r="C5755" s="31"/>
    </row>
    <row r="5756">
      <c r="A5756" s="56" t="s">
        <v>16248</v>
      </c>
      <c r="B5756" s="82"/>
      <c r="C5756" s="33" t="s">
        <v>16249</v>
      </c>
    </row>
    <row r="5757">
      <c r="A5757" s="56" t="s">
        <v>16251</v>
      </c>
      <c r="B5757" s="55"/>
      <c r="C5757" s="31"/>
    </row>
    <row r="5758">
      <c r="A5758" s="56" t="s">
        <v>16253</v>
      </c>
      <c r="B5758" s="55"/>
      <c r="C5758" s="31"/>
    </row>
    <row r="5759">
      <c r="A5759" s="56" t="s">
        <v>16254</v>
      </c>
      <c r="B5759" s="55"/>
      <c r="C5759" s="31"/>
    </row>
    <row r="5760">
      <c r="A5760" s="56" t="s">
        <v>16255</v>
      </c>
      <c r="B5760" s="55"/>
      <c r="C5760" s="31"/>
    </row>
    <row r="5761">
      <c r="A5761" s="56" t="s">
        <v>16257</v>
      </c>
      <c r="B5761" s="55"/>
      <c r="C5761" s="31"/>
    </row>
    <row r="5762">
      <c r="A5762" s="56" t="s">
        <v>16258</v>
      </c>
      <c r="B5762" s="55"/>
      <c r="C5762" s="31"/>
    </row>
    <row r="5763">
      <c r="A5763" s="56" t="s">
        <v>16259</v>
      </c>
      <c r="B5763" s="55"/>
      <c r="C5763" s="31"/>
    </row>
    <row r="5764">
      <c r="A5764" s="56" t="s">
        <v>16261</v>
      </c>
      <c r="B5764" s="55"/>
      <c r="C5764" s="31"/>
    </row>
    <row r="5765">
      <c r="A5765" s="56" t="s">
        <v>16262</v>
      </c>
      <c r="B5765" s="55"/>
      <c r="C5765" s="31"/>
    </row>
    <row r="5766">
      <c r="A5766" s="56" t="s">
        <v>16263</v>
      </c>
      <c r="B5766" s="55"/>
      <c r="C5766" s="31"/>
    </row>
    <row r="5767">
      <c r="A5767" s="56" t="s">
        <v>16264</v>
      </c>
      <c r="B5767" s="55"/>
      <c r="C5767" s="31"/>
    </row>
    <row r="5768">
      <c r="A5768" s="56" t="s">
        <v>16265</v>
      </c>
      <c r="B5768" s="55"/>
      <c r="C5768" s="31"/>
    </row>
    <row r="5769">
      <c r="A5769" s="56" t="s">
        <v>16267</v>
      </c>
      <c r="B5769" s="55"/>
      <c r="C5769" s="31"/>
    </row>
    <row r="5770">
      <c r="A5770" s="56" t="s">
        <v>16268</v>
      </c>
      <c r="B5770" s="55"/>
      <c r="C5770" s="31"/>
    </row>
    <row r="5771">
      <c r="A5771" s="56" t="s">
        <v>16270</v>
      </c>
      <c r="B5771" s="55"/>
      <c r="C5771" s="31"/>
    </row>
    <row r="5772">
      <c r="A5772" s="56" t="s">
        <v>16271</v>
      </c>
      <c r="B5772" s="55"/>
      <c r="C5772" s="31"/>
    </row>
    <row r="5773">
      <c r="A5773" s="56" t="s">
        <v>16272</v>
      </c>
      <c r="B5773" s="55"/>
      <c r="C5773" s="31"/>
    </row>
    <row r="5774">
      <c r="A5774" s="56" t="s">
        <v>16273</v>
      </c>
      <c r="B5774" s="55"/>
      <c r="C5774" s="31"/>
    </row>
    <row r="5775">
      <c r="A5775" s="56" t="s">
        <v>16274</v>
      </c>
      <c r="B5775" s="55"/>
      <c r="C5775" s="31"/>
    </row>
    <row r="5776">
      <c r="A5776" s="56" t="s">
        <v>16276</v>
      </c>
      <c r="B5776" s="55"/>
      <c r="C5776" s="31"/>
    </row>
    <row r="5777">
      <c r="A5777" s="56" t="s">
        <v>16277</v>
      </c>
      <c r="B5777" s="55"/>
      <c r="C5777" s="31"/>
    </row>
    <row r="5778">
      <c r="A5778" s="56" t="s">
        <v>16278</v>
      </c>
      <c r="B5778" s="55"/>
      <c r="C5778" s="31"/>
    </row>
    <row r="5779">
      <c r="A5779" s="56" t="s">
        <v>16281</v>
      </c>
      <c r="B5779" s="55"/>
      <c r="C5779" s="31"/>
    </row>
    <row r="5780">
      <c r="A5780" s="56" t="s">
        <v>16282</v>
      </c>
      <c r="B5780" s="55"/>
      <c r="C5780" s="31"/>
    </row>
    <row r="5781">
      <c r="A5781" s="56" t="s">
        <v>16283</v>
      </c>
      <c r="B5781" s="55"/>
      <c r="C5781" s="31"/>
    </row>
    <row r="5782">
      <c r="A5782" s="56" t="s">
        <v>16285</v>
      </c>
      <c r="B5782" s="55"/>
      <c r="C5782" s="31"/>
    </row>
    <row r="5783">
      <c r="A5783" s="56" t="s">
        <v>16286</v>
      </c>
      <c r="B5783" s="55"/>
      <c r="C5783" s="31"/>
    </row>
    <row r="5784">
      <c r="A5784" s="56" t="s">
        <v>16287</v>
      </c>
      <c r="B5784" s="55"/>
      <c r="C5784" s="31"/>
    </row>
    <row r="5785">
      <c r="A5785" s="56" t="s">
        <v>16288</v>
      </c>
      <c r="B5785" s="55"/>
      <c r="C5785" s="31"/>
    </row>
    <row r="5786">
      <c r="A5786" s="56" t="s">
        <v>16289</v>
      </c>
      <c r="B5786" s="55"/>
      <c r="C5786" s="31"/>
    </row>
    <row r="5787">
      <c r="A5787" s="56" t="s">
        <v>16290</v>
      </c>
      <c r="B5787" s="55"/>
      <c r="C5787" s="31"/>
    </row>
    <row r="5788">
      <c r="A5788" s="56" t="s">
        <v>16292</v>
      </c>
      <c r="B5788" s="55"/>
      <c r="C5788" s="31"/>
    </row>
    <row r="5789">
      <c r="A5789" s="56" t="s">
        <v>16293</v>
      </c>
      <c r="B5789" s="55"/>
      <c r="C5789" s="31"/>
    </row>
    <row r="5790">
      <c r="A5790" s="56" t="s">
        <v>16294</v>
      </c>
      <c r="B5790" s="55"/>
      <c r="C5790" s="31"/>
    </row>
    <row r="5791">
      <c r="A5791" s="56" t="s">
        <v>16295</v>
      </c>
      <c r="B5791" s="55"/>
      <c r="C5791" s="31"/>
    </row>
    <row r="5792">
      <c r="A5792" s="56" t="s">
        <v>16296</v>
      </c>
      <c r="B5792" s="55"/>
      <c r="C5792" s="31"/>
    </row>
    <row r="5793">
      <c r="A5793" s="56" t="s">
        <v>16298</v>
      </c>
      <c r="B5793" s="55"/>
      <c r="C5793" s="31"/>
    </row>
    <row r="5794">
      <c r="A5794" s="56" t="s">
        <v>16299</v>
      </c>
      <c r="B5794" s="55"/>
      <c r="C5794" s="31"/>
    </row>
    <row r="5795">
      <c r="A5795" s="56" t="s">
        <v>16300</v>
      </c>
      <c r="B5795" s="82"/>
      <c r="C5795" s="33" t="s">
        <v>16301</v>
      </c>
    </row>
    <row r="5796">
      <c r="A5796" s="56" t="s">
        <v>16302</v>
      </c>
      <c r="B5796" s="55"/>
      <c r="C5796" s="31"/>
    </row>
    <row r="5797">
      <c r="A5797" s="56" t="s">
        <v>16303</v>
      </c>
      <c r="B5797" s="55"/>
      <c r="C5797" s="31"/>
    </row>
    <row r="5798">
      <c r="A5798" s="56" t="s">
        <v>16305</v>
      </c>
      <c r="B5798" s="55"/>
      <c r="C5798" s="31"/>
    </row>
    <row r="5799">
      <c r="A5799" s="56" t="s">
        <v>16306</v>
      </c>
      <c r="B5799" s="55"/>
      <c r="C5799" s="31"/>
    </row>
    <row r="5800">
      <c r="A5800" s="56" t="s">
        <v>16307</v>
      </c>
      <c r="B5800" s="82"/>
      <c r="C5800" s="33" t="s">
        <v>16308</v>
      </c>
    </row>
    <row r="5801">
      <c r="A5801" s="56" t="s">
        <v>16309</v>
      </c>
      <c r="B5801" s="55"/>
      <c r="C5801" s="31"/>
    </row>
    <row r="5802">
      <c r="A5802" s="56" t="s">
        <v>16310</v>
      </c>
      <c r="B5802" s="55"/>
      <c r="C5802" s="31"/>
    </row>
    <row r="5803">
      <c r="A5803" s="56" t="s">
        <v>16311</v>
      </c>
      <c r="B5803" s="55"/>
      <c r="C5803" s="31"/>
    </row>
    <row r="5804">
      <c r="A5804" s="56" t="s">
        <v>16312</v>
      </c>
      <c r="B5804" s="55"/>
      <c r="C5804" s="31"/>
    </row>
    <row r="5805">
      <c r="A5805" s="56" t="s">
        <v>16314</v>
      </c>
      <c r="B5805" s="55"/>
      <c r="C5805" s="31"/>
    </row>
    <row r="5806">
      <c r="A5806" s="56" t="s">
        <v>16315</v>
      </c>
      <c r="B5806" s="55"/>
      <c r="C5806" s="31"/>
    </row>
    <row r="5807">
      <c r="A5807" s="56" t="s">
        <v>16317</v>
      </c>
      <c r="B5807" s="55"/>
      <c r="C5807" s="31"/>
    </row>
    <row r="5808">
      <c r="A5808" s="56" t="s">
        <v>16319</v>
      </c>
      <c r="B5808" s="55"/>
      <c r="C5808" s="31"/>
    </row>
    <row r="5809">
      <c r="A5809" s="56" t="s">
        <v>16321</v>
      </c>
      <c r="B5809" s="55"/>
      <c r="C5809" s="31"/>
    </row>
    <row r="5810">
      <c r="A5810" s="56" t="s">
        <v>16322</v>
      </c>
      <c r="B5810" s="82"/>
      <c r="C5810" s="33" t="s">
        <v>16323</v>
      </c>
    </row>
    <row r="5811">
      <c r="A5811" s="56" t="s">
        <v>16324</v>
      </c>
      <c r="B5811" s="55"/>
      <c r="C5811" s="31"/>
    </row>
    <row r="5812">
      <c r="A5812" s="56" t="s">
        <v>16325</v>
      </c>
      <c r="B5812" s="55"/>
      <c r="C5812" s="31"/>
    </row>
    <row r="5813">
      <c r="A5813" s="56" t="s">
        <v>16326</v>
      </c>
      <c r="B5813" s="55"/>
      <c r="C5813" s="31"/>
    </row>
    <row r="5814">
      <c r="A5814" s="56" t="s">
        <v>16327</v>
      </c>
      <c r="B5814" s="55"/>
      <c r="C5814" s="31"/>
    </row>
    <row r="5815">
      <c r="A5815" s="56" t="s">
        <v>16328</v>
      </c>
      <c r="B5815" s="55"/>
      <c r="C5815" s="31"/>
    </row>
    <row r="5816">
      <c r="A5816" s="56" t="s">
        <v>16329</v>
      </c>
      <c r="B5816" s="55"/>
      <c r="C5816" s="31"/>
    </row>
    <row r="5817">
      <c r="A5817" s="56" t="s">
        <v>16330</v>
      </c>
      <c r="B5817" s="55"/>
      <c r="C5817" s="31"/>
    </row>
    <row r="5818">
      <c r="A5818" s="56" t="s">
        <v>16332</v>
      </c>
      <c r="B5818" s="55"/>
      <c r="C5818" s="31"/>
    </row>
    <row r="5819">
      <c r="A5819" s="56" t="s">
        <v>16335</v>
      </c>
      <c r="B5819" s="55"/>
      <c r="C5819" s="31"/>
    </row>
    <row r="5820">
      <c r="A5820" s="56" t="s">
        <v>16337</v>
      </c>
      <c r="B5820" s="55"/>
      <c r="C5820" s="31"/>
    </row>
    <row r="5821">
      <c r="A5821" s="56" t="s">
        <v>16338</v>
      </c>
      <c r="B5821" s="55"/>
      <c r="C5821" s="31"/>
    </row>
    <row r="5822">
      <c r="A5822" s="56" t="s">
        <v>16340</v>
      </c>
      <c r="B5822" s="55"/>
      <c r="C5822" s="31"/>
    </row>
    <row r="5823">
      <c r="A5823" s="56" t="s">
        <v>16342</v>
      </c>
      <c r="B5823" s="55"/>
      <c r="C5823" s="31"/>
    </row>
    <row r="5824">
      <c r="A5824" s="56" t="s">
        <v>16343</v>
      </c>
      <c r="B5824" s="55"/>
      <c r="C5824" s="31"/>
    </row>
    <row r="5825">
      <c r="A5825" s="56" t="s">
        <v>16344</v>
      </c>
      <c r="B5825" s="55"/>
      <c r="C5825" s="31"/>
    </row>
    <row r="5826">
      <c r="A5826" s="56" t="s">
        <v>16345</v>
      </c>
      <c r="B5826" s="55"/>
      <c r="C5826" s="31"/>
    </row>
    <row r="5827">
      <c r="A5827" s="56" t="s">
        <v>16346</v>
      </c>
      <c r="B5827" s="55"/>
      <c r="C5827" s="31"/>
    </row>
    <row r="5828">
      <c r="A5828" s="56" t="s">
        <v>16349</v>
      </c>
      <c r="B5828" s="55"/>
      <c r="C5828" s="31"/>
    </row>
    <row r="5829">
      <c r="A5829" s="56" t="s">
        <v>16350</v>
      </c>
      <c r="B5829" s="55"/>
      <c r="C5829" s="31"/>
    </row>
    <row r="5830">
      <c r="A5830" s="56" t="s">
        <v>16351</v>
      </c>
      <c r="B5830" s="55"/>
      <c r="C5830" s="31"/>
    </row>
    <row r="5831">
      <c r="A5831" s="56" t="s">
        <v>16353</v>
      </c>
      <c r="B5831" s="55"/>
      <c r="C5831" s="31"/>
    </row>
    <row r="5832">
      <c r="A5832" s="56" t="s">
        <v>16354</v>
      </c>
      <c r="B5832" s="55"/>
      <c r="C5832" s="31"/>
    </row>
    <row r="5833">
      <c r="A5833" s="56" t="s">
        <v>16356</v>
      </c>
      <c r="B5833" s="55"/>
      <c r="C5833" s="31"/>
    </row>
    <row r="5834">
      <c r="A5834" s="56" t="s">
        <v>16357</v>
      </c>
      <c r="B5834" s="55"/>
      <c r="C5834" s="31"/>
    </row>
    <row r="5835">
      <c r="A5835" s="56" t="s">
        <v>16358</v>
      </c>
      <c r="B5835" s="55"/>
      <c r="C5835" s="31"/>
    </row>
    <row r="5836">
      <c r="A5836" s="56" t="s">
        <v>16359</v>
      </c>
      <c r="B5836" s="55"/>
      <c r="C5836" s="31"/>
    </row>
    <row r="5837">
      <c r="A5837" s="56" t="s">
        <v>16361</v>
      </c>
      <c r="B5837" s="55"/>
      <c r="C5837" s="31"/>
    </row>
    <row r="5838">
      <c r="A5838" s="56" t="s">
        <v>16364</v>
      </c>
      <c r="B5838" s="55"/>
      <c r="C5838" s="31"/>
    </row>
    <row r="5839">
      <c r="A5839" s="56" t="s">
        <v>16365</v>
      </c>
      <c r="B5839" s="55"/>
      <c r="C5839" s="31"/>
    </row>
    <row r="5840">
      <c r="A5840" s="56" t="s">
        <v>16367</v>
      </c>
      <c r="B5840" s="55"/>
      <c r="C5840" s="31"/>
    </row>
    <row r="5841">
      <c r="A5841" s="56" t="s">
        <v>16368</v>
      </c>
      <c r="B5841" s="55"/>
      <c r="C5841" s="31"/>
    </row>
    <row r="5842">
      <c r="A5842" s="56" t="s">
        <v>16369</v>
      </c>
      <c r="B5842" s="55"/>
      <c r="C5842" s="31"/>
    </row>
    <row r="5843">
      <c r="A5843" s="56" t="s">
        <v>16370</v>
      </c>
      <c r="B5843" s="82"/>
      <c r="C5843" s="33" t="s">
        <v>16371</v>
      </c>
    </row>
    <row r="5844">
      <c r="A5844" s="56" t="s">
        <v>16372</v>
      </c>
      <c r="B5844" s="82"/>
      <c r="C5844" s="33" t="s">
        <v>11373</v>
      </c>
      <c r="E5844" s="46" t="s">
        <v>7616</v>
      </c>
    </row>
    <row r="5845">
      <c r="A5845" s="56" t="s">
        <v>16373</v>
      </c>
      <c r="B5845" s="82"/>
      <c r="C5845" s="33" t="s">
        <v>11373</v>
      </c>
      <c r="E5845" s="46" t="s">
        <v>7618</v>
      </c>
    </row>
    <row r="5846">
      <c r="A5846" s="56" t="s">
        <v>16375</v>
      </c>
      <c r="B5846" s="82"/>
      <c r="C5846" s="33" t="s">
        <v>11376</v>
      </c>
      <c r="E5846" s="46" t="s">
        <v>7616</v>
      </c>
    </row>
    <row r="5847">
      <c r="A5847" s="56" t="s">
        <v>16377</v>
      </c>
      <c r="B5847" s="82"/>
      <c r="C5847" s="33" t="s">
        <v>11376</v>
      </c>
      <c r="E5847" s="46" t="s">
        <v>7618</v>
      </c>
    </row>
    <row r="5848">
      <c r="A5848" s="56" t="s">
        <v>16378</v>
      </c>
      <c r="B5848" s="82"/>
      <c r="C5848" s="33" t="s">
        <v>11380</v>
      </c>
      <c r="E5848" s="46" t="s">
        <v>7616</v>
      </c>
    </row>
    <row r="5849">
      <c r="A5849" s="56" t="s">
        <v>16379</v>
      </c>
      <c r="B5849" s="82"/>
      <c r="C5849" s="33" t="s">
        <v>11380</v>
      </c>
      <c r="E5849" s="46" t="s">
        <v>7618</v>
      </c>
    </row>
    <row r="5850">
      <c r="A5850" s="56" t="s">
        <v>16380</v>
      </c>
      <c r="B5850" s="79"/>
      <c r="C5850" s="33" t="s">
        <v>11384</v>
      </c>
      <c r="E5850" s="46" t="s">
        <v>1348</v>
      </c>
    </row>
    <row r="5851">
      <c r="A5851" s="56" t="s">
        <v>16381</v>
      </c>
      <c r="B5851" s="79"/>
      <c r="C5851" s="33" t="s">
        <v>11384</v>
      </c>
      <c r="E5851" s="46" t="s">
        <v>1348</v>
      </c>
    </row>
    <row r="5852">
      <c r="A5852" s="56" t="s">
        <v>16382</v>
      </c>
      <c r="B5852" s="79"/>
      <c r="C5852" s="33" t="s">
        <v>11389</v>
      </c>
      <c r="E5852" s="46" t="s">
        <v>1348</v>
      </c>
    </row>
    <row r="5853">
      <c r="A5853" s="56" t="s">
        <v>16383</v>
      </c>
      <c r="B5853" s="21"/>
      <c r="C5853" s="33" t="s">
        <v>11391</v>
      </c>
      <c r="E5853" s="46" t="s">
        <v>7616</v>
      </c>
    </row>
    <row r="5854">
      <c r="A5854" s="56" t="s">
        <v>16386</v>
      </c>
      <c r="B5854" s="21"/>
      <c r="C5854" s="33" t="s">
        <v>11391</v>
      </c>
      <c r="E5854" s="46" t="s">
        <v>7618</v>
      </c>
    </row>
    <row r="5855">
      <c r="A5855" s="56" t="s">
        <v>16388</v>
      </c>
      <c r="B5855" s="21"/>
      <c r="C5855" s="33" t="s">
        <v>11394</v>
      </c>
      <c r="E5855" s="46" t="s">
        <v>7616</v>
      </c>
    </row>
    <row r="5856">
      <c r="A5856" s="56" t="s">
        <v>16389</v>
      </c>
      <c r="B5856" s="21"/>
      <c r="C5856" s="33" t="s">
        <v>11394</v>
      </c>
      <c r="E5856" s="46" t="s">
        <v>7618</v>
      </c>
    </row>
    <row r="5857">
      <c r="A5857" s="56" t="s">
        <v>16390</v>
      </c>
      <c r="B5857" s="21"/>
      <c r="C5857" s="33" t="s">
        <v>11398</v>
      </c>
      <c r="E5857" s="46" t="s">
        <v>7616</v>
      </c>
    </row>
    <row r="5858">
      <c r="A5858" s="56" t="s">
        <v>16391</v>
      </c>
      <c r="B5858" s="21"/>
      <c r="C5858" s="33" t="s">
        <v>11398</v>
      </c>
      <c r="E5858" s="46" t="s">
        <v>7618</v>
      </c>
    </row>
    <row r="5859">
      <c r="A5859" s="56" t="s">
        <v>16393</v>
      </c>
      <c r="B5859" s="21"/>
      <c r="C5859" s="33" t="s">
        <v>11391</v>
      </c>
      <c r="E5859" s="46" t="s">
        <v>7616</v>
      </c>
    </row>
    <row r="5860">
      <c r="A5860" s="56" t="s">
        <v>16394</v>
      </c>
      <c r="B5860" s="21"/>
      <c r="C5860" s="33" t="s">
        <v>11391</v>
      </c>
      <c r="E5860" s="46" t="s">
        <v>7618</v>
      </c>
    </row>
    <row r="5861">
      <c r="A5861" s="56" t="s">
        <v>16396</v>
      </c>
      <c r="B5861" s="21"/>
      <c r="C5861" s="33" t="s">
        <v>11394</v>
      </c>
      <c r="E5861" s="46" t="s">
        <v>7616</v>
      </c>
    </row>
    <row r="5862">
      <c r="A5862" s="56" t="s">
        <v>16397</v>
      </c>
      <c r="B5862" s="21"/>
      <c r="C5862" s="33" t="s">
        <v>11394</v>
      </c>
      <c r="E5862" s="46" t="s">
        <v>7618</v>
      </c>
    </row>
    <row r="5863">
      <c r="A5863" s="56" t="s">
        <v>16398</v>
      </c>
      <c r="B5863" s="21"/>
      <c r="C5863" s="33" t="s">
        <v>11398</v>
      </c>
      <c r="E5863" s="46" t="s">
        <v>7616</v>
      </c>
    </row>
    <row r="5864">
      <c r="A5864" s="56" t="s">
        <v>16400</v>
      </c>
      <c r="B5864" s="21"/>
      <c r="C5864" s="33" t="s">
        <v>11398</v>
      </c>
      <c r="E5864" s="46" t="s">
        <v>7618</v>
      </c>
    </row>
    <row r="5865">
      <c r="A5865" s="56" t="s">
        <v>16401</v>
      </c>
      <c r="B5865" s="21"/>
      <c r="C5865" s="33" t="s">
        <v>11411</v>
      </c>
      <c r="E5865" s="46" t="s">
        <v>7616</v>
      </c>
    </row>
    <row r="5866">
      <c r="A5866" s="56" t="s">
        <v>16402</v>
      </c>
      <c r="B5866" s="21"/>
      <c r="C5866" s="33" t="s">
        <v>11411</v>
      </c>
      <c r="E5866" s="46" t="s">
        <v>7618</v>
      </c>
    </row>
    <row r="5867">
      <c r="A5867" s="56" t="s">
        <v>16404</v>
      </c>
      <c r="B5867" s="21"/>
      <c r="C5867" s="33" t="s">
        <v>11416</v>
      </c>
      <c r="E5867" s="46" t="s">
        <v>7616</v>
      </c>
    </row>
    <row r="5868">
      <c r="A5868" s="56" t="s">
        <v>16405</v>
      </c>
      <c r="B5868" s="21"/>
      <c r="C5868" s="33" t="s">
        <v>11416</v>
      </c>
      <c r="E5868" s="46" t="s">
        <v>7618</v>
      </c>
    </row>
    <row r="5869">
      <c r="A5869" s="56" t="s">
        <v>16406</v>
      </c>
      <c r="B5869" s="21"/>
      <c r="C5869" s="33" t="s">
        <v>11419</v>
      </c>
      <c r="E5869" s="46" t="s">
        <v>7616</v>
      </c>
    </row>
    <row r="5870">
      <c r="A5870" s="56" t="s">
        <v>16407</v>
      </c>
      <c r="B5870" s="21"/>
      <c r="C5870" s="33" t="s">
        <v>11419</v>
      </c>
      <c r="E5870" s="46" t="s">
        <v>7618</v>
      </c>
    </row>
    <row r="5871">
      <c r="A5871" s="56" t="s">
        <v>16408</v>
      </c>
      <c r="B5871" s="21"/>
      <c r="C5871" s="33" t="s">
        <v>11411</v>
      </c>
      <c r="E5871" s="46" t="s">
        <v>7616</v>
      </c>
    </row>
    <row r="5872">
      <c r="A5872" s="56" t="s">
        <v>16410</v>
      </c>
      <c r="B5872" s="21"/>
      <c r="C5872" s="33" t="s">
        <v>11411</v>
      </c>
      <c r="E5872" s="46" t="s">
        <v>7618</v>
      </c>
    </row>
    <row r="5873">
      <c r="A5873" s="56" t="s">
        <v>16411</v>
      </c>
      <c r="B5873" s="21"/>
      <c r="C5873" s="33" t="s">
        <v>11416</v>
      </c>
      <c r="E5873" s="46" t="s">
        <v>7616</v>
      </c>
    </row>
    <row r="5874">
      <c r="A5874" s="56" t="s">
        <v>16412</v>
      </c>
      <c r="B5874" s="21"/>
      <c r="C5874" s="33" t="s">
        <v>11416</v>
      </c>
      <c r="E5874" s="46" t="s">
        <v>7618</v>
      </c>
    </row>
    <row r="5875">
      <c r="A5875" s="56" t="s">
        <v>16413</v>
      </c>
      <c r="B5875" s="21"/>
      <c r="C5875" s="33" t="s">
        <v>11419</v>
      </c>
      <c r="E5875" s="46" t="s">
        <v>7616</v>
      </c>
    </row>
    <row r="5876">
      <c r="A5876" s="56" t="s">
        <v>16415</v>
      </c>
      <c r="B5876" s="21"/>
      <c r="C5876" s="33" t="s">
        <v>11419</v>
      </c>
      <c r="E5876" s="46" t="s">
        <v>7618</v>
      </c>
    </row>
    <row r="5877">
      <c r="A5877" s="56" t="s">
        <v>16418</v>
      </c>
      <c r="B5877" s="55"/>
      <c r="C5877" s="31"/>
    </row>
    <row r="5878">
      <c r="A5878" s="56" t="s">
        <v>16419</v>
      </c>
      <c r="B5878" s="82"/>
      <c r="C5878" s="33" t="s">
        <v>16420</v>
      </c>
    </row>
    <row r="5879">
      <c r="A5879" s="56" t="s">
        <v>16421</v>
      </c>
      <c r="B5879" s="82"/>
      <c r="C5879" s="33" t="s">
        <v>11373</v>
      </c>
      <c r="E5879" s="46" t="s">
        <v>7616</v>
      </c>
    </row>
    <row r="5880">
      <c r="A5880" s="56" t="s">
        <v>16422</v>
      </c>
      <c r="B5880" s="82"/>
      <c r="C5880" s="33" t="s">
        <v>11373</v>
      </c>
      <c r="E5880" s="46" t="s">
        <v>7618</v>
      </c>
    </row>
    <row r="5881">
      <c r="A5881" s="56" t="s">
        <v>16423</v>
      </c>
      <c r="B5881" s="82"/>
      <c r="C5881" s="33" t="s">
        <v>11376</v>
      </c>
      <c r="E5881" s="46" t="s">
        <v>7616</v>
      </c>
    </row>
    <row r="5882">
      <c r="A5882" s="56" t="s">
        <v>16426</v>
      </c>
      <c r="B5882" s="82"/>
      <c r="C5882" s="33" t="s">
        <v>11376</v>
      </c>
      <c r="E5882" s="46" t="s">
        <v>7618</v>
      </c>
    </row>
    <row r="5883">
      <c r="A5883" s="56" t="s">
        <v>16427</v>
      </c>
      <c r="B5883" s="82"/>
      <c r="C5883" s="33" t="s">
        <v>11380</v>
      </c>
      <c r="E5883" s="46" t="s">
        <v>7616</v>
      </c>
    </row>
    <row r="5884">
      <c r="A5884" s="56" t="s">
        <v>16428</v>
      </c>
      <c r="B5884" s="82"/>
      <c r="C5884" s="33" t="s">
        <v>11380</v>
      </c>
      <c r="E5884" s="46" t="s">
        <v>7618</v>
      </c>
    </row>
    <row r="5885">
      <c r="A5885" s="56" t="s">
        <v>16429</v>
      </c>
      <c r="B5885" s="79"/>
      <c r="C5885" s="33" t="s">
        <v>11384</v>
      </c>
      <c r="E5885" s="46" t="s">
        <v>1348</v>
      </c>
    </row>
    <row r="5886">
      <c r="A5886" s="56" t="s">
        <v>16430</v>
      </c>
      <c r="B5886" s="79"/>
      <c r="C5886" s="33" t="s">
        <v>11384</v>
      </c>
      <c r="E5886" s="46" t="s">
        <v>1348</v>
      </c>
    </row>
    <row r="5887">
      <c r="A5887" s="56" t="s">
        <v>16433</v>
      </c>
      <c r="B5887" s="79"/>
      <c r="C5887" s="33" t="s">
        <v>11389</v>
      </c>
      <c r="E5887" s="46" t="s">
        <v>1348</v>
      </c>
    </row>
    <row r="5888">
      <c r="A5888" s="56" t="s">
        <v>16434</v>
      </c>
      <c r="B5888" s="21"/>
      <c r="C5888" s="33" t="s">
        <v>11391</v>
      </c>
      <c r="E5888" s="46" t="s">
        <v>7616</v>
      </c>
    </row>
    <row r="5889">
      <c r="A5889" s="56" t="s">
        <v>16435</v>
      </c>
      <c r="B5889" s="21"/>
      <c r="C5889" s="33" t="s">
        <v>11391</v>
      </c>
      <c r="E5889" s="46" t="s">
        <v>7618</v>
      </c>
    </row>
    <row r="5890">
      <c r="A5890" s="56" t="s">
        <v>16436</v>
      </c>
      <c r="B5890" s="21"/>
      <c r="C5890" s="33" t="s">
        <v>11394</v>
      </c>
      <c r="E5890" s="46" t="s">
        <v>7616</v>
      </c>
    </row>
    <row r="5891">
      <c r="A5891" s="56" t="s">
        <v>16438</v>
      </c>
      <c r="B5891" s="21"/>
      <c r="C5891" s="33" t="s">
        <v>11394</v>
      </c>
      <c r="E5891" s="46" t="s">
        <v>7618</v>
      </c>
    </row>
    <row r="5892">
      <c r="A5892" s="56" t="s">
        <v>16439</v>
      </c>
      <c r="B5892" s="21"/>
      <c r="C5892" s="33" t="s">
        <v>11398</v>
      </c>
      <c r="E5892" s="46" t="s">
        <v>7616</v>
      </c>
    </row>
    <row r="5893">
      <c r="A5893" s="56" t="s">
        <v>16440</v>
      </c>
      <c r="B5893" s="21"/>
      <c r="C5893" s="33" t="s">
        <v>11398</v>
      </c>
      <c r="E5893" s="46" t="s">
        <v>7618</v>
      </c>
    </row>
    <row r="5894">
      <c r="A5894" s="56" t="s">
        <v>16441</v>
      </c>
      <c r="B5894" s="21"/>
      <c r="C5894" s="33" t="s">
        <v>11391</v>
      </c>
      <c r="E5894" s="46" t="s">
        <v>7616</v>
      </c>
    </row>
    <row r="5895">
      <c r="A5895" s="56" t="s">
        <v>16442</v>
      </c>
      <c r="B5895" s="21"/>
      <c r="C5895" s="33" t="s">
        <v>11391</v>
      </c>
      <c r="E5895" s="46" t="s">
        <v>7618</v>
      </c>
    </row>
    <row r="5896">
      <c r="A5896" s="56" t="s">
        <v>16445</v>
      </c>
      <c r="B5896" s="21"/>
      <c r="C5896" s="33" t="s">
        <v>11394</v>
      </c>
      <c r="E5896" s="46" t="s">
        <v>7616</v>
      </c>
    </row>
    <row r="5897">
      <c r="A5897" s="56" t="s">
        <v>16446</v>
      </c>
      <c r="B5897" s="21"/>
      <c r="C5897" s="33" t="s">
        <v>11394</v>
      </c>
      <c r="E5897" s="46" t="s">
        <v>7618</v>
      </c>
    </row>
    <row r="5898">
      <c r="A5898" s="56" t="s">
        <v>16447</v>
      </c>
      <c r="B5898" s="21"/>
      <c r="C5898" s="33" t="s">
        <v>11398</v>
      </c>
      <c r="E5898" s="46" t="s">
        <v>7616</v>
      </c>
    </row>
    <row r="5899">
      <c r="A5899" s="56" t="s">
        <v>16448</v>
      </c>
      <c r="B5899" s="21"/>
      <c r="C5899" s="33" t="s">
        <v>11398</v>
      </c>
      <c r="E5899" s="46" t="s">
        <v>7618</v>
      </c>
    </row>
    <row r="5900">
      <c r="A5900" s="56" t="s">
        <v>16449</v>
      </c>
      <c r="B5900" s="21"/>
      <c r="C5900" s="33" t="s">
        <v>11411</v>
      </c>
      <c r="E5900" s="46" t="s">
        <v>7616</v>
      </c>
    </row>
    <row r="5901">
      <c r="A5901" s="56" t="s">
        <v>16452</v>
      </c>
      <c r="B5901" s="21"/>
      <c r="C5901" s="33" t="s">
        <v>11411</v>
      </c>
      <c r="E5901" s="46" t="s">
        <v>7618</v>
      </c>
    </row>
    <row r="5902">
      <c r="A5902" s="56" t="s">
        <v>16453</v>
      </c>
      <c r="B5902" s="21"/>
      <c r="C5902" s="33" t="s">
        <v>11416</v>
      </c>
      <c r="E5902" s="46" t="s">
        <v>7616</v>
      </c>
    </row>
    <row r="5903">
      <c r="A5903" s="56" t="s">
        <v>16454</v>
      </c>
      <c r="B5903" s="21"/>
      <c r="C5903" s="33" t="s">
        <v>11416</v>
      </c>
      <c r="E5903" s="46" t="s">
        <v>7618</v>
      </c>
    </row>
    <row r="5904">
      <c r="A5904" s="56" t="s">
        <v>16455</v>
      </c>
      <c r="B5904" s="21"/>
      <c r="C5904" s="33" t="s">
        <v>11419</v>
      </c>
      <c r="E5904" s="46" t="s">
        <v>7616</v>
      </c>
    </row>
    <row r="5905">
      <c r="A5905" s="56" t="s">
        <v>16456</v>
      </c>
      <c r="B5905" s="21"/>
      <c r="C5905" s="33" t="s">
        <v>11419</v>
      </c>
      <c r="E5905" s="46" t="s">
        <v>7618</v>
      </c>
    </row>
    <row r="5906">
      <c r="A5906" s="56" t="s">
        <v>16458</v>
      </c>
      <c r="B5906" s="21"/>
      <c r="C5906" s="33" t="s">
        <v>11411</v>
      </c>
      <c r="E5906" s="46" t="s">
        <v>7616</v>
      </c>
    </row>
    <row r="5907">
      <c r="A5907" s="56" t="s">
        <v>16461</v>
      </c>
      <c r="B5907" s="21"/>
      <c r="C5907" s="33" t="s">
        <v>11411</v>
      </c>
      <c r="E5907" s="46" t="s">
        <v>7618</v>
      </c>
    </row>
    <row r="5908">
      <c r="A5908" s="56" t="s">
        <v>16462</v>
      </c>
      <c r="B5908" s="21"/>
      <c r="C5908" s="33" t="s">
        <v>11416</v>
      </c>
      <c r="E5908" s="46" t="s">
        <v>7616</v>
      </c>
    </row>
    <row r="5909">
      <c r="A5909" s="56" t="s">
        <v>16465</v>
      </c>
      <c r="B5909" s="21"/>
      <c r="C5909" s="33" t="s">
        <v>11416</v>
      </c>
      <c r="E5909" s="46" t="s">
        <v>7618</v>
      </c>
    </row>
    <row r="5910">
      <c r="A5910" s="56" t="s">
        <v>16466</v>
      </c>
      <c r="B5910" s="21"/>
      <c r="C5910" s="33" t="s">
        <v>11419</v>
      </c>
      <c r="E5910" s="46" t="s">
        <v>7616</v>
      </c>
    </row>
    <row r="5911">
      <c r="A5911" s="56" t="s">
        <v>16468</v>
      </c>
      <c r="B5911" s="21"/>
      <c r="C5911" s="33" t="s">
        <v>11419</v>
      </c>
      <c r="E5911" s="46" t="s">
        <v>7618</v>
      </c>
    </row>
    <row r="5912">
      <c r="A5912" s="56" t="s">
        <v>16469</v>
      </c>
      <c r="B5912" s="82"/>
      <c r="C5912" s="33" t="s">
        <v>16470</v>
      </c>
    </row>
    <row r="5913">
      <c r="A5913" s="56" t="s">
        <v>16471</v>
      </c>
      <c r="B5913" s="55"/>
      <c r="C5913" s="31"/>
    </row>
    <row r="5914">
      <c r="A5914" s="56" t="s">
        <v>16473</v>
      </c>
      <c r="B5914" s="55"/>
      <c r="C5914" s="31"/>
    </row>
    <row r="5915">
      <c r="A5915" s="56" t="s">
        <v>16475</v>
      </c>
      <c r="B5915" s="55"/>
      <c r="C5915" s="31"/>
    </row>
    <row r="5916">
      <c r="A5916" s="56" t="s">
        <v>16476</v>
      </c>
      <c r="B5916" s="55"/>
      <c r="C5916" s="31"/>
    </row>
    <row r="5917">
      <c r="A5917" s="56" t="s">
        <v>16478</v>
      </c>
      <c r="B5917" s="82"/>
      <c r="C5917" s="33" t="s">
        <v>16480</v>
      </c>
    </row>
    <row r="5918">
      <c r="A5918" s="56" t="s">
        <v>16481</v>
      </c>
      <c r="B5918" s="82"/>
      <c r="C5918" s="33" t="s">
        <v>11373</v>
      </c>
      <c r="E5918" s="46" t="s">
        <v>7616</v>
      </c>
    </row>
    <row r="5919">
      <c r="A5919" s="56" t="s">
        <v>16484</v>
      </c>
      <c r="B5919" s="82"/>
      <c r="C5919" s="33" t="s">
        <v>11373</v>
      </c>
      <c r="E5919" s="46" t="s">
        <v>7618</v>
      </c>
    </row>
    <row r="5920">
      <c r="A5920" s="56" t="s">
        <v>16485</v>
      </c>
      <c r="B5920" s="82"/>
      <c r="C5920" s="33" t="s">
        <v>11376</v>
      </c>
      <c r="E5920" s="46" t="s">
        <v>7616</v>
      </c>
    </row>
    <row r="5921">
      <c r="A5921" s="56" t="s">
        <v>16486</v>
      </c>
      <c r="B5921" s="82"/>
      <c r="C5921" s="33" t="s">
        <v>11376</v>
      </c>
      <c r="E5921" s="46" t="s">
        <v>7618</v>
      </c>
    </row>
    <row r="5922">
      <c r="A5922" s="56" t="s">
        <v>16487</v>
      </c>
      <c r="B5922" s="82"/>
      <c r="C5922" s="33" t="s">
        <v>11380</v>
      </c>
      <c r="E5922" s="46" t="s">
        <v>7616</v>
      </c>
    </row>
    <row r="5923">
      <c r="A5923" s="56" t="s">
        <v>16488</v>
      </c>
      <c r="B5923" s="82"/>
      <c r="C5923" s="33" t="s">
        <v>11380</v>
      </c>
      <c r="E5923" s="46" t="s">
        <v>7618</v>
      </c>
    </row>
    <row r="5924">
      <c r="A5924" s="56" t="s">
        <v>16490</v>
      </c>
      <c r="B5924" s="79"/>
      <c r="C5924" s="33" t="s">
        <v>11384</v>
      </c>
      <c r="E5924" s="46" t="s">
        <v>1348</v>
      </c>
    </row>
    <row r="5925">
      <c r="A5925" s="56" t="s">
        <v>16494</v>
      </c>
      <c r="B5925" s="79"/>
      <c r="C5925" s="33" t="s">
        <v>11384</v>
      </c>
      <c r="E5925" s="46" t="s">
        <v>1348</v>
      </c>
    </row>
    <row r="5926">
      <c r="A5926" s="56" t="s">
        <v>16495</v>
      </c>
      <c r="B5926" s="79"/>
      <c r="C5926" s="33" t="s">
        <v>11389</v>
      </c>
      <c r="E5926" s="46" t="s">
        <v>1348</v>
      </c>
    </row>
    <row r="5927">
      <c r="A5927" s="56" t="s">
        <v>16496</v>
      </c>
      <c r="B5927" s="21"/>
      <c r="C5927" s="33" t="s">
        <v>11391</v>
      </c>
      <c r="E5927" s="46" t="s">
        <v>7616</v>
      </c>
    </row>
    <row r="5928">
      <c r="A5928" s="56" t="s">
        <v>16497</v>
      </c>
      <c r="B5928" s="21"/>
      <c r="C5928" s="33" t="s">
        <v>11391</v>
      </c>
      <c r="E5928" s="46" t="s">
        <v>7618</v>
      </c>
    </row>
    <row r="5929">
      <c r="A5929" s="56" t="s">
        <v>16498</v>
      </c>
      <c r="B5929" s="21"/>
      <c r="C5929" s="33" t="s">
        <v>11394</v>
      </c>
      <c r="E5929" s="46" t="s">
        <v>7616</v>
      </c>
    </row>
    <row r="5930">
      <c r="A5930" s="56" t="s">
        <v>16502</v>
      </c>
      <c r="B5930" s="21"/>
      <c r="C5930" s="33" t="s">
        <v>11394</v>
      </c>
      <c r="E5930" s="46" t="s">
        <v>7618</v>
      </c>
    </row>
    <row r="5931">
      <c r="A5931" s="56" t="s">
        <v>16505</v>
      </c>
      <c r="B5931" s="21"/>
      <c r="C5931" s="33" t="s">
        <v>11398</v>
      </c>
      <c r="E5931" s="46" t="s">
        <v>7616</v>
      </c>
    </row>
    <row r="5932">
      <c r="A5932" s="56" t="s">
        <v>16507</v>
      </c>
      <c r="B5932" s="21"/>
      <c r="C5932" s="33" t="s">
        <v>11398</v>
      </c>
      <c r="E5932" s="46" t="s">
        <v>7618</v>
      </c>
    </row>
    <row r="5933">
      <c r="A5933" s="56" t="s">
        <v>16508</v>
      </c>
      <c r="B5933" s="21"/>
      <c r="C5933" s="33" t="s">
        <v>11391</v>
      </c>
      <c r="E5933" s="46" t="s">
        <v>7616</v>
      </c>
    </row>
    <row r="5934">
      <c r="A5934" s="56" t="s">
        <v>16509</v>
      </c>
      <c r="B5934" s="21"/>
      <c r="C5934" s="33" t="s">
        <v>11391</v>
      </c>
      <c r="E5934" s="46" t="s">
        <v>7618</v>
      </c>
    </row>
    <row r="5935">
      <c r="A5935" s="56" t="s">
        <v>16511</v>
      </c>
      <c r="B5935" s="21"/>
      <c r="C5935" s="33" t="s">
        <v>11394</v>
      </c>
      <c r="E5935" s="46" t="s">
        <v>7616</v>
      </c>
    </row>
    <row r="5936">
      <c r="A5936" s="56" t="s">
        <v>16513</v>
      </c>
      <c r="B5936" s="21"/>
      <c r="C5936" s="33" t="s">
        <v>11394</v>
      </c>
      <c r="E5936" s="46" t="s">
        <v>7618</v>
      </c>
    </row>
    <row r="5937">
      <c r="A5937" s="56" t="s">
        <v>16515</v>
      </c>
      <c r="B5937" s="21"/>
      <c r="C5937" s="33" t="s">
        <v>11398</v>
      </c>
      <c r="E5937" s="46" t="s">
        <v>7616</v>
      </c>
    </row>
    <row r="5938">
      <c r="A5938" s="56" t="s">
        <v>16517</v>
      </c>
      <c r="B5938" s="21"/>
      <c r="C5938" s="33" t="s">
        <v>11398</v>
      </c>
      <c r="E5938" s="46" t="s">
        <v>7618</v>
      </c>
    </row>
    <row r="5939">
      <c r="A5939" s="56" t="s">
        <v>16518</v>
      </c>
      <c r="B5939" s="21"/>
      <c r="C5939" s="33" t="s">
        <v>11411</v>
      </c>
      <c r="E5939" s="46" t="s">
        <v>7616</v>
      </c>
    </row>
    <row r="5940">
      <c r="A5940" s="56" t="s">
        <v>16519</v>
      </c>
      <c r="B5940" s="21"/>
      <c r="C5940" s="33" t="s">
        <v>11411</v>
      </c>
      <c r="E5940" s="46" t="s">
        <v>7618</v>
      </c>
    </row>
    <row r="5941">
      <c r="A5941" s="56" t="s">
        <v>16521</v>
      </c>
      <c r="B5941" s="21"/>
      <c r="C5941" s="33" t="s">
        <v>11416</v>
      </c>
      <c r="E5941" s="46" t="s">
        <v>7616</v>
      </c>
    </row>
    <row r="5942">
      <c r="A5942" s="56" t="s">
        <v>16522</v>
      </c>
      <c r="B5942" s="21"/>
      <c r="C5942" s="33" t="s">
        <v>11416</v>
      </c>
      <c r="E5942" s="46" t="s">
        <v>7618</v>
      </c>
    </row>
    <row r="5943">
      <c r="A5943" s="56" t="s">
        <v>16523</v>
      </c>
      <c r="B5943" s="21"/>
      <c r="C5943" s="33" t="s">
        <v>11419</v>
      </c>
      <c r="E5943" s="46" t="s">
        <v>7616</v>
      </c>
    </row>
    <row r="5944">
      <c r="A5944" s="56" t="s">
        <v>16527</v>
      </c>
      <c r="B5944" s="21"/>
      <c r="C5944" s="33" t="s">
        <v>11419</v>
      </c>
      <c r="E5944" s="46" t="s">
        <v>7618</v>
      </c>
    </row>
    <row r="5945">
      <c r="A5945" s="56" t="s">
        <v>16528</v>
      </c>
      <c r="B5945" s="21"/>
      <c r="C5945" s="33" t="s">
        <v>11411</v>
      </c>
      <c r="E5945" s="46" t="s">
        <v>7616</v>
      </c>
    </row>
    <row r="5946">
      <c r="A5946" s="56" t="s">
        <v>16529</v>
      </c>
      <c r="B5946" s="21"/>
      <c r="C5946" s="33" t="s">
        <v>11411</v>
      </c>
      <c r="E5946" s="46" t="s">
        <v>7618</v>
      </c>
    </row>
    <row r="5947">
      <c r="A5947" s="56" t="s">
        <v>16530</v>
      </c>
      <c r="B5947" s="21"/>
      <c r="C5947" s="33" t="s">
        <v>11416</v>
      </c>
      <c r="E5947" s="46" t="s">
        <v>7616</v>
      </c>
    </row>
    <row r="5948">
      <c r="A5948" s="56" t="s">
        <v>16533</v>
      </c>
      <c r="B5948" s="21"/>
      <c r="C5948" s="33" t="s">
        <v>11416</v>
      </c>
      <c r="E5948" s="46" t="s">
        <v>7618</v>
      </c>
    </row>
    <row r="5949">
      <c r="A5949" s="56" t="s">
        <v>16535</v>
      </c>
      <c r="B5949" s="21"/>
      <c r="C5949" s="33" t="s">
        <v>11419</v>
      </c>
      <c r="E5949" s="46" t="s">
        <v>7616</v>
      </c>
    </row>
    <row r="5950">
      <c r="A5950" s="56" t="s">
        <v>16536</v>
      </c>
      <c r="B5950" s="21"/>
      <c r="C5950" s="33" t="s">
        <v>11419</v>
      </c>
      <c r="E5950" s="46" t="s">
        <v>7618</v>
      </c>
    </row>
    <row r="5951">
      <c r="A5951" s="56" t="s">
        <v>16537</v>
      </c>
      <c r="B5951" s="55"/>
      <c r="C5951" s="31"/>
    </row>
    <row r="5952">
      <c r="A5952" s="56" t="s">
        <v>16539</v>
      </c>
      <c r="B5952" s="82"/>
      <c r="C5952" s="33" t="s">
        <v>16541</v>
      </c>
    </row>
    <row r="5953">
      <c r="A5953" s="56" t="s">
        <v>16543</v>
      </c>
      <c r="B5953" s="55"/>
      <c r="C5953" s="31"/>
    </row>
    <row r="5954">
      <c r="A5954" s="56" t="s">
        <v>16544</v>
      </c>
      <c r="B5954" s="55"/>
      <c r="C5954" s="31"/>
    </row>
    <row r="5955">
      <c r="A5955" s="56" t="s">
        <v>16545</v>
      </c>
      <c r="B5955" s="55"/>
      <c r="C5955" s="31"/>
    </row>
    <row r="5956">
      <c r="A5956" s="56" t="s">
        <v>16546</v>
      </c>
      <c r="B5956" s="55"/>
      <c r="C5956" s="31"/>
    </row>
    <row r="5957">
      <c r="A5957" s="56" t="s">
        <v>16548</v>
      </c>
      <c r="B5957" s="55"/>
      <c r="C5957" s="31"/>
    </row>
    <row r="5958">
      <c r="A5958" s="56" t="s">
        <v>16551</v>
      </c>
      <c r="B5958" s="55"/>
      <c r="C5958" s="31"/>
    </row>
    <row r="5959">
      <c r="A5959" s="56" t="s">
        <v>16552</v>
      </c>
      <c r="B5959" s="55"/>
      <c r="C5959" s="31"/>
    </row>
    <row r="5960">
      <c r="A5960" s="56" t="s">
        <v>16553</v>
      </c>
      <c r="B5960" s="55"/>
      <c r="C5960" s="31"/>
    </row>
    <row r="5961">
      <c r="A5961" s="56" t="s">
        <v>16554</v>
      </c>
      <c r="B5961" s="55"/>
      <c r="C5961" s="31"/>
    </row>
    <row r="5962">
      <c r="A5962" s="56" t="s">
        <v>16556</v>
      </c>
      <c r="B5962" s="55"/>
      <c r="C5962" s="31"/>
    </row>
    <row r="5963">
      <c r="A5963" s="56" t="s">
        <v>16559</v>
      </c>
      <c r="B5963" s="55"/>
      <c r="C5963" s="31"/>
    </row>
    <row r="5964">
      <c r="A5964" s="56" t="s">
        <v>16560</v>
      </c>
      <c r="B5964" s="55"/>
      <c r="C5964" s="31"/>
    </row>
    <row r="5965">
      <c r="A5965" s="56" t="s">
        <v>16561</v>
      </c>
      <c r="B5965" s="55"/>
      <c r="C5965" s="31"/>
    </row>
    <row r="5966">
      <c r="A5966" s="56" t="s">
        <v>16562</v>
      </c>
      <c r="B5966" s="55"/>
      <c r="C5966" s="31"/>
    </row>
    <row r="5967">
      <c r="A5967" s="56" t="s">
        <v>16564</v>
      </c>
      <c r="B5967" s="55"/>
      <c r="C5967" s="31"/>
    </row>
    <row r="5968">
      <c r="A5968" s="56" t="s">
        <v>16567</v>
      </c>
      <c r="B5968" s="55"/>
      <c r="C5968" s="31"/>
    </row>
    <row r="5969">
      <c r="A5969" s="56" t="s">
        <v>16568</v>
      </c>
      <c r="B5969" s="55"/>
      <c r="C5969" s="31"/>
    </row>
    <row r="5970">
      <c r="A5970" s="56" t="s">
        <v>16569</v>
      </c>
      <c r="B5970" s="55"/>
      <c r="C5970" s="31"/>
    </row>
    <row r="5971">
      <c r="A5971" s="56" t="s">
        <v>16570</v>
      </c>
      <c r="B5971" s="55"/>
      <c r="C5971" s="31"/>
    </row>
    <row r="5972">
      <c r="A5972" s="56" t="s">
        <v>16572</v>
      </c>
      <c r="B5972" s="55"/>
      <c r="C5972" s="31"/>
    </row>
    <row r="5973">
      <c r="A5973" s="56" t="s">
        <v>16575</v>
      </c>
      <c r="B5973" s="55"/>
      <c r="C5973" s="31"/>
    </row>
    <row r="5974">
      <c r="A5974" s="56" t="s">
        <v>16577</v>
      </c>
      <c r="B5974" s="55"/>
      <c r="C5974" s="31"/>
    </row>
    <row r="5975">
      <c r="A5975" s="56" t="s">
        <v>16578</v>
      </c>
      <c r="B5975" s="55"/>
      <c r="C5975" s="31"/>
    </row>
    <row r="5976">
      <c r="A5976" s="56" t="s">
        <v>16579</v>
      </c>
      <c r="B5976" s="55"/>
      <c r="C5976" s="31"/>
    </row>
    <row r="5977">
      <c r="A5977" s="56" t="s">
        <v>16581</v>
      </c>
      <c r="B5977" s="55"/>
      <c r="C5977" s="31"/>
    </row>
    <row r="5978">
      <c r="A5978" s="56" t="s">
        <v>16584</v>
      </c>
      <c r="B5978" s="55"/>
      <c r="C5978" s="31"/>
    </row>
    <row r="5979">
      <c r="A5979" s="56" t="s">
        <v>16585</v>
      </c>
      <c r="B5979" s="55"/>
      <c r="C5979" s="31"/>
    </row>
    <row r="5980">
      <c r="A5980" s="56" t="s">
        <v>16586</v>
      </c>
      <c r="B5980" s="55"/>
      <c r="C5980" s="31"/>
    </row>
    <row r="5981">
      <c r="A5981" s="56" t="s">
        <v>16587</v>
      </c>
      <c r="B5981" s="55"/>
      <c r="C5981" s="31"/>
    </row>
    <row r="5982">
      <c r="A5982" s="56" t="s">
        <v>16590</v>
      </c>
      <c r="B5982" s="55"/>
      <c r="C5982" s="31"/>
    </row>
    <row r="5983">
      <c r="A5983" s="56" t="s">
        <v>16591</v>
      </c>
      <c r="B5983" s="55"/>
      <c r="C5983" s="31"/>
    </row>
    <row r="5984">
      <c r="A5984" s="56" t="s">
        <v>16592</v>
      </c>
      <c r="B5984" s="55"/>
      <c r="C5984" s="31"/>
    </row>
    <row r="5985">
      <c r="A5985" s="56" t="s">
        <v>16593</v>
      </c>
      <c r="B5985" s="55"/>
      <c r="C5985" s="31"/>
    </row>
    <row r="5986">
      <c r="A5986" s="56" t="s">
        <v>16594</v>
      </c>
      <c r="B5986" s="55"/>
      <c r="C5986" s="31"/>
    </row>
    <row r="5987">
      <c r="A5987" s="56" t="s">
        <v>16595</v>
      </c>
      <c r="B5987" s="55"/>
      <c r="C5987" s="31"/>
    </row>
    <row r="5988">
      <c r="A5988" s="56" t="s">
        <v>16598</v>
      </c>
      <c r="B5988" s="55"/>
      <c r="C5988" s="31"/>
    </row>
    <row r="5989">
      <c r="A5989" s="56" t="s">
        <v>16600</v>
      </c>
      <c r="B5989" s="55"/>
      <c r="C5989" s="31"/>
    </row>
    <row r="5990">
      <c r="A5990" s="56" t="s">
        <v>16601</v>
      </c>
      <c r="B5990" s="55"/>
      <c r="C5990" s="31"/>
    </row>
    <row r="5991">
      <c r="A5991" s="56" t="s">
        <v>16603</v>
      </c>
      <c r="B5991" s="55"/>
      <c r="C5991" s="31"/>
    </row>
    <row r="5992">
      <c r="A5992" s="56" t="s">
        <v>16604</v>
      </c>
      <c r="B5992" s="82"/>
      <c r="C5992" s="33" t="s">
        <v>16606</v>
      </c>
    </row>
    <row r="5993">
      <c r="A5993" s="56" t="s">
        <v>16607</v>
      </c>
      <c r="B5993" s="55"/>
      <c r="C5993" s="31"/>
    </row>
    <row r="5994">
      <c r="A5994" s="56" t="s">
        <v>16609</v>
      </c>
      <c r="B5994" s="55"/>
      <c r="C5994" s="31"/>
    </row>
    <row r="5995">
      <c r="A5995" s="56" t="s">
        <v>16610</v>
      </c>
      <c r="B5995" s="55"/>
      <c r="C5995" s="31"/>
    </row>
    <row r="5996">
      <c r="A5996" s="56" t="s">
        <v>16611</v>
      </c>
      <c r="B5996" s="55"/>
      <c r="C5996" s="31"/>
    </row>
    <row r="5997">
      <c r="A5997" s="56" t="s">
        <v>16613</v>
      </c>
      <c r="B5997" s="55"/>
      <c r="C5997" s="31"/>
    </row>
    <row r="5998">
      <c r="A5998" s="56" t="s">
        <v>16616</v>
      </c>
      <c r="B5998" s="55"/>
      <c r="C5998" s="31"/>
    </row>
    <row r="5999">
      <c r="A5999" s="56" t="s">
        <v>16617</v>
      </c>
      <c r="B5999" s="55"/>
      <c r="C5999" s="31"/>
    </row>
    <row r="6000">
      <c r="A6000" s="56" t="s">
        <v>16618</v>
      </c>
      <c r="B6000" s="55"/>
      <c r="C6000" s="31"/>
    </row>
    <row r="6001">
      <c r="A6001" s="56" t="s">
        <v>16619</v>
      </c>
      <c r="B6001" s="55"/>
      <c r="C6001" s="31"/>
    </row>
    <row r="6002">
      <c r="A6002" s="56" t="s">
        <v>16621</v>
      </c>
      <c r="B6002" s="55"/>
      <c r="C6002" s="31"/>
    </row>
    <row r="6003">
      <c r="A6003" s="56" t="s">
        <v>16623</v>
      </c>
      <c r="B6003" s="55"/>
      <c r="C6003" s="31"/>
    </row>
    <row r="6004">
      <c r="A6004" s="56" t="s">
        <v>16624</v>
      </c>
      <c r="B6004" s="55"/>
      <c r="C6004" s="31"/>
    </row>
    <row r="6005">
      <c r="A6005" s="56" t="s">
        <v>16625</v>
      </c>
      <c r="B6005" s="55"/>
      <c r="C6005" s="31"/>
    </row>
    <row r="6006">
      <c r="A6006" s="56" t="s">
        <v>16627</v>
      </c>
      <c r="B6006" s="55"/>
      <c r="C6006" s="31"/>
    </row>
    <row r="6007">
      <c r="A6007" s="56" t="s">
        <v>16628</v>
      </c>
      <c r="B6007" s="55"/>
      <c r="C6007" s="31"/>
    </row>
    <row r="6008">
      <c r="A6008" s="56" t="s">
        <v>16630</v>
      </c>
      <c r="B6008" s="55"/>
      <c r="C6008" s="31"/>
    </row>
    <row r="6009">
      <c r="A6009" s="56" t="s">
        <v>16632</v>
      </c>
      <c r="B6009" s="55"/>
      <c r="C6009" s="31"/>
    </row>
    <row r="6010">
      <c r="A6010" s="56" t="s">
        <v>16633</v>
      </c>
      <c r="B6010" s="55"/>
      <c r="C6010" s="31"/>
    </row>
    <row r="6011">
      <c r="A6011" s="56" t="s">
        <v>16634</v>
      </c>
      <c r="B6011" s="55"/>
      <c r="C6011" s="31"/>
    </row>
    <row r="6012">
      <c r="A6012" s="56" t="s">
        <v>16635</v>
      </c>
      <c r="B6012" s="55"/>
      <c r="C6012" s="31"/>
    </row>
    <row r="6013">
      <c r="A6013" s="56" t="s">
        <v>16636</v>
      </c>
      <c r="B6013" s="55"/>
      <c r="C6013" s="31"/>
    </row>
    <row r="6014">
      <c r="A6014" s="56" t="s">
        <v>16637</v>
      </c>
      <c r="B6014" s="55"/>
      <c r="C6014" s="31"/>
    </row>
    <row r="6015">
      <c r="A6015" s="56" t="s">
        <v>16639</v>
      </c>
      <c r="B6015" s="55"/>
      <c r="C6015" s="31"/>
    </row>
    <row r="6016">
      <c r="A6016" s="56" t="s">
        <v>16641</v>
      </c>
      <c r="B6016" s="55"/>
      <c r="C6016" s="31"/>
    </row>
    <row r="6017">
      <c r="A6017" s="56" t="s">
        <v>16642</v>
      </c>
      <c r="B6017" s="55"/>
      <c r="C6017" s="31"/>
    </row>
    <row r="6018">
      <c r="A6018" s="56" t="s">
        <v>16643</v>
      </c>
      <c r="B6018" s="55"/>
      <c r="C6018" s="31"/>
    </row>
    <row r="6019">
      <c r="A6019" s="56" t="s">
        <v>16644</v>
      </c>
      <c r="B6019" s="55"/>
      <c r="C6019" s="31"/>
    </row>
    <row r="6020">
      <c r="A6020" s="56" t="s">
        <v>16645</v>
      </c>
      <c r="B6020" s="55"/>
      <c r="C6020" s="31"/>
    </row>
    <row r="6021">
      <c r="A6021" s="56" t="s">
        <v>16646</v>
      </c>
      <c r="B6021" s="55"/>
      <c r="C6021" s="31"/>
    </row>
    <row r="6022">
      <c r="A6022" s="56" t="s">
        <v>16607</v>
      </c>
      <c r="B6022" s="55"/>
      <c r="C6022" s="31"/>
    </row>
    <row r="6023">
      <c r="A6023" s="56" t="s">
        <v>16609</v>
      </c>
      <c r="B6023" s="55"/>
      <c r="C6023" s="31"/>
    </row>
    <row r="6024">
      <c r="A6024" s="56" t="s">
        <v>16610</v>
      </c>
      <c r="B6024" s="55"/>
      <c r="C6024" s="31"/>
    </row>
    <row r="6025">
      <c r="A6025" s="56" t="s">
        <v>16611</v>
      </c>
      <c r="B6025" s="55"/>
      <c r="C6025" s="31"/>
    </row>
    <row r="6026">
      <c r="A6026" s="56" t="s">
        <v>16613</v>
      </c>
      <c r="B6026" s="55"/>
      <c r="C6026" s="31"/>
    </row>
    <row r="6027">
      <c r="A6027" s="56" t="s">
        <v>16616</v>
      </c>
      <c r="B6027" s="55"/>
      <c r="C6027" s="31"/>
    </row>
    <row r="6028">
      <c r="A6028" s="56" t="s">
        <v>16617</v>
      </c>
      <c r="B6028" s="55"/>
      <c r="C6028" s="31"/>
    </row>
    <row r="6029">
      <c r="A6029" s="56" t="s">
        <v>16618</v>
      </c>
      <c r="B6029" s="55"/>
      <c r="C6029" s="31"/>
    </row>
    <row r="6030">
      <c r="A6030" s="56" t="s">
        <v>16619</v>
      </c>
      <c r="B6030" s="55"/>
      <c r="C6030" s="31"/>
    </row>
    <row r="6031">
      <c r="A6031" s="56" t="s">
        <v>16621</v>
      </c>
      <c r="B6031" s="55"/>
      <c r="C6031" s="31"/>
    </row>
    <row r="6032">
      <c r="A6032" s="56" t="s">
        <v>16623</v>
      </c>
      <c r="B6032" s="55"/>
      <c r="C6032" s="31"/>
    </row>
    <row r="6033">
      <c r="A6033" s="56" t="s">
        <v>16624</v>
      </c>
      <c r="B6033" s="55"/>
      <c r="C6033" s="31"/>
    </row>
    <row r="6034">
      <c r="A6034" s="56" t="s">
        <v>16625</v>
      </c>
      <c r="B6034" s="55"/>
      <c r="C6034" s="31"/>
    </row>
    <row r="6035">
      <c r="A6035" s="56" t="s">
        <v>16627</v>
      </c>
      <c r="B6035" s="55"/>
      <c r="C6035" s="31"/>
    </row>
    <row r="6036">
      <c r="A6036" s="56" t="s">
        <v>16628</v>
      </c>
      <c r="B6036" s="55"/>
      <c r="C6036" s="31"/>
    </row>
    <row r="6037">
      <c r="A6037" s="56" t="s">
        <v>16630</v>
      </c>
      <c r="B6037" s="55"/>
      <c r="C6037" s="31"/>
    </row>
    <row r="6038">
      <c r="A6038" s="56" t="s">
        <v>16632</v>
      </c>
      <c r="B6038" s="55"/>
      <c r="C6038" s="31"/>
    </row>
    <row r="6039">
      <c r="A6039" s="56" t="s">
        <v>16633</v>
      </c>
      <c r="B6039" s="55"/>
      <c r="C6039" s="31"/>
    </row>
    <row r="6040">
      <c r="A6040" s="56" t="s">
        <v>16634</v>
      </c>
      <c r="B6040" s="55"/>
      <c r="C6040" s="31"/>
    </row>
    <row r="6041">
      <c r="A6041" s="56" t="s">
        <v>16635</v>
      </c>
      <c r="B6041" s="55"/>
      <c r="C6041" s="31"/>
    </row>
    <row r="6042">
      <c r="A6042" s="56" t="s">
        <v>16636</v>
      </c>
      <c r="B6042" s="55"/>
      <c r="C6042" s="31"/>
    </row>
    <row r="6043">
      <c r="A6043" s="56" t="s">
        <v>16637</v>
      </c>
      <c r="B6043" s="55"/>
      <c r="C6043" s="31"/>
    </row>
    <row r="6044">
      <c r="A6044" s="56" t="s">
        <v>16639</v>
      </c>
      <c r="B6044" s="55"/>
      <c r="C6044" s="31"/>
    </row>
    <row r="6045">
      <c r="A6045" s="56" t="s">
        <v>16641</v>
      </c>
      <c r="B6045" s="55"/>
      <c r="C6045" s="31"/>
    </row>
    <row r="6046">
      <c r="A6046" s="56" t="s">
        <v>16642</v>
      </c>
      <c r="B6046" s="55"/>
      <c r="C6046" s="31"/>
    </row>
    <row r="6047">
      <c r="A6047" s="56" t="s">
        <v>16643</v>
      </c>
      <c r="B6047" s="55"/>
      <c r="C6047" s="31"/>
    </row>
    <row r="6048">
      <c r="A6048" s="56" t="s">
        <v>16644</v>
      </c>
      <c r="B6048" s="55"/>
      <c r="C6048" s="31"/>
    </row>
    <row r="6049">
      <c r="A6049" s="56" t="s">
        <v>16645</v>
      </c>
      <c r="B6049" s="55"/>
      <c r="C6049" s="31"/>
    </row>
    <row r="6050">
      <c r="A6050" s="56" t="s">
        <v>16646</v>
      </c>
      <c r="B6050" s="55"/>
      <c r="C6050" s="31"/>
    </row>
    <row r="6051">
      <c r="A6051" s="56" t="s">
        <v>16656</v>
      </c>
      <c r="B6051" s="55"/>
      <c r="C6051" s="31"/>
    </row>
    <row r="6052">
      <c r="A6052" s="56" t="s">
        <v>16658</v>
      </c>
      <c r="B6052" s="55"/>
      <c r="C6052" s="31"/>
    </row>
    <row r="6053">
      <c r="A6053" s="56" t="s">
        <v>16659</v>
      </c>
      <c r="B6053" s="55"/>
      <c r="C6053" s="31"/>
    </row>
    <row r="6054">
      <c r="A6054" s="56" t="s">
        <v>16660</v>
      </c>
      <c r="B6054" s="55"/>
      <c r="C6054" s="31"/>
    </row>
    <row r="6055">
      <c r="A6055" s="56" t="s">
        <v>16661</v>
      </c>
      <c r="B6055" s="55"/>
      <c r="C6055" s="31"/>
    </row>
    <row r="6056">
      <c r="A6056" s="56" t="s">
        <v>16662</v>
      </c>
      <c r="B6056" s="55"/>
      <c r="C6056" s="31"/>
    </row>
    <row r="6057">
      <c r="A6057" s="56" t="s">
        <v>16663</v>
      </c>
      <c r="B6057" s="55"/>
      <c r="C6057" s="31"/>
    </row>
    <row r="6058">
      <c r="A6058" s="56" t="s">
        <v>16665</v>
      </c>
      <c r="B6058" s="82"/>
      <c r="C6058" s="33" t="s">
        <v>16667</v>
      </c>
    </row>
    <row r="6059">
      <c r="A6059" s="56" t="s">
        <v>16668</v>
      </c>
      <c r="B6059" s="82"/>
      <c r="C6059" s="33" t="s">
        <v>11373</v>
      </c>
      <c r="E6059" s="46" t="s">
        <v>7616</v>
      </c>
    </row>
    <row r="6060">
      <c r="A6060" s="56" t="s">
        <v>16671</v>
      </c>
      <c r="B6060" s="82"/>
      <c r="C6060" s="33" t="s">
        <v>11373</v>
      </c>
      <c r="E6060" s="46" t="s">
        <v>7618</v>
      </c>
    </row>
    <row r="6061">
      <c r="A6061" s="56" t="s">
        <v>16672</v>
      </c>
      <c r="B6061" s="82"/>
      <c r="C6061" s="33" t="s">
        <v>11376</v>
      </c>
      <c r="E6061" s="46" t="s">
        <v>7616</v>
      </c>
    </row>
    <row r="6062">
      <c r="A6062" s="56" t="s">
        <v>16673</v>
      </c>
      <c r="B6062" s="82"/>
      <c r="C6062" s="33" t="s">
        <v>11376</v>
      </c>
      <c r="E6062" s="46" t="s">
        <v>7618</v>
      </c>
    </row>
    <row r="6063">
      <c r="A6063" s="56" t="s">
        <v>16675</v>
      </c>
      <c r="B6063" s="82"/>
      <c r="C6063" s="33" t="s">
        <v>11380</v>
      </c>
      <c r="E6063" s="46" t="s">
        <v>7616</v>
      </c>
    </row>
    <row r="6064">
      <c r="A6064" s="56" t="s">
        <v>16677</v>
      </c>
      <c r="B6064" s="82"/>
      <c r="C6064" s="33" t="s">
        <v>11380</v>
      </c>
      <c r="E6064" s="46" t="s">
        <v>7618</v>
      </c>
    </row>
    <row r="6065">
      <c r="A6065" s="56" t="s">
        <v>16678</v>
      </c>
      <c r="B6065" s="79"/>
      <c r="C6065" s="33" t="s">
        <v>11384</v>
      </c>
      <c r="E6065" s="46" t="s">
        <v>1348</v>
      </c>
    </row>
    <row r="6066">
      <c r="A6066" s="56" t="s">
        <v>16680</v>
      </c>
      <c r="B6066" s="79"/>
      <c r="C6066" s="33" t="s">
        <v>11384</v>
      </c>
      <c r="E6066" s="46" t="s">
        <v>1348</v>
      </c>
    </row>
    <row r="6067">
      <c r="A6067" s="56" t="s">
        <v>16681</v>
      </c>
      <c r="B6067" s="79"/>
      <c r="C6067" s="33" t="s">
        <v>11389</v>
      </c>
      <c r="E6067" s="46" t="s">
        <v>1348</v>
      </c>
    </row>
    <row r="6068">
      <c r="A6068" s="56" t="s">
        <v>16682</v>
      </c>
      <c r="B6068" s="21"/>
      <c r="C6068" s="33" t="s">
        <v>11391</v>
      </c>
      <c r="E6068" s="46" t="s">
        <v>7616</v>
      </c>
    </row>
    <row r="6069">
      <c r="A6069" s="56" t="s">
        <v>16684</v>
      </c>
      <c r="B6069" s="21"/>
      <c r="C6069" s="33" t="s">
        <v>11391</v>
      </c>
      <c r="E6069" s="46" t="s">
        <v>7618</v>
      </c>
    </row>
    <row r="6070">
      <c r="A6070" s="56" t="s">
        <v>16686</v>
      </c>
      <c r="B6070" s="21"/>
      <c r="C6070" s="33" t="s">
        <v>11394</v>
      </c>
      <c r="E6070" s="46" t="s">
        <v>7616</v>
      </c>
    </row>
    <row r="6071">
      <c r="A6071" s="56" t="s">
        <v>16687</v>
      </c>
      <c r="B6071" s="21"/>
      <c r="C6071" s="33" t="s">
        <v>11394</v>
      </c>
      <c r="E6071" s="46" t="s">
        <v>7618</v>
      </c>
    </row>
    <row r="6072">
      <c r="A6072" s="56" t="s">
        <v>16688</v>
      </c>
      <c r="B6072" s="21"/>
      <c r="C6072" s="33" t="s">
        <v>11398</v>
      </c>
      <c r="E6072" s="46" t="s">
        <v>7616</v>
      </c>
    </row>
    <row r="6073">
      <c r="A6073" s="56" t="s">
        <v>16689</v>
      </c>
      <c r="B6073" s="21"/>
      <c r="C6073" s="33" t="s">
        <v>11398</v>
      </c>
      <c r="E6073" s="46" t="s">
        <v>7618</v>
      </c>
    </row>
    <row r="6074">
      <c r="A6074" s="56" t="s">
        <v>16691</v>
      </c>
      <c r="B6074" s="21"/>
      <c r="C6074" s="33" t="s">
        <v>11391</v>
      </c>
      <c r="E6074" s="46" t="s">
        <v>7616</v>
      </c>
    </row>
    <row r="6075">
      <c r="A6075" s="56" t="s">
        <v>16693</v>
      </c>
      <c r="B6075" s="21"/>
      <c r="C6075" s="33" t="s">
        <v>11391</v>
      </c>
      <c r="E6075" s="46" t="s">
        <v>7618</v>
      </c>
    </row>
    <row r="6076">
      <c r="A6076" s="56" t="s">
        <v>16695</v>
      </c>
      <c r="B6076" s="21"/>
      <c r="C6076" s="33" t="s">
        <v>11394</v>
      </c>
      <c r="E6076" s="46" t="s">
        <v>7616</v>
      </c>
    </row>
    <row r="6077">
      <c r="A6077" s="56" t="s">
        <v>16697</v>
      </c>
      <c r="B6077" s="21"/>
      <c r="C6077" s="33" t="s">
        <v>11394</v>
      </c>
      <c r="E6077" s="46" t="s">
        <v>7618</v>
      </c>
    </row>
    <row r="6078">
      <c r="A6078" s="56" t="s">
        <v>16698</v>
      </c>
      <c r="B6078" s="21"/>
      <c r="C6078" s="33" t="s">
        <v>11398</v>
      </c>
      <c r="E6078" s="46" t="s">
        <v>7616</v>
      </c>
    </row>
    <row r="6079">
      <c r="A6079" s="56" t="s">
        <v>16699</v>
      </c>
      <c r="B6079" s="21"/>
      <c r="C6079" s="33" t="s">
        <v>11398</v>
      </c>
      <c r="E6079" s="46" t="s">
        <v>7618</v>
      </c>
    </row>
    <row r="6080">
      <c r="A6080" s="56" t="s">
        <v>16701</v>
      </c>
      <c r="B6080" s="21"/>
      <c r="C6080" s="33" t="s">
        <v>11411</v>
      </c>
      <c r="E6080" s="46" t="s">
        <v>7616</v>
      </c>
    </row>
    <row r="6081">
      <c r="A6081" s="56" t="s">
        <v>16704</v>
      </c>
      <c r="B6081" s="21"/>
      <c r="C6081" s="33" t="s">
        <v>11411</v>
      </c>
      <c r="E6081" s="46" t="s">
        <v>7618</v>
      </c>
    </row>
    <row r="6082">
      <c r="A6082" s="56" t="s">
        <v>16705</v>
      </c>
      <c r="B6082" s="21"/>
      <c r="C6082" s="33" t="s">
        <v>11416</v>
      </c>
      <c r="E6082" s="46" t="s">
        <v>7616</v>
      </c>
    </row>
    <row r="6083">
      <c r="A6083" s="56" t="s">
        <v>16706</v>
      </c>
      <c r="B6083" s="21"/>
      <c r="C6083" s="33" t="s">
        <v>11416</v>
      </c>
      <c r="E6083" s="46" t="s">
        <v>7618</v>
      </c>
    </row>
    <row r="6084">
      <c r="A6084" s="56" t="s">
        <v>16707</v>
      </c>
      <c r="B6084" s="21"/>
      <c r="C6084" s="33" t="s">
        <v>11419</v>
      </c>
      <c r="E6084" s="46" t="s">
        <v>7616</v>
      </c>
    </row>
    <row r="6085">
      <c r="A6085" s="56" t="s">
        <v>16709</v>
      </c>
      <c r="B6085" s="21"/>
      <c r="C6085" s="33" t="s">
        <v>11419</v>
      </c>
      <c r="E6085" s="46" t="s">
        <v>7618</v>
      </c>
    </row>
    <row r="6086">
      <c r="A6086" s="56" t="s">
        <v>16711</v>
      </c>
      <c r="B6086" s="21"/>
      <c r="C6086" s="33" t="s">
        <v>11411</v>
      </c>
      <c r="E6086" s="46" t="s">
        <v>7616</v>
      </c>
    </row>
    <row r="6087">
      <c r="A6087" s="56" t="s">
        <v>16713</v>
      </c>
      <c r="B6087" s="21"/>
      <c r="C6087" s="33" t="s">
        <v>11411</v>
      </c>
      <c r="E6087" s="46" t="s">
        <v>7618</v>
      </c>
    </row>
    <row r="6088">
      <c r="A6088" s="56" t="s">
        <v>16714</v>
      </c>
      <c r="B6088" s="21"/>
      <c r="C6088" s="33" t="s">
        <v>11416</v>
      </c>
      <c r="E6088" s="46" t="s">
        <v>7616</v>
      </c>
    </row>
    <row r="6089">
      <c r="A6089" s="56" t="s">
        <v>16715</v>
      </c>
      <c r="B6089" s="21"/>
      <c r="C6089" s="33" t="s">
        <v>11416</v>
      </c>
      <c r="E6089" s="46" t="s">
        <v>7618</v>
      </c>
    </row>
    <row r="6090">
      <c r="A6090" s="56" t="s">
        <v>16717</v>
      </c>
      <c r="B6090" s="21"/>
      <c r="C6090" s="33" t="s">
        <v>11419</v>
      </c>
      <c r="E6090" s="46" t="s">
        <v>7616</v>
      </c>
    </row>
    <row r="6091">
      <c r="A6091" s="56" t="s">
        <v>16718</v>
      </c>
      <c r="B6091" s="21"/>
      <c r="C6091" s="33" t="s">
        <v>11419</v>
      </c>
      <c r="E6091" s="46" t="s">
        <v>7618</v>
      </c>
    </row>
    <row r="6092">
      <c r="A6092" s="56" t="s">
        <v>16719</v>
      </c>
      <c r="B6092" s="55"/>
      <c r="C6092" s="31"/>
    </row>
    <row r="6093">
      <c r="A6093" s="56" t="s">
        <v>16721</v>
      </c>
      <c r="B6093" s="55"/>
      <c r="C6093" s="31"/>
    </row>
    <row r="6094">
      <c r="A6094" s="56" t="s">
        <v>16722</v>
      </c>
      <c r="B6094" s="55"/>
      <c r="C6094" s="31"/>
    </row>
    <row r="6095">
      <c r="A6095" s="56" t="s">
        <v>16723</v>
      </c>
      <c r="B6095" s="55"/>
      <c r="C6095" s="31"/>
    </row>
    <row r="6096">
      <c r="A6096" s="56" t="s">
        <v>16724</v>
      </c>
      <c r="B6096" s="55"/>
      <c r="C6096" s="31"/>
    </row>
    <row r="6097">
      <c r="A6097" s="56" t="s">
        <v>16725</v>
      </c>
      <c r="B6097" s="55"/>
      <c r="C6097" s="31"/>
    </row>
    <row r="6098">
      <c r="A6098" s="56" t="s">
        <v>16726</v>
      </c>
      <c r="B6098" s="55"/>
      <c r="C6098" s="31"/>
    </row>
    <row r="6099">
      <c r="A6099" s="56" t="s">
        <v>16727</v>
      </c>
      <c r="B6099" s="55"/>
      <c r="C6099" s="31"/>
    </row>
    <row r="6100">
      <c r="A6100" s="56" t="s">
        <v>16728</v>
      </c>
      <c r="B6100" s="55"/>
      <c r="C6100" s="31"/>
    </row>
    <row r="6101">
      <c r="A6101" s="56" t="s">
        <v>16731</v>
      </c>
      <c r="B6101" s="55"/>
      <c r="C6101" s="31"/>
    </row>
    <row r="6102">
      <c r="A6102" s="56" t="s">
        <v>16733</v>
      </c>
      <c r="B6102" s="55"/>
      <c r="C6102" s="31"/>
    </row>
    <row r="6103">
      <c r="A6103" s="56" t="s">
        <v>16734</v>
      </c>
      <c r="B6103" s="55"/>
      <c r="C6103" s="31"/>
    </row>
    <row r="6104">
      <c r="A6104" s="56" t="s">
        <v>16735</v>
      </c>
      <c r="B6104" s="55"/>
      <c r="C6104" s="31"/>
    </row>
    <row r="6105">
      <c r="A6105" s="56" t="s">
        <v>16736</v>
      </c>
      <c r="B6105" s="55"/>
      <c r="C6105" s="31"/>
    </row>
    <row r="6106">
      <c r="A6106" s="56" t="s">
        <v>16737</v>
      </c>
      <c r="B6106" s="55"/>
      <c r="C6106" s="31"/>
    </row>
    <row r="6107">
      <c r="A6107" s="56" t="s">
        <v>16738</v>
      </c>
      <c r="B6107" s="55"/>
      <c r="C6107" s="31"/>
    </row>
    <row r="6108">
      <c r="A6108" s="56" t="s">
        <v>16739</v>
      </c>
      <c r="B6108" s="55"/>
      <c r="C6108" s="31"/>
    </row>
    <row r="6109">
      <c r="A6109" s="56" t="s">
        <v>16742</v>
      </c>
      <c r="B6109" s="55"/>
      <c r="C6109" s="31"/>
    </row>
    <row r="6110">
      <c r="A6110" s="56" t="s">
        <v>16743</v>
      </c>
      <c r="B6110" s="55"/>
      <c r="C6110" s="31"/>
    </row>
    <row r="6111">
      <c r="A6111" s="56" t="s">
        <v>16744</v>
      </c>
      <c r="B6111" s="55"/>
      <c r="C6111" s="31"/>
    </row>
    <row r="6112">
      <c r="A6112" s="56" t="s">
        <v>16745</v>
      </c>
      <c r="B6112" s="55"/>
      <c r="C6112" s="31"/>
    </row>
    <row r="6113">
      <c r="A6113" s="56" t="s">
        <v>16747</v>
      </c>
      <c r="B6113" s="55"/>
      <c r="C6113" s="31"/>
    </row>
    <row r="6114">
      <c r="A6114" s="56" t="s">
        <v>16749</v>
      </c>
      <c r="B6114" s="55"/>
      <c r="C6114" s="31"/>
    </row>
    <row r="6115">
      <c r="A6115" s="56" t="s">
        <v>16750</v>
      </c>
      <c r="B6115" s="55"/>
      <c r="C6115" s="31"/>
    </row>
    <row r="6116">
      <c r="A6116" s="56" t="s">
        <v>16752</v>
      </c>
      <c r="B6116" s="55"/>
      <c r="C6116" s="31"/>
    </row>
    <row r="6117">
      <c r="A6117" s="56" t="s">
        <v>16754</v>
      </c>
      <c r="B6117" s="55"/>
      <c r="C6117" s="31"/>
    </row>
    <row r="6118">
      <c r="A6118" s="56" t="s">
        <v>16755</v>
      </c>
      <c r="B6118" s="55"/>
      <c r="C6118" s="31"/>
    </row>
    <row r="6119">
      <c r="A6119" s="56" t="s">
        <v>16756</v>
      </c>
      <c r="B6119" s="55"/>
      <c r="C6119" s="31"/>
    </row>
    <row r="6120">
      <c r="A6120" s="56" t="s">
        <v>16757</v>
      </c>
      <c r="B6120" s="55"/>
      <c r="C6120" s="31"/>
    </row>
    <row r="6121">
      <c r="A6121" s="56" t="s">
        <v>16759</v>
      </c>
      <c r="B6121" s="55"/>
      <c r="C6121" s="31"/>
    </row>
    <row r="6122">
      <c r="A6122" s="56" t="s">
        <v>16760</v>
      </c>
      <c r="B6122" s="55"/>
      <c r="C6122" s="31"/>
    </row>
    <row r="6123">
      <c r="A6123" s="56" t="s">
        <v>16762</v>
      </c>
      <c r="B6123" s="55"/>
      <c r="C6123" s="31"/>
    </row>
    <row r="6124">
      <c r="A6124" s="56" t="s">
        <v>16765</v>
      </c>
      <c r="B6124" s="55"/>
      <c r="C6124" s="31"/>
    </row>
    <row r="6125">
      <c r="A6125" s="56" t="s">
        <v>16766</v>
      </c>
      <c r="B6125" s="55"/>
      <c r="C6125" s="31"/>
    </row>
    <row r="6126">
      <c r="A6126" s="56" t="s">
        <v>16767</v>
      </c>
      <c r="B6126" s="55"/>
      <c r="C6126" s="31"/>
    </row>
    <row r="6127">
      <c r="A6127" s="56" t="s">
        <v>16768</v>
      </c>
      <c r="B6127" s="55"/>
      <c r="C6127" s="31"/>
    </row>
    <row r="6128">
      <c r="A6128" s="56" t="s">
        <v>16769</v>
      </c>
      <c r="B6128" s="55"/>
      <c r="C6128" s="31"/>
    </row>
    <row r="6129">
      <c r="A6129" s="56" t="s">
        <v>16770</v>
      </c>
      <c r="B6129" s="55"/>
      <c r="C6129" s="31"/>
    </row>
    <row r="6130">
      <c r="A6130" s="56" t="s">
        <v>16772</v>
      </c>
      <c r="B6130" s="55"/>
      <c r="C6130" s="31"/>
    </row>
    <row r="6131">
      <c r="A6131" s="56" t="s">
        <v>16774</v>
      </c>
      <c r="B6131" s="55"/>
      <c r="C6131" s="31"/>
    </row>
    <row r="6132">
      <c r="A6132" s="56" t="s">
        <v>16776</v>
      </c>
      <c r="B6132" s="55"/>
      <c r="C6132" s="31"/>
    </row>
    <row r="6133">
      <c r="A6133" s="56" t="s">
        <v>16777</v>
      </c>
      <c r="B6133" s="55"/>
      <c r="C6133" s="31"/>
    </row>
    <row r="6134">
      <c r="A6134" s="56" t="s">
        <v>16778</v>
      </c>
      <c r="B6134" s="55"/>
      <c r="C6134" s="31"/>
    </row>
    <row r="6135">
      <c r="A6135" s="56" t="s">
        <v>16779</v>
      </c>
      <c r="B6135" s="55"/>
      <c r="C6135" s="31"/>
    </row>
    <row r="6136">
      <c r="A6136" s="56" t="s">
        <v>16780</v>
      </c>
      <c r="B6136" s="55"/>
      <c r="C6136" s="31"/>
    </row>
    <row r="6137">
      <c r="A6137" s="56" t="s">
        <v>16782</v>
      </c>
      <c r="B6137" s="55"/>
      <c r="C6137" s="31"/>
    </row>
    <row r="6138">
      <c r="A6138" s="56" t="s">
        <v>16783</v>
      </c>
      <c r="B6138" s="55"/>
      <c r="C6138" s="31"/>
    </row>
    <row r="6139">
      <c r="A6139" s="56" t="s">
        <v>16784</v>
      </c>
      <c r="B6139" s="55"/>
      <c r="C6139" s="31"/>
    </row>
    <row r="6140">
      <c r="A6140" s="56" t="s">
        <v>16786</v>
      </c>
      <c r="B6140" s="82"/>
      <c r="C6140" s="33" t="s">
        <v>16787</v>
      </c>
    </row>
    <row r="6141">
      <c r="A6141" s="56" t="s">
        <v>16788</v>
      </c>
      <c r="B6141" s="55"/>
      <c r="C6141" s="31"/>
    </row>
    <row r="6142">
      <c r="A6142" s="56" t="s">
        <v>16789</v>
      </c>
      <c r="B6142" s="55"/>
      <c r="C6142" s="31"/>
    </row>
    <row r="6143">
      <c r="A6143" s="56" t="s">
        <v>16790</v>
      </c>
      <c r="B6143" s="55"/>
      <c r="C6143" s="31"/>
    </row>
    <row r="6144">
      <c r="A6144" s="56" t="s">
        <v>16792</v>
      </c>
      <c r="B6144" s="55"/>
      <c r="C6144" s="31"/>
    </row>
    <row r="6145">
      <c r="A6145" s="56" t="s">
        <v>16794</v>
      </c>
      <c r="B6145" s="55"/>
      <c r="C6145" s="31"/>
    </row>
    <row r="6146">
      <c r="A6146" s="56" t="s">
        <v>16796</v>
      </c>
      <c r="B6146" s="55"/>
      <c r="C6146" s="31"/>
    </row>
    <row r="6147">
      <c r="A6147" s="56" t="s">
        <v>16797</v>
      </c>
      <c r="B6147" s="55"/>
      <c r="C6147" s="31"/>
    </row>
    <row r="6148">
      <c r="A6148" s="56" t="s">
        <v>16798</v>
      </c>
      <c r="B6148" s="55"/>
      <c r="C6148" s="31"/>
    </row>
    <row r="6149">
      <c r="A6149" s="56" t="s">
        <v>16799</v>
      </c>
      <c r="B6149" s="55"/>
      <c r="C6149" s="31"/>
    </row>
    <row r="6150">
      <c r="A6150" s="56" t="s">
        <v>16802</v>
      </c>
      <c r="B6150" s="55"/>
      <c r="C6150" s="31"/>
    </row>
    <row r="6151">
      <c r="A6151" s="56" t="s">
        <v>16803</v>
      </c>
      <c r="B6151" s="55"/>
      <c r="C6151" s="31"/>
    </row>
    <row r="6152">
      <c r="A6152" s="56" t="s">
        <v>16804</v>
      </c>
      <c r="B6152" s="55"/>
      <c r="C6152" s="31"/>
    </row>
    <row r="6153">
      <c r="A6153" s="56" t="s">
        <v>16805</v>
      </c>
      <c r="B6153" s="55"/>
      <c r="C6153" s="31"/>
    </row>
    <row r="6154">
      <c r="A6154" s="56" t="s">
        <v>16806</v>
      </c>
      <c r="B6154" s="55"/>
      <c r="C6154" s="31"/>
    </row>
    <row r="6155">
      <c r="A6155" s="56" t="s">
        <v>16808</v>
      </c>
      <c r="B6155" s="55"/>
      <c r="C6155" s="31"/>
    </row>
    <row r="6156">
      <c r="A6156" s="56" t="s">
        <v>16809</v>
      </c>
      <c r="B6156" s="55"/>
      <c r="C6156" s="31"/>
    </row>
    <row r="6157">
      <c r="A6157" s="56" t="s">
        <v>16811</v>
      </c>
      <c r="B6157" s="55"/>
      <c r="C6157" s="31"/>
    </row>
    <row r="6158">
      <c r="A6158" s="56" t="s">
        <v>16813</v>
      </c>
      <c r="B6158" s="55"/>
      <c r="C6158" s="31"/>
    </row>
    <row r="6159">
      <c r="A6159" s="56" t="s">
        <v>16814</v>
      </c>
      <c r="B6159" s="55"/>
      <c r="C6159" s="31"/>
    </row>
    <row r="6160">
      <c r="A6160" s="56" t="s">
        <v>16815</v>
      </c>
      <c r="B6160" s="55"/>
      <c r="C6160" s="31"/>
    </row>
    <row r="6161">
      <c r="A6161" s="56" t="s">
        <v>16816</v>
      </c>
      <c r="B6161" s="55"/>
      <c r="C6161" s="31"/>
    </row>
    <row r="6162">
      <c r="A6162" s="56" t="s">
        <v>16818</v>
      </c>
      <c r="B6162" s="55"/>
      <c r="C6162" s="31"/>
    </row>
    <row r="6163">
      <c r="A6163" s="56" t="s">
        <v>16819</v>
      </c>
      <c r="B6163" s="55"/>
      <c r="C6163" s="31"/>
    </row>
    <row r="6164">
      <c r="A6164" s="56" t="s">
        <v>16821</v>
      </c>
      <c r="B6164" s="55"/>
      <c r="C6164" s="31"/>
    </row>
    <row r="6165">
      <c r="A6165" s="56" t="s">
        <v>16823</v>
      </c>
      <c r="B6165" s="55"/>
      <c r="C6165" s="31"/>
    </row>
    <row r="6166">
      <c r="A6166" s="56" t="s">
        <v>16824</v>
      </c>
      <c r="B6166" s="55"/>
      <c r="C6166" s="31"/>
    </row>
    <row r="6167">
      <c r="A6167" s="56" t="s">
        <v>16825</v>
      </c>
      <c r="B6167" s="55"/>
      <c r="C6167" s="31"/>
    </row>
    <row r="6168">
      <c r="A6168" s="56" t="s">
        <v>16827</v>
      </c>
      <c r="B6168" s="55"/>
      <c r="C6168" s="31"/>
    </row>
    <row r="6169">
      <c r="A6169" s="56" t="s">
        <v>16828</v>
      </c>
      <c r="B6169" s="55"/>
      <c r="C6169" s="31"/>
    </row>
    <row r="6170">
      <c r="A6170" s="56" t="s">
        <v>16829</v>
      </c>
      <c r="B6170" s="55"/>
      <c r="C6170" s="31"/>
    </row>
    <row r="6171">
      <c r="A6171" s="56" t="s">
        <v>16830</v>
      </c>
      <c r="B6171" s="55"/>
      <c r="C6171" s="31"/>
    </row>
    <row r="6172">
      <c r="A6172" s="56" t="s">
        <v>16832</v>
      </c>
      <c r="B6172" s="55"/>
      <c r="C6172" s="31"/>
    </row>
    <row r="6173">
      <c r="A6173" s="56" t="s">
        <v>16834</v>
      </c>
      <c r="B6173" s="55"/>
      <c r="C6173" s="31"/>
    </row>
    <row r="6174">
      <c r="A6174" s="56" t="s">
        <v>16835</v>
      </c>
      <c r="B6174" s="55"/>
      <c r="C6174" s="31"/>
    </row>
    <row r="6175">
      <c r="A6175" s="56" t="s">
        <v>16836</v>
      </c>
      <c r="B6175" s="55"/>
      <c r="C6175" s="31"/>
    </row>
    <row r="6176">
      <c r="A6176" s="56" t="s">
        <v>16838</v>
      </c>
      <c r="B6176" s="55"/>
      <c r="C6176" s="31"/>
    </row>
    <row r="6177">
      <c r="A6177" s="56" t="s">
        <v>16839</v>
      </c>
      <c r="B6177" s="55"/>
      <c r="C6177" s="31"/>
    </row>
    <row r="6178">
      <c r="A6178" s="56" t="s">
        <v>16840</v>
      </c>
      <c r="B6178" s="55"/>
      <c r="C6178" s="31"/>
    </row>
    <row r="6179">
      <c r="A6179" s="56" t="s">
        <v>16841</v>
      </c>
      <c r="B6179" s="55"/>
      <c r="C6179" s="31"/>
    </row>
    <row r="6180">
      <c r="A6180" s="56" t="s">
        <v>16844</v>
      </c>
      <c r="B6180" s="55"/>
      <c r="C6180" s="31"/>
    </row>
    <row r="6181">
      <c r="A6181" s="56" t="s">
        <v>16845</v>
      </c>
      <c r="B6181" s="55"/>
      <c r="C6181" s="31"/>
    </row>
    <row r="6182">
      <c r="A6182" s="56" t="s">
        <v>16846</v>
      </c>
      <c r="B6182" s="55"/>
      <c r="C6182" s="31"/>
    </row>
    <row r="6183">
      <c r="A6183" s="56" t="s">
        <v>16849</v>
      </c>
      <c r="B6183" s="55"/>
      <c r="C6183" s="31"/>
    </row>
    <row r="6184">
      <c r="A6184" s="56" t="s">
        <v>16850</v>
      </c>
      <c r="B6184" s="55"/>
      <c r="C6184" s="31"/>
    </row>
    <row r="6185">
      <c r="A6185" s="56" t="s">
        <v>16851</v>
      </c>
      <c r="B6185" s="55"/>
      <c r="C6185" s="31"/>
    </row>
    <row r="6186">
      <c r="A6186" s="56" t="s">
        <v>16852</v>
      </c>
      <c r="B6186" s="55"/>
      <c r="C6186" s="31"/>
    </row>
    <row r="6187">
      <c r="A6187" s="56" t="s">
        <v>16855</v>
      </c>
      <c r="B6187" s="55"/>
      <c r="C6187" s="31"/>
    </row>
    <row r="6188">
      <c r="A6188" s="56" t="s">
        <v>16856</v>
      </c>
      <c r="B6188" s="55"/>
      <c r="C6188" s="31"/>
    </row>
    <row r="6189">
      <c r="A6189" s="56" t="s">
        <v>16857</v>
      </c>
      <c r="B6189" s="82"/>
      <c r="C6189" s="33" t="s">
        <v>16858</v>
      </c>
    </row>
    <row r="6190">
      <c r="A6190" s="56" t="s">
        <v>16859</v>
      </c>
      <c r="B6190" s="82"/>
      <c r="C6190" s="33" t="s">
        <v>11373</v>
      </c>
      <c r="E6190" s="46" t="s">
        <v>7616</v>
      </c>
    </row>
    <row r="6191">
      <c r="A6191" s="56" t="s">
        <v>16860</v>
      </c>
      <c r="B6191" s="82"/>
      <c r="C6191" s="33" t="s">
        <v>11373</v>
      </c>
      <c r="E6191" s="46" t="s">
        <v>7618</v>
      </c>
    </row>
    <row r="6192">
      <c r="A6192" s="56" t="s">
        <v>16861</v>
      </c>
      <c r="B6192" s="82"/>
      <c r="C6192" s="33" t="s">
        <v>11376</v>
      </c>
      <c r="E6192" s="46" t="s">
        <v>7616</v>
      </c>
    </row>
    <row r="6193">
      <c r="A6193" s="56" t="s">
        <v>16863</v>
      </c>
      <c r="B6193" s="82"/>
      <c r="C6193" s="33" t="s">
        <v>11376</v>
      </c>
      <c r="E6193" s="46" t="s">
        <v>7618</v>
      </c>
    </row>
    <row r="6194">
      <c r="A6194" s="56" t="s">
        <v>16867</v>
      </c>
      <c r="B6194" s="82"/>
      <c r="C6194" s="33" t="s">
        <v>11380</v>
      </c>
      <c r="E6194" s="46" t="s">
        <v>7616</v>
      </c>
    </row>
    <row r="6195">
      <c r="A6195" s="56" t="s">
        <v>16868</v>
      </c>
      <c r="B6195" s="82"/>
      <c r="C6195" s="33" t="s">
        <v>11380</v>
      </c>
      <c r="E6195" s="46" t="s">
        <v>7618</v>
      </c>
    </row>
    <row r="6196">
      <c r="A6196" s="56" t="s">
        <v>16869</v>
      </c>
      <c r="B6196" s="79"/>
      <c r="C6196" s="33" t="s">
        <v>11384</v>
      </c>
      <c r="E6196" s="46" t="s">
        <v>1348</v>
      </c>
    </row>
    <row r="6197">
      <c r="A6197" s="56" t="s">
        <v>16870</v>
      </c>
      <c r="B6197" s="79"/>
      <c r="C6197" s="33" t="s">
        <v>11384</v>
      </c>
      <c r="E6197" s="46" t="s">
        <v>1348</v>
      </c>
    </row>
    <row r="6198">
      <c r="A6198" s="56" t="s">
        <v>16873</v>
      </c>
      <c r="B6198" s="79"/>
      <c r="C6198" s="33" t="s">
        <v>11389</v>
      </c>
      <c r="E6198" s="46" t="s">
        <v>1348</v>
      </c>
    </row>
    <row r="6199">
      <c r="A6199" s="56" t="s">
        <v>16874</v>
      </c>
      <c r="B6199" s="21"/>
      <c r="C6199" s="33" t="s">
        <v>11391</v>
      </c>
      <c r="E6199" s="46" t="s">
        <v>7616</v>
      </c>
    </row>
    <row r="6200">
      <c r="A6200" s="56" t="s">
        <v>16875</v>
      </c>
      <c r="B6200" s="21"/>
      <c r="C6200" s="33" t="s">
        <v>11391</v>
      </c>
      <c r="E6200" s="46" t="s">
        <v>7618</v>
      </c>
    </row>
    <row r="6201">
      <c r="A6201" s="56" t="s">
        <v>16876</v>
      </c>
      <c r="B6201" s="21"/>
      <c r="C6201" s="33" t="s">
        <v>11394</v>
      </c>
      <c r="E6201" s="46" t="s">
        <v>7616</v>
      </c>
    </row>
    <row r="6202">
      <c r="A6202" s="56" t="s">
        <v>16879</v>
      </c>
      <c r="B6202" s="21"/>
      <c r="C6202" s="33" t="s">
        <v>11394</v>
      </c>
      <c r="E6202" s="46" t="s">
        <v>7618</v>
      </c>
    </row>
    <row r="6203">
      <c r="A6203" s="56" t="s">
        <v>16882</v>
      </c>
      <c r="B6203" s="21"/>
      <c r="C6203" s="33" t="s">
        <v>11398</v>
      </c>
      <c r="E6203" s="46" t="s">
        <v>7616</v>
      </c>
    </row>
    <row r="6204">
      <c r="A6204" s="56" t="s">
        <v>16883</v>
      </c>
      <c r="B6204" s="21"/>
      <c r="C6204" s="33" t="s">
        <v>11398</v>
      </c>
      <c r="E6204" s="46" t="s">
        <v>7618</v>
      </c>
    </row>
    <row r="6205">
      <c r="A6205" s="56" t="s">
        <v>16884</v>
      </c>
      <c r="B6205" s="21"/>
      <c r="C6205" s="33" t="s">
        <v>11391</v>
      </c>
      <c r="E6205" s="46" t="s">
        <v>7616</v>
      </c>
    </row>
    <row r="6206">
      <c r="A6206" s="56" t="s">
        <v>16885</v>
      </c>
      <c r="B6206" s="21"/>
      <c r="C6206" s="33" t="s">
        <v>11391</v>
      </c>
      <c r="E6206" s="46" t="s">
        <v>7618</v>
      </c>
    </row>
    <row r="6207">
      <c r="A6207" s="56" t="s">
        <v>16886</v>
      </c>
      <c r="B6207" s="21"/>
      <c r="C6207" s="33" t="s">
        <v>11394</v>
      </c>
      <c r="E6207" s="46" t="s">
        <v>7616</v>
      </c>
    </row>
    <row r="6208">
      <c r="A6208" s="56" t="s">
        <v>16887</v>
      </c>
      <c r="B6208" s="21"/>
      <c r="C6208" s="33" t="s">
        <v>11394</v>
      </c>
      <c r="E6208" s="46" t="s">
        <v>7618</v>
      </c>
    </row>
    <row r="6209">
      <c r="A6209" s="56" t="s">
        <v>16890</v>
      </c>
      <c r="B6209" s="21"/>
      <c r="C6209" s="33" t="s">
        <v>11398</v>
      </c>
      <c r="E6209" s="46" t="s">
        <v>7616</v>
      </c>
    </row>
    <row r="6210">
      <c r="A6210" s="56" t="s">
        <v>16891</v>
      </c>
      <c r="B6210" s="21"/>
      <c r="C6210" s="33" t="s">
        <v>11398</v>
      </c>
      <c r="E6210" s="46" t="s">
        <v>7618</v>
      </c>
    </row>
    <row r="6211">
      <c r="A6211" s="56" t="s">
        <v>16892</v>
      </c>
      <c r="B6211" s="21"/>
      <c r="C6211" s="33" t="s">
        <v>11411</v>
      </c>
      <c r="E6211" s="46" t="s">
        <v>7616</v>
      </c>
    </row>
    <row r="6212">
      <c r="A6212" s="56" t="s">
        <v>16894</v>
      </c>
      <c r="B6212" s="21"/>
      <c r="C6212" s="33" t="s">
        <v>11411</v>
      </c>
      <c r="E6212" s="46" t="s">
        <v>7618</v>
      </c>
    </row>
    <row r="6213">
      <c r="A6213" s="56" t="s">
        <v>16895</v>
      </c>
      <c r="B6213" s="21"/>
      <c r="C6213" s="33" t="s">
        <v>11416</v>
      </c>
      <c r="E6213" s="46" t="s">
        <v>7616</v>
      </c>
    </row>
    <row r="6214">
      <c r="A6214" s="56" t="s">
        <v>16896</v>
      </c>
      <c r="B6214" s="21"/>
      <c r="C6214" s="33" t="s">
        <v>11416</v>
      </c>
      <c r="E6214" s="46" t="s">
        <v>7618</v>
      </c>
    </row>
    <row r="6215">
      <c r="A6215" s="56" t="s">
        <v>16900</v>
      </c>
      <c r="B6215" s="21"/>
      <c r="C6215" s="33" t="s">
        <v>11419</v>
      </c>
      <c r="E6215" s="46" t="s">
        <v>7616</v>
      </c>
    </row>
    <row r="6216">
      <c r="A6216" s="56" t="s">
        <v>16901</v>
      </c>
      <c r="B6216" s="21"/>
      <c r="C6216" s="33" t="s">
        <v>11419</v>
      </c>
      <c r="E6216" s="46" t="s">
        <v>7618</v>
      </c>
    </row>
    <row r="6217">
      <c r="A6217" s="56" t="s">
        <v>16902</v>
      </c>
      <c r="B6217" s="21"/>
      <c r="C6217" s="33" t="s">
        <v>11411</v>
      </c>
      <c r="E6217" s="46" t="s">
        <v>7616</v>
      </c>
    </row>
    <row r="6218">
      <c r="A6218" s="56" t="s">
        <v>16903</v>
      </c>
      <c r="B6218" s="21"/>
      <c r="C6218" s="33" t="s">
        <v>11411</v>
      </c>
      <c r="E6218" s="46" t="s">
        <v>7618</v>
      </c>
    </row>
    <row r="6219">
      <c r="A6219" s="56" t="s">
        <v>16904</v>
      </c>
      <c r="B6219" s="21"/>
      <c r="C6219" s="33" t="s">
        <v>11416</v>
      </c>
      <c r="E6219" s="46" t="s">
        <v>7616</v>
      </c>
    </row>
    <row r="6220">
      <c r="A6220" s="56" t="s">
        <v>16907</v>
      </c>
      <c r="B6220" s="21"/>
      <c r="C6220" s="33" t="s">
        <v>11416</v>
      </c>
      <c r="E6220" s="46" t="s">
        <v>7618</v>
      </c>
    </row>
    <row r="6221">
      <c r="A6221" s="56" t="s">
        <v>16909</v>
      </c>
      <c r="B6221" s="21"/>
      <c r="C6221" s="33" t="s">
        <v>11419</v>
      </c>
      <c r="E6221" s="46" t="s">
        <v>7616</v>
      </c>
    </row>
    <row r="6222">
      <c r="A6222" s="56" t="s">
        <v>16910</v>
      </c>
      <c r="B6222" s="21"/>
      <c r="C6222" s="33" t="s">
        <v>11419</v>
      </c>
      <c r="E6222" s="46" t="s">
        <v>7618</v>
      </c>
    </row>
    <row r="6223">
      <c r="A6223" s="56" t="s">
        <v>16911</v>
      </c>
      <c r="B6223" s="55"/>
      <c r="C6223" s="31"/>
    </row>
    <row r="6224">
      <c r="A6224" s="56" t="s">
        <v>16912</v>
      </c>
      <c r="B6224" s="82"/>
      <c r="C6224" s="33" t="s">
        <v>16913</v>
      </c>
    </row>
    <row r="6225">
      <c r="A6225" s="56" t="s">
        <v>16915</v>
      </c>
      <c r="B6225" s="55"/>
      <c r="C6225" s="31"/>
    </row>
    <row r="6226">
      <c r="A6226" s="56" t="s">
        <v>16917</v>
      </c>
      <c r="B6226" s="55"/>
      <c r="C6226" s="31"/>
    </row>
    <row r="6227">
      <c r="A6227" s="56" t="s">
        <v>16918</v>
      </c>
      <c r="B6227" s="55"/>
      <c r="C6227" s="31"/>
    </row>
    <row r="6228">
      <c r="A6228" s="56" t="s">
        <v>16919</v>
      </c>
      <c r="B6228" s="55"/>
      <c r="C6228" s="31"/>
    </row>
    <row r="6229">
      <c r="A6229" s="56" t="s">
        <v>16920</v>
      </c>
      <c r="B6229" s="55"/>
      <c r="C6229" s="31"/>
    </row>
    <row r="6230">
      <c r="A6230" s="56" t="s">
        <v>16921</v>
      </c>
      <c r="B6230" s="55"/>
      <c r="C6230" s="31"/>
    </row>
    <row r="6231">
      <c r="A6231" s="56" t="s">
        <v>16923</v>
      </c>
      <c r="B6231" s="55"/>
      <c r="C6231" s="31"/>
    </row>
    <row r="6232">
      <c r="A6232" s="56" t="s">
        <v>16925</v>
      </c>
      <c r="B6232" s="55"/>
      <c r="C6232" s="31"/>
    </row>
    <row r="6233">
      <c r="A6233" s="56" t="s">
        <v>16927</v>
      </c>
      <c r="B6233" s="55"/>
      <c r="C6233" s="31"/>
    </row>
    <row r="6234">
      <c r="A6234" s="56" t="s">
        <v>16928</v>
      </c>
      <c r="B6234" s="55"/>
      <c r="C6234" s="31"/>
    </row>
    <row r="6235">
      <c r="A6235" s="56" t="s">
        <v>16929</v>
      </c>
      <c r="B6235" s="55"/>
      <c r="C6235" s="31"/>
    </row>
    <row r="6236">
      <c r="A6236" s="56" t="s">
        <v>16930</v>
      </c>
      <c r="B6236" s="55"/>
      <c r="C6236" s="31"/>
    </row>
    <row r="6237">
      <c r="A6237" s="56" t="s">
        <v>16931</v>
      </c>
      <c r="B6237" s="55"/>
      <c r="C6237" s="31"/>
    </row>
    <row r="6238">
      <c r="A6238" s="56" t="s">
        <v>16932</v>
      </c>
      <c r="B6238" s="55"/>
      <c r="C6238" s="31"/>
    </row>
    <row r="6239">
      <c r="A6239" s="56" t="s">
        <v>16934</v>
      </c>
      <c r="B6239" s="55"/>
      <c r="C6239" s="31"/>
    </row>
    <row r="6240">
      <c r="A6240" s="56" t="s">
        <v>16936</v>
      </c>
      <c r="B6240" s="55"/>
      <c r="C6240" s="31"/>
    </row>
    <row r="6241">
      <c r="A6241" s="56" t="s">
        <v>16937</v>
      </c>
      <c r="B6241" s="55"/>
      <c r="C6241" s="31"/>
    </row>
    <row r="6242">
      <c r="A6242" s="56" t="s">
        <v>16938</v>
      </c>
      <c r="B6242" s="55"/>
      <c r="C6242" s="31"/>
    </row>
    <row r="6243">
      <c r="A6243" s="56" t="s">
        <v>16940</v>
      </c>
      <c r="B6243" s="55"/>
      <c r="C6243" s="31"/>
    </row>
    <row r="6244">
      <c r="A6244" s="56" t="s">
        <v>16941</v>
      </c>
      <c r="B6244" s="55"/>
      <c r="C6244" s="31"/>
    </row>
    <row r="6245">
      <c r="A6245" s="56" t="s">
        <v>16942</v>
      </c>
      <c r="B6245" s="55"/>
      <c r="C6245" s="31"/>
    </row>
    <row r="6246">
      <c r="A6246" s="56" t="s">
        <v>16943</v>
      </c>
      <c r="B6246" s="55"/>
      <c r="C6246" s="31"/>
    </row>
    <row r="6247">
      <c r="A6247" s="56" t="s">
        <v>16945</v>
      </c>
      <c r="B6247" s="55"/>
      <c r="C6247" s="31"/>
    </row>
    <row r="6248">
      <c r="A6248" s="56" t="s">
        <v>16947</v>
      </c>
      <c r="B6248" s="55"/>
      <c r="C6248" s="31"/>
    </row>
    <row r="6249">
      <c r="A6249" s="56" t="s">
        <v>16948</v>
      </c>
      <c r="B6249" s="55"/>
      <c r="C6249" s="31"/>
    </row>
    <row r="6250">
      <c r="A6250" s="56" t="s">
        <v>16949</v>
      </c>
      <c r="B6250" s="55"/>
      <c r="C6250" s="31"/>
    </row>
    <row r="6251">
      <c r="A6251" s="56" t="s">
        <v>16950</v>
      </c>
      <c r="B6251" s="55"/>
      <c r="C6251" s="31"/>
    </row>
    <row r="6252">
      <c r="A6252" s="56" t="s">
        <v>16951</v>
      </c>
      <c r="B6252" s="55"/>
      <c r="C6252" s="31"/>
    </row>
    <row r="6253">
      <c r="A6253" s="56" t="s">
        <v>16952</v>
      </c>
      <c r="B6253" s="55"/>
      <c r="C6253" s="31"/>
    </row>
    <row r="6254">
      <c r="A6254" s="56" t="s">
        <v>16954</v>
      </c>
      <c r="B6254" s="55"/>
      <c r="C6254" s="31"/>
    </row>
    <row r="6255">
      <c r="A6255" s="56" t="s">
        <v>16956</v>
      </c>
      <c r="B6255" s="55"/>
      <c r="C6255" s="31"/>
    </row>
    <row r="6256">
      <c r="A6256" s="56" t="s">
        <v>16958</v>
      </c>
      <c r="B6256" s="55"/>
      <c r="C6256" s="31"/>
    </row>
    <row r="6257">
      <c r="A6257" s="56" t="s">
        <v>16959</v>
      </c>
      <c r="B6257" s="55"/>
      <c r="C6257" s="31"/>
    </row>
    <row r="6258">
      <c r="A6258" s="56" t="s">
        <v>16960</v>
      </c>
      <c r="B6258" s="82"/>
      <c r="C6258" s="33" t="s">
        <v>16961</v>
      </c>
    </row>
    <row r="6259">
      <c r="A6259" s="56" t="s">
        <v>16962</v>
      </c>
      <c r="B6259" s="55"/>
      <c r="C6259" s="31"/>
    </row>
    <row r="6260">
      <c r="A6260" s="56" t="s">
        <v>16963</v>
      </c>
      <c r="B6260" s="55"/>
      <c r="C6260" s="31"/>
    </row>
    <row r="6261">
      <c r="A6261" s="56" t="s">
        <v>16965</v>
      </c>
      <c r="B6261" s="55"/>
      <c r="C6261" s="31"/>
    </row>
    <row r="6262">
      <c r="A6262" s="56" t="s">
        <v>16966</v>
      </c>
      <c r="B6262" s="55"/>
      <c r="C6262" s="31"/>
    </row>
    <row r="6263">
      <c r="A6263" s="56" t="s">
        <v>16968</v>
      </c>
      <c r="B6263" s="55"/>
      <c r="C6263" s="31"/>
    </row>
    <row r="6264">
      <c r="A6264" s="56" t="s">
        <v>16969</v>
      </c>
      <c r="B6264" s="55"/>
      <c r="C6264" s="31"/>
    </row>
    <row r="6265">
      <c r="A6265" s="56" t="s">
        <v>16970</v>
      </c>
      <c r="B6265" s="55"/>
      <c r="C6265" s="31"/>
    </row>
    <row r="6266">
      <c r="A6266" s="56" t="s">
        <v>16971</v>
      </c>
      <c r="B6266" s="55"/>
      <c r="C6266" s="31"/>
    </row>
    <row r="6267">
      <c r="A6267" s="56" t="s">
        <v>16972</v>
      </c>
      <c r="B6267" s="55"/>
      <c r="C6267" s="31"/>
    </row>
    <row r="6268">
      <c r="A6268" s="56" t="s">
        <v>16974</v>
      </c>
      <c r="B6268" s="55"/>
      <c r="C6268" s="31"/>
    </row>
    <row r="6269">
      <c r="A6269" s="56" t="s">
        <v>16975</v>
      </c>
      <c r="B6269" s="55"/>
      <c r="C6269" s="31"/>
    </row>
    <row r="6270">
      <c r="A6270" s="56" t="s">
        <v>16977</v>
      </c>
      <c r="B6270" s="55"/>
      <c r="C6270" s="31"/>
    </row>
    <row r="6271">
      <c r="A6271" s="56" t="s">
        <v>16979</v>
      </c>
      <c r="B6271" s="55"/>
      <c r="C6271" s="31"/>
    </row>
    <row r="6272">
      <c r="A6272" s="56" t="s">
        <v>16980</v>
      </c>
      <c r="B6272" s="55"/>
      <c r="C6272" s="31"/>
    </row>
    <row r="6273">
      <c r="A6273" s="56" t="s">
        <v>16981</v>
      </c>
      <c r="B6273" s="55"/>
      <c r="C6273" s="31"/>
    </row>
    <row r="6274">
      <c r="A6274" s="56" t="s">
        <v>16982</v>
      </c>
      <c r="B6274" s="55"/>
      <c r="C6274" s="31"/>
    </row>
    <row r="6275">
      <c r="A6275" s="56" t="s">
        <v>16983</v>
      </c>
      <c r="B6275" s="55"/>
      <c r="C6275" s="31"/>
    </row>
    <row r="6276">
      <c r="A6276" s="56" t="s">
        <v>16984</v>
      </c>
      <c r="B6276" s="55"/>
      <c r="C6276" s="31"/>
    </row>
    <row r="6277">
      <c r="A6277" s="56" t="s">
        <v>16985</v>
      </c>
      <c r="B6277" s="55"/>
      <c r="C6277" s="31"/>
    </row>
    <row r="6278">
      <c r="A6278" s="56" t="s">
        <v>16988</v>
      </c>
      <c r="B6278" s="55"/>
      <c r="C6278" s="31"/>
    </row>
    <row r="6279">
      <c r="A6279" s="56" t="s">
        <v>16990</v>
      </c>
      <c r="B6279" s="55"/>
      <c r="C6279" s="31"/>
    </row>
    <row r="6280">
      <c r="A6280" s="56" t="s">
        <v>16991</v>
      </c>
      <c r="B6280" s="55"/>
      <c r="C6280" s="31"/>
    </row>
    <row r="6281">
      <c r="A6281" s="56" t="s">
        <v>16992</v>
      </c>
      <c r="B6281" s="55"/>
      <c r="C6281" s="31"/>
    </row>
    <row r="6282">
      <c r="A6282" s="56" t="s">
        <v>16993</v>
      </c>
      <c r="B6282" s="55"/>
      <c r="C6282" s="31"/>
    </row>
    <row r="6283">
      <c r="A6283" s="56" t="s">
        <v>16994</v>
      </c>
      <c r="B6283" s="55"/>
      <c r="C6283" s="31"/>
    </row>
    <row r="6284">
      <c r="A6284" s="56" t="s">
        <v>16995</v>
      </c>
      <c r="B6284" s="55"/>
      <c r="C6284" s="31"/>
    </row>
    <row r="6285">
      <c r="A6285" s="56" t="s">
        <v>16996</v>
      </c>
      <c r="B6285" s="55"/>
      <c r="C6285" s="31"/>
    </row>
    <row r="6286">
      <c r="A6286" s="56" t="s">
        <v>16997</v>
      </c>
      <c r="B6286" s="55"/>
      <c r="C6286" s="31"/>
    </row>
    <row r="6287">
      <c r="A6287" s="56" t="s">
        <v>16998</v>
      </c>
      <c r="B6287" s="55"/>
      <c r="C6287" s="31"/>
    </row>
    <row r="6288">
      <c r="A6288" s="56" t="s">
        <v>16999</v>
      </c>
      <c r="B6288" s="55"/>
      <c r="C6288" s="31"/>
    </row>
    <row r="6289">
      <c r="A6289" s="56" t="s">
        <v>17000</v>
      </c>
      <c r="B6289" s="55"/>
      <c r="C6289" s="31"/>
    </row>
    <row r="6290">
      <c r="A6290" s="56" t="s">
        <v>17003</v>
      </c>
      <c r="B6290" s="55"/>
      <c r="C6290" s="31"/>
    </row>
    <row r="6291">
      <c r="A6291" s="56" t="s">
        <v>17004</v>
      </c>
      <c r="B6291" s="55"/>
      <c r="C6291" s="31"/>
    </row>
    <row r="6292">
      <c r="A6292" s="56" t="s">
        <v>17005</v>
      </c>
      <c r="B6292" s="82"/>
      <c r="C6292" s="33" t="s">
        <v>17006</v>
      </c>
    </row>
    <row r="6293">
      <c r="A6293" s="56" t="s">
        <v>17008</v>
      </c>
      <c r="B6293" s="82"/>
      <c r="C6293" s="33" t="s">
        <v>11373</v>
      </c>
      <c r="E6293" s="46" t="s">
        <v>7616</v>
      </c>
    </row>
    <row r="6294">
      <c r="A6294" s="56" t="s">
        <v>17009</v>
      </c>
      <c r="B6294" s="82"/>
      <c r="C6294" s="33" t="s">
        <v>11373</v>
      </c>
      <c r="E6294" s="46" t="s">
        <v>7618</v>
      </c>
    </row>
    <row r="6295">
      <c r="A6295" s="56" t="s">
        <v>17010</v>
      </c>
      <c r="B6295" s="82"/>
      <c r="C6295" s="33" t="s">
        <v>11376</v>
      </c>
      <c r="E6295" s="46" t="s">
        <v>7616</v>
      </c>
    </row>
    <row r="6296">
      <c r="A6296" s="56" t="s">
        <v>17011</v>
      </c>
      <c r="B6296" s="82"/>
      <c r="C6296" s="33" t="s">
        <v>11376</v>
      </c>
      <c r="E6296" s="46" t="s">
        <v>7618</v>
      </c>
    </row>
    <row r="6297">
      <c r="A6297" s="56" t="s">
        <v>17012</v>
      </c>
      <c r="B6297" s="82"/>
      <c r="C6297" s="33" t="s">
        <v>11380</v>
      </c>
      <c r="E6297" s="46" t="s">
        <v>7616</v>
      </c>
    </row>
    <row r="6298">
      <c r="A6298" s="56" t="s">
        <v>17014</v>
      </c>
      <c r="B6298" s="82"/>
      <c r="C6298" s="33" t="s">
        <v>11380</v>
      </c>
      <c r="E6298" s="46" t="s">
        <v>7618</v>
      </c>
    </row>
    <row r="6299">
      <c r="A6299" s="56" t="s">
        <v>17016</v>
      </c>
      <c r="B6299" s="79"/>
      <c r="C6299" s="33" t="s">
        <v>11384</v>
      </c>
      <c r="E6299" s="46" t="s">
        <v>1348</v>
      </c>
    </row>
    <row r="6300">
      <c r="A6300" s="56" t="s">
        <v>17017</v>
      </c>
      <c r="B6300" s="79"/>
      <c r="C6300" s="33" t="s">
        <v>11384</v>
      </c>
      <c r="E6300" s="46" t="s">
        <v>1348</v>
      </c>
    </row>
    <row r="6301">
      <c r="A6301" s="56" t="s">
        <v>17018</v>
      </c>
      <c r="B6301" s="79"/>
      <c r="C6301" s="33" t="s">
        <v>11389</v>
      </c>
      <c r="E6301" s="46" t="s">
        <v>1348</v>
      </c>
    </row>
    <row r="6302">
      <c r="A6302" s="56" t="s">
        <v>17020</v>
      </c>
      <c r="B6302" s="21"/>
      <c r="C6302" s="33" t="s">
        <v>11391</v>
      </c>
      <c r="E6302" s="46" t="s">
        <v>7616</v>
      </c>
    </row>
    <row r="6303">
      <c r="A6303" s="56" t="s">
        <v>17021</v>
      </c>
      <c r="B6303" s="21"/>
      <c r="C6303" s="33" t="s">
        <v>11391</v>
      </c>
      <c r="E6303" s="46" t="s">
        <v>7618</v>
      </c>
    </row>
    <row r="6304">
      <c r="A6304" s="56" t="s">
        <v>17022</v>
      </c>
      <c r="B6304" s="21"/>
      <c r="C6304" s="33" t="s">
        <v>11394</v>
      </c>
      <c r="E6304" s="46" t="s">
        <v>7616</v>
      </c>
    </row>
    <row r="6305">
      <c r="A6305" s="56" t="s">
        <v>17023</v>
      </c>
      <c r="B6305" s="21"/>
      <c r="C6305" s="33" t="s">
        <v>11394</v>
      </c>
      <c r="E6305" s="46" t="s">
        <v>7618</v>
      </c>
    </row>
    <row r="6306">
      <c r="A6306" s="56" t="s">
        <v>17024</v>
      </c>
      <c r="B6306" s="21"/>
      <c r="C6306" s="33" t="s">
        <v>11398</v>
      </c>
      <c r="E6306" s="46" t="s">
        <v>7616</v>
      </c>
    </row>
    <row r="6307">
      <c r="A6307" s="56" t="s">
        <v>17026</v>
      </c>
      <c r="B6307" s="21"/>
      <c r="C6307" s="33" t="s">
        <v>11398</v>
      </c>
      <c r="E6307" s="46" t="s">
        <v>7618</v>
      </c>
    </row>
    <row r="6308">
      <c r="A6308" s="56" t="s">
        <v>17028</v>
      </c>
      <c r="B6308" s="21"/>
      <c r="C6308" s="33" t="s">
        <v>11391</v>
      </c>
      <c r="E6308" s="46" t="s">
        <v>7616</v>
      </c>
    </row>
    <row r="6309">
      <c r="A6309" s="56" t="s">
        <v>17029</v>
      </c>
      <c r="B6309" s="21"/>
      <c r="C6309" s="33" t="s">
        <v>11391</v>
      </c>
      <c r="E6309" s="46" t="s">
        <v>7618</v>
      </c>
    </row>
    <row r="6310">
      <c r="A6310" s="56" t="s">
        <v>17030</v>
      </c>
      <c r="B6310" s="21"/>
      <c r="C6310" s="33" t="s">
        <v>11394</v>
      </c>
      <c r="E6310" s="46" t="s">
        <v>7616</v>
      </c>
    </row>
    <row r="6311">
      <c r="A6311" s="56" t="s">
        <v>17031</v>
      </c>
      <c r="B6311" s="21"/>
      <c r="C6311" s="33" t="s">
        <v>11394</v>
      </c>
      <c r="E6311" s="46" t="s">
        <v>7618</v>
      </c>
    </row>
    <row r="6312">
      <c r="A6312" s="56" t="s">
        <v>17033</v>
      </c>
      <c r="B6312" s="21"/>
      <c r="C6312" s="33" t="s">
        <v>11398</v>
      </c>
      <c r="E6312" s="46" t="s">
        <v>7616</v>
      </c>
    </row>
    <row r="6313">
      <c r="A6313" s="56" t="s">
        <v>17035</v>
      </c>
      <c r="B6313" s="21"/>
      <c r="C6313" s="33" t="s">
        <v>11398</v>
      </c>
      <c r="E6313" s="46" t="s">
        <v>7618</v>
      </c>
    </row>
    <row r="6314">
      <c r="A6314" s="56" t="s">
        <v>17037</v>
      </c>
      <c r="B6314" s="21"/>
      <c r="C6314" s="33" t="s">
        <v>11411</v>
      </c>
      <c r="E6314" s="46" t="s">
        <v>7616</v>
      </c>
    </row>
    <row r="6315">
      <c r="A6315" s="56" t="s">
        <v>17038</v>
      </c>
      <c r="B6315" s="21"/>
      <c r="C6315" s="33" t="s">
        <v>11411</v>
      </c>
      <c r="E6315" s="46" t="s">
        <v>7618</v>
      </c>
    </row>
    <row r="6316">
      <c r="A6316" s="56" t="s">
        <v>17039</v>
      </c>
      <c r="B6316" s="21"/>
      <c r="C6316" s="33" t="s">
        <v>11416</v>
      </c>
      <c r="E6316" s="46" t="s">
        <v>7616</v>
      </c>
    </row>
    <row r="6317">
      <c r="A6317" s="56" t="s">
        <v>17040</v>
      </c>
      <c r="B6317" s="21"/>
      <c r="C6317" s="33" t="s">
        <v>11416</v>
      </c>
      <c r="E6317" s="46" t="s">
        <v>7618</v>
      </c>
    </row>
    <row r="6318">
      <c r="A6318" s="56" t="s">
        <v>17041</v>
      </c>
      <c r="B6318" s="21"/>
      <c r="C6318" s="33" t="s">
        <v>11419</v>
      </c>
      <c r="E6318" s="46" t="s">
        <v>7616</v>
      </c>
    </row>
    <row r="6319">
      <c r="A6319" s="56" t="s">
        <v>17044</v>
      </c>
      <c r="B6319" s="21"/>
      <c r="C6319" s="33" t="s">
        <v>11419</v>
      </c>
      <c r="E6319" s="46" t="s">
        <v>7618</v>
      </c>
    </row>
    <row r="6320">
      <c r="A6320" s="56" t="s">
        <v>17045</v>
      </c>
      <c r="B6320" s="21"/>
      <c r="C6320" s="33" t="s">
        <v>11411</v>
      </c>
      <c r="E6320" s="46" t="s">
        <v>7616</v>
      </c>
    </row>
    <row r="6321">
      <c r="A6321" s="56" t="s">
        <v>17047</v>
      </c>
      <c r="B6321" s="21"/>
      <c r="C6321" s="33" t="s">
        <v>11411</v>
      </c>
      <c r="E6321" s="46" t="s">
        <v>7618</v>
      </c>
    </row>
    <row r="6322">
      <c r="A6322" s="56" t="s">
        <v>17048</v>
      </c>
      <c r="B6322" s="21"/>
      <c r="C6322" s="33" t="s">
        <v>11416</v>
      </c>
      <c r="E6322" s="46" t="s">
        <v>7616</v>
      </c>
    </row>
    <row r="6323">
      <c r="A6323" s="56" t="s">
        <v>17049</v>
      </c>
      <c r="B6323" s="21"/>
      <c r="C6323" s="33" t="s">
        <v>11416</v>
      </c>
      <c r="E6323" s="46" t="s">
        <v>7618</v>
      </c>
    </row>
    <row r="6324">
      <c r="A6324" s="56" t="s">
        <v>17053</v>
      </c>
      <c r="B6324" s="21"/>
      <c r="C6324" s="33" t="s">
        <v>11419</v>
      </c>
      <c r="E6324" s="46" t="s">
        <v>7616</v>
      </c>
    </row>
    <row r="6325">
      <c r="A6325" s="56" t="s">
        <v>17055</v>
      </c>
      <c r="B6325" s="21"/>
      <c r="C6325" s="33" t="s">
        <v>11419</v>
      </c>
      <c r="E6325" s="46" t="s">
        <v>7618</v>
      </c>
    </row>
    <row r="6326">
      <c r="A6326" s="56" t="s">
        <v>17056</v>
      </c>
      <c r="B6326" s="55"/>
      <c r="C6326" s="31"/>
    </row>
    <row r="6327">
      <c r="A6327" s="56" t="s">
        <v>17057</v>
      </c>
      <c r="B6327" s="55"/>
      <c r="C6327" s="31"/>
    </row>
    <row r="6328">
      <c r="A6328" s="56" t="s">
        <v>17058</v>
      </c>
      <c r="B6328" s="55"/>
      <c r="C6328" s="31"/>
    </row>
    <row r="6329">
      <c r="A6329" s="56" t="s">
        <v>17059</v>
      </c>
      <c r="B6329" s="55"/>
      <c r="C6329" s="31"/>
    </row>
    <row r="6330">
      <c r="A6330" s="56" t="s">
        <v>17061</v>
      </c>
      <c r="B6330" s="55"/>
      <c r="C6330" s="31"/>
    </row>
    <row r="6331">
      <c r="A6331" s="56" t="s">
        <v>17063</v>
      </c>
      <c r="B6331" s="55"/>
      <c r="C6331" s="31"/>
    </row>
    <row r="6332">
      <c r="A6332" s="56" t="s">
        <v>17064</v>
      </c>
      <c r="B6332" s="55"/>
      <c r="C6332" s="31"/>
    </row>
    <row r="6333">
      <c r="A6333" s="56" t="s">
        <v>17065</v>
      </c>
      <c r="B6333" s="55"/>
      <c r="C6333" s="31"/>
    </row>
    <row r="6334">
      <c r="A6334" s="56" t="s">
        <v>17066</v>
      </c>
      <c r="B6334" s="55"/>
      <c r="C6334" s="31"/>
    </row>
    <row r="6335">
      <c r="A6335" s="56" t="s">
        <v>17068</v>
      </c>
      <c r="B6335" s="55"/>
      <c r="C6335" s="31"/>
    </row>
    <row r="6336">
      <c r="A6336" s="56" t="s">
        <v>17070</v>
      </c>
      <c r="B6336" s="55"/>
      <c r="C6336" s="31"/>
    </row>
    <row r="6337">
      <c r="A6337" s="56" t="s">
        <v>17071</v>
      </c>
      <c r="B6337" s="55"/>
      <c r="C6337" s="31"/>
    </row>
    <row r="6338">
      <c r="A6338" s="56" t="s">
        <v>17074</v>
      </c>
      <c r="B6338" s="55"/>
      <c r="C6338" s="31"/>
    </row>
    <row r="6339">
      <c r="A6339" s="56" t="s">
        <v>17075</v>
      </c>
      <c r="B6339" s="55"/>
      <c r="C6339" s="31"/>
    </row>
    <row r="6340">
      <c r="A6340" s="56" t="s">
        <v>17077</v>
      </c>
      <c r="B6340" s="55"/>
      <c r="C6340" s="31"/>
    </row>
    <row r="6341">
      <c r="A6341" s="56" t="s">
        <v>17078</v>
      </c>
      <c r="B6341" s="55"/>
      <c r="C6341" s="31"/>
    </row>
    <row r="6342">
      <c r="A6342" s="56" t="s">
        <v>17079</v>
      </c>
      <c r="B6342" s="55"/>
      <c r="C6342" s="31"/>
    </row>
    <row r="6343">
      <c r="A6343" s="56" t="s">
        <v>17080</v>
      </c>
      <c r="B6343" s="55"/>
      <c r="C6343" s="31"/>
    </row>
    <row r="6344">
      <c r="A6344" s="56" t="s">
        <v>17082</v>
      </c>
      <c r="B6344" s="55"/>
      <c r="C6344" s="31"/>
    </row>
    <row r="6345">
      <c r="A6345" s="56" t="s">
        <v>17084</v>
      </c>
      <c r="B6345" s="55"/>
      <c r="C6345" s="31"/>
    </row>
    <row r="6346">
      <c r="A6346" s="56" t="s">
        <v>17085</v>
      </c>
      <c r="B6346" s="55"/>
      <c r="C6346" s="31"/>
    </row>
    <row r="6347">
      <c r="A6347" s="56" t="s">
        <v>17086</v>
      </c>
      <c r="B6347" s="82"/>
      <c r="C6347" s="33" t="s">
        <v>17087</v>
      </c>
    </row>
    <row r="6348">
      <c r="A6348" s="56" t="s">
        <v>17088</v>
      </c>
      <c r="B6348" s="55"/>
      <c r="C6348" s="31"/>
    </row>
    <row r="6349">
      <c r="A6349" s="56" t="s">
        <v>17089</v>
      </c>
      <c r="B6349" s="55"/>
      <c r="C6349" s="31"/>
    </row>
    <row r="6350">
      <c r="A6350" s="56" t="s">
        <v>17090</v>
      </c>
      <c r="B6350" s="55"/>
      <c r="C6350" s="31"/>
    </row>
    <row r="6351">
      <c r="A6351" s="56" t="s">
        <v>17091</v>
      </c>
      <c r="B6351" s="55"/>
      <c r="C6351" s="31"/>
    </row>
    <row r="6352">
      <c r="A6352" s="56" t="s">
        <v>17094</v>
      </c>
      <c r="B6352" s="82"/>
      <c r="C6352" s="33" t="s">
        <v>17096</v>
      </c>
    </row>
    <row r="6353">
      <c r="A6353" s="56" t="s">
        <v>17097</v>
      </c>
      <c r="B6353" s="55"/>
      <c r="C6353" s="31"/>
    </row>
    <row r="6354">
      <c r="A6354" s="56" t="s">
        <v>17098</v>
      </c>
      <c r="B6354" s="55"/>
      <c r="C6354" s="31"/>
    </row>
    <row r="6355">
      <c r="A6355" s="56" t="s">
        <v>17099</v>
      </c>
      <c r="B6355" s="55"/>
      <c r="C6355" s="31"/>
    </row>
    <row r="6356">
      <c r="A6356" s="56" t="s">
        <v>17100</v>
      </c>
      <c r="B6356" s="55"/>
      <c r="C6356" s="31"/>
    </row>
    <row r="6357">
      <c r="A6357" s="56" t="s">
        <v>17101</v>
      </c>
      <c r="B6357" s="55"/>
      <c r="C6357" s="31"/>
    </row>
    <row r="6358">
      <c r="A6358" s="56" t="s">
        <v>17103</v>
      </c>
      <c r="B6358" s="55"/>
      <c r="C6358" s="31"/>
    </row>
    <row r="6359">
      <c r="A6359" s="56" t="s">
        <v>17105</v>
      </c>
      <c r="B6359" s="55"/>
      <c r="C6359" s="31"/>
    </row>
    <row r="6360">
      <c r="A6360" s="56" t="s">
        <v>17106</v>
      </c>
      <c r="B6360" s="55"/>
      <c r="C6360" s="31"/>
    </row>
    <row r="6361">
      <c r="A6361" s="56" t="s">
        <v>17107</v>
      </c>
      <c r="B6361" s="55"/>
      <c r="C6361" s="31"/>
    </row>
    <row r="6362">
      <c r="A6362" s="56" t="s">
        <v>17108</v>
      </c>
      <c r="B6362" s="82"/>
      <c r="C6362" s="33" t="s">
        <v>17109</v>
      </c>
    </row>
    <row r="6363">
      <c r="A6363" s="56" t="s">
        <v>17110</v>
      </c>
      <c r="B6363" s="55"/>
      <c r="C6363" s="31"/>
    </row>
    <row r="6364">
      <c r="A6364" s="56" t="s">
        <v>17112</v>
      </c>
      <c r="B6364" s="55"/>
      <c r="C6364" s="31"/>
    </row>
    <row r="6365">
      <c r="A6365" s="56" t="s">
        <v>17113</v>
      </c>
      <c r="B6365" s="55"/>
      <c r="C6365" s="31"/>
    </row>
    <row r="6366">
      <c r="A6366" s="56" t="s">
        <v>17116</v>
      </c>
      <c r="B6366" s="55"/>
      <c r="C6366" s="31"/>
    </row>
    <row r="6367">
      <c r="A6367" s="56" t="s">
        <v>17117</v>
      </c>
      <c r="B6367" s="55"/>
      <c r="C6367" s="31"/>
    </row>
    <row r="6368">
      <c r="A6368" s="56" t="s">
        <v>17118</v>
      </c>
      <c r="B6368" s="55"/>
      <c r="C6368" s="31"/>
    </row>
    <row r="6369">
      <c r="A6369" s="56" t="s">
        <v>17119</v>
      </c>
      <c r="B6369" s="55"/>
      <c r="C6369" s="31"/>
    </row>
    <row r="6370">
      <c r="A6370" s="56" t="s">
        <v>17120</v>
      </c>
      <c r="B6370" s="55"/>
      <c r="C6370" s="31"/>
    </row>
    <row r="6371">
      <c r="A6371" s="56" t="s">
        <v>17121</v>
      </c>
      <c r="B6371" s="55"/>
      <c r="C6371" s="31"/>
    </row>
    <row r="6372">
      <c r="A6372" s="56" t="s">
        <v>17122</v>
      </c>
      <c r="B6372" s="55"/>
      <c r="C6372" s="31"/>
    </row>
    <row r="6373">
      <c r="A6373" s="56" t="s">
        <v>17123</v>
      </c>
      <c r="B6373" s="55"/>
      <c r="C6373" s="31"/>
    </row>
    <row r="6374">
      <c r="A6374" s="56" t="s">
        <v>17125</v>
      </c>
      <c r="B6374" s="55"/>
      <c r="C6374" s="31"/>
    </row>
    <row r="6375">
      <c r="A6375" s="56" t="s">
        <v>17128</v>
      </c>
      <c r="B6375" s="55"/>
      <c r="C6375" s="31"/>
    </row>
    <row r="6376">
      <c r="A6376" s="56" t="s">
        <v>17129</v>
      </c>
      <c r="B6376" s="55"/>
      <c r="C6376" s="31"/>
    </row>
    <row r="6377">
      <c r="A6377" s="56" t="s">
        <v>17130</v>
      </c>
      <c r="B6377" s="55"/>
      <c r="C6377" s="31"/>
    </row>
    <row r="6378">
      <c r="A6378" s="56" t="s">
        <v>17131</v>
      </c>
      <c r="B6378" s="55"/>
      <c r="C6378" s="31"/>
    </row>
    <row r="6379">
      <c r="A6379" s="56" t="s">
        <v>17133</v>
      </c>
      <c r="B6379" s="55"/>
      <c r="C6379" s="31"/>
    </row>
    <row r="6380">
      <c r="A6380" s="56" t="s">
        <v>17135</v>
      </c>
      <c r="B6380" s="55"/>
      <c r="C6380" s="31"/>
    </row>
    <row r="6381">
      <c r="A6381" s="56" t="s">
        <v>17136</v>
      </c>
      <c r="B6381" s="55"/>
      <c r="C6381" s="31"/>
    </row>
    <row r="6382">
      <c r="A6382" s="56" t="s">
        <v>17137</v>
      </c>
      <c r="B6382" s="55"/>
      <c r="C6382" s="31"/>
    </row>
    <row r="6383">
      <c r="A6383" s="56" t="s">
        <v>17138</v>
      </c>
      <c r="B6383" s="82"/>
      <c r="C6383" s="33" t="s">
        <v>17139</v>
      </c>
    </row>
    <row r="6384">
      <c r="A6384" s="56" t="s">
        <v>17140</v>
      </c>
      <c r="B6384" s="55"/>
      <c r="C6384" s="31"/>
    </row>
    <row r="6385">
      <c r="A6385" s="56" t="s">
        <v>17143</v>
      </c>
      <c r="B6385" s="55"/>
      <c r="C6385" s="31"/>
    </row>
    <row r="6386">
      <c r="A6386" s="56" t="s">
        <v>17144</v>
      </c>
      <c r="B6386" s="55"/>
      <c r="C6386" s="31"/>
    </row>
    <row r="6387">
      <c r="A6387" s="56" t="s">
        <v>17146</v>
      </c>
      <c r="B6387" s="55"/>
      <c r="C6387" s="31"/>
    </row>
    <row r="6388">
      <c r="A6388" s="56" t="s">
        <v>17147</v>
      </c>
      <c r="B6388" s="55"/>
      <c r="C6388" s="31"/>
    </row>
    <row r="6389">
      <c r="A6389" s="56" t="s">
        <v>17148</v>
      </c>
      <c r="B6389" s="55"/>
      <c r="C6389" s="31"/>
    </row>
    <row r="6390">
      <c r="A6390" s="56" t="s">
        <v>17149</v>
      </c>
      <c r="B6390" s="55"/>
      <c r="C6390" s="31"/>
    </row>
    <row r="6391">
      <c r="A6391" s="56" t="s">
        <v>17152</v>
      </c>
      <c r="B6391" s="55"/>
      <c r="C6391" s="31"/>
    </row>
    <row r="6392">
      <c r="A6392" s="56" t="s">
        <v>17153</v>
      </c>
      <c r="B6392" s="55"/>
      <c r="C6392" s="31"/>
    </row>
    <row r="6393">
      <c r="A6393" s="56" t="s">
        <v>17154</v>
      </c>
      <c r="B6393" s="55"/>
      <c r="C6393" s="31"/>
    </row>
    <row r="6394">
      <c r="A6394" s="56" t="s">
        <v>17155</v>
      </c>
      <c r="B6394" s="55"/>
      <c r="C6394" s="31"/>
    </row>
    <row r="6395">
      <c r="A6395" s="56" t="s">
        <v>17156</v>
      </c>
      <c r="B6395" s="55"/>
      <c r="C6395" s="31"/>
    </row>
    <row r="6396">
      <c r="A6396" s="56" t="s">
        <v>17157</v>
      </c>
      <c r="B6396" s="55"/>
      <c r="C6396" s="31"/>
    </row>
    <row r="6397">
      <c r="A6397" s="56" t="s">
        <v>17158</v>
      </c>
      <c r="B6397" s="82"/>
      <c r="C6397" s="33" t="s">
        <v>17161</v>
      </c>
    </row>
    <row r="6398">
      <c r="A6398" s="56" t="s">
        <v>17163</v>
      </c>
      <c r="B6398" s="55"/>
      <c r="C6398" s="31"/>
    </row>
    <row r="6399">
      <c r="A6399" s="56" t="s">
        <v>17165</v>
      </c>
      <c r="B6399" s="55"/>
      <c r="C6399" s="31"/>
    </row>
    <row r="6400">
      <c r="A6400" s="56" t="s">
        <v>17166</v>
      </c>
      <c r="B6400" s="55"/>
      <c r="C6400" s="31"/>
    </row>
    <row r="6401">
      <c r="A6401" s="56" t="s">
        <v>17167</v>
      </c>
      <c r="B6401" s="55"/>
      <c r="C6401" s="31"/>
    </row>
    <row r="6402">
      <c r="A6402" s="56" t="s">
        <v>17168</v>
      </c>
      <c r="B6402" s="55"/>
      <c r="C6402" s="31"/>
    </row>
    <row r="6403">
      <c r="A6403" s="56" t="s">
        <v>17169</v>
      </c>
      <c r="B6403" s="55"/>
      <c r="C6403" s="31"/>
    </row>
    <row r="6404">
      <c r="A6404" s="56" t="s">
        <v>17170</v>
      </c>
      <c r="B6404" s="55"/>
      <c r="C6404" s="31"/>
    </row>
    <row r="6405">
      <c r="A6405" s="56" t="s">
        <v>17171</v>
      </c>
      <c r="B6405" s="55"/>
      <c r="C6405" s="31"/>
    </row>
    <row r="6406">
      <c r="A6406" s="56" t="s">
        <v>17172</v>
      </c>
      <c r="B6406" s="55"/>
      <c r="C6406" s="31"/>
    </row>
    <row r="6407">
      <c r="A6407" s="56" t="s">
        <v>17174</v>
      </c>
      <c r="B6407" s="55"/>
      <c r="C6407" s="31"/>
    </row>
    <row r="6408">
      <c r="A6408" s="56" t="s">
        <v>17176</v>
      </c>
      <c r="B6408" s="55"/>
      <c r="C6408" s="31"/>
    </row>
    <row r="6409">
      <c r="A6409" s="56" t="s">
        <v>17178</v>
      </c>
      <c r="B6409" s="55"/>
      <c r="C6409" s="31"/>
    </row>
    <row r="6410">
      <c r="A6410" s="56" t="s">
        <v>17179</v>
      </c>
      <c r="B6410" s="55"/>
      <c r="C6410" s="31"/>
    </row>
    <row r="6411">
      <c r="A6411" s="56" t="s">
        <v>17180</v>
      </c>
      <c r="B6411" s="55"/>
      <c r="C6411" s="31"/>
    </row>
    <row r="6412">
      <c r="A6412" s="56" t="s">
        <v>17181</v>
      </c>
      <c r="B6412" s="55"/>
      <c r="C6412" s="31"/>
    </row>
    <row r="6413">
      <c r="A6413" s="56" t="s">
        <v>17182</v>
      </c>
      <c r="B6413" s="55"/>
      <c r="C6413" s="31"/>
    </row>
    <row r="6414">
      <c r="A6414" s="56" t="s">
        <v>17183</v>
      </c>
      <c r="B6414" s="55"/>
      <c r="C6414" s="31"/>
    </row>
    <row r="6415">
      <c r="A6415" s="56" t="s">
        <v>17184</v>
      </c>
      <c r="B6415" s="55"/>
      <c r="C6415" s="31"/>
    </row>
    <row r="6416">
      <c r="A6416" s="56" t="s">
        <v>17185</v>
      </c>
      <c r="B6416" s="55"/>
      <c r="C6416" s="31"/>
    </row>
    <row r="6417">
      <c r="A6417" s="56" t="s">
        <v>17186</v>
      </c>
      <c r="B6417" s="55"/>
      <c r="C6417" s="31"/>
    </row>
    <row r="6418">
      <c r="A6418" s="56" t="s">
        <v>17187</v>
      </c>
      <c r="B6418" s="55"/>
      <c r="C6418" s="31"/>
    </row>
    <row r="6419">
      <c r="A6419" s="56" t="s">
        <v>17189</v>
      </c>
      <c r="B6419" s="55"/>
      <c r="C6419" s="31"/>
    </row>
    <row r="6420">
      <c r="A6420" s="56" t="s">
        <v>17191</v>
      </c>
      <c r="B6420" s="55"/>
      <c r="C6420" s="31"/>
    </row>
    <row r="6421">
      <c r="A6421" s="56" t="s">
        <v>17192</v>
      </c>
      <c r="B6421" s="55"/>
      <c r="C6421" s="31"/>
    </row>
    <row r="6422">
      <c r="A6422" s="56" t="s">
        <v>17194</v>
      </c>
      <c r="B6422" s="55"/>
      <c r="C6422" s="31"/>
    </row>
    <row r="6423">
      <c r="A6423" s="56" t="s">
        <v>17195</v>
      </c>
      <c r="B6423" s="55"/>
      <c r="C6423" s="31"/>
    </row>
    <row r="6424">
      <c r="A6424" s="56" t="s">
        <v>17196</v>
      </c>
      <c r="B6424" s="55"/>
      <c r="C6424" s="31"/>
    </row>
    <row r="6425">
      <c r="A6425" s="56" t="s">
        <v>17197</v>
      </c>
      <c r="B6425" s="55"/>
      <c r="C6425" s="31"/>
    </row>
    <row r="6426">
      <c r="A6426" s="56" t="s">
        <v>17198</v>
      </c>
      <c r="B6426" s="55"/>
      <c r="C6426" s="31"/>
    </row>
    <row r="6427">
      <c r="A6427" s="56" t="s">
        <v>17199</v>
      </c>
      <c r="B6427" s="55"/>
      <c r="C6427" s="31"/>
    </row>
    <row r="6428">
      <c r="A6428" s="56" t="s">
        <v>17200</v>
      </c>
      <c r="B6428" s="55"/>
      <c r="C6428" s="31"/>
    </row>
    <row r="6429">
      <c r="A6429" s="56" t="s">
        <v>17201</v>
      </c>
      <c r="B6429" s="55"/>
      <c r="C6429" s="31"/>
    </row>
    <row r="6430">
      <c r="A6430" s="56" t="s">
        <v>17203</v>
      </c>
      <c r="B6430" s="82"/>
      <c r="C6430" s="33" t="s">
        <v>17205</v>
      </c>
    </row>
    <row r="6431">
      <c r="A6431" s="56" t="s">
        <v>17206</v>
      </c>
      <c r="B6431" s="55"/>
      <c r="C6431" s="31"/>
    </row>
    <row r="6432">
      <c r="A6432" s="56" t="s">
        <v>17207</v>
      </c>
      <c r="B6432" s="55"/>
      <c r="C6432" s="31"/>
    </row>
    <row r="6433">
      <c r="A6433" s="56" t="s">
        <v>17208</v>
      </c>
      <c r="B6433" s="55"/>
      <c r="C6433" s="31"/>
    </row>
    <row r="6434">
      <c r="A6434" s="56" t="s">
        <v>17209</v>
      </c>
      <c r="B6434" s="55"/>
      <c r="C6434" s="31"/>
    </row>
    <row r="6435">
      <c r="A6435" s="56" t="s">
        <v>17211</v>
      </c>
      <c r="B6435" s="82"/>
      <c r="C6435" s="33" t="s">
        <v>17212</v>
      </c>
    </row>
    <row r="6436">
      <c r="A6436" s="56" t="s">
        <v>17213</v>
      </c>
      <c r="B6436" s="55"/>
      <c r="C6436" s="31"/>
    </row>
    <row r="6437">
      <c r="A6437" s="56" t="s">
        <v>17214</v>
      </c>
      <c r="B6437" s="55"/>
      <c r="C6437" s="31"/>
    </row>
    <row r="6438">
      <c r="A6438" s="56" t="s">
        <v>17216</v>
      </c>
      <c r="B6438" s="55"/>
      <c r="C6438" s="31"/>
    </row>
    <row r="6439">
      <c r="A6439" s="56" t="s">
        <v>17218</v>
      </c>
      <c r="B6439" s="55"/>
      <c r="C6439" s="31"/>
    </row>
    <row r="6440">
      <c r="A6440" s="56" t="s">
        <v>17219</v>
      </c>
      <c r="B6440" s="55"/>
      <c r="C6440" s="31"/>
    </row>
    <row r="6441">
      <c r="A6441" s="56" t="s">
        <v>17220</v>
      </c>
      <c r="B6441" s="55"/>
      <c r="C6441" s="31"/>
    </row>
    <row r="6442">
      <c r="A6442" s="56" t="s">
        <v>17221</v>
      </c>
      <c r="B6442" s="82"/>
      <c r="C6442" s="33" t="s">
        <v>17222</v>
      </c>
    </row>
    <row r="6443">
      <c r="A6443" s="56" t="s">
        <v>17223</v>
      </c>
      <c r="B6443" s="55"/>
      <c r="C6443" s="31"/>
    </row>
    <row r="6444">
      <c r="A6444" s="56" t="s">
        <v>17225</v>
      </c>
      <c r="B6444" s="55"/>
      <c r="C6444" s="31"/>
    </row>
    <row r="6445">
      <c r="A6445" s="56" t="s">
        <v>17227</v>
      </c>
      <c r="B6445" s="55"/>
      <c r="C6445" s="31"/>
    </row>
    <row r="6446">
      <c r="A6446" s="56" t="s">
        <v>17229</v>
      </c>
      <c r="B6446" s="55"/>
      <c r="C6446" s="31"/>
    </row>
    <row r="6447">
      <c r="A6447" s="56" t="s">
        <v>17231</v>
      </c>
      <c r="B6447" s="55"/>
      <c r="C6447" s="31"/>
    </row>
    <row r="6448">
      <c r="A6448" s="56" t="s">
        <v>17232</v>
      </c>
      <c r="B6448" s="55"/>
      <c r="C6448" s="31"/>
    </row>
    <row r="6449">
      <c r="A6449" s="56" t="s">
        <v>17233</v>
      </c>
      <c r="B6449" s="55"/>
      <c r="C6449" s="31"/>
    </row>
    <row r="6450">
      <c r="A6450" s="56" t="s">
        <v>17234</v>
      </c>
      <c r="B6450" s="55"/>
      <c r="C6450" s="31"/>
    </row>
    <row r="6451">
      <c r="A6451" s="56" t="s">
        <v>17236</v>
      </c>
      <c r="B6451" s="55"/>
      <c r="C6451" s="31"/>
    </row>
    <row r="6452">
      <c r="A6452" s="56" t="s">
        <v>17238</v>
      </c>
      <c r="B6452" s="55"/>
      <c r="C6452" s="31"/>
    </row>
    <row r="6453">
      <c r="A6453" s="56" t="s">
        <v>17239</v>
      </c>
      <c r="B6453" s="55"/>
      <c r="C6453" s="31"/>
    </row>
    <row r="6454">
      <c r="A6454" s="56" t="s">
        <v>17240</v>
      </c>
      <c r="B6454" s="55"/>
      <c r="C6454" s="31"/>
    </row>
    <row r="6455">
      <c r="A6455" s="56" t="s">
        <v>17241</v>
      </c>
      <c r="B6455" s="55"/>
      <c r="C6455" s="31"/>
    </row>
    <row r="6456">
      <c r="A6456" s="56" t="s">
        <v>17242</v>
      </c>
      <c r="B6456" s="55"/>
      <c r="C6456" s="31"/>
    </row>
    <row r="6457">
      <c r="A6457" s="56" t="s">
        <v>17243</v>
      </c>
      <c r="B6457" s="55"/>
      <c r="C6457" s="31"/>
    </row>
    <row r="6458">
      <c r="A6458" s="56" t="s">
        <v>17244</v>
      </c>
      <c r="B6458" s="55"/>
      <c r="C6458" s="31"/>
    </row>
    <row r="6459">
      <c r="A6459" s="56" t="s">
        <v>17247</v>
      </c>
      <c r="B6459" s="55"/>
      <c r="C6459" s="31"/>
    </row>
    <row r="6460">
      <c r="A6460" s="56" t="s">
        <v>17249</v>
      </c>
      <c r="B6460" s="55"/>
      <c r="C6460" s="31"/>
    </row>
    <row r="6461">
      <c r="A6461" s="56" t="s">
        <v>17250</v>
      </c>
      <c r="B6461" s="55"/>
      <c r="C6461" s="31"/>
    </row>
    <row r="6462">
      <c r="A6462" s="56" t="s">
        <v>17251</v>
      </c>
      <c r="B6462" s="55"/>
      <c r="C6462" s="31"/>
    </row>
    <row r="6463">
      <c r="A6463" s="56" t="s">
        <v>17252</v>
      </c>
      <c r="B6463" s="55"/>
      <c r="C6463" s="31"/>
    </row>
    <row r="6464">
      <c r="A6464" s="56" t="s">
        <v>17253</v>
      </c>
      <c r="B6464" s="55"/>
      <c r="C6464" s="31"/>
    </row>
    <row r="6465">
      <c r="A6465" s="56" t="s">
        <v>17254</v>
      </c>
      <c r="B6465" s="55"/>
      <c r="C6465" s="31"/>
    </row>
    <row r="6466">
      <c r="A6466" s="56" t="s">
        <v>17256</v>
      </c>
      <c r="B6466" s="55"/>
      <c r="C6466" s="31"/>
    </row>
    <row r="6467">
      <c r="A6467" s="56" t="s">
        <v>17258</v>
      </c>
      <c r="B6467" s="55"/>
      <c r="C6467" s="31"/>
    </row>
    <row r="6468">
      <c r="A6468" s="56" t="s">
        <v>17259</v>
      </c>
      <c r="B6468" s="55"/>
      <c r="C6468" s="31"/>
    </row>
    <row r="6469">
      <c r="A6469" s="56" t="s">
        <v>17260</v>
      </c>
      <c r="B6469" s="55"/>
      <c r="C6469" s="31"/>
    </row>
    <row r="6470">
      <c r="A6470" s="56" t="s">
        <v>17261</v>
      </c>
      <c r="B6470" s="55"/>
      <c r="C6470" s="31"/>
    </row>
    <row r="6471">
      <c r="A6471" s="56" t="s">
        <v>17262</v>
      </c>
      <c r="B6471" s="55"/>
      <c r="C6471" s="31"/>
    </row>
    <row r="6472">
      <c r="A6472" s="56" t="s">
        <v>17263</v>
      </c>
      <c r="B6472" s="55"/>
      <c r="C6472" s="31"/>
    </row>
    <row r="6473">
      <c r="A6473" s="56" t="s">
        <v>17265</v>
      </c>
      <c r="B6473" s="55"/>
      <c r="C6473" s="31"/>
    </row>
    <row r="6474">
      <c r="A6474" s="56" t="s">
        <v>17266</v>
      </c>
      <c r="B6474" s="82"/>
      <c r="C6474" s="33" t="s">
        <v>12708</v>
      </c>
    </row>
    <row r="6475">
      <c r="A6475" s="56" t="s">
        <v>17267</v>
      </c>
      <c r="B6475" s="55"/>
      <c r="C6475" s="31"/>
    </row>
    <row r="6476">
      <c r="A6476" s="56" t="s">
        <v>17268</v>
      </c>
      <c r="B6476" s="55"/>
      <c r="C6476" s="31"/>
    </row>
    <row r="6477">
      <c r="A6477" s="56" t="s">
        <v>17269</v>
      </c>
      <c r="B6477" s="55"/>
      <c r="C6477" s="31"/>
    </row>
    <row r="6478">
      <c r="A6478" s="56" t="s">
        <v>17271</v>
      </c>
      <c r="B6478" s="55"/>
      <c r="C6478" s="31"/>
    </row>
    <row r="6479">
      <c r="A6479" s="56" t="s">
        <v>17273</v>
      </c>
      <c r="B6479" s="55"/>
      <c r="C6479" s="31"/>
    </row>
    <row r="6480">
      <c r="A6480" s="56" t="s">
        <v>17274</v>
      </c>
      <c r="B6480" s="55"/>
      <c r="C6480" s="31"/>
    </row>
    <row r="6481">
      <c r="A6481" s="56" t="s">
        <v>17275</v>
      </c>
      <c r="B6481" s="55"/>
      <c r="C6481" s="31"/>
    </row>
    <row r="6482">
      <c r="A6482" s="56" t="s">
        <v>17276</v>
      </c>
      <c r="B6482" s="55"/>
      <c r="C6482" s="31"/>
    </row>
    <row r="6483">
      <c r="A6483" s="56" t="s">
        <v>17278</v>
      </c>
      <c r="B6483" s="55"/>
      <c r="C6483" s="31"/>
    </row>
    <row r="6484">
      <c r="A6484" s="56" t="s">
        <v>17281</v>
      </c>
      <c r="B6484" s="55"/>
      <c r="C6484" s="31"/>
    </row>
    <row r="6485">
      <c r="A6485" s="56" t="s">
        <v>17282</v>
      </c>
      <c r="B6485" s="55"/>
      <c r="C6485" s="31"/>
    </row>
    <row r="6486">
      <c r="A6486" s="56" t="s">
        <v>17283</v>
      </c>
      <c r="B6486" s="55"/>
      <c r="C6486" s="31"/>
    </row>
    <row r="6487">
      <c r="A6487" s="56" t="s">
        <v>17284</v>
      </c>
      <c r="B6487" s="55"/>
      <c r="C6487" s="31"/>
    </row>
    <row r="6488">
      <c r="A6488" s="56" t="s">
        <v>17285</v>
      </c>
      <c r="B6488" s="82"/>
      <c r="C6488" s="33" t="s">
        <v>17286</v>
      </c>
    </row>
    <row r="6489">
      <c r="A6489" s="56" t="s">
        <v>17287</v>
      </c>
      <c r="B6489" s="55"/>
      <c r="C6489" s="31"/>
    </row>
    <row r="6490">
      <c r="A6490" s="56" t="s">
        <v>17288</v>
      </c>
      <c r="B6490" s="55"/>
      <c r="C6490" s="31"/>
    </row>
    <row r="6491">
      <c r="A6491" s="56" t="s">
        <v>17290</v>
      </c>
      <c r="B6491" s="55"/>
      <c r="C6491" s="31"/>
    </row>
    <row r="6492">
      <c r="A6492" s="56" t="s">
        <v>17291</v>
      </c>
      <c r="B6492" s="55"/>
      <c r="C6492" s="31"/>
    </row>
    <row r="6493">
      <c r="A6493" s="56" t="s">
        <v>17292</v>
      </c>
      <c r="B6493" s="55"/>
      <c r="C6493" s="31"/>
    </row>
    <row r="6494">
      <c r="A6494" s="56" t="s">
        <v>17293</v>
      </c>
      <c r="B6494" s="55"/>
      <c r="C6494" s="31"/>
    </row>
    <row r="6495">
      <c r="A6495" s="56" t="s">
        <v>17294</v>
      </c>
      <c r="B6495" s="55"/>
      <c r="C6495" s="31"/>
    </row>
    <row r="6496">
      <c r="A6496" s="56" t="s">
        <v>17296</v>
      </c>
      <c r="B6496" s="55"/>
      <c r="C6496" s="31"/>
    </row>
    <row r="6497">
      <c r="A6497" s="56" t="s">
        <v>17297</v>
      </c>
      <c r="B6497" s="55"/>
      <c r="C6497" s="31"/>
    </row>
    <row r="6498">
      <c r="A6498" s="56" t="s">
        <v>17299</v>
      </c>
      <c r="B6498" s="55"/>
      <c r="C6498" s="31"/>
    </row>
    <row r="6499">
      <c r="A6499" s="56" t="s">
        <v>17300</v>
      </c>
      <c r="B6499" s="55"/>
      <c r="C6499" s="31"/>
    </row>
    <row r="6500">
      <c r="A6500" s="56" t="s">
        <v>17301</v>
      </c>
      <c r="B6500" s="55"/>
      <c r="C6500" s="31"/>
    </row>
    <row r="6501">
      <c r="A6501" s="56" t="s">
        <v>17302</v>
      </c>
      <c r="B6501" s="55"/>
      <c r="C6501" s="31"/>
    </row>
    <row r="6502">
      <c r="A6502" s="56" t="s">
        <v>17303</v>
      </c>
      <c r="B6502" s="55"/>
      <c r="C6502" s="31"/>
    </row>
    <row r="6503">
      <c r="A6503" s="56" t="s">
        <v>17304</v>
      </c>
      <c r="B6503" s="55"/>
      <c r="C6503" s="31"/>
    </row>
    <row r="6504">
      <c r="A6504" s="56" t="s">
        <v>17305</v>
      </c>
      <c r="B6504" s="55"/>
      <c r="C6504" s="31"/>
    </row>
    <row r="6505">
      <c r="A6505" s="56" t="s">
        <v>17307</v>
      </c>
      <c r="B6505" s="55"/>
      <c r="C6505" s="31"/>
    </row>
    <row r="6506">
      <c r="A6506" s="56" t="s">
        <v>17309</v>
      </c>
      <c r="B6506" s="55"/>
      <c r="C6506" s="31"/>
    </row>
    <row r="6507">
      <c r="A6507" s="56" t="s">
        <v>17310</v>
      </c>
      <c r="B6507" s="55"/>
      <c r="C6507" s="31"/>
    </row>
    <row r="6508">
      <c r="A6508" s="56" t="s">
        <v>17312</v>
      </c>
      <c r="B6508" s="55"/>
      <c r="C6508" s="31"/>
    </row>
    <row r="6509">
      <c r="A6509" s="56" t="s">
        <v>17313</v>
      </c>
      <c r="B6509" s="55"/>
      <c r="C6509" s="31"/>
    </row>
    <row r="6510">
      <c r="A6510" s="56" t="s">
        <v>17314</v>
      </c>
      <c r="B6510" s="55"/>
      <c r="C6510" s="31"/>
    </row>
    <row r="6511">
      <c r="A6511" s="56" t="s">
        <v>17315</v>
      </c>
      <c r="B6511" s="55"/>
      <c r="C6511" s="31"/>
    </row>
    <row r="6512">
      <c r="A6512" s="56" t="s">
        <v>17317</v>
      </c>
      <c r="B6512" s="55"/>
      <c r="C6512" s="31"/>
    </row>
    <row r="6513">
      <c r="A6513" s="56" t="s">
        <v>17319</v>
      </c>
      <c r="B6513" s="55"/>
      <c r="C6513" s="31"/>
    </row>
    <row r="6514">
      <c r="A6514" s="56" t="s">
        <v>17320</v>
      </c>
      <c r="B6514" s="55"/>
      <c r="C6514" s="31"/>
    </row>
    <row r="6515">
      <c r="A6515" s="56" t="s">
        <v>17321</v>
      </c>
      <c r="B6515" s="82"/>
      <c r="C6515" s="33" t="s">
        <v>17322</v>
      </c>
    </row>
    <row r="6516">
      <c r="A6516" s="56" t="s">
        <v>17323</v>
      </c>
      <c r="B6516" s="55"/>
      <c r="C6516" s="31"/>
    </row>
    <row r="6517">
      <c r="A6517" s="56" t="s">
        <v>17324</v>
      </c>
      <c r="B6517" s="55"/>
      <c r="C6517" s="31"/>
    </row>
    <row r="6518">
      <c r="A6518" s="56" t="s">
        <v>17325</v>
      </c>
      <c r="B6518" s="55"/>
      <c r="C6518" s="31"/>
    </row>
    <row r="6519">
      <c r="A6519" s="56" t="s">
        <v>17327</v>
      </c>
      <c r="B6519" s="55"/>
      <c r="C6519" s="31"/>
    </row>
    <row r="6520">
      <c r="A6520" s="56" t="s">
        <v>17330</v>
      </c>
      <c r="B6520" s="55"/>
      <c r="C6520" s="31"/>
    </row>
    <row r="6521">
      <c r="A6521" s="56" t="s">
        <v>17331</v>
      </c>
      <c r="B6521" s="55"/>
      <c r="C6521" s="31"/>
    </row>
    <row r="6522">
      <c r="A6522" s="56" t="s">
        <v>17332</v>
      </c>
      <c r="B6522" s="55"/>
      <c r="C6522" s="31"/>
    </row>
    <row r="6523">
      <c r="A6523" s="56" t="s">
        <v>17333</v>
      </c>
      <c r="B6523" s="55"/>
      <c r="C6523" s="31"/>
    </row>
    <row r="6524">
      <c r="A6524" s="56" t="s">
        <v>17334</v>
      </c>
      <c r="B6524" s="55"/>
      <c r="C6524" s="31"/>
    </row>
    <row r="6525">
      <c r="A6525" s="56" t="s">
        <v>17335</v>
      </c>
      <c r="B6525" s="55"/>
      <c r="C6525" s="31"/>
    </row>
    <row r="6526">
      <c r="A6526" s="56" t="s">
        <v>17336</v>
      </c>
      <c r="B6526" s="55"/>
      <c r="C6526" s="31"/>
    </row>
    <row r="6527">
      <c r="A6527" s="56" t="s">
        <v>17338</v>
      </c>
      <c r="B6527" s="55"/>
      <c r="C6527" s="31"/>
    </row>
    <row r="6528">
      <c r="A6528" s="56" t="s">
        <v>17339</v>
      </c>
      <c r="B6528" s="55"/>
      <c r="C6528" s="31"/>
    </row>
    <row r="6529">
      <c r="A6529" s="56" t="s">
        <v>17340</v>
      </c>
      <c r="B6529" s="55"/>
      <c r="C6529" s="31"/>
    </row>
    <row r="6530">
      <c r="A6530" s="56" t="s">
        <v>17341</v>
      </c>
      <c r="B6530" s="55"/>
      <c r="C6530" s="31"/>
    </row>
    <row r="6531">
      <c r="A6531" s="56" t="s">
        <v>17342</v>
      </c>
      <c r="B6531" s="55"/>
      <c r="C6531" s="31"/>
    </row>
    <row r="6532">
      <c r="A6532" s="56" t="s">
        <v>17344</v>
      </c>
      <c r="B6532" s="55"/>
      <c r="C6532" s="31"/>
    </row>
    <row r="6533">
      <c r="A6533" s="56" t="s">
        <v>17345</v>
      </c>
      <c r="B6533" s="55"/>
      <c r="C6533" s="31"/>
    </row>
    <row r="6534">
      <c r="A6534" s="56" t="s">
        <v>17347</v>
      </c>
      <c r="B6534" s="55"/>
      <c r="C6534" s="31"/>
    </row>
    <row r="6535">
      <c r="A6535" s="56" t="s">
        <v>17348</v>
      </c>
      <c r="B6535" s="55"/>
      <c r="C6535" s="31"/>
    </row>
    <row r="6536">
      <c r="A6536" s="56" t="s">
        <v>17350</v>
      </c>
      <c r="B6536" s="55"/>
      <c r="C6536" s="31"/>
    </row>
    <row r="6537">
      <c r="A6537" s="56" t="s">
        <v>17351</v>
      </c>
      <c r="B6537" s="55"/>
      <c r="C6537" s="31"/>
    </row>
    <row r="6538">
      <c r="A6538" s="56" t="s">
        <v>17352</v>
      </c>
      <c r="B6538" s="55"/>
      <c r="C6538" s="31"/>
    </row>
    <row r="6539">
      <c r="A6539" s="56" t="s">
        <v>17353</v>
      </c>
      <c r="B6539" s="55"/>
      <c r="C6539" s="31"/>
    </row>
    <row r="6540">
      <c r="A6540" s="56" t="s">
        <v>17356</v>
      </c>
      <c r="B6540" s="55"/>
      <c r="C6540" s="31"/>
    </row>
    <row r="6541">
      <c r="A6541" s="56" t="s">
        <v>17357</v>
      </c>
      <c r="B6541" s="55"/>
      <c r="C6541" s="31"/>
    </row>
    <row r="6542">
      <c r="A6542" s="56" t="s">
        <v>17359</v>
      </c>
      <c r="B6542" s="55"/>
      <c r="C6542" s="31"/>
    </row>
    <row r="6543">
      <c r="A6543" s="56" t="s">
        <v>17360</v>
      </c>
      <c r="B6543" s="55"/>
      <c r="C6543" s="31"/>
    </row>
    <row r="6544">
      <c r="A6544" s="56" t="s">
        <v>17361</v>
      </c>
      <c r="B6544" s="55"/>
      <c r="C6544" s="31"/>
    </row>
    <row r="6545">
      <c r="A6545" s="56" t="s">
        <v>17363</v>
      </c>
      <c r="B6545" s="55"/>
      <c r="C6545" s="31"/>
    </row>
    <row r="6546">
      <c r="A6546" s="56" t="s">
        <v>17365</v>
      </c>
      <c r="B6546" s="55"/>
      <c r="C6546" s="31"/>
    </row>
    <row r="6547">
      <c r="A6547" s="56" t="s">
        <v>17366</v>
      </c>
      <c r="B6547" s="55"/>
      <c r="C6547" s="31"/>
    </row>
    <row r="6548">
      <c r="A6548" s="56" t="s">
        <v>17367</v>
      </c>
      <c r="B6548" s="82"/>
      <c r="C6548" s="33" t="s">
        <v>17368</v>
      </c>
    </row>
    <row r="6549">
      <c r="A6549" s="56" t="s">
        <v>17369</v>
      </c>
      <c r="B6549" s="55"/>
      <c r="C6549" s="31"/>
    </row>
    <row r="6550">
      <c r="A6550" s="56" t="s">
        <v>17370</v>
      </c>
      <c r="B6550" s="55"/>
      <c r="C6550" s="31"/>
    </row>
    <row r="6551">
      <c r="A6551" s="56" t="s">
        <v>17371</v>
      </c>
      <c r="B6551" s="55"/>
      <c r="C6551" s="31"/>
    </row>
    <row r="6552">
      <c r="A6552" s="56" t="s">
        <v>17372</v>
      </c>
      <c r="B6552" s="55"/>
      <c r="C6552" s="31"/>
    </row>
    <row r="6553">
      <c r="A6553" s="56" t="s">
        <v>17373</v>
      </c>
      <c r="B6553" s="55"/>
      <c r="C6553" s="31"/>
    </row>
    <row r="6554">
      <c r="A6554" s="56" t="s">
        <v>17375</v>
      </c>
      <c r="B6554" s="55"/>
      <c r="C6554" s="31"/>
    </row>
    <row r="6555">
      <c r="A6555" s="56" t="s">
        <v>17376</v>
      </c>
      <c r="B6555" s="55"/>
      <c r="C6555" s="31"/>
    </row>
    <row r="6556">
      <c r="A6556" s="56" t="s">
        <v>17377</v>
      </c>
      <c r="B6556" s="55"/>
      <c r="C6556" s="31"/>
    </row>
    <row r="6557">
      <c r="A6557" s="56" t="s">
        <v>17380</v>
      </c>
      <c r="B6557" s="55"/>
      <c r="C6557" s="31"/>
    </row>
    <row r="6558">
      <c r="A6558" s="56" t="s">
        <v>17381</v>
      </c>
      <c r="B6558" s="55"/>
      <c r="C6558" s="31"/>
    </row>
    <row r="6559">
      <c r="A6559" s="56" t="s">
        <v>17382</v>
      </c>
      <c r="B6559" s="55"/>
      <c r="C6559" s="31"/>
    </row>
    <row r="6560">
      <c r="A6560" s="56" t="s">
        <v>17383</v>
      </c>
      <c r="B6560" s="55"/>
      <c r="C6560" s="31"/>
    </row>
    <row r="6561">
      <c r="A6561" s="56" t="s">
        <v>17384</v>
      </c>
      <c r="B6561" s="55"/>
      <c r="C6561" s="31"/>
    </row>
    <row r="6562">
      <c r="A6562" s="56" t="s">
        <v>17385</v>
      </c>
      <c r="B6562" s="55"/>
      <c r="C6562" s="31"/>
    </row>
    <row r="6563">
      <c r="A6563" s="56" t="s">
        <v>17386</v>
      </c>
      <c r="B6563" s="55"/>
      <c r="C6563" s="31"/>
    </row>
    <row r="6564">
      <c r="A6564" s="56" t="s">
        <v>17388</v>
      </c>
      <c r="B6564" s="55"/>
      <c r="C6564" s="31"/>
    </row>
    <row r="6565">
      <c r="A6565" s="56" t="s">
        <v>17390</v>
      </c>
      <c r="B6565" s="55"/>
      <c r="C6565" s="31"/>
    </row>
    <row r="6566">
      <c r="A6566" s="56" t="s">
        <v>17391</v>
      </c>
      <c r="B6566" s="55"/>
      <c r="C6566" s="31"/>
    </row>
    <row r="6567">
      <c r="A6567" s="56" t="s">
        <v>17393</v>
      </c>
      <c r="B6567" s="55"/>
      <c r="C6567" s="31"/>
    </row>
    <row r="6568">
      <c r="A6568" s="56" t="s">
        <v>17394</v>
      </c>
      <c r="B6568" s="55"/>
      <c r="C6568" s="31"/>
    </row>
    <row r="6569">
      <c r="A6569" s="56" t="s">
        <v>17395</v>
      </c>
      <c r="B6569" s="55"/>
      <c r="C6569" s="31"/>
    </row>
    <row r="6570">
      <c r="A6570" s="56" t="s">
        <v>17396</v>
      </c>
      <c r="B6570" s="55"/>
      <c r="C6570" s="31"/>
    </row>
    <row r="6571">
      <c r="A6571" s="56" t="s">
        <v>17397</v>
      </c>
      <c r="B6571" s="55"/>
      <c r="C6571" s="31"/>
    </row>
    <row r="6572">
      <c r="A6572" s="56" t="s">
        <v>17398</v>
      </c>
      <c r="B6572" s="55"/>
      <c r="C6572" s="31"/>
    </row>
    <row r="6573">
      <c r="A6573" s="56" t="s">
        <v>17399</v>
      </c>
      <c r="B6573" s="55"/>
      <c r="C6573" s="31"/>
    </row>
    <row r="6574">
      <c r="A6574" s="56" t="s">
        <v>17401</v>
      </c>
      <c r="B6574" s="55"/>
      <c r="C6574" s="31"/>
    </row>
    <row r="6575">
      <c r="A6575" s="56" t="s">
        <v>17403</v>
      </c>
      <c r="B6575" s="55"/>
      <c r="C6575" s="31"/>
    </row>
    <row r="6576">
      <c r="A6576" s="56" t="s">
        <v>17404</v>
      </c>
      <c r="B6576" s="55"/>
      <c r="C6576" s="31"/>
    </row>
    <row r="6577">
      <c r="A6577" s="56" t="s">
        <v>17405</v>
      </c>
      <c r="B6577" s="55"/>
      <c r="C6577" s="31"/>
    </row>
    <row r="6578">
      <c r="A6578" s="56" t="s">
        <v>17406</v>
      </c>
      <c r="B6578" s="55"/>
      <c r="C6578" s="31"/>
    </row>
    <row r="6579">
      <c r="A6579" s="56" t="s">
        <v>17407</v>
      </c>
      <c r="B6579" s="55"/>
      <c r="C6579" s="31"/>
    </row>
    <row r="6580">
      <c r="A6580" s="56" t="s">
        <v>17409</v>
      </c>
      <c r="B6580" s="55"/>
      <c r="C6580" s="31"/>
    </row>
    <row r="6581">
      <c r="A6581" s="56" t="s">
        <v>17412</v>
      </c>
      <c r="B6581" s="55"/>
      <c r="C6581" s="31"/>
    </row>
    <row r="6582">
      <c r="A6582" s="56" t="s">
        <v>17413</v>
      </c>
      <c r="B6582" s="82"/>
      <c r="C6582" s="33" t="s">
        <v>17414</v>
      </c>
    </row>
    <row r="6583">
      <c r="A6583" s="56" t="s">
        <v>17415</v>
      </c>
      <c r="B6583" s="55"/>
      <c r="C6583" s="31"/>
    </row>
    <row r="6584">
      <c r="A6584" s="56" t="s">
        <v>17416</v>
      </c>
      <c r="B6584" s="55"/>
      <c r="C6584" s="31"/>
    </row>
    <row r="6585">
      <c r="A6585" s="56" t="s">
        <v>17418</v>
      </c>
      <c r="B6585" s="55"/>
      <c r="C6585" s="31"/>
    </row>
    <row r="6586">
      <c r="A6586" s="56" t="s">
        <v>17420</v>
      </c>
      <c r="B6586" s="55"/>
      <c r="C6586" s="31"/>
    </row>
    <row r="6587">
      <c r="A6587" s="56" t="s">
        <v>17421</v>
      </c>
      <c r="B6587" s="55"/>
      <c r="C6587" s="31"/>
    </row>
    <row r="6588">
      <c r="A6588" s="56" t="s">
        <v>17422</v>
      </c>
      <c r="B6588" s="55"/>
      <c r="C6588" s="31"/>
    </row>
    <row r="6589">
      <c r="A6589" s="56" t="s">
        <v>17423</v>
      </c>
      <c r="B6589" s="82"/>
      <c r="C6589" s="33" t="s">
        <v>17424</v>
      </c>
    </row>
    <row r="6590">
      <c r="A6590" s="56" t="s">
        <v>17426</v>
      </c>
      <c r="B6590" s="82"/>
      <c r="C6590" s="33" t="s">
        <v>11373</v>
      </c>
      <c r="E6590" s="46" t="s">
        <v>7616</v>
      </c>
    </row>
    <row r="6591">
      <c r="A6591" s="56" t="s">
        <v>17427</v>
      </c>
      <c r="B6591" s="82"/>
      <c r="C6591" s="33" t="s">
        <v>11373</v>
      </c>
      <c r="E6591" s="46" t="s">
        <v>7618</v>
      </c>
    </row>
    <row r="6592">
      <c r="A6592" s="56" t="s">
        <v>17428</v>
      </c>
      <c r="B6592" s="82"/>
      <c r="C6592" s="33" t="s">
        <v>11376</v>
      </c>
      <c r="E6592" s="46" t="s">
        <v>7616</v>
      </c>
    </row>
    <row r="6593">
      <c r="A6593" s="56" t="s">
        <v>17429</v>
      </c>
      <c r="B6593" s="82"/>
      <c r="C6593" s="33" t="s">
        <v>11376</v>
      </c>
      <c r="E6593" s="46" t="s">
        <v>7618</v>
      </c>
    </row>
    <row r="6594">
      <c r="A6594" s="56" t="s">
        <v>17432</v>
      </c>
      <c r="B6594" s="82"/>
      <c r="C6594" s="33" t="s">
        <v>11380</v>
      </c>
      <c r="E6594" s="46" t="s">
        <v>7616</v>
      </c>
    </row>
    <row r="6595">
      <c r="A6595" s="56" t="s">
        <v>17433</v>
      </c>
      <c r="B6595" s="82"/>
      <c r="C6595" s="33" t="s">
        <v>11380</v>
      </c>
      <c r="E6595" s="46" t="s">
        <v>7618</v>
      </c>
    </row>
    <row r="6596">
      <c r="A6596" s="56" t="s">
        <v>17435</v>
      </c>
      <c r="B6596" s="79"/>
      <c r="C6596" s="33" t="s">
        <v>11384</v>
      </c>
      <c r="E6596" s="46" t="s">
        <v>1348</v>
      </c>
    </row>
    <row r="6597">
      <c r="A6597" s="56" t="s">
        <v>17437</v>
      </c>
      <c r="B6597" s="79"/>
      <c r="C6597" s="33" t="s">
        <v>11384</v>
      </c>
      <c r="E6597" s="46" t="s">
        <v>1348</v>
      </c>
    </row>
    <row r="6598">
      <c r="A6598" s="56" t="s">
        <v>17438</v>
      </c>
      <c r="B6598" s="79"/>
      <c r="C6598" s="33" t="s">
        <v>11389</v>
      </c>
      <c r="E6598" s="46" t="s">
        <v>1348</v>
      </c>
    </row>
    <row r="6599">
      <c r="A6599" s="56" t="s">
        <v>17440</v>
      </c>
      <c r="B6599" s="21"/>
      <c r="C6599" s="33" t="s">
        <v>11391</v>
      </c>
      <c r="E6599" s="46" t="s">
        <v>7616</v>
      </c>
    </row>
    <row r="6600">
      <c r="A6600" s="56" t="s">
        <v>17442</v>
      </c>
      <c r="B6600" s="21"/>
      <c r="C6600" s="33" t="s">
        <v>11391</v>
      </c>
      <c r="E6600" s="46" t="s">
        <v>7618</v>
      </c>
    </row>
    <row r="6601">
      <c r="A6601" s="56" t="s">
        <v>17443</v>
      </c>
      <c r="B6601" s="21"/>
      <c r="C6601" s="33" t="s">
        <v>11394</v>
      </c>
      <c r="E6601" s="46" t="s">
        <v>7616</v>
      </c>
    </row>
    <row r="6602">
      <c r="A6602" s="56" t="s">
        <v>17445</v>
      </c>
      <c r="B6602" s="21"/>
      <c r="C6602" s="33" t="s">
        <v>11394</v>
      </c>
      <c r="E6602" s="46" t="s">
        <v>7618</v>
      </c>
    </row>
    <row r="6603">
      <c r="A6603" s="56" t="s">
        <v>17447</v>
      </c>
      <c r="B6603" s="21"/>
      <c r="C6603" s="33" t="s">
        <v>11398</v>
      </c>
      <c r="E6603" s="46" t="s">
        <v>7616</v>
      </c>
    </row>
    <row r="6604">
      <c r="A6604" s="56" t="s">
        <v>17448</v>
      </c>
      <c r="B6604" s="21"/>
      <c r="C6604" s="33" t="s">
        <v>11398</v>
      </c>
      <c r="E6604" s="46" t="s">
        <v>7618</v>
      </c>
    </row>
    <row r="6605">
      <c r="A6605" s="56" t="s">
        <v>17449</v>
      </c>
      <c r="B6605" s="21"/>
      <c r="C6605" s="33" t="s">
        <v>11391</v>
      </c>
      <c r="E6605" s="46" t="s">
        <v>7616</v>
      </c>
    </row>
    <row r="6606">
      <c r="A6606" s="56" t="s">
        <v>17450</v>
      </c>
      <c r="B6606" s="21"/>
      <c r="C6606" s="33" t="s">
        <v>11391</v>
      </c>
      <c r="E6606" s="46" t="s">
        <v>7618</v>
      </c>
    </row>
    <row r="6607">
      <c r="A6607" s="56" t="s">
        <v>17451</v>
      </c>
      <c r="B6607" s="21"/>
      <c r="C6607" s="33" t="s">
        <v>11394</v>
      </c>
      <c r="E6607" s="46" t="s">
        <v>7616</v>
      </c>
    </row>
    <row r="6608">
      <c r="A6608" s="56" t="s">
        <v>17453</v>
      </c>
      <c r="B6608" s="21"/>
      <c r="C6608" s="33" t="s">
        <v>11394</v>
      </c>
      <c r="E6608" s="46" t="s">
        <v>7618</v>
      </c>
    </row>
    <row r="6609">
      <c r="A6609" s="56" t="s">
        <v>17454</v>
      </c>
      <c r="B6609" s="21"/>
      <c r="C6609" s="33" t="s">
        <v>11398</v>
      </c>
      <c r="E6609" s="46" t="s">
        <v>7616</v>
      </c>
    </row>
    <row r="6610">
      <c r="A6610" s="56" t="s">
        <v>17455</v>
      </c>
      <c r="B6610" s="21"/>
      <c r="C6610" s="33" t="s">
        <v>11398</v>
      </c>
      <c r="E6610" s="46" t="s">
        <v>7618</v>
      </c>
    </row>
    <row r="6611">
      <c r="A6611" s="56" t="s">
        <v>17457</v>
      </c>
      <c r="B6611" s="21"/>
      <c r="C6611" s="33" t="s">
        <v>11411</v>
      </c>
      <c r="E6611" s="46" t="s">
        <v>7616</v>
      </c>
    </row>
    <row r="6612">
      <c r="A6612" s="56" t="s">
        <v>17459</v>
      </c>
      <c r="B6612" s="21"/>
      <c r="C6612" s="33" t="s">
        <v>11411</v>
      </c>
      <c r="E6612" s="46" t="s">
        <v>7618</v>
      </c>
    </row>
    <row r="6613">
      <c r="A6613" s="56" t="s">
        <v>17461</v>
      </c>
      <c r="B6613" s="21"/>
      <c r="C6613" s="33" t="s">
        <v>11416</v>
      </c>
      <c r="E6613" s="46" t="s">
        <v>7616</v>
      </c>
    </row>
    <row r="6614">
      <c r="A6614" s="56" t="s">
        <v>17462</v>
      </c>
      <c r="B6614" s="21"/>
      <c r="C6614" s="33" t="s">
        <v>11416</v>
      </c>
      <c r="E6614" s="46" t="s">
        <v>7618</v>
      </c>
    </row>
    <row r="6615">
      <c r="A6615" s="56" t="s">
        <v>17463</v>
      </c>
      <c r="B6615" s="21"/>
      <c r="C6615" s="33" t="s">
        <v>11419</v>
      </c>
      <c r="E6615" s="46" t="s">
        <v>7616</v>
      </c>
    </row>
    <row r="6616">
      <c r="A6616" s="56" t="s">
        <v>17464</v>
      </c>
      <c r="B6616" s="21"/>
      <c r="C6616" s="33" t="s">
        <v>11419</v>
      </c>
      <c r="E6616" s="46" t="s">
        <v>7618</v>
      </c>
    </row>
    <row r="6617">
      <c r="A6617" s="56" t="s">
        <v>17466</v>
      </c>
      <c r="B6617" s="21"/>
      <c r="C6617" s="33" t="s">
        <v>11411</v>
      </c>
      <c r="E6617" s="46" t="s">
        <v>7616</v>
      </c>
    </row>
    <row r="6618">
      <c r="A6618" s="56" t="s">
        <v>17468</v>
      </c>
      <c r="B6618" s="21"/>
      <c r="C6618" s="33" t="s">
        <v>11411</v>
      </c>
      <c r="E6618" s="46" t="s">
        <v>7618</v>
      </c>
    </row>
    <row r="6619">
      <c r="A6619" s="56" t="s">
        <v>17470</v>
      </c>
      <c r="B6619" s="21"/>
      <c r="C6619" s="33" t="s">
        <v>11416</v>
      </c>
      <c r="E6619" s="46" t="s">
        <v>7616</v>
      </c>
    </row>
    <row r="6620">
      <c r="A6620" s="56" t="s">
        <v>17471</v>
      </c>
      <c r="B6620" s="21"/>
      <c r="C6620" s="33" t="s">
        <v>11416</v>
      </c>
      <c r="E6620" s="46" t="s">
        <v>7618</v>
      </c>
    </row>
    <row r="6621">
      <c r="A6621" s="56" t="s">
        <v>17472</v>
      </c>
      <c r="B6621" s="21"/>
      <c r="C6621" s="33" t="s">
        <v>11419</v>
      </c>
      <c r="E6621" s="46" t="s">
        <v>7616</v>
      </c>
    </row>
    <row r="6622">
      <c r="A6622" s="56" t="s">
        <v>17473</v>
      </c>
      <c r="B6622" s="21"/>
      <c r="C6622" s="33" t="s">
        <v>11419</v>
      </c>
      <c r="E6622" s="46" t="s">
        <v>7618</v>
      </c>
    </row>
    <row r="6623">
      <c r="A6623" s="56" t="s">
        <v>17474</v>
      </c>
      <c r="B6623" s="55"/>
      <c r="C6623" s="31"/>
    </row>
    <row r="6624">
      <c r="A6624" s="56" t="s">
        <v>17475</v>
      </c>
      <c r="B6624" s="55"/>
      <c r="C6624" s="31"/>
    </row>
    <row r="6625">
      <c r="A6625" s="56" t="s">
        <v>17476</v>
      </c>
      <c r="B6625" s="55"/>
      <c r="C6625" s="31"/>
    </row>
    <row r="6626">
      <c r="A6626" s="56" t="s">
        <v>17477</v>
      </c>
      <c r="B6626" s="55"/>
      <c r="C6626" s="31"/>
    </row>
    <row r="6627">
      <c r="A6627" s="56" t="s">
        <v>17478</v>
      </c>
      <c r="B6627" s="55"/>
      <c r="C6627" s="31"/>
    </row>
    <row r="6628">
      <c r="A6628" s="56" t="s">
        <v>17479</v>
      </c>
      <c r="B6628" s="55"/>
      <c r="C6628" s="31"/>
    </row>
    <row r="6629">
      <c r="A6629" s="56" t="s">
        <v>17480</v>
      </c>
      <c r="B6629" s="55"/>
      <c r="C6629" s="31"/>
    </row>
    <row r="6630">
      <c r="A6630" s="56" t="s">
        <v>17481</v>
      </c>
      <c r="B6630" s="55"/>
      <c r="C6630" s="31"/>
    </row>
    <row r="6631">
      <c r="A6631" s="56" t="s">
        <v>17482</v>
      </c>
      <c r="B6631" s="55"/>
      <c r="C6631" s="31"/>
    </row>
    <row r="6632">
      <c r="A6632" s="56" t="s">
        <v>17483</v>
      </c>
      <c r="B6632" s="55"/>
      <c r="C6632" s="31"/>
    </row>
    <row r="6633">
      <c r="A6633" s="56" t="s">
        <v>17485</v>
      </c>
      <c r="B6633" s="55"/>
      <c r="C6633" s="31"/>
    </row>
    <row r="6634">
      <c r="A6634" s="56" t="s">
        <v>17486</v>
      </c>
      <c r="B6634" s="55"/>
      <c r="C6634" s="31"/>
    </row>
    <row r="6635">
      <c r="A6635" s="56" t="s">
        <v>17487</v>
      </c>
      <c r="B6635" s="55"/>
      <c r="C6635" s="31"/>
    </row>
    <row r="6636">
      <c r="A6636" s="56" t="s">
        <v>17488</v>
      </c>
      <c r="B6636" s="55"/>
      <c r="C6636" s="31"/>
    </row>
    <row r="6637">
      <c r="A6637" s="56" t="s">
        <v>17489</v>
      </c>
      <c r="B6637" s="55"/>
      <c r="C6637" s="31"/>
    </row>
    <row r="6638">
      <c r="A6638" s="56" t="s">
        <v>17490</v>
      </c>
      <c r="B6638" s="55"/>
      <c r="C6638" s="31"/>
    </row>
    <row r="6639">
      <c r="A6639" s="56" t="s">
        <v>17491</v>
      </c>
      <c r="B6639" s="55"/>
      <c r="C6639" s="31"/>
    </row>
    <row r="6640">
      <c r="A6640" s="56" t="s">
        <v>17492</v>
      </c>
      <c r="B6640" s="55"/>
      <c r="C6640" s="31"/>
    </row>
    <row r="6641">
      <c r="A6641" s="56" t="s">
        <v>17493</v>
      </c>
      <c r="B6641" s="55"/>
      <c r="C6641" s="31"/>
    </row>
    <row r="6642">
      <c r="A6642" s="56" t="s">
        <v>17494</v>
      </c>
      <c r="B6642" s="82"/>
      <c r="C6642" s="33" t="s">
        <v>17495</v>
      </c>
    </row>
    <row r="6643">
      <c r="A6643" s="56" t="s">
        <v>17496</v>
      </c>
      <c r="B6643" s="55"/>
      <c r="C6643" s="31"/>
    </row>
    <row r="6644">
      <c r="A6644" s="56" t="s">
        <v>17499</v>
      </c>
      <c r="B6644" s="55"/>
      <c r="C6644" s="31"/>
    </row>
    <row r="6645">
      <c r="A6645" s="56" t="s">
        <v>17502</v>
      </c>
      <c r="B6645" s="55"/>
      <c r="C6645" s="31"/>
    </row>
    <row r="6646">
      <c r="A6646" s="56" t="s">
        <v>17503</v>
      </c>
      <c r="B6646" s="55"/>
      <c r="C6646" s="31"/>
    </row>
    <row r="6647">
      <c r="A6647" s="56" t="s">
        <v>17504</v>
      </c>
      <c r="B6647" s="55"/>
      <c r="C6647" s="31"/>
    </row>
    <row r="6648">
      <c r="A6648" s="56" t="s">
        <v>17505</v>
      </c>
      <c r="B6648" s="55"/>
      <c r="C6648" s="31"/>
    </row>
    <row r="6649">
      <c r="A6649" s="56" t="s">
        <v>17506</v>
      </c>
      <c r="B6649" s="55"/>
      <c r="C6649" s="31"/>
    </row>
    <row r="6650">
      <c r="A6650" s="56" t="s">
        <v>17507</v>
      </c>
      <c r="B6650" s="55"/>
      <c r="C6650" s="31"/>
    </row>
    <row r="6651">
      <c r="A6651" s="56" t="s">
        <v>17510</v>
      </c>
      <c r="B6651" s="55"/>
      <c r="C6651" s="31"/>
    </row>
    <row r="6652">
      <c r="A6652" s="56" t="s">
        <v>17511</v>
      </c>
      <c r="B6652" s="55"/>
      <c r="C6652" s="31"/>
    </row>
    <row r="6653">
      <c r="A6653" s="56" t="s">
        <v>17512</v>
      </c>
      <c r="B6653" s="55"/>
      <c r="C6653" s="31"/>
    </row>
    <row r="6654">
      <c r="A6654" s="56" t="s">
        <v>17513</v>
      </c>
      <c r="B6654" s="55"/>
      <c r="C6654" s="31"/>
    </row>
    <row r="6655">
      <c r="A6655" s="56" t="s">
        <v>17514</v>
      </c>
      <c r="B6655" s="55"/>
      <c r="C6655" s="31"/>
    </row>
    <row r="6656">
      <c r="A6656" s="56" t="s">
        <v>17515</v>
      </c>
      <c r="B6656" s="55"/>
      <c r="C6656" s="31"/>
    </row>
    <row r="6657">
      <c r="A6657" s="56" t="s">
        <v>17516</v>
      </c>
      <c r="B6657" s="55"/>
      <c r="C6657" s="31"/>
    </row>
    <row r="6658">
      <c r="A6658" s="56" t="s">
        <v>17518</v>
      </c>
      <c r="B6658" s="55"/>
      <c r="C6658" s="31"/>
    </row>
    <row r="6659">
      <c r="A6659" s="56" t="s">
        <v>17519</v>
      </c>
      <c r="B6659" s="55"/>
      <c r="C6659" s="31"/>
    </row>
    <row r="6660">
      <c r="A6660" s="56" t="s">
        <v>17521</v>
      </c>
      <c r="B6660" s="55"/>
      <c r="C6660" s="31"/>
    </row>
    <row r="6661">
      <c r="A6661" s="56" t="s">
        <v>17523</v>
      </c>
      <c r="B6661" s="55"/>
      <c r="C6661" s="31"/>
    </row>
    <row r="6662">
      <c r="A6662" s="56" t="s">
        <v>17524</v>
      </c>
      <c r="B6662" s="55"/>
      <c r="C6662" s="31"/>
    </row>
    <row r="6663">
      <c r="A6663" s="56" t="s">
        <v>17525</v>
      </c>
      <c r="B6663" s="55"/>
      <c r="C6663" s="31"/>
    </row>
    <row r="6664">
      <c r="A6664" s="56" t="s">
        <v>17526</v>
      </c>
      <c r="B6664" s="55"/>
      <c r="C6664" s="31"/>
    </row>
    <row r="6665">
      <c r="A6665" s="56" t="s">
        <v>17527</v>
      </c>
      <c r="B6665" s="55"/>
      <c r="C6665" s="31"/>
    </row>
    <row r="6666">
      <c r="A6666" s="56" t="s">
        <v>17529</v>
      </c>
      <c r="B6666" s="55"/>
      <c r="C6666" s="31"/>
    </row>
    <row r="6667">
      <c r="A6667" s="56" t="s">
        <v>17530</v>
      </c>
      <c r="B6667" s="55"/>
      <c r="C6667" s="31"/>
    </row>
    <row r="6668">
      <c r="A6668" s="56" t="s">
        <v>17531</v>
      </c>
      <c r="B6668" s="55"/>
      <c r="C6668" s="31"/>
    </row>
    <row r="6669">
      <c r="A6669" s="56" t="s">
        <v>17534</v>
      </c>
      <c r="B6669" s="55"/>
      <c r="C6669" s="31"/>
    </row>
    <row r="6670">
      <c r="A6670" s="56" t="s">
        <v>17535</v>
      </c>
      <c r="B6670" s="55"/>
      <c r="C6670" s="31"/>
    </row>
    <row r="6671">
      <c r="A6671" s="56" t="s">
        <v>17536</v>
      </c>
      <c r="B6671" s="55"/>
      <c r="C6671" s="31"/>
    </row>
    <row r="6672">
      <c r="A6672" s="56" t="s">
        <v>17537</v>
      </c>
      <c r="B6672" s="55"/>
      <c r="C6672" s="31"/>
    </row>
    <row r="6673">
      <c r="A6673" s="56" t="s">
        <v>17539</v>
      </c>
      <c r="B6673" s="55"/>
      <c r="C6673" s="31"/>
    </row>
    <row r="6674">
      <c r="A6674" s="56" t="s">
        <v>17540</v>
      </c>
      <c r="B6674" s="55"/>
      <c r="C6674" s="31"/>
    </row>
    <row r="6675">
      <c r="A6675" s="56" t="s">
        <v>17541</v>
      </c>
      <c r="B6675" s="55"/>
      <c r="C6675" s="31"/>
    </row>
    <row r="6676">
      <c r="A6676" s="56" t="s">
        <v>17542</v>
      </c>
      <c r="B6676" s="55"/>
      <c r="C6676" s="31"/>
    </row>
    <row r="6677">
      <c r="A6677" s="56" t="s">
        <v>17545</v>
      </c>
      <c r="B6677" s="55"/>
      <c r="C6677" s="31"/>
    </row>
    <row r="6678">
      <c r="A6678" s="56" t="s">
        <v>17546</v>
      </c>
      <c r="B6678" s="55"/>
      <c r="C6678" s="31"/>
    </row>
    <row r="6679">
      <c r="A6679" s="56" t="s">
        <v>17547</v>
      </c>
      <c r="B6679" s="55"/>
      <c r="C6679" s="31"/>
    </row>
    <row r="6680">
      <c r="A6680" s="56" t="s">
        <v>17548</v>
      </c>
      <c r="B6680" s="55"/>
      <c r="C6680" s="31"/>
    </row>
    <row r="6681">
      <c r="A6681" s="56" t="s">
        <v>17550</v>
      </c>
      <c r="B6681" s="55"/>
      <c r="C6681" s="31"/>
    </row>
    <row r="6682">
      <c r="A6682" s="56" t="s">
        <v>17551</v>
      </c>
      <c r="B6682" s="55"/>
      <c r="C6682" s="31"/>
    </row>
    <row r="6683">
      <c r="A6683" s="56" t="s">
        <v>17552</v>
      </c>
      <c r="B6683" s="55"/>
      <c r="C6683" s="31"/>
    </row>
    <row r="6684">
      <c r="A6684" s="56" t="s">
        <v>17555</v>
      </c>
      <c r="B6684" s="55"/>
      <c r="C6684" s="31"/>
    </row>
    <row r="6685">
      <c r="A6685" s="56" t="s">
        <v>17556</v>
      </c>
      <c r="B6685" s="55"/>
      <c r="C6685" s="31"/>
    </row>
    <row r="6686">
      <c r="A6686" s="56" t="s">
        <v>17557</v>
      </c>
      <c r="B6686" s="55"/>
      <c r="C6686" s="31"/>
    </row>
    <row r="6687">
      <c r="A6687" s="56" t="s">
        <v>17558</v>
      </c>
      <c r="B6687" s="55"/>
      <c r="C6687" s="31"/>
    </row>
    <row r="6688">
      <c r="A6688" s="56" t="s">
        <v>17559</v>
      </c>
      <c r="B6688" s="55"/>
      <c r="C6688" s="31"/>
    </row>
    <row r="6689">
      <c r="A6689" s="56" t="s">
        <v>17560</v>
      </c>
      <c r="B6689" s="55"/>
      <c r="C6689" s="31"/>
    </row>
    <row r="6690">
      <c r="A6690" s="56" t="s">
        <v>17562</v>
      </c>
      <c r="B6690" s="55"/>
      <c r="C6690" s="31"/>
    </row>
    <row r="6691">
      <c r="A6691" s="56" t="s">
        <v>17563</v>
      </c>
      <c r="B6691" s="55"/>
      <c r="C6691" s="31"/>
    </row>
    <row r="6692">
      <c r="A6692" s="56" t="s">
        <v>17565</v>
      </c>
      <c r="B6692" s="55"/>
      <c r="C6692" s="31"/>
    </row>
    <row r="6693">
      <c r="A6693" s="56" t="s">
        <v>17567</v>
      </c>
      <c r="B6693" s="55"/>
      <c r="C6693" s="31"/>
    </row>
    <row r="6694">
      <c r="A6694" s="56" t="s">
        <v>17568</v>
      </c>
      <c r="B6694" s="55"/>
      <c r="C6694" s="31"/>
    </row>
    <row r="6695">
      <c r="A6695" s="56" t="s">
        <v>17569</v>
      </c>
      <c r="B6695" s="55"/>
      <c r="C6695" s="31"/>
    </row>
    <row r="6696">
      <c r="A6696" s="56" t="s">
        <v>17570</v>
      </c>
      <c r="B6696" s="55"/>
      <c r="C6696" s="31"/>
    </row>
    <row r="6697">
      <c r="A6697" s="56" t="s">
        <v>17571</v>
      </c>
      <c r="B6697" s="55"/>
      <c r="C6697" s="31"/>
    </row>
    <row r="6698">
      <c r="A6698" s="56" t="s">
        <v>17572</v>
      </c>
      <c r="B6698" s="55"/>
      <c r="C6698" s="31"/>
    </row>
    <row r="6699">
      <c r="A6699" s="56" t="s">
        <v>17573</v>
      </c>
      <c r="B6699" s="55"/>
      <c r="C6699" s="31"/>
    </row>
    <row r="6700">
      <c r="A6700" s="56" t="s">
        <v>17574</v>
      </c>
      <c r="B6700" s="55"/>
      <c r="C6700" s="31"/>
    </row>
    <row r="6701">
      <c r="A6701" s="56" t="s">
        <v>17575</v>
      </c>
      <c r="B6701" s="55"/>
      <c r="C6701" s="31"/>
    </row>
    <row r="6702">
      <c r="A6702" s="56" t="s">
        <v>17579</v>
      </c>
      <c r="B6702" s="55"/>
      <c r="C6702" s="31"/>
    </row>
    <row r="6703">
      <c r="A6703" s="56" t="s">
        <v>17580</v>
      </c>
      <c r="B6703" s="55"/>
      <c r="C6703" s="31"/>
    </row>
    <row r="6704">
      <c r="A6704" s="56" t="s">
        <v>17581</v>
      </c>
      <c r="B6704" s="55"/>
      <c r="C6704" s="31"/>
    </row>
    <row r="6705">
      <c r="A6705" s="56" t="s">
        <v>17582</v>
      </c>
      <c r="B6705" s="55"/>
      <c r="C6705" s="31"/>
    </row>
    <row r="6706">
      <c r="A6706" s="56" t="s">
        <v>17583</v>
      </c>
      <c r="B6706" s="55"/>
      <c r="C6706" s="31"/>
    </row>
    <row r="6707">
      <c r="A6707" s="56" t="s">
        <v>17584</v>
      </c>
      <c r="B6707" s="55"/>
      <c r="C6707" s="31"/>
    </row>
    <row r="6708">
      <c r="A6708" s="56" t="s">
        <v>17586</v>
      </c>
      <c r="B6708" s="55"/>
      <c r="C6708" s="31"/>
    </row>
    <row r="6709">
      <c r="A6709" s="56" t="s">
        <v>17588</v>
      </c>
      <c r="B6709" s="55"/>
      <c r="C6709" s="31"/>
    </row>
    <row r="6710">
      <c r="A6710" s="56" t="s">
        <v>17589</v>
      </c>
      <c r="B6710" s="55"/>
      <c r="C6710" s="31"/>
    </row>
    <row r="6711">
      <c r="A6711" s="56" t="s">
        <v>17591</v>
      </c>
      <c r="B6711" s="55"/>
      <c r="C6711" s="31"/>
    </row>
    <row r="6712">
      <c r="A6712" s="56" t="s">
        <v>17592</v>
      </c>
      <c r="B6712" s="55"/>
      <c r="C6712" s="31"/>
    </row>
    <row r="6713">
      <c r="A6713" s="56" t="s">
        <v>17594</v>
      </c>
      <c r="B6713" s="55"/>
      <c r="C6713" s="31"/>
    </row>
    <row r="6714">
      <c r="A6714" s="56" t="s">
        <v>17596</v>
      </c>
      <c r="B6714" s="55"/>
      <c r="C6714" s="31"/>
    </row>
    <row r="6715">
      <c r="A6715" s="56" t="s">
        <v>17597</v>
      </c>
      <c r="B6715" s="55"/>
      <c r="C6715" s="31"/>
    </row>
    <row r="6716">
      <c r="A6716" s="56" t="s">
        <v>17598</v>
      </c>
      <c r="B6716" s="55"/>
      <c r="C6716" s="31"/>
    </row>
    <row r="6717">
      <c r="A6717" s="56" t="s">
        <v>17599</v>
      </c>
      <c r="B6717" s="82"/>
      <c r="C6717" s="33" t="s">
        <v>12820</v>
      </c>
    </row>
    <row r="6718">
      <c r="A6718" s="56" t="s">
        <v>17602</v>
      </c>
      <c r="B6718" s="55"/>
      <c r="C6718" s="31"/>
    </row>
    <row r="6719">
      <c r="A6719" s="56" t="s">
        <v>17604</v>
      </c>
      <c r="B6719" s="55"/>
      <c r="C6719" s="31"/>
    </row>
    <row r="6720">
      <c r="A6720" s="56" t="s">
        <v>17605</v>
      </c>
      <c r="B6720" s="55"/>
      <c r="C6720" s="31"/>
    </row>
    <row r="6721">
      <c r="A6721" s="56" t="s">
        <v>17606</v>
      </c>
      <c r="B6721" s="55"/>
      <c r="C6721" s="31"/>
    </row>
    <row r="6722">
      <c r="A6722" s="56" t="s">
        <v>17608</v>
      </c>
      <c r="B6722" s="55"/>
      <c r="C6722" s="31"/>
    </row>
    <row r="6723">
      <c r="A6723" s="56" t="s">
        <v>17610</v>
      </c>
      <c r="B6723" s="55"/>
      <c r="C6723" s="31"/>
    </row>
    <row r="6724">
      <c r="A6724" s="56" t="s">
        <v>17611</v>
      </c>
      <c r="B6724" s="55"/>
      <c r="C6724" s="31"/>
    </row>
    <row r="6725">
      <c r="A6725" s="56" t="s">
        <v>17612</v>
      </c>
      <c r="B6725" s="55"/>
      <c r="C6725" s="31"/>
    </row>
    <row r="6726">
      <c r="A6726" s="56" t="s">
        <v>17613</v>
      </c>
      <c r="B6726" s="55"/>
      <c r="C6726" s="31"/>
    </row>
    <row r="6727">
      <c r="A6727" s="56" t="s">
        <v>17616</v>
      </c>
      <c r="B6727" s="55"/>
      <c r="C6727" s="31"/>
    </row>
    <row r="6728">
      <c r="A6728" s="56" t="s">
        <v>17618</v>
      </c>
      <c r="B6728" s="55"/>
      <c r="C6728" s="31"/>
    </row>
    <row r="6729">
      <c r="A6729" s="56" t="s">
        <v>17619</v>
      </c>
      <c r="B6729" s="55"/>
      <c r="C6729" s="31"/>
    </row>
    <row r="6730">
      <c r="A6730" s="56" t="s">
        <v>17620</v>
      </c>
      <c r="B6730" s="55"/>
      <c r="C6730" s="31"/>
    </row>
    <row r="6731">
      <c r="A6731" s="56" t="s">
        <v>17621</v>
      </c>
      <c r="B6731" s="55"/>
      <c r="C6731" s="31"/>
    </row>
    <row r="6732">
      <c r="A6732" s="56" t="s">
        <v>17622</v>
      </c>
      <c r="B6732" s="55"/>
      <c r="C6732" s="31"/>
    </row>
    <row r="6733">
      <c r="A6733" s="56" t="s">
        <v>17623</v>
      </c>
      <c r="B6733" s="55"/>
      <c r="C6733" s="31"/>
    </row>
    <row r="6734">
      <c r="A6734" s="56" t="s">
        <v>17625</v>
      </c>
      <c r="B6734" s="55"/>
      <c r="C6734" s="31"/>
    </row>
    <row r="6735">
      <c r="A6735" s="56" t="s">
        <v>17627</v>
      </c>
      <c r="B6735" s="55"/>
      <c r="C6735" s="31"/>
    </row>
    <row r="6736">
      <c r="A6736" s="56" t="s">
        <v>17628</v>
      </c>
      <c r="B6736" s="55"/>
      <c r="C6736" s="31"/>
    </row>
    <row r="6737">
      <c r="A6737" s="56" t="s">
        <v>17629</v>
      </c>
      <c r="B6737" s="55"/>
      <c r="C6737" s="31"/>
    </row>
    <row r="6738">
      <c r="A6738" s="56" t="s">
        <v>17631</v>
      </c>
      <c r="B6738" s="55"/>
      <c r="C6738" s="31"/>
    </row>
    <row r="6739">
      <c r="A6739" s="56" t="s">
        <v>17632</v>
      </c>
      <c r="B6739" s="55"/>
      <c r="C6739" s="31"/>
    </row>
    <row r="6740">
      <c r="A6740" s="56" t="s">
        <v>17633</v>
      </c>
      <c r="B6740" s="55"/>
      <c r="C6740" s="31"/>
    </row>
    <row r="6741">
      <c r="A6741" s="56" t="s">
        <v>17635</v>
      </c>
      <c r="B6741" s="82"/>
      <c r="C6741" s="33" t="s">
        <v>17636</v>
      </c>
    </row>
    <row r="6742">
      <c r="A6742" s="56" t="s">
        <v>17638</v>
      </c>
      <c r="B6742" s="55"/>
      <c r="C6742" s="31"/>
    </row>
    <row r="6743">
      <c r="A6743" s="56" t="s">
        <v>17639</v>
      </c>
      <c r="B6743" s="55"/>
      <c r="C6743" s="31"/>
    </row>
    <row r="6744">
      <c r="A6744" s="56" t="s">
        <v>17640</v>
      </c>
      <c r="B6744" s="55"/>
      <c r="C6744" s="31"/>
    </row>
    <row r="6745">
      <c r="A6745" s="56" t="s">
        <v>17641</v>
      </c>
      <c r="B6745" s="55"/>
      <c r="C6745" s="31"/>
    </row>
    <row r="6746">
      <c r="A6746" s="56" t="s">
        <v>17642</v>
      </c>
      <c r="B6746" s="55"/>
      <c r="C6746" s="31"/>
    </row>
    <row r="6747">
      <c r="A6747" s="56" t="s">
        <v>17643</v>
      </c>
      <c r="B6747" s="55"/>
      <c r="C6747" s="31"/>
    </row>
    <row r="6748">
      <c r="A6748" s="56" t="s">
        <v>17644</v>
      </c>
      <c r="B6748" s="55"/>
      <c r="C6748" s="31"/>
    </row>
    <row r="6749">
      <c r="A6749" s="56" t="s">
        <v>17646</v>
      </c>
      <c r="B6749" s="55"/>
      <c r="C6749" s="31"/>
    </row>
    <row r="6750">
      <c r="A6750" s="56" t="s">
        <v>17649</v>
      </c>
      <c r="B6750" s="55"/>
      <c r="C6750" s="31"/>
    </row>
    <row r="6751">
      <c r="A6751" s="56" t="s">
        <v>17650</v>
      </c>
      <c r="B6751" s="55"/>
      <c r="C6751" s="31"/>
    </row>
    <row r="6752">
      <c r="A6752" s="56" t="s">
        <v>17651</v>
      </c>
      <c r="B6752" s="55"/>
      <c r="C6752" s="31"/>
    </row>
    <row r="6753">
      <c r="A6753" s="56" t="s">
        <v>17652</v>
      </c>
      <c r="B6753" s="55"/>
      <c r="C6753" s="31"/>
    </row>
    <row r="6754">
      <c r="A6754" s="56" t="s">
        <v>17653</v>
      </c>
      <c r="B6754" s="55"/>
      <c r="C6754" s="31"/>
    </row>
    <row r="6755">
      <c r="A6755" s="56" t="s">
        <v>17654</v>
      </c>
      <c r="B6755" s="55"/>
      <c r="C6755" s="31"/>
    </row>
    <row r="6756">
      <c r="A6756" s="56" t="s">
        <v>17656</v>
      </c>
      <c r="B6756" s="55"/>
      <c r="C6756" s="31"/>
    </row>
    <row r="6757">
      <c r="A6757" s="56" t="s">
        <v>17658</v>
      </c>
      <c r="B6757" s="55"/>
      <c r="C6757" s="31"/>
    </row>
    <row r="6758">
      <c r="A6758" s="56" t="s">
        <v>17659</v>
      </c>
      <c r="B6758" s="55"/>
      <c r="C6758" s="31"/>
    </row>
    <row r="6759">
      <c r="A6759" s="56" t="s">
        <v>17660</v>
      </c>
      <c r="B6759" s="55"/>
      <c r="C6759" s="31"/>
    </row>
    <row r="6760">
      <c r="A6760" s="56" t="s">
        <v>17661</v>
      </c>
      <c r="B6760" s="55"/>
      <c r="C6760" s="31"/>
    </row>
    <row r="6761">
      <c r="A6761" s="56" t="s">
        <v>17663</v>
      </c>
      <c r="B6761" s="55"/>
      <c r="C6761" s="31"/>
    </row>
    <row r="6762">
      <c r="A6762" s="56" t="s">
        <v>17665</v>
      </c>
      <c r="B6762" s="55"/>
      <c r="C6762" s="31"/>
    </row>
    <row r="6763">
      <c r="A6763" s="56" t="s">
        <v>17666</v>
      </c>
      <c r="B6763" s="55"/>
      <c r="C6763" s="31"/>
    </row>
    <row r="6764">
      <c r="A6764" s="56" t="s">
        <v>17668</v>
      </c>
      <c r="B6764" s="55"/>
      <c r="C6764" s="31"/>
    </row>
    <row r="6765">
      <c r="A6765" s="56" t="s">
        <v>17670</v>
      </c>
      <c r="B6765" s="55"/>
      <c r="C6765" s="31"/>
    </row>
    <row r="6766">
      <c r="A6766" s="56" t="s">
        <v>17671</v>
      </c>
      <c r="B6766" s="55"/>
      <c r="C6766" s="31"/>
    </row>
    <row r="6767">
      <c r="A6767" s="56" t="s">
        <v>17676</v>
      </c>
      <c r="B6767" s="55"/>
      <c r="C6767" s="31"/>
    </row>
    <row r="6768">
      <c r="A6768" s="56" t="s">
        <v>17678</v>
      </c>
      <c r="B6768" s="55"/>
      <c r="C6768" s="31"/>
    </row>
    <row r="6769">
      <c r="A6769" s="56" t="s">
        <v>17679</v>
      </c>
      <c r="B6769" s="55"/>
      <c r="C6769" s="31"/>
    </row>
    <row r="6770">
      <c r="A6770" s="56" t="s">
        <v>17680</v>
      </c>
      <c r="B6770" s="55"/>
      <c r="C6770" s="31"/>
    </row>
    <row r="6771">
      <c r="A6771" s="56" t="s">
        <v>17681</v>
      </c>
      <c r="B6771" s="55"/>
      <c r="C6771" s="31"/>
    </row>
    <row r="6772">
      <c r="A6772" s="56" t="s">
        <v>17682</v>
      </c>
      <c r="B6772" s="55"/>
      <c r="C6772" s="31"/>
    </row>
    <row r="6773">
      <c r="A6773" s="56" t="s">
        <v>17683</v>
      </c>
      <c r="B6773" s="55"/>
      <c r="C6773" s="31"/>
    </row>
    <row r="6774">
      <c r="A6774" s="56" t="s">
        <v>17684</v>
      </c>
      <c r="B6774" s="55"/>
      <c r="C6774" s="31"/>
    </row>
    <row r="6775">
      <c r="A6775" s="56" t="s">
        <v>17685</v>
      </c>
      <c r="B6775" s="82"/>
      <c r="C6775" s="33" t="s">
        <v>17687</v>
      </c>
    </row>
    <row r="6776">
      <c r="A6776" s="56" t="s">
        <v>17689</v>
      </c>
      <c r="B6776" s="55"/>
      <c r="C6776" s="31"/>
    </row>
    <row r="6777">
      <c r="A6777" s="56" t="s">
        <v>17690</v>
      </c>
      <c r="B6777" s="55"/>
      <c r="C6777" s="31"/>
    </row>
    <row r="6778">
      <c r="A6778" s="56" t="s">
        <v>17692</v>
      </c>
      <c r="B6778" s="55"/>
      <c r="C6778" s="31"/>
    </row>
    <row r="6779">
      <c r="A6779" s="56" t="s">
        <v>17693</v>
      </c>
      <c r="B6779" s="55"/>
      <c r="C6779" s="31"/>
    </row>
    <row r="6780">
      <c r="A6780" s="56" t="s">
        <v>17695</v>
      </c>
      <c r="B6780" s="55"/>
      <c r="C6780" s="31"/>
    </row>
    <row r="6781">
      <c r="A6781" s="56" t="s">
        <v>17696</v>
      </c>
      <c r="B6781" s="55"/>
      <c r="C6781" s="31"/>
    </row>
    <row r="6782">
      <c r="A6782" s="56" t="s">
        <v>17697</v>
      </c>
      <c r="B6782" s="55"/>
      <c r="C6782" s="31"/>
    </row>
    <row r="6783">
      <c r="A6783" s="56" t="s">
        <v>17699</v>
      </c>
      <c r="B6783" s="55"/>
      <c r="C6783" s="31"/>
    </row>
    <row r="6784">
      <c r="A6784" s="56" t="s">
        <v>17701</v>
      </c>
      <c r="B6784" s="55"/>
      <c r="C6784" s="31"/>
    </row>
    <row r="6785">
      <c r="A6785" s="56" t="s">
        <v>17703</v>
      </c>
      <c r="B6785" s="55"/>
      <c r="C6785" s="31"/>
    </row>
    <row r="6786">
      <c r="A6786" s="56" t="s">
        <v>17704</v>
      </c>
      <c r="B6786" s="55"/>
      <c r="C6786" s="31"/>
    </row>
    <row r="6787">
      <c r="A6787" s="56" t="s">
        <v>17705</v>
      </c>
      <c r="B6787" s="55"/>
      <c r="C6787" s="31"/>
    </row>
    <row r="6788">
      <c r="A6788" s="56" t="s">
        <v>17706</v>
      </c>
      <c r="B6788" s="55"/>
      <c r="C6788" s="31"/>
    </row>
    <row r="6789">
      <c r="A6789" s="56" t="s">
        <v>17707</v>
      </c>
      <c r="B6789" s="55"/>
      <c r="C6789" s="31"/>
    </row>
    <row r="6790">
      <c r="A6790" s="56" t="s">
        <v>17708</v>
      </c>
      <c r="B6790" s="55"/>
      <c r="C6790" s="31"/>
    </row>
    <row r="6791">
      <c r="A6791" s="56" t="s">
        <v>17709</v>
      </c>
      <c r="B6791" s="55"/>
      <c r="C6791" s="31"/>
    </row>
    <row r="6792">
      <c r="A6792" s="56" t="s">
        <v>17710</v>
      </c>
      <c r="B6792" s="55"/>
      <c r="C6792" s="31"/>
    </row>
    <row r="6793">
      <c r="A6793" s="56" t="s">
        <v>17711</v>
      </c>
      <c r="B6793" s="82"/>
      <c r="C6793" s="33" t="s">
        <v>12708</v>
      </c>
    </row>
    <row r="6794">
      <c r="A6794" s="56" t="s">
        <v>17714</v>
      </c>
      <c r="B6794" s="82"/>
      <c r="C6794" s="33" t="s">
        <v>11373</v>
      </c>
      <c r="E6794" s="46" t="s">
        <v>7616</v>
      </c>
    </row>
    <row r="6795">
      <c r="A6795" s="56" t="s">
        <v>17715</v>
      </c>
      <c r="B6795" s="82"/>
      <c r="C6795" s="33" t="s">
        <v>11373</v>
      </c>
      <c r="E6795" s="46" t="s">
        <v>7618</v>
      </c>
    </row>
    <row r="6796">
      <c r="A6796" s="56" t="s">
        <v>17716</v>
      </c>
      <c r="B6796" s="82"/>
      <c r="C6796" s="33" t="s">
        <v>11376</v>
      </c>
      <c r="E6796" s="46" t="s">
        <v>7616</v>
      </c>
    </row>
    <row r="6797">
      <c r="A6797" s="56" t="s">
        <v>17718</v>
      </c>
      <c r="B6797" s="82"/>
      <c r="C6797" s="33" t="s">
        <v>11376</v>
      </c>
      <c r="E6797" s="46" t="s">
        <v>7618</v>
      </c>
    </row>
    <row r="6798">
      <c r="A6798" s="56" t="s">
        <v>17719</v>
      </c>
      <c r="B6798" s="82"/>
      <c r="C6798" s="33" t="s">
        <v>11380</v>
      </c>
      <c r="E6798" s="46" t="s">
        <v>7616</v>
      </c>
    </row>
    <row r="6799">
      <c r="A6799" s="56" t="s">
        <v>17722</v>
      </c>
      <c r="B6799" s="82"/>
      <c r="C6799" s="33" t="s">
        <v>11380</v>
      </c>
      <c r="E6799" s="46" t="s">
        <v>7618</v>
      </c>
    </row>
    <row r="6800">
      <c r="A6800" s="56" t="s">
        <v>17723</v>
      </c>
      <c r="B6800" s="79"/>
      <c r="C6800" s="33" t="s">
        <v>11384</v>
      </c>
      <c r="E6800" s="46" t="s">
        <v>1348</v>
      </c>
    </row>
    <row r="6801">
      <c r="A6801" s="56" t="s">
        <v>17724</v>
      </c>
      <c r="B6801" s="79"/>
      <c r="C6801" s="33" t="s">
        <v>11384</v>
      </c>
      <c r="E6801" s="46" t="s">
        <v>1348</v>
      </c>
    </row>
    <row r="6802">
      <c r="A6802" s="56" t="s">
        <v>17725</v>
      </c>
      <c r="B6802" s="79"/>
      <c r="C6802" s="33" t="s">
        <v>11389</v>
      </c>
      <c r="E6802" s="46" t="s">
        <v>1348</v>
      </c>
    </row>
    <row r="6803">
      <c r="A6803" s="56" t="s">
        <v>17726</v>
      </c>
      <c r="B6803" s="21"/>
      <c r="C6803" s="33" t="s">
        <v>11391</v>
      </c>
      <c r="E6803" s="46" t="s">
        <v>7616</v>
      </c>
    </row>
    <row r="6804">
      <c r="A6804" s="56" t="s">
        <v>17728</v>
      </c>
      <c r="B6804" s="21"/>
      <c r="C6804" s="33" t="s">
        <v>11391</v>
      </c>
      <c r="E6804" s="46" t="s">
        <v>7618</v>
      </c>
    </row>
    <row r="6805">
      <c r="A6805" s="56" t="s">
        <v>17731</v>
      </c>
      <c r="B6805" s="21"/>
      <c r="C6805" s="33" t="s">
        <v>11394</v>
      </c>
      <c r="E6805" s="46" t="s">
        <v>7616</v>
      </c>
    </row>
    <row r="6806">
      <c r="A6806" s="56" t="s">
        <v>17732</v>
      </c>
      <c r="B6806" s="21"/>
      <c r="C6806" s="33" t="s">
        <v>11394</v>
      </c>
      <c r="E6806" s="46" t="s">
        <v>7618</v>
      </c>
    </row>
    <row r="6807">
      <c r="A6807" s="56" t="s">
        <v>17733</v>
      </c>
      <c r="B6807" s="21"/>
      <c r="C6807" s="33" t="s">
        <v>11398</v>
      </c>
      <c r="E6807" s="46" t="s">
        <v>7616</v>
      </c>
    </row>
    <row r="6808">
      <c r="A6808" s="56" t="s">
        <v>17734</v>
      </c>
      <c r="B6808" s="21"/>
      <c r="C6808" s="33" t="s">
        <v>11398</v>
      </c>
      <c r="E6808" s="46" t="s">
        <v>7618</v>
      </c>
    </row>
    <row r="6809">
      <c r="A6809" s="56" t="s">
        <v>17736</v>
      </c>
      <c r="B6809" s="21"/>
      <c r="C6809" s="33" t="s">
        <v>11391</v>
      </c>
      <c r="E6809" s="46" t="s">
        <v>7616</v>
      </c>
    </row>
    <row r="6810">
      <c r="A6810" s="56" t="s">
        <v>17737</v>
      </c>
      <c r="B6810" s="21"/>
      <c r="C6810" s="33" t="s">
        <v>11391</v>
      </c>
      <c r="E6810" s="46" t="s">
        <v>7618</v>
      </c>
    </row>
    <row r="6811">
      <c r="A6811" s="56" t="s">
        <v>17738</v>
      </c>
      <c r="B6811" s="21"/>
      <c r="C6811" s="33" t="s">
        <v>11394</v>
      </c>
      <c r="E6811" s="46" t="s">
        <v>7616</v>
      </c>
    </row>
    <row r="6812">
      <c r="A6812" s="56" t="s">
        <v>17739</v>
      </c>
      <c r="B6812" s="21"/>
      <c r="C6812" s="33" t="s">
        <v>11394</v>
      </c>
      <c r="E6812" s="46" t="s">
        <v>7618</v>
      </c>
    </row>
    <row r="6813">
      <c r="A6813" s="56" t="s">
        <v>17740</v>
      </c>
      <c r="B6813" s="21"/>
      <c r="C6813" s="33" t="s">
        <v>11398</v>
      </c>
      <c r="E6813" s="46" t="s">
        <v>7616</v>
      </c>
    </row>
    <row r="6814">
      <c r="A6814" s="56" t="s">
        <v>17741</v>
      </c>
      <c r="B6814" s="21"/>
      <c r="C6814" s="33" t="s">
        <v>11398</v>
      </c>
      <c r="E6814" s="46" t="s">
        <v>7618</v>
      </c>
    </row>
    <row r="6815">
      <c r="A6815" s="56" t="s">
        <v>17744</v>
      </c>
      <c r="B6815" s="21"/>
      <c r="C6815" s="33" t="s">
        <v>11411</v>
      </c>
      <c r="E6815" s="46" t="s">
        <v>7616</v>
      </c>
    </row>
    <row r="6816">
      <c r="A6816" s="56" t="s">
        <v>17745</v>
      </c>
      <c r="B6816" s="21"/>
      <c r="C6816" s="33" t="s">
        <v>11411</v>
      </c>
      <c r="E6816" s="46" t="s">
        <v>7618</v>
      </c>
    </row>
    <row r="6817">
      <c r="A6817" s="56" t="s">
        <v>17746</v>
      </c>
      <c r="B6817" s="21"/>
      <c r="C6817" s="33" t="s">
        <v>11416</v>
      </c>
      <c r="E6817" s="46" t="s">
        <v>7616</v>
      </c>
    </row>
    <row r="6818">
      <c r="A6818" s="56" t="s">
        <v>17747</v>
      </c>
      <c r="B6818" s="21"/>
      <c r="C6818" s="33" t="s">
        <v>11416</v>
      </c>
      <c r="E6818" s="46" t="s">
        <v>7618</v>
      </c>
    </row>
    <row r="6819">
      <c r="A6819" s="56" t="s">
        <v>17748</v>
      </c>
      <c r="B6819" s="21"/>
      <c r="C6819" s="33" t="s">
        <v>11419</v>
      </c>
      <c r="E6819" s="46" t="s">
        <v>7616</v>
      </c>
    </row>
    <row r="6820">
      <c r="A6820" s="56" t="s">
        <v>17749</v>
      </c>
      <c r="B6820" s="21"/>
      <c r="C6820" s="33" t="s">
        <v>11419</v>
      </c>
      <c r="E6820" s="46" t="s">
        <v>7618</v>
      </c>
    </row>
    <row r="6821">
      <c r="A6821" s="56" t="s">
        <v>17750</v>
      </c>
      <c r="B6821" s="21"/>
      <c r="C6821" s="33" t="s">
        <v>11411</v>
      </c>
      <c r="E6821" s="46" t="s">
        <v>7616</v>
      </c>
    </row>
    <row r="6822">
      <c r="A6822" s="56" t="s">
        <v>17751</v>
      </c>
      <c r="B6822" s="21"/>
      <c r="C6822" s="33" t="s">
        <v>11411</v>
      </c>
      <c r="E6822" s="46" t="s">
        <v>7618</v>
      </c>
    </row>
    <row r="6823">
      <c r="A6823" s="56" t="s">
        <v>17752</v>
      </c>
      <c r="B6823" s="21"/>
      <c r="C6823" s="33" t="s">
        <v>11416</v>
      </c>
      <c r="E6823" s="46" t="s">
        <v>7616</v>
      </c>
    </row>
    <row r="6824">
      <c r="A6824" s="56" t="s">
        <v>17753</v>
      </c>
      <c r="B6824" s="21"/>
      <c r="C6824" s="33" t="s">
        <v>11416</v>
      </c>
      <c r="E6824" s="46" t="s">
        <v>7618</v>
      </c>
    </row>
    <row r="6825">
      <c r="A6825" s="56" t="s">
        <v>17756</v>
      </c>
      <c r="B6825" s="21"/>
      <c r="C6825" s="33" t="s">
        <v>11419</v>
      </c>
      <c r="E6825" s="46" t="s">
        <v>7616</v>
      </c>
    </row>
    <row r="6826">
      <c r="A6826" s="56" t="s">
        <v>17758</v>
      </c>
      <c r="B6826" s="21"/>
      <c r="C6826" s="33" t="s">
        <v>11419</v>
      </c>
      <c r="E6826" s="46" t="s">
        <v>7618</v>
      </c>
    </row>
    <row r="6827">
      <c r="A6827" s="56" t="s">
        <v>17759</v>
      </c>
      <c r="B6827" s="55"/>
      <c r="C6827" s="31"/>
    </row>
    <row r="6828">
      <c r="A6828" s="56" t="s">
        <v>17760</v>
      </c>
      <c r="B6828" s="55"/>
      <c r="C6828" s="31"/>
    </row>
    <row r="6829">
      <c r="A6829" s="56" t="s">
        <v>17761</v>
      </c>
      <c r="B6829" s="55"/>
      <c r="C6829" s="31"/>
    </row>
    <row r="6830">
      <c r="A6830" s="56" t="s">
        <v>17762</v>
      </c>
      <c r="B6830" s="55"/>
      <c r="C6830" s="31"/>
    </row>
    <row r="6831">
      <c r="A6831" s="56" t="s">
        <v>17763</v>
      </c>
      <c r="B6831" s="55"/>
      <c r="C6831" s="31"/>
    </row>
    <row r="6832">
      <c r="A6832" s="56" t="s">
        <v>17764</v>
      </c>
      <c r="B6832" s="55"/>
      <c r="C6832" s="31"/>
    </row>
    <row r="6833">
      <c r="A6833" s="56" t="s">
        <v>17765</v>
      </c>
      <c r="B6833" s="55"/>
      <c r="C6833" s="31"/>
    </row>
    <row r="6834">
      <c r="A6834" s="56" t="s">
        <v>17766</v>
      </c>
      <c r="B6834" s="55"/>
      <c r="C6834" s="31"/>
    </row>
    <row r="6835">
      <c r="A6835" s="56" t="s">
        <v>17767</v>
      </c>
      <c r="B6835" s="55"/>
      <c r="C6835" s="31"/>
    </row>
    <row r="6836">
      <c r="A6836" s="56" t="s">
        <v>17768</v>
      </c>
      <c r="B6836" s="82"/>
      <c r="C6836" s="33" t="s">
        <v>17769</v>
      </c>
    </row>
    <row r="6837">
      <c r="A6837" s="56" t="s">
        <v>17771</v>
      </c>
      <c r="B6837" s="82"/>
      <c r="C6837" s="33" t="s">
        <v>11373</v>
      </c>
      <c r="E6837" s="46" t="s">
        <v>7616</v>
      </c>
    </row>
    <row r="6838">
      <c r="A6838" s="56" t="s">
        <v>17773</v>
      </c>
      <c r="B6838" s="82"/>
      <c r="C6838" s="33" t="s">
        <v>11373</v>
      </c>
      <c r="E6838" s="46" t="s">
        <v>7618</v>
      </c>
    </row>
    <row r="6839">
      <c r="A6839" s="56" t="s">
        <v>17774</v>
      </c>
      <c r="B6839" s="82"/>
      <c r="C6839" s="33" t="s">
        <v>11376</v>
      </c>
      <c r="E6839" s="46" t="s">
        <v>7616</v>
      </c>
    </row>
    <row r="6840">
      <c r="A6840" s="56" t="s">
        <v>17775</v>
      </c>
      <c r="B6840" s="82"/>
      <c r="C6840" s="33" t="s">
        <v>11376</v>
      </c>
      <c r="E6840" s="46" t="s">
        <v>7618</v>
      </c>
    </row>
    <row r="6841">
      <c r="A6841" s="56" t="s">
        <v>17776</v>
      </c>
      <c r="B6841" s="82"/>
      <c r="C6841" s="33" t="s">
        <v>11380</v>
      </c>
      <c r="E6841" s="46" t="s">
        <v>7616</v>
      </c>
    </row>
    <row r="6842">
      <c r="A6842" s="56" t="s">
        <v>17777</v>
      </c>
      <c r="B6842" s="82"/>
      <c r="C6842" s="33" t="s">
        <v>11380</v>
      </c>
      <c r="E6842" s="46" t="s">
        <v>7618</v>
      </c>
    </row>
    <row r="6843">
      <c r="A6843" s="56" t="s">
        <v>17778</v>
      </c>
      <c r="B6843" s="79"/>
      <c r="C6843" s="33" t="s">
        <v>11384</v>
      </c>
      <c r="E6843" s="46" t="s">
        <v>1348</v>
      </c>
    </row>
    <row r="6844">
      <c r="A6844" s="56" t="s">
        <v>17779</v>
      </c>
      <c r="B6844" s="79"/>
      <c r="C6844" s="33" t="s">
        <v>11384</v>
      </c>
      <c r="E6844" s="46" t="s">
        <v>1348</v>
      </c>
    </row>
    <row r="6845">
      <c r="A6845" s="56" t="s">
        <v>17780</v>
      </c>
      <c r="B6845" s="79"/>
      <c r="C6845" s="33" t="s">
        <v>11389</v>
      </c>
      <c r="E6845" s="46" t="s">
        <v>1348</v>
      </c>
    </row>
    <row r="6846">
      <c r="A6846" s="56" t="s">
        <v>17782</v>
      </c>
      <c r="B6846" s="21"/>
      <c r="C6846" s="33" t="s">
        <v>11391</v>
      </c>
      <c r="E6846" s="46" t="s">
        <v>7616</v>
      </c>
    </row>
    <row r="6847">
      <c r="A6847" s="56" t="s">
        <v>17783</v>
      </c>
      <c r="B6847" s="21"/>
      <c r="C6847" s="33" t="s">
        <v>11391</v>
      </c>
      <c r="E6847" s="46" t="s">
        <v>7618</v>
      </c>
    </row>
    <row r="6848">
      <c r="A6848" s="56" t="s">
        <v>17784</v>
      </c>
      <c r="B6848" s="21"/>
      <c r="C6848" s="33" t="s">
        <v>11394</v>
      </c>
      <c r="E6848" s="46" t="s">
        <v>7616</v>
      </c>
    </row>
    <row r="6849">
      <c r="A6849" s="56" t="s">
        <v>17785</v>
      </c>
      <c r="B6849" s="21"/>
      <c r="C6849" s="33" t="s">
        <v>11394</v>
      </c>
      <c r="E6849" s="46" t="s">
        <v>7618</v>
      </c>
    </row>
    <row r="6850">
      <c r="A6850" s="56" t="s">
        <v>17786</v>
      </c>
      <c r="B6850" s="21"/>
      <c r="C6850" s="33" t="s">
        <v>11398</v>
      </c>
      <c r="E6850" s="46" t="s">
        <v>7616</v>
      </c>
    </row>
    <row r="6851">
      <c r="A6851" s="56" t="s">
        <v>17787</v>
      </c>
      <c r="B6851" s="21"/>
      <c r="C6851" s="33" t="s">
        <v>11398</v>
      </c>
      <c r="E6851" s="46" t="s">
        <v>7618</v>
      </c>
    </row>
    <row r="6852">
      <c r="A6852" s="56" t="s">
        <v>17789</v>
      </c>
      <c r="B6852" s="21"/>
      <c r="C6852" s="33" t="s">
        <v>11391</v>
      </c>
      <c r="E6852" s="46" t="s">
        <v>7616</v>
      </c>
    </row>
    <row r="6853">
      <c r="A6853" s="56" t="s">
        <v>17790</v>
      </c>
      <c r="B6853" s="21"/>
      <c r="C6853" s="33" t="s">
        <v>11391</v>
      </c>
      <c r="E6853" s="46" t="s">
        <v>7618</v>
      </c>
    </row>
    <row r="6854">
      <c r="A6854" s="56" t="s">
        <v>17791</v>
      </c>
      <c r="B6854" s="21"/>
      <c r="C6854" s="33" t="s">
        <v>11394</v>
      </c>
      <c r="E6854" s="46" t="s">
        <v>7616</v>
      </c>
    </row>
    <row r="6855">
      <c r="A6855" s="56" t="s">
        <v>17793</v>
      </c>
      <c r="B6855" s="21"/>
      <c r="C6855" s="33" t="s">
        <v>11394</v>
      </c>
      <c r="E6855" s="46" t="s">
        <v>7618</v>
      </c>
    </row>
    <row r="6856">
      <c r="A6856" s="56" t="s">
        <v>17794</v>
      </c>
      <c r="B6856" s="21"/>
      <c r="C6856" s="33" t="s">
        <v>11398</v>
      </c>
      <c r="E6856" s="46" t="s">
        <v>7616</v>
      </c>
    </row>
    <row r="6857">
      <c r="A6857" s="56" t="s">
        <v>17795</v>
      </c>
      <c r="B6857" s="21"/>
      <c r="C6857" s="33" t="s">
        <v>11398</v>
      </c>
      <c r="E6857" s="46" t="s">
        <v>7618</v>
      </c>
    </row>
    <row r="6858">
      <c r="A6858" s="56" t="s">
        <v>17796</v>
      </c>
      <c r="B6858" s="21"/>
      <c r="C6858" s="33" t="s">
        <v>11411</v>
      </c>
      <c r="E6858" s="46" t="s">
        <v>7616</v>
      </c>
    </row>
    <row r="6859">
      <c r="A6859" s="56" t="s">
        <v>17797</v>
      </c>
      <c r="B6859" s="21"/>
      <c r="C6859" s="33" t="s">
        <v>11411</v>
      </c>
      <c r="E6859" s="46" t="s">
        <v>7618</v>
      </c>
    </row>
    <row r="6860">
      <c r="A6860" s="56" t="s">
        <v>17798</v>
      </c>
      <c r="B6860" s="21"/>
      <c r="C6860" s="33" t="s">
        <v>11416</v>
      </c>
      <c r="E6860" s="46" t="s">
        <v>7616</v>
      </c>
    </row>
    <row r="6861">
      <c r="A6861" s="56" t="s">
        <v>17800</v>
      </c>
      <c r="B6861" s="21"/>
      <c r="C6861" s="33" t="s">
        <v>11416</v>
      </c>
      <c r="E6861" s="46" t="s">
        <v>7618</v>
      </c>
    </row>
    <row r="6862">
      <c r="A6862" s="56" t="s">
        <v>17802</v>
      </c>
      <c r="B6862" s="21"/>
      <c r="C6862" s="33" t="s">
        <v>11419</v>
      </c>
      <c r="E6862" s="46" t="s">
        <v>7616</v>
      </c>
    </row>
    <row r="6863">
      <c r="A6863" s="56" t="s">
        <v>17803</v>
      </c>
      <c r="B6863" s="21"/>
      <c r="C6863" s="33" t="s">
        <v>11419</v>
      </c>
      <c r="E6863" s="46" t="s">
        <v>7618</v>
      </c>
    </row>
    <row r="6864">
      <c r="A6864" s="56" t="s">
        <v>17804</v>
      </c>
      <c r="B6864" s="21"/>
      <c r="C6864" s="33" t="s">
        <v>11411</v>
      </c>
      <c r="E6864" s="46" t="s">
        <v>7616</v>
      </c>
    </row>
    <row r="6865">
      <c r="A6865" s="56" t="s">
        <v>17805</v>
      </c>
      <c r="B6865" s="21"/>
      <c r="C6865" s="33" t="s">
        <v>11411</v>
      </c>
      <c r="E6865" s="46" t="s">
        <v>7618</v>
      </c>
    </row>
    <row r="6866">
      <c r="A6866" s="56" t="s">
        <v>17806</v>
      </c>
      <c r="B6866" s="21"/>
      <c r="C6866" s="33" t="s">
        <v>11416</v>
      </c>
      <c r="E6866" s="46" t="s">
        <v>7616</v>
      </c>
    </row>
    <row r="6867">
      <c r="A6867" s="56" t="s">
        <v>17809</v>
      </c>
      <c r="B6867" s="21"/>
      <c r="C6867" s="33" t="s">
        <v>11416</v>
      </c>
      <c r="E6867" s="46" t="s">
        <v>7618</v>
      </c>
    </row>
    <row r="6868">
      <c r="A6868" s="56" t="s">
        <v>17811</v>
      </c>
      <c r="B6868" s="21"/>
      <c r="C6868" s="33" t="s">
        <v>11419</v>
      </c>
      <c r="E6868" s="46" t="s">
        <v>7616</v>
      </c>
    </row>
    <row r="6869">
      <c r="A6869" s="56" t="s">
        <v>17812</v>
      </c>
      <c r="B6869" s="21"/>
      <c r="C6869" s="33" t="s">
        <v>11419</v>
      </c>
      <c r="E6869" s="46" t="s">
        <v>7618</v>
      </c>
    </row>
    <row r="6870">
      <c r="A6870" s="56" t="s">
        <v>17813</v>
      </c>
      <c r="B6870" s="55"/>
      <c r="C6870" s="31"/>
    </row>
    <row r="6871">
      <c r="A6871" s="56" t="s">
        <v>17814</v>
      </c>
      <c r="B6871" s="82"/>
      <c r="C6871" s="33" t="s">
        <v>17815</v>
      </c>
    </row>
    <row r="6872">
      <c r="A6872" s="56" t="s">
        <v>17816</v>
      </c>
      <c r="B6872" s="55"/>
      <c r="C6872" s="31"/>
    </row>
    <row r="6873">
      <c r="A6873" s="56" t="s">
        <v>17817</v>
      </c>
      <c r="B6873" s="55"/>
      <c r="C6873" s="31"/>
    </row>
    <row r="6874">
      <c r="A6874" s="56" t="s">
        <v>17818</v>
      </c>
      <c r="B6874" s="55"/>
      <c r="C6874" s="31"/>
    </row>
    <row r="6875">
      <c r="A6875" s="56" t="s">
        <v>17819</v>
      </c>
      <c r="B6875" s="55"/>
      <c r="C6875" s="31"/>
    </row>
    <row r="6876">
      <c r="A6876" s="56" t="s">
        <v>17820</v>
      </c>
      <c r="B6876" s="55"/>
      <c r="C6876" s="31"/>
    </row>
    <row r="6877">
      <c r="A6877" s="56" t="s">
        <v>17821</v>
      </c>
      <c r="B6877" s="55"/>
      <c r="C6877" s="31"/>
    </row>
    <row r="6878">
      <c r="A6878" s="56" t="s">
        <v>17823</v>
      </c>
      <c r="B6878" s="55"/>
      <c r="C6878" s="31"/>
    </row>
    <row r="6879">
      <c r="A6879" s="56" t="s">
        <v>17824</v>
      </c>
      <c r="B6879" s="55"/>
      <c r="C6879" s="31"/>
    </row>
    <row r="6880">
      <c r="A6880" s="56" t="s">
        <v>17826</v>
      </c>
      <c r="B6880" s="55"/>
      <c r="C6880" s="31"/>
    </row>
    <row r="6881">
      <c r="A6881" s="56" t="s">
        <v>17827</v>
      </c>
      <c r="B6881" s="55"/>
      <c r="C6881" s="31"/>
    </row>
    <row r="6882">
      <c r="A6882" s="56" t="s">
        <v>17828</v>
      </c>
      <c r="B6882" s="55"/>
      <c r="C6882" s="31"/>
    </row>
    <row r="6883">
      <c r="A6883" s="56" t="s">
        <v>17829</v>
      </c>
      <c r="B6883" s="55"/>
      <c r="C6883" s="31"/>
    </row>
    <row r="6884">
      <c r="A6884" s="56" t="s">
        <v>17830</v>
      </c>
      <c r="B6884" s="55"/>
      <c r="C6884" s="31"/>
    </row>
    <row r="6885">
      <c r="A6885" s="56" t="s">
        <v>17831</v>
      </c>
      <c r="B6885" s="55"/>
      <c r="C6885" s="31"/>
    </row>
    <row r="6886">
      <c r="A6886" s="56" t="s">
        <v>17832</v>
      </c>
      <c r="B6886" s="55"/>
      <c r="C6886" s="31"/>
    </row>
    <row r="6887">
      <c r="A6887" s="56" t="s">
        <v>17833</v>
      </c>
      <c r="B6887" s="55"/>
      <c r="C6887" s="31"/>
    </row>
    <row r="6888">
      <c r="A6888" s="56" t="s">
        <v>17834</v>
      </c>
      <c r="B6888" s="55"/>
      <c r="C6888" s="31"/>
    </row>
    <row r="6889">
      <c r="A6889" s="56" t="s">
        <v>17835</v>
      </c>
      <c r="B6889" s="55"/>
      <c r="C6889" s="31"/>
    </row>
    <row r="6890">
      <c r="A6890" s="56" t="s">
        <v>17836</v>
      </c>
      <c r="B6890" s="55"/>
      <c r="C6890" s="31"/>
    </row>
    <row r="6891">
      <c r="A6891" s="56" t="s">
        <v>17838</v>
      </c>
      <c r="B6891" s="55"/>
      <c r="C6891" s="31"/>
    </row>
    <row r="6892">
      <c r="A6892" s="56" t="s">
        <v>17840</v>
      </c>
      <c r="B6892" s="55"/>
      <c r="C6892" s="31"/>
    </row>
    <row r="6893">
      <c r="A6893" s="56" t="s">
        <v>17842</v>
      </c>
      <c r="B6893" s="55"/>
      <c r="C6893" s="31"/>
    </row>
    <row r="6894">
      <c r="A6894" s="56" t="s">
        <v>17843</v>
      </c>
      <c r="B6894" s="55"/>
      <c r="C6894" s="31"/>
    </row>
    <row r="6895">
      <c r="A6895" s="56" t="s">
        <v>17844</v>
      </c>
      <c r="B6895" s="55"/>
      <c r="C6895" s="31"/>
    </row>
    <row r="6896">
      <c r="A6896" s="56" t="s">
        <v>17845</v>
      </c>
      <c r="B6896" s="55"/>
      <c r="C6896" s="31"/>
    </row>
    <row r="6897">
      <c r="A6897" s="56" t="s">
        <v>17846</v>
      </c>
      <c r="B6897" s="55"/>
      <c r="C6897" s="31"/>
    </row>
    <row r="6898">
      <c r="A6898" s="56" t="s">
        <v>17847</v>
      </c>
      <c r="B6898" s="55"/>
      <c r="C6898" s="31"/>
    </row>
    <row r="6899">
      <c r="A6899" s="56" t="s">
        <v>17848</v>
      </c>
      <c r="B6899" s="55"/>
      <c r="C6899" s="31"/>
    </row>
    <row r="6900">
      <c r="A6900" s="56" t="s">
        <v>17849</v>
      </c>
      <c r="B6900" s="55"/>
      <c r="C6900" s="31"/>
    </row>
    <row r="6901">
      <c r="A6901" s="56" t="s">
        <v>17850</v>
      </c>
      <c r="B6901" s="55"/>
      <c r="C6901" s="31"/>
    </row>
    <row r="6902">
      <c r="A6902" s="56" t="s">
        <v>17851</v>
      </c>
      <c r="B6902" s="55"/>
      <c r="C6902" s="31"/>
    </row>
    <row r="6903">
      <c r="A6903" s="56" t="s">
        <v>17852</v>
      </c>
      <c r="B6903" s="55"/>
      <c r="C6903" s="31"/>
    </row>
    <row r="6904">
      <c r="A6904" s="56" t="s">
        <v>17854</v>
      </c>
      <c r="B6904" s="55"/>
      <c r="C6904" s="31"/>
    </row>
    <row r="6905">
      <c r="A6905" s="56" t="s">
        <v>17855</v>
      </c>
      <c r="B6905" s="55"/>
      <c r="C6905" s="31"/>
    </row>
    <row r="6906">
      <c r="A6906" s="56" t="s">
        <v>17857</v>
      </c>
      <c r="B6906" s="55"/>
      <c r="C6906" s="31"/>
    </row>
    <row r="6907">
      <c r="A6907" s="56" t="s">
        <v>17858</v>
      </c>
      <c r="B6907" s="55"/>
      <c r="C6907" s="31"/>
    </row>
    <row r="6908">
      <c r="A6908" s="56" t="s">
        <v>17859</v>
      </c>
      <c r="B6908" s="55"/>
      <c r="C6908" s="31"/>
    </row>
    <row r="6909">
      <c r="A6909" s="56" t="s">
        <v>17860</v>
      </c>
      <c r="B6909" s="55"/>
      <c r="C6909" s="31"/>
    </row>
    <row r="6910">
      <c r="A6910" s="56" t="s">
        <v>17861</v>
      </c>
      <c r="B6910" s="55"/>
      <c r="C6910" s="31"/>
    </row>
    <row r="6911">
      <c r="A6911" s="56" t="s">
        <v>17862</v>
      </c>
      <c r="B6911" s="55"/>
      <c r="C6911" s="31"/>
    </row>
    <row r="6912">
      <c r="A6912" s="56" t="s">
        <v>17863</v>
      </c>
      <c r="B6912" s="55"/>
      <c r="C6912" s="31"/>
    </row>
    <row r="6913">
      <c r="A6913" s="56" t="s">
        <v>17864</v>
      </c>
      <c r="B6913" s="55"/>
      <c r="C6913" s="31"/>
    </row>
    <row r="6914">
      <c r="A6914" s="56" t="s">
        <v>17865</v>
      </c>
      <c r="B6914" s="55"/>
      <c r="C6914" s="31"/>
    </row>
    <row r="6915">
      <c r="A6915" s="56" t="s">
        <v>17866</v>
      </c>
      <c r="B6915" s="55"/>
      <c r="C6915" s="31"/>
    </row>
    <row r="6916">
      <c r="A6916" s="56" t="s">
        <v>17867</v>
      </c>
      <c r="B6916" s="55"/>
      <c r="C6916" s="31"/>
    </row>
    <row r="6917">
      <c r="A6917" s="56" t="s">
        <v>17869</v>
      </c>
      <c r="B6917" s="55"/>
      <c r="C6917" s="31"/>
    </row>
    <row r="6918">
      <c r="A6918" s="56" t="s">
        <v>17870</v>
      </c>
      <c r="B6918" s="55"/>
      <c r="C6918" s="31"/>
    </row>
    <row r="6919">
      <c r="A6919" s="56" t="s">
        <v>17872</v>
      </c>
      <c r="B6919" s="55"/>
      <c r="C6919" s="31"/>
    </row>
    <row r="6920">
      <c r="A6920" s="56" t="s">
        <v>17873</v>
      </c>
      <c r="B6920" s="55"/>
      <c r="C6920" s="31"/>
    </row>
    <row r="6921">
      <c r="A6921" s="56" t="s">
        <v>17874</v>
      </c>
      <c r="B6921" s="55"/>
      <c r="C6921" s="31"/>
    </row>
    <row r="6922">
      <c r="A6922" s="56" t="s">
        <v>17875</v>
      </c>
      <c r="B6922" s="82"/>
      <c r="C6922" s="33" t="s">
        <v>17876</v>
      </c>
    </row>
    <row r="6923">
      <c r="A6923" s="56" t="s">
        <v>17877</v>
      </c>
      <c r="B6923" s="82"/>
      <c r="C6923" s="33" t="s">
        <v>11373</v>
      </c>
      <c r="E6923" s="46" t="s">
        <v>7616</v>
      </c>
    </row>
    <row r="6924">
      <c r="A6924" s="56" t="s">
        <v>17878</v>
      </c>
      <c r="B6924" s="82"/>
      <c r="C6924" s="33" t="s">
        <v>11373</v>
      </c>
      <c r="E6924" s="46" t="s">
        <v>7618</v>
      </c>
    </row>
    <row r="6925">
      <c r="A6925" s="56" t="s">
        <v>17879</v>
      </c>
      <c r="B6925" s="82"/>
      <c r="C6925" s="33" t="s">
        <v>11376</v>
      </c>
      <c r="E6925" s="46" t="s">
        <v>7616</v>
      </c>
    </row>
    <row r="6926">
      <c r="A6926" s="56" t="s">
        <v>17880</v>
      </c>
      <c r="B6926" s="82"/>
      <c r="C6926" s="33" t="s">
        <v>11376</v>
      </c>
      <c r="E6926" s="46" t="s">
        <v>7618</v>
      </c>
    </row>
    <row r="6927">
      <c r="A6927" s="56" t="s">
        <v>17881</v>
      </c>
      <c r="B6927" s="82"/>
      <c r="C6927" s="33" t="s">
        <v>11380</v>
      </c>
      <c r="E6927" s="46" t="s">
        <v>7616</v>
      </c>
    </row>
    <row r="6928">
      <c r="A6928" s="56" t="s">
        <v>17882</v>
      </c>
      <c r="B6928" s="82"/>
      <c r="C6928" s="33" t="s">
        <v>11380</v>
      </c>
      <c r="E6928" s="46" t="s">
        <v>7618</v>
      </c>
    </row>
    <row r="6929">
      <c r="A6929" s="56" t="s">
        <v>17884</v>
      </c>
      <c r="B6929" s="79"/>
      <c r="C6929" s="33" t="s">
        <v>11384</v>
      </c>
      <c r="E6929" s="46" t="s">
        <v>1348</v>
      </c>
    </row>
    <row r="6930">
      <c r="A6930" s="56" t="s">
        <v>17885</v>
      </c>
      <c r="B6930" s="79"/>
      <c r="C6930" s="33" t="s">
        <v>11384</v>
      </c>
      <c r="E6930" s="46" t="s">
        <v>1348</v>
      </c>
    </row>
    <row r="6931">
      <c r="A6931" s="56" t="s">
        <v>17886</v>
      </c>
      <c r="B6931" s="79"/>
      <c r="C6931" s="33" t="s">
        <v>11389</v>
      </c>
      <c r="E6931" s="46" t="s">
        <v>1348</v>
      </c>
    </row>
    <row r="6932">
      <c r="A6932" s="56" t="s">
        <v>17887</v>
      </c>
      <c r="B6932" s="21"/>
      <c r="C6932" s="33" t="s">
        <v>11391</v>
      </c>
      <c r="E6932" s="46" t="s">
        <v>7616</v>
      </c>
    </row>
    <row r="6933">
      <c r="A6933" s="56" t="s">
        <v>17888</v>
      </c>
      <c r="B6933" s="21"/>
      <c r="C6933" s="33" t="s">
        <v>11391</v>
      </c>
      <c r="E6933" s="46" t="s">
        <v>7618</v>
      </c>
    </row>
    <row r="6934">
      <c r="A6934" s="56" t="s">
        <v>17890</v>
      </c>
      <c r="B6934" s="21"/>
      <c r="C6934" s="33" t="s">
        <v>11394</v>
      </c>
      <c r="E6934" s="46" t="s">
        <v>7616</v>
      </c>
    </row>
    <row r="6935">
      <c r="A6935" s="56" t="s">
        <v>17891</v>
      </c>
      <c r="B6935" s="21"/>
      <c r="C6935" s="33" t="s">
        <v>11394</v>
      </c>
      <c r="E6935" s="46" t="s">
        <v>7618</v>
      </c>
    </row>
    <row r="6936">
      <c r="A6936" s="56" t="s">
        <v>17892</v>
      </c>
      <c r="B6936" s="21"/>
      <c r="C6936" s="33" t="s">
        <v>11398</v>
      </c>
      <c r="E6936" s="46" t="s">
        <v>7616</v>
      </c>
    </row>
    <row r="6937">
      <c r="A6937" s="56" t="s">
        <v>17893</v>
      </c>
      <c r="B6937" s="21"/>
      <c r="C6937" s="33" t="s">
        <v>11398</v>
      </c>
      <c r="E6937" s="46" t="s">
        <v>7618</v>
      </c>
    </row>
    <row r="6938">
      <c r="A6938" s="56" t="s">
        <v>17896</v>
      </c>
      <c r="B6938" s="21"/>
      <c r="C6938" s="33" t="s">
        <v>11391</v>
      </c>
      <c r="E6938" s="46" t="s">
        <v>7616</v>
      </c>
    </row>
    <row r="6939">
      <c r="A6939" s="56" t="s">
        <v>17897</v>
      </c>
      <c r="B6939" s="21"/>
      <c r="C6939" s="33" t="s">
        <v>11391</v>
      </c>
      <c r="E6939" s="46" t="s">
        <v>7618</v>
      </c>
    </row>
    <row r="6940">
      <c r="A6940" s="56" t="s">
        <v>17898</v>
      </c>
      <c r="B6940" s="21"/>
      <c r="C6940" s="33" t="s">
        <v>11394</v>
      </c>
      <c r="E6940" s="46" t="s">
        <v>7616</v>
      </c>
    </row>
    <row r="6941">
      <c r="A6941" s="56" t="s">
        <v>17899</v>
      </c>
      <c r="B6941" s="21"/>
      <c r="C6941" s="33" t="s">
        <v>11394</v>
      </c>
      <c r="E6941" s="46" t="s">
        <v>7618</v>
      </c>
    </row>
    <row r="6942">
      <c r="A6942" s="56" t="s">
        <v>17900</v>
      </c>
      <c r="B6942" s="21"/>
      <c r="C6942" s="33" t="s">
        <v>11398</v>
      </c>
      <c r="E6942" s="46" t="s">
        <v>7616</v>
      </c>
    </row>
    <row r="6943">
      <c r="A6943" s="56" t="s">
        <v>17901</v>
      </c>
      <c r="B6943" s="21"/>
      <c r="C6943" s="33" t="s">
        <v>11398</v>
      </c>
      <c r="E6943" s="46" t="s">
        <v>7618</v>
      </c>
    </row>
    <row r="6944">
      <c r="A6944" s="56" t="s">
        <v>17903</v>
      </c>
      <c r="B6944" s="21"/>
      <c r="C6944" s="33" t="s">
        <v>11411</v>
      </c>
      <c r="E6944" s="46" t="s">
        <v>7616</v>
      </c>
    </row>
    <row r="6945">
      <c r="A6945" s="56" t="s">
        <v>17904</v>
      </c>
      <c r="B6945" s="21"/>
      <c r="C6945" s="33" t="s">
        <v>11411</v>
      </c>
      <c r="E6945" s="46" t="s">
        <v>7618</v>
      </c>
    </row>
    <row r="6946">
      <c r="A6946" s="56" t="s">
        <v>17905</v>
      </c>
      <c r="B6946" s="21"/>
      <c r="C6946" s="33" t="s">
        <v>11416</v>
      </c>
      <c r="E6946" s="46" t="s">
        <v>7616</v>
      </c>
    </row>
    <row r="6947">
      <c r="A6947" s="56" t="s">
        <v>17908</v>
      </c>
      <c r="B6947" s="21"/>
      <c r="C6947" s="33" t="s">
        <v>11416</v>
      </c>
      <c r="E6947" s="46" t="s">
        <v>7618</v>
      </c>
    </row>
    <row r="6948">
      <c r="A6948" s="56" t="s">
        <v>17909</v>
      </c>
      <c r="B6948" s="21"/>
      <c r="C6948" s="33" t="s">
        <v>11419</v>
      </c>
      <c r="E6948" s="46" t="s">
        <v>7616</v>
      </c>
    </row>
    <row r="6949">
      <c r="A6949" s="56" t="s">
        <v>17910</v>
      </c>
      <c r="B6949" s="21"/>
      <c r="C6949" s="33" t="s">
        <v>11419</v>
      </c>
      <c r="E6949" s="46" t="s">
        <v>7618</v>
      </c>
    </row>
    <row r="6950">
      <c r="A6950" s="56" t="s">
        <v>17911</v>
      </c>
      <c r="B6950" s="21"/>
      <c r="C6950" s="33" t="s">
        <v>11411</v>
      </c>
      <c r="E6950" s="46" t="s">
        <v>7616</v>
      </c>
    </row>
    <row r="6951">
      <c r="A6951" s="56" t="s">
        <v>17912</v>
      </c>
      <c r="B6951" s="21"/>
      <c r="C6951" s="33" t="s">
        <v>11411</v>
      </c>
      <c r="E6951" s="46" t="s">
        <v>7618</v>
      </c>
    </row>
    <row r="6952">
      <c r="A6952" s="56" t="s">
        <v>17913</v>
      </c>
      <c r="B6952" s="21"/>
      <c r="C6952" s="33" t="s">
        <v>11416</v>
      </c>
      <c r="E6952" s="46" t="s">
        <v>7616</v>
      </c>
    </row>
    <row r="6953">
      <c r="A6953" s="56" t="s">
        <v>17914</v>
      </c>
      <c r="B6953" s="21"/>
      <c r="C6953" s="33" t="s">
        <v>11416</v>
      </c>
      <c r="E6953" s="46" t="s">
        <v>7618</v>
      </c>
    </row>
    <row r="6954">
      <c r="A6954" s="56" t="s">
        <v>17916</v>
      </c>
      <c r="B6954" s="21"/>
      <c r="C6954" s="33" t="s">
        <v>11419</v>
      </c>
      <c r="E6954" s="46" t="s">
        <v>7616</v>
      </c>
    </row>
    <row r="6955">
      <c r="A6955" s="56" t="s">
        <v>17917</v>
      </c>
      <c r="B6955" s="21"/>
      <c r="C6955" s="33" t="s">
        <v>11419</v>
      </c>
      <c r="E6955" s="46" t="s">
        <v>7618</v>
      </c>
    </row>
    <row r="6956">
      <c r="A6956" s="56" t="s">
        <v>17919</v>
      </c>
      <c r="B6956" s="55"/>
      <c r="C6956" s="31"/>
    </row>
    <row r="6957">
      <c r="A6957" s="56" t="s">
        <v>17920</v>
      </c>
      <c r="B6957" s="55"/>
      <c r="C6957" s="31"/>
    </row>
    <row r="6958">
      <c r="A6958" s="56" t="s">
        <v>17921</v>
      </c>
      <c r="B6958" s="55"/>
      <c r="C6958" s="31"/>
    </row>
    <row r="6959">
      <c r="A6959" s="56" t="s">
        <v>17922</v>
      </c>
      <c r="B6959" s="55"/>
      <c r="C6959" s="31"/>
    </row>
    <row r="6960">
      <c r="A6960" s="56" t="s">
        <v>17923</v>
      </c>
      <c r="B6960" s="55"/>
      <c r="C6960" s="31"/>
    </row>
    <row r="6961">
      <c r="A6961" s="56" t="s">
        <v>17924</v>
      </c>
      <c r="B6961" s="55"/>
      <c r="C6961" s="31"/>
    </row>
    <row r="6962">
      <c r="A6962" s="56" t="s">
        <v>17925</v>
      </c>
      <c r="B6962" s="55"/>
      <c r="C6962" s="31"/>
    </row>
    <row r="6963">
      <c r="A6963" s="56" t="s">
        <v>17926</v>
      </c>
      <c r="B6963" s="55"/>
      <c r="C6963" s="31"/>
    </row>
    <row r="6964">
      <c r="A6964" s="56" t="s">
        <v>17927</v>
      </c>
      <c r="B6964" s="55"/>
      <c r="C6964" s="31"/>
    </row>
    <row r="6965">
      <c r="A6965" s="56" t="s">
        <v>17929</v>
      </c>
      <c r="B6965" s="55"/>
      <c r="C6965" s="31"/>
    </row>
    <row r="6966">
      <c r="A6966" s="56" t="s">
        <v>17930</v>
      </c>
      <c r="B6966" s="82"/>
      <c r="C6966" s="33" t="s">
        <v>17932</v>
      </c>
    </row>
    <row r="6967">
      <c r="A6967" s="56" t="s">
        <v>17933</v>
      </c>
      <c r="B6967" s="82"/>
      <c r="C6967" s="33" t="s">
        <v>11373</v>
      </c>
      <c r="E6967" s="46" t="s">
        <v>7616</v>
      </c>
    </row>
    <row r="6968">
      <c r="A6968" s="56" t="s">
        <v>17934</v>
      </c>
      <c r="B6968" s="82"/>
      <c r="C6968" s="33" t="s">
        <v>11373</v>
      </c>
      <c r="E6968" s="46" t="s">
        <v>7618</v>
      </c>
    </row>
    <row r="6969">
      <c r="A6969" s="56" t="s">
        <v>17935</v>
      </c>
      <c r="B6969" s="82"/>
      <c r="C6969" s="33" t="s">
        <v>11376</v>
      </c>
      <c r="E6969" s="46" t="s">
        <v>7616</v>
      </c>
    </row>
    <row r="6970">
      <c r="A6970" s="56" t="s">
        <v>17936</v>
      </c>
      <c r="B6970" s="82"/>
      <c r="C6970" s="33" t="s">
        <v>11376</v>
      </c>
      <c r="E6970" s="46" t="s">
        <v>7618</v>
      </c>
    </row>
    <row r="6971">
      <c r="A6971" s="56" t="s">
        <v>17937</v>
      </c>
      <c r="B6971" s="82"/>
      <c r="C6971" s="33" t="s">
        <v>11380</v>
      </c>
      <c r="E6971" s="46" t="s">
        <v>7616</v>
      </c>
    </row>
    <row r="6972">
      <c r="A6972" s="56" t="s">
        <v>17938</v>
      </c>
      <c r="B6972" s="82"/>
      <c r="C6972" s="33" t="s">
        <v>11380</v>
      </c>
      <c r="E6972" s="46" t="s">
        <v>7618</v>
      </c>
    </row>
    <row r="6973">
      <c r="A6973" s="56" t="s">
        <v>17939</v>
      </c>
      <c r="B6973" s="79"/>
      <c r="C6973" s="33" t="s">
        <v>11384</v>
      </c>
      <c r="E6973" s="46" t="s">
        <v>1348</v>
      </c>
    </row>
    <row r="6974">
      <c r="A6974" s="56" t="s">
        <v>17940</v>
      </c>
      <c r="B6974" s="79"/>
      <c r="C6974" s="33" t="s">
        <v>11384</v>
      </c>
      <c r="E6974" s="46" t="s">
        <v>1348</v>
      </c>
    </row>
    <row r="6975">
      <c r="A6975" s="56" t="s">
        <v>17943</v>
      </c>
      <c r="B6975" s="79"/>
      <c r="C6975" s="33" t="s">
        <v>11389</v>
      </c>
      <c r="E6975" s="46" t="s">
        <v>1348</v>
      </c>
    </row>
    <row r="6976">
      <c r="A6976" s="56" t="s">
        <v>17944</v>
      </c>
      <c r="B6976" s="21"/>
      <c r="C6976" s="33" t="s">
        <v>11391</v>
      </c>
      <c r="E6976" s="46" t="s">
        <v>7616</v>
      </c>
    </row>
    <row r="6977">
      <c r="A6977" s="56" t="s">
        <v>17945</v>
      </c>
      <c r="B6977" s="21"/>
      <c r="C6977" s="33" t="s">
        <v>11391</v>
      </c>
      <c r="E6977" s="46" t="s">
        <v>7618</v>
      </c>
    </row>
    <row r="6978">
      <c r="A6978" s="56" t="s">
        <v>17946</v>
      </c>
      <c r="B6978" s="21"/>
      <c r="C6978" s="33" t="s">
        <v>11394</v>
      </c>
      <c r="E6978" s="46" t="s">
        <v>7616</v>
      </c>
    </row>
    <row r="6979">
      <c r="A6979" s="56" t="s">
        <v>17947</v>
      </c>
      <c r="B6979" s="21"/>
      <c r="C6979" s="33" t="s">
        <v>11394</v>
      </c>
      <c r="E6979" s="46" t="s">
        <v>7618</v>
      </c>
    </row>
    <row r="6980">
      <c r="A6980" s="56" t="s">
        <v>17948</v>
      </c>
      <c r="B6980" s="21"/>
      <c r="C6980" s="33" t="s">
        <v>11398</v>
      </c>
      <c r="E6980" s="46" t="s">
        <v>7616</v>
      </c>
    </row>
    <row r="6981">
      <c r="A6981" s="56" t="s">
        <v>17949</v>
      </c>
      <c r="B6981" s="21"/>
      <c r="C6981" s="33" t="s">
        <v>11398</v>
      </c>
      <c r="E6981" s="46" t="s">
        <v>7618</v>
      </c>
    </row>
    <row r="6982">
      <c r="A6982" s="56" t="s">
        <v>17950</v>
      </c>
      <c r="B6982" s="21"/>
      <c r="C6982" s="33" t="s">
        <v>11391</v>
      </c>
      <c r="E6982" s="46" t="s">
        <v>7616</v>
      </c>
    </row>
    <row r="6983">
      <c r="A6983" s="56" t="s">
        <v>17951</v>
      </c>
      <c r="B6983" s="21"/>
      <c r="C6983" s="33" t="s">
        <v>11391</v>
      </c>
      <c r="E6983" s="46" t="s">
        <v>7618</v>
      </c>
    </row>
    <row r="6984">
      <c r="A6984" s="56" t="s">
        <v>17953</v>
      </c>
      <c r="B6984" s="21"/>
      <c r="C6984" s="33" t="s">
        <v>11394</v>
      </c>
      <c r="E6984" s="46" t="s">
        <v>7616</v>
      </c>
    </row>
    <row r="6985">
      <c r="A6985" s="56" t="s">
        <v>17954</v>
      </c>
      <c r="B6985" s="21"/>
      <c r="C6985" s="33" t="s">
        <v>11394</v>
      </c>
      <c r="E6985" s="46" t="s">
        <v>7618</v>
      </c>
    </row>
    <row r="6986">
      <c r="A6986" s="56" t="s">
        <v>17956</v>
      </c>
      <c r="B6986" s="21"/>
      <c r="C6986" s="33" t="s">
        <v>11398</v>
      </c>
      <c r="E6986" s="46" t="s">
        <v>7616</v>
      </c>
    </row>
    <row r="6987">
      <c r="A6987" s="56" t="s">
        <v>17957</v>
      </c>
      <c r="B6987" s="21"/>
      <c r="C6987" s="33" t="s">
        <v>11398</v>
      </c>
      <c r="E6987" s="46" t="s">
        <v>7618</v>
      </c>
    </row>
    <row r="6988">
      <c r="A6988" s="56" t="s">
        <v>17958</v>
      </c>
      <c r="B6988" s="21"/>
      <c r="C6988" s="33" t="s">
        <v>11411</v>
      </c>
      <c r="E6988" s="46" t="s">
        <v>7616</v>
      </c>
    </row>
    <row r="6989">
      <c r="A6989" s="56" t="s">
        <v>17959</v>
      </c>
      <c r="B6989" s="21"/>
      <c r="C6989" s="33" t="s">
        <v>11411</v>
      </c>
      <c r="E6989" s="46" t="s">
        <v>7618</v>
      </c>
    </row>
    <row r="6990">
      <c r="A6990" s="56" t="s">
        <v>17960</v>
      </c>
      <c r="B6990" s="21"/>
      <c r="C6990" s="33" t="s">
        <v>11416</v>
      </c>
      <c r="E6990" s="46" t="s">
        <v>7616</v>
      </c>
    </row>
    <row r="6991">
      <c r="A6991" s="56" t="s">
        <v>17961</v>
      </c>
      <c r="B6991" s="21"/>
      <c r="C6991" s="33" t="s">
        <v>11416</v>
      </c>
      <c r="E6991" s="46" t="s">
        <v>7618</v>
      </c>
    </row>
    <row r="6992">
      <c r="A6992" s="56" t="s">
        <v>17963</v>
      </c>
      <c r="B6992" s="21"/>
      <c r="C6992" s="33" t="s">
        <v>11419</v>
      </c>
      <c r="E6992" s="46" t="s">
        <v>7616</v>
      </c>
    </row>
    <row r="6993">
      <c r="A6993" s="56" t="s">
        <v>17964</v>
      </c>
      <c r="B6993" s="21"/>
      <c r="C6993" s="33" t="s">
        <v>11419</v>
      </c>
      <c r="E6993" s="46" t="s">
        <v>7618</v>
      </c>
    </row>
    <row r="6994">
      <c r="A6994" s="56" t="s">
        <v>17965</v>
      </c>
      <c r="B6994" s="21"/>
      <c r="C6994" s="33" t="s">
        <v>11411</v>
      </c>
      <c r="E6994" s="46" t="s">
        <v>7616</v>
      </c>
    </row>
    <row r="6995">
      <c r="A6995" s="56" t="s">
        <v>17967</v>
      </c>
      <c r="B6995" s="21"/>
      <c r="C6995" s="33" t="s">
        <v>11411</v>
      </c>
      <c r="E6995" s="46" t="s">
        <v>7618</v>
      </c>
    </row>
    <row r="6996">
      <c r="A6996" s="56" t="s">
        <v>17968</v>
      </c>
      <c r="B6996" s="21"/>
      <c r="C6996" s="33" t="s">
        <v>11416</v>
      </c>
      <c r="E6996" s="46" t="s">
        <v>7616</v>
      </c>
    </row>
    <row r="6997">
      <c r="A6997" s="56" t="s">
        <v>17969</v>
      </c>
      <c r="B6997" s="21"/>
      <c r="C6997" s="33" t="s">
        <v>11416</v>
      </c>
      <c r="E6997" s="46" t="s">
        <v>7618</v>
      </c>
    </row>
    <row r="6998">
      <c r="A6998" s="56" t="s">
        <v>17971</v>
      </c>
      <c r="B6998" s="21"/>
      <c r="C6998" s="33" t="s">
        <v>11419</v>
      </c>
      <c r="E6998" s="46" t="s">
        <v>7616</v>
      </c>
    </row>
    <row r="6999">
      <c r="A6999" s="56" t="s">
        <v>17972</v>
      </c>
      <c r="B6999" s="21"/>
      <c r="C6999" s="33" t="s">
        <v>11419</v>
      </c>
      <c r="E6999" s="46" t="s">
        <v>7618</v>
      </c>
    </row>
    <row r="7000">
      <c r="A7000" s="56" t="s">
        <v>17973</v>
      </c>
      <c r="B7000" s="55"/>
      <c r="C7000" s="31"/>
    </row>
    <row r="7001">
      <c r="A7001" s="56" t="s">
        <v>17974</v>
      </c>
      <c r="B7001" s="55"/>
      <c r="C7001" s="31"/>
    </row>
    <row r="7002">
      <c r="A7002" s="56" t="s">
        <v>17975</v>
      </c>
      <c r="B7002" s="55"/>
      <c r="C7002" s="31"/>
    </row>
    <row r="7003">
      <c r="A7003" s="56" t="s">
        <v>17976</v>
      </c>
      <c r="B7003" s="55"/>
      <c r="C7003" s="31"/>
    </row>
    <row r="7004">
      <c r="A7004" s="56" t="s">
        <v>17979</v>
      </c>
      <c r="B7004" s="55"/>
      <c r="C7004" s="31"/>
    </row>
    <row r="7005">
      <c r="A7005" s="56" t="s">
        <v>17981</v>
      </c>
      <c r="B7005" s="55"/>
      <c r="C7005" s="31"/>
    </row>
    <row r="7006">
      <c r="A7006" s="56" t="s">
        <v>17982</v>
      </c>
      <c r="B7006" s="55"/>
      <c r="C7006" s="31"/>
    </row>
    <row r="7007">
      <c r="A7007" s="56" t="s">
        <v>17983</v>
      </c>
      <c r="B7007" s="55"/>
      <c r="C7007" s="31"/>
    </row>
    <row r="7008">
      <c r="A7008" s="56" t="s">
        <v>17984</v>
      </c>
      <c r="B7008" s="55"/>
      <c r="C7008" s="31"/>
    </row>
    <row r="7009">
      <c r="A7009" s="56" t="s">
        <v>17985</v>
      </c>
      <c r="B7009" s="82"/>
      <c r="C7009" s="33" t="s">
        <v>17986</v>
      </c>
    </row>
    <row r="7010">
      <c r="A7010" s="56" t="s">
        <v>17987</v>
      </c>
      <c r="B7010" s="55"/>
      <c r="C7010" s="31"/>
    </row>
    <row r="7011">
      <c r="A7011" s="56" t="s">
        <v>17988</v>
      </c>
      <c r="B7011" s="55"/>
      <c r="C7011" s="31"/>
    </row>
    <row r="7012">
      <c r="A7012" s="56" t="s">
        <v>17989</v>
      </c>
      <c r="B7012" s="55"/>
      <c r="C7012" s="31"/>
    </row>
    <row r="7013">
      <c r="A7013" s="56" t="s">
        <v>17990</v>
      </c>
      <c r="B7013" s="55"/>
      <c r="C7013" s="31"/>
    </row>
    <row r="7014">
      <c r="A7014" s="56" t="s">
        <v>17992</v>
      </c>
      <c r="B7014" s="55"/>
      <c r="C7014" s="31"/>
    </row>
    <row r="7015">
      <c r="A7015" s="56" t="s">
        <v>17994</v>
      </c>
      <c r="B7015" s="55"/>
      <c r="C7015" s="31"/>
    </row>
    <row r="7016">
      <c r="A7016" s="56" t="s">
        <v>17995</v>
      </c>
      <c r="B7016" s="55"/>
      <c r="C7016" s="31"/>
    </row>
    <row r="7017">
      <c r="A7017" s="56" t="s">
        <v>17996</v>
      </c>
      <c r="B7017" s="55"/>
      <c r="C7017" s="31"/>
    </row>
    <row r="7018">
      <c r="A7018" s="56" t="s">
        <v>17998</v>
      </c>
      <c r="B7018" s="55"/>
      <c r="C7018" s="31"/>
    </row>
    <row r="7019">
      <c r="A7019" s="56" t="s">
        <v>17999</v>
      </c>
      <c r="B7019" s="55"/>
      <c r="C7019" s="31"/>
    </row>
    <row r="7020">
      <c r="A7020" s="56" t="s">
        <v>18000</v>
      </c>
      <c r="B7020" s="55"/>
      <c r="C7020" s="31"/>
    </row>
    <row r="7021">
      <c r="A7021" s="56" t="s">
        <v>18001</v>
      </c>
      <c r="B7021" s="55"/>
      <c r="C7021" s="31"/>
    </row>
    <row r="7022">
      <c r="A7022" s="56" t="s">
        <v>18002</v>
      </c>
      <c r="B7022" s="55"/>
      <c r="C7022" s="31"/>
    </row>
    <row r="7023">
      <c r="A7023" s="56" t="s">
        <v>18005</v>
      </c>
      <c r="B7023" s="55"/>
      <c r="C7023" s="31"/>
    </row>
    <row r="7024">
      <c r="A7024" s="56" t="s">
        <v>18006</v>
      </c>
      <c r="B7024" s="55"/>
      <c r="C7024" s="31"/>
    </row>
    <row r="7025">
      <c r="A7025" s="56" t="s">
        <v>18007</v>
      </c>
      <c r="B7025" s="55"/>
      <c r="C7025" s="31"/>
    </row>
    <row r="7026">
      <c r="A7026" s="56" t="s">
        <v>18008</v>
      </c>
      <c r="B7026" s="55"/>
      <c r="C7026" s="31"/>
    </row>
    <row r="7027">
      <c r="A7027" s="56" t="s">
        <v>18009</v>
      </c>
      <c r="B7027" s="55"/>
      <c r="C7027" s="31"/>
    </row>
    <row r="7028">
      <c r="A7028" s="56" t="s">
        <v>18010</v>
      </c>
      <c r="B7028" s="55"/>
      <c r="C7028" s="31"/>
    </row>
    <row r="7029">
      <c r="A7029" s="56" t="s">
        <v>18011</v>
      </c>
      <c r="B7029" s="55"/>
      <c r="C7029" s="31"/>
    </row>
    <row r="7030">
      <c r="A7030" s="56" t="s">
        <v>18012</v>
      </c>
      <c r="B7030" s="55"/>
      <c r="C7030" s="31"/>
    </row>
    <row r="7031">
      <c r="A7031" s="56" t="s">
        <v>18014</v>
      </c>
      <c r="B7031" s="55"/>
      <c r="C7031" s="31"/>
    </row>
    <row r="7032">
      <c r="A7032" s="56" t="s">
        <v>18015</v>
      </c>
      <c r="B7032" s="55"/>
      <c r="C7032" s="31"/>
    </row>
    <row r="7033">
      <c r="A7033" s="56" t="s">
        <v>18016</v>
      </c>
      <c r="B7033" s="55"/>
      <c r="C7033" s="31"/>
    </row>
    <row r="7034">
      <c r="A7034" s="56" t="s">
        <v>18018</v>
      </c>
      <c r="B7034" s="55"/>
      <c r="C7034" s="31"/>
    </row>
    <row r="7035">
      <c r="A7035" s="56" t="s">
        <v>18020</v>
      </c>
      <c r="B7035" s="55"/>
      <c r="C7035" s="31"/>
    </row>
    <row r="7036">
      <c r="A7036" s="56" t="s">
        <v>18021</v>
      </c>
      <c r="B7036" s="55"/>
      <c r="C7036" s="31"/>
    </row>
    <row r="7037">
      <c r="A7037" s="56" t="s">
        <v>18022</v>
      </c>
      <c r="B7037" s="55"/>
      <c r="C7037" s="31"/>
    </row>
    <row r="7038">
      <c r="A7038" s="56" t="s">
        <v>18023</v>
      </c>
      <c r="B7038" s="55"/>
      <c r="C7038" s="31"/>
    </row>
    <row r="7039">
      <c r="A7039" s="56" t="s">
        <v>18024</v>
      </c>
      <c r="B7039" s="55"/>
      <c r="C7039" s="31"/>
    </row>
    <row r="7040">
      <c r="A7040" s="56" t="s">
        <v>18025</v>
      </c>
      <c r="B7040" s="55"/>
      <c r="C7040" s="31"/>
    </row>
    <row r="7041">
      <c r="A7041" s="56" t="s">
        <v>18026</v>
      </c>
      <c r="B7041" s="55"/>
      <c r="C7041" s="31"/>
    </row>
    <row r="7042">
      <c r="A7042" s="56" t="s">
        <v>18027</v>
      </c>
      <c r="B7042" s="55"/>
      <c r="C7042" s="31"/>
    </row>
    <row r="7043">
      <c r="A7043" s="56" t="s">
        <v>18030</v>
      </c>
      <c r="B7043" s="55"/>
      <c r="C7043" s="31"/>
    </row>
    <row r="7044">
      <c r="A7044" s="56" t="s">
        <v>18031</v>
      </c>
      <c r="B7044" s="55"/>
      <c r="C7044" s="31"/>
    </row>
    <row r="7045">
      <c r="A7045" s="56" t="s">
        <v>18032</v>
      </c>
      <c r="B7045" s="55"/>
      <c r="C7045" s="31"/>
    </row>
    <row r="7046">
      <c r="A7046" s="56" t="s">
        <v>18033</v>
      </c>
      <c r="B7046" s="55"/>
      <c r="C7046" s="31"/>
    </row>
    <row r="7047">
      <c r="A7047" s="56" t="s">
        <v>18034</v>
      </c>
      <c r="B7047" s="55"/>
      <c r="C7047" s="31"/>
    </row>
    <row r="7048">
      <c r="A7048" s="56" t="s">
        <v>18035</v>
      </c>
      <c r="B7048" s="55"/>
      <c r="C7048" s="31"/>
    </row>
    <row r="7049">
      <c r="A7049" s="56" t="s">
        <v>18036</v>
      </c>
      <c r="B7049" s="55"/>
      <c r="C7049" s="31"/>
    </row>
    <row r="7050">
      <c r="A7050" s="56" t="s">
        <v>18038</v>
      </c>
      <c r="B7050" s="55"/>
      <c r="C7050" s="31"/>
    </row>
    <row r="7051">
      <c r="A7051" s="56" t="s">
        <v>18002</v>
      </c>
      <c r="B7051" s="55"/>
      <c r="C7051" s="31"/>
    </row>
    <row r="7052">
      <c r="A7052" s="56" t="s">
        <v>18005</v>
      </c>
      <c r="B7052" s="55"/>
      <c r="C7052" s="31"/>
    </row>
    <row r="7053">
      <c r="A7053" s="56" t="s">
        <v>18006</v>
      </c>
      <c r="B7053" s="55"/>
      <c r="C7053" s="31"/>
    </row>
    <row r="7054">
      <c r="A7054" s="56" t="s">
        <v>18007</v>
      </c>
      <c r="B7054" s="55"/>
      <c r="C7054" s="31"/>
    </row>
    <row r="7055">
      <c r="A7055" s="56" t="s">
        <v>18008</v>
      </c>
      <c r="B7055" s="55"/>
      <c r="C7055" s="31"/>
    </row>
    <row r="7056">
      <c r="A7056" s="56" t="s">
        <v>18009</v>
      </c>
      <c r="B7056" s="55"/>
      <c r="C7056" s="31"/>
    </row>
    <row r="7057">
      <c r="A7057" s="56" t="s">
        <v>18010</v>
      </c>
      <c r="B7057" s="55"/>
      <c r="C7057" s="31"/>
    </row>
    <row r="7058">
      <c r="A7058" s="56" t="s">
        <v>18011</v>
      </c>
      <c r="B7058" s="55"/>
      <c r="C7058" s="31"/>
    </row>
    <row r="7059">
      <c r="A7059" s="56" t="s">
        <v>18012</v>
      </c>
      <c r="B7059" s="55"/>
      <c r="C7059" s="31"/>
    </row>
    <row r="7060">
      <c r="A7060" s="56" t="s">
        <v>18014</v>
      </c>
      <c r="B7060" s="55"/>
      <c r="C7060" s="31"/>
    </row>
    <row r="7061">
      <c r="A7061" s="56" t="s">
        <v>18015</v>
      </c>
      <c r="B7061" s="55"/>
      <c r="C7061" s="31"/>
    </row>
    <row r="7062">
      <c r="A7062" s="56" t="s">
        <v>18016</v>
      </c>
      <c r="B7062" s="55"/>
      <c r="C7062" s="31"/>
    </row>
    <row r="7063">
      <c r="A7063" s="56" t="s">
        <v>18018</v>
      </c>
      <c r="B7063" s="55"/>
      <c r="C7063" s="31"/>
    </row>
    <row r="7064">
      <c r="A7064" s="56" t="s">
        <v>18020</v>
      </c>
      <c r="B7064" s="55"/>
      <c r="C7064" s="31"/>
    </row>
    <row r="7065">
      <c r="A7065" s="56" t="s">
        <v>18021</v>
      </c>
      <c r="B7065" s="55"/>
      <c r="C7065" s="31"/>
    </row>
    <row r="7066">
      <c r="A7066" s="56" t="s">
        <v>18022</v>
      </c>
      <c r="B7066" s="55"/>
      <c r="C7066" s="31"/>
    </row>
    <row r="7067">
      <c r="A7067" s="56" t="s">
        <v>18023</v>
      </c>
      <c r="B7067" s="55"/>
      <c r="C7067" s="31"/>
    </row>
    <row r="7068">
      <c r="A7068" s="56" t="s">
        <v>18024</v>
      </c>
      <c r="B7068" s="55"/>
      <c r="C7068" s="31"/>
    </row>
    <row r="7069">
      <c r="A7069" s="56" t="s">
        <v>18025</v>
      </c>
      <c r="B7069" s="55"/>
      <c r="C7069" s="31"/>
    </row>
    <row r="7070">
      <c r="A7070" s="56" t="s">
        <v>18026</v>
      </c>
      <c r="B7070" s="55"/>
      <c r="C7070" s="31"/>
    </row>
    <row r="7071">
      <c r="A7071" s="56" t="s">
        <v>18027</v>
      </c>
      <c r="B7071" s="55"/>
      <c r="C7071" s="31"/>
    </row>
    <row r="7072">
      <c r="A7072" s="56" t="s">
        <v>18030</v>
      </c>
      <c r="B7072" s="55"/>
      <c r="C7072" s="31"/>
    </row>
    <row r="7073">
      <c r="A7073" s="56" t="s">
        <v>18031</v>
      </c>
      <c r="B7073" s="55"/>
      <c r="C7073" s="31"/>
    </row>
    <row r="7074">
      <c r="A7074" s="56" t="s">
        <v>18032</v>
      </c>
      <c r="B7074" s="55"/>
      <c r="C7074" s="31"/>
    </row>
    <row r="7075">
      <c r="A7075" s="56" t="s">
        <v>18033</v>
      </c>
      <c r="B7075" s="55"/>
      <c r="C7075" s="31"/>
    </row>
    <row r="7076">
      <c r="A7076" s="56" t="s">
        <v>18034</v>
      </c>
      <c r="B7076" s="55"/>
      <c r="C7076" s="31"/>
    </row>
    <row r="7077">
      <c r="A7077" s="56" t="s">
        <v>18035</v>
      </c>
      <c r="B7077" s="55"/>
      <c r="C7077" s="31"/>
    </row>
    <row r="7078">
      <c r="A7078" s="56" t="s">
        <v>18036</v>
      </c>
      <c r="B7078" s="55"/>
      <c r="C7078" s="31"/>
    </row>
    <row r="7079">
      <c r="A7079" s="56" t="s">
        <v>18038</v>
      </c>
      <c r="B7079" s="55"/>
      <c r="C7079" s="31"/>
    </row>
    <row r="7080">
      <c r="A7080" s="56" t="s">
        <v>18049</v>
      </c>
      <c r="B7080" s="55"/>
      <c r="C7080" s="31"/>
    </row>
    <row r="7081">
      <c r="A7081" s="56" t="s">
        <v>18050</v>
      </c>
      <c r="B7081" s="55"/>
      <c r="C7081" s="31"/>
    </row>
    <row r="7082">
      <c r="A7082" s="56" t="s">
        <v>18052</v>
      </c>
      <c r="B7082" s="55"/>
      <c r="C7082" s="31"/>
    </row>
    <row r="7083">
      <c r="A7083" s="56" t="s">
        <v>18053</v>
      </c>
      <c r="B7083" s="82"/>
      <c r="C7083" s="33" t="s">
        <v>18054</v>
      </c>
    </row>
    <row r="7084">
      <c r="A7084" s="56" t="s">
        <v>18055</v>
      </c>
      <c r="B7084" s="82"/>
      <c r="C7084" s="33" t="s">
        <v>11373</v>
      </c>
      <c r="E7084" s="46" t="s">
        <v>7616</v>
      </c>
    </row>
    <row r="7085">
      <c r="A7085" s="56" t="s">
        <v>18056</v>
      </c>
      <c r="B7085" s="82"/>
      <c r="C7085" s="33" t="s">
        <v>11373</v>
      </c>
      <c r="E7085" s="46" t="s">
        <v>7618</v>
      </c>
    </row>
    <row r="7086">
      <c r="A7086" s="56" t="s">
        <v>18058</v>
      </c>
      <c r="B7086" s="82"/>
      <c r="C7086" s="33" t="s">
        <v>11376</v>
      </c>
      <c r="E7086" s="46" t="s">
        <v>7616</v>
      </c>
    </row>
    <row r="7087">
      <c r="A7087" s="56" t="s">
        <v>18061</v>
      </c>
      <c r="B7087" s="82"/>
      <c r="C7087" s="33" t="s">
        <v>11376</v>
      </c>
      <c r="E7087" s="46" t="s">
        <v>7618</v>
      </c>
    </row>
    <row r="7088">
      <c r="A7088" s="56" t="s">
        <v>18062</v>
      </c>
      <c r="B7088" s="82"/>
      <c r="C7088" s="33" t="s">
        <v>11380</v>
      </c>
      <c r="E7088" s="46" t="s">
        <v>7616</v>
      </c>
    </row>
    <row r="7089">
      <c r="A7089" s="56" t="s">
        <v>18064</v>
      </c>
      <c r="B7089" s="82"/>
      <c r="C7089" s="33" t="s">
        <v>11380</v>
      </c>
      <c r="E7089" s="46" t="s">
        <v>7618</v>
      </c>
    </row>
    <row r="7090">
      <c r="A7090" s="56" t="s">
        <v>18065</v>
      </c>
      <c r="B7090" s="79"/>
      <c r="C7090" s="33" t="s">
        <v>11384</v>
      </c>
      <c r="E7090" s="46" t="s">
        <v>1348</v>
      </c>
    </row>
    <row r="7091">
      <c r="A7091" s="56" t="s">
        <v>18066</v>
      </c>
      <c r="B7091" s="79"/>
      <c r="C7091" s="33" t="s">
        <v>11384</v>
      </c>
      <c r="E7091" s="46" t="s">
        <v>1348</v>
      </c>
    </row>
    <row r="7092">
      <c r="A7092" s="56" t="s">
        <v>18068</v>
      </c>
      <c r="B7092" s="79"/>
      <c r="C7092" s="33" t="s">
        <v>11389</v>
      </c>
      <c r="E7092" s="46" t="s">
        <v>1348</v>
      </c>
    </row>
    <row r="7093">
      <c r="A7093" s="56" t="s">
        <v>18069</v>
      </c>
      <c r="B7093" s="21"/>
      <c r="C7093" s="33" t="s">
        <v>11391</v>
      </c>
      <c r="E7093" s="46" t="s">
        <v>7616</v>
      </c>
    </row>
    <row r="7094">
      <c r="A7094" s="56" t="s">
        <v>18070</v>
      </c>
      <c r="B7094" s="21"/>
      <c r="C7094" s="33" t="s">
        <v>11391</v>
      </c>
      <c r="E7094" s="46" t="s">
        <v>7618</v>
      </c>
    </row>
    <row r="7095">
      <c r="A7095" s="56" t="s">
        <v>18071</v>
      </c>
      <c r="B7095" s="21"/>
      <c r="C7095" s="33" t="s">
        <v>11394</v>
      </c>
      <c r="E7095" s="46" t="s">
        <v>7616</v>
      </c>
    </row>
    <row r="7096">
      <c r="A7096" s="56" t="s">
        <v>18072</v>
      </c>
      <c r="B7096" s="21"/>
      <c r="C7096" s="33" t="s">
        <v>11394</v>
      </c>
      <c r="E7096" s="46" t="s">
        <v>7618</v>
      </c>
    </row>
    <row r="7097">
      <c r="A7097" s="56" t="s">
        <v>18073</v>
      </c>
      <c r="B7097" s="21"/>
      <c r="C7097" s="33" t="s">
        <v>11398</v>
      </c>
      <c r="E7097" s="46" t="s">
        <v>7616</v>
      </c>
    </row>
    <row r="7098">
      <c r="A7098" s="56" t="s">
        <v>18076</v>
      </c>
      <c r="B7098" s="21"/>
      <c r="C7098" s="33" t="s">
        <v>11398</v>
      </c>
      <c r="E7098" s="46" t="s">
        <v>7618</v>
      </c>
    </row>
    <row r="7099">
      <c r="A7099" s="56" t="s">
        <v>18078</v>
      </c>
      <c r="B7099" s="21"/>
      <c r="C7099" s="33" t="s">
        <v>11391</v>
      </c>
      <c r="E7099" s="46" t="s">
        <v>7616</v>
      </c>
    </row>
    <row r="7100">
      <c r="A7100" s="56" t="s">
        <v>18079</v>
      </c>
      <c r="B7100" s="21"/>
      <c r="C7100" s="33" t="s">
        <v>11391</v>
      </c>
      <c r="E7100" s="46" t="s">
        <v>7618</v>
      </c>
    </row>
    <row r="7101">
      <c r="A7101" s="56" t="s">
        <v>18080</v>
      </c>
      <c r="B7101" s="21"/>
      <c r="C7101" s="33" t="s">
        <v>11394</v>
      </c>
      <c r="E7101" s="46" t="s">
        <v>7616</v>
      </c>
    </row>
    <row r="7102">
      <c r="A7102" s="56" t="s">
        <v>18081</v>
      </c>
      <c r="B7102" s="21"/>
      <c r="C7102" s="33" t="s">
        <v>11394</v>
      </c>
      <c r="E7102" s="46" t="s">
        <v>7618</v>
      </c>
    </row>
    <row r="7103">
      <c r="A7103" s="56" t="s">
        <v>18084</v>
      </c>
      <c r="B7103" s="21"/>
      <c r="C7103" s="33" t="s">
        <v>11398</v>
      </c>
      <c r="E7103" s="46" t="s">
        <v>7616</v>
      </c>
    </row>
    <row r="7104">
      <c r="A7104" s="56" t="s">
        <v>18085</v>
      </c>
      <c r="B7104" s="21"/>
      <c r="C7104" s="33" t="s">
        <v>11398</v>
      </c>
      <c r="E7104" s="46" t="s">
        <v>7618</v>
      </c>
    </row>
    <row r="7105">
      <c r="A7105" s="56" t="s">
        <v>18086</v>
      </c>
      <c r="B7105" s="21"/>
      <c r="C7105" s="33" t="s">
        <v>11411</v>
      </c>
      <c r="E7105" s="46" t="s">
        <v>7616</v>
      </c>
    </row>
    <row r="7106">
      <c r="A7106" s="56" t="s">
        <v>18087</v>
      </c>
      <c r="B7106" s="21"/>
      <c r="C7106" s="33" t="s">
        <v>11411</v>
      </c>
      <c r="E7106" s="46" t="s">
        <v>7618</v>
      </c>
    </row>
    <row r="7107">
      <c r="A7107" s="56" t="s">
        <v>18088</v>
      </c>
      <c r="B7107" s="21"/>
      <c r="C7107" s="33" t="s">
        <v>11416</v>
      </c>
      <c r="E7107" s="46" t="s">
        <v>7616</v>
      </c>
    </row>
    <row r="7108">
      <c r="A7108" s="56" t="s">
        <v>18091</v>
      </c>
      <c r="B7108" s="21"/>
      <c r="C7108" s="33" t="s">
        <v>11416</v>
      </c>
      <c r="E7108" s="46" t="s">
        <v>7618</v>
      </c>
    </row>
    <row r="7109">
      <c r="A7109" s="56" t="s">
        <v>18093</v>
      </c>
      <c r="B7109" s="21"/>
      <c r="C7109" s="33" t="s">
        <v>11419</v>
      </c>
      <c r="E7109" s="46" t="s">
        <v>7616</v>
      </c>
    </row>
    <row r="7110">
      <c r="A7110" s="56" t="s">
        <v>18094</v>
      </c>
      <c r="B7110" s="21"/>
      <c r="C7110" s="33" t="s">
        <v>11419</v>
      </c>
      <c r="E7110" s="46" t="s">
        <v>7618</v>
      </c>
    </row>
    <row r="7111">
      <c r="A7111" s="56" t="s">
        <v>18095</v>
      </c>
      <c r="B7111" s="21"/>
      <c r="C7111" s="33" t="s">
        <v>11411</v>
      </c>
      <c r="E7111" s="46" t="s">
        <v>7616</v>
      </c>
    </row>
    <row r="7112">
      <c r="A7112" s="56" t="s">
        <v>18096</v>
      </c>
      <c r="B7112" s="21"/>
      <c r="C7112" s="33" t="s">
        <v>11411</v>
      </c>
      <c r="E7112" s="46" t="s">
        <v>7618</v>
      </c>
    </row>
    <row r="7113">
      <c r="A7113" s="56" t="s">
        <v>18097</v>
      </c>
      <c r="B7113" s="21"/>
      <c r="C7113" s="33" t="s">
        <v>11416</v>
      </c>
      <c r="E7113" s="46" t="s">
        <v>7616</v>
      </c>
    </row>
    <row r="7114">
      <c r="A7114" s="56" t="s">
        <v>18099</v>
      </c>
      <c r="B7114" s="21"/>
      <c r="C7114" s="33" t="s">
        <v>11416</v>
      </c>
      <c r="E7114" s="46" t="s">
        <v>7618</v>
      </c>
    </row>
    <row r="7115">
      <c r="A7115" s="56" t="s">
        <v>18101</v>
      </c>
      <c r="B7115" s="21"/>
      <c r="C7115" s="33" t="s">
        <v>11419</v>
      </c>
      <c r="E7115" s="46" t="s">
        <v>7616</v>
      </c>
    </row>
    <row r="7116">
      <c r="A7116" s="56" t="s">
        <v>18102</v>
      </c>
      <c r="B7116" s="21"/>
      <c r="C7116" s="33" t="s">
        <v>11419</v>
      </c>
      <c r="E7116" s="46" t="s">
        <v>7618</v>
      </c>
    </row>
    <row r="7117">
      <c r="A7117" s="56" t="s">
        <v>18104</v>
      </c>
      <c r="B7117" s="55"/>
      <c r="C7117" s="31"/>
    </row>
    <row r="7118">
      <c r="A7118" s="56" t="s">
        <v>18105</v>
      </c>
      <c r="B7118" s="55"/>
      <c r="C7118" s="31"/>
    </row>
    <row r="7119">
      <c r="A7119" s="56" t="s">
        <v>18106</v>
      </c>
      <c r="B7119" s="55"/>
      <c r="C7119" s="31"/>
    </row>
    <row r="7120">
      <c r="A7120" s="56" t="s">
        <v>18108</v>
      </c>
      <c r="B7120" s="55"/>
      <c r="C7120" s="31"/>
    </row>
    <row r="7121">
      <c r="A7121" s="56" t="s">
        <v>18110</v>
      </c>
      <c r="B7121" s="82"/>
      <c r="C7121" s="33" t="s">
        <v>18111</v>
      </c>
    </row>
    <row r="7122">
      <c r="A7122" s="56" t="s">
        <v>18112</v>
      </c>
      <c r="B7122" s="82"/>
      <c r="C7122" s="33" t="s">
        <v>11373</v>
      </c>
      <c r="E7122" s="46" t="s">
        <v>7616</v>
      </c>
    </row>
    <row r="7123">
      <c r="A7123" s="56" t="s">
        <v>18113</v>
      </c>
      <c r="B7123" s="82"/>
      <c r="C7123" s="33" t="s">
        <v>11373</v>
      </c>
      <c r="E7123" s="46" t="s">
        <v>7618</v>
      </c>
    </row>
    <row r="7124">
      <c r="A7124" s="56" t="s">
        <v>18114</v>
      </c>
      <c r="B7124" s="82"/>
      <c r="C7124" s="33" t="s">
        <v>11376</v>
      </c>
      <c r="E7124" s="46" t="s">
        <v>7616</v>
      </c>
    </row>
    <row r="7125">
      <c r="A7125" s="56" t="s">
        <v>18116</v>
      </c>
      <c r="B7125" s="82"/>
      <c r="C7125" s="33" t="s">
        <v>11376</v>
      </c>
      <c r="E7125" s="46" t="s">
        <v>7618</v>
      </c>
    </row>
    <row r="7126">
      <c r="A7126" s="56" t="s">
        <v>18119</v>
      </c>
      <c r="B7126" s="82"/>
      <c r="C7126" s="33" t="s">
        <v>11380</v>
      </c>
      <c r="E7126" s="46" t="s">
        <v>7616</v>
      </c>
    </row>
    <row r="7127">
      <c r="A7127" s="56" t="s">
        <v>18120</v>
      </c>
      <c r="B7127" s="82"/>
      <c r="C7127" s="33" t="s">
        <v>11380</v>
      </c>
      <c r="E7127" s="46" t="s">
        <v>7618</v>
      </c>
    </row>
    <row r="7128">
      <c r="A7128" s="56" t="s">
        <v>18121</v>
      </c>
      <c r="B7128" s="79"/>
      <c r="C7128" s="33" t="s">
        <v>11384</v>
      </c>
      <c r="E7128" s="46" t="s">
        <v>1348</v>
      </c>
    </row>
    <row r="7129">
      <c r="A7129" s="56" t="s">
        <v>18122</v>
      </c>
      <c r="B7129" s="79"/>
      <c r="C7129" s="33" t="s">
        <v>11384</v>
      </c>
      <c r="E7129" s="46" t="s">
        <v>1348</v>
      </c>
    </row>
    <row r="7130">
      <c r="A7130" s="56" t="s">
        <v>18124</v>
      </c>
      <c r="B7130" s="79"/>
      <c r="C7130" s="33" t="s">
        <v>11389</v>
      </c>
      <c r="E7130" s="46" t="s">
        <v>1348</v>
      </c>
    </row>
    <row r="7131">
      <c r="A7131" s="56" t="s">
        <v>18126</v>
      </c>
      <c r="B7131" s="21"/>
      <c r="C7131" s="33" t="s">
        <v>11391</v>
      </c>
      <c r="E7131" s="46" t="s">
        <v>7616</v>
      </c>
    </row>
    <row r="7132">
      <c r="A7132" s="56" t="s">
        <v>18127</v>
      </c>
      <c r="B7132" s="21"/>
      <c r="C7132" s="33" t="s">
        <v>11391</v>
      </c>
      <c r="E7132" s="46" t="s">
        <v>7618</v>
      </c>
    </row>
    <row r="7133">
      <c r="A7133" s="56" t="s">
        <v>18128</v>
      </c>
      <c r="B7133" s="21"/>
      <c r="C7133" s="33" t="s">
        <v>11394</v>
      </c>
      <c r="E7133" s="46" t="s">
        <v>7616</v>
      </c>
    </row>
    <row r="7134">
      <c r="A7134" s="56" t="s">
        <v>18130</v>
      </c>
      <c r="B7134" s="21"/>
      <c r="C7134" s="33" t="s">
        <v>11394</v>
      </c>
      <c r="E7134" s="46" t="s">
        <v>7618</v>
      </c>
    </row>
    <row r="7135">
      <c r="A7135" s="56" t="s">
        <v>18131</v>
      </c>
      <c r="B7135" s="21"/>
      <c r="C7135" s="33" t="s">
        <v>11398</v>
      </c>
      <c r="E7135" s="46" t="s">
        <v>7616</v>
      </c>
    </row>
    <row r="7136">
      <c r="A7136" s="56" t="s">
        <v>18134</v>
      </c>
      <c r="B7136" s="21"/>
      <c r="C7136" s="33" t="s">
        <v>11398</v>
      </c>
      <c r="E7136" s="46" t="s">
        <v>7618</v>
      </c>
    </row>
    <row r="7137">
      <c r="A7137" s="56" t="s">
        <v>18135</v>
      </c>
      <c r="B7137" s="21"/>
      <c r="C7137" s="33" t="s">
        <v>11391</v>
      </c>
      <c r="E7137" s="46" t="s">
        <v>7616</v>
      </c>
    </row>
    <row r="7138">
      <c r="A7138" s="56" t="s">
        <v>18136</v>
      </c>
      <c r="B7138" s="21"/>
      <c r="C7138" s="33" t="s">
        <v>11391</v>
      </c>
      <c r="E7138" s="46" t="s">
        <v>7618</v>
      </c>
    </row>
    <row r="7139">
      <c r="A7139" s="56" t="s">
        <v>18137</v>
      </c>
      <c r="B7139" s="21"/>
      <c r="C7139" s="33" t="s">
        <v>11394</v>
      </c>
      <c r="E7139" s="46" t="s">
        <v>7616</v>
      </c>
    </row>
    <row r="7140">
      <c r="A7140" s="56" t="s">
        <v>18138</v>
      </c>
      <c r="B7140" s="21"/>
      <c r="C7140" s="33" t="s">
        <v>11394</v>
      </c>
      <c r="E7140" s="46" t="s">
        <v>7618</v>
      </c>
    </row>
    <row r="7141">
      <c r="A7141" s="56" t="s">
        <v>18139</v>
      </c>
      <c r="B7141" s="21"/>
      <c r="C7141" s="33" t="s">
        <v>11398</v>
      </c>
      <c r="E7141" s="46" t="s">
        <v>7616</v>
      </c>
    </row>
    <row r="7142">
      <c r="A7142" s="56" t="s">
        <v>18142</v>
      </c>
      <c r="B7142" s="21"/>
      <c r="C7142" s="33" t="s">
        <v>11398</v>
      </c>
      <c r="E7142" s="46" t="s">
        <v>7618</v>
      </c>
    </row>
    <row r="7143">
      <c r="A7143" s="56" t="s">
        <v>18145</v>
      </c>
      <c r="B7143" s="21"/>
      <c r="C7143" s="33" t="s">
        <v>11411</v>
      </c>
      <c r="E7143" s="46" t="s">
        <v>7616</v>
      </c>
    </row>
    <row r="7144">
      <c r="A7144" s="56" t="s">
        <v>18146</v>
      </c>
      <c r="B7144" s="21"/>
      <c r="C7144" s="33" t="s">
        <v>11411</v>
      </c>
      <c r="E7144" s="46" t="s">
        <v>7618</v>
      </c>
    </row>
    <row r="7145">
      <c r="A7145" s="56" t="s">
        <v>18147</v>
      </c>
      <c r="B7145" s="21"/>
      <c r="C7145" s="33" t="s">
        <v>11416</v>
      </c>
      <c r="E7145" s="46" t="s">
        <v>7616</v>
      </c>
    </row>
    <row r="7146">
      <c r="A7146" s="56" t="s">
        <v>18148</v>
      </c>
      <c r="B7146" s="21"/>
      <c r="C7146" s="33" t="s">
        <v>11416</v>
      </c>
      <c r="E7146" s="46" t="s">
        <v>7618</v>
      </c>
    </row>
    <row r="7147">
      <c r="A7147" s="56" t="s">
        <v>18149</v>
      </c>
      <c r="B7147" s="21"/>
      <c r="C7147" s="33" t="s">
        <v>11419</v>
      </c>
      <c r="E7147" s="46" t="s">
        <v>7616</v>
      </c>
    </row>
    <row r="7148">
      <c r="A7148" s="56" t="s">
        <v>18150</v>
      </c>
      <c r="B7148" s="21"/>
      <c r="C7148" s="33" t="s">
        <v>11419</v>
      </c>
      <c r="E7148" s="46" t="s">
        <v>7618</v>
      </c>
    </row>
    <row r="7149">
      <c r="A7149" s="56" t="s">
        <v>18151</v>
      </c>
      <c r="B7149" s="21"/>
      <c r="C7149" s="33" t="s">
        <v>11411</v>
      </c>
      <c r="E7149" s="46" t="s">
        <v>7616</v>
      </c>
    </row>
    <row r="7150">
      <c r="A7150" s="56" t="s">
        <v>18152</v>
      </c>
      <c r="B7150" s="21"/>
      <c r="C7150" s="33" t="s">
        <v>11411</v>
      </c>
      <c r="E7150" s="46" t="s">
        <v>7618</v>
      </c>
    </row>
    <row r="7151">
      <c r="A7151" s="56" t="s">
        <v>18153</v>
      </c>
      <c r="B7151" s="21"/>
      <c r="C7151" s="33" t="s">
        <v>11416</v>
      </c>
      <c r="E7151" s="46" t="s">
        <v>7616</v>
      </c>
    </row>
    <row r="7152">
      <c r="A7152" s="56" t="s">
        <v>18156</v>
      </c>
      <c r="B7152" s="21"/>
      <c r="C7152" s="33" t="s">
        <v>11416</v>
      </c>
      <c r="E7152" s="46" t="s">
        <v>7618</v>
      </c>
    </row>
    <row r="7153">
      <c r="A7153" s="56" t="s">
        <v>18158</v>
      </c>
      <c r="B7153" s="21"/>
      <c r="C7153" s="33" t="s">
        <v>11419</v>
      </c>
      <c r="E7153" s="46" t="s">
        <v>7616</v>
      </c>
    </row>
    <row r="7154">
      <c r="A7154" s="56" t="s">
        <v>18159</v>
      </c>
      <c r="B7154" s="21"/>
      <c r="C7154" s="33" t="s">
        <v>11419</v>
      </c>
      <c r="E7154" s="46" t="s">
        <v>7618</v>
      </c>
    </row>
    <row r="7155">
      <c r="A7155" s="56" t="s">
        <v>18160</v>
      </c>
      <c r="B7155" s="55"/>
      <c r="C7155" s="31"/>
    </row>
    <row r="7156">
      <c r="A7156" s="56" t="s">
        <v>18161</v>
      </c>
      <c r="B7156" s="55"/>
      <c r="C7156" s="31"/>
    </row>
    <row r="7157">
      <c r="A7157" s="56" t="s">
        <v>18162</v>
      </c>
      <c r="B7157" s="55"/>
      <c r="C7157" s="31"/>
    </row>
    <row r="7158">
      <c r="A7158" s="56" t="s">
        <v>18164</v>
      </c>
      <c r="B7158" s="55"/>
      <c r="C7158" s="31"/>
    </row>
    <row r="7159">
      <c r="A7159" s="56" t="s">
        <v>18166</v>
      </c>
      <c r="B7159" s="55"/>
      <c r="C7159" s="31"/>
    </row>
    <row r="7160">
      <c r="A7160" s="56" t="s">
        <v>18167</v>
      </c>
      <c r="B7160" s="55"/>
      <c r="C7160" s="31"/>
    </row>
    <row r="7161">
      <c r="A7161" s="56" t="s">
        <v>18168</v>
      </c>
      <c r="B7161" s="55"/>
      <c r="C7161" s="31"/>
    </row>
    <row r="7162">
      <c r="A7162" s="56" t="s">
        <v>18170</v>
      </c>
      <c r="B7162" s="55"/>
      <c r="C7162" s="31"/>
    </row>
    <row r="7163">
      <c r="A7163" s="56" t="s">
        <v>18171</v>
      </c>
      <c r="B7163" s="55"/>
      <c r="C7163" s="31"/>
    </row>
    <row r="7164">
      <c r="A7164" s="56" t="s">
        <v>18172</v>
      </c>
      <c r="B7164" s="55"/>
      <c r="C7164" s="31"/>
    </row>
    <row r="7165">
      <c r="A7165" s="56" t="s">
        <v>18173</v>
      </c>
      <c r="B7165" s="55"/>
      <c r="C7165" s="31"/>
    </row>
    <row r="7166">
      <c r="A7166" s="56" t="s">
        <v>18175</v>
      </c>
      <c r="B7166" s="55"/>
      <c r="C7166" s="31"/>
    </row>
    <row r="7167">
      <c r="A7167" s="56" t="s">
        <v>18177</v>
      </c>
      <c r="B7167" s="55"/>
      <c r="C7167" s="31"/>
    </row>
    <row r="7168">
      <c r="A7168" s="56" t="s">
        <v>18178</v>
      </c>
      <c r="B7168" s="55"/>
      <c r="C7168" s="31"/>
    </row>
    <row r="7169">
      <c r="A7169" s="56" t="s">
        <v>18179</v>
      </c>
      <c r="B7169" s="55"/>
      <c r="C7169" s="31"/>
    </row>
    <row r="7170">
      <c r="A7170" s="56" t="s">
        <v>18180</v>
      </c>
      <c r="B7170" s="55"/>
      <c r="C7170" s="31"/>
    </row>
    <row r="7171">
      <c r="A7171" s="56" t="s">
        <v>18181</v>
      </c>
      <c r="B7171" s="55"/>
      <c r="C7171" s="31"/>
    </row>
    <row r="7172">
      <c r="A7172" s="56" t="s">
        <v>18182</v>
      </c>
      <c r="B7172" s="55"/>
      <c r="C7172" s="31"/>
    </row>
    <row r="7173">
      <c r="A7173" s="56" t="s">
        <v>18184</v>
      </c>
      <c r="B7173" s="55"/>
      <c r="C7173" s="31"/>
    </row>
    <row r="7174">
      <c r="A7174" s="56" t="s">
        <v>18186</v>
      </c>
      <c r="B7174" s="55"/>
      <c r="C7174" s="31"/>
    </row>
    <row r="7175">
      <c r="A7175" s="56" t="s">
        <v>18187</v>
      </c>
      <c r="B7175" s="55"/>
      <c r="C7175" s="31"/>
    </row>
    <row r="7176">
      <c r="A7176" s="56" t="s">
        <v>18188</v>
      </c>
      <c r="B7176" s="55"/>
      <c r="C7176" s="31"/>
    </row>
    <row r="7177">
      <c r="A7177" s="56" t="s">
        <v>18190</v>
      </c>
      <c r="B7177" s="55"/>
      <c r="C7177" s="31"/>
    </row>
    <row r="7178">
      <c r="A7178" s="56" t="s">
        <v>18191</v>
      </c>
      <c r="B7178" s="55"/>
      <c r="C7178" s="31"/>
    </row>
    <row r="7179">
      <c r="A7179" s="56" t="s">
        <v>18192</v>
      </c>
      <c r="B7179" s="55"/>
      <c r="C7179" s="31"/>
    </row>
    <row r="7180">
      <c r="A7180" s="56" t="s">
        <v>18193</v>
      </c>
      <c r="B7180" s="55"/>
      <c r="C7180" s="31"/>
    </row>
    <row r="7181">
      <c r="A7181" s="56" t="s">
        <v>18194</v>
      </c>
      <c r="B7181" s="55"/>
      <c r="C7181" s="31"/>
    </row>
    <row r="7182">
      <c r="A7182" s="56" t="s">
        <v>18195</v>
      </c>
      <c r="B7182" s="82"/>
      <c r="C7182" s="33" t="s">
        <v>18196</v>
      </c>
    </row>
    <row r="7183">
      <c r="A7183" s="56" t="s">
        <v>18197</v>
      </c>
      <c r="B7183" s="55"/>
      <c r="C7183" s="31"/>
    </row>
    <row r="7184">
      <c r="A7184" s="56" t="s">
        <v>18200</v>
      </c>
      <c r="B7184" s="55"/>
      <c r="C7184" s="31"/>
    </row>
    <row r="7185">
      <c r="A7185" s="56" t="s">
        <v>18202</v>
      </c>
      <c r="B7185" s="55"/>
      <c r="C7185" s="31"/>
    </row>
    <row r="7186">
      <c r="A7186" s="56" t="s">
        <v>18203</v>
      </c>
      <c r="B7186" s="55"/>
      <c r="C7186" s="31"/>
    </row>
    <row r="7187">
      <c r="A7187" s="56" t="s">
        <v>18204</v>
      </c>
      <c r="B7187" s="55"/>
      <c r="C7187" s="31"/>
    </row>
    <row r="7188">
      <c r="A7188" s="56" t="s">
        <v>18205</v>
      </c>
      <c r="B7188" s="55"/>
      <c r="C7188" s="31"/>
    </row>
    <row r="7189">
      <c r="A7189" s="56" t="s">
        <v>18206</v>
      </c>
      <c r="B7189" s="55"/>
      <c r="C7189" s="31"/>
    </row>
    <row r="7190">
      <c r="A7190" s="56" t="s">
        <v>18207</v>
      </c>
      <c r="B7190" s="55"/>
      <c r="C7190" s="31"/>
    </row>
    <row r="7191">
      <c r="A7191" s="56" t="s">
        <v>18210</v>
      </c>
      <c r="B7191" s="55"/>
      <c r="C7191" s="31"/>
    </row>
    <row r="7192">
      <c r="A7192" s="56" t="s">
        <v>18211</v>
      </c>
      <c r="B7192" s="55"/>
      <c r="C7192" s="31"/>
    </row>
    <row r="7193">
      <c r="A7193" s="56" t="s">
        <v>18212</v>
      </c>
      <c r="B7193" s="55"/>
      <c r="C7193" s="31"/>
    </row>
    <row r="7194">
      <c r="A7194" s="56" t="s">
        <v>18214</v>
      </c>
      <c r="B7194" s="55"/>
      <c r="C7194" s="31"/>
    </row>
    <row r="7195">
      <c r="A7195" s="56" t="s">
        <v>18215</v>
      </c>
      <c r="B7195" s="55"/>
      <c r="C7195" s="31"/>
    </row>
    <row r="7196">
      <c r="A7196" s="56" t="s">
        <v>18216</v>
      </c>
      <c r="B7196" s="82"/>
      <c r="C7196" s="33" t="s">
        <v>18217</v>
      </c>
    </row>
    <row r="7197">
      <c r="A7197" s="56" t="s">
        <v>18219</v>
      </c>
      <c r="B7197" s="55"/>
      <c r="C7197" s="31"/>
    </row>
    <row r="7198">
      <c r="A7198" s="56" t="s">
        <v>18220</v>
      </c>
      <c r="B7198" s="55"/>
      <c r="C7198" s="31"/>
    </row>
    <row r="7199">
      <c r="A7199" s="56" t="s">
        <v>18221</v>
      </c>
      <c r="B7199" s="55"/>
      <c r="C7199" s="31"/>
    </row>
    <row r="7200">
      <c r="A7200" s="56" t="s">
        <v>18222</v>
      </c>
      <c r="B7200" s="55"/>
      <c r="C7200" s="31"/>
    </row>
    <row r="7201">
      <c r="A7201" s="56" t="s">
        <v>18223</v>
      </c>
      <c r="B7201" s="55"/>
      <c r="C7201" s="31"/>
    </row>
    <row r="7202">
      <c r="A7202" s="56" t="s">
        <v>18224</v>
      </c>
      <c r="B7202" s="55"/>
      <c r="C7202" s="31"/>
    </row>
    <row r="7203">
      <c r="A7203" s="56" t="s">
        <v>18225</v>
      </c>
      <c r="B7203" s="55"/>
      <c r="C7203" s="31"/>
    </row>
    <row r="7204">
      <c r="A7204" s="56" t="s">
        <v>18226</v>
      </c>
      <c r="B7204" s="82"/>
      <c r="C7204" s="33" t="s">
        <v>18227</v>
      </c>
    </row>
    <row r="7205">
      <c r="A7205" s="56" t="s">
        <v>18230</v>
      </c>
      <c r="B7205" s="82"/>
      <c r="C7205" s="33" t="s">
        <v>11373</v>
      </c>
      <c r="E7205" s="46" t="s">
        <v>7616</v>
      </c>
    </row>
    <row r="7206">
      <c r="A7206" s="56" t="s">
        <v>18232</v>
      </c>
      <c r="B7206" s="82"/>
      <c r="C7206" s="33" t="s">
        <v>11373</v>
      </c>
      <c r="E7206" s="46" t="s">
        <v>7618</v>
      </c>
    </row>
    <row r="7207">
      <c r="A7207" s="56" t="s">
        <v>18233</v>
      </c>
      <c r="B7207" s="82"/>
      <c r="C7207" s="33" t="s">
        <v>11376</v>
      </c>
      <c r="E7207" s="46" t="s">
        <v>7616</v>
      </c>
    </row>
    <row r="7208">
      <c r="A7208" s="56" t="s">
        <v>18234</v>
      </c>
      <c r="B7208" s="82"/>
      <c r="C7208" s="33" t="s">
        <v>11376</v>
      </c>
      <c r="E7208" s="46" t="s">
        <v>7618</v>
      </c>
    </row>
    <row r="7209">
      <c r="A7209" s="56" t="s">
        <v>18235</v>
      </c>
      <c r="B7209" s="82"/>
      <c r="C7209" s="33" t="s">
        <v>11380</v>
      </c>
      <c r="E7209" s="46" t="s">
        <v>7616</v>
      </c>
    </row>
    <row r="7210">
      <c r="A7210" s="56" t="s">
        <v>18236</v>
      </c>
      <c r="B7210" s="82"/>
      <c r="C7210" s="33" t="s">
        <v>11380</v>
      </c>
      <c r="E7210" s="46" t="s">
        <v>7618</v>
      </c>
    </row>
    <row r="7211">
      <c r="A7211" s="56" t="s">
        <v>18239</v>
      </c>
      <c r="B7211" s="79"/>
      <c r="C7211" s="33" t="s">
        <v>11384</v>
      </c>
      <c r="E7211" s="46" t="s">
        <v>1348</v>
      </c>
    </row>
    <row r="7212">
      <c r="A7212" s="56" t="s">
        <v>18240</v>
      </c>
      <c r="B7212" s="79"/>
      <c r="C7212" s="33" t="s">
        <v>11384</v>
      </c>
      <c r="E7212" s="46" t="s">
        <v>1348</v>
      </c>
    </row>
    <row r="7213">
      <c r="A7213" s="56" t="s">
        <v>18242</v>
      </c>
      <c r="B7213" s="79"/>
      <c r="C7213" s="33" t="s">
        <v>11389</v>
      </c>
      <c r="E7213" s="46" t="s">
        <v>1348</v>
      </c>
    </row>
    <row r="7214">
      <c r="A7214" s="56" t="s">
        <v>18243</v>
      </c>
      <c r="B7214" s="21"/>
      <c r="C7214" s="33" t="s">
        <v>11391</v>
      </c>
      <c r="E7214" s="46" t="s">
        <v>7616</v>
      </c>
    </row>
    <row r="7215">
      <c r="A7215" s="56" t="s">
        <v>18245</v>
      </c>
      <c r="B7215" s="21"/>
      <c r="C7215" s="33" t="s">
        <v>11391</v>
      </c>
      <c r="E7215" s="46" t="s">
        <v>7618</v>
      </c>
    </row>
    <row r="7216">
      <c r="A7216" s="56" t="s">
        <v>18246</v>
      </c>
      <c r="B7216" s="21"/>
      <c r="C7216" s="33" t="s">
        <v>11394</v>
      </c>
      <c r="E7216" s="46" t="s">
        <v>7616</v>
      </c>
    </row>
    <row r="7217">
      <c r="A7217" s="56" t="s">
        <v>18247</v>
      </c>
      <c r="B7217" s="21"/>
      <c r="C7217" s="33" t="s">
        <v>11394</v>
      </c>
      <c r="E7217" s="46" t="s">
        <v>7618</v>
      </c>
    </row>
    <row r="7218">
      <c r="A7218" s="56" t="s">
        <v>18248</v>
      </c>
      <c r="B7218" s="21"/>
      <c r="C7218" s="33" t="s">
        <v>11398</v>
      </c>
      <c r="E7218" s="46" t="s">
        <v>7616</v>
      </c>
    </row>
    <row r="7219">
      <c r="A7219" s="56" t="s">
        <v>18249</v>
      </c>
      <c r="B7219" s="21"/>
      <c r="C7219" s="33" t="s">
        <v>11398</v>
      </c>
      <c r="E7219" s="46" t="s">
        <v>7618</v>
      </c>
    </row>
    <row r="7220">
      <c r="A7220" s="56" t="s">
        <v>18251</v>
      </c>
      <c r="B7220" s="21"/>
      <c r="C7220" s="33" t="s">
        <v>11391</v>
      </c>
      <c r="E7220" s="46" t="s">
        <v>7616</v>
      </c>
    </row>
    <row r="7221">
      <c r="A7221" s="56" t="s">
        <v>18253</v>
      </c>
      <c r="B7221" s="21"/>
      <c r="C7221" s="33" t="s">
        <v>11391</v>
      </c>
      <c r="E7221" s="46" t="s">
        <v>7618</v>
      </c>
    </row>
    <row r="7222">
      <c r="A7222" s="56" t="s">
        <v>18254</v>
      </c>
      <c r="B7222" s="21"/>
      <c r="C7222" s="33" t="s">
        <v>11394</v>
      </c>
      <c r="E7222" s="46" t="s">
        <v>7616</v>
      </c>
    </row>
    <row r="7223">
      <c r="A7223" s="56" t="s">
        <v>18255</v>
      </c>
      <c r="B7223" s="21"/>
      <c r="C7223" s="33" t="s">
        <v>11394</v>
      </c>
      <c r="E7223" s="46" t="s">
        <v>7618</v>
      </c>
    </row>
    <row r="7224">
      <c r="A7224" s="56" t="s">
        <v>18256</v>
      </c>
      <c r="B7224" s="21"/>
      <c r="C7224" s="33" t="s">
        <v>11398</v>
      </c>
      <c r="E7224" s="46" t="s">
        <v>7616</v>
      </c>
    </row>
    <row r="7225">
      <c r="A7225" s="56" t="s">
        <v>18257</v>
      </c>
      <c r="B7225" s="21"/>
      <c r="C7225" s="33" t="s">
        <v>11398</v>
      </c>
      <c r="E7225" s="46" t="s">
        <v>7618</v>
      </c>
    </row>
    <row r="7226">
      <c r="A7226" s="56" t="s">
        <v>18260</v>
      </c>
      <c r="B7226" s="21"/>
      <c r="C7226" s="33" t="s">
        <v>11411</v>
      </c>
      <c r="E7226" s="46" t="s">
        <v>7616</v>
      </c>
    </row>
    <row r="7227">
      <c r="A7227" s="56" t="s">
        <v>18261</v>
      </c>
      <c r="B7227" s="21"/>
      <c r="C7227" s="33" t="s">
        <v>11411</v>
      </c>
      <c r="E7227" s="46" t="s">
        <v>7618</v>
      </c>
    </row>
    <row r="7228">
      <c r="A7228" s="56" t="s">
        <v>18262</v>
      </c>
      <c r="B7228" s="21"/>
      <c r="C7228" s="33" t="s">
        <v>11416</v>
      </c>
      <c r="E7228" s="46" t="s">
        <v>7616</v>
      </c>
    </row>
    <row r="7229">
      <c r="A7229" s="56" t="s">
        <v>18263</v>
      </c>
      <c r="B7229" s="21"/>
      <c r="C7229" s="33" t="s">
        <v>11416</v>
      </c>
      <c r="E7229" s="46" t="s">
        <v>7618</v>
      </c>
    </row>
    <row r="7230">
      <c r="A7230" s="56" t="s">
        <v>18265</v>
      </c>
      <c r="B7230" s="21"/>
      <c r="C7230" s="33" t="s">
        <v>11419</v>
      </c>
      <c r="E7230" s="46" t="s">
        <v>7616</v>
      </c>
    </row>
    <row r="7231">
      <c r="A7231" s="56" t="s">
        <v>18267</v>
      </c>
      <c r="B7231" s="21"/>
      <c r="C7231" s="33" t="s">
        <v>11419</v>
      </c>
      <c r="E7231" s="46" t="s">
        <v>7618</v>
      </c>
    </row>
    <row r="7232">
      <c r="A7232" s="56" t="s">
        <v>18268</v>
      </c>
      <c r="B7232" s="21"/>
      <c r="C7232" s="33" t="s">
        <v>11411</v>
      </c>
      <c r="E7232" s="46" t="s">
        <v>7616</v>
      </c>
    </row>
    <row r="7233">
      <c r="A7233" s="56" t="s">
        <v>18269</v>
      </c>
      <c r="B7233" s="21"/>
      <c r="C7233" s="33" t="s">
        <v>11411</v>
      </c>
      <c r="E7233" s="46" t="s">
        <v>7618</v>
      </c>
    </row>
    <row r="7234">
      <c r="A7234" s="56" t="s">
        <v>18270</v>
      </c>
      <c r="B7234" s="21"/>
      <c r="C7234" s="33" t="s">
        <v>11416</v>
      </c>
      <c r="E7234" s="46" t="s">
        <v>7616</v>
      </c>
    </row>
    <row r="7235">
      <c r="A7235" s="56" t="s">
        <v>18271</v>
      </c>
      <c r="B7235" s="21"/>
      <c r="C7235" s="33" t="s">
        <v>11416</v>
      </c>
      <c r="E7235" s="46" t="s">
        <v>7618</v>
      </c>
    </row>
    <row r="7236">
      <c r="A7236" s="56" t="s">
        <v>18272</v>
      </c>
      <c r="B7236" s="21"/>
      <c r="C7236" s="33" t="s">
        <v>11419</v>
      </c>
      <c r="E7236" s="46" t="s">
        <v>7616</v>
      </c>
    </row>
    <row r="7237">
      <c r="A7237" s="56" t="s">
        <v>18274</v>
      </c>
      <c r="B7237" s="21"/>
      <c r="C7237" s="33" t="s">
        <v>11419</v>
      </c>
      <c r="E7237" s="46" t="s">
        <v>7618</v>
      </c>
    </row>
    <row r="7238">
      <c r="A7238" s="56" t="s">
        <v>18275</v>
      </c>
      <c r="B7238" s="55"/>
      <c r="C7238" s="31"/>
    </row>
    <row r="7239">
      <c r="A7239" s="56" t="s">
        <v>18277</v>
      </c>
      <c r="B7239" s="55"/>
      <c r="C7239" s="31"/>
    </row>
    <row r="7240">
      <c r="A7240" s="56" t="s">
        <v>18278</v>
      </c>
      <c r="B7240" s="55"/>
      <c r="C7240" s="31"/>
    </row>
    <row r="7241">
      <c r="A7241" s="56" t="s">
        <v>18279</v>
      </c>
      <c r="B7241" s="55"/>
      <c r="C7241" s="31"/>
    </row>
    <row r="7242">
      <c r="A7242" s="56" t="s">
        <v>18280</v>
      </c>
      <c r="B7242" s="55"/>
      <c r="C7242" s="31"/>
    </row>
    <row r="7243">
      <c r="A7243" s="56" t="s">
        <v>18282</v>
      </c>
      <c r="B7243" s="55"/>
      <c r="C7243" s="31"/>
    </row>
    <row r="7244">
      <c r="A7244" s="56" t="s">
        <v>18283</v>
      </c>
      <c r="B7244" s="55"/>
      <c r="C7244" s="31"/>
    </row>
    <row r="7245">
      <c r="A7245" s="56" t="s">
        <v>18284</v>
      </c>
      <c r="B7245" s="55"/>
      <c r="C7245" s="31"/>
    </row>
    <row r="7246">
      <c r="A7246" s="56" t="s">
        <v>18285</v>
      </c>
      <c r="B7246" s="55"/>
      <c r="C7246" s="31"/>
    </row>
    <row r="7247">
      <c r="A7247" s="56" t="s">
        <v>18286</v>
      </c>
      <c r="B7247" s="55"/>
      <c r="C7247" s="31"/>
    </row>
    <row r="7248">
      <c r="A7248" s="56" t="s">
        <v>18287</v>
      </c>
      <c r="B7248" s="55"/>
      <c r="C7248" s="31"/>
    </row>
    <row r="7249">
      <c r="A7249" s="56" t="s">
        <v>18289</v>
      </c>
      <c r="B7249" s="55"/>
      <c r="C7249" s="31"/>
    </row>
    <row r="7250">
      <c r="A7250" s="56" t="s">
        <v>18291</v>
      </c>
      <c r="B7250" s="55"/>
      <c r="C7250" s="31"/>
    </row>
    <row r="7251">
      <c r="A7251" s="56" t="s">
        <v>18293</v>
      </c>
      <c r="B7251" s="55"/>
      <c r="C7251" s="31"/>
    </row>
    <row r="7252">
      <c r="A7252" s="56" t="s">
        <v>18295</v>
      </c>
      <c r="B7252" s="55"/>
      <c r="C7252" s="31"/>
    </row>
    <row r="7253">
      <c r="A7253" s="56" t="s">
        <v>18296</v>
      </c>
      <c r="B7253" s="55"/>
      <c r="C7253" s="31"/>
    </row>
    <row r="7254">
      <c r="A7254" s="56" t="s">
        <v>18297</v>
      </c>
      <c r="B7254" s="55"/>
      <c r="C7254" s="31"/>
    </row>
    <row r="7255">
      <c r="A7255" s="56" t="s">
        <v>18298</v>
      </c>
      <c r="B7255" s="55"/>
      <c r="C7255" s="31"/>
    </row>
    <row r="7256">
      <c r="A7256" s="56" t="s">
        <v>18299</v>
      </c>
      <c r="B7256" s="55"/>
      <c r="C7256" s="31"/>
    </row>
    <row r="7257">
      <c r="A7257" s="56" t="s">
        <v>18300</v>
      </c>
      <c r="B7257" s="55"/>
      <c r="C7257" s="31"/>
    </row>
    <row r="7258">
      <c r="A7258" s="56" t="s">
        <v>18301</v>
      </c>
      <c r="B7258" s="55"/>
      <c r="C7258" s="31"/>
    </row>
    <row r="7259">
      <c r="A7259" s="56" t="s">
        <v>18303</v>
      </c>
      <c r="B7259" s="55"/>
      <c r="C7259" s="31"/>
    </row>
    <row r="7260">
      <c r="A7260" s="56" t="s">
        <v>18305</v>
      </c>
      <c r="B7260" s="55"/>
      <c r="C7260" s="31"/>
    </row>
    <row r="7261">
      <c r="A7261" s="56" t="s">
        <v>18306</v>
      </c>
      <c r="B7261" s="55"/>
      <c r="C7261" s="31"/>
    </row>
    <row r="7262">
      <c r="A7262" s="56" t="s">
        <v>18307</v>
      </c>
      <c r="B7262" s="55"/>
      <c r="C7262" s="31"/>
    </row>
    <row r="7263">
      <c r="A7263" s="56" t="s">
        <v>18308</v>
      </c>
      <c r="B7263" s="55"/>
      <c r="C7263" s="31"/>
    </row>
    <row r="7264">
      <c r="A7264" s="56" t="s">
        <v>18309</v>
      </c>
      <c r="B7264" s="55"/>
      <c r="C7264" s="31"/>
    </row>
    <row r="7265">
      <c r="A7265" s="56" t="s">
        <v>18310</v>
      </c>
      <c r="B7265" s="55"/>
      <c r="C7265" s="31"/>
    </row>
    <row r="7266">
      <c r="A7266" s="56" t="s">
        <v>18311</v>
      </c>
      <c r="B7266" s="55"/>
      <c r="C7266" s="31"/>
    </row>
    <row r="7267">
      <c r="A7267" s="56" t="s">
        <v>18312</v>
      </c>
      <c r="B7267" s="55"/>
      <c r="C7267" s="31"/>
    </row>
    <row r="7268">
      <c r="A7268" s="56" t="s">
        <v>18313</v>
      </c>
      <c r="B7268" s="55"/>
      <c r="C7268" s="31"/>
    </row>
    <row r="7269">
      <c r="A7269" s="56" t="s">
        <v>18314</v>
      </c>
      <c r="B7269" s="55"/>
      <c r="C7269" s="31"/>
    </row>
    <row r="7270">
      <c r="A7270" s="56" t="s">
        <v>18315</v>
      </c>
      <c r="B7270" s="55"/>
      <c r="C7270" s="31"/>
    </row>
    <row r="7271">
      <c r="A7271" s="56" t="s">
        <v>18318</v>
      </c>
      <c r="B7271" s="82"/>
      <c r="C7271" s="33" t="s">
        <v>18319</v>
      </c>
    </row>
    <row r="7272">
      <c r="A7272" s="56" t="s">
        <v>18320</v>
      </c>
      <c r="B7272" s="55"/>
      <c r="C7272" s="31"/>
    </row>
    <row r="7273">
      <c r="A7273" s="56" t="s">
        <v>18321</v>
      </c>
      <c r="B7273" s="55"/>
      <c r="C7273" s="31"/>
    </row>
    <row r="7274">
      <c r="A7274" s="56" t="s">
        <v>18322</v>
      </c>
      <c r="B7274" s="55"/>
      <c r="C7274" s="31"/>
    </row>
    <row r="7275">
      <c r="A7275" s="56" t="s">
        <v>18323</v>
      </c>
      <c r="B7275" s="55"/>
      <c r="C7275" s="31"/>
    </row>
    <row r="7276">
      <c r="A7276" s="56" t="s">
        <v>18324</v>
      </c>
      <c r="B7276" s="55"/>
      <c r="C7276" s="31"/>
    </row>
    <row r="7277">
      <c r="A7277" s="56" t="s">
        <v>18325</v>
      </c>
      <c r="B7277" s="55"/>
      <c r="C7277" s="31"/>
    </row>
    <row r="7278">
      <c r="A7278" s="56" t="s">
        <v>18326</v>
      </c>
      <c r="B7278" s="55"/>
      <c r="C7278" s="31"/>
    </row>
    <row r="7279">
      <c r="A7279" s="56" t="s">
        <v>18328</v>
      </c>
      <c r="B7279" s="55"/>
      <c r="C7279" s="31"/>
    </row>
    <row r="7280">
      <c r="A7280" s="56" t="s">
        <v>18329</v>
      </c>
      <c r="B7280" s="55"/>
      <c r="C7280" s="31"/>
    </row>
    <row r="7281">
      <c r="A7281" s="56" t="s">
        <v>18330</v>
      </c>
      <c r="B7281" s="55"/>
      <c r="C7281" s="31"/>
    </row>
    <row r="7282">
      <c r="A7282" s="56" t="s">
        <v>18331</v>
      </c>
      <c r="B7282" s="55"/>
      <c r="C7282" s="31"/>
    </row>
    <row r="7283">
      <c r="A7283" s="56" t="s">
        <v>18333</v>
      </c>
      <c r="B7283" s="55"/>
      <c r="C7283" s="31"/>
    </row>
    <row r="7284">
      <c r="A7284" s="56" t="s">
        <v>18334</v>
      </c>
      <c r="B7284" s="55"/>
      <c r="C7284" s="31"/>
    </row>
    <row r="7285">
      <c r="A7285" s="56" t="s">
        <v>18335</v>
      </c>
      <c r="B7285" s="55"/>
      <c r="C7285" s="31"/>
    </row>
    <row r="7286">
      <c r="A7286" s="56" t="s">
        <v>18337</v>
      </c>
      <c r="B7286" s="55"/>
      <c r="C7286" s="31"/>
    </row>
    <row r="7287">
      <c r="A7287" s="56" t="s">
        <v>18338</v>
      </c>
      <c r="B7287" s="55"/>
      <c r="C7287" s="31"/>
    </row>
    <row r="7288">
      <c r="A7288" s="56" t="s">
        <v>18340</v>
      </c>
      <c r="B7288" s="55"/>
      <c r="C7288" s="31"/>
    </row>
    <row r="7289">
      <c r="A7289" s="56" t="s">
        <v>18343</v>
      </c>
      <c r="B7289" s="55"/>
      <c r="C7289" s="31"/>
    </row>
    <row r="7290">
      <c r="A7290" s="56" t="s">
        <v>18344</v>
      </c>
      <c r="B7290" s="55"/>
      <c r="C7290" s="31"/>
    </row>
    <row r="7291">
      <c r="A7291" s="56" t="s">
        <v>18345</v>
      </c>
      <c r="B7291" s="55"/>
      <c r="C7291" s="31"/>
    </row>
    <row r="7292">
      <c r="A7292" s="56" t="s">
        <v>18346</v>
      </c>
      <c r="B7292" s="55"/>
      <c r="C7292" s="31"/>
    </row>
    <row r="7293">
      <c r="A7293" s="56" t="s">
        <v>18347</v>
      </c>
      <c r="B7293" s="55"/>
      <c r="C7293" s="31"/>
    </row>
    <row r="7294">
      <c r="A7294" s="56" t="s">
        <v>18348</v>
      </c>
      <c r="B7294" s="55"/>
      <c r="C7294" s="31"/>
    </row>
    <row r="7295">
      <c r="A7295" s="56" t="s">
        <v>18349</v>
      </c>
      <c r="B7295" s="55"/>
      <c r="C7295" s="31"/>
    </row>
    <row r="7296">
      <c r="A7296" s="56" t="s">
        <v>18350</v>
      </c>
      <c r="B7296" s="55"/>
      <c r="C7296" s="31"/>
    </row>
    <row r="7297">
      <c r="A7297" s="56" t="s">
        <v>18351</v>
      </c>
      <c r="B7297" s="55"/>
      <c r="C7297" s="31"/>
    </row>
    <row r="7298">
      <c r="A7298" s="56" t="s">
        <v>18352</v>
      </c>
      <c r="B7298" s="55"/>
      <c r="C7298" s="31"/>
    </row>
    <row r="7299">
      <c r="A7299" s="56" t="s">
        <v>18355</v>
      </c>
      <c r="B7299" s="55"/>
      <c r="C7299" s="31"/>
    </row>
    <row r="7300">
      <c r="A7300" s="56" t="s">
        <v>18358</v>
      </c>
      <c r="B7300" s="55"/>
      <c r="C7300" s="31"/>
    </row>
    <row r="7301">
      <c r="A7301" s="56" t="s">
        <v>18359</v>
      </c>
      <c r="B7301" s="55"/>
      <c r="C7301" s="31"/>
    </row>
    <row r="7302">
      <c r="A7302" s="56" t="s">
        <v>18360</v>
      </c>
      <c r="B7302" s="55"/>
      <c r="C7302" s="31"/>
    </row>
    <row r="7303">
      <c r="A7303" s="56" t="s">
        <v>18362</v>
      </c>
      <c r="B7303" s="55"/>
      <c r="C7303" s="31"/>
    </row>
    <row r="7304">
      <c r="A7304" s="56" t="s">
        <v>18363</v>
      </c>
      <c r="B7304" s="55"/>
      <c r="C7304" s="31"/>
    </row>
    <row r="7305">
      <c r="A7305" s="56" t="s">
        <v>18364</v>
      </c>
      <c r="B7305" s="55"/>
      <c r="C7305" s="31"/>
    </row>
    <row r="7306">
      <c r="A7306" s="56" t="s">
        <v>18365</v>
      </c>
      <c r="B7306" s="55"/>
      <c r="C7306" s="31"/>
    </row>
    <row r="7307">
      <c r="A7307" s="56" t="s">
        <v>18366</v>
      </c>
      <c r="B7307" s="55"/>
      <c r="C7307" s="31"/>
    </row>
    <row r="7308">
      <c r="A7308" s="56" t="s">
        <v>18367</v>
      </c>
      <c r="B7308" s="55"/>
      <c r="C7308" s="31"/>
    </row>
    <row r="7309">
      <c r="A7309" s="56" t="s">
        <v>18368</v>
      </c>
      <c r="B7309" s="55"/>
      <c r="C7309" s="31"/>
    </row>
    <row r="7310">
      <c r="A7310" s="56" t="s">
        <v>18369</v>
      </c>
      <c r="B7310" s="55"/>
      <c r="C7310" s="31"/>
    </row>
    <row r="7311">
      <c r="A7311" s="56" t="s">
        <v>18370</v>
      </c>
      <c r="B7311" s="55"/>
      <c r="C7311" s="31"/>
    </row>
    <row r="7312">
      <c r="A7312" s="56" t="s">
        <v>18372</v>
      </c>
      <c r="B7312" s="55"/>
      <c r="C7312" s="31"/>
    </row>
    <row r="7313">
      <c r="A7313" s="56" t="s">
        <v>18374</v>
      </c>
      <c r="B7313" s="55"/>
      <c r="C7313" s="31"/>
    </row>
    <row r="7314">
      <c r="A7314" s="56" t="s">
        <v>18375</v>
      </c>
      <c r="B7314" s="55"/>
      <c r="C7314" s="31"/>
    </row>
    <row r="7315">
      <c r="A7315" s="56" t="s">
        <v>18376</v>
      </c>
      <c r="B7315" s="55"/>
      <c r="C7315" s="31"/>
    </row>
    <row r="7316">
      <c r="A7316" s="56" t="s">
        <v>18378</v>
      </c>
      <c r="B7316" s="55"/>
      <c r="C7316" s="31"/>
    </row>
    <row r="7317">
      <c r="A7317" s="56" t="s">
        <v>18379</v>
      </c>
      <c r="B7317" s="55"/>
      <c r="C7317" s="31"/>
    </row>
    <row r="7318">
      <c r="A7318" s="56" t="s">
        <v>18380</v>
      </c>
      <c r="B7318" s="55"/>
      <c r="C7318" s="31"/>
    </row>
    <row r="7319">
      <c r="A7319" s="56" t="s">
        <v>18381</v>
      </c>
      <c r="B7319" s="55"/>
      <c r="C7319" s="31"/>
    </row>
    <row r="7320">
      <c r="A7320" s="56" t="s">
        <v>18382</v>
      </c>
      <c r="B7320" s="55"/>
      <c r="C7320" s="31"/>
    </row>
    <row r="7321">
      <c r="A7321" s="56" t="s">
        <v>18384</v>
      </c>
      <c r="B7321" s="55"/>
      <c r="C7321" s="31"/>
    </row>
    <row r="7322">
      <c r="A7322" s="56" t="s">
        <v>18385</v>
      </c>
      <c r="B7322" s="55"/>
      <c r="C7322" s="31"/>
    </row>
    <row r="7323">
      <c r="A7323" s="56" t="s">
        <v>18386</v>
      </c>
      <c r="B7323" s="55"/>
      <c r="C7323" s="31"/>
    </row>
    <row r="7324">
      <c r="A7324" s="56" t="s">
        <v>18387</v>
      </c>
      <c r="B7324" s="55"/>
      <c r="C7324" s="31"/>
    </row>
    <row r="7325">
      <c r="A7325" s="56" t="s">
        <v>18388</v>
      </c>
      <c r="B7325" s="55"/>
      <c r="C7325" s="31"/>
    </row>
    <row r="7326">
      <c r="A7326" s="56" t="s">
        <v>18389</v>
      </c>
      <c r="B7326" s="55"/>
      <c r="C7326" s="31"/>
    </row>
    <row r="7327">
      <c r="A7327" s="56" t="s">
        <v>18391</v>
      </c>
      <c r="B7327" s="55"/>
      <c r="C7327" s="31"/>
    </row>
    <row r="7328">
      <c r="A7328" s="56" t="s">
        <v>18393</v>
      </c>
      <c r="B7328" s="55"/>
      <c r="C7328" s="31"/>
    </row>
    <row r="7329">
      <c r="A7329" s="56" t="s">
        <v>18394</v>
      </c>
      <c r="B7329" s="55"/>
      <c r="C7329" s="31"/>
    </row>
    <row r="7330">
      <c r="A7330" s="56" t="s">
        <v>18395</v>
      </c>
      <c r="B7330" s="55"/>
      <c r="C7330" s="31"/>
    </row>
    <row r="7331">
      <c r="A7331" s="56" t="s">
        <v>18396</v>
      </c>
      <c r="B7331" s="55"/>
      <c r="C7331" s="31"/>
    </row>
    <row r="7332">
      <c r="A7332" s="56" t="s">
        <v>18397</v>
      </c>
      <c r="B7332" s="55"/>
      <c r="C7332" s="31"/>
    </row>
    <row r="7333">
      <c r="A7333" s="56" t="s">
        <v>18398</v>
      </c>
      <c r="B7333" s="55"/>
      <c r="C7333" s="31"/>
    </row>
    <row r="7334">
      <c r="A7334" s="56" t="s">
        <v>18399</v>
      </c>
      <c r="B7334" s="55"/>
      <c r="C7334" s="31"/>
    </row>
    <row r="7335">
      <c r="A7335" s="56" t="s">
        <v>18400</v>
      </c>
      <c r="B7335" s="55"/>
      <c r="C7335" s="31"/>
    </row>
    <row r="7336">
      <c r="A7336" s="56" t="s">
        <v>18401</v>
      </c>
      <c r="B7336" s="55"/>
      <c r="C7336" s="31"/>
    </row>
    <row r="7337">
      <c r="A7337" s="56" t="s">
        <v>18402</v>
      </c>
      <c r="B7337" s="55"/>
      <c r="C7337" s="31"/>
    </row>
    <row r="7338">
      <c r="A7338" s="56" t="s">
        <v>18405</v>
      </c>
      <c r="B7338" s="55"/>
      <c r="C7338" s="31"/>
    </row>
    <row r="7339">
      <c r="A7339" s="56" t="s">
        <v>18407</v>
      </c>
      <c r="B7339" s="55"/>
      <c r="C7339" s="31"/>
    </row>
    <row r="7340">
      <c r="A7340" s="56" t="s">
        <v>18408</v>
      </c>
      <c r="B7340" s="55"/>
      <c r="C7340" s="31"/>
    </row>
    <row r="7341">
      <c r="A7341" s="56" t="s">
        <v>18409</v>
      </c>
      <c r="B7341" s="55"/>
      <c r="C7341" s="31"/>
    </row>
    <row r="7342">
      <c r="A7342" s="56" t="s">
        <v>18410</v>
      </c>
      <c r="B7342" s="55"/>
      <c r="C7342" s="31"/>
    </row>
    <row r="7343">
      <c r="A7343" s="56" t="s">
        <v>18411</v>
      </c>
      <c r="B7343" s="55"/>
      <c r="C7343" s="31"/>
    </row>
    <row r="7344">
      <c r="A7344" s="56" t="s">
        <v>18412</v>
      </c>
      <c r="B7344" s="55"/>
      <c r="C7344" s="31"/>
    </row>
    <row r="7345">
      <c r="A7345" s="56" t="s">
        <v>18413</v>
      </c>
      <c r="B7345" s="55"/>
      <c r="C7345" s="31"/>
    </row>
    <row r="7346">
      <c r="A7346" s="56" t="s">
        <v>18414</v>
      </c>
      <c r="B7346" s="55"/>
      <c r="C7346" s="31"/>
    </row>
    <row r="7347">
      <c r="A7347" s="56" t="s">
        <v>18417</v>
      </c>
      <c r="B7347" s="55"/>
      <c r="C7347" s="31"/>
    </row>
    <row r="7348">
      <c r="A7348" s="56" t="s">
        <v>18418</v>
      </c>
      <c r="B7348" s="55"/>
      <c r="C7348" s="31"/>
    </row>
    <row r="7349">
      <c r="A7349" s="56" t="s">
        <v>18419</v>
      </c>
      <c r="B7349" s="82"/>
      <c r="C7349" s="33" t="s">
        <v>18420</v>
      </c>
    </row>
    <row r="7350">
      <c r="A7350" s="56" t="s">
        <v>18421</v>
      </c>
      <c r="B7350" s="82"/>
      <c r="C7350" s="33" t="s">
        <v>11373</v>
      </c>
      <c r="E7350" s="46" t="s">
        <v>7616</v>
      </c>
    </row>
    <row r="7351">
      <c r="A7351" s="56" t="s">
        <v>18422</v>
      </c>
      <c r="B7351" s="82"/>
      <c r="C7351" s="33" t="s">
        <v>11373</v>
      </c>
      <c r="E7351" s="46" t="s">
        <v>7618</v>
      </c>
    </row>
    <row r="7352">
      <c r="A7352" s="56" t="s">
        <v>18423</v>
      </c>
      <c r="B7352" s="82"/>
      <c r="C7352" s="33" t="s">
        <v>11376</v>
      </c>
      <c r="E7352" s="46" t="s">
        <v>7616</v>
      </c>
    </row>
    <row r="7353">
      <c r="A7353" s="56" t="s">
        <v>18426</v>
      </c>
      <c r="B7353" s="82"/>
      <c r="C7353" s="33" t="s">
        <v>11376</v>
      </c>
      <c r="E7353" s="46" t="s">
        <v>7618</v>
      </c>
    </row>
    <row r="7354">
      <c r="A7354" s="56" t="s">
        <v>18427</v>
      </c>
      <c r="B7354" s="82"/>
      <c r="C7354" s="33" t="s">
        <v>11380</v>
      </c>
      <c r="E7354" s="46" t="s">
        <v>7616</v>
      </c>
    </row>
    <row r="7355">
      <c r="A7355" s="56" t="s">
        <v>18428</v>
      </c>
      <c r="B7355" s="82"/>
      <c r="C7355" s="33" t="s">
        <v>11380</v>
      </c>
      <c r="E7355" s="46" t="s">
        <v>7618</v>
      </c>
    </row>
    <row r="7356">
      <c r="A7356" s="56" t="s">
        <v>18429</v>
      </c>
      <c r="B7356" s="79"/>
      <c r="C7356" s="33" t="s">
        <v>11384</v>
      </c>
      <c r="E7356" s="46" t="s">
        <v>1348</v>
      </c>
    </row>
    <row r="7357">
      <c r="A7357" s="56" t="s">
        <v>18430</v>
      </c>
      <c r="B7357" s="79"/>
      <c r="C7357" s="33" t="s">
        <v>11384</v>
      </c>
      <c r="E7357" s="46" t="s">
        <v>1348</v>
      </c>
    </row>
    <row r="7358">
      <c r="A7358" s="56" t="s">
        <v>18433</v>
      </c>
      <c r="B7358" s="79"/>
      <c r="C7358" s="33" t="s">
        <v>11389</v>
      </c>
      <c r="E7358" s="46" t="s">
        <v>1348</v>
      </c>
    </row>
    <row r="7359">
      <c r="A7359" s="56" t="s">
        <v>18434</v>
      </c>
      <c r="B7359" s="21"/>
      <c r="C7359" s="33" t="s">
        <v>11391</v>
      </c>
      <c r="E7359" s="46" t="s">
        <v>7616</v>
      </c>
    </row>
    <row r="7360">
      <c r="A7360" s="56" t="s">
        <v>18435</v>
      </c>
      <c r="B7360" s="21"/>
      <c r="C7360" s="33" t="s">
        <v>11391</v>
      </c>
      <c r="E7360" s="46" t="s">
        <v>7618</v>
      </c>
    </row>
    <row r="7361">
      <c r="A7361" s="56" t="s">
        <v>18436</v>
      </c>
      <c r="B7361" s="21"/>
      <c r="C7361" s="33" t="s">
        <v>11394</v>
      </c>
      <c r="E7361" s="46" t="s">
        <v>7616</v>
      </c>
    </row>
    <row r="7362">
      <c r="A7362" s="56" t="s">
        <v>18437</v>
      </c>
      <c r="B7362" s="21"/>
      <c r="C7362" s="33" t="s">
        <v>11394</v>
      </c>
      <c r="E7362" s="46" t="s">
        <v>7618</v>
      </c>
    </row>
    <row r="7363">
      <c r="A7363" s="56" t="s">
        <v>18439</v>
      </c>
      <c r="B7363" s="21"/>
      <c r="C7363" s="33" t="s">
        <v>11398</v>
      </c>
      <c r="E7363" s="46" t="s">
        <v>7616</v>
      </c>
    </row>
    <row r="7364">
      <c r="A7364" s="56" t="s">
        <v>18441</v>
      </c>
      <c r="B7364" s="21"/>
      <c r="C7364" s="33" t="s">
        <v>11398</v>
      </c>
      <c r="E7364" s="46" t="s">
        <v>7618</v>
      </c>
    </row>
    <row r="7365">
      <c r="A7365" s="56" t="s">
        <v>18442</v>
      </c>
      <c r="B7365" s="21"/>
      <c r="C7365" s="33" t="s">
        <v>11391</v>
      </c>
      <c r="E7365" s="46" t="s">
        <v>7616</v>
      </c>
    </row>
    <row r="7366">
      <c r="A7366" s="56" t="s">
        <v>18443</v>
      </c>
      <c r="B7366" s="21"/>
      <c r="C7366" s="33" t="s">
        <v>11391</v>
      </c>
      <c r="E7366" s="46" t="s">
        <v>7618</v>
      </c>
    </row>
    <row r="7367">
      <c r="A7367" s="56" t="s">
        <v>18444</v>
      </c>
      <c r="B7367" s="21"/>
      <c r="C7367" s="33" t="s">
        <v>11394</v>
      </c>
      <c r="E7367" s="46" t="s">
        <v>7616</v>
      </c>
    </row>
    <row r="7368">
      <c r="A7368" s="56" t="s">
        <v>18446</v>
      </c>
      <c r="B7368" s="21"/>
      <c r="C7368" s="33" t="s">
        <v>11394</v>
      </c>
      <c r="E7368" s="46" t="s">
        <v>7618</v>
      </c>
    </row>
    <row r="7369">
      <c r="A7369" s="56" t="s">
        <v>18448</v>
      </c>
      <c r="B7369" s="21"/>
      <c r="C7369" s="33" t="s">
        <v>11398</v>
      </c>
      <c r="E7369" s="46" t="s">
        <v>7616</v>
      </c>
    </row>
    <row r="7370">
      <c r="A7370" s="56" t="s">
        <v>18449</v>
      </c>
      <c r="B7370" s="21"/>
      <c r="C7370" s="33" t="s">
        <v>11398</v>
      </c>
      <c r="E7370" s="46" t="s">
        <v>7618</v>
      </c>
    </row>
    <row r="7371">
      <c r="A7371" s="56" t="s">
        <v>18450</v>
      </c>
      <c r="B7371" s="21"/>
      <c r="C7371" s="33" t="s">
        <v>11411</v>
      </c>
      <c r="E7371" s="46" t="s">
        <v>7616</v>
      </c>
    </row>
    <row r="7372">
      <c r="A7372" s="56" t="s">
        <v>18452</v>
      </c>
      <c r="B7372" s="21"/>
      <c r="C7372" s="33" t="s">
        <v>11411</v>
      </c>
      <c r="E7372" s="46" t="s">
        <v>7618</v>
      </c>
    </row>
    <row r="7373">
      <c r="A7373" s="56" t="s">
        <v>18454</v>
      </c>
      <c r="B7373" s="21"/>
      <c r="C7373" s="33" t="s">
        <v>11416</v>
      </c>
      <c r="E7373" s="46" t="s">
        <v>7616</v>
      </c>
    </row>
    <row r="7374">
      <c r="A7374" s="56" t="s">
        <v>18455</v>
      </c>
      <c r="B7374" s="21"/>
      <c r="C7374" s="33" t="s">
        <v>11416</v>
      </c>
      <c r="E7374" s="46" t="s">
        <v>7618</v>
      </c>
    </row>
    <row r="7375">
      <c r="A7375" s="56" t="s">
        <v>18456</v>
      </c>
      <c r="B7375" s="21"/>
      <c r="C7375" s="33" t="s">
        <v>11419</v>
      </c>
      <c r="E7375" s="46" t="s">
        <v>7616</v>
      </c>
    </row>
    <row r="7376">
      <c r="A7376" s="56" t="s">
        <v>18457</v>
      </c>
      <c r="B7376" s="21"/>
      <c r="C7376" s="33" t="s">
        <v>11419</v>
      </c>
      <c r="E7376" s="46" t="s">
        <v>7618</v>
      </c>
    </row>
    <row r="7377">
      <c r="A7377" s="56" t="s">
        <v>18458</v>
      </c>
      <c r="B7377" s="21"/>
      <c r="C7377" s="33" t="s">
        <v>11411</v>
      </c>
      <c r="E7377" s="46" t="s">
        <v>7616</v>
      </c>
    </row>
    <row r="7378">
      <c r="A7378" s="56" t="s">
        <v>18459</v>
      </c>
      <c r="B7378" s="21"/>
      <c r="C7378" s="33" t="s">
        <v>11411</v>
      </c>
      <c r="E7378" s="46" t="s">
        <v>7618</v>
      </c>
    </row>
    <row r="7379">
      <c r="A7379" s="56" t="s">
        <v>18460</v>
      </c>
      <c r="B7379" s="21"/>
      <c r="C7379" s="33" t="s">
        <v>11416</v>
      </c>
      <c r="E7379" s="46" t="s">
        <v>7616</v>
      </c>
    </row>
    <row r="7380">
      <c r="A7380" s="56" t="s">
        <v>18462</v>
      </c>
      <c r="B7380" s="21"/>
      <c r="C7380" s="33" t="s">
        <v>11416</v>
      </c>
      <c r="E7380" s="46" t="s">
        <v>7618</v>
      </c>
    </row>
    <row r="7381">
      <c r="A7381" s="56" t="s">
        <v>18464</v>
      </c>
      <c r="B7381" s="21"/>
      <c r="C7381" s="33" t="s">
        <v>11419</v>
      </c>
      <c r="E7381" s="46" t="s">
        <v>7616</v>
      </c>
    </row>
    <row r="7382">
      <c r="A7382" s="56" t="s">
        <v>18465</v>
      </c>
      <c r="B7382" s="21"/>
      <c r="C7382" s="33" t="s">
        <v>11419</v>
      </c>
      <c r="E7382" s="46" t="s">
        <v>7618</v>
      </c>
    </row>
    <row r="7383">
      <c r="A7383" s="56" t="s">
        <v>18466</v>
      </c>
      <c r="B7383" s="55"/>
      <c r="C7383" s="31"/>
    </row>
    <row r="7384">
      <c r="A7384" s="56" t="s">
        <v>18467</v>
      </c>
      <c r="B7384" s="55"/>
      <c r="C7384" s="31"/>
    </row>
    <row r="7385">
      <c r="A7385" s="56" t="s">
        <v>18469</v>
      </c>
      <c r="B7385" s="55"/>
      <c r="C7385" s="31"/>
    </row>
    <row r="7386">
      <c r="A7386" s="56" t="s">
        <v>18470</v>
      </c>
      <c r="B7386" s="55"/>
      <c r="C7386" s="31"/>
    </row>
    <row r="7387">
      <c r="A7387" s="56" t="s">
        <v>18471</v>
      </c>
      <c r="B7387" s="55"/>
      <c r="C7387" s="31"/>
    </row>
    <row r="7388">
      <c r="A7388" s="56" t="s">
        <v>18473</v>
      </c>
      <c r="B7388" s="55"/>
      <c r="C7388" s="31"/>
    </row>
    <row r="7389">
      <c r="A7389" s="56" t="s">
        <v>18474</v>
      </c>
      <c r="B7389" s="55"/>
      <c r="C7389" s="31"/>
    </row>
    <row r="7390">
      <c r="A7390" s="56" t="s">
        <v>18475</v>
      </c>
      <c r="B7390" s="55"/>
      <c r="C7390" s="31"/>
    </row>
    <row r="7391">
      <c r="A7391" s="56" t="s">
        <v>18476</v>
      </c>
      <c r="B7391" s="55"/>
      <c r="C7391" s="31"/>
    </row>
    <row r="7392">
      <c r="A7392" s="56" t="s">
        <v>18479</v>
      </c>
      <c r="B7392" s="55"/>
      <c r="C7392" s="31"/>
    </row>
    <row r="7393">
      <c r="A7393" s="56" t="s">
        <v>18480</v>
      </c>
      <c r="B7393" s="55"/>
      <c r="C7393" s="31"/>
    </row>
    <row r="7394">
      <c r="A7394" s="56" t="s">
        <v>18481</v>
      </c>
      <c r="B7394" s="55"/>
      <c r="C7394" s="31"/>
    </row>
    <row r="7395">
      <c r="A7395" s="56" t="s">
        <v>18483</v>
      </c>
      <c r="B7395" s="55"/>
      <c r="C7395" s="31"/>
    </row>
    <row r="7396">
      <c r="A7396" s="56" t="s">
        <v>18484</v>
      </c>
      <c r="B7396" s="55"/>
      <c r="C7396" s="31"/>
    </row>
    <row r="7397">
      <c r="A7397" s="56" t="s">
        <v>18485</v>
      </c>
      <c r="B7397" s="55"/>
      <c r="C7397" s="31"/>
    </row>
    <row r="7398">
      <c r="A7398" s="56" t="s">
        <v>18486</v>
      </c>
      <c r="B7398" s="55"/>
      <c r="C7398" s="31"/>
    </row>
    <row r="7399">
      <c r="A7399" s="56" t="s">
        <v>18487</v>
      </c>
      <c r="B7399" s="55"/>
      <c r="C7399" s="31"/>
    </row>
    <row r="7400">
      <c r="A7400" s="56" t="s">
        <v>18489</v>
      </c>
      <c r="B7400" s="55"/>
      <c r="C7400" s="31"/>
    </row>
    <row r="7401">
      <c r="A7401" s="56" t="s">
        <v>18491</v>
      </c>
      <c r="B7401" s="55"/>
      <c r="C7401" s="31"/>
    </row>
    <row r="7402">
      <c r="A7402" s="56" t="s">
        <v>18492</v>
      </c>
      <c r="B7402" s="82"/>
      <c r="C7402" s="33" t="s">
        <v>11207</v>
      </c>
    </row>
    <row r="7403">
      <c r="A7403" s="56" t="s">
        <v>18494</v>
      </c>
      <c r="B7403" s="82"/>
      <c r="C7403" s="33" t="s">
        <v>11373</v>
      </c>
      <c r="E7403" s="46" t="s">
        <v>7616</v>
      </c>
    </row>
    <row r="7404">
      <c r="A7404" s="56" t="s">
        <v>18495</v>
      </c>
      <c r="B7404" s="82"/>
      <c r="C7404" s="33" t="s">
        <v>11373</v>
      </c>
      <c r="E7404" s="46" t="s">
        <v>7618</v>
      </c>
    </row>
    <row r="7405">
      <c r="A7405" s="56" t="s">
        <v>18496</v>
      </c>
      <c r="B7405" s="82"/>
      <c r="C7405" s="33" t="s">
        <v>11376</v>
      </c>
      <c r="E7405" s="46" t="s">
        <v>7616</v>
      </c>
    </row>
    <row r="7406">
      <c r="A7406" s="56" t="s">
        <v>18498</v>
      </c>
      <c r="B7406" s="82"/>
      <c r="C7406" s="33" t="s">
        <v>11376</v>
      </c>
      <c r="E7406" s="46" t="s">
        <v>7618</v>
      </c>
    </row>
    <row r="7407">
      <c r="A7407" s="56" t="s">
        <v>18499</v>
      </c>
      <c r="B7407" s="82"/>
      <c r="C7407" s="33" t="s">
        <v>11380</v>
      </c>
      <c r="E7407" s="46" t="s">
        <v>7616</v>
      </c>
    </row>
    <row r="7408">
      <c r="A7408" s="56" t="s">
        <v>18500</v>
      </c>
      <c r="B7408" s="82"/>
      <c r="C7408" s="33" t="s">
        <v>11380</v>
      </c>
      <c r="E7408" s="46" t="s">
        <v>7618</v>
      </c>
    </row>
    <row r="7409">
      <c r="A7409" s="56" t="s">
        <v>18502</v>
      </c>
      <c r="B7409" s="79"/>
      <c r="C7409" s="33" t="s">
        <v>11384</v>
      </c>
      <c r="E7409" s="46" t="s">
        <v>1348</v>
      </c>
    </row>
    <row r="7410">
      <c r="A7410" s="56" t="s">
        <v>18503</v>
      </c>
      <c r="B7410" s="79"/>
      <c r="C7410" s="33" t="s">
        <v>11384</v>
      </c>
      <c r="E7410" s="46" t="s">
        <v>1348</v>
      </c>
    </row>
    <row r="7411">
      <c r="A7411" s="56" t="s">
        <v>18504</v>
      </c>
      <c r="B7411" s="79"/>
      <c r="C7411" s="33" t="s">
        <v>11389</v>
      </c>
      <c r="E7411" s="46" t="s">
        <v>1348</v>
      </c>
    </row>
    <row r="7412">
      <c r="A7412" s="56" t="s">
        <v>18507</v>
      </c>
      <c r="B7412" s="21"/>
      <c r="C7412" s="33" t="s">
        <v>11391</v>
      </c>
      <c r="E7412" s="46" t="s">
        <v>7616</v>
      </c>
    </row>
    <row r="7413">
      <c r="A7413" s="56" t="s">
        <v>18508</v>
      </c>
      <c r="B7413" s="21"/>
      <c r="C7413" s="33" t="s">
        <v>11391</v>
      </c>
      <c r="E7413" s="46" t="s">
        <v>7618</v>
      </c>
    </row>
    <row r="7414">
      <c r="A7414" s="56" t="s">
        <v>18510</v>
      </c>
      <c r="B7414" s="21"/>
      <c r="C7414" s="33" t="s">
        <v>11394</v>
      </c>
      <c r="E7414" s="46" t="s">
        <v>7616</v>
      </c>
    </row>
    <row r="7415">
      <c r="A7415" s="56" t="s">
        <v>18511</v>
      </c>
      <c r="B7415" s="21"/>
      <c r="C7415" s="33" t="s">
        <v>11394</v>
      </c>
      <c r="E7415" s="46" t="s">
        <v>7618</v>
      </c>
    </row>
    <row r="7416">
      <c r="A7416" s="56" t="s">
        <v>18512</v>
      </c>
      <c r="B7416" s="21"/>
      <c r="C7416" s="33" t="s">
        <v>11398</v>
      </c>
      <c r="E7416" s="46" t="s">
        <v>7616</v>
      </c>
    </row>
    <row r="7417">
      <c r="A7417" s="56" t="s">
        <v>18514</v>
      </c>
      <c r="B7417" s="21"/>
      <c r="C7417" s="33" t="s">
        <v>11398</v>
      </c>
      <c r="E7417" s="46" t="s">
        <v>7618</v>
      </c>
    </row>
    <row r="7418">
      <c r="A7418" s="56" t="s">
        <v>18516</v>
      </c>
      <c r="B7418" s="21"/>
      <c r="C7418" s="33" t="s">
        <v>11391</v>
      </c>
      <c r="E7418" s="46" t="s">
        <v>7616</v>
      </c>
    </row>
    <row r="7419">
      <c r="A7419" s="56" t="s">
        <v>18517</v>
      </c>
      <c r="B7419" s="21"/>
      <c r="C7419" s="33" t="s">
        <v>11391</v>
      </c>
      <c r="E7419" s="46" t="s">
        <v>7618</v>
      </c>
    </row>
    <row r="7420">
      <c r="A7420" s="56" t="s">
        <v>18519</v>
      </c>
      <c r="B7420" s="21"/>
      <c r="C7420" s="33" t="s">
        <v>11394</v>
      </c>
      <c r="E7420" s="46" t="s">
        <v>7616</v>
      </c>
    </row>
    <row r="7421">
      <c r="A7421" s="56" t="s">
        <v>18520</v>
      </c>
      <c r="B7421" s="21"/>
      <c r="C7421" s="33" t="s">
        <v>11394</v>
      </c>
      <c r="E7421" s="46" t="s">
        <v>7618</v>
      </c>
    </row>
    <row r="7422">
      <c r="A7422" s="56" t="s">
        <v>18521</v>
      </c>
      <c r="B7422" s="21"/>
      <c r="C7422" s="33" t="s">
        <v>11398</v>
      </c>
      <c r="E7422" s="46" t="s">
        <v>7616</v>
      </c>
    </row>
    <row r="7423">
      <c r="A7423" s="56" t="s">
        <v>18522</v>
      </c>
      <c r="B7423" s="21"/>
      <c r="C7423" s="33" t="s">
        <v>11398</v>
      </c>
      <c r="E7423" s="46" t="s">
        <v>7618</v>
      </c>
    </row>
    <row r="7424">
      <c r="A7424" s="56" t="s">
        <v>18524</v>
      </c>
      <c r="B7424" s="21"/>
      <c r="C7424" s="33" t="s">
        <v>11411</v>
      </c>
      <c r="E7424" s="46" t="s">
        <v>7616</v>
      </c>
    </row>
    <row r="7425">
      <c r="A7425" s="56" t="s">
        <v>18527</v>
      </c>
      <c r="B7425" s="21"/>
      <c r="C7425" s="33" t="s">
        <v>11411</v>
      </c>
      <c r="E7425" s="46" t="s">
        <v>7618</v>
      </c>
    </row>
    <row r="7426">
      <c r="A7426" s="56" t="s">
        <v>18528</v>
      </c>
      <c r="B7426" s="21"/>
      <c r="C7426" s="33" t="s">
        <v>11416</v>
      </c>
      <c r="E7426" s="46" t="s">
        <v>7616</v>
      </c>
    </row>
    <row r="7427">
      <c r="A7427" s="56" t="s">
        <v>18529</v>
      </c>
      <c r="B7427" s="21"/>
      <c r="C7427" s="33" t="s">
        <v>11416</v>
      </c>
      <c r="E7427" s="46" t="s">
        <v>7618</v>
      </c>
    </row>
    <row r="7428">
      <c r="A7428" s="56" t="s">
        <v>18530</v>
      </c>
      <c r="B7428" s="21"/>
      <c r="C7428" s="33" t="s">
        <v>11419</v>
      </c>
      <c r="E7428" s="46" t="s">
        <v>7616</v>
      </c>
    </row>
    <row r="7429">
      <c r="A7429" s="56" t="s">
        <v>18531</v>
      </c>
      <c r="B7429" s="21"/>
      <c r="C7429" s="33" t="s">
        <v>11419</v>
      </c>
      <c r="E7429" s="46" t="s">
        <v>7618</v>
      </c>
    </row>
    <row r="7430">
      <c r="A7430" s="56" t="s">
        <v>18534</v>
      </c>
      <c r="B7430" s="21"/>
      <c r="C7430" s="33" t="s">
        <v>11411</v>
      </c>
      <c r="E7430" s="46" t="s">
        <v>7616</v>
      </c>
    </row>
    <row r="7431">
      <c r="A7431" s="56" t="s">
        <v>18536</v>
      </c>
      <c r="B7431" s="21"/>
      <c r="C7431" s="33" t="s">
        <v>11411</v>
      </c>
      <c r="E7431" s="46" t="s">
        <v>7618</v>
      </c>
    </row>
    <row r="7432">
      <c r="A7432" s="56" t="s">
        <v>18537</v>
      </c>
      <c r="B7432" s="21"/>
      <c r="C7432" s="33" t="s">
        <v>11416</v>
      </c>
      <c r="E7432" s="46" t="s">
        <v>7616</v>
      </c>
    </row>
    <row r="7433">
      <c r="A7433" s="56" t="s">
        <v>18538</v>
      </c>
      <c r="B7433" s="21"/>
      <c r="C7433" s="33" t="s">
        <v>11416</v>
      </c>
      <c r="E7433" s="46" t="s">
        <v>7618</v>
      </c>
    </row>
    <row r="7434">
      <c r="A7434" s="56" t="s">
        <v>18539</v>
      </c>
      <c r="B7434" s="21"/>
      <c r="C7434" s="33" t="s">
        <v>11419</v>
      </c>
      <c r="E7434" s="46" t="s">
        <v>7616</v>
      </c>
    </row>
    <row r="7435">
      <c r="A7435" s="56" t="s">
        <v>18541</v>
      </c>
      <c r="B7435" s="21"/>
      <c r="C7435" s="33" t="s">
        <v>11419</v>
      </c>
      <c r="E7435" s="46" t="s">
        <v>7618</v>
      </c>
    </row>
    <row r="7436">
      <c r="A7436" s="56" t="s">
        <v>18544</v>
      </c>
      <c r="B7436" s="55"/>
      <c r="C7436" s="31"/>
    </row>
    <row r="7437">
      <c r="A7437" s="56" t="s">
        <v>18545</v>
      </c>
      <c r="B7437" s="55"/>
      <c r="C7437" s="31"/>
    </row>
    <row r="7438">
      <c r="A7438" s="56" t="s">
        <v>18546</v>
      </c>
      <c r="B7438" s="55"/>
      <c r="C7438" s="31"/>
    </row>
    <row r="7439">
      <c r="A7439" s="56" t="s">
        <v>18547</v>
      </c>
      <c r="B7439" s="55"/>
      <c r="C7439" s="31"/>
    </row>
    <row r="7440">
      <c r="A7440" s="56" t="s">
        <v>18548</v>
      </c>
      <c r="B7440" s="55"/>
      <c r="C7440" s="31"/>
    </row>
    <row r="7441">
      <c r="A7441" s="56" t="s">
        <v>18549</v>
      </c>
      <c r="B7441" s="55"/>
      <c r="C7441" s="31"/>
    </row>
    <row r="7442">
      <c r="A7442" s="56" t="s">
        <v>18550</v>
      </c>
      <c r="B7442" s="55"/>
      <c r="C7442" s="31"/>
    </row>
    <row r="7443">
      <c r="A7443" s="56" t="s">
        <v>18552</v>
      </c>
      <c r="B7443" s="55"/>
      <c r="C7443" s="31"/>
    </row>
    <row r="7444">
      <c r="A7444" s="56" t="s">
        <v>18554</v>
      </c>
      <c r="B7444" s="55"/>
      <c r="C7444" s="31"/>
    </row>
    <row r="7445">
      <c r="A7445" s="56" t="s">
        <v>18555</v>
      </c>
      <c r="B7445" s="82"/>
      <c r="C7445" s="33" t="s">
        <v>18556</v>
      </c>
    </row>
    <row r="7446">
      <c r="A7446" s="56" t="s">
        <v>18558</v>
      </c>
      <c r="B7446" s="55"/>
      <c r="C7446" s="31"/>
    </row>
    <row r="7447">
      <c r="A7447" s="56" t="s">
        <v>18559</v>
      </c>
      <c r="B7447" s="55"/>
      <c r="C7447" s="31"/>
    </row>
    <row r="7448">
      <c r="A7448" s="56" t="s">
        <v>18560</v>
      </c>
      <c r="B7448" s="55"/>
      <c r="C7448" s="31"/>
    </row>
    <row r="7449">
      <c r="A7449" s="56" t="s">
        <v>18561</v>
      </c>
      <c r="B7449" s="55"/>
      <c r="C7449" s="31"/>
    </row>
    <row r="7450">
      <c r="A7450" s="56" t="s">
        <v>18562</v>
      </c>
      <c r="B7450" s="55"/>
      <c r="C7450" s="31"/>
    </row>
    <row r="7451">
      <c r="A7451" s="56" t="s">
        <v>18563</v>
      </c>
      <c r="B7451" s="55"/>
      <c r="C7451" s="31"/>
    </row>
    <row r="7452">
      <c r="A7452" s="56" t="s">
        <v>18564</v>
      </c>
      <c r="B7452" s="55"/>
      <c r="C7452" s="31"/>
    </row>
    <row r="7453">
      <c r="A7453" s="56" t="s">
        <v>18565</v>
      </c>
      <c r="B7453" s="55"/>
      <c r="C7453" s="31"/>
    </row>
    <row r="7454">
      <c r="A7454" s="56" t="s">
        <v>18566</v>
      </c>
      <c r="B7454" s="55"/>
      <c r="C7454" s="31"/>
    </row>
    <row r="7455">
      <c r="A7455" s="56" t="s">
        <v>18568</v>
      </c>
      <c r="B7455" s="55"/>
      <c r="C7455" s="31"/>
    </row>
    <row r="7456">
      <c r="A7456" s="56" t="s">
        <v>18570</v>
      </c>
      <c r="B7456" s="55"/>
      <c r="C7456" s="31"/>
    </row>
    <row r="7457">
      <c r="A7457" s="56" t="s">
        <v>18571</v>
      </c>
      <c r="B7457" s="55"/>
      <c r="C7457" s="31"/>
    </row>
    <row r="7458">
      <c r="A7458" s="56" t="s">
        <v>18573</v>
      </c>
      <c r="B7458" s="55"/>
      <c r="C7458" s="31"/>
    </row>
    <row r="7459">
      <c r="A7459" s="56" t="s">
        <v>18574</v>
      </c>
      <c r="B7459" s="55"/>
      <c r="C7459" s="31"/>
    </row>
    <row r="7460">
      <c r="A7460" s="56" t="s">
        <v>18575</v>
      </c>
      <c r="B7460" s="55"/>
      <c r="C7460" s="31"/>
    </row>
    <row r="7461">
      <c r="A7461" s="56" t="s">
        <v>18576</v>
      </c>
      <c r="B7461" s="55"/>
      <c r="C7461" s="31"/>
    </row>
    <row r="7462">
      <c r="A7462" s="56" t="s">
        <v>18577</v>
      </c>
      <c r="B7462" s="55"/>
      <c r="C7462" s="31"/>
    </row>
    <row r="7463">
      <c r="A7463" s="56" t="s">
        <v>18578</v>
      </c>
      <c r="B7463" s="55"/>
      <c r="C7463" s="31"/>
    </row>
    <row r="7464">
      <c r="A7464" s="56" t="s">
        <v>18579</v>
      </c>
      <c r="B7464" s="55"/>
      <c r="C7464" s="31"/>
    </row>
    <row r="7465">
      <c r="A7465" s="56" t="s">
        <v>18580</v>
      </c>
      <c r="B7465" s="55"/>
      <c r="C7465" s="31"/>
    </row>
    <row r="7466">
      <c r="A7466" s="56" t="s">
        <v>18581</v>
      </c>
      <c r="B7466" s="55"/>
      <c r="C7466" s="31"/>
    </row>
    <row r="7467">
      <c r="A7467" s="56" t="s">
        <v>18583</v>
      </c>
      <c r="B7467" s="55"/>
      <c r="C7467" s="31"/>
    </row>
    <row r="7468">
      <c r="A7468" s="56" t="s">
        <v>18585</v>
      </c>
      <c r="B7468" s="55"/>
      <c r="C7468" s="31"/>
    </row>
    <row r="7469">
      <c r="A7469" s="56" t="s">
        <v>18586</v>
      </c>
      <c r="B7469" s="55"/>
      <c r="C7469" s="31"/>
    </row>
    <row r="7470">
      <c r="A7470" s="56" t="s">
        <v>18588</v>
      </c>
      <c r="B7470" s="55"/>
      <c r="C7470" s="31"/>
    </row>
    <row r="7471">
      <c r="A7471" s="56" t="s">
        <v>18589</v>
      </c>
      <c r="B7471" s="55"/>
      <c r="C7471" s="31"/>
    </row>
    <row r="7472">
      <c r="A7472" s="56" t="s">
        <v>18590</v>
      </c>
      <c r="B7472" s="55"/>
      <c r="C7472" s="31"/>
    </row>
    <row r="7473">
      <c r="A7473" s="56" t="s">
        <v>18591</v>
      </c>
      <c r="B7473" s="55"/>
      <c r="C7473" s="31"/>
    </row>
    <row r="7474">
      <c r="A7474" s="56" t="s">
        <v>18592</v>
      </c>
      <c r="B7474" s="55"/>
      <c r="C7474" s="31"/>
    </row>
    <row r="7475">
      <c r="A7475" s="56" t="s">
        <v>18593</v>
      </c>
      <c r="B7475" s="55"/>
      <c r="C7475" s="31"/>
    </row>
    <row r="7476">
      <c r="A7476" s="56" t="s">
        <v>18595</v>
      </c>
      <c r="B7476" s="55"/>
      <c r="C7476" s="31"/>
    </row>
    <row r="7477">
      <c r="A7477" s="56" t="s">
        <v>18596</v>
      </c>
      <c r="B7477" s="55"/>
      <c r="C7477" s="31"/>
    </row>
    <row r="7478">
      <c r="A7478" s="56" t="s">
        <v>18597</v>
      </c>
      <c r="B7478" s="55"/>
      <c r="C7478" s="31"/>
    </row>
    <row r="7479">
      <c r="A7479" s="56" t="s">
        <v>18599</v>
      </c>
      <c r="B7479" s="55"/>
      <c r="C7479" s="31"/>
    </row>
    <row r="7480">
      <c r="A7480" s="56" t="s">
        <v>18600</v>
      </c>
      <c r="B7480" s="55"/>
      <c r="C7480" s="31"/>
    </row>
    <row r="7481">
      <c r="A7481" s="56" t="s">
        <v>18601</v>
      </c>
      <c r="B7481" s="55"/>
      <c r="C7481" s="31"/>
    </row>
    <row r="7482">
      <c r="A7482" s="56" t="s">
        <v>18602</v>
      </c>
      <c r="B7482" s="55"/>
      <c r="C7482" s="31"/>
    </row>
    <row r="7483">
      <c r="A7483" s="56" t="s">
        <v>18603</v>
      </c>
      <c r="B7483" s="55"/>
      <c r="C7483" s="31"/>
    </row>
    <row r="7484">
      <c r="A7484" s="56" t="s">
        <v>18606</v>
      </c>
      <c r="B7484" s="55"/>
      <c r="C7484" s="31"/>
    </row>
    <row r="7485">
      <c r="A7485" s="56" t="s">
        <v>18607</v>
      </c>
      <c r="B7485" s="55"/>
      <c r="C7485" s="31"/>
    </row>
    <row r="7486">
      <c r="A7486" s="56" t="s">
        <v>18608</v>
      </c>
      <c r="B7486" s="55"/>
      <c r="C7486" s="31"/>
    </row>
    <row r="7487">
      <c r="A7487" s="56" t="s">
        <v>18610</v>
      </c>
      <c r="B7487" s="55"/>
      <c r="C7487" s="31"/>
    </row>
    <row r="7488">
      <c r="A7488" s="56" t="s">
        <v>18611</v>
      </c>
      <c r="B7488" s="55"/>
      <c r="C7488" s="31"/>
    </row>
    <row r="7489">
      <c r="A7489" s="56" t="s">
        <v>18612</v>
      </c>
      <c r="B7489" s="55"/>
      <c r="C7489" s="31"/>
    </row>
    <row r="7490">
      <c r="A7490" s="56" t="s">
        <v>18613</v>
      </c>
      <c r="B7490" s="55"/>
      <c r="C7490" s="31"/>
    </row>
    <row r="7491">
      <c r="A7491" s="56" t="s">
        <v>18614</v>
      </c>
      <c r="B7491" s="55"/>
      <c r="C7491" s="31"/>
    </row>
    <row r="7492">
      <c r="A7492" s="56" t="s">
        <v>18616</v>
      </c>
      <c r="B7492" s="55"/>
      <c r="C7492" s="31"/>
    </row>
    <row r="7493">
      <c r="A7493" s="56" t="s">
        <v>18617</v>
      </c>
      <c r="B7493" s="55"/>
      <c r="C7493" s="31"/>
    </row>
    <row r="7494">
      <c r="A7494" s="56" t="s">
        <v>18618</v>
      </c>
      <c r="B7494" s="55"/>
      <c r="C7494" s="31"/>
    </row>
    <row r="7495">
      <c r="A7495" s="56" t="s">
        <v>18620</v>
      </c>
      <c r="B7495" s="55"/>
      <c r="C7495" s="31"/>
    </row>
    <row r="7496">
      <c r="A7496" s="56" t="s">
        <v>18621</v>
      </c>
      <c r="B7496" s="55"/>
      <c r="C7496" s="31"/>
    </row>
    <row r="7497">
      <c r="A7497" s="56" t="s">
        <v>18622</v>
      </c>
      <c r="B7497" s="55"/>
      <c r="C7497" s="31"/>
    </row>
    <row r="7498">
      <c r="A7498" s="56" t="s">
        <v>18624</v>
      </c>
      <c r="B7498" s="55"/>
      <c r="C7498" s="31"/>
    </row>
    <row r="7499">
      <c r="A7499" s="56" t="s">
        <v>18627</v>
      </c>
      <c r="B7499" s="55"/>
      <c r="C7499" s="31"/>
    </row>
    <row r="7500">
      <c r="A7500" s="56" t="s">
        <v>18629</v>
      </c>
      <c r="B7500" s="55"/>
      <c r="C7500" s="31"/>
    </row>
    <row r="7501">
      <c r="A7501" s="56" t="s">
        <v>18630</v>
      </c>
      <c r="B7501" s="55"/>
      <c r="C7501" s="31"/>
    </row>
    <row r="7502">
      <c r="A7502" s="56" t="s">
        <v>18631</v>
      </c>
      <c r="B7502" s="55"/>
      <c r="C7502" s="31"/>
    </row>
    <row r="7503">
      <c r="A7503" s="56" t="s">
        <v>18632</v>
      </c>
      <c r="B7503" s="55"/>
      <c r="C7503" s="31"/>
    </row>
    <row r="7504">
      <c r="A7504" s="56" t="s">
        <v>18633</v>
      </c>
      <c r="B7504" s="55"/>
      <c r="C7504" s="31"/>
    </row>
    <row r="7505">
      <c r="A7505" s="56" t="s">
        <v>18635</v>
      </c>
      <c r="B7505" s="55"/>
      <c r="C7505" s="31"/>
    </row>
    <row r="7506">
      <c r="A7506" s="56" t="s">
        <v>18638</v>
      </c>
      <c r="B7506" s="55"/>
      <c r="C7506" s="31"/>
    </row>
    <row r="7507">
      <c r="A7507" s="56" t="s">
        <v>18640</v>
      </c>
      <c r="B7507" s="55"/>
      <c r="C7507" s="31"/>
    </row>
    <row r="7508">
      <c r="A7508" s="56" t="s">
        <v>18641</v>
      </c>
      <c r="B7508" s="55"/>
      <c r="C7508" s="31"/>
    </row>
    <row r="7509">
      <c r="A7509" s="56" t="s">
        <v>18643</v>
      </c>
      <c r="B7509" s="55"/>
      <c r="C7509" s="31"/>
    </row>
    <row r="7510">
      <c r="A7510" s="56" t="s">
        <v>18644</v>
      </c>
      <c r="B7510" s="55"/>
      <c r="C7510" s="31"/>
    </row>
    <row r="7511">
      <c r="A7511" s="56" t="s">
        <v>18645</v>
      </c>
      <c r="B7511" s="55"/>
      <c r="C7511" s="31"/>
    </row>
    <row r="7512">
      <c r="A7512" s="56" t="s">
        <v>18646</v>
      </c>
      <c r="B7512" s="55"/>
      <c r="C7512" s="31"/>
    </row>
    <row r="7513">
      <c r="A7513" s="56" t="s">
        <v>18647</v>
      </c>
      <c r="B7513" s="55"/>
      <c r="C7513" s="31"/>
    </row>
    <row r="7514">
      <c r="A7514" s="56" t="s">
        <v>18649</v>
      </c>
      <c r="B7514" s="82"/>
      <c r="C7514" s="33" t="s">
        <v>15322</v>
      </c>
    </row>
    <row r="7515">
      <c r="A7515" s="56" t="s">
        <v>18650</v>
      </c>
      <c r="B7515" s="55"/>
      <c r="C7515" s="31"/>
    </row>
    <row r="7516">
      <c r="A7516" s="56" t="s">
        <v>18651</v>
      </c>
      <c r="B7516" s="55"/>
      <c r="C7516" s="31"/>
    </row>
    <row r="7517">
      <c r="A7517" s="56" t="s">
        <v>18652</v>
      </c>
      <c r="B7517" s="55"/>
      <c r="C7517" s="31"/>
    </row>
    <row r="7518">
      <c r="A7518" s="56" t="s">
        <v>18654</v>
      </c>
      <c r="B7518" s="55"/>
      <c r="C7518" s="31"/>
    </row>
    <row r="7519">
      <c r="A7519" s="56" t="s">
        <v>18655</v>
      </c>
      <c r="B7519" s="55"/>
      <c r="C7519" s="31"/>
    </row>
    <row r="7520">
      <c r="A7520" s="56" t="s">
        <v>18656</v>
      </c>
      <c r="B7520" s="55"/>
      <c r="C7520" s="31"/>
    </row>
    <row r="7521">
      <c r="A7521" s="56" t="s">
        <v>18658</v>
      </c>
      <c r="B7521" s="55"/>
      <c r="C7521" s="31"/>
    </row>
    <row r="7522">
      <c r="A7522" s="56" t="s">
        <v>18659</v>
      </c>
      <c r="B7522" s="55"/>
      <c r="C7522" s="31"/>
    </row>
    <row r="7523">
      <c r="A7523" s="56" t="s">
        <v>18660</v>
      </c>
      <c r="B7523" s="55"/>
      <c r="C7523" s="31"/>
    </row>
    <row r="7524">
      <c r="A7524" s="56" t="s">
        <v>18661</v>
      </c>
      <c r="B7524" s="55"/>
      <c r="C7524" s="31"/>
    </row>
    <row r="7525">
      <c r="A7525" s="56" t="s">
        <v>18662</v>
      </c>
      <c r="B7525" s="55"/>
      <c r="C7525" s="31"/>
    </row>
    <row r="7526">
      <c r="A7526" s="56" t="s">
        <v>18664</v>
      </c>
      <c r="B7526" s="55"/>
      <c r="C7526" s="31"/>
    </row>
    <row r="7527">
      <c r="A7527" s="56" t="s">
        <v>18665</v>
      </c>
      <c r="B7527" s="55"/>
      <c r="C7527" s="31"/>
    </row>
    <row r="7528">
      <c r="A7528" s="56" t="s">
        <v>18666</v>
      </c>
      <c r="B7528" s="55"/>
      <c r="C7528" s="31"/>
    </row>
    <row r="7529">
      <c r="A7529" s="56" t="s">
        <v>18669</v>
      </c>
      <c r="B7529" s="55"/>
      <c r="C7529" s="31"/>
    </row>
    <row r="7530">
      <c r="A7530" s="56" t="s">
        <v>18670</v>
      </c>
      <c r="B7530" s="55"/>
      <c r="C7530" s="31"/>
    </row>
    <row r="7531">
      <c r="A7531" s="56" t="s">
        <v>18671</v>
      </c>
      <c r="B7531" s="55"/>
      <c r="C7531" s="31"/>
    </row>
    <row r="7532">
      <c r="A7532" s="56" t="s">
        <v>18672</v>
      </c>
      <c r="B7532" s="55"/>
      <c r="C7532" s="31"/>
    </row>
    <row r="7533">
      <c r="A7533" s="56" t="s">
        <v>18673</v>
      </c>
      <c r="B7533" s="55"/>
      <c r="C7533" s="31"/>
    </row>
    <row r="7534">
      <c r="A7534" s="56" t="s">
        <v>18675</v>
      </c>
      <c r="B7534" s="55"/>
      <c r="C7534" s="31"/>
    </row>
    <row r="7535">
      <c r="A7535" s="56" t="s">
        <v>18676</v>
      </c>
      <c r="B7535" s="55"/>
      <c r="C7535" s="31"/>
    </row>
    <row r="7536">
      <c r="A7536" s="56" t="s">
        <v>18677</v>
      </c>
      <c r="B7536" s="55"/>
      <c r="C7536" s="31"/>
    </row>
    <row r="7537">
      <c r="A7537" s="56" t="s">
        <v>18678</v>
      </c>
      <c r="B7537" s="55"/>
      <c r="C7537" s="31"/>
    </row>
    <row r="7538">
      <c r="A7538" s="56" t="s">
        <v>18680</v>
      </c>
      <c r="B7538" s="55"/>
      <c r="C7538" s="31"/>
    </row>
    <row r="7539">
      <c r="A7539" s="56" t="s">
        <v>18682</v>
      </c>
      <c r="B7539" s="55"/>
      <c r="C7539" s="31"/>
    </row>
    <row r="7540">
      <c r="A7540" s="56" t="s">
        <v>18683</v>
      </c>
      <c r="B7540" s="55"/>
      <c r="C7540" s="31"/>
    </row>
    <row r="7541">
      <c r="A7541" s="56" t="s">
        <v>18684</v>
      </c>
      <c r="B7541" s="55"/>
      <c r="C7541" s="31"/>
    </row>
    <row r="7542">
      <c r="A7542" s="56" t="s">
        <v>18685</v>
      </c>
      <c r="B7542" s="55"/>
      <c r="C7542" s="31"/>
    </row>
    <row r="7543">
      <c r="A7543" s="56" t="s">
        <v>18686</v>
      </c>
      <c r="B7543" s="55"/>
      <c r="C7543" s="31"/>
    </row>
    <row r="7544">
      <c r="A7544" s="56" t="s">
        <v>18688</v>
      </c>
      <c r="B7544" s="55"/>
      <c r="C7544" s="31"/>
    </row>
    <row r="7545">
      <c r="A7545" s="56" t="s">
        <v>18689</v>
      </c>
      <c r="B7545" s="82"/>
      <c r="C7545" s="33" t="s">
        <v>11370</v>
      </c>
    </row>
    <row r="7546">
      <c r="A7546" s="56" t="s">
        <v>18691</v>
      </c>
      <c r="B7546" s="55"/>
      <c r="C7546" s="31"/>
    </row>
    <row r="7547">
      <c r="A7547" s="56" t="s">
        <v>18693</v>
      </c>
      <c r="B7547" s="55"/>
      <c r="C7547" s="31"/>
    </row>
    <row r="7548">
      <c r="A7548" s="56" t="s">
        <v>18694</v>
      </c>
      <c r="B7548" s="55"/>
      <c r="C7548" s="31"/>
    </row>
    <row r="7549">
      <c r="A7549" s="56" t="s">
        <v>18695</v>
      </c>
      <c r="B7549" s="55"/>
      <c r="C7549" s="31"/>
    </row>
    <row r="7550">
      <c r="A7550" s="56" t="s">
        <v>18696</v>
      </c>
      <c r="B7550" s="55"/>
      <c r="C7550" s="31"/>
    </row>
    <row r="7551">
      <c r="A7551" s="56" t="s">
        <v>18697</v>
      </c>
      <c r="B7551" s="55"/>
      <c r="C7551" s="31"/>
    </row>
    <row r="7552">
      <c r="A7552" s="56" t="s">
        <v>18698</v>
      </c>
      <c r="B7552" s="55"/>
      <c r="C7552" s="31"/>
    </row>
    <row r="7553">
      <c r="A7553" s="56" t="s">
        <v>18700</v>
      </c>
      <c r="B7553" s="55"/>
      <c r="C7553" s="31"/>
    </row>
    <row r="7554">
      <c r="A7554" s="56" t="s">
        <v>18701</v>
      </c>
      <c r="B7554" s="55"/>
      <c r="C7554" s="31"/>
    </row>
    <row r="7555">
      <c r="A7555" s="56" t="s">
        <v>18703</v>
      </c>
      <c r="B7555" s="55"/>
      <c r="C7555" s="31"/>
    </row>
    <row r="7556">
      <c r="A7556" s="56" t="s">
        <v>18705</v>
      </c>
      <c r="B7556" s="55"/>
      <c r="C7556" s="31"/>
    </row>
    <row r="7557">
      <c r="A7557" s="56" t="s">
        <v>18706</v>
      </c>
      <c r="B7557" s="55"/>
      <c r="C7557" s="31"/>
    </row>
    <row r="7558">
      <c r="A7558" s="56" t="s">
        <v>18707</v>
      </c>
      <c r="B7558" s="55"/>
      <c r="C7558" s="31"/>
    </row>
    <row r="7559">
      <c r="A7559" s="56" t="s">
        <v>18708</v>
      </c>
      <c r="B7559" s="55"/>
      <c r="C7559" s="31"/>
    </row>
    <row r="7560">
      <c r="A7560" s="56" t="s">
        <v>18709</v>
      </c>
      <c r="B7560" s="55"/>
      <c r="C7560" s="31"/>
    </row>
    <row r="7561">
      <c r="A7561" s="56" t="s">
        <v>18710</v>
      </c>
      <c r="B7561" s="55"/>
      <c r="C7561" s="31"/>
    </row>
    <row r="7562">
      <c r="A7562" s="56" t="s">
        <v>18711</v>
      </c>
      <c r="B7562" s="55"/>
      <c r="C7562" s="31"/>
    </row>
    <row r="7563">
      <c r="A7563" s="56" t="s">
        <v>18712</v>
      </c>
      <c r="B7563" s="55"/>
      <c r="C7563" s="31"/>
    </row>
    <row r="7564">
      <c r="A7564" s="56" t="s">
        <v>18714</v>
      </c>
      <c r="B7564" s="55"/>
      <c r="C7564" s="31"/>
    </row>
    <row r="7565">
      <c r="A7565" s="56" t="s">
        <v>18716</v>
      </c>
      <c r="B7565" s="55"/>
      <c r="C7565" s="31"/>
    </row>
    <row r="7566">
      <c r="A7566" s="56" t="s">
        <v>18718</v>
      </c>
      <c r="B7566" s="55"/>
      <c r="C7566" s="31"/>
    </row>
    <row r="7567">
      <c r="A7567" s="56" t="s">
        <v>18719</v>
      </c>
      <c r="B7567" s="55"/>
      <c r="C7567" s="31"/>
    </row>
    <row r="7568">
      <c r="A7568" s="56" t="s">
        <v>18720</v>
      </c>
      <c r="B7568" s="55"/>
      <c r="C7568" s="31"/>
    </row>
    <row r="7569">
      <c r="A7569" s="56" t="s">
        <v>18721</v>
      </c>
      <c r="B7569" s="55"/>
      <c r="C7569" s="31"/>
    </row>
    <row r="7570">
      <c r="A7570" s="56" t="s">
        <v>18722</v>
      </c>
      <c r="B7570" s="55"/>
      <c r="C7570" s="31"/>
    </row>
    <row r="7571">
      <c r="A7571" s="56" t="s">
        <v>18723</v>
      </c>
      <c r="B7571" s="55"/>
      <c r="C7571" s="31"/>
    </row>
    <row r="7572">
      <c r="A7572" s="56" t="s">
        <v>18724</v>
      </c>
      <c r="B7572" s="55"/>
      <c r="C7572" s="31"/>
    </row>
    <row r="7573">
      <c r="A7573" s="56" t="s">
        <v>18725</v>
      </c>
      <c r="B7573" s="55"/>
      <c r="C7573" s="31"/>
    </row>
    <row r="7574">
      <c r="A7574" s="56" t="s">
        <v>18726</v>
      </c>
      <c r="B7574" s="55"/>
      <c r="C7574" s="31"/>
    </row>
    <row r="7575">
      <c r="A7575" s="56" t="s">
        <v>18727</v>
      </c>
      <c r="B7575" s="55"/>
      <c r="C7575" s="31"/>
    </row>
    <row r="7576">
      <c r="A7576" s="56" t="s">
        <v>18730</v>
      </c>
      <c r="B7576" s="55"/>
      <c r="C7576" s="31"/>
    </row>
    <row r="7577">
      <c r="A7577" s="56" t="s">
        <v>18733</v>
      </c>
      <c r="B7577" s="55"/>
      <c r="C7577" s="31"/>
    </row>
    <row r="7578">
      <c r="A7578" s="56" t="s">
        <v>18734</v>
      </c>
      <c r="B7578" s="55"/>
      <c r="C7578" s="31"/>
    </row>
    <row r="7579">
      <c r="A7579" s="56" t="s">
        <v>18735</v>
      </c>
      <c r="B7579" s="55"/>
      <c r="C7579" s="31"/>
    </row>
    <row r="7580">
      <c r="A7580" s="56" t="s">
        <v>18736</v>
      </c>
      <c r="B7580" s="55"/>
      <c r="C7580" s="31"/>
    </row>
    <row r="7581">
      <c r="A7581" s="56" t="s">
        <v>18737</v>
      </c>
      <c r="B7581" s="55"/>
      <c r="C7581" s="31"/>
    </row>
    <row r="7582">
      <c r="A7582" s="56" t="s">
        <v>18738</v>
      </c>
      <c r="B7582" s="55"/>
      <c r="C7582" s="31"/>
    </row>
    <row r="7583">
      <c r="A7583" s="56" t="s">
        <v>18739</v>
      </c>
      <c r="B7583" s="82"/>
      <c r="C7583" s="33" t="s">
        <v>18740</v>
      </c>
    </row>
    <row r="7584">
      <c r="A7584" s="56" t="s">
        <v>18741</v>
      </c>
      <c r="B7584" s="55"/>
      <c r="C7584" s="31"/>
    </row>
    <row r="7585">
      <c r="A7585" s="56" t="s">
        <v>18742</v>
      </c>
      <c r="B7585" s="55"/>
      <c r="C7585" s="31"/>
    </row>
    <row r="7586">
      <c r="A7586" s="56" t="s">
        <v>18743</v>
      </c>
      <c r="B7586" s="55"/>
      <c r="C7586" s="31"/>
    </row>
    <row r="7587">
      <c r="A7587" s="56" t="s">
        <v>18744</v>
      </c>
      <c r="B7587" s="55"/>
      <c r="C7587" s="31"/>
    </row>
    <row r="7588">
      <c r="A7588" s="56" t="s">
        <v>18746</v>
      </c>
      <c r="B7588" s="55"/>
      <c r="C7588" s="31"/>
    </row>
    <row r="7589">
      <c r="A7589" s="56" t="s">
        <v>18747</v>
      </c>
      <c r="B7589" s="55"/>
      <c r="C7589" s="31"/>
    </row>
    <row r="7590">
      <c r="A7590" s="56" t="s">
        <v>18748</v>
      </c>
      <c r="B7590" s="55"/>
      <c r="C7590" s="31"/>
    </row>
    <row r="7591">
      <c r="A7591" s="56" t="s">
        <v>18749</v>
      </c>
      <c r="B7591" s="55"/>
      <c r="C7591" s="31"/>
    </row>
    <row r="7592">
      <c r="A7592" s="56" t="s">
        <v>18750</v>
      </c>
      <c r="B7592" s="55"/>
      <c r="C7592" s="31"/>
    </row>
    <row r="7593">
      <c r="A7593" s="56" t="s">
        <v>18751</v>
      </c>
      <c r="B7593" s="55"/>
      <c r="C7593" s="31"/>
    </row>
    <row r="7594">
      <c r="A7594" s="56" t="s">
        <v>18753</v>
      </c>
      <c r="B7594" s="55"/>
      <c r="C7594" s="31"/>
    </row>
    <row r="7595">
      <c r="A7595" s="56" t="s">
        <v>18754</v>
      </c>
      <c r="B7595" s="55"/>
      <c r="C7595" s="31"/>
    </row>
    <row r="7596">
      <c r="A7596" s="56" t="s">
        <v>18755</v>
      </c>
      <c r="B7596" s="55"/>
      <c r="C7596" s="31"/>
    </row>
    <row r="7597">
      <c r="A7597" s="56" t="s">
        <v>18756</v>
      </c>
      <c r="B7597" s="55"/>
      <c r="C7597" s="31"/>
    </row>
    <row r="7598">
      <c r="A7598" s="56" t="s">
        <v>18757</v>
      </c>
      <c r="B7598" s="55"/>
      <c r="C7598" s="31"/>
    </row>
    <row r="7599">
      <c r="A7599" s="56" t="s">
        <v>18758</v>
      </c>
      <c r="B7599" s="55"/>
      <c r="C7599" s="31"/>
    </row>
    <row r="7600">
      <c r="A7600" s="56" t="s">
        <v>18759</v>
      </c>
      <c r="B7600" s="55"/>
      <c r="C7600" s="31"/>
    </row>
    <row r="7601">
      <c r="A7601" s="56" t="s">
        <v>18761</v>
      </c>
      <c r="B7601" s="55"/>
      <c r="C7601" s="31"/>
    </row>
    <row r="7602">
      <c r="A7602" s="56" t="s">
        <v>18762</v>
      </c>
      <c r="B7602" s="55"/>
      <c r="C7602" s="31"/>
    </row>
    <row r="7603">
      <c r="A7603" s="56" t="s">
        <v>18763</v>
      </c>
      <c r="B7603" s="55"/>
      <c r="C7603" s="31"/>
    </row>
    <row r="7604">
      <c r="A7604" s="56" t="s">
        <v>18764</v>
      </c>
      <c r="B7604" s="55"/>
      <c r="C7604" s="31"/>
    </row>
    <row r="7605">
      <c r="A7605" s="56" t="s">
        <v>18765</v>
      </c>
      <c r="B7605" s="55"/>
      <c r="C7605" s="31"/>
    </row>
    <row r="7606">
      <c r="A7606" s="56" t="s">
        <v>18767</v>
      </c>
      <c r="B7606" s="55"/>
      <c r="C7606" s="31"/>
    </row>
    <row r="7607">
      <c r="A7607" s="56" t="s">
        <v>18769</v>
      </c>
      <c r="B7607" s="55"/>
      <c r="C7607" s="31"/>
    </row>
    <row r="7608">
      <c r="A7608" s="56" t="s">
        <v>18770</v>
      </c>
      <c r="B7608" s="55"/>
      <c r="C7608" s="31"/>
    </row>
    <row r="7609">
      <c r="A7609" s="56" t="s">
        <v>18771</v>
      </c>
      <c r="B7609" s="55"/>
      <c r="C7609" s="31"/>
    </row>
    <row r="7610">
      <c r="A7610" s="56" t="s">
        <v>18772</v>
      </c>
      <c r="B7610" s="55"/>
      <c r="C7610" s="31"/>
    </row>
    <row r="7611">
      <c r="A7611" s="56" t="s">
        <v>18774</v>
      </c>
      <c r="B7611" s="55"/>
      <c r="C7611" s="31"/>
    </row>
    <row r="7612">
      <c r="A7612" s="56" t="s">
        <v>18775</v>
      </c>
      <c r="B7612" s="55"/>
      <c r="C7612" s="31"/>
    </row>
    <row r="7613">
      <c r="A7613" s="56" t="s">
        <v>18776</v>
      </c>
      <c r="B7613" s="55"/>
      <c r="C7613" s="31"/>
    </row>
    <row r="7614">
      <c r="A7614" s="56" t="s">
        <v>18777</v>
      </c>
      <c r="B7614" s="55"/>
      <c r="C7614" s="31"/>
    </row>
    <row r="7615">
      <c r="A7615" s="56" t="s">
        <v>18778</v>
      </c>
      <c r="B7615" s="55"/>
      <c r="C7615" s="31"/>
    </row>
    <row r="7616">
      <c r="A7616" s="56" t="s">
        <v>18780</v>
      </c>
      <c r="B7616" s="55"/>
      <c r="C7616" s="31"/>
    </row>
    <row r="7617">
      <c r="A7617" s="56" t="s">
        <v>18782</v>
      </c>
      <c r="B7617" s="55"/>
      <c r="C7617" s="31"/>
    </row>
    <row r="7618">
      <c r="A7618" s="56" t="s">
        <v>18783</v>
      </c>
      <c r="B7618" s="55"/>
      <c r="C7618" s="31"/>
    </row>
    <row r="7619">
      <c r="A7619" s="56" t="s">
        <v>18784</v>
      </c>
      <c r="B7619" s="55"/>
      <c r="C7619" s="31"/>
    </row>
    <row r="7620">
      <c r="A7620" s="56" t="s">
        <v>18785</v>
      </c>
      <c r="B7620" s="55"/>
      <c r="C7620" s="31"/>
    </row>
    <row r="7621">
      <c r="A7621" s="56" t="s">
        <v>18786</v>
      </c>
      <c r="B7621" s="55"/>
      <c r="C7621" s="31"/>
    </row>
    <row r="7622">
      <c r="A7622" s="56" t="s">
        <v>18788</v>
      </c>
      <c r="B7622" s="55"/>
      <c r="C7622" s="31"/>
    </row>
    <row r="7623">
      <c r="A7623" s="56" t="s">
        <v>18789</v>
      </c>
      <c r="B7623" s="55"/>
      <c r="C7623" s="31"/>
    </row>
    <row r="7624">
      <c r="A7624" s="56" t="s">
        <v>18790</v>
      </c>
      <c r="B7624" s="55"/>
      <c r="C7624" s="31"/>
    </row>
    <row r="7625">
      <c r="A7625" s="56" t="s">
        <v>18791</v>
      </c>
      <c r="B7625" s="55"/>
      <c r="C7625" s="31"/>
    </row>
    <row r="7626">
      <c r="A7626" s="56" t="s">
        <v>18792</v>
      </c>
      <c r="B7626" s="55"/>
      <c r="C7626" s="31"/>
    </row>
    <row r="7627">
      <c r="A7627" s="56" t="s">
        <v>18794</v>
      </c>
      <c r="B7627" s="55"/>
      <c r="C7627" s="31"/>
    </row>
    <row r="7628">
      <c r="A7628" s="56" t="s">
        <v>18796</v>
      </c>
      <c r="B7628" s="55"/>
      <c r="C7628" s="31"/>
    </row>
    <row r="7629">
      <c r="A7629" s="56" t="s">
        <v>18797</v>
      </c>
      <c r="B7629" s="55"/>
      <c r="C7629" s="31"/>
    </row>
    <row r="7630">
      <c r="A7630" s="56" t="s">
        <v>18798</v>
      </c>
      <c r="B7630" s="55"/>
      <c r="C7630" s="31"/>
    </row>
    <row r="7631">
      <c r="A7631" s="56" t="s">
        <v>18799</v>
      </c>
      <c r="B7631" s="55"/>
      <c r="C7631" s="31"/>
    </row>
    <row r="7632">
      <c r="A7632" s="56" t="s">
        <v>18800</v>
      </c>
      <c r="B7632" s="55"/>
      <c r="C7632" s="31"/>
    </row>
    <row r="7633">
      <c r="A7633" s="56" t="s">
        <v>18801</v>
      </c>
      <c r="B7633" s="55"/>
      <c r="C7633" s="31"/>
    </row>
    <row r="7634">
      <c r="A7634" s="56" t="s">
        <v>18802</v>
      </c>
      <c r="B7634" s="82"/>
      <c r="C7634" s="33" t="s">
        <v>18804</v>
      </c>
    </row>
    <row r="7635">
      <c r="A7635" s="56" t="s">
        <v>18805</v>
      </c>
      <c r="B7635" s="82"/>
      <c r="C7635" s="33" t="s">
        <v>11373</v>
      </c>
      <c r="E7635" s="46" t="s">
        <v>7616</v>
      </c>
    </row>
    <row r="7636">
      <c r="A7636" s="56" t="s">
        <v>18807</v>
      </c>
      <c r="B7636" s="82"/>
      <c r="C7636" s="33" t="s">
        <v>11373</v>
      </c>
      <c r="E7636" s="46" t="s">
        <v>7618</v>
      </c>
    </row>
    <row r="7637">
      <c r="A7637" s="56" t="s">
        <v>18808</v>
      </c>
      <c r="B7637" s="82"/>
      <c r="C7637" s="33" t="s">
        <v>11376</v>
      </c>
      <c r="E7637" s="46" t="s">
        <v>7616</v>
      </c>
    </row>
    <row r="7638">
      <c r="A7638" s="56" t="s">
        <v>18809</v>
      </c>
      <c r="B7638" s="82"/>
      <c r="C7638" s="33" t="s">
        <v>11376</v>
      </c>
      <c r="E7638" s="46" t="s">
        <v>7618</v>
      </c>
    </row>
    <row r="7639">
      <c r="A7639" s="56" t="s">
        <v>18810</v>
      </c>
      <c r="B7639" s="82"/>
      <c r="C7639" s="33" t="s">
        <v>11380</v>
      </c>
      <c r="E7639" s="46" t="s">
        <v>7616</v>
      </c>
    </row>
    <row r="7640">
      <c r="A7640" s="56" t="s">
        <v>18811</v>
      </c>
      <c r="B7640" s="82"/>
      <c r="C7640" s="33" t="s">
        <v>11380</v>
      </c>
      <c r="E7640" s="46" t="s">
        <v>7618</v>
      </c>
    </row>
    <row r="7641">
      <c r="A7641" s="56" t="s">
        <v>18812</v>
      </c>
      <c r="B7641" s="79"/>
      <c r="C7641" s="33" t="s">
        <v>11384</v>
      </c>
      <c r="E7641" s="46" t="s">
        <v>1348</v>
      </c>
    </row>
    <row r="7642">
      <c r="A7642" s="56" t="s">
        <v>18813</v>
      </c>
      <c r="B7642" s="79"/>
      <c r="C7642" s="33" t="s">
        <v>11384</v>
      </c>
      <c r="E7642" s="46" t="s">
        <v>1348</v>
      </c>
    </row>
    <row r="7643">
      <c r="A7643" s="56" t="s">
        <v>18815</v>
      </c>
      <c r="B7643" s="79"/>
      <c r="C7643" s="33" t="s">
        <v>11389</v>
      </c>
      <c r="E7643" s="46" t="s">
        <v>1348</v>
      </c>
    </row>
    <row r="7644">
      <c r="A7644" s="56" t="s">
        <v>18817</v>
      </c>
      <c r="B7644" s="21"/>
      <c r="C7644" s="33" t="s">
        <v>11391</v>
      </c>
      <c r="E7644" s="46" t="s">
        <v>7616</v>
      </c>
    </row>
    <row r="7645">
      <c r="A7645" s="56" t="s">
        <v>18819</v>
      </c>
      <c r="B7645" s="21"/>
      <c r="C7645" s="33" t="s">
        <v>11391</v>
      </c>
      <c r="E7645" s="46" t="s">
        <v>7618</v>
      </c>
    </row>
    <row r="7646">
      <c r="A7646" s="56" t="s">
        <v>18820</v>
      </c>
      <c r="B7646" s="21"/>
      <c r="C7646" s="33" t="s">
        <v>11394</v>
      </c>
      <c r="E7646" s="46" t="s">
        <v>7616</v>
      </c>
    </row>
    <row r="7647">
      <c r="A7647" s="56" t="s">
        <v>18821</v>
      </c>
      <c r="B7647" s="21"/>
      <c r="C7647" s="33" t="s">
        <v>11394</v>
      </c>
      <c r="E7647" s="46" t="s">
        <v>7618</v>
      </c>
    </row>
    <row r="7648">
      <c r="A7648" s="56" t="s">
        <v>18822</v>
      </c>
      <c r="B7648" s="21"/>
      <c r="C7648" s="33" t="s">
        <v>11398</v>
      </c>
      <c r="E7648" s="46" t="s">
        <v>7616</v>
      </c>
    </row>
    <row r="7649">
      <c r="A7649" s="56" t="s">
        <v>18823</v>
      </c>
      <c r="B7649" s="21"/>
      <c r="C7649" s="33" t="s">
        <v>11398</v>
      </c>
      <c r="E7649" s="46" t="s">
        <v>7618</v>
      </c>
    </row>
    <row r="7650">
      <c r="A7650" s="56" t="s">
        <v>18827</v>
      </c>
      <c r="B7650" s="21"/>
      <c r="C7650" s="33" t="s">
        <v>11391</v>
      </c>
      <c r="E7650" s="46" t="s">
        <v>7616</v>
      </c>
    </row>
    <row r="7651">
      <c r="A7651" s="56" t="s">
        <v>18828</v>
      </c>
      <c r="B7651" s="21"/>
      <c r="C7651" s="33" t="s">
        <v>11391</v>
      </c>
      <c r="E7651" s="46" t="s">
        <v>7618</v>
      </c>
    </row>
    <row r="7652">
      <c r="A7652" s="56" t="s">
        <v>18829</v>
      </c>
      <c r="B7652" s="21"/>
      <c r="C7652" s="33" t="s">
        <v>11394</v>
      </c>
      <c r="E7652" s="46" t="s">
        <v>7616</v>
      </c>
    </row>
    <row r="7653">
      <c r="A7653" s="56" t="s">
        <v>18830</v>
      </c>
      <c r="B7653" s="21"/>
      <c r="C7653" s="33" t="s">
        <v>11394</v>
      </c>
      <c r="E7653" s="46" t="s">
        <v>7618</v>
      </c>
    </row>
    <row r="7654">
      <c r="A7654" s="56" t="s">
        <v>18834</v>
      </c>
      <c r="B7654" s="21"/>
      <c r="C7654" s="33" t="s">
        <v>11398</v>
      </c>
      <c r="E7654" s="46" t="s">
        <v>7616</v>
      </c>
    </row>
    <row r="7655">
      <c r="A7655" s="56" t="s">
        <v>18835</v>
      </c>
      <c r="B7655" s="21"/>
      <c r="C7655" s="33" t="s">
        <v>11398</v>
      </c>
      <c r="E7655" s="46" t="s">
        <v>7618</v>
      </c>
    </row>
    <row r="7656">
      <c r="A7656" s="56" t="s">
        <v>18836</v>
      </c>
      <c r="B7656" s="21"/>
      <c r="C7656" s="33" t="s">
        <v>11411</v>
      </c>
      <c r="E7656" s="46" t="s">
        <v>7616</v>
      </c>
    </row>
    <row r="7657">
      <c r="A7657" s="56" t="s">
        <v>18837</v>
      </c>
      <c r="B7657" s="21"/>
      <c r="C7657" s="33" t="s">
        <v>11411</v>
      </c>
      <c r="E7657" s="46" t="s">
        <v>7618</v>
      </c>
    </row>
    <row r="7658">
      <c r="A7658" s="56" t="s">
        <v>18838</v>
      </c>
      <c r="B7658" s="21"/>
      <c r="C7658" s="33" t="s">
        <v>11416</v>
      </c>
      <c r="E7658" s="46" t="s">
        <v>7616</v>
      </c>
    </row>
    <row r="7659">
      <c r="A7659" s="56" t="s">
        <v>18839</v>
      </c>
      <c r="B7659" s="21"/>
      <c r="C7659" s="33" t="s">
        <v>11416</v>
      </c>
      <c r="E7659" s="46" t="s">
        <v>7618</v>
      </c>
    </row>
    <row r="7660">
      <c r="A7660" s="56" t="s">
        <v>18841</v>
      </c>
      <c r="B7660" s="21"/>
      <c r="C7660" s="33" t="s">
        <v>11419</v>
      </c>
      <c r="E7660" s="46" t="s">
        <v>7616</v>
      </c>
    </row>
    <row r="7661">
      <c r="A7661" s="56" t="s">
        <v>18843</v>
      </c>
      <c r="B7661" s="21"/>
      <c r="C7661" s="33" t="s">
        <v>11419</v>
      </c>
      <c r="E7661" s="46" t="s">
        <v>7618</v>
      </c>
    </row>
    <row r="7662">
      <c r="A7662" s="56" t="s">
        <v>18845</v>
      </c>
      <c r="B7662" s="21"/>
      <c r="C7662" s="33" t="s">
        <v>11411</v>
      </c>
      <c r="E7662" s="46" t="s">
        <v>7616</v>
      </c>
    </row>
    <row r="7663">
      <c r="A7663" s="56" t="s">
        <v>18846</v>
      </c>
      <c r="B7663" s="21"/>
      <c r="C7663" s="33" t="s">
        <v>11411</v>
      </c>
      <c r="E7663" s="46" t="s">
        <v>7618</v>
      </c>
    </row>
    <row r="7664">
      <c r="A7664" s="56" t="s">
        <v>18847</v>
      </c>
      <c r="B7664" s="21"/>
      <c r="C7664" s="33" t="s">
        <v>11416</v>
      </c>
      <c r="E7664" s="46" t="s">
        <v>7616</v>
      </c>
    </row>
    <row r="7665">
      <c r="A7665" s="56" t="s">
        <v>18848</v>
      </c>
      <c r="B7665" s="21"/>
      <c r="C7665" s="33" t="s">
        <v>11416</v>
      </c>
      <c r="E7665" s="46" t="s">
        <v>7618</v>
      </c>
    </row>
    <row r="7666">
      <c r="A7666" s="56" t="s">
        <v>18849</v>
      </c>
      <c r="B7666" s="21"/>
      <c r="C7666" s="33" t="s">
        <v>11419</v>
      </c>
      <c r="E7666" s="46" t="s">
        <v>7616</v>
      </c>
    </row>
    <row r="7667">
      <c r="A7667" s="56" t="s">
        <v>18850</v>
      </c>
      <c r="B7667" s="21"/>
      <c r="C7667" s="33" t="s">
        <v>11419</v>
      </c>
      <c r="E7667" s="46" t="s">
        <v>7618</v>
      </c>
    </row>
    <row r="7668">
      <c r="A7668" s="56" t="s">
        <v>18852</v>
      </c>
      <c r="B7668" s="55"/>
      <c r="C7668" s="31"/>
    </row>
    <row r="7669">
      <c r="A7669" s="56" t="s">
        <v>18853</v>
      </c>
      <c r="B7669" s="82"/>
      <c r="C7669" s="33" t="s">
        <v>18855</v>
      </c>
    </row>
    <row r="7670">
      <c r="A7670" s="56" t="s">
        <v>18856</v>
      </c>
      <c r="B7670" s="82"/>
      <c r="C7670" s="33" t="s">
        <v>11373</v>
      </c>
      <c r="E7670" s="46" t="s">
        <v>7616</v>
      </c>
    </row>
    <row r="7671">
      <c r="A7671" s="56" t="s">
        <v>18858</v>
      </c>
      <c r="B7671" s="82"/>
      <c r="C7671" s="33" t="s">
        <v>11373</v>
      </c>
      <c r="E7671" s="46" t="s">
        <v>7618</v>
      </c>
    </row>
    <row r="7672">
      <c r="A7672" s="56" t="s">
        <v>18859</v>
      </c>
      <c r="B7672" s="82"/>
      <c r="C7672" s="33" t="s">
        <v>11376</v>
      </c>
      <c r="E7672" s="46" t="s">
        <v>7616</v>
      </c>
    </row>
    <row r="7673">
      <c r="A7673" s="56" t="s">
        <v>18860</v>
      </c>
      <c r="B7673" s="82"/>
      <c r="C7673" s="33" t="s">
        <v>11376</v>
      </c>
      <c r="E7673" s="46" t="s">
        <v>7618</v>
      </c>
    </row>
    <row r="7674">
      <c r="A7674" s="56" t="s">
        <v>18861</v>
      </c>
      <c r="B7674" s="82"/>
      <c r="C7674" s="33" t="s">
        <v>11380</v>
      </c>
      <c r="E7674" s="46" t="s">
        <v>7616</v>
      </c>
    </row>
    <row r="7675">
      <c r="A7675" s="56" t="s">
        <v>18862</v>
      </c>
      <c r="B7675" s="82"/>
      <c r="C7675" s="33" t="s">
        <v>11380</v>
      </c>
      <c r="E7675" s="46" t="s">
        <v>7618</v>
      </c>
    </row>
    <row r="7676">
      <c r="A7676" s="56" t="s">
        <v>18863</v>
      </c>
      <c r="B7676" s="79"/>
      <c r="C7676" s="33" t="s">
        <v>11384</v>
      </c>
      <c r="E7676" s="46" t="s">
        <v>1348</v>
      </c>
    </row>
    <row r="7677">
      <c r="A7677" s="56" t="s">
        <v>18864</v>
      </c>
      <c r="B7677" s="79"/>
      <c r="C7677" s="33" t="s">
        <v>11384</v>
      </c>
      <c r="E7677" s="46" t="s">
        <v>1348</v>
      </c>
    </row>
    <row r="7678">
      <c r="A7678" s="56" t="s">
        <v>18867</v>
      </c>
      <c r="B7678" s="79"/>
      <c r="C7678" s="33" t="s">
        <v>11389</v>
      </c>
      <c r="E7678" s="46" t="s">
        <v>1348</v>
      </c>
    </row>
    <row r="7679">
      <c r="A7679" s="56" t="s">
        <v>18869</v>
      </c>
      <c r="B7679" s="21"/>
      <c r="C7679" s="33" t="s">
        <v>11391</v>
      </c>
      <c r="E7679" s="46" t="s">
        <v>7616</v>
      </c>
    </row>
    <row r="7680">
      <c r="A7680" s="56" t="s">
        <v>18870</v>
      </c>
      <c r="B7680" s="21"/>
      <c r="C7680" s="33" t="s">
        <v>11391</v>
      </c>
      <c r="E7680" s="46" t="s">
        <v>7618</v>
      </c>
    </row>
    <row r="7681">
      <c r="A7681" s="56" t="s">
        <v>18871</v>
      </c>
      <c r="B7681" s="21"/>
      <c r="C7681" s="33" t="s">
        <v>11394</v>
      </c>
      <c r="E7681" s="46" t="s">
        <v>7616</v>
      </c>
    </row>
    <row r="7682">
      <c r="A7682" s="56" t="s">
        <v>18872</v>
      </c>
      <c r="B7682" s="21"/>
      <c r="C7682" s="33" t="s">
        <v>11394</v>
      </c>
      <c r="E7682" s="46" t="s">
        <v>7618</v>
      </c>
    </row>
    <row r="7683">
      <c r="A7683" s="56" t="s">
        <v>18873</v>
      </c>
      <c r="B7683" s="21"/>
      <c r="C7683" s="33" t="s">
        <v>11398</v>
      </c>
      <c r="E7683" s="46" t="s">
        <v>7616</v>
      </c>
    </row>
    <row r="7684">
      <c r="A7684" s="56" t="s">
        <v>18874</v>
      </c>
      <c r="B7684" s="21"/>
      <c r="C7684" s="33" t="s">
        <v>11398</v>
      </c>
      <c r="E7684" s="46" t="s">
        <v>7618</v>
      </c>
    </row>
    <row r="7685">
      <c r="A7685" s="56" t="s">
        <v>18875</v>
      </c>
      <c r="B7685" s="21"/>
      <c r="C7685" s="33" t="s">
        <v>11391</v>
      </c>
      <c r="E7685" s="46" t="s">
        <v>7616</v>
      </c>
    </row>
    <row r="7686">
      <c r="A7686" s="56" t="s">
        <v>18877</v>
      </c>
      <c r="B7686" s="21"/>
      <c r="C7686" s="33" t="s">
        <v>11391</v>
      </c>
      <c r="E7686" s="46" t="s">
        <v>7618</v>
      </c>
    </row>
    <row r="7687">
      <c r="A7687" s="56" t="s">
        <v>18880</v>
      </c>
      <c r="B7687" s="21"/>
      <c r="C7687" s="33" t="s">
        <v>11394</v>
      </c>
      <c r="E7687" s="46" t="s">
        <v>7616</v>
      </c>
    </row>
    <row r="7688">
      <c r="A7688" s="56" t="s">
        <v>18881</v>
      </c>
      <c r="B7688" s="21"/>
      <c r="C7688" s="33" t="s">
        <v>11394</v>
      </c>
      <c r="E7688" s="46" t="s">
        <v>7618</v>
      </c>
    </row>
    <row r="7689">
      <c r="A7689" s="56" t="s">
        <v>18882</v>
      </c>
      <c r="B7689" s="21"/>
      <c r="C7689" s="33" t="s">
        <v>11398</v>
      </c>
      <c r="E7689" s="46" t="s">
        <v>7616</v>
      </c>
    </row>
    <row r="7690">
      <c r="A7690" s="56" t="s">
        <v>18883</v>
      </c>
      <c r="B7690" s="21"/>
      <c r="C7690" s="33" t="s">
        <v>11398</v>
      </c>
      <c r="E7690" s="46" t="s">
        <v>7618</v>
      </c>
    </row>
    <row r="7691">
      <c r="A7691" s="56" t="s">
        <v>18884</v>
      </c>
      <c r="B7691" s="21"/>
      <c r="C7691" s="33" t="s">
        <v>11411</v>
      </c>
      <c r="E7691" s="46" t="s">
        <v>7616</v>
      </c>
    </row>
    <row r="7692">
      <c r="A7692" s="56" t="s">
        <v>18885</v>
      </c>
      <c r="B7692" s="21"/>
      <c r="C7692" s="33" t="s">
        <v>11411</v>
      </c>
      <c r="E7692" s="46" t="s">
        <v>7618</v>
      </c>
    </row>
    <row r="7693">
      <c r="A7693" s="56" t="s">
        <v>18886</v>
      </c>
      <c r="B7693" s="21"/>
      <c r="C7693" s="33" t="s">
        <v>11416</v>
      </c>
      <c r="E7693" s="46" t="s">
        <v>7616</v>
      </c>
    </row>
    <row r="7694">
      <c r="A7694" s="56" t="s">
        <v>18889</v>
      </c>
      <c r="B7694" s="21"/>
      <c r="C7694" s="33" t="s">
        <v>11416</v>
      </c>
      <c r="E7694" s="46" t="s">
        <v>7618</v>
      </c>
    </row>
    <row r="7695">
      <c r="A7695" s="56" t="s">
        <v>18891</v>
      </c>
      <c r="B7695" s="21"/>
      <c r="C7695" s="33" t="s">
        <v>11419</v>
      </c>
      <c r="E7695" s="46" t="s">
        <v>7616</v>
      </c>
    </row>
    <row r="7696">
      <c r="A7696" s="56" t="s">
        <v>18892</v>
      </c>
      <c r="B7696" s="21"/>
      <c r="C7696" s="33" t="s">
        <v>11419</v>
      </c>
      <c r="E7696" s="46" t="s">
        <v>7618</v>
      </c>
    </row>
    <row r="7697">
      <c r="A7697" s="56" t="s">
        <v>18893</v>
      </c>
      <c r="B7697" s="21"/>
      <c r="C7697" s="33" t="s">
        <v>11411</v>
      </c>
      <c r="E7697" s="46" t="s">
        <v>7616</v>
      </c>
    </row>
    <row r="7698">
      <c r="A7698" s="56" t="s">
        <v>18894</v>
      </c>
      <c r="B7698" s="21"/>
      <c r="C7698" s="33" t="s">
        <v>11411</v>
      </c>
      <c r="E7698" s="46" t="s">
        <v>7618</v>
      </c>
    </row>
    <row r="7699">
      <c r="A7699" s="56" t="s">
        <v>18895</v>
      </c>
      <c r="B7699" s="21"/>
      <c r="C7699" s="33" t="s">
        <v>11416</v>
      </c>
      <c r="E7699" s="46" t="s">
        <v>7616</v>
      </c>
    </row>
    <row r="7700">
      <c r="A7700" s="56" t="s">
        <v>18896</v>
      </c>
      <c r="B7700" s="21"/>
      <c r="C7700" s="33" t="s">
        <v>11416</v>
      </c>
      <c r="E7700" s="46" t="s">
        <v>7618</v>
      </c>
    </row>
    <row r="7701">
      <c r="A7701" s="56" t="s">
        <v>18897</v>
      </c>
      <c r="B7701" s="21"/>
      <c r="C7701" s="33" t="s">
        <v>11419</v>
      </c>
      <c r="E7701" s="46" t="s">
        <v>7616</v>
      </c>
    </row>
    <row r="7702">
      <c r="A7702" s="56" t="s">
        <v>18898</v>
      </c>
      <c r="B7702" s="21"/>
      <c r="C7702" s="33" t="s">
        <v>11419</v>
      </c>
      <c r="E7702" s="46" t="s">
        <v>7618</v>
      </c>
    </row>
    <row r="7703">
      <c r="A7703" s="56" t="s">
        <v>18900</v>
      </c>
      <c r="B7703" s="55"/>
      <c r="C7703" s="31"/>
    </row>
    <row r="7704">
      <c r="A7704" s="56" t="s">
        <v>18902</v>
      </c>
      <c r="B7704" s="55"/>
      <c r="C7704" s="31"/>
    </row>
    <row r="7705">
      <c r="A7705" s="56" t="s">
        <v>18904</v>
      </c>
      <c r="B7705" s="55"/>
      <c r="C7705" s="31"/>
    </row>
    <row r="7706">
      <c r="A7706" s="56" t="s">
        <v>18905</v>
      </c>
      <c r="B7706" s="55"/>
      <c r="C7706" s="31"/>
    </row>
    <row r="7707">
      <c r="A7707" s="56" t="s">
        <v>18906</v>
      </c>
      <c r="B7707" s="55"/>
      <c r="C7707" s="31"/>
    </row>
    <row r="7708">
      <c r="A7708" s="56" t="s">
        <v>18907</v>
      </c>
      <c r="B7708" s="55"/>
      <c r="C7708" s="31"/>
    </row>
    <row r="7709">
      <c r="A7709" s="56" t="s">
        <v>18909</v>
      </c>
      <c r="B7709" s="55"/>
      <c r="C7709" s="31"/>
    </row>
    <row r="7710">
      <c r="A7710" s="56" t="s">
        <v>18910</v>
      </c>
      <c r="B7710" s="55"/>
      <c r="C7710" s="31"/>
    </row>
    <row r="7711">
      <c r="A7711" s="56" t="s">
        <v>18911</v>
      </c>
      <c r="B7711" s="55"/>
      <c r="C7711" s="31"/>
    </row>
    <row r="7712">
      <c r="A7712" s="56" t="s">
        <v>18914</v>
      </c>
      <c r="B7712" s="55"/>
      <c r="C7712" s="31"/>
    </row>
    <row r="7713">
      <c r="A7713" s="56" t="s">
        <v>18915</v>
      </c>
      <c r="B7713" s="55"/>
      <c r="C7713" s="31"/>
    </row>
    <row r="7714">
      <c r="A7714" s="56" t="s">
        <v>18916</v>
      </c>
      <c r="B7714" s="55"/>
      <c r="C7714" s="31"/>
    </row>
    <row r="7715">
      <c r="A7715" s="56" t="s">
        <v>18917</v>
      </c>
      <c r="B7715" s="55"/>
      <c r="C7715" s="31"/>
    </row>
    <row r="7716">
      <c r="A7716" s="56" t="s">
        <v>18918</v>
      </c>
      <c r="B7716" s="55"/>
      <c r="C7716" s="31"/>
    </row>
    <row r="7717">
      <c r="A7717" s="56" t="s">
        <v>18919</v>
      </c>
      <c r="B7717" s="55"/>
      <c r="C7717" s="31"/>
    </row>
    <row r="7718">
      <c r="A7718" s="56" t="s">
        <v>18920</v>
      </c>
      <c r="B7718" s="82"/>
      <c r="C7718" s="33" t="s">
        <v>18921</v>
      </c>
    </row>
    <row r="7719">
      <c r="A7719" s="56" t="s">
        <v>18922</v>
      </c>
      <c r="B7719" s="82"/>
      <c r="C7719" s="33" t="s">
        <v>11373</v>
      </c>
      <c r="E7719" s="46" t="s">
        <v>7616</v>
      </c>
    </row>
    <row r="7720">
      <c r="A7720" s="56" t="s">
        <v>18924</v>
      </c>
      <c r="B7720" s="82"/>
      <c r="C7720" s="33" t="s">
        <v>11373</v>
      </c>
      <c r="E7720" s="46" t="s">
        <v>7618</v>
      </c>
    </row>
    <row r="7721">
      <c r="A7721" s="56" t="s">
        <v>18926</v>
      </c>
      <c r="B7721" s="82"/>
      <c r="C7721" s="33" t="s">
        <v>11376</v>
      </c>
      <c r="E7721" s="46" t="s">
        <v>7616</v>
      </c>
    </row>
    <row r="7722">
      <c r="A7722" s="56" t="s">
        <v>18928</v>
      </c>
      <c r="B7722" s="82"/>
      <c r="C7722" s="33" t="s">
        <v>11376</v>
      </c>
      <c r="E7722" s="46" t="s">
        <v>7618</v>
      </c>
    </row>
    <row r="7723">
      <c r="A7723" s="56" t="s">
        <v>18929</v>
      </c>
      <c r="B7723" s="82"/>
      <c r="C7723" s="33" t="s">
        <v>11380</v>
      </c>
      <c r="E7723" s="46" t="s">
        <v>7616</v>
      </c>
    </row>
    <row r="7724">
      <c r="A7724" s="56" t="s">
        <v>18930</v>
      </c>
      <c r="B7724" s="82"/>
      <c r="C7724" s="33" t="s">
        <v>11380</v>
      </c>
      <c r="E7724" s="46" t="s">
        <v>7618</v>
      </c>
    </row>
    <row r="7725">
      <c r="A7725" s="56" t="s">
        <v>18931</v>
      </c>
      <c r="B7725" s="79"/>
      <c r="C7725" s="33" t="s">
        <v>11384</v>
      </c>
      <c r="E7725" s="46" t="s">
        <v>1348</v>
      </c>
    </row>
    <row r="7726">
      <c r="A7726" s="56" t="s">
        <v>18932</v>
      </c>
      <c r="B7726" s="79"/>
      <c r="C7726" s="33" t="s">
        <v>11384</v>
      </c>
      <c r="E7726" s="46" t="s">
        <v>1348</v>
      </c>
    </row>
    <row r="7727">
      <c r="A7727" s="56" t="s">
        <v>18933</v>
      </c>
      <c r="B7727" s="79"/>
      <c r="C7727" s="33" t="s">
        <v>11389</v>
      </c>
      <c r="E7727" s="46" t="s">
        <v>1348</v>
      </c>
    </row>
    <row r="7728">
      <c r="A7728" s="56" t="s">
        <v>18934</v>
      </c>
      <c r="B7728" s="21"/>
      <c r="C7728" s="33" t="s">
        <v>11391</v>
      </c>
      <c r="E7728" s="46" t="s">
        <v>7616</v>
      </c>
    </row>
    <row r="7729">
      <c r="A7729" s="56" t="s">
        <v>18936</v>
      </c>
      <c r="B7729" s="21"/>
      <c r="C7729" s="33" t="s">
        <v>11391</v>
      </c>
      <c r="E7729" s="46" t="s">
        <v>7618</v>
      </c>
    </row>
    <row r="7730">
      <c r="A7730" s="56" t="s">
        <v>18937</v>
      </c>
      <c r="B7730" s="21"/>
      <c r="C7730" s="33" t="s">
        <v>11394</v>
      </c>
      <c r="E7730" s="46" t="s">
        <v>7616</v>
      </c>
    </row>
    <row r="7731">
      <c r="A7731" s="56" t="s">
        <v>18938</v>
      </c>
      <c r="B7731" s="21"/>
      <c r="C7731" s="33" t="s">
        <v>11394</v>
      </c>
      <c r="E7731" s="46" t="s">
        <v>7618</v>
      </c>
    </row>
    <row r="7732">
      <c r="A7732" s="56" t="s">
        <v>18939</v>
      </c>
      <c r="B7732" s="21"/>
      <c r="C7732" s="33" t="s">
        <v>11398</v>
      </c>
      <c r="E7732" s="46" t="s">
        <v>7616</v>
      </c>
    </row>
    <row r="7733">
      <c r="A7733" s="56" t="s">
        <v>18940</v>
      </c>
      <c r="B7733" s="21"/>
      <c r="C7733" s="33" t="s">
        <v>11398</v>
      </c>
      <c r="E7733" s="46" t="s">
        <v>7618</v>
      </c>
    </row>
    <row r="7734">
      <c r="A7734" s="56" t="s">
        <v>18941</v>
      </c>
      <c r="B7734" s="21"/>
      <c r="C7734" s="33" t="s">
        <v>11391</v>
      </c>
      <c r="E7734" s="46" t="s">
        <v>7616</v>
      </c>
    </row>
    <row r="7735">
      <c r="A7735" s="56" t="s">
        <v>18942</v>
      </c>
      <c r="B7735" s="21"/>
      <c r="C7735" s="33" t="s">
        <v>11391</v>
      </c>
      <c r="E7735" s="46" t="s">
        <v>7618</v>
      </c>
    </row>
    <row r="7736">
      <c r="A7736" s="56" t="s">
        <v>18943</v>
      </c>
      <c r="B7736" s="21"/>
      <c r="C7736" s="33" t="s">
        <v>11394</v>
      </c>
      <c r="E7736" s="46" t="s">
        <v>7616</v>
      </c>
    </row>
    <row r="7737">
      <c r="A7737" s="56" t="s">
        <v>18944</v>
      </c>
      <c r="B7737" s="21"/>
      <c r="C7737" s="33" t="s">
        <v>11394</v>
      </c>
      <c r="E7737" s="46" t="s">
        <v>7618</v>
      </c>
    </row>
    <row r="7738">
      <c r="A7738" s="56" t="s">
        <v>18945</v>
      </c>
      <c r="B7738" s="21"/>
      <c r="C7738" s="33" t="s">
        <v>11398</v>
      </c>
      <c r="E7738" s="46" t="s">
        <v>7616</v>
      </c>
    </row>
    <row r="7739">
      <c r="A7739" s="56" t="s">
        <v>18947</v>
      </c>
      <c r="B7739" s="21"/>
      <c r="C7739" s="33" t="s">
        <v>11398</v>
      </c>
      <c r="E7739" s="46" t="s">
        <v>7618</v>
      </c>
    </row>
    <row r="7740">
      <c r="A7740" s="56" t="s">
        <v>18949</v>
      </c>
      <c r="B7740" s="21"/>
      <c r="C7740" s="33" t="s">
        <v>11411</v>
      </c>
      <c r="E7740" s="46" t="s">
        <v>7616</v>
      </c>
    </row>
    <row r="7741">
      <c r="A7741" s="56" t="s">
        <v>18950</v>
      </c>
      <c r="B7741" s="21"/>
      <c r="C7741" s="33" t="s">
        <v>11411</v>
      </c>
      <c r="E7741" s="46" t="s">
        <v>7618</v>
      </c>
    </row>
    <row r="7742">
      <c r="A7742" s="56" t="s">
        <v>18951</v>
      </c>
      <c r="B7742" s="21"/>
      <c r="C7742" s="33" t="s">
        <v>11416</v>
      </c>
      <c r="E7742" s="46" t="s">
        <v>7616</v>
      </c>
    </row>
    <row r="7743">
      <c r="A7743" s="56" t="s">
        <v>18952</v>
      </c>
      <c r="B7743" s="21"/>
      <c r="C7743" s="33" t="s">
        <v>11416</v>
      </c>
      <c r="E7743" s="46" t="s">
        <v>7618</v>
      </c>
    </row>
    <row r="7744">
      <c r="A7744" s="56" t="s">
        <v>18953</v>
      </c>
      <c r="B7744" s="21"/>
      <c r="C7744" s="33" t="s">
        <v>11419</v>
      </c>
      <c r="E7744" s="46" t="s">
        <v>7616</v>
      </c>
    </row>
    <row r="7745">
      <c r="A7745" s="56" t="s">
        <v>18954</v>
      </c>
      <c r="B7745" s="21"/>
      <c r="C7745" s="33" t="s">
        <v>11419</v>
      </c>
      <c r="E7745" s="46" t="s">
        <v>7618</v>
      </c>
    </row>
    <row r="7746">
      <c r="A7746" s="56" t="s">
        <v>18955</v>
      </c>
      <c r="B7746" s="21"/>
      <c r="C7746" s="33" t="s">
        <v>11411</v>
      </c>
      <c r="E7746" s="46" t="s">
        <v>7616</v>
      </c>
    </row>
    <row r="7747">
      <c r="A7747" s="56" t="s">
        <v>18957</v>
      </c>
      <c r="B7747" s="21"/>
      <c r="C7747" s="33" t="s">
        <v>11411</v>
      </c>
      <c r="E7747" s="46" t="s">
        <v>7618</v>
      </c>
    </row>
    <row r="7748">
      <c r="A7748" s="56" t="s">
        <v>18958</v>
      </c>
      <c r="B7748" s="21"/>
      <c r="C7748" s="33" t="s">
        <v>11416</v>
      </c>
      <c r="E7748" s="46" t="s">
        <v>7616</v>
      </c>
    </row>
    <row r="7749">
      <c r="A7749" s="56" t="s">
        <v>18959</v>
      </c>
      <c r="B7749" s="21"/>
      <c r="C7749" s="33" t="s">
        <v>11416</v>
      </c>
      <c r="E7749" s="46" t="s">
        <v>7618</v>
      </c>
    </row>
    <row r="7750">
      <c r="A7750" s="56" t="s">
        <v>18961</v>
      </c>
      <c r="B7750" s="21"/>
      <c r="C7750" s="33" t="s">
        <v>11419</v>
      </c>
      <c r="E7750" s="46" t="s">
        <v>7616</v>
      </c>
    </row>
    <row r="7751">
      <c r="A7751" s="56" t="s">
        <v>18962</v>
      </c>
      <c r="B7751" s="21"/>
      <c r="C7751" s="33" t="s">
        <v>11419</v>
      </c>
      <c r="E7751" s="46" t="s">
        <v>7618</v>
      </c>
    </row>
    <row r="7752">
      <c r="A7752" s="56" t="s">
        <v>18963</v>
      </c>
      <c r="B7752" s="55"/>
      <c r="C7752" s="31"/>
    </row>
    <row r="7753">
      <c r="A7753" s="56" t="s">
        <v>18965</v>
      </c>
      <c r="B7753" s="55"/>
      <c r="C7753" s="31"/>
    </row>
    <row r="7754">
      <c r="A7754" s="56" t="s">
        <v>18967</v>
      </c>
      <c r="B7754" s="55"/>
      <c r="C7754" s="31"/>
    </row>
    <row r="7755">
      <c r="A7755" s="56" t="s">
        <v>18968</v>
      </c>
      <c r="B7755" s="55"/>
      <c r="C7755" s="31"/>
    </row>
    <row r="7756">
      <c r="A7756" s="56" t="s">
        <v>18970</v>
      </c>
      <c r="B7756" s="82"/>
      <c r="C7756" s="33" t="s">
        <v>18971</v>
      </c>
    </row>
    <row r="7757">
      <c r="A7757" s="56" t="s">
        <v>18972</v>
      </c>
      <c r="B7757" s="55"/>
      <c r="C7757" s="31"/>
    </row>
    <row r="7758">
      <c r="A7758" s="56" t="s">
        <v>18973</v>
      </c>
      <c r="B7758" s="55"/>
      <c r="C7758" s="31"/>
    </row>
    <row r="7759">
      <c r="A7759" s="56" t="s">
        <v>18974</v>
      </c>
      <c r="B7759" s="55"/>
      <c r="C7759" s="31"/>
    </row>
    <row r="7760">
      <c r="A7760" s="56" t="s">
        <v>18977</v>
      </c>
      <c r="B7760" s="55"/>
      <c r="C7760" s="31"/>
    </row>
    <row r="7761">
      <c r="A7761" s="56" t="s">
        <v>18978</v>
      </c>
      <c r="B7761" s="55"/>
      <c r="C7761" s="31"/>
    </row>
    <row r="7762">
      <c r="A7762" s="56" t="s">
        <v>18979</v>
      </c>
      <c r="B7762" s="55"/>
      <c r="C7762" s="31"/>
    </row>
    <row r="7763">
      <c r="A7763" s="56" t="s">
        <v>18980</v>
      </c>
      <c r="B7763" s="55"/>
      <c r="C7763" s="31"/>
    </row>
    <row r="7764">
      <c r="A7764" s="56" t="s">
        <v>18982</v>
      </c>
      <c r="B7764" s="55"/>
      <c r="C7764" s="31"/>
    </row>
    <row r="7765">
      <c r="A7765" s="56" t="s">
        <v>18983</v>
      </c>
      <c r="B7765" s="55"/>
      <c r="C7765" s="31"/>
    </row>
    <row r="7766">
      <c r="A7766" s="56" t="s">
        <v>18984</v>
      </c>
      <c r="B7766" s="55"/>
      <c r="C7766" s="31"/>
    </row>
    <row r="7767">
      <c r="A7767" s="56" t="s">
        <v>18987</v>
      </c>
      <c r="B7767" s="55"/>
      <c r="C7767" s="31"/>
    </row>
    <row r="7768">
      <c r="A7768" s="56" t="s">
        <v>18990</v>
      </c>
      <c r="B7768" s="55"/>
      <c r="C7768" s="31"/>
    </row>
    <row r="7769">
      <c r="A7769" s="56" t="s">
        <v>18991</v>
      </c>
      <c r="B7769" s="55"/>
      <c r="C7769" s="31"/>
    </row>
    <row r="7770">
      <c r="A7770" s="56" t="s">
        <v>18992</v>
      </c>
      <c r="B7770" s="55"/>
      <c r="C7770" s="31"/>
    </row>
    <row r="7771">
      <c r="A7771" s="56" t="s">
        <v>18993</v>
      </c>
      <c r="B7771" s="55"/>
      <c r="C7771" s="31"/>
    </row>
    <row r="7772">
      <c r="A7772" s="56" t="s">
        <v>18994</v>
      </c>
      <c r="B7772" s="55"/>
      <c r="C7772" s="31"/>
    </row>
    <row r="7773">
      <c r="A7773" s="56" t="s">
        <v>18995</v>
      </c>
      <c r="B7773" s="55"/>
      <c r="C7773" s="31"/>
    </row>
    <row r="7774">
      <c r="A7774" s="56" t="s">
        <v>18996</v>
      </c>
      <c r="B7774" s="55"/>
      <c r="C7774" s="31"/>
    </row>
    <row r="7775">
      <c r="A7775" s="56" t="s">
        <v>18997</v>
      </c>
      <c r="B7775" s="55"/>
      <c r="C7775" s="31"/>
    </row>
    <row r="7776">
      <c r="A7776" s="56" t="s">
        <v>18999</v>
      </c>
      <c r="B7776" s="55"/>
      <c r="C7776" s="31"/>
    </row>
    <row r="7777">
      <c r="A7777" s="56" t="s">
        <v>19001</v>
      </c>
      <c r="B7777" s="55"/>
      <c r="C7777" s="31"/>
    </row>
    <row r="7778">
      <c r="A7778" s="56" t="s">
        <v>19003</v>
      </c>
      <c r="B7778" s="55"/>
      <c r="C7778" s="31"/>
    </row>
    <row r="7779">
      <c r="A7779" s="56" t="s">
        <v>19006</v>
      </c>
      <c r="B7779" s="55"/>
      <c r="C7779" s="31"/>
    </row>
    <row r="7780">
      <c r="A7780" s="56" t="s">
        <v>19007</v>
      </c>
      <c r="B7780" s="55"/>
      <c r="C7780" s="31"/>
    </row>
    <row r="7781">
      <c r="A7781" s="56" t="s">
        <v>19008</v>
      </c>
      <c r="B7781" s="55"/>
      <c r="C7781" s="31"/>
    </row>
    <row r="7782">
      <c r="A7782" s="56" t="s">
        <v>19009</v>
      </c>
      <c r="B7782" s="55"/>
      <c r="C7782" s="31"/>
    </row>
    <row r="7783">
      <c r="A7783" s="56" t="s">
        <v>19012</v>
      </c>
      <c r="B7783" s="55"/>
      <c r="C7783" s="31"/>
    </row>
    <row r="7784">
      <c r="A7784" s="56" t="s">
        <v>19013</v>
      </c>
      <c r="B7784" s="55"/>
      <c r="C7784" s="31"/>
    </row>
    <row r="7785">
      <c r="A7785" s="56" t="s">
        <v>19014</v>
      </c>
      <c r="B7785" s="55"/>
      <c r="C7785" s="31"/>
    </row>
    <row r="7786">
      <c r="A7786" s="56" t="s">
        <v>19015</v>
      </c>
      <c r="B7786" s="55"/>
      <c r="C7786" s="31"/>
    </row>
    <row r="7787">
      <c r="A7787" s="56" t="s">
        <v>19016</v>
      </c>
      <c r="B7787" s="55"/>
      <c r="C7787" s="31"/>
    </row>
    <row r="7788">
      <c r="A7788" s="56" t="s">
        <v>19017</v>
      </c>
      <c r="B7788" s="55"/>
      <c r="C7788" s="31"/>
    </row>
    <row r="7789">
      <c r="A7789" s="56" t="s">
        <v>19018</v>
      </c>
      <c r="B7789" s="55"/>
      <c r="C7789" s="31"/>
    </row>
    <row r="7790">
      <c r="A7790" s="56" t="s">
        <v>19020</v>
      </c>
      <c r="B7790" s="55"/>
      <c r="C7790" s="31"/>
    </row>
    <row r="7791">
      <c r="A7791" s="56" t="s">
        <v>19022</v>
      </c>
      <c r="B7791" s="55"/>
      <c r="C7791" s="31"/>
    </row>
    <row r="7792">
      <c r="A7792" s="56" t="s">
        <v>19024</v>
      </c>
      <c r="B7792" s="55"/>
      <c r="C7792" s="31"/>
    </row>
    <row r="7793">
      <c r="A7793" s="56" t="s">
        <v>19025</v>
      </c>
      <c r="B7793" s="55"/>
      <c r="C7793" s="31"/>
    </row>
    <row r="7794">
      <c r="A7794" s="56" t="s">
        <v>19026</v>
      </c>
      <c r="B7794" s="55"/>
      <c r="C7794" s="31"/>
    </row>
    <row r="7795">
      <c r="A7795" s="56" t="s">
        <v>19027</v>
      </c>
      <c r="B7795" s="55"/>
      <c r="C7795" s="31"/>
    </row>
    <row r="7796">
      <c r="A7796" s="56" t="s">
        <v>19028</v>
      </c>
      <c r="B7796" s="55"/>
      <c r="C7796" s="31"/>
    </row>
    <row r="7797">
      <c r="A7797" s="56" t="s">
        <v>19029</v>
      </c>
      <c r="B7797" s="55"/>
      <c r="C7797" s="31"/>
    </row>
    <row r="7798">
      <c r="A7798" s="56" t="s">
        <v>19031</v>
      </c>
      <c r="B7798" s="55"/>
      <c r="C7798" s="31"/>
    </row>
    <row r="7799">
      <c r="A7799" s="56" t="s">
        <v>19033</v>
      </c>
      <c r="B7799" s="55"/>
      <c r="C7799" s="31"/>
    </row>
    <row r="7800">
      <c r="A7800" s="56" t="s">
        <v>19034</v>
      </c>
      <c r="B7800" s="55"/>
      <c r="C7800" s="31"/>
    </row>
    <row r="7801">
      <c r="A7801" s="56" t="s">
        <v>19035</v>
      </c>
      <c r="B7801" s="55"/>
      <c r="C7801" s="31"/>
    </row>
    <row r="7802">
      <c r="A7802" s="56" t="s">
        <v>19036</v>
      </c>
      <c r="B7802" s="55"/>
      <c r="C7802" s="31"/>
    </row>
    <row r="7803">
      <c r="A7803" s="56" t="s">
        <v>19037</v>
      </c>
      <c r="B7803" s="55"/>
      <c r="C7803" s="31"/>
    </row>
    <row r="7804">
      <c r="A7804" s="56" t="s">
        <v>19039</v>
      </c>
      <c r="B7804" s="55"/>
      <c r="C7804" s="31"/>
    </row>
    <row r="7805">
      <c r="A7805" s="56" t="s">
        <v>19041</v>
      </c>
      <c r="B7805" s="55"/>
      <c r="C7805" s="31"/>
    </row>
    <row r="7806">
      <c r="A7806" s="56" t="s">
        <v>19044</v>
      </c>
      <c r="B7806" s="55"/>
      <c r="C7806" s="31"/>
    </row>
    <row r="7807">
      <c r="A7807" s="56" t="s">
        <v>19045</v>
      </c>
      <c r="B7807" s="55"/>
      <c r="C7807" s="31"/>
    </row>
    <row r="7808">
      <c r="A7808" s="56" t="s">
        <v>19046</v>
      </c>
      <c r="B7808" s="55"/>
      <c r="C7808" s="31"/>
    </row>
    <row r="7809">
      <c r="A7809" s="56" t="s">
        <v>19049</v>
      </c>
      <c r="B7809" s="55"/>
      <c r="C7809" s="31"/>
    </row>
    <row r="7810">
      <c r="A7810" s="56" t="s">
        <v>19050</v>
      </c>
      <c r="B7810" s="55"/>
      <c r="C7810" s="31"/>
    </row>
    <row r="7811">
      <c r="A7811" s="56" t="s">
        <v>19051</v>
      </c>
      <c r="B7811" s="55"/>
      <c r="C7811" s="31"/>
    </row>
    <row r="7812">
      <c r="A7812" s="56" t="s">
        <v>19052</v>
      </c>
      <c r="B7812" s="55"/>
      <c r="C7812" s="31"/>
    </row>
    <row r="7813">
      <c r="A7813" s="56" t="s">
        <v>19055</v>
      </c>
      <c r="B7813" s="55"/>
      <c r="C7813" s="31"/>
    </row>
    <row r="7814">
      <c r="A7814" s="56" t="s">
        <v>19057</v>
      </c>
      <c r="B7814" s="55"/>
      <c r="C7814" s="31"/>
    </row>
    <row r="7815">
      <c r="A7815" s="56" t="s">
        <v>19058</v>
      </c>
      <c r="B7815" s="55"/>
      <c r="C7815" s="31"/>
    </row>
    <row r="7816">
      <c r="A7816" s="56" t="s">
        <v>19059</v>
      </c>
      <c r="B7816" s="55"/>
      <c r="C7816" s="31"/>
    </row>
    <row r="7817">
      <c r="A7817" s="56" t="s">
        <v>19060</v>
      </c>
      <c r="B7817" s="55"/>
      <c r="C7817" s="31"/>
    </row>
    <row r="7818">
      <c r="A7818" s="56" t="s">
        <v>19061</v>
      </c>
      <c r="B7818" s="55"/>
      <c r="C7818" s="31"/>
    </row>
    <row r="7819">
      <c r="A7819" s="56" t="s">
        <v>19062</v>
      </c>
      <c r="B7819" s="55"/>
      <c r="C7819" s="31"/>
    </row>
    <row r="7820">
      <c r="A7820" s="56" t="s">
        <v>19063</v>
      </c>
      <c r="B7820" s="55"/>
      <c r="C7820" s="31"/>
    </row>
    <row r="7821">
      <c r="A7821" s="56" t="s">
        <v>19065</v>
      </c>
      <c r="B7821" s="55"/>
      <c r="C7821" s="31"/>
    </row>
    <row r="7822">
      <c r="A7822" s="56" t="s">
        <v>19066</v>
      </c>
      <c r="B7822" s="55"/>
      <c r="C7822" s="31"/>
    </row>
    <row r="7823">
      <c r="A7823" s="56" t="s">
        <v>19067</v>
      </c>
      <c r="B7823" s="55"/>
      <c r="C7823" s="31"/>
    </row>
    <row r="7824">
      <c r="A7824" s="56" t="s">
        <v>19070</v>
      </c>
      <c r="B7824" s="55"/>
      <c r="C7824" s="31"/>
    </row>
    <row r="7825">
      <c r="A7825" s="56" t="s">
        <v>19071</v>
      </c>
      <c r="B7825" s="55"/>
      <c r="C7825" s="31"/>
    </row>
    <row r="7826">
      <c r="A7826" s="56" t="s">
        <v>19072</v>
      </c>
      <c r="B7826" s="55"/>
      <c r="C7826" s="31"/>
    </row>
    <row r="7827">
      <c r="A7827" s="56" t="s">
        <v>19073</v>
      </c>
      <c r="B7827" s="55"/>
      <c r="C7827" s="31"/>
    </row>
    <row r="7828">
      <c r="A7828" s="56" t="s">
        <v>19074</v>
      </c>
      <c r="B7828" s="55"/>
      <c r="C7828" s="31"/>
    </row>
    <row r="7829">
      <c r="A7829" s="56" t="s">
        <v>19076</v>
      </c>
      <c r="B7829" s="55"/>
      <c r="C7829" s="31"/>
    </row>
    <row r="7830">
      <c r="A7830" s="56" t="s">
        <v>19077</v>
      </c>
      <c r="B7830" s="55"/>
      <c r="C7830" s="31"/>
    </row>
    <row r="7831">
      <c r="A7831" s="56" t="s">
        <v>19078</v>
      </c>
      <c r="B7831" s="55"/>
      <c r="C7831" s="31"/>
    </row>
    <row r="7832">
      <c r="A7832" s="56" t="s">
        <v>19080</v>
      </c>
      <c r="B7832" s="82"/>
      <c r="C7832" s="33" t="s">
        <v>19081</v>
      </c>
    </row>
    <row r="7833">
      <c r="A7833" s="56" t="s">
        <v>19082</v>
      </c>
      <c r="B7833" s="55"/>
      <c r="C7833" s="31"/>
    </row>
    <row r="7834">
      <c r="A7834" s="56" t="s">
        <v>19083</v>
      </c>
      <c r="B7834" s="55"/>
      <c r="C7834" s="31"/>
    </row>
    <row r="7835">
      <c r="A7835" s="56" t="s">
        <v>19084</v>
      </c>
      <c r="B7835" s="55"/>
      <c r="C7835" s="31"/>
    </row>
    <row r="7836">
      <c r="A7836" s="56" t="s">
        <v>19087</v>
      </c>
      <c r="B7836" s="55"/>
      <c r="C7836" s="31"/>
    </row>
    <row r="7837">
      <c r="A7837" s="56" t="s">
        <v>19088</v>
      </c>
      <c r="B7837" s="55"/>
      <c r="C7837" s="31"/>
    </row>
    <row r="7838">
      <c r="A7838" s="56" t="s">
        <v>19089</v>
      </c>
      <c r="B7838" s="55"/>
      <c r="C7838" s="31"/>
    </row>
    <row r="7839">
      <c r="A7839" s="56" t="s">
        <v>19090</v>
      </c>
      <c r="B7839" s="55"/>
      <c r="C7839" s="31"/>
    </row>
    <row r="7840">
      <c r="A7840" s="56" t="s">
        <v>19091</v>
      </c>
      <c r="B7840" s="55"/>
      <c r="C7840" s="31"/>
    </row>
    <row r="7841">
      <c r="A7841" s="56" t="s">
        <v>19092</v>
      </c>
      <c r="B7841" s="55"/>
      <c r="C7841" s="31"/>
    </row>
    <row r="7842">
      <c r="A7842" s="56" t="s">
        <v>19094</v>
      </c>
      <c r="B7842" s="55"/>
      <c r="C7842" s="31"/>
    </row>
    <row r="7843">
      <c r="A7843" s="56" t="s">
        <v>19095</v>
      </c>
      <c r="B7843" s="55"/>
      <c r="C7843" s="31"/>
    </row>
    <row r="7844">
      <c r="A7844" s="56" t="s">
        <v>19096</v>
      </c>
      <c r="B7844" s="55"/>
      <c r="C7844" s="31"/>
    </row>
    <row r="7845">
      <c r="A7845" s="56" t="s">
        <v>19097</v>
      </c>
      <c r="B7845" s="55"/>
      <c r="C7845" s="31"/>
    </row>
    <row r="7846">
      <c r="A7846" s="56" t="s">
        <v>19099</v>
      </c>
      <c r="B7846" s="55"/>
      <c r="C7846" s="31"/>
    </row>
    <row r="7847">
      <c r="A7847" s="56" t="s">
        <v>19101</v>
      </c>
      <c r="B7847" s="55"/>
      <c r="C7847" s="31"/>
    </row>
    <row r="7848">
      <c r="A7848" s="56" t="s">
        <v>19102</v>
      </c>
      <c r="B7848" s="55"/>
      <c r="C7848" s="31"/>
    </row>
    <row r="7849">
      <c r="A7849" s="56" t="s">
        <v>19103</v>
      </c>
      <c r="B7849" s="55"/>
      <c r="C7849" s="31"/>
    </row>
    <row r="7850">
      <c r="A7850" s="56" t="s">
        <v>19104</v>
      </c>
      <c r="B7850" s="55"/>
      <c r="C7850" s="31"/>
    </row>
    <row r="7851">
      <c r="A7851" s="56" t="s">
        <v>19105</v>
      </c>
      <c r="B7851" s="55"/>
      <c r="C7851" s="31"/>
    </row>
    <row r="7852">
      <c r="A7852" s="56" t="s">
        <v>19107</v>
      </c>
      <c r="B7852" s="55"/>
      <c r="C7852" s="31"/>
    </row>
    <row r="7853">
      <c r="A7853" s="56" t="s">
        <v>19108</v>
      </c>
      <c r="B7853" s="55"/>
      <c r="C7853" s="31"/>
    </row>
    <row r="7854">
      <c r="A7854" s="56" t="s">
        <v>19110</v>
      </c>
      <c r="B7854" s="82"/>
      <c r="C7854" s="33" t="s">
        <v>19112</v>
      </c>
    </row>
    <row r="7855">
      <c r="A7855" s="56" t="s">
        <v>19113</v>
      </c>
      <c r="B7855" s="55"/>
      <c r="C7855" s="31"/>
    </row>
    <row r="7856">
      <c r="A7856" s="56" t="s">
        <v>19114</v>
      </c>
      <c r="B7856" s="55"/>
      <c r="C7856" s="31"/>
    </row>
    <row r="7857">
      <c r="A7857" s="56" t="s">
        <v>19115</v>
      </c>
      <c r="B7857" s="55"/>
      <c r="C7857" s="31"/>
    </row>
    <row r="7858">
      <c r="A7858" s="56" t="s">
        <v>19116</v>
      </c>
      <c r="B7858" s="55"/>
      <c r="C7858" s="31"/>
    </row>
    <row r="7859">
      <c r="A7859" s="56" t="s">
        <v>19117</v>
      </c>
      <c r="B7859" s="55"/>
      <c r="C7859" s="31"/>
    </row>
    <row r="7860">
      <c r="A7860" s="56" t="s">
        <v>19118</v>
      </c>
      <c r="B7860" s="55"/>
      <c r="C7860" s="31"/>
    </row>
    <row r="7861">
      <c r="A7861" s="56" t="s">
        <v>19122</v>
      </c>
      <c r="B7861" s="55"/>
      <c r="C7861" s="31"/>
    </row>
    <row r="7862">
      <c r="A7862" s="56" t="s">
        <v>19123</v>
      </c>
      <c r="B7862" s="55"/>
      <c r="C7862" s="31"/>
    </row>
    <row r="7863">
      <c r="A7863" s="56" t="s">
        <v>19124</v>
      </c>
      <c r="B7863" s="55"/>
      <c r="C7863" s="31"/>
    </row>
    <row r="7864">
      <c r="A7864" s="56" t="s">
        <v>19125</v>
      </c>
      <c r="B7864" s="55"/>
      <c r="C7864" s="31"/>
    </row>
    <row r="7865">
      <c r="A7865" s="56" t="s">
        <v>19126</v>
      </c>
      <c r="B7865" s="55"/>
      <c r="C7865" s="31"/>
    </row>
    <row r="7866">
      <c r="A7866" s="56" t="s">
        <v>19127</v>
      </c>
      <c r="B7866" s="55"/>
      <c r="C7866" s="31"/>
    </row>
    <row r="7867">
      <c r="A7867" s="56" t="s">
        <v>19128</v>
      </c>
      <c r="B7867" s="55"/>
      <c r="C7867" s="31"/>
    </row>
    <row r="7868">
      <c r="A7868" s="56" t="s">
        <v>19130</v>
      </c>
      <c r="B7868" s="55"/>
      <c r="C7868" s="31"/>
    </row>
    <row r="7869">
      <c r="A7869" s="56" t="s">
        <v>19131</v>
      </c>
      <c r="B7869" s="55"/>
      <c r="C7869" s="31"/>
    </row>
    <row r="7870">
      <c r="A7870" s="56" t="s">
        <v>19132</v>
      </c>
      <c r="B7870" s="55"/>
      <c r="C7870" s="31"/>
    </row>
    <row r="7871">
      <c r="A7871" s="56" t="s">
        <v>19133</v>
      </c>
      <c r="B7871" s="55"/>
      <c r="C7871" s="31"/>
    </row>
    <row r="7872">
      <c r="A7872" s="56" t="s">
        <v>19134</v>
      </c>
      <c r="B7872" s="55"/>
      <c r="C7872" s="31"/>
    </row>
    <row r="7873">
      <c r="A7873" s="56" t="s">
        <v>19136</v>
      </c>
      <c r="B7873" s="55"/>
      <c r="C7873" s="31"/>
    </row>
    <row r="7874">
      <c r="A7874" s="56" t="s">
        <v>19137</v>
      </c>
      <c r="B7874" s="55"/>
      <c r="C7874" s="31"/>
    </row>
    <row r="7875">
      <c r="A7875" s="56" t="s">
        <v>19139</v>
      </c>
      <c r="B7875" s="55"/>
      <c r="C7875" s="31"/>
    </row>
    <row r="7876">
      <c r="A7876" s="56" t="s">
        <v>19140</v>
      </c>
      <c r="B7876" s="55"/>
      <c r="C7876" s="31"/>
    </row>
    <row r="7877">
      <c r="A7877" s="56" t="s">
        <v>19141</v>
      </c>
      <c r="B7877" s="55"/>
      <c r="C7877" s="31"/>
    </row>
    <row r="7878">
      <c r="A7878" s="56" t="s">
        <v>19142</v>
      </c>
      <c r="B7878" s="55"/>
      <c r="C7878" s="31"/>
    </row>
    <row r="7879">
      <c r="A7879" s="56" t="s">
        <v>19143</v>
      </c>
      <c r="B7879" s="55"/>
      <c r="C7879" s="31"/>
    </row>
    <row r="7880">
      <c r="A7880" s="56" t="s">
        <v>19144</v>
      </c>
      <c r="B7880" s="55"/>
      <c r="C7880" s="31"/>
    </row>
    <row r="7881">
      <c r="A7881" s="56" t="s">
        <v>19146</v>
      </c>
      <c r="B7881" s="55"/>
      <c r="C7881" s="31"/>
    </row>
    <row r="7882">
      <c r="A7882" s="56" t="s">
        <v>19148</v>
      </c>
      <c r="B7882" s="55"/>
      <c r="C7882" s="31"/>
    </row>
    <row r="7883">
      <c r="A7883" s="56" t="s">
        <v>19149</v>
      </c>
      <c r="B7883" s="55"/>
      <c r="C7883" s="31"/>
    </row>
    <row r="7884">
      <c r="A7884" s="56" t="s">
        <v>19150</v>
      </c>
      <c r="B7884" s="55"/>
      <c r="C7884" s="31"/>
    </row>
    <row r="7885">
      <c r="A7885" s="56" t="s">
        <v>19151</v>
      </c>
      <c r="B7885" s="55"/>
      <c r="C7885" s="31"/>
    </row>
    <row r="7886">
      <c r="A7886" s="56" t="s">
        <v>19152</v>
      </c>
      <c r="B7886" s="55"/>
      <c r="C7886" s="31"/>
    </row>
    <row r="7887">
      <c r="A7887" s="56" t="s">
        <v>19153</v>
      </c>
      <c r="B7887" s="55"/>
      <c r="C7887" s="31"/>
    </row>
    <row r="7888">
      <c r="A7888" s="56" t="s">
        <v>19154</v>
      </c>
      <c r="B7888" s="55"/>
      <c r="C7888" s="31"/>
    </row>
    <row r="7889">
      <c r="A7889" s="56" t="s">
        <v>19156</v>
      </c>
      <c r="B7889" s="55"/>
      <c r="C7889" s="31"/>
    </row>
    <row r="7890">
      <c r="A7890" s="56" t="s">
        <v>19158</v>
      </c>
      <c r="B7890" s="55"/>
      <c r="C7890" s="31"/>
    </row>
    <row r="7891">
      <c r="A7891" s="56" t="s">
        <v>19159</v>
      </c>
      <c r="B7891" s="55"/>
      <c r="C7891" s="31"/>
    </row>
    <row r="7892">
      <c r="A7892" s="56" t="s">
        <v>19160</v>
      </c>
      <c r="B7892" s="55"/>
      <c r="C7892" s="31"/>
    </row>
    <row r="7893">
      <c r="A7893" s="56" t="s">
        <v>19161</v>
      </c>
      <c r="B7893" s="55"/>
      <c r="C7893" s="31"/>
    </row>
    <row r="7894">
      <c r="A7894" s="56" t="s">
        <v>19162</v>
      </c>
      <c r="B7894" s="55"/>
      <c r="C7894" s="31"/>
    </row>
    <row r="7895">
      <c r="A7895" s="56" t="s">
        <v>19163</v>
      </c>
      <c r="B7895" s="55"/>
      <c r="C7895" s="31"/>
    </row>
    <row r="7896">
      <c r="A7896" s="56" t="s">
        <v>19164</v>
      </c>
      <c r="B7896" s="55"/>
      <c r="C7896" s="31"/>
    </row>
    <row r="7897">
      <c r="A7897" s="56" t="s">
        <v>19166</v>
      </c>
      <c r="B7897" s="55"/>
      <c r="C7897" s="31"/>
    </row>
    <row r="7898">
      <c r="A7898" s="56" t="s">
        <v>19167</v>
      </c>
      <c r="B7898" s="55"/>
      <c r="C7898" s="31"/>
    </row>
    <row r="7899">
      <c r="A7899" s="56" t="s">
        <v>19169</v>
      </c>
      <c r="B7899" s="55"/>
      <c r="C7899" s="31"/>
    </row>
    <row r="7900">
      <c r="A7900" s="56" t="s">
        <v>19171</v>
      </c>
      <c r="B7900" s="55"/>
      <c r="C7900" s="31"/>
    </row>
    <row r="7901">
      <c r="A7901" s="56" t="s">
        <v>19172</v>
      </c>
      <c r="B7901" s="55"/>
      <c r="C7901" s="31"/>
    </row>
    <row r="7902">
      <c r="A7902" s="56" t="s">
        <v>19173</v>
      </c>
      <c r="B7902" s="55"/>
      <c r="C7902" s="31"/>
    </row>
    <row r="7903">
      <c r="A7903" s="56" t="s">
        <v>19174</v>
      </c>
      <c r="B7903" s="55"/>
      <c r="C7903" s="31"/>
    </row>
    <row r="7904">
      <c r="A7904" s="56" t="s">
        <v>19175</v>
      </c>
      <c r="B7904" s="82"/>
      <c r="C7904" s="33" t="s">
        <v>19176</v>
      </c>
    </row>
    <row r="7905">
      <c r="A7905" s="56" t="s">
        <v>19178</v>
      </c>
      <c r="B7905" s="55"/>
      <c r="C7905" s="31"/>
    </row>
    <row r="7906">
      <c r="A7906" s="56" t="s">
        <v>19180</v>
      </c>
      <c r="B7906" s="55"/>
      <c r="C7906" s="31"/>
    </row>
    <row r="7907">
      <c r="A7907" s="56" t="s">
        <v>19182</v>
      </c>
      <c r="B7907" s="82"/>
      <c r="C7907" s="33" t="s">
        <v>19183</v>
      </c>
    </row>
    <row r="7908">
      <c r="A7908" s="56" t="s">
        <v>19184</v>
      </c>
      <c r="B7908" s="55"/>
      <c r="C7908" s="31"/>
    </row>
    <row r="7909">
      <c r="A7909" s="56" t="s">
        <v>19185</v>
      </c>
      <c r="B7909" s="55"/>
      <c r="C7909" s="31"/>
    </row>
    <row r="7910">
      <c r="A7910" s="56" t="s">
        <v>19186</v>
      </c>
      <c r="B7910" s="82"/>
      <c r="C7910" s="33" t="s">
        <v>19187</v>
      </c>
    </row>
    <row r="7911">
      <c r="A7911" s="56" t="s">
        <v>19188</v>
      </c>
      <c r="B7911" s="55"/>
      <c r="C7911" s="31"/>
    </row>
    <row r="7912">
      <c r="A7912" s="56" t="s">
        <v>19190</v>
      </c>
      <c r="B7912" s="55"/>
      <c r="C7912" s="31"/>
    </row>
    <row r="7913">
      <c r="A7913" s="56" t="s">
        <v>19192</v>
      </c>
      <c r="B7913" s="55"/>
      <c r="C7913" s="31"/>
    </row>
    <row r="7914">
      <c r="A7914" s="56" t="s">
        <v>19194</v>
      </c>
      <c r="B7914" s="82"/>
      <c r="C7914" s="33" t="s">
        <v>19195</v>
      </c>
    </row>
    <row r="7915">
      <c r="A7915" s="56" t="s">
        <v>19196</v>
      </c>
      <c r="B7915" s="55"/>
      <c r="C7915" s="31"/>
    </row>
    <row r="7916">
      <c r="A7916" s="56" t="s">
        <v>19197</v>
      </c>
      <c r="B7916" s="55"/>
      <c r="C7916" s="31"/>
    </row>
    <row r="7917">
      <c r="A7917" s="56" t="s">
        <v>19198</v>
      </c>
      <c r="B7917" s="55"/>
      <c r="C7917" s="31"/>
    </row>
    <row r="7918">
      <c r="A7918" s="56" t="s">
        <v>19199</v>
      </c>
      <c r="B7918" s="55"/>
      <c r="C7918" s="31"/>
    </row>
    <row r="7919">
      <c r="A7919" s="56" t="s">
        <v>19200</v>
      </c>
      <c r="B7919" s="55"/>
      <c r="C7919" s="31"/>
    </row>
    <row r="7920">
      <c r="A7920" s="56" t="s">
        <v>19201</v>
      </c>
      <c r="B7920" s="82"/>
      <c r="C7920" s="33" t="s">
        <v>19202</v>
      </c>
    </row>
    <row r="7921">
      <c r="A7921" s="56" t="s">
        <v>19203</v>
      </c>
      <c r="B7921" s="55"/>
      <c r="C7921" s="31"/>
    </row>
    <row r="7922">
      <c r="A7922" s="56" t="s">
        <v>19204</v>
      </c>
      <c r="B7922" s="55"/>
      <c r="C7922" s="31"/>
    </row>
    <row r="7923">
      <c r="A7923" s="56" t="s">
        <v>19207</v>
      </c>
      <c r="B7923" s="55"/>
      <c r="C7923" s="31"/>
    </row>
    <row r="7924">
      <c r="A7924" s="56" t="s">
        <v>19208</v>
      </c>
      <c r="B7924" s="55"/>
      <c r="C7924" s="31"/>
    </row>
    <row r="7925">
      <c r="A7925" s="56" t="s">
        <v>19209</v>
      </c>
      <c r="B7925" s="55"/>
      <c r="C7925" s="31"/>
    </row>
    <row r="7926">
      <c r="A7926" s="56" t="s">
        <v>19210</v>
      </c>
      <c r="B7926" s="55"/>
      <c r="C7926" s="31"/>
    </row>
    <row r="7927">
      <c r="A7927" s="56" t="s">
        <v>19211</v>
      </c>
      <c r="B7927" s="55"/>
      <c r="C7927" s="31"/>
    </row>
    <row r="7928">
      <c r="A7928" s="56" t="s">
        <v>19212</v>
      </c>
      <c r="B7928" s="55"/>
      <c r="C7928" s="31"/>
    </row>
    <row r="7929">
      <c r="A7929" s="56" t="s">
        <v>19213</v>
      </c>
      <c r="B7929" s="55"/>
      <c r="C7929" s="31"/>
    </row>
    <row r="7930">
      <c r="A7930" s="56" t="s">
        <v>19214</v>
      </c>
      <c r="B7930" s="55"/>
      <c r="C7930" s="31"/>
    </row>
    <row r="7931">
      <c r="A7931" s="56" t="s">
        <v>19215</v>
      </c>
      <c r="B7931" s="55"/>
      <c r="C7931" s="31"/>
    </row>
    <row r="7932">
      <c r="A7932" s="56" t="s">
        <v>19216</v>
      </c>
      <c r="B7932" s="55"/>
      <c r="C7932" s="31"/>
    </row>
    <row r="7933">
      <c r="A7933" s="56" t="s">
        <v>19217</v>
      </c>
      <c r="B7933" s="55"/>
      <c r="C7933" s="31"/>
    </row>
    <row r="7934">
      <c r="A7934" s="56" t="s">
        <v>19219</v>
      </c>
      <c r="B7934" s="55"/>
      <c r="C7934" s="31"/>
    </row>
    <row r="7935">
      <c r="A7935" s="56" t="s">
        <v>19221</v>
      </c>
      <c r="B7935" s="55"/>
      <c r="C7935" s="31"/>
    </row>
    <row r="7936">
      <c r="A7936" s="56" t="s">
        <v>19222</v>
      </c>
      <c r="B7936" s="55"/>
      <c r="C7936" s="31"/>
    </row>
    <row r="7937">
      <c r="A7937" s="56" t="s">
        <v>19223</v>
      </c>
      <c r="B7937" s="55"/>
      <c r="C7937" s="31"/>
    </row>
    <row r="7938">
      <c r="A7938" s="56" t="s">
        <v>19224</v>
      </c>
      <c r="B7938" s="55"/>
      <c r="C7938" s="31"/>
    </row>
    <row r="7939">
      <c r="A7939" s="56" t="s">
        <v>19225</v>
      </c>
      <c r="B7939" s="55"/>
      <c r="C7939" s="31"/>
    </row>
    <row r="7940">
      <c r="A7940" s="56" t="s">
        <v>19226</v>
      </c>
      <c r="B7940" s="55"/>
      <c r="C7940" s="31"/>
    </row>
    <row r="7941">
      <c r="A7941" s="56" t="s">
        <v>19227</v>
      </c>
      <c r="B7941" s="55"/>
      <c r="C7941" s="31"/>
    </row>
    <row r="7942">
      <c r="A7942" s="56" t="s">
        <v>19228</v>
      </c>
      <c r="B7942" s="55"/>
      <c r="C7942" s="31"/>
    </row>
    <row r="7943">
      <c r="A7943" s="56" t="s">
        <v>19229</v>
      </c>
      <c r="B7943" s="55"/>
      <c r="C7943" s="31"/>
    </row>
    <row r="7944">
      <c r="A7944" s="56" t="s">
        <v>19230</v>
      </c>
      <c r="B7944" s="55"/>
      <c r="C7944" s="31"/>
    </row>
    <row r="7945">
      <c r="A7945" s="56" t="s">
        <v>19231</v>
      </c>
      <c r="B7945" s="55"/>
      <c r="C7945" s="31"/>
    </row>
    <row r="7946">
      <c r="A7946" s="56" t="s">
        <v>19233</v>
      </c>
      <c r="B7946" s="55"/>
      <c r="C7946" s="31"/>
    </row>
    <row r="7947">
      <c r="A7947" s="56" t="s">
        <v>19234</v>
      </c>
      <c r="B7947" s="55"/>
      <c r="C7947" s="31"/>
    </row>
    <row r="7948">
      <c r="A7948" s="56" t="s">
        <v>19235</v>
      </c>
      <c r="B7948" s="55"/>
      <c r="C7948" s="31"/>
    </row>
    <row r="7949">
      <c r="A7949" s="56" t="s">
        <v>19237</v>
      </c>
      <c r="B7949" s="55"/>
      <c r="C7949" s="31"/>
    </row>
    <row r="7950">
      <c r="A7950" s="56" t="s">
        <v>19238</v>
      </c>
      <c r="B7950" s="55"/>
      <c r="C7950" s="31"/>
    </row>
    <row r="7951">
      <c r="A7951" s="56" t="s">
        <v>19239</v>
      </c>
      <c r="B7951" s="55"/>
      <c r="C7951" s="31"/>
    </row>
    <row r="7952">
      <c r="A7952" s="56" t="s">
        <v>19240</v>
      </c>
      <c r="B7952" s="55"/>
      <c r="C7952" s="31"/>
    </row>
    <row r="7953">
      <c r="A7953" s="56" t="s">
        <v>19241</v>
      </c>
      <c r="B7953" s="55"/>
      <c r="C7953" s="31"/>
    </row>
    <row r="7954">
      <c r="A7954" s="56" t="s">
        <v>19242</v>
      </c>
      <c r="B7954" s="55"/>
      <c r="C7954" s="31"/>
    </row>
    <row r="7955">
      <c r="A7955" s="56" t="s">
        <v>19243</v>
      </c>
      <c r="B7955" s="55"/>
      <c r="C7955" s="31"/>
    </row>
    <row r="7956">
      <c r="A7956" s="56" t="s">
        <v>19244</v>
      </c>
      <c r="B7956" s="55"/>
      <c r="C7956" s="31"/>
    </row>
    <row r="7957">
      <c r="A7957" s="56" t="s">
        <v>19245</v>
      </c>
      <c r="B7957" s="55"/>
      <c r="C7957" s="31"/>
    </row>
    <row r="7958">
      <c r="A7958" s="56" t="s">
        <v>19247</v>
      </c>
      <c r="B7958" s="55"/>
      <c r="C7958" s="31"/>
    </row>
    <row r="7959">
      <c r="A7959" s="56" t="s">
        <v>19248</v>
      </c>
      <c r="B7959" s="55"/>
      <c r="C7959" s="31"/>
    </row>
    <row r="7960">
      <c r="A7960" s="56" t="s">
        <v>19249</v>
      </c>
      <c r="B7960" s="55"/>
      <c r="C7960" s="31"/>
    </row>
    <row r="7961">
      <c r="A7961" s="56" t="s">
        <v>19250</v>
      </c>
      <c r="B7961" s="55"/>
      <c r="C7961" s="31"/>
    </row>
    <row r="7962">
      <c r="A7962" s="56" t="s">
        <v>19252</v>
      </c>
      <c r="B7962" s="55"/>
      <c r="C7962" s="31"/>
    </row>
    <row r="7963">
      <c r="A7963" s="56" t="s">
        <v>19253</v>
      </c>
      <c r="B7963" s="55"/>
      <c r="C7963" s="31"/>
    </row>
    <row r="7964">
      <c r="A7964" s="56" t="s">
        <v>19254</v>
      </c>
      <c r="B7964" s="55"/>
      <c r="C7964" s="31"/>
    </row>
    <row r="7965">
      <c r="A7965" s="56" t="s">
        <v>19255</v>
      </c>
      <c r="B7965" s="55"/>
      <c r="C7965" s="31"/>
    </row>
    <row r="7966">
      <c r="A7966" s="56" t="s">
        <v>19256</v>
      </c>
      <c r="B7966" s="82"/>
      <c r="C7966" s="33" t="s">
        <v>19257</v>
      </c>
    </row>
    <row r="7967">
      <c r="A7967" s="56" t="s">
        <v>19258</v>
      </c>
      <c r="B7967" s="82"/>
      <c r="C7967" s="33" t="s">
        <v>11373</v>
      </c>
      <c r="E7967" s="46" t="s">
        <v>7616</v>
      </c>
    </row>
    <row r="7968">
      <c r="A7968" s="56" t="s">
        <v>19260</v>
      </c>
      <c r="B7968" s="82"/>
      <c r="C7968" s="33" t="s">
        <v>11373</v>
      </c>
      <c r="E7968" s="46" t="s">
        <v>7618</v>
      </c>
    </row>
    <row r="7969">
      <c r="A7969" s="56" t="s">
        <v>19261</v>
      </c>
      <c r="B7969" s="82"/>
      <c r="C7969" s="33" t="s">
        <v>11376</v>
      </c>
      <c r="E7969" s="46" t="s">
        <v>7616</v>
      </c>
    </row>
    <row r="7970">
      <c r="A7970" s="56" t="s">
        <v>19262</v>
      </c>
      <c r="B7970" s="82"/>
      <c r="C7970" s="33" t="s">
        <v>11376</v>
      </c>
      <c r="E7970" s="46" t="s">
        <v>7618</v>
      </c>
    </row>
    <row r="7971">
      <c r="A7971" s="56" t="s">
        <v>19263</v>
      </c>
      <c r="B7971" s="82"/>
      <c r="C7971" s="33" t="s">
        <v>11380</v>
      </c>
      <c r="E7971" s="46" t="s">
        <v>7616</v>
      </c>
    </row>
    <row r="7972">
      <c r="A7972" s="56" t="s">
        <v>19265</v>
      </c>
      <c r="B7972" s="82"/>
      <c r="C7972" s="33" t="s">
        <v>11380</v>
      </c>
      <c r="E7972" s="46" t="s">
        <v>7618</v>
      </c>
    </row>
    <row r="7973">
      <c r="A7973" s="56" t="s">
        <v>19266</v>
      </c>
      <c r="B7973" s="79"/>
      <c r="C7973" s="33" t="s">
        <v>11384</v>
      </c>
      <c r="E7973" s="46" t="s">
        <v>1348</v>
      </c>
    </row>
    <row r="7974">
      <c r="A7974" s="56" t="s">
        <v>19267</v>
      </c>
      <c r="B7974" s="79"/>
      <c r="C7974" s="33" t="s">
        <v>11384</v>
      </c>
      <c r="E7974" s="46" t="s">
        <v>1348</v>
      </c>
    </row>
    <row r="7975">
      <c r="A7975" s="56" t="s">
        <v>19268</v>
      </c>
      <c r="B7975" s="79"/>
      <c r="C7975" s="33" t="s">
        <v>11389</v>
      </c>
      <c r="E7975" s="46" t="s">
        <v>1348</v>
      </c>
    </row>
    <row r="7976">
      <c r="A7976" s="56" t="s">
        <v>19269</v>
      </c>
      <c r="B7976" s="21"/>
      <c r="C7976" s="33" t="s">
        <v>11391</v>
      </c>
      <c r="E7976" s="46" t="s">
        <v>7616</v>
      </c>
    </row>
    <row r="7977">
      <c r="A7977" s="56" t="s">
        <v>19270</v>
      </c>
      <c r="B7977" s="21"/>
      <c r="C7977" s="33" t="s">
        <v>11391</v>
      </c>
      <c r="E7977" s="46" t="s">
        <v>7618</v>
      </c>
    </row>
    <row r="7978">
      <c r="A7978" s="56" t="s">
        <v>19271</v>
      </c>
      <c r="B7978" s="21"/>
      <c r="C7978" s="33" t="s">
        <v>11394</v>
      </c>
      <c r="E7978" s="46" t="s">
        <v>7616</v>
      </c>
    </row>
    <row r="7979">
      <c r="A7979" s="56" t="s">
        <v>19272</v>
      </c>
      <c r="B7979" s="21"/>
      <c r="C7979" s="33" t="s">
        <v>11394</v>
      </c>
      <c r="E7979" s="46" t="s">
        <v>7618</v>
      </c>
    </row>
    <row r="7980">
      <c r="A7980" s="56" t="s">
        <v>19275</v>
      </c>
      <c r="B7980" s="21"/>
      <c r="C7980" s="33" t="s">
        <v>11398</v>
      </c>
      <c r="E7980" s="46" t="s">
        <v>7616</v>
      </c>
    </row>
    <row r="7981">
      <c r="A7981" s="56" t="s">
        <v>19277</v>
      </c>
      <c r="B7981" s="21"/>
      <c r="C7981" s="33" t="s">
        <v>11398</v>
      </c>
      <c r="E7981" s="46" t="s">
        <v>7618</v>
      </c>
    </row>
    <row r="7982">
      <c r="A7982" s="56" t="s">
        <v>19278</v>
      </c>
      <c r="B7982" s="21"/>
      <c r="C7982" s="33" t="s">
        <v>11391</v>
      </c>
      <c r="E7982" s="46" t="s">
        <v>7616</v>
      </c>
    </row>
    <row r="7983">
      <c r="A7983" s="56" t="s">
        <v>19279</v>
      </c>
      <c r="B7983" s="21"/>
      <c r="C7983" s="33" t="s">
        <v>11391</v>
      </c>
      <c r="E7983" s="46" t="s">
        <v>7618</v>
      </c>
    </row>
    <row r="7984">
      <c r="A7984" s="56" t="s">
        <v>19280</v>
      </c>
      <c r="B7984" s="21"/>
      <c r="C7984" s="33" t="s">
        <v>11394</v>
      </c>
      <c r="E7984" s="46" t="s">
        <v>7616</v>
      </c>
    </row>
    <row r="7985">
      <c r="A7985" s="56" t="s">
        <v>19281</v>
      </c>
      <c r="B7985" s="21"/>
      <c r="C7985" s="33" t="s">
        <v>11394</v>
      </c>
      <c r="E7985" s="46" t="s">
        <v>7618</v>
      </c>
    </row>
    <row r="7986">
      <c r="A7986" s="56" t="s">
        <v>19282</v>
      </c>
      <c r="B7986" s="21"/>
      <c r="C7986" s="33" t="s">
        <v>11398</v>
      </c>
      <c r="E7986" s="46" t="s">
        <v>7616</v>
      </c>
    </row>
    <row r="7987">
      <c r="A7987" s="56" t="s">
        <v>19285</v>
      </c>
      <c r="B7987" s="21"/>
      <c r="C7987" s="33" t="s">
        <v>11398</v>
      </c>
      <c r="E7987" s="46" t="s">
        <v>7618</v>
      </c>
    </row>
    <row r="7988">
      <c r="A7988" s="56" t="s">
        <v>19286</v>
      </c>
      <c r="B7988" s="21"/>
      <c r="C7988" s="33" t="s">
        <v>11411</v>
      </c>
      <c r="E7988" s="46" t="s">
        <v>7616</v>
      </c>
    </row>
    <row r="7989">
      <c r="A7989" s="56" t="s">
        <v>19287</v>
      </c>
      <c r="B7989" s="21"/>
      <c r="C7989" s="33" t="s">
        <v>11411</v>
      </c>
      <c r="E7989" s="46" t="s">
        <v>7618</v>
      </c>
    </row>
    <row r="7990">
      <c r="A7990" s="56" t="s">
        <v>19288</v>
      </c>
      <c r="B7990" s="21"/>
      <c r="C7990" s="33" t="s">
        <v>11416</v>
      </c>
      <c r="E7990" s="46" t="s">
        <v>7616</v>
      </c>
    </row>
    <row r="7991">
      <c r="A7991" s="56" t="s">
        <v>19289</v>
      </c>
      <c r="B7991" s="21"/>
      <c r="C7991" s="33" t="s">
        <v>11416</v>
      </c>
      <c r="E7991" s="46" t="s">
        <v>7618</v>
      </c>
    </row>
    <row r="7992">
      <c r="A7992" s="56" t="s">
        <v>19291</v>
      </c>
      <c r="B7992" s="21"/>
      <c r="C7992" s="33" t="s">
        <v>11419</v>
      </c>
      <c r="E7992" s="46" t="s">
        <v>7616</v>
      </c>
    </row>
    <row r="7993">
      <c r="A7993" s="56" t="s">
        <v>19293</v>
      </c>
      <c r="B7993" s="21"/>
      <c r="C7993" s="33" t="s">
        <v>11419</v>
      </c>
      <c r="E7993" s="46" t="s">
        <v>7618</v>
      </c>
    </row>
    <row r="7994">
      <c r="A7994" s="56" t="s">
        <v>19294</v>
      </c>
      <c r="B7994" s="21"/>
      <c r="C7994" s="33" t="s">
        <v>11411</v>
      </c>
      <c r="E7994" s="46" t="s">
        <v>7616</v>
      </c>
    </row>
    <row r="7995">
      <c r="A7995" s="56" t="s">
        <v>19295</v>
      </c>
      <c r="B7995" s="21"/>
      <c r="C7995" s="33" t="s">
        <v>11411</v>
      </c>
      <c r="E7995" s="46" t="s">
        <v>7618</v>
      </c>
    </row>
    <row r="7996">
      <c r="A7996" s="56" t="s">
        <v>19296</v>
      </c>
      <c r="B7996" s="21"/>
      <c r="C7996" s="33" t="s">
        <v>11416</v>
      </c>
      <c r="E7996" s="46" t="s">
        <v>7616</v>
      </c>
    </row>
    <row r="7997">
      <c r="A7997" s="56" t="s">
        <v>19298</v>
      </c>
      <c r="B7997" s="21"/>
      <c r="C7997" s="33" t="s">
        <v>11416</v>
      </c>
      <c r="E7997" s="46" t="s">
        <v>7618</v>
      </c>
    </row>
    <row r="7998">
      <c r="A7998" s="56" t="s">
        <v>19299</v>
      </c>
      <c r="B7998" s="21"/>
      <c r="C7998" s="33" t="s">
        <v>11419</v>
      </c>
      <c r="E7998" s="46" t="s">
        <v>7616</v>
      </c>
    </row>
    <row r="7999">
      <c r="A7999" s="56" t="s">
        <v>19301</v>
      </c>
      <c r="B7999" s="21"/>
      <c r="C7999" s="33" t="s">
        <v>11419</v>
      </c>
      <c r="E7999" s="46" t="s">
        <v>7618</v>
      </c>
    </row>
    <row r="8000">
      <c r="A8000" s="56" t="s">
        <v>19302</v>
      </c>
      <c r="B8000" s="82"/>
      <c r="C8000" s="33" t="s">
        <v>19303</v>
      </c>
    </row>
    <row r="8001">
      <c r="A8001" s="56" t="s">
        <v>19304</v>
      </c>
      <c r="B8001" s="55"/>
      <c r="C8001" s="31"/>
    </row>
    <row r="8002">
      <c r="A8002" s="56" t="s">
        <v>19305</v>
      </c>
      <c r="B8002" s="55"/>
      <c r="C8002" s="31"/>
    </row>
    <row r="8003">
      <c r="A8003" s="56" t="s">
        <v>19307</v>
      </c>
      <c r="B8003" s="55"/>
      <c r="C8003" s="31"/>
    </row>
    <row r="8004">
      <c r="A8004" s="56" t="s">
        <v>19308</v>
      </c>
      <c r="B8004" s="55"/>
      <c r="C8004" s="31"/>
    </row>
    <row r="8005">
      <c r="A8005" s="56" t="s">
        <v>19309</v>
      </c>
      <c r="B8005" s="55"/>
      <c r="C8005" s="31"/>
    </row>
    <row r="8006">
      <c r="A8006" s="56" t="s">
        <v>19311</v>
      </c>
      <c r="B8006" s="55"/>
      <c r="C8006" s="31"/>
    </row>
    <row r="8007">
      <c r="A8007" s="56" t="s">
        <v>19312</v>
      </c>
      <c r="B8007" s="55"/>
      <c r="C8007" s="31"/>
    </row>
    <row r="8008">
      <c r="A8008" s="56" t="s">
        <v>19313</v>
      </c>
      <c r="B8008" s="55"/>
      <c r="C8008" s="31"/>
    </row>
    <row r="8009">
      <c r="A8009" s="56" t="s">
        <v>19314</v>
      </c>
      <c r="B8009" s="55"/>
      <c r="C8009" s="31"/>
    </row>
    <row r="8010">
      <c r="A8010" s="56" t="s">
        <v>19315</v>
      </c>
      <c r="B8010" s="55"/>
      <c r="C8010" s="31"/>
    </row>
    <row r="8011">
      <c r="A8011" s="56" t="s">
        <v>19317</v>
      </c>
      <c r="B8011" s="55"/>
      <c r="C8011" s="31"/>
    </row>
    <row r="8012">
      <c r="A8012" s="56" t="s">
        <v>19318</v>
      </c>
      <c r="B8012" s="55"/>
      <c r="C8012" s="31"/>
    </row>
    <row r="8013">
      <c r="A8013" s="56" t="s">
        <v>19319</v>
      </c>
      <c r="B8013" s="55"/>
      <c r="C8013" s="31"/>
    </row>
    <row r="8014">
      <c r="A8014" s="56" t="s">
        <v>19320</v>
      </c>
      <c r="B8014" s="55"/>
      <c r="C8014" s="31"/>
    </row>
    <row r="8015">
      <c r="A8015" s="56" t="s">
        <v>19322</v>
      </c>
      <c r="B8015" s="55"/>
      <c r="C8015" s="31"/>
    </row>
    <row r="8016">
      <c r="A8016" s="56" t="s">
        <v>19323</v>
      </c>
      <c r="B8016" s="55"/>
      <c r="C8016" s="31"/>
    </row>
    <row r="8017">
      <c r="A8017" s="56" t="s">
        <v>19324</v>
      </c>
      <c r="B8017" s="55"/>
      <c r="C8017" s="31"/>
    </row>
    <row r="8018">
      <c r="A8018" s="56" t="s">
        <v>19325</v>
      </c>
      <c r="B8018" s="55"/>
      <c r="C8018" s="31"/>
    </row>
    <row r="8019">
      <c r="A8019" s="56" t="s">
        <v>19327</v>
      </c>
      <c r="B8019" s="55"/>
      <c r="C8019" s="31"/>
    </row>
    <row r="8020">
      <c r="A8020" s="56" t="s">
        <v>19328</v>
      </c>
      <c r="B8020" s="55"/>
      <c r="C8020" s="31"/>
    </row>
    <row r="8021">
      <c r="A8021" s="56" t="s">
        <v>19329</v>
      </c>
      <c r="B8021" s="55"/>
      <c r="C8021" s="31"/>
    </row>
    <row r="8022">
      <c r="A8022" s="56" t="s">
        <v>19330</v>
      </c>
      <c r="B8022" s="55"/>
      <c r="C8022" s="31"/>
    </row>
    <row r="8023">
      <c r="A8023" s="56" t="s">
        <v>19331</v>
      </c>
      <c r="B8023" s="55"/>
      <c r="C8023" s="31"/>
    </row>
    <row r="8024">
      <c r="A8024" s="56" t="s">
        <v>19332</v>
      </c>
      <c r="B8024" s="55"/>
      <c r="C8024" s="31"/>
    </row>
    <row r="8025">
      <c r="A8025" s="56" t="s">
        <v>19334</v>
      </c>
      <c r="B8025" s="82"/>
      <c r="C8025" s="33" t="s">
        <v>19335</v>
      </c>
    </row>
    <row r="8026">
      <c r="A8026" s="56" t="s">
        <v>19336</v>
      </c>
      <c r="B8026" s="82"/>
      <c r="C8026" s="33" t="s">
        <v>11373</v>
      </c>
      <c r="E8026" s="46" t="s">
        <v>7616</v>
      </c>
    </row>
    <row r="8027">
      <c r="A8027" s="56" t="s">
        <v>19337</v>
      </c>
      <c r="B8027" s="82"/>
      <c r="C8027" s="33" t="s">
        <v>11373</v>
      </c>
      <c r="E8027" s="46" t="s">
        <v>7618</v>
      </c>
    </row>
    <row r="8028">
      <c r="A8028" s="56" t="s">
        <v>19338</v>
      </c>
      <c r="B8028" s="82"/>
      <c r="C8028" s="33" t="s">
        <v>11376</v>
      </c>
      <c r="E8028" s="46" t="s">
        <v>7616</v>
      </c>
    </row>
    <row r="8029">
      <c r="A8029" s="56" t="s">
        <v>19340</v>
      </c>
      <c r="B8029" s="82"/>
      <c r="C8029" s="33" t="s">
        <v>11376</v>
      </c>
      <c r="E8029" s="46" t="s">
        <v>7618</v>
      </c>
    </row>
    <row r="8030">
      <c r="A8030" s="56" t="s">
        <v>19342</v>
      </c>
      <c r="B8030" s="82"/>
      <c r="C8030" s="33" t="s">
        <v>11380</v>
      </c>
      <c r="E8030" s="46" t="s">
        <v>7616</v>
      </c>
    </row>
    <row r="8031">
      <c r="A8031" s="56" t="s">
        <v>19343</v>
      </c>
      <c r="B8031" s="82"/>
      <c r="C8031" s="33" t="s">
        <v>11380</v>
      </c>
      <c r="E8031" s="46" t="s">
        <v>7618</v>
      </c>
    </row>
    <row r="8032">
      <c r="A8032" s="56" t="s">
        <v>19346</v>
      </c>
      <c r="B8032" s="79"/>
      <c r="C8032" s="33" t="s">
        <v>11384</v>
      </c>
      <c r="E8032" s="46" t="s">
        <v>1348</v>
      </c>
    </row>
    <row r="8033">
      <c r="A8033" s="56" t="s">
        <v>19347</v>
      </c>
      <c r="B8033" s="79"/>
      <c r="C8033" s="33" t="s">
        <v>11384</v>
      </c>
      <c r="E8033" s="46" t="s">
        <v>1348</v>
      </c>
    </row>
    <row r="8034">
      <c r="A8034" s="56" t="s">
        <v>19348</v>
      </c>
      <c r="B8034" s="79"/>
      <c r="C8034" s="33" t="s">
        <v>11389</v>
      </c>
      <c r="E8034" s="46" t="s">
        <v>1348</v>
      </c>
    </row>
    <row r="8035">
      <c r="A8035" s="56" t="s">
        <v>19349</v>
      </c>
      <c r="B8035" s="21"/>
      <c r="C8035" s="33" t="s">
        <v>11391</v>
      </c>
      <c r="E8035" s="46" t="s">
        <v>7616</v>
      </c>
    </row>
    <row r="8036">
      <c r="A8036" s="56" t="s">
        <v>19351</v>
      </c>
      <c r="B8036" s="21"/>
      <c r="C8036" s="33" t="s">
        <v>11391</v>
      </c>
      <c r="E8036" s="46" t="s">
        <v>7618</v>
      </c>
    </row>
    <row r="8037">
      <c r="A8037" s="56" t="s">
        <v>19352</v>
      </c>
      <c r="B8037" s="21"/>
      <c r="C8037" s="33" t="s">
        <v>11394</v>
      </c>
      <c r="E8037" s="46" t="s">
        <v>7616</v>
      </c>
    </row>
    <row r="8038">
      <c r="A8038" s="56" t="s">
        <v>19357</v>
      </c>
      <c r="B8038" s="21"/>
      <c r="C8038" s="33" t="s">
        <v>11394</v>
      </c>
      <c r="E8038" s="46" t="s">
        <v>7618</v>
      </c>
    </row>
    <row r="8039">
      <c r="A8039" s="56" t="s">
        <v>19358</v>
      </c>
      <c r="B8039" s="21"/>
      <c r="C8039" s="33" t="s">
        <v>11398</v>
      </c>
      <c r="E8039" s="46" t="s">
        <v>7616</v>
      </c>
    </row>
    <row r="8040">
      <c r="A8040" s="56" t="s">
        <v>19359</v>
      </c>
      <c r="B8040" s="21"/>
      <c r="C8040" s="33" t="s">
        <v>11398</v>
      </c>
      <c r="E8040" s="46" t="s">
        <v>7618</v>
      </c>
    </row>
    <row r="8041">
      <c r="A8041" s="56" t="s">
        <v>19360</v>
      </c>
      <c r="B8041" s="21"/>
      <c r="C8041" s="33" t="s">
        <v>11391</v>
      </c>
      <c r="E8041" s="46" t="s">
        <v>7616</v>
      </c>
    </row>
    <row r="8042">
      <c r="A8042" s="56" t="s">
        <v>19361</v>
      </c>
      <c r="B8042" s="21"/>
      <c r="C8042" s="33" t="s">
        <v>11391</v>
      </c>
      <c r="E8042" s="46" t="s">
        <v>7618</v>
      </c>
    </row>
    <row r="8043">
      <c r="A8043" s="56" t="s">
        <v>19362</v>
      </c>
      <c r="B8043" s="21"/>
      <c r="C8043" s="33" t="s">
        <v>11394</v>
      </c>
      <c r="E8043" s="46" t="s">
        <v>7616</v>
      </c>
    </row>
    <row r="8044">
      <c r="A8044" s="56" t="s">
        <v>19363</v>
      </c>
      <c r="B8044" s="21"/>
      <c r="C8044" s="33" t="s">
        <v>11394</v>
      </c>
      <c r="E8044" s="46" t="s">
        <v>7618</v>
      </c>
    </row>
    <row r="8045">
      <c r="A8045" s="56" t="s">
        <v>19365</v>
      </c>
      <c r="B8045" s="21"/>
      <c r="C8045" s="33" t="s">
        <v>11398</v>
      </c>
      <c r="E8045" s="46" t="s">
        <v>7616</v>
      </c>
    </row>
    <row r="8046">
      <c r="A8046" s="56" t="s">
        <v>19368</v>
      </c>
      <c r="B8046" s="21"/>
      <c r="C8046" s="33" t="s">
        <v>11398</v>
      </c>
      <c r="E8046" s="46" t="s">
        <v>7618</v>
      </c>
    </row>
    <row r="8047">
      <c r="A8047" s="56" t="s">
        <v>19369</v>
      </c>
      <c r="B8047" s="21"/>
      <c r="C8047" s="33" t="s">
        <v>11411</v>
      </c>
      <c r="E8047" s="46" t="s">
        <v>7616</v>
      </c>
    </row>
    <row r="8048">
      <c r="A8048" s="56" t="s">
        <v>19370</v>
      </c>
      <c r="B8048" s="21"/>
      <c r="C8048" s="33" t="s">
        <v>11411</v>
      </c>
      <c r="E8048" s="46" t="s">
        <v>7618</v>
      </c>
    </row>
    <row r="8049">
      <c r="A8049" s="56" t="s">
        <v>19372</v>
      </c>
      <c r="B8049" s="21"/>
      <c r="C8049" s="33" t="s">
        <v>11416</v>
      </c>
      <c r="E8049" s="46" t="s">
        <v>7616</v>
      </c>
    </row>
    <row r="8050">
      <c r="A8050" s="56" t="s">
        <v>19373</v>
      </c>
      <c r="B8050" s="21"/>
      <c r="C8050" s="33" t="s">
        <v>11416</v>
      </c>
      <c r="E8050" s="46" t="s">
        <v>7618</v>
      </c>
    </row>
    <row r="8051">
      <c r="A8051" s="56" t="s">
        <v>19374</v>
      </c>
      <c r="B8051" s="21"/>
      <c r="C8051" s="33" t="s">
        <v>11419</v>
      </c>
      <c r="E8051" s="46" t="s">
        <v>7616</v>
      </c>
    </row>
    <row r="8052">
      <c r="A8052" s="56" t="s">
        <v>19375</v>
      </c>
      <c r="B8052" s="21"/>
      <c r="C8052" s="33" t="s">
        <v>11419</v>
      </c>
      <c r="E8052" s="46" t="s">
        <v>7618</v>
      </c>
    </row>
    <row r="8053">
      <c r="A8053" s="56" t="s">
        <v>19377</v>
      </c>
      <c r="B8053" s="21"/>
      <c r="C8053" s="33" t="s">
        <v>11411</v>
      </c>
      <c r="E8053" s="46" t="s">
        <v>7616</v>
      </c>
    </row>
    <row r="8054">
      <c r="A8054" s="56" t="s">
        <v>19379</v>
      </c>
      <c r="B8054" s="21"/>
      <c r="C8054" s="33" t="s">
        <v>11411</v>
      </c>
      <c r="E8054" s="46" t="s">
        <v>7618</v>
      </c>
    </row>
    <row r="8055">
      <c r="A8055" s="56" t="s">
        <v>19381</v>
      </c>
      <c r="B8055" s="21"/>
      <c r="C8055" s="33" t="s">
        <v>11416</v>
      </c>
      <c r="E8055" s="46" t="s">
        <v>7616</v>
      </c>
    </row>
    <row r="8056">
      <c r="A8056" s="56" t="s">
        <v>19382</v>
      </c>
      <c r="B8056" s="21"/>
      <c r="C8056" s="33" t="s">
        <v>11416</v>
      </c>
      <c r="E8056" s="46" t="s">
        <v>7618</v>
      </c>
    </row>
    <row r="8057">
      <c r="A8057" s="56" t="s">
        <v>19383</v>
      </c>
      <c r="B8057" s="21"/>
      <c r="C8057" s="33" t="s">
        <v>11419</v>
      </c>
      <c r="E8057" s="46" t="s">
        <v>7616</v>
      </c>
    </row>
    <row r="8058">
      <c r="A8058" s="56" t="s">
        <v>19384</v>
      </c>
      <c r="B8058" s="21"/>
      <c r="C8058" s="33" t="s">
        <v>11419</v>
      </c>
      <c r="E8058" s="46" t="s">
        <v>7618</v>
      </c>
    </row>
    <row r="8059">
      <c r="A8059" s="56" t="s">
        <v>19385</v>
      </c>
      <c r="B8059" s="82"/>
      <c r="C8059" s="33" t="s">
        <v>19386</v>
      </c>
    </row>
    <row r="8060">
      <c r="A8060" s="56" t="s">
        <v>19387</v>
      </c>
      <c r="B8060" s="55"/>
      <c r="C8060" s="31"/>
    </row>
    <row r="8061">
      <c r="A8061" s="56" t="s">
        <v>19389</v>
      </c>
      <c r="B8061" s="55"/>
      <c r="C8061" s="31"/>
    </row>
    <row r="8062">
      <c r="A8062" s="56" t="s">
        <v>19390</v>
      </c>
      <c r="B8062" s="55"/>
      <c r="C8062" s="31"/>
    </row>
    <row r="8063">
      <c r="A8063" s="56" t="s">
        <v>19392</v>
      </c>
      <c r="B8063" s="55"/>
      <c r="C8063" s="31"/>
    </row>
    <row r="8064">
      <c r="A8064" s="56" t="s">
        <v>19393</v>
      </c>
      <c r="B8064" s="55"/>
      <c r="C8064" s="31"/>
    </row>
    <row r="8065">
      <c r="A8065" s="56" t="s">
        <v>19394</v>
      </c>
      <c r="B8065" s="55"/>
      <c r="C8065" s="31"/>
    </row>
    <row r="8066">
      <c r="A8066" s="56" t="s">
        <v>19395</v>
      </c>
      <c r="B8066" s="55"/>
      <c r="C8066" s="31"/>
    </row>
    <row r="8067">
      <c r="A8067" s="56" t="s">
        <v>19396</v>
      </c>
      <c r="B8067" s="55"/>
      <c r="C8067" s="31"/>
    </row>
    <row r="8068">
      <c r="A8068" s="56" t="s">
        <v>19397</v>
      </c>
      <c r="B8068" s="55"/>
      <c r="C8068" s="31"/>
    </row>
    <row r="8069">
      <c r="A8069" s="56" t="s">
        <v>19398</v>
      </c>
      <c r="B8069" s="55"/>
      <c r="C8069" s="31"/>
    </row>
    <row r="8070">
      <c r="A8070" s="56" t="s">
        <v>19400</v>
      </c>
      <c r="B8070" s="55"/>
      <c r="C8070" s="31"/>
    </row>
    <row r="8071">
      <c r="A8071" s="56" t="s">
        <v>19402</v>
      </c>
      <c r="B8071" s="55"/>
      <c r="C8071" s="31"/>
    </row>
    <row r="8072">
      <c r="A8072" s="56" t="s">
        <v>19403</v>
      </c>
      <c r="B8072" s="55"/>
      <c r="C8072" s="31"/>
    </row>
    <row r="8073">
      <c r="A8073" s="56" t="s">
        <v>19404</v>
      </c>
      <c r="B8073" s="55"/>
      <c r="C8073" s="31"/>
    </row>
    <row r="8074">
      <c r="A8074" s="56" t="s">
        <v>19405</v>
      </c>
      <c r="B8074" s="55"/>
      <c r="C8074" s="31"/>
    </row>
    <row r="8075">
      <c r="A8075" s="56" t="s">
        <v>19406</v>
      </c>
      <c r="B8075" s="55"/>
      <c r="C8075" s="31"/>
    </row>
    <row r="8076">
      <c r="A8076" s="56" t="s">
        <v>19407</v>
      </c>
      <c r="B8076" s="55"/>
      <c r="C8076" s="31"/>
    </row>
    <row r="8077">
      <c r="A8077" s="56" t="s">
        <v>19408</v>
      </c>
      <c r="B8077" s="55"/>
      <c r="C8077" s="31"/>
    </row>
    <row r="8078">
      <c r="A8078" s="56" t="s">
        <v>19409</v>
      </c>
      <c r="B8078" s="55"/>
      <c r="C8078" s="31"/>
    </row>
    <row r="8079">
      <c r="A8079" s="56" t="s">
        <v>19410</v>
      </c>
      <c r="B8079" s="55"/>
      <c r="C8079" s="31"/>
    </row>
    <row r="8080">
      <c r="A8080" s="56" t="s">
        <v>19411</v>
      </c>
      <c r="B8080" s="55"/>
      <c r="C8080" s="31"/>
    </row>
    <row r="8081">
      <c r="A8081" s="56" t="s">
        <v>19413</v>
      </c>
      <c r="B8081" s="55"/>
      <c r="C8081" s="31"/>
    </row>
    <row r="8082">
      <c r="A8082" s="56" t="s">
        <v>19415</v>
      </c>
      <c r="B8082" s="55"/>
      <c r="C8082" s="31"/>
    </row>
    <row r="8083">
      <c r="A8083" s="56" t="s">
        <v>19416</v>
      </c>
      <c r="B8083" s="55"/>
      <c r="C8083" s="31"/>
    </row>
    <row r="8084">
      <c r="A8084" s="56" t="s">
        <v>19417</v>
      </c>
      <c r="B8084" s="55"/>
      <c r="C8084" s="31"/>
    </row>
    <row r="8085">
      <c r="A8085" s="56" t="s">
        <v>19418</v>
      </c>
      <c r="B8085" s="55"/>
      <c r="C8085" s="31"/>
    </row>
    <row r="8086">
      <c r="A8086" s="56" t="s">
        <v>19419</v>
      </c>
      <c r="B8086" s="55"/>
      <c r="C8086" s="31"/>
    </row>
    <row r="8087">
      <c r="A8087" s="56" t="s">
        <v>19420</v>
      </c>
      <c r="B8087" s="55"/>
      <c r="C8087" s="31"/>
    </row>
    <row r="8088">
      <c r="A8088" s="56" t="s">
        <v>19421</v>
      </c>
      <c r="B8088" s="55"/>
      <c r="C8088" s="31"/>
    </row>
    <row r="8089">
      <c r="A8089" s="56" t="s">
        <v>19422</v>
      </c>
      <c r="B8089" s="55"/>
      <c r="C8089" s="31"/>
    </row>
    <row r="8090">
      <c r="A8090" s="56" t="s">
        <v>19423</v>
      </c>
      <c r="B8090" s="55"/>
      <c r="C8090" s="31"/>
    </row>
    <row r="8091">
      <c r="A8091" s="56" t="s">
        <v>19424</v>
      </c>
      <c r="B8091" s="55"/>
      <c r="C8091" s="31"/>
    </row>
    <row r="8092">
      <c r="A8092" s="56" t="s">
        <v>19425</v>
      </c>
      <c r="B8092" s="55"/>
      <c r="C8092" s="31"/>
    </row>
    <row r="8093">
      <c r="A8093" s="56" t="s">
        <v>19426</v>
      </c>
      <c r="B8093" s="55"/>
      <c r="C8093" s="31"/>
    </row>
    <row r="8094">
      <c r="A8094" s="56" t="s">
        <v>19428</v>
      </c>
      <c r="B8094" s="55"/>
      <c r="C8094" s="31"/>
    </row>
    <row r="8095">
      <c r="A8095" s="56" t="s">
        <v>19429</v>
      </c>
      <c r="B8095" s="55"/>
      <c r="C8095" s="31"/>
    </row>
    <row r="8096">
      <c r="A8096" s="56" t="s">
        <v>19430</v>
      </c>
      <c r="B8096" s="55"/>
      <c r="C8096" s="31"/>
    </row>
    <row r="8097">
      <c r="A8097" s="56" t="s">
        <v>19431</v>
      </c>
      <c r="B8097" s="55"/>
      <c r="C8097" s="31"/>
    </row>
    <row r="8098">
      <c r="A8098" s="56" t="s">
        <v>19433</v>
      </c>
      <c r="B8098" s="55"/>
      <c r="C8098" s="31"/>
    </row>
    <row r="8099">
      <c r="A8099" s="56" t="s">
        <v>19434</v>
      </c>
      <c r="B8099" s="55"/>
      <c r="C8099" s="31"/>
    </row>
    <row r="8100">
      <c r="A8100" s="56" t="s">
        <v>19435</v>
      </c>
      <c r="B8100" s="55"/>
      <c r="C8100" s="31"/>
    </row>
    <row r="8101">
      <c r="A8101" s="56" t="s">
        <v>19436</v>
      </c>
      <c r="B8101" s="55"/>
      <c r="C8101" s="31"/>
    </row>
    <row r="8102">
      <c r="A8102" s="56" t="s">
        <v>19437</v>
      </c>
      <c r="B8102" s="55"/>
      <c r="C8102" s="31"/>
    </row>
    <row r="8103">
      <c r="A8103" s="56" t="s">
        <v>19439</v>
      </c>
      <c r="B8103" s="55"/>
      <c r="C8103" s="31"/>
    </row>
    <row r="8104">
      <c r="A8104" s="56" t="s">
        <v>19440</v>
      </c>
      <c r="B8104" s="55"/>
      <c r="C8104" s="31"/>
    </row>
    <row r="8105">
      <c r="A8105" s="56" t="s">
        <v>19441</v>
      </c>
      <c r="B8105" s="55"/>
      <c r="C8105" s="31"/>
    </row>
    <row r="8106">
      <c r="A8106" s="56" t="s">
        <v>19443</v>
      </c>
      <c r="B8106" s="55"/>
      <c r="C8106" s="31"/>
    </row>
    <row r="8107">
      <c r="A8107" s="56" t="s">
        <v>19444</v>
      </c>
      <c r="B8107" s="55"/>
      <c r="C8107" s="31"/>
    </row>
    <row r="8108">
      <c r="A8108" s="56" t="s">
        <v>19445</v>
      </c>
      <c r="B8108" s="55"/>
      <c r="C8108" s="31"/>
    </row>
    <row r="8109">
      <c r="A8109" s="56" t="s">
        <v>19446</v>
      </c>
      <c r="B8109" s="55"/>
      <c r="C8109" s="31"/>
    </row>
    <row r="8110">
      <c r="A8110" s="56" t="s">
        <v>19447</v>
      </c>
      <c r="B8110" s="55"/>
      <c r="C8110" s="31"/>
    </row>
    <row r="8111">
      <c r="A8111" s="56" t="s">
        <v>19448</v>
      </c>
      <c r="B8111" s="55"/>
      <c r="C8111" s="31"/>
    </row>
    <row r="8112">
      <c r="A8112" s="56" t="s">
        <v>19449</v>
      </c>
      <c r="B8112" s="55"/>
      <c r="C8112" s="31"/>
    </row>
    <row r="8113">
      <c r="A8113" s="56" t="s">
        <v>19450</v>
      </c>
      <c r="B8113" s="55"/>
      <c r="C8113" s="31"/>
    </row>
    <row r="8114">
      <c r="A8114" s="56" t="s">
        <v>19451</v>
      </c>
      <c r="B8114" s="55"/>
      <c r="C8114" s="31"/>
    </row>
    <row r="8115">
      <c r="A8115" s="56" t="s">
        <v>19452</v>
      </c>
      <c r="B8115" s="55"/>
      <c r="C8115" s="31"/>
    </row>
    <row r="8116">
      <c r="A8116" s="56" t="s">
        <v>19454</v>
      </c>
      <c r="B8116" s="55"/>
      <c r="C8116" s="31"/>
    </row>
    <row r="8117">
      <c r="A8117" s="56" t="s">
        <v>19455</v>
      </c>
      <c r="B8117" s="55"/>
      <c r="C8117" s="31"/>
    </row>
    <row r="8118">
      <c r="A8118" s="56" t="s">
        <v>19457</v>
      </c>
      <c r="B8118" s="55"/>
      <c r="C8118" s="31"/>
    </row>
    <row r="8119">
      <c r="A8119" s="56" t="s">
        <v>19458</v>
      </c>
      <c r="B8119" s="55"/>
      <c r="C8119" s="31"/>
    </row>
    <row r="8120">
      <c r="A8120" s="56" t="s">
        <v>19459</v>
      </c>
      <c r="B8120" s="55"/>
      <c r="C8120" s="31"/>
    </row>
    <row r="8121">
      <c r="A8121" s="56" t="s">
        <v>19460</v>
      </c>
      <c r="B8121" s="55"/>
      <c r="C8121" s="31"/>
    </row>
    <row r="8122">
      <c r="A8122" s="56" t="s">
        <v>19461</v>
      </c>
      <c r="B8122" s="55"/>
      <c r="C8122" s="31"/>
    </row>
    <row r="8123">
      <c r="A8123" s="56" t="s">
        <v>19462</v>
      </c>
      <c r="B8123" s="55"/>
      <c r="C8123" s="31"/>
    </row>
    <row r="8124">
      <c r="A8124" s="56" t="s">
        <v>19463</v>
      </c>
      <c r="B8124" s="55"/>
      <c r="C8124" s="31"/>
    </row>
    <row r="8125">
      <c r="A8125" s="56" t="s">
        <v>19464</v>
      </c>
      <c r="B8125" s="55"/>
      <c r="C8125" s="31"/>
    </row>
    <row r="8126">
      <c r="A8126" s="56" t="s">
        <v>19465</v>
      </c>
      <c r="B8126" s="55"/>
      <c r="C8126" s="31"/>
    </row>
    <row r="8127">
      <c r="A8127" s="56" t="s">
        <v>19466</v>
      </c>
      <c r="B8127" s="55"/>
      <c r="C8127" s="31"/>
    </row>
    <row r="8128">
      <c r="A8128" s="56" t="s">
        <v>19467</v>
      </c>
      <c r="B8128" s="55"/>
      <c r="C8128" s="31"/>
    </row>
    <row r="8129">
      <c r="A8129" s="56" t="s">
        <v>19468</v>
      </c>
      <c r="B8129" s="55"/>
      <c r="C8129" s="31"/>
    </row>
    <row r="8130">
      <c r="A8130" s="56" t="s">
        <v>19470</v>
      </c>
      <c r="B8130" s="55"/>
      <c r="C8130" s="31"/>
    </row>
    <row r="8131">
      <c r="A8131" s="56" t="s">
        <v>19471</v>
      </c>
      <c r="B8131" s="55"/>
      <c r="C8131" s="31"/>
    </row>
    <row r="8132">
      <c r="A8132" s="56" t="s">
        <v>19473</v>
      </c>
      <c r="B8132" s="55"/>
      <c r="C8132" s="31"/>
    </row>
    <row r="8133">
      <c r="A8133" s="56" t="s">
        <v>19474</v>
      </c>
      <c r="B8133" s="55"/>
      <c r="C8133" s="31"/>
    </row>
    <row r="8134">
      <c r="A8134" s="56" t="s">
        <v>19475</v>
      </c>
      <c r="B8134" s="55"/>
      <c r="C8134" s="31"/>
    </row>
    <row r="8135">
      <c r="A8135" s="56" t="s">
        <v>19476</v>
      </c>
      <c r="B8135" s="55"/>
      <c r="C8135" s="31"/>
    </row>
    <row r="8136">
      <c r="A8136" s="56" t="s">
        <v>19477</v>
      </c>
      <c r="B8136" s="55"/>
      <c r="C8136" s="31"/>
    </row>
    <row r="8137">
      <c r="A8137" s="56" t="s">
        <v>19478</v>
      </c>
      <c r="B8137" s="55"/>
      <c r="C8137" s="31"/>
    </row>
    <row r="8138">
      <c r="A8138" s="56" t="s">
        <v>19479</v>
      </c>
      <c r="B8138" s="55"/>
      <c r="C8138" s="31"/>
    </row>
    <row r="8139">
      <c r="A8139" s="56" t="s">
        <v>19480</v>
      </c>
      <c r="B8139" s="55"/>
      <c r="C8139" s="31"/>
    </row>
    <row r="8140">
      <c r="A8140" s="56" t="s">
        <v>19481</v>
      </c>
      <c r="B8140" s="55"/>
      <c r="C8140" s="31"/>
    </row>
    <row r="8141">
      <c r="A8141" s="56" t="s">
        <v>19482</v>
      </c>
      <c r="B8141" s="55"/>
      <c r="C8141" s="31"/>
    </row>
    <row r="8142">
      <c r="A8142" s="56" t="s">
        <v>19483</v>
      </c>
      <c r="B8142" s="55"/>
      <c r="C8142" s="31"/>
    </row>
    <row r="8143">
      <c r="A8143" s="56" t="s">
        <v>19484</v>
      </c>
      <c r="B8143" s="55"/>
      <c r="C8143" s="31"/>
    </row>
    <row r="8144">
      <c r="A8144" s="56" t="s">
        <v>19485</v>
      </c>
      <c r="B8144" s="55"/>
      <c r="C8144" s="31"/>
    </row>
    <row r="8145">
      <c r="A8145" s="56" t="s">
        <v>19488</v>
      </c>
      <c r="B8145" s="55"/>
      <c r="C8145" s="31"/>
    </row>
    <row r="8146">
      <c r="A8146" s="56" t="s">
        <v>19489</v>
      </c>
      <c r="B8146" s="55"/>
      <c r="C8146" s="31"/>
    </row>
    <row r="8147">
      <c r="A8147" s="56" t="s">
        <v>19490</v>
      </c>
      <c r="B8147" s="55"/>
      <c r="C8147" s="31"/>
    </row>
    <row r="8148">
      <c r="A8148" s="56" t="s">
        <v>19491</v>
      </c>
      <c r="B8148" s="55"/>
      <c r="C8148" s="31"/>
    </row>
    <row r="8149">
      <c r="A8149" s="56" t="s">
        <v>19492</v>
      </c>
      <c r="B8149" s="55"/>
      <c r="C8149" s="31"/>
    </row>
    <row r="8150">
      <c r="A8150" s="56" t="s">
        <v>19493</v>
      </c>
      <c r="B8150" s="55"/>
      <c r="C8150" s="31"/>
    </row>
    <row r="8151">
      <c r="A8151" s="56" t="s">
        <v>19494</v>
      </c>
      <c r="B8151" s="55"/>
      <c r="C8151" s="31"/>
    </row>
    <row r="8152">
      <c r="A8152" s="56" t="s">
        <v>19495</v>
      </c>
      <c r="B8152" s="55"/>
      <c r="C8152" s="31"/>
    </row>
    <row r="8153">
      <c r="A8153" s="56" t="s">
        <v>19496</v>
      </c>
      <c r="B8153" s="55"/>
      <c r="C8153" s="31"/>
    </row>
    <row r="8154">
      <c r="A8154" s="56" t="s">
        <v>19497</v>
      </c>
      <c r="B8154" s="55"/>
      <c r="C8154" s="31"/>
    </row>
    <row r="8155">
      <c r="A8155" s="56" t="s">
        <v>19498</v>
      </c>
      <c r="B8155" s="55"/>
      <c r="C8155" s="31"/>
    </row>
    <row r="8156">
      <c r="A8156" s="56" t="s">
        <v>19499</v>
      </c>
      <c r="B8156" s="55"/>
      <c r="C8156" s="31"/>
    </row>
    <row r="8157">
      <c r="A8157" s="56" t="s">
        <v>19500</v>
      </c>
      <c r="B8157" s="55"/>
      <c r="C8157" s="31"/>
    </row>
    <row r="8158">
      <c r="A8158" s="56" t="s">
        <v>19502</v>
      </c>
      <c r="B8158" s="55"/>
      <c r="C8158" s="31"/>
    </row>
    <row r="8159">
      <c r="A8159" s="56" t="s">
        <v>19504</v>
      </c>
      <c r="B8159" s="55"/>
      <c r="C8159" s="31"/>
    </row>
    <row r="8160">
      <c r="A8160" s="56" t="s">
        <v>19505</v>
      </c>
      <c r="B8160" s="55"/>
      <c r="C8160" s="31"/>
    </row>
    <row r="8161">
      <c r="A8161" s="56" t="s">
        <v>19506</v>
      </c>
      <c r="B8161" s="55"/>
      <c r="C8161" s="31"/>
    </row>
    <row r="8162">
      <c r="A8162" s="56" t="s">
        <v>19507</v>
      </c>
      <c r="B8162" s="55"/>
      <c r="C8162" s="31"/>
    </row>
    <row r="8163">
      <c r="A8163" s="56" t="s">
        <v>19508</v>
      </c>
      <c r="B8163" s="55"/>
      <c r="C8163" s="31"/>
    </row>
    <row r="8164">
      <c r="A8164" s="56" t="s">
        <v>19509</v>
      </c>
      <c r="B8164" s="82"/>
      <c r="C8164" s="33" t="s">
        <v>19510</v>
      </c>
    </row>
    <row r="8165">
      <c r="A8165" s="56" t="s">
        <v>19511</v>
      </c>
      <c r="B8165" s="82"/>
      <c r="C8165" s="33" t="s">
        <v>11373</v>
      </c>
      <c r="E8165" s="46" t="s">
        <v>7616</v>
      </c>
    </row>
    <row r="8166">
      <c r="A8166" s="56" t="s">
        <v>19512</v>
      </c>
      <c r="B8166" s="82"/>
      <c r="C8166" s="33" t="s">
        <v>11373</v>
      </c>
      <c r="E8166" s="46" t="s">
        <v>7618</v>
      </c>
    </row>
    <row r="8167">
      <c r="A8167" s="56" t="s">
        <v>19513</v>
      </c>
      <c r="B8167" s="82"/>
      <c r="C8167" s="33" t="s">
        <v>11376</v>
      </c>
      <c r="E8167" s="46" t="s">
        <v>7616</v>
      </c>
    </row>
    <row r="8168">
      <c r="A8168" s="56" t="s">
        <v>19514</v>
      </c>
      <c r="B8168" s="82"/>
      <c r="C8168" s="33" t="s">
        <v>11376</v>
      </c>
      <c r="E8168" s="46" t="s">
        <v>7618</v>
      </c>
    </row>
    <row r="8169">
      <c r="A8169" s="56" t="s">
        <v>19515</v>
      </c>
      <c r="B8169" s="82"/>
      <c r="C8169" s="33" t="s">
        <v>11380</v>
      </c>
      <c r="E8169" s="46" t="s">
        <v>7616</v>
      </c>
    </row>
    <row r="8170">
      <c r="A8170" s="56" t="s">
        <v>19518</v>
      </c>
      <c r="B8170" s="82"/>
      <c r="C8170" s="33" t="s">
        <v>11380</v>
      </c>
      <c r="E8170" s="46" t="s">
        <v>7618</v>
      </c>
    </row>
    <row r="8171">
      <c r="A8171" s="56" t="s">
        <v>19519</v>
      </c>
      <c r="B8171" s="79"/>
      <c r="C8171" s="33" t="s">
        <v>11384</v>
      </c>
      <c r="E8171" s="46" t="s">
        <v>1348</v>
      </c>
    </row>
    <row r="8172">
      <c r="A8172" s="56" t="s">
        <v>19520</v>
      </c>
      <c r="B8172" s="79"/>
      <c r="C8172" s="33" t="s">
        <v>11384</v>
      </c>
      <c r="E8172" s="46" t="s">
        <v>1348</v>
      </c>
    </row>
    <row r="8173">
      <c r="A8173" s="56" t="s">
        <v>19521</v>
      </c>
      <c r="B8173" s="79"/>
      <c r="C8173" s="33" t="s">
        <v>11389</v>
      </c>
      <c r="E8173" s="46" t="s">
        <v>1348</v>
      </c>
    </row>
    <row r="8174">
      <c r="A8174" s="56" t="s">
        <v>19522</v>
      </c>
      <c r="B8174" s="21"/>
      <c r="C8174" s="33" t="s">
        <v>11391</v>
      </c>
      <c r="E8174" s="46" t="s">
        <v>7616</v>
      </c>
    </row>
    <row r="8175">
      <c r="A8175" s="56" t="s">
        <v>19525</v>
      </c>
      <c r="B8175" s="21"/>
      <c r="C8175" s="33" t="s">
        <v>11391</v>
      </c>
      <c r="E8175" s="46" t="s">
        <v>7618</v>
      </c>
    </row>
    <row r="8176">
      <c r="A8176" s="56" t="s">
        <v>19526</v>
      </c>
      <c r="B8176" s="21"/>
      <c r="C8176" s="33" t="s">
        <v>11394</v>
      </c>
      <c r="E8176" s="46" t="s">
        <v>7616</v>
      </c>
    </row>
    <row r="8177">
      <c r="A8177" s="56" t="s">
        <v>19527</v>
      </c>
      <c r="B8177" s="21"/>
      <c r="C8177" s="33" t="s">
        <v>11394</v>
      </c>
      <c r="E8177" s="46" t="s">
        <v>7618</v>
      </c>
    </row>
    <row r="8178">
      <c r="A8178" s="56" t="s">
        <v>19528</v>
      </c>
      <c r="B8178" s="21"/>
      <c r="C8178" s="33" t="s">
        <v>11398</v>
      </c>
      <c r="E8178" s="46" t="s">
        <v>7616</v>
      </c>
    </row>
    <row r="8179">
      <c r="A8179" s="56" t="s">
        <v>19529</v>
      </c>
      <c r="B8179" s="21"/>
      <c r="C8179" s="33" t="s">
        <v>11398</v>
      </c>
      <c r="E8179" s="46" t="s">
        <v>7618</v>
      </c>
    </row>
    <row r="8180">
      <c r="A8180" s="56" t="s">
        <v>19530</v>
      </c>
      <c r="B8180" s="21"/>
      <c r="C8180" s="33" t="s">
        <v>11391</v>
      </c>
      <c r="E8180" s="46" t="s">
        <v>7616</v>
      </c>
    </row>
    <row r="8181">
      <c r="A8181" s="56" t="s">
        <v>19532</v>
      </c>
      <c r="B8181" s="21"/>
      <c r="C8181" s="33" t="s">
        <v>11391</v>
      </c>
      <c r="E8181" s="46" t="s">
        <v>7618</v>
      </c>
    </row>
    <row r="8182">
      <c r="A8182" s="56" t="s">
        <v>19534</v>
      </c>
      <c r="B8182" s="21"/>
      <c r="C8182" s="33" t="s">
        <v>11394</v>
      </c>
      <c r="E8182" s="46" t="s">
        <v>7616</v>
      </c>
    </row>
    <row r="8183">
      <c r="A8183" s="56" t="s">
        <v>19535</v>
      </c>
      <c r="B8183" s="21"/>
      <c r="C8183" s="33" t="s">
        <v>11394</v>
      </c>
      <c r="E8183" s="46" t="s">
        <v>7618</v>
      </c>
    </row>
    <row r="8184">
      <c r="A8184" s="56" t="s">
        <v>19536</v>
      </c>
      <c r="B8184" s="21"/>
      <c r="C8184" s="33" t="s">
        <v>11398</v>
      </c>
      <c r="E8184" s="46" t="s">
        <v>7616</v>
      </c>
    </row>
    <row r="8185">
      <c r="A8185" s="56" t="s">
        <v>19537</v>
      </c>
      <c r="B8185" s="21"/>
      <c r="C8185" s="33" t="s">
        <v>11398</v>
      </c>
      <c r="E8185" s="46" t="s">
        <v>7618</v>
      </c>
    </row>
    <row r="8186">
      <c r="A8186" s="56" t="s">
        <v>19538</v>
      </c>
      <c r="B8186" s="21"/>
      <c r="C8186" s="33" t="s">
        <v>11411</v>
      </c>
      <c r="E8186" s="46" t="s">
        <v>7616</v>
      </c>
    </row>
    <row r="8187">
      <c r="A8187" s="56" t="s">
        <v>19539</v>
      </c>
      <c r="B8187" s="21"/>
      <c r="C8187" s="33" t="s">
        <v>11411</v>
      </c>
      <c r="E8187" s="46" t="s">
        <v>7618</v>
      </c>
    </row>
    <row r="8188">
      <c r="A8188" s="56" t="s">
        <v>19542</v>
      </c>
      <c r="B8188" s="21"/>
      <c r="C8188" s="33" t="s">
        <v>11416</v>
      </c>
      <c r="E8188" s="46" t="s">
        <v>7616</v>
      </c>
    </row>
    <row r="8189">
      <c r="A8189" s="56" t="s">
        <v>19543</v>
      </c>
      <c r="B8189" s="21"/>
      <c r="C8189" s="33" t="s">
        <v>11416</v>
      </c>
      <c r="E8189" s="46" t="s">
        <v>7618</v>
      </c>
    </row>
    <row r="8190">
      <c r="A8190" s="56" t="s">
        <v>19544</v>
      </c>
      <c r="B8190" s="21"/>
      <c r="C8190" s="33" t="s">
        <v>11419</v>
      </c>
      <c r="E8190" s="46" t="s">
        <v>7616</v>
      </c>
    </row>
    <row r="8191">
      <c r="A8191" s="56" t="s">
        <v>19545</v>
      </c>
      <c r="B8191" s="21"/>
      <c r="C8191" s="33" t="s">
        <v>11419</v>
      </c>
      <c r="E8191" s="46" t="s">
        <v>7618</v>
      </c>
    </row>
    <row r="8192">
      <c r="A8192" s="56" t="s">
        <v>19546</v>
      </c>
      <c r="B8192" s="21"/>
      <c r="C8192" s="33" t="s">
        <v>11411</v>
      </c>
      <c r="E8192" s="46" t="s">
        <v>7616</v>
      </c>
    </row>
    <row r="8193">
      <c r="A8193" s="56" t="s">
        <v>19549</v>
      </c>
      <c r="B8193" s="21"/>
      <c r="C8193" s="33" t="s">
        <v>11411</v>
      </c>
      <c r="E8193" s="46" t="s">
        <v>7618</v>
      </c>
    </row>
    <row r="8194">
      <c r="A8194" s="56" t="s">
        <v>19551</v>
      </c>
      <c r="B8194" s="21"/>
      <c r="C8194" s="33" t="s">
        <v>11416</v>
      </c>
      <c r="E8194" s="46" t="s">
        <v>7616</v>
      </c>
    </row>
    <row r="8195">
      <c r="A8195" s="56" t="s">
        <v>19552</v>
      </c>
      <c r="B8195" s="21"/>
      <c r="C8195" s="33" t="s">
        <v>11416</v>
      </c>
      <c r="E8195" s="46" t="s">
        <v>7618</v>
      </c>
    </row>
    <row r="8196">
      <c r="A8196" s="56" t="s">
        <v>19553</v>
      </c>
      <c r="B8196" s="21"/>
      <c r="C8196" s="33" t="s">
        <v>11419</v>
      </c>
      <c r="E8196" s="46" t="s">
        <v>7616</v>
      </c>
    </row>
    <row r="8197">
      <c r="A8197" s="56" t="s">
        <v>19554</v>
      </c>
      <c r="B8197" s="21"/>
      <c r="C8197" s="33" t="s">
        <v>11419</v>
      </c>
      <c r="E8197" s="46" t="s">
        <v>7618</v>
      </c>
    </row>
    <row r="8198">
      <c r="A8198" s="56" t="s">
        <v>19555</v>
      </c>
      <c r="B8198" s="55"/>
      <c r="C8198" s="31"/>
    </row>
    <row r="8199">
      <c r="A8199" s="56" t="s">
        <v>19556</v>
      </c>
      <c r="B8199" s="55"/>
      <c r="C8199" s="31"/>
    </row>
    <row r="8200">
      <c r="A8200" s="56" t="s">
        <v>19559</v>
      </c>
      <c r="B8200" s="55"/>
      <c r="C8200" s="31"/>
    </row>
    <row r="8201">
      <c r="A8201" s="56" t="s">
        <v>19561</v>
      </c>
      <c r="B8201" s="55"/>
      <c r="C8201" s="31"/>
    </row>
    <row r="8202">
      <c r="A8202" s="56" t="s">
        <v>19562</v>
      </c>
      <c r="B8202" s="55"/>
      <c r="C8202" s="31"/>
    </row>
    <row r="8203">
      <c r="A8203" s="56" t="s">
        <v>19563</v>
      </c>
      <c r="B8203" s="55"/>
      <c r="C8203" s="31"/>
    </row>
    <row r="8204">
      <c r="A8204" s="56" t="s">
        <v>19564</v>
      </c>
      <c r="B8204" s="55"/>
      <c r="C8204" s="31"/>
    </row>
    <row r="8205">
      <c r="A8205" s="56" t="s">
        <v>19565</v>
      </c>
      <c r="B8205" s="55"/>
      <c r="C8205" s="31"/>
    </row>
    <row r="8206">
      <c r="A8206" s="56" t="s">
        <v>19566</v>
      </c>
      <c r="B8206" s="55"/>
      <c r="C8206" s="31"/>
    </row>
    <row r="8207">
      <c r="A8207" s="56" t="s">
        <v>19568</v>
      </c>
      <c r="B8207" s="55"/>
      <c r="C8207" s="31"/>
    </row>
    <row r="8208">
      <c r="A8208" s="56" t="s">
        <v>19570</v>
      </c>
      <c r="B8208" s="55"/>
      <c r="C8208" s="31"/>
    </row>
    <row r="8209">
      <c r="A8209" s="56" t="s">
        <v>19571</v>
      </c>
      <c r="B8209" s="55"/>
      <c r="C8209" s="31"/>
    </row>
    <row r="8210">
      <c r="A8210" s="56" t="s">
        <v>19573</v>
      </c>
      <c r="B8210" s="55"/>
      <c r="C8210" s="31"/>
    </row>
    <row r="8211">
      <c r="A8211" s="56" t="s">
        <v>19574</v>
      </c>
      <c r="B8211" s="55"/>
      <c r="C8211" s="31"/>
    </row>
    <row r="8212">
      <c r="A8212" s="56" t="s">
        <v>19575</v>
      </c>
      <c r="B8212" s="55"/>
      <c r="C8212" s="31"/>
    </row>
    <row r="8213">
      <c r="A8213" s="56" t="s">
        <v>19576</v>
      </c>
      <c r="B8213" s="55"/>
      <c r="C8213" s="31"/>
    </row>
    <row r="8214">
      <c r="A8214" s="56" t="s">
        <v>19578</v>
      </c>
      <c r="B8214" s="55"/>
      <c r="C8214" s="31"/>
    </row>
    <row r="8215">
      <c r="A8215" s="56" t="s">
        <v>19579</v>
      </c>
      <c r="B8215" s="55"/>
      <c r="C8215" s="31"/>
    </row>
    <row r="8216">
      <c r="A8216" s="56" t="s">
        <v>19580</v>
      </c>
      <c r="B8216" s="55"/>
      <c r="C8216" s="31"/>
    </row>
    <row r="8217">
      <c r="A8217" s="56" t="s">
        <v>19581</v>
      </c>
      <c r="B8217" s="55"/>
      <c r="C8217" s="31"/>
    </row>
    <row r="8218">
      <c r="A8218" s="56" t="s">
        <v>19583</v>
      </c>
      <c r="B8218" s="55"/>
      <c r="C8218" s="31"/>
    </row>
    <row r="8219">
      <c r="A8219" s="56" t="s">
        <v>19584</v>
      </c>
      <c r="B8219" s="55"/>
      <c r="C8219" s="31"/>
    </row>
    <row r="8220">
      <c r="A8220" s="56" t="s">
        <v>19585</v>
      </c>
      <c r="B8220" s="55"/>
      <c r="C8220" s="31"/>
    </row>
    <row r="8221">
      <c r="A8221" s="56" t="s">
        <v>19587</v>
      </c>
      <c r="B8221" s="55"/>
      <c r="C8221" s="31"/>
    </row>
    <row r="8222">
      <c r="A8222" s="56" t="s">
        <v>19589</v>
      </c>
      <c r="B8222" s="55"/>
      <c r="C8222" s="31"/>
    </row>
    <row r="8223">
      <c r="A8223" s="56" t="s">
        <v>19590</v>
      </c>
      <c r="B8223" s="55"/>
      <c r="C8223" s="31"/>
    </row>
    <row r="8224">
      <c r="A8224" s="56" t="s">
        <v>19591</v>
      </c>
      <c r="B8224" s="55"/>
      <c r="C8224" s="31"/>
    </row>
    <row r="8225">
      <c r="A8225" s="56" t="s">
        <v>19592</v>
      </c>
      <c r="B8225" s="55"/>
      <c r="C8225" s="31"/>
    </row>
    <row r="8226">
      <c r="A8226" s="56" t="s">
        <v>19594</v>
      </c>
      <c r="B8226" s="82"/>
      <c r="C8226" s="33" t="s">
        <v>19595</v>
      </c>
    </row>
    <row r="8227">
      <c r="A8227" s="56" t="s">
        <v>19596</v>
      </c>
      <c r="B8227" s="55"/>
      <c r="C8227" s="31"/>
    </row>
    <row r="8228">
      <c r="A8228" s="56" t="s">
        <v>19598</v>
      </c>
      <c r="B8228" s="55"/>
      <c r="C8228" s="31"/>
    </row>
    <row r="8229">
      <c r="A8229" s="56" t="s">
        <v>19599</v>
      </c>
      <c r="B8229" s="55"/>
      <c r="C8229" s="31"/>
    </row>
    <row r="8230">
      <c r="A8230" s="56" t="s">
        <v>19600</v>
      </c>
      <c r="B8230" s="55"/>
      <c r="C8230" s="31"/>
    </row>
    <row r="8231">
      <c r="A8231" s="56" t="s">
        <v>19601</v>
      </c>
      <c r="B8231" s="55"/>
      <c r="C8231" s="31"/>
    </row>
    <row r="8232">
      <c r="A8232" s="56" t="s">
        <v>19602</v>
      </c>
      <c r="B8232" s="55"/>
      <c r="C8232" s="31"/>
    </row>
    <row r="8233">
      <c r="A8233" s="56" t="s">
        <v>19603</v>
      </c>
      <c r="B8233" s="55"/>
      <c r="C8233" s="31"/>
    </row>
    <row r="8234">
      <c r="A8234" s="56" t="s">
        <v>19605</v>
      </c>
      <c r="B8234" s="55"/>
      <c r="C8234" s="31"/>
    </row>
    <row r="8235">
      <c r="A8235" s="56" t="s">
        <v>19606</v>
      </c>
      <c r="B8235" s="55"/>
      <c r="C8235" s="31"/>
    </row>
    <row r="8236">
      <c r="A8236" s="56" t="s">
        <v>19608</v>
      </c>
      <c r="B8236" s="55"/>
      <c r="C8236" s="31"/>
    </row>
    <row r="8237">
      <c r="A8237" s="56" t="s">
        <v>19610</v>
      </c>
      <c r="B8237" s="55"/>
      <c r="C8237" s="31"/>
    </row>
    <row r="8238">
      <c r="A8238" s="56" t="s">
        <v>19612</v>
      </c>
      <c r="B8238" s="55"/>
      <c r="C8238" s="31"/>
    </row>
    <row r="8239">
      <c r="A8239" s="56" t="s">
        <v>19613</v>
      </c>
      <c r="B8239" s="55"/>
      <c r="C8239" s="31"/>
    </row>
    <row r="8240">
      <c r="A8240" s="56" t="s">
        <v>19614</v>
      </c>
      <c r="B8240" s="55"/>
      <c r="C8240" s="31"/>
    </row>
    <row r="8241">
      <c r="A8241" s="56" t="s">
        <v>19615</v>
      </c>
      <c r="B8241" s="55"/>
      <c r="C8241" s="31"/>
    </row>
    <row r="8242">
      <c r="A8242" s="56" t="s">
        <v>19616</v>
      </c>
      <c r="B8242" s="82"/>
      <c r="C8242" s="33" t="s">
        <v>19617</v>
      </c>
    </row>
    <row r="8243">
      <c r="A8243" s="56" t="s">
        <v>19619</v>
      </c>
      <c r="B8243" s="55"/>
      <c r="C8243" s="31"/>
    </row>
    <row r="8244">
      <c r="A8244" s="56" t="s">
        <v>19620</v>
      </c>
      <c r="B8244" s="55"/>
      <c r="C8244" s="31"/>
    </row>
    <row r="8245">
      <c r="A8245" s="56" t="s">
        <v>19622</v>
      </c>
      <c r="B8245" s="55"/>
      <c r="C8245" s="31"/>
    </row>
    <row r="8246">
      <c r="A8246" s="56" t="s">
        <v>19624</v>
      </c>
      <c r="B8246" s="55"/>
      <c r="C8246" s="31"/>
    </row>
    <row r="8247">
      <c r="A8247" s="56" t="s">
        <v>19625</v>
      </c>
      <c r="B8247" s="55"/>
      <c r="C8247" s="31"/>
    </row>
    <row r="8248">
      <c r="A8248" s="56" t="s">
        <v>19627</v>
      </c>
      <c r="B8248" s="55"/>
      <c r="C8248" s="31"/>
    </row>
    <row r="8249">
      <c r="A8249" s="56" t="s">
        <v>19629</v>
      </c>
      <c r="B8249" s="55"/>
      <c r="C8249" s="31"/>
    </row>
    <row r="8250">
      <c r="A8250" s="56" t="s">
        <v>19631</v>
      </c>
      <c r="B8250" s="55"/>
      <c r="C8250" s="31"/>
    </row>
    <row r="8251">
      <c r="A8251" s="56" t="s">
        <v>19632</v>
      </c>
      <c r="B8251" s="55"/>
      <c r="C8251" s="31"/>
    </row>
    <row r="8252">
      <c r="A8252" s="56" t="s">
        <v>19633</v>
      </c>
      <c r="B8252" s="55"/>
      <c r="C8252" s="31"/>
    </row>
    <row r="8253">
      <c r="A8253" s="56" t="s">
        <v>19634</v>
      </c>
      <c r="B8253" s="55"/>
      <c r="C8253" s="31"/>
    </row>
    <row r="8254">
      <c r="A8254" s="56" t="s">
        <v>19635</v>
      </c>
      <c r="B8254" s="55"/>
      <c r="C8254" s="31"/>
    </row>
    <row r="8255">
      <c r="A8255" s="56" t="s">
        <v>19636</v>
      </c>
      <c r="B8255" s="55"/>
      <c r="C8255" s="31"/>
    </row>
    <row r="8256">
      <c r="A8256" s="56" t="s">
        <v>19637</v>
      </c>
      <c r="B8256" s="55"/>
      <c r="C8256" s="31"/>
    </row>
    <row r="8257">
      <c r="A8257" s="56" t="s">
        <v>19638</v>
      </c>
      <c r="B8257" s="55"/>
      <c r="C8257" s="31"/>
    </row>
    <row r="8258">
      <c r="A8258" s="56" t="s">
        <v>19639</v>
      </c>
      <c r="B8258" s="55"/>
      <c r="C8258" s="31"/>
    </row>
    <row r="8259">
      <c r="A8259" s="56" t="s">
        <v>19640</v>
      </c>
      <c r="B8259" s="55"/>
      <c r="C8259" s="31"/>
    </row>
    <row r="8260">
      <c r="A8260" s="56" t="s">
        <v>19641</v>
      </c>
      <c r="B8260" s="55"/>
      <c r="C8260" s="31"/>
    </row>
    <row r="8261">
      <c r="A8261" s="56" t="s">
        <v>19643</v>
      </c>
      <c r="B8261" s="55"/>
      <c r="C8261" s="31"/>
    </row>
    <row r="8262">
      <c r="A8262" s="56" t="s">
        <v>19644</v>
      </c>
      <c r="B8262" s="55"/>
      <c r="C8262" s="31"/>
    </row>
    <row r="8263">
      <c r="A8263" s="56" t="s">
        <v>19645</v>
      </c>
      <c r="B8263" s="55"/>
      <c r="C8263" s="31"/>
    </row>
    <row r="8264">
      <c r="A8264" s="56" t="s">
        <v>19647</v>
      </c>
      <c r="B8264" s="82"/>
      <c r="C8264" s="33" t="s">
        <v>19648</v>
      </c>
    </row>
    <row r="8265">
      <c r="A8265" s="56" t="s">
        <v>19649</v>
      </c>
      <c r="B8265" s="55"/>
      <c r="C8265" s="31"/>
    </row>
    <row r="8266">
      <c r="A8266" s="56" t="s">
        <v>19650</v>
      </c>
      <c r="B8266" s="55"/>
      <c r="C8266" s="31"/>
    </row>
    <row r="8267">
      <c r="A8267" s="56" t="s">
        <v>19651</v>
      </c>
      <c r="B8267" s="55"/>
      <c r="C8267" s="31"/>
    </row>
    <row r="8268">
      <c r="A8268" s="56" t="s">
        <v>19652</v>
      </c>
      <c r="B8268" s="55"/>
      <c r="C8268" s="31"/>
    </row>
    <row r="8269">
      <c r="A8269" s="56" t="s">
        <v>19653</v>
      </c>
      <c r="B8269" s="55"/>
      <c r="C8269" s="31"/>
    </row>
    <row r="8270">
      <c r="A8270" s="56" t="s">
        <v>19654</v>
      </c>
      <c r="B8270" s="55"/>
      <c r="C8270" s="31"/>
    </row>
    <row r="8271">
      <c r="A8271" s="56" t="s">
        <v>19655</v>
      </c>
      <c r="B8271" s="55"/>
      <c r="C8271" s="31"/>
    </row>
    <row r="8272">
      <c r="A8272" s="56" t="s">
        <v>19656</v>
      </c>
      <c r="B8272" s="55"/>
      <c r="C8272" s="31"/>
    </row>
    <row r="8273">
      <c r="A8273" s="56" t="s">
        <v>19658</v>
      </c>
      <c r="B8273" s="55"/>
      <c r="C8273" s="31"/>
    </row>
    <row r="8274">
      <c r="A8274" s="56" t="s">
        <v>19660</v>
      </c>
      <c r="B8274" s="55"/>
      <c r="C8274" s="31"/>
    </row>
    <row r="8275">
      <c r="A8275" s="56" t="s">
        <v>19661</v>
      </c>
      <c r="B8275" s="55"/>
      <c r="C8275" s="31"/>
    </row>
    <row r="8276">
      <c r="A8276" s="56" t="s">
        <v>19662</v>
      </c>
      <c r="B8276" s="55"/>
      <c r="C8276" s="31"/>
    </row>
    <row r="8277">
      <c r="A8277" s="56" t="s">
        <v>19663</v>
      </c>
      <c r="B8277" s="55"/>
      <c r="C8277" s="31"/>
    </row>
    <row r="8278">
      <c r="A8278" s="56" t="s">
        <v>19664</v>
      </c>
      <c r="B8278" s="55"/>
      <c r="C8278" s="31"/>
    </row>
    <row r="8279">
      <c r="A8279" s="56" t="s">
        <v>19665</v>
      </c>
      <c r="B8279" s="55"/>
      <c r="C8279" s="31"/>
    </row>
    <row r="8280">
      <c r="A8280" s="56" t="s">
        <v>19666</v>
      </c>
      <c r="B8280" s="55"/>
      <c r="C8280" s="31"/>
    </row>
    <row r="8281">
      <c r="A8281" s="56" t="s">
        <v>19667</v>
      </c>
      <c r="B8281" s="55"/>
      <c r="C8281" s="31"/>
    </row>
    <row r="8282">
      <c r="A8282" s="56" t="s">
        <v>19669</v>
      </c>
      <c r="B8282" s="55"/>
      <c r="C8282" s="31"/>
    </row>
    <row r="8283">
      <c r="A8283" s="56" t="s">
        <v>19670</v>
      </c>
      <c r="B8283" s="55"/>
      <c r="C8283" s="31"/>
    </row>
    <row r="8284">
      <c r="A8284" s="56" t="s">
        <v>19671</v>
      </c>
      <c r="B8284" s="55"/>
      <c r="C8284" s="31"/>
    </row>
    <row r="8285">
      <c r="A8285" s="56" t="s">
        <v>19672</v>
      </c>
      <c r="B8285" s="55"/>
      <c r="C8285" s="31"/>
    </row>
    <row r="8286">
      <c r="A8286" s="56" t="s">
        <v>19674</v>
      </c>
      <c r="B8286" s="82"/>
      <c r="C8286" s="33" t="s">
        <v>19675</v>
      </c>
    </row>
    <row r="8287">
      <c r="A8287" s="56" t="s">
        <v>19676</v>
      </c>
      <c r="B8287" s="55"/>
      <c r="C8287" s="31"/>
    </row>
    <row r="8288">
      <c r="A8288" s="56" t="s">
        <v>19677</v>
      </c>
      <c r="B8288" s="55"/>
      <c r="C8288" s="31"/>
    </row>
    <row r="8289">
      <c r="A8289" s="56" t="s">
        <v>19679</v>
      </c>
      <c r="B8289" s="55"/>
      <c r="C8289" s="31"/>
    </row>
    <row r="8290">
      <c r="A8290" s="56" t="s">
        <v>19680</v>
      </c>
      <c r="B8290" s="55"/>
      <c r="C8290" s="31"/>
    </row>
    <row r="8291">
      <c r="A8291" s="56" t="s">
        <v>19681</v>
      </c>
      <c r="B8291" s="55"/>
      <c r="C8291" s="31"/>
    </row>
    <row r="8292">
      <c r="A8292" s="56" t="s">
        <v>19682</v>
      </c>
      <c r="B8292" s="55"/>
      <c r="C8292" s="31"/>
    </row>
    <row r="8293">
      <c r="A8293" s="56" t="s">
        <v>19683</v>
      </c>
      <c r="B8293" s="55"/>
      <c r="C8293" s="31"/>
    </row>
    <row r="8294">
      <c r="A8294" s="56" t="s">
        <v>19684</v>
      </c>
      <c r="B8294" s="55"/>
      <c r="C8294" s="31"/>
    </row>
    <row r="8295">
      <c r="A8295" s="56" t="s">
        <v>19685</v>
      </c>
      <c r="B8295" s="55"/>
      <c r="C8295" s="31"/>
    </row>
    <row r="8296">
      <c r="A8296" s="56" t="s">
        <v>19686</v>
      </c>
      <c r="B8296" s="55"/>
      <c r="C8296" s="31"/>
    </row>
    <row r="8297">
      <c r="A8297" s="56" t="s">
        <v>19688</v>
      </c>
      <c r="B8297" s="55"/>
      <c r="C8297" s="31"/>
    </row>
    <row r="8298">
      <c r="A8298" s="56" t="s">
        <v>19690</v>
      </c>
      <c r="B8298" s="55"/>
      <c r="C8298" s="31"/>
    </row>
    <row r="8299">
      <c r="A8299" s="56" t="s">
        <v>19691</v>
      </c>
      <c r="B8299" s="55"/>
      <c r="C8299" s="31"/>
    </row>
    <row r="8300">
      <c r="A8300" s="56" t="s">
        <v>19692</v>
      </c>
      <c r="B8300" s="55"/>
      <c r="C8300" s="31"/>
    </row>
    <row r="8301">
      <c r="A8301" s="56" t="s">
        <v>19693</v>
      </c>
      <c r="B8301" s="55"/>
      <c r="C8301" s="31"/>
    </row>
    <row r="8302">
      <c r="A8302" s="56" t="s">
        <v>19694</v>
      </c>
      <c r="B8302" s="55"/>
      <c r="C8302" s="31"/>
    </row>
    <row r="8303">
      <c r="A8303" s="56" t="s">
        <v>19695</v>
      </c>
      <c r="B8303" s="55"/>
      <c r="C8303" s="31"/>
    </row>
    <row r="8304">
      <c r="A8304" s="56" t="s">
        <v>19696</v>
      </c>
      <c r="B8304" s="55"/>
      <c r="C8304" s="31"/>
    </row>
    <row r="8305">
      <c r="A8305" s="56" t="s">
        <v>19697</v>
      </c>
      <c r="B8305" s="55"/>
      <c r="C8305" s="31"/>
    </row>
    <row r="8306">
      <c r="A8306" s="56" t="s">
        <v>19699</v>
      </c>
      <c r="B8306" s="55"/>
      <c r="C8306" s="31"/>
    </row>
    <row r="8307">
      <c r="A8307" s="56" t="s">
        <v>19700</v>
      </c>
      <c r="B8307" s="82"/>
      <c r="C8307" s="33" t="s">
        <v>19701</v>
      </c>
    </row>
    <row r="8308">
      <c r="A8308" s="56" t="s">
        <v>19702</v>
      </c>
      <c r="B8308" s="55"/>
      <c r="C8308" s="31"/>
    </row>
    <row r="8309">
      <c r="A8309" s="56" t="s">
        <v>19704</v>
      </c>
      <c r="B8309" s="55"/>
      <c r="C8309" s="31"/>
    </row>
    <row r="8310">
      <c r="A8310" s="56" t="s">
        <v>19706</v>
      </c>
      <c r="B8310" s="55"/>
      <c r="C8310" s="31"/>
    </row>
    <row r="8311">
      <c r="A8311" s="56" t="s">
        <v>19707</v>
      </c>
      <c r="B8311" s="55"/>
      <c r="C8311" s="31"/>
    </row>
    <row r="8312">
      <c r="A8312" s="56" t="s">
        <v>19708</v>
      </c>
      <c r="B8312" s="55"/>
      <c r="C8312" s="31"/>
    </row>
    <row r="8313">
      <c r="A8313" s="56" t="s">
        <v>19709</v>
      </c>
      <c r="B8313" s="55"/>
      <c r="C8313" s="31"/>
    </row>
    <row r="8314">
      <c r="A8314" s="56" t="s">
        <v>19710</v>
      </c>
      <c r="B8314" s="55"/>
      <c r="C8314" s="31"/>
    </row>
    <row r="8315">
      <c r="A8315" s="56" t="s">
        <v>19712</v>
      </c>
      <c r="B8315" s="55"/>
      <c r="C8315" s="31"/>
    </row>
    <row r="8316">
      <c r="A8316" s="56" t="s">
        <v>19713</v>
      </c>
      <c r="B8316" s="55"/>
      <c r="C8316" s="31"/>
    </row>
    <row r="8317">
      <c r="A8317" s="56" t="s">
        <v>19715</v>
      </c>
      <c r="B8317" s="55"/>
      <c r="C8317" s="31"/>
    </row>
    <row r="8318">
      <c r="A8318" s="56" t="s">
        <v>19716</v>
      </c>
      <c r="B8318" s="55"/>
      <c r="C8318" s="31"/>
    </row>
    <row r="8319">
      <c r="A8319" s="56" t="s">
        <v>19717</v>
      </c>
      <c r="B8319" s="55"/>
      <c r="C8319" s="31"/>
    </row>
    <row r="8320">
      <c r="A8320" s="56" t="s">
        <v>19719</v>
      </c>
      <c r="B8320" s="82"/>
      <c r="C8320" s="33" t="s">
        <v>19720</v>
      </c>
    </row>
    <row r="8321">
      <c r="A8321" s="56" t="s">
        <v>19721</v>
      </c>
      <c r="B8321" s="55"/>
      <c r="C8321" s="31"/>
    </row>
    <row r="8322">
      <c r="A8322" s="56" t="s">
        <v>19722</v>
      </c>
      <c r="B8322" s="55"/>
      <c r="C8322" s="31"/>
    </row>
    <row r="8323">
      <c r="A8323" s="56" t="s">
        <v>19723</v>
      </c>
      <c r="B8323" s="55"/>
      <c r="C8323" s="31"/>
    </row>
    <row r="8324">
      <c r="A8324" s="56" t="s">
        <v>19725</v>
      </c>
      <c r="B8324" s="55"/>
      <c r="C8324" s="31"/>
    </row>
    <row r="8325">
      <c r="A8325" s="56" t="s">
        <v>19727</v>
      </c>
      <c r="B8325" s="55"/>
      <c r="C8325" s="31"/>
    </row>
    <row r="8326">
      <c r="A8326" s="56" t="s">
        <v>19728</v>
      </c>
      <c r="B8326" s="55"/>
      <c r="C8326" s="31"/>
    </row>
    <row r="8327">
      <c r="A8327" s="56" t="s">
        <v>19729</v>
      </c>
      <c r="B8327" s="55"/>
      <c r="C8327" s="31"/>
    </row>
    <row r="8328">
      <c r="A8328" s="56" t="s">
        <v>19730</v>
      </c>
      <c r="B8328" s="55"/>
      <c r="C8328" s="31"/>
    </row>
    <row r="8329">
      <c r="A8329" s="56" t="s">
        <v>19732</v>
      </c>
      <c r="B8329" s="55"/>
      <c r="C8329" s="31"/>
    </row>
    <row r="8330">
      <c r="A8330" s="56" t="s">
        <v>19734</v>
      </c>
      <c r="B8330" s="55"/>
      <c r="C8330" s="31"/>
    </row>
    <row r="8331">
      <c r="A8331" s="56" t="s">
        <v>19735</v>
      </c>
      <c r="B8331" s="55"/>
      <c r="C8331" s="31"/>
    </row>
    <row r="8332">
      <c r="A8332" s="56" t="s">
        <v>19736</v>
      </c>
      <c r="B8332" s="55"/>
      <c r="C8332" s="31"/>
    </row>
    <row r="8333">
      <c r="A8333" s="56" t="s">
        <v>19737</v>
      </c>
      <c r="B8333" s="55"/>
      <c r="C8333" s="31"/>
    </row>
    <row r="8334">
      <c r="A8334" s="56" t="s">
        <v>19739</v>
      </c>
      <c r="B8334" s="55"/>
      <c r="C8334" s="31"/>
    </row>
    <row r="8335">
      <c r="A8335" s="56" t="s">
        <v>19740</v>
      </c>
      <c r="B8335" s="55"/>
      <c r="C8335" s="31"/>
    </row>
    <row r="8336">
      <c r="A8336" s="56" t="s">
        <v>19741</v>
      </c>
      <c r="B8336" s="55"/>
      <c r="C8336" s="31"/>
    </row>
    <row r="8337">
      <c r="A8337" s="56" t="s">
        <v>19742</v>
      </c>
      <c r="B8337" s="55"/>
      <c r="C8337" s="31"/>
    </row>
    <row r="8338">
      <c r="A8338" s="56" t="s">
        <v>19743</v>
      </c>
      <c r="B8338" s="55"/>
      <c r="C8338" s="31"/>
    </row>
    <row r="8339">
      <c r="A8339" s="56" t="s">
        <v>19744</v>
      </c>
      <c r="B8339" s="55"/>
      <c r="C8339" s="31"/>
    </row>
    <row r="8340">
      <c r="A8340" s="56" t="s">
        <v>19746</v>
      </c>
      <c r="B8340" s="55"/>
      <c r="C8340" s="31"/>
    </row>
    <row r="8341">
      <c r="A8341" s="56" t="s">
        <v>19747</v>
      </c>
      <c r="B8341" s="55"/>
      <c r="C8341" s="31"/>
    </row>
    <row r="8342">
      <c r="A8342" s="56" t="s">
        <v>19748</v>
      </c>
      <c r="B8342" s="55"/>
      <c r="C8342" s="31"/>
    </row>
    <row r="8343">
      <c r="A8343" s="56" t="s">
        <v>19749</v>
      </c>
      <c r="B8343" s="55"/>
      <c r="C8343" s="31"/>
    </row>
    <row r="8344">
      <c r="A8344" s="56" t="s">
        <v>19750</v>
      </c>
      <c r="B8344" s="55"/>
      <c r="C8344" s="31"/>
    </row>
    <row r="8345">
      <c r="A8345" s="56" t="s">
        <v>19751</v>
      </c>
      <c r="B8345" s="55"/>
      <c r="C8345" s="31"/>
    </row>
    <row r="8346">
      <c r="A8346" s="56" t="s">
        <v>19753</v>
      </c>
      <c r="B8346" s="55"/>
      <c r="C8346" s="31"/>
    </row>
    <row r="8347">
      <c r="A8347" s="56" t="s">
        <v>19754</v>
      </c>
      <c r="B8347" s="55"/>
      <c r="C8347" s="31"/>
    </row>
    <row r="8348">
      <c r="A8348" s="56" t="s">
        <v>19756</v>
      </c>
      <c r="B8348" s="55"/>
      <c r="C8348" s="31"/>
    </row>
    <row r="8349">
      <c r="A8349" s="56" t="s">
        <v>19758</v>
      </c>
      <c r="B8349" s="55"/>
      <c r="C8349" s="31"/>
    </row>
    <row r="8350">
      <c r="A8350" s="56" t="s">
        <v>19759</v>
      </c>
      <c r="B8350" s="55"/>
      <c r="C8350" s="31"/>
    </row>
    <row r="8351">
      <c r="A8351" s="56" t="s">
        <v>19760</v>
      </c>
      <c r="B8351" s="55"/>
      <c r="C8351" s="31"/>
    </row>
    <row r="8352">
      <c r="A8352" s="56" t="s">
        <v>19761</v>
      </c>
      <c r="B8352" s="55"/>
      <c r="C8352" s="31"/>
    </row>
    <row r="8353">
      <c r="A8353" s="56" t="s">
        <v>19762</v>
      </c>
      <c r="B8353" s="55"/>
      <c r="C8353" s="31"/>
    </row>
    <row r="8354">
      <c r="A8354" s="56" t="s">
        <v>19763</v>
      </c>
      <c r="B8354" s="55"/>
      <c r="C8354" s="31"/>
    </row>
    <row r="8355">
      <c r="A8355" s="56" t="s">
        <v>19765</v>
      </c>
      <c r="B8355" s="55"/>
      <c r="C8355" s="31"/>
    </row>
    <row r="8356">
      <c r="A8356" s="56" t="s">
        <v>19766</v>
      </c>
      <c r="B8356" s="55"/>
      <c r="C8356" s="31"/>
    </row>
    <row r="8357">
      <c r="A8357" s="56" t="s">
        <v>19768</v>
      </c>
      <c r="B8357" s="55"/>
      <c r="C8357" s="31"/>
    </row>
    <row r="8358">
      <c r="A8358" s="56" t="s">
        <v>19769</v>
      </c>
      <c r="B8358" s="55"/>
      <c r="C8358" s="31"/>
    </row>
    <row r="8359">
      <c r="A8359" s="56" t="s">
        <v>19770</v>
      </c>
      <c r="B8359" s="55"/>
      <c r="C8359" s="31"/>
    </row>
    <row r="8360">
      <c r="A8360" s="56" t="s">
        <v>19771</v>
      </c>
      <c r="B8360" s="55"/>
      <c r="C8360" s="31"/>
    </row>
    <row r="8361">
      <c r="A8361" s="56" t="s">
        <v>19772</v>
      </c>
      <c r="B8361" s="55"/>
      <c r="C8361" s="31"/>
    </row>
    <row r="8362">
      <c r="A8362" s="56" t="s">
        <v>19773</v>
      </c>
      <c r="B8362" s="55"/>
      <c r="C8362" s="31"/>
    </row>
    <row r="8363">
      <c r="A8363" s="56" t="s">
        <v>19774</v>
      </c>
      <c r="B8363" s="55"/>
      <c r="C8363" s="31"/>
    </row>
    <row r="8364">
      <c r="A8364" s="56" t="s">
        <v>19776</v>
      </c>
      <c r="B8364" s="55"/>
      <c r="C8364" s="31"/>
    </row>
    <row r="8365">
      <c r="A8365" s="56" t="s">
        <v>19777</v>
      </c>
      <c r="B8365" s="55"/>
      <c r="C8365" s="31"/>
    </row>
    <row r="8366">
      <c r="A8366" s="56" t="s">
        <v>19778</v>
      </c>
      <c r="B8366" s="55"/>
      <c r="C8366" s="31"/>
    </row>
    <row r="8367">
      <c r="A8367" s="56" t="s">
        <v>19780</v>
      </c>
      <c r="B8367" s="55"/>
      <c r="C8367" s="31"/>
    </row>
    <row r="8368">
      <c r="A8368" s="56" t="s">
        <v>19781</v>
      </c>
      <c r="B8368" s="55"/>
      <c r="C8368" s="31"/>
    </row>
    <row r="8369">
      <c r="A8369" s="56" t="s">
        <v>19783</v>
      </c>
      <c r="B8369" s="55"/>
      <c r="C8369" s="31"/>
    </row>
    <row r="8370">
      <c r="A8370" s="56" t="s">
        <v>19784</v>
      </c>
      <c r="B8370" s="82"/>
      <c r="C8370" s="33" t="s">
        <v>19785</v>
      </c>
    </row>
    <row r="8371">
      <c r="A8371" s="56" t="s">
        <v>19786</v>
      </c>
      <c r="B8371" s="55"/>
      <c r="C8371" s="31"/>
    </row>
    <row r="8372">
      <c r="A8372" s="56" t="s">
        <v>19787</v>
      </c>
      <c r="B8372" s="55"/>
      <c r="C8372" s="31"/>
    </row>
    <row r="8373">
      <c r="A8373" s="56" t="s">
        <v>19788</v>
      </c>
      <c r="B8373" s="55"/>
      <c r="C8373" s="31"/>
    </row>
    <row r="8374">
      <c r="A8374" s="56" t="s">
        <v>19789</v>
      </c>
      <c r="B8374" s="55"/>
      <c r="C8374" s="31"/>
    </row>
    <row r="8375">
      <c r="A8375" s="56" t="s">
        <v>19790</v>
      </c>
      <c r="B8375" s="82"/>
      <c r="C8375" s="33" t="s">
        <v>19791</v>
      </c>
    </row>
    <row r="8376">
      <c r="A8376" s="56" t="s">
        <v>19793</v>
      </c>
      <c r="B8376" s="55"/>
      <c r="C8376" s="31"/>
    </row>
    <row r="8377">
      <c r="A8377" s="56" t="s">
        <v>19795</v>
      </c>
      <c r="B8377" s="55"/>
      <c r="C8377" s="31"/>
    </row>
    <row r="8378">
      <c r="A8378" s="56" t="s">
        <v>19797</v>
      </c>
      <c r="B8378" s="55"/>
      <c r="C8378" s="31"/>
    </row>
    <row r="8379">
      <c r="A8379" s="56" t="s">
        <v>19798</v>
      </c>
      <c r="B8379" s="55"/>
      <c r="C8379" s="31"/>
    </row>
    <row r="8380">
      <c r="A8380" s="56" t="s">
        <v>19799</v>
      </c>
      <c r="B8380" s="55"/>
      <c r="C8380" s="31"/>
    </row>
    <row r="8381">
      <c r="A8381" s="56" t="s">
        <v>19801</v>
      </c>
      <c r="B8381" s="55"/>
      <c r="C8381" s="31"/>
    </row>
    <row r="8382">
      <c r="A8382" s="56" t="s">
        <v>19803</v>
      </c>
      <c r="B8382" s="55"/>
      <c r="C8382" s="31"/>
    </row>
    <row r="8383">
      <c r="A8383" s="56" t="s">
        <v>19805</v>
      </c>
      <c r="B8383" s="55"/>
      <c r="C8383" s="31"/>
    </row>
    <row r="8384">
      <c r="A8384" s="56" t="s">
        <v>19806</v>
      </c>
      <c r="B8384" s="55"/>
      <c r="C8384" s="31"/>
    </row>
    <row r="8385">
      <c r="A8385" s="56" t="s">
        <v>19807</v>
      </c>
      <c r="B8385" s="55"/>
      <c r="C8385" s="31"/>
    </row>
    <row r="8386">
      <c r="A8386" s="56" t="s">
        <v>19808</v>
      </c>
      <c r="B8386" s="82"/>
      <c r="C8386" s="33" t="s">
        <v>19809</v>
      </c>
    </row>
    <row r="8387">
      <c r="A8387" s="56" t="s">
        <v>19810</v>
      </c>
      <c r="B8387" s="55"/>
      <c r="C8387" s="31"/>
    </row>
    <row r="8388">
      <c r="A8388" s="56" t="s">
        <v>19811</v>
      </c>
      <c r="B8388" s="55"/>
      <c r="C8388" s="31"/>
    </row>
    <row r="8389">
      <c r="A8389" s="56" t="s">
        <v>19812</v>
      </c>
      <c r="B8389" s="55"/>
      <c r="C8389" s="31"/>
    </row>
    <row r="8390">
      <c r="A8390" s="56" t="s">
        <v>19814</v>
      </c>
      <c r="B8390" s="55"/>
      <c r="C8390" s="31"/>
    </row>
    <row r="8391">
      <c r="A8391" s="56" t="s">
        <v>19815</v>
      </c>
      <c r="B8391" s="55"/>
      <c r="C8391" s="31"/>
    </row>
    <row r="8392">
      <c r="A8392" s="56" t="s">
        <v>19816</v>
      </c>
      <c r="B8392" s="55"/>
      <c r="C8392" s="31"/>
    </row>
    <row r="8393">
      <c r="A8393" s="56" t="s">
        <v>19817</v>
      </c>
      <c r="B8393" s="55"/>
      <c r="C8393" s="31"/>
    </row>
    <row r="8394">
      <c r="A8394" s="56" t="s">
        <v>19818</v>
      </c>
      <c r="B8394" s="55"/>
      <c r="C8394" s="31"/>
    </row>
    <row r="8395">
      <c r="A8395" s="56" t="s">
        <v>19819</v>
      </c>
      <c r="B8395" s="55"/>
      <c r="C8395" s="31"/>
    </row>
    <row r="8396">
      <c r="A8396" s="56" t="s">
        <v>19821</v>
      </c>
      <c r="B8396" s="55"/>
      <c r="C8396" s="31"/>
    </row>
    <row r="8397">
      <c r="A8397" s="56" t="s">
        <v>19822</v>
      </c>
      <c r="B8397" s="55"/>
      <c r="C8397" s="31"/>
    </row>
    <row r="8398">
      <c r="A8398" s="56" t="s">
        <v>19825</v>
      </c>
      <c r="B8398" s="55"/>
      <c r="C8398" s="31"/>
    </row>
    <row r="8399">
      <c r="A8399" s="56" t="s">
        <v>19826</v>
      </c>
      <c r="B8399" s="55"/>
      <c r="C8399" s="31"/>
    </row>
    <row r="8400">
      <c r="A8400" s="56" t="s">
        <v>19827</v>
      </c>
      <c r="B8400" s="55"/>
      <c r="C8400" s="31"/>
    </row>
    <row r="8401">
      <c r="A8401" s="56" t="s">
        <v>19828</v>
      </c>
      <c r="B8401" s="55"/>
      <c r="C8401" s="31"/>
    </row>
    <row r="8402">
      <c r="A8402" s="56" t="s">
        <v>19829</v>
      </c>
      <c r="B8402" s="55"/>
      <c r="C8402" s="31"/>
    </row>
    <row r="8403">
      <c r="A8403" s="56" t="s">
        <v>19830</v>
      </c>
      <c r="B8403" s="55"/>
      <c r="C8403" s="31"/>
    </row>
    <row r="8404">
      <c r="A8404" s="56" t="s">
        <v>19832</v>
      </c>
      <c r="B8404" s="55"/>
      <c r="C8404" s="31"/>
    </row>
    <row r="8405">
      <c r="A8405" s="56" t="s">
        <v>19833</v>
      </c>
      <c r="B8405" s="55"/>
      <c r="C8405" s="31"/>
    </row>
    <row r="8406">
      <c r="A8406" s="56" t="s">
        <v>19834</v>
      </c>
      <c r="B8406" s="55"/>
      <c r="C8406" s="31"/>
    </row>
    <row r="8407">
      <c r="A8407" s="56" t="s">
        <v>19835</v>
      </c>
      <c r="B8407" s="55"/>
      <c r="C8407" s="31"/>
    </row>
    <row r="8408">
      <c r="A8408" s="56" t="s">
        <v>19836</v>
      </c>
      <c r="B8408" s="55"/>
      <c r="C8408" s="31"/>
    </row>
    <row r="8409">
      <c r="A8409" s="56" t="s">
        <v>19838</v>
      </c>
      <c r="B8409" s="55"/>
      <c r="C8409" s="31"/>
    </row>
    <row r="8410">
      <c r="A8410" s="56" t="s">
        <v>19840</v>
      </c>
      <c r="B8410" s="55"/>
      <c r="C8410" s="31"/>
    </row>
    <row r="8411">
      <c r="A8411" s="56" t="s">
        <v>19841</v>
      </c>
      <c r="B8411" s="55"/>
      <c r="C8411" s="31"/>
    </row>
    <row r="8412">
      <c r="A8412" s="56" t="s">
        <v>19842</v>
      </c>
      <c r="B8412" s="55"/>
      <c r="C8412" s="31"/>
    </row>
    <row r="8413">
      <c r="A8413" s="56" t="s">
        <v>19843</v>
      </c>
      <c r="B8413" s="55"/>
      <c r="C8413" s="31"/>
    </row>
    <row r="8414">
      <c r="A8414" s="56" t="s">
        <v>19844</v>
      </c>
      <c r="B8414" s="55"/>
      <c r="C8414" s="31"/>
    </row>
    <row r="8415">
      <c r="A8415" s="56" t="s">
        <v>19845</v>
      </c>
      <c r="B8415" s="55"/>
      <c r="C8415" s="31"/>
    </row>
    <row r="8416">
      <c r="A8416" s="56" t="s">
        <v>19846</v>
      </c>
      <c r="B8416" s="55"/>
      <c r="C8416" s="31"/>
    </row>
    <row r="8417">
      <c r="A8417" s="56" t="s">
        <v>19848</v>
      </c>
      <c r="B8417" s="55"/>
      <c r="C8417" s="31"/>
    </row>
    <row r="8418">
      <c r="A8418" s="56" t="s">
        <v>19850</v>
      </c>
      <c r="B8418" s="55"/>
      <c r="C8418" s="31"/>
    </row>
    <row r="8419">
      <c r="A8419" s="56" t="s">
        <v>19851</v>
      </c>
      <c r="B8419" s="55"/>
      <c r="C8419" s="31"/>
    </row>
    <row r="8420">
      <c r="A8420" s="56" t="s">
        <v>19852</v>
      </c>
      <c r="B8420" s="55"/>
      <c r="C8420" s="31"/>
    </row>
    <row r="8421">
      <c r="A8421" s="56" t="s">
        <v>19853</v>
      </c>
      <c r="B8421" s="55"/>
      <c r="C8421" s="31"/>
    </row>
    <row r="8422">
      <c r="A8422" s="56" t="s">
        <v>19855</v>
      </c>
      <c r="B8422" s="55"/>
      <c r="C8422" s="31"/>
    </row>
    <row r="8423">
      <c r="A8423" s="56" t="s">
        <v>19856</v>
      </c>
      <c r="B8423" s="55"/>
      <c r="C8423" s="31"/>
    </row>
    <row r="8424">
      <c r="A8424" s="56" t="s">
        <v>19857</v>
      </c>
      <c r="B8424" s="55"/>
      <c r="C8424" s="31"/>
    </row>
    <row r="8425">
      <c r="A8425" s="56" t="s">
        <v>19858</v>
      </c>
      <c r="B8425" s="55"/>
      <c r="C8425" s="31"/>
    </row>
    <row r="8426">
      <c r="A8426" s="56" t="s">
        <v>19859</v>
      </c>
      <c r="B8426" s="55"/>
      <c r="C8426" s="31"/>
    </row>
    <row r="8427">
      <c r="A8427" s="56" t="s">
        <v>19860</v>
      </c>
      <c r="B8427" s="55"/>
      <c r="C8427" s="31"/>
    </row>
    <row r="8428">
      <c r="A8428" s="56" t="s">
        <v>19861</v>
      </c>
      <c r="B8428" s="55"/>
      <c r="C8428" s="31"/>
    </row>
    <row r="8429">
      <c r="A8429" s="56" t="s">
        <v>19863</v>
      </c>
      <c r="B8429" s="55"/>
      <c r="C8429" s="31"/>
    </row>
    <row r="8430">
      <c r="A8430" s="56" t="s">
        <v>19865</v>
      </c>
      <c r="B8430" s="55"/>
      <c r="C8430" s="31"/>
    </row>
    <row r="8431">
      <c r="A8431" s="56" t="s">
        <v>19866</v>
      </c>
      <c r="B8431" s="55"/>
      <c r="C8431" s="31"/>
    </row>
    <row r="8432">
      <c r="A8432" s="56" t="s">
        <v>19867</v>
      </c>
      <c r="B8432" s="55"/>
      <c r="C8432" s="31"/>
    </row>
    <row r="8433">
      <c r="A8433" s="56" t="s">
        <v>19868</v>
      </c>
      <c r="B8433" s="55"/>
      <c r="C8433" s="31"/>
    </row>
    <row r="8434">
      <c r="A8434" s="56" t="s">
        <v>19870</v>
      </c>
      <c r="B8434" s="55"/>
      <c r="C8434" s="31"/>
    </row>
    <row r="8435">
      <c r="A8435" s="56" t="s">
        <v>19871</v>
      </c>
      <c r="B8435" s="55"/>
      <c r="C8435" s="31"/>
    </row>
    <row r="8436">
      <c r="A8436" s="56" t="s">
        <v>19873</v>
      </c>
      <c r="B8436" s="55"/>
      <c r="C8436" s="31"/>
    </row>
    <row r="8437">
      <c r="A8437" s="56" t="s">
        <v>19874</v>
      </c>
      <c r="B8437" s="55"/>
      <c r="C8437" s="31"/>
    </row>
    <row r="8438">
      <c r="A8438" s="56" t="s">
        <v>19875</v>
      </c>
      <c r="B8438" s="55"/>
      <c r="C8438" s="31"/>
    </row>
    <row r="8439">
      <c r="A8439" s="56" t="s">
        <v>19876</v>
      </c>
      <c r="B8439" s="55"/>
      <c r="C8439" s="31"/>
    </row>
    <row r="8440">
      <c r="A8440" s="56" t="s">
        <v>19877</v>
      </c>
      <c r="B8440" s="55"/>
      <c r="C8440" s="31"/>
    </row>
    <row r="8441">
      <c r="A8441" s="56" t="s">
        <v>19878</v>
      </c>
      <c r="B8441" s="55"/>
      <c r="C8441" s="31"/>
    </row>
    <row r="8442">
      <c r="A8442" s="56" t="s">
        <v>19880</v>
      </c>
      <c r="B8442" s="55"/>
      <c r="C8442" s="31"/>
    </row>
    <row r="8443">
      <c r="A8443" s="56" t="s">
        <v>19881</v>
      </c>
      <c r="B8443" s="55"/>
      <c r="C8443" s="31"/>
    </row>
    <row r="8444">
      <c r="A8444" s="56" t="s">
        <v>19883</v>
      </c>
      <c r="B8444" s="55"/>
      <c r="C8444" s="31"/>
    </row>
    <row r="8445">
      <c r="A8445" s="56" t="s">
        <v>19884</v>
      </c>
      <c r="B8445" s="82"/>
      <c r="C8445" s="33" t="s">
        <v>19885</v>
      </c>
    </row>
    <row r="8446">
      <c r="A8446" s="56" t="s">
        <v>19886</v>
      </c>
      <c r="B8446" s="55"/>
      <c r="C8446" s="31"/>
    </row>
    <row r="8447">
      <c r="A8447" s="56" t="s">
        <v>19887</v>
      </c>
      <c r="B8447" s="55"/>
      <c r="C8447" s="31"/>
    </row>
    <row r="8448">
      <c r="A8448" s="56" t="s">
        <v>19888</v>
      </c>
      <c r="B8448" s="55"/>
      <c r="C8448" s="31"/>
    </row>
    <row r="8449">
      <c r="A8449" s="56" t="s">
        <v>19890</v>
      </c>
      <c r="B8449" s="82"/>
      <c r="C8449" s="33" t="s">
        <v>19891</v>
      </c>
    </row>
    <row r="8450">
      <c r="A8450" s="56" t="s">
        <v>19892</v>
      </c>
      <c r="B8450" s="55"/>
      <c r="C8450" s="31"/>
    </row>
    <row r="8451">
      <c r="A8451" s="56" t="s">
        <v>19893</v>
      </c>
      <c r="B8451" s="55"/>
      <c r="C8451" s="31"/>
    </row>
    <row r="8452">
      <c r="A8452" s="56" t="s">
        <v>19894</v>
      </c>
      <c r="B8452" s="55"/>
      <c r="C8452" s="31"/>
    </row>
    <row r="8453">
      <c r="A8453" s="56" t="s">
        <v>19895</v>
      </c>
      <c r="B8453" s="55"/>
      <c r="C8453" s="31"/>
    </row>
    <row r="8454">
      <c r="A8454" s="56" t="s">
        <v>19898</v>
      </c>
      <c r="B8454" s="55"/>
      <c r="C8454" s="31"/>
    </row>
    <row r="8455">
      <c r="A8455" s="56" t="s">
        <v>19899</v>
      </c>
      <c r="B8455" s="55"/>
      <c r="C8455" s="31"/>
    </row>
    <row r="8456">
      <c r="A8456" s="56" t="s">
        <v>19900</v>
      </c>
      <c r="B8456" s="55"/>
      <c r="C8456" s="31"/>
    </row>
    <row r="8457">
      <c r="A8457" s="56" t="s">
        <v>19901</v>
      </c>
      <c r="B8457" s="82"/>
      <c r="C8457" s="33" t="s">
        <v>19902</v>
      </c>
    </row>
    <row r="8458">
      <c r="A8458" s="56" t="s">
        <v>19903</v>
      </c>
      <c r="B8458" s="55"/>
      <c r="C8458" s="31"/>
    </row>
    <row r="8459">
      <c r="A8459" s="56" t="s">
        <v>19905</v>
      </c>
      <c r="B8459" s="55"/>
      <c r="C8459" s="31"/>
    </row>
    <row r="8460">
      <c r="A8460" s="56" t="s">
        <v>19906</v>
      </c>
      <c r="B8460" s="55"/>
      <c r="C8460" s="31"/>
    </row>
    <row r="8461">
      <c r="A8461" s="56" t="s">
        <v>19907</v>
      </c>
      <c r="B8461" s="55"/>
      <c r="C8461" s="31"/>
    </row>
    <row r="8462">
      <c r="A8462" s="56" t="s">
        <v>19908</v>
      </c>
      <c r="B8462" s="55"/>
      <c r="C8462" s="31"/>
    </row>
    <row r="8463">
      <c r="A8463" s="56" t="s">
        <v>19910</v>
      </c>
      <c r="B8463" s="55"/>
      <c r="C8463" s="31"/>
    </row>
    <row r="8464">
      <c r="A8464" s="56" t="s">
        <v>19911</v>
      </c>
      <c r="B8464" s="55"/>
      <c r="C8464" s="31"/>
    </row>
    <row r="8465">
      <c r="A8465" s="56" t="s">
        <v>19912</v>
      </c>
      <c r="B8465" s="55"/>
      <c r="C8465" s="31"/>
    </row>
    <row r="8466">
      <c r="A8466" s="56" t="s">
        <v>19914</v>
      </c>
      <c r="B8466" s="55"/>
      <c r="C8466" s="31"/>
    </row>
    <row r="8467">
      <c r="A8467" s="56" t="s">
        <v>19915</v>
      </c>
      <c r="B8467" s="55"/>
      <c r="C8467" s="31"/>
    </row>
    <row r="8468">
      <c r="A8468" s="56" t="s">
        <v>19916</v>
      </c>
      <c r="B8468" s="55"/>
      <c r="C8468" s="31"/>
    </row>
    <row r="8469">
      <c r="A8469" s="56" t="s">
        <v>19917</v>
      </c>
      <c r="B8469" s="55"/>
      <c r="C8469" s="31"/>
    </row>
    <row r="8470">
      <c r="A8470" s="56" t="s">
        <v>19920</v>
      </c>
      <c r="B8470" s="55"/>
      <c r="C8470" s="31"/>
    </row>
    <row r="8471">
      <c r="A8471" s="56" t="s">
        <v>19921</v>
      </c>
      <c r="B8471" s="55"/>
      <c r="C8471" s="31"/>
    </row>
    <row r="8472">
      <c r="A8472" s="56" t="s">
        <v>19922</v>
      </c>
      <c r="B8472" s="55"/>
      <c r="C8472" s="31"/>
    </row>
    <row r="8473">
      <c r="A8473" s="56" t="s">
        <v>19923</v>
      </c>
      <c r="B8473" s="55"/>
      <c r="C8473" s="31"/>
    </row>
    <row r="8474">
      <c r="A8474" s="56" t="s">
        <v>19925</v>
      </c>
      <c r="B8474" s="55"/>
      <c r="C8474" s="31"/>
    </row>
    <row r="8475">
      <c r="A8475" s="56" t="s">
        <v>19926</v>
      </c>
      <c r="B8475" s="55"/>
      <c r="C8475" s="31"/>
    </row>
    <row r="8476">
      <c r="A8476" s="56" t="s">
        <v>19929</v>
      </c>
      <c r="B8476" s="55"/>
      <c r="C8476" s="31"/>
    </row>
    <row r="8477">
      <c r="A8477" s="56" t="s">
        <v>19930</v>
      </c>
      <c r="B8477" s="55"/>
      <c r="C8477" s="31"/>
    </row>
    <row r="8478">
      <c r="A8478" s="56" t="s">
        <v>19931</v>
      </c>
      <c r="B8478" s="55"/>
      <c r="C8478" s="31"/>
    </row>
    <row r="8479">
      <c r="A8479" s="56" t="s">
        <v>19932</v>
      </c>
      <c r="B8479" s="55"/>
      <c r="C8479" s="31"/>
    </row>
    <row r="8480">
      <c r="A8480" s="56" t="s">
        <v>19933</v>
      </c>
      <c r="B8480" s="55"/>
      <c r="C8480" s="31"/>
    </row>
    <row r="8481">
      <c r="A8481" s="56" t="s">
        <v>19934</v>
      </c>
      <c r="B8481" s="55"/>
      <c r="C8481" s="31"/>
    </row>
    <row r="8482">
      <c r="A8482" s="56" t="s">
        <v>19936</v>
      </c>
      <c r="B8482" s="55"/>
      <c r="C8482" s="31"/>
    </row>
    <row r="8483">
      <c r="A8483" s="56" t="s">
        <v>19938</v>
      </c>
      <c r="B8483" s="55"/>
      <c r="C8483" s="31"/>
    </row>
    <row r="8484">
      <c r="A8484" s="56" t="s">
        <v>19939</v>
      </c>
      <c r="B8484" s="55"/>
      <c r="C8484" s="31"/>
    </row>
    <row r="8485">
      <c r="A8485" s="56" t="s">
        <v>19940</v>
      </c>
      <c r="B8485" s="55"/>
      <c r="C8485" s="31"/>
    </row>
    <row r="8486">
      <c r="A8486" s="56" t="s">
        <v>19941</v>
      </c>
      <c r="B8486" s="55"/>
      <c r="C8486" s="31"/>
    </row>
    <row r="8487">
      <c r="A8487" s="56" t="s">
        <v>19942</v>
      </c>
      <c r="B8487" s="55"/>
      <c r="C8487" s="31"/>
    </row>
    <row r="8488">
      <c r="A8488" s="56" t="s">
        <v>19943</v>
      </c>
      <c r="B8488" s="55"/>
      <c r="C8488" s="31"/>
    </row>
    <row r="8489">
      <c r="A8489" s="56" t="s">
        <v>19944</v>
      </c>
      <c r="B8489" s="55"/>
      <c r="C8489" s="31"/>
    </row>
    <row r="8490">
      <c r="A8490" s="56" t="s">
        <v>19945</v>
      </c>
      <c r="B8490" s="55"/>
      <c r="C8490" s="31"/>
    </row>
    <row r="8491">
      <c r="A8491" s="56" t="s">
        <v>19947</v>
      </c>
      <c r="B8491" s="55"/>
      <c r="C8491" s="31"/>
    </row>
    <row r="8492">
      <c r="A8492" s="56" t="s">
        <v>19950</v>
      </c>
      <c r="B8492" s="55"/>
      <c r="C8492" s="31"/>
    </row>
    <row r="8493">
      <c r="A8493" s="56" t="s">
        <v>19951</v>
      </c>
      <c r="B8493" s="55"/>
      <c r="C8493" s="31"/>
    </row>
    <row r="8494">
      <c r="A8494" s="56" t="s">
        <v>19952</v>
      </c>
      <c r="B8494" s="55"/>
      <c r="C8494" s="31"/>
    </row>
    <row r="8495">
      <c r="A8495" s="56" t="s">
        <v>19953</v>
      </c>
      <c r="B8495" s="55"/>
      <c r="C8495" s="31"/>
    </row>
    <row r="8496">
      <c r="A8496" s="56" t="s">
        <v>19954</v>
      </c>
      <c r="B8496" s="55"/>
      <c r="C8496" s="31"/>
    </row>
    <row r="8497">
      <c r="A8497" s="56" t="s">
        <v>19955</v>
      </c>
      <c r="B8497" s="55"/>
      <c r="C8497" s="31"/>
    </row>
    <row r="8498">
      <c r="A8498" s="56" t="s">
        <v>19957</v>
      </c>
      <c r="B8498" s="55"/>
      <c r="C8498" s="31"/>
    </row>
    <row r="8499">
      <c r="A8499" s="56" t="s">
        <v>19959</v>
      </c>
      <c r="B8499" s="55"/>
      <c r="C8499" s="31"/>
    </row>
    <row r="8500">
      <c r="A8500" s="56" t="s">
        <v>19960</v>
      </c>
      <c r="B8500" s="55"/>
      <c r="C8500" s="31"/>
    </row>
    <row r="8501">
      <c r="A8501" s="56" t="s">
        <v>19961</v>
      </c>
      <c r="B8501" s="55"/>
      <c r="C8501" s="31"/>
    </row>
    <row r="8502">
      <c r="A8502" s="56" t="s">
        <v>19962</v>
      </c>
      <c r="B8502" s="55"/>
      <c r="C8502" s="31"/>
    </row>
    <row r="8503">
      <c r="A8503" s="56" t="s">
        <v>19963</v>
      </c>
      <c r="B8503" s="55"/>
      <c r="C8503" s="31"/>
    </row>
    <row r="8504">
      <c r="A8504" s="56" t="s">
        <v>19964</v>
      </c>
      <c r="B8504" s="55"/>
      <c r="C8504" s="31"/>
    </row>
    <row r="8505">
      <c r="A8505" s="56" t="s">
        <v>19966</v>
      </c>
      <c r="B8505" s="55"/>
      <c r="C8505" s="31"/>
    </row>
    <row r="8506">
      <c r="A8506" s="56" t="s">
        <v>19968</v>
      </c>
      <c r="B8506" s="55"/>
      <c r="C8506" s="31"/>
    </row>
    <row r="8507">
      <c r="A8507" s="56" t="s">
        <v>19970</v>
      </c>
      <c r="B8507" s="55"/>
      <c r="C8507" s="31"/>
    </row>
    <row r="8508">
      <c r="A8508" s="56" t="s">
        <v>19971</v>
      </c>
      <c r="B8508" s="55"/>
      <c r="C8508" s="31"/>
    </row>
    <row r="8509">
      <c r="A8509" s="56" t="s">
        <v>19972</v>
      </c>
      <c r="B8509" s="55"/>
      <c r="C8509" s="31"/>
    </row>
    <row r="8510">
      <c r="A8510" s="56" t="s">
        <v>19973</v>
      </c>
      <c r="B8510" s="55"/>
      <c r="C8510" s="31"/>
    </row>
    <row r="8511">
      <c r="A8511" s="56" t="s">
        <v>19974</v>
      </c>
      <c r="B8511" s="55"/>
      <c r="C8511" s="31"/>
    </row>
    <row r="8512">
      <c r="A8512" s="56" t="s">
        <v>19975</v>
      </c>
      <c r="B8512" s="82"/>
      <c r="C8512" s="33" t="s">
        <v>19977</v>
      </c>
    </row>
    <row r="8513">
      <c r="A8513" s="56" t="s">
        <v>19979</v>
      </c>
      <c r="B8513" s="55"/>
      <c r="C8513" s="31"/>
    </row>
    <row r="8514">
      <c r="A8514" s="56" t="s">
        <v>19980</v>
      </c>
      <c r="B8514" s="55"/>
      <c r="C8514" s="31"/>
    </row>
    <row r="8515">
      <c r="A8515" s="56" t="s">
        <v>19981</v>
      </c>
      <c r="B8515" s="55"/>
      <c r="C8515" s="31"/>
    </row>
    <row r="8516">
      <c r="A8516" s="56" t="s">
        <v>19982</v>
      </c>
      <c r="B8516" s="55"/>
      <c r="C8516" s="31"/>
    </row>
    <row r="8517">
      <c r="A8517" s="56" t="s">
        <v>19984</v>
      </c>
      <c r="B8517" s="55"/>
      <c r="C8517" s="31"/>
    </row>
    <row r="8518">
      <c r="A8518" s="56" t="s">
        <v>19985</v>
      </c>
      <c r="B8518" s="55"/>
      <c r="C8518" s="31"/>
    </row>
    <row r="8519">
      <c r="A8519" s="56" t="s">
        <v>19986</v>
      </c>
      <c r="B8519" s="55"/>
      <c r="C8519" s="31"/>
    </row>
    <row r="8520">
      <c r="A8520" s="56" t="s">
        <v>19987</v>
      </c>
      <c r="B8520" s="55"/>
      <c r="C8520" s="31"/>
    </row>
    <row r="8521">
      <c r="A8521" s="56" t="s">
        <v>19989</v>
      </c>
      <c r="B8521" s="55"/>
      <c r="C8521" s="31"/>
    </row>
    <row r="8522">
      <c r="A8522" s="56" t="s">
        <v>19991</v>
      </c>
      <c r="B8522" s="55"/>
      <c r="C8522" s="31"/>
    </row>
    <row r="8523">
      <c r="A8523" s="56" t="s">
        <v>19992</v>
      </c>
      <c r="B8523" s="82"/>
      <c r="C8523" s="33" t="s">
        <v>19993</v>
      </c>
    </row>
    <row r="8524">
      <c r="A8524" s="56" t="s">
        <v>19994</v>
      </c>
      <c r="B8524" s="82"/>
      <c r="C8524" s="33" t="s">
        <v>11373</v>
      </c>
      <c r="E8524" s="46" t="s">
        <v>7616</v>
      </c>
    </row>
    <row r="8525">
      <c r="A8525" s="56" t="s">
        <v>19995</v>
      </c>
      <c r="B8525" s="82"/>
      <c r="C8525" s="33" t="s">
        <v>11373</v>
      </c>
      <c r="E8525" s="46" t="s">
        <v>7618</v>
      </c>
    </row>
    <row r="8526">
      <c r="A8526" s="56" t="s">
        <v>19996</v>
      </c>
      <c r="B8526" s="82"/>
      <c r="C8526" s="33" t="s">
        <v>11376</v>
      </c>
      <c r="E8526" s="46" t="s">
        <v>7616</v>
      </c>
    </row>
    <row r="8527">
      <c r="A8527" s="56" t="s">
        <v>19997</v>
      </c>
      <c r="B8527" s="82"/>
      <c r="C8527" s="33" t="s">
        <v>11376</v>
      </c>
      <c r="E8527" s="46" t="s">
        <v>7618</v>
      </c>
    </row>
    <row r="8528">
      <c r="A8528" s="56" t="s">
        <v>19999</v>
      </c>
      <c r="B8528" s="82"/>
      <c r="C8528" s="33" t="s">
        <v>11380</v>
      </c>
      <c r="E8528" s="46" t="s">
        <v>7616</v>
      </c>
    </row>
    <row r="8529">
      <c r="A8529" s="56" t="s">
        <v>20001</v>
      </c>
      <c r="B8529" s="82"/>
      <c r="C8529" s="33" t="s">
        <v>11380</v>
      </c>
      <c r="E8529" s="46" t="s">
        <v>7618</v>
      </c>
    </row>
    <row r="8530">
      <c r="A8530" s="56" t="s">
        <v>20002</v>
      </c>
      <c r="B8530" s="79"/>
      <c r="C8530" s="33" t="s">
        <v>11384</v>
      </c>
      <c r="E8530" s="46" t="s">
        <v>1348</v>
      </c>
    </row>
    <row r="8531">
      <c r="A8531" s="56" t="s">
        <v>20003</v>
      </c>
      <c r="B8531" s="79"/>
      <c r="C8531" s="33" t="s">
        <v>11384</v>
      </c>
      <c r="E8531" s="46" t="s">
        <v>1348</v>
      </c>
    </row>
    <row r="8532">
      <c r="A8532" s="56" t="s">
        <v>20004</v>
      </c>
      <c r="B8532" s="79"/>
      <c r="C8532" s="33" t="s">
        <v>11389</v>
      </c>
      <c r="E8532" s="46" t="s">
        <v>1348</v>
      </c>
    </row>
    <row r="8533">
      <c r="A8533" s="56" t="s">
        <v>20005</v>
      </c>
      <c r="B8533" s="21"/>
      <c r="C8533" s="33" t="s">
        <v>11391</v>
      </c>
      <c r="E8533" s="46" t="s">
        <v>7616</v>
      </c>
    </row>
    <row r="8534">
      <c r="A8534" s="56" t="s">
        <v>20007</v>
      </c>
      <c r="B8534" s="21"/>
      <c r="C8534" s="33" t="s">
        <v>11391</v>
      </c>
      <c r="E8534" s="46" t="s">
        <v>7618</v>
      </c>
    </row>
    <row r="8535">
      <c r="A8535" s="56" t="s">
        <v>20009</v>
      </c>
      <c r="B8535" s="21"/>
      <c r="C8535" s="33" t="s">
        <v>11394</v>
      </c>
      <c r="E8535" s="46" t="s">
        <v>7616</v>
      </c>
    </row>
    <row r="8536">
      <c r="A8536" s="56" t="s">
        <v>20010</v>
      </c>
      <c r="B8536" s="21"/>
      <c r="C8536" s="33" t="s">
        <v>11394</v>
      </c>
      <c r="E8536" s="46" t="s">
        <v>7618</v>
      </c>
    </row>
    <row r="8537">
      <c r="A8537" s="56" t="s">
        <v>20011</v>
      </c>
      <c r="B8537" s="21"/>
      <c r="C8537" s="33" t="s">
        <v>11398</v>
      </c>
      <c r="E8537" s="46" t="s">
        <v>7616</v>
      </c>
    </row>
    <row r="8538">
      <c r="A8538" s="56" t="s">
        <v>20012</v>
      </c>
      <c r="B8538" s="21"/>
      <c r="C8538" s="33" t="s">
        <v>11398</v>
      </c>
      <c r="E8538" s="46" t="s">
        <v>7618</v>
      </c>
    </row>
    <row r="8539">
      <c r="A8539" s="56" t="s">
        <v>20013</v>
      </c>
      <c r="B8539" s="21"/>
      <c r="C8539" s="33" t="s">
        <v>11391</v>
      </c>
      <c r="E8539" s="46" t="s">
        <v>7616</v>
      </c>
    </row>
    <row r="8540">
      <c r="A8540" s="56" t="s">
        <v>20014</v>
      </c>
      <c r="B8540" s="21"/>
      <c r="C8540" s="33" t="s">
        <v>11391</v>
      </c>
      <c r="E8540" s="46" t="s">
        <v>7618</v>
      </c>
    </row>
    <row r="8541">
      <c r="A8541" s="56" t="s">
        <v>20015</v>
      </c>
      <c r="B8541" s="21"/>
      <c r="C8541" s="33" t="s">
        <v>11394</v>
      </c>
      <c r="E8541" s="46" t="s">
        <v>7616</v>
      </c>
    </row>
    <row r="8542">
      <c r="A8542" s="56" t="s">
        <v>20017</v>
      </c>
      <c r="B8542" s="21"/>
      <c r="C8542" s="33" t="s">
        <v>11394</v>
      </c>
      <c r="E8542" s="46" t="s">
        <v>7618</v>
      </c>
    </row>
    <row r="8543">
      <c r="A8543" s="56" t="s">
        <v>20019</v>
      </c>
      <c r="B8543" s="21"/>
      <c r="C8543" s="33" t="s">
        <v>11398</v>
      </c>
      <c r="E8543" s="46" t="s">
        <v>7616</v>
      </c>
    </row>
    <row r="8544">
      <c r="A8544" s="56" t="s">
        <v>20020</v>
      </c>
      <c r="B8544" s="21"/>
      <c r="C8544" s="33" t="s">
        <v>11398</v>
      </c>
      <c r="E8544" s="46" t="s">
        <v>7618</v>
      </c>
    </row>
    <row r="8545">
      <c r="A8545" s="56" t="s">
        <v>20021</v>
      </c>
      <c r="B8545" s="21"/>
      <c r="C8545" s="33" t="s">
        <v>11411</v>
      </c>
      <c r="E8545" s="46" t="s">
        <v>7616</v>
      </c>
    </row>
    <row r="8546">
      <c r="A8546" s="56" t="s">
        <v>20022</v>
      </c>
      <c r="B8546" s="21"/>
      <c r="C8546" s="33" t="s">
        <v>11411</v>
      </c>
      <c r="E8546" s="46" t="s">
        <v>7618</v>
      </c>
    </row>
    <row r="8547">
      <c r="A8547" s="56" t="s">
        <v>20023</v>
      </c>
      <c r="B8547" s="21"/>
      <c r="C8547" s="33" t="s">
        <v>11416</v>
      </c>
      <c r="E8547" s="46" t="s">
        <v>7616</v>
      </c>
    </row>
    <row r="8548">
      <c r="A8548" s="56" t="s">
        <v>20025</v>
      </c>
      <c r="B8548" s="21"/>
      <c r="C8548" s="33" t="s">
        <v>11416</v>
      </c>
      <c r="E8548" s="46" t="s">
        <v>7618</v>
      </c>
    </row>
    <row r="8549">
      <c r="A8549" s="56" t="s">
        <v>20027</v>
      </c>
      <c r="B8549" s="21"/>
      <c r="C8549" s="33" t="s">
        <v>11419</v>
      </c>
      <c r="E8549" s="46" t="s">
        <v>7616</v>
      </c>
    </row>
    <row r="8550">
      <c r="A8550" s="56" t="s">
        <v>20028</v>
      </c>
      <c r="B8550" s="21"/>
      <c r="C8550" s="33" t="s">
        <v>11419</v>
      </c>
      <c r="E8550" s="46" t="s">
        <v>7618</v>
      </c>
    </row>
    <row r="8551">
      <c r="A8551" s="56" t="s">
        <v>20029</v>
      </c>
      <c r="B8551" s="21"/>
      <c r="C8551" s="33" t="s">
        <v>11411</v>
      </c>
      <c r="E8551" s="46" t="s">
        <v>7616</v>
      </c>
    </row>
    <row r="8552">
      <c r="A8552" s="56" t="s">
        <v>20030</v>
      </c>
      <c r="B8552" s="21"/>
      <c r="C8552" s="33" t="s">
        <v>11411</v>
      </c>
      <c r="E8552" s="46" t="s">
        <v>7618</v>
      </c>
    </row>
    <row r="8553">
      <c r="A8553" s="56" t="s">
        <v>20031</v>
      </c>
      <c r="B8553" s="21"/>
      <c r="C8553" s="33" t="s">
        <v>11416</v>
      </c>
      <c r="E8553" s="46" t="s">
        <v>7616</v>
      </c>
    </row>
    <row r="8554">
      <c r="A8554" s="56" t="s">
        <v>20033</v>
      </c>
      <c r="B8554" s="21"/>
      <c r="C8554" s="33" t="s">
        <v>11416</v>
      </c>
      <c r="E8554" s="46" t="s">
        <v>7618</v>
      </c>
    </row>
    <row r="8555">
      <c r="A8555" s="56" t="s">
        <v>20034</v>
      </c>
      <c r="B8555" s="21"/>
      <c r="C8555" s="33" t="s">
        <v>11419</v>
      </c>
      <c r="E8555" s="46" t="s">
        <v>7616</v>
      </c>
    </row>
    <row r="8556">
      <c r="A8556" s="56" t="s">
        <v>20035</v>
      </c>
      <c r="B8556" s="21"/>
      <c r="C8556" s="33" t="s">
        <v>11419</v>
      </c>
      <c r="E8556" s="46" t="s">
        <v>7618</v>
      </c>
    </row>
    <row r="8557">
      <c r="A8557" s="56" t="s">
        <v>20037</v>
      </c>
      <c r="B8557" s="55"/>
      <c r="C8557" s="31"/>
    </row>
    <row r="8558">
      <c r="A8558" s="56" t="s">
        <v>20038</v>
      </c>
      <c r="B8558" s="55"/>
      <c r="C8558" s="31"/>
    </row>
    <row r="8559">
      <c r="A8559" s="56" t="s">
        <v>20039</v>
      </c>
      <c r="B8559" s="55"/>
      <c r="C8559" s="31"/>
    </row>
    <row r="8560">
      <c r="A8560" s="56" t="s">
        <v>20041</v>
      </c>
      <c r="B8560" s="55"/>
      <c r="C8560" s="31"/>
    </row>
    <row r="8561">
      <c r="A8561" s="56" t="s">
        <v>20042</v>
      </c>
      <c r="B8561" s="55"/>
      <c r="C8561" s="31"/>
    </row>
    <row r="8562">
      <c r="A8562" s="56" t="s">
        <v>20043</v>
      </c>
      <c r="B8562" s="82"/>
      <c r="C8562" s="33" t="s">
        <v>12708</v>
      </c>
    </row>
    <row r="8563">
      <c r="A8563" s="56" t="s">
        <v>20044</v>
      </c>
      <c r="B8563" s="82"/>
      <c r="C8563" s="33" t="s">
        <v>11373</v>
      </c>
      <c r="E8563" s="46" t="s">
        <v>7616</v>
      </c>
    </row>
    <row r="8564">
      <c r="A8564" s="56" t="s">
        <v>20046</v>
      </c>
      <c r="B8564" s="82"/>
      <c r="C8564" s="33" t="s">
        <v>11373</v>
      </c>
      <c r="E8564" s="46" t="s">
        <v>7618</v>
      </c>
    </row>
    <row r="8565">
      <c r="A8565" s="56" t="s">
        <v>20048</v>
      </c>
      <c r="B8565" s="82"/>
      <c r="C8565" s="33" t="s">
        <v>11376</v>
      </c>
      <c r="E8565" s="46" t="s">
        <v>7616</v>
      </c>
    </row>
    <row r="8566">
      <c r="A8566" s="56" t="s">
        <v>20049</v>
      </c>
      <c r="B8566" s="82"/>
      <c r="C8566" s="33" t="s">
        <v>11376</v>
      </c>
      <c r="E8566" s="46" t="s">
        <v>7618</v>
      </c>
    </row>
    <row r="8567">
      <c r="A8567" s="56" t="s">
        <v>20050</v>
      </c>
      <c r="B8567" s="82"/>
      <c r="C8567" s="33" t="s">
        <v>11380</v>
      </c>
      <c r="E8567" s="46" t="s">
        <v>7616</v>
      </c>
    </row>
    <row r="8568">
      <c r="A8568" s="56" t="s">
        <v>20052</v>
      </c>
      <c r="B8568" s="82"/>
      <c r="C8568" s="33" t="s">
        <v>11380</v>
      </c>
      <c r="E8568" s="46" t="s">
        <v>7618</v>
      </c>
    </row>
    <row r="8569">
      <c r="A8569" s="56" t="s">
        <v>20054</v>
      </c>
      <c r="B8569" s="79"/>
      <c r="C8569" s="33" t="s">
        <v>11384</v>
      </c>
      <c r="E8569" s="46" t="s">
        <v>1348</v>
      </c>
    </row>
    <row r="8570">
      <c r="A8570" s="56" t="s">
        <v>20055</v>
      </c>
      <c r="B8570" s="79"/>
      <c r="C8570" s="33" t="s">
        <v>11384</v>
      </c>
      <c r="E8570" s="46" t="s">
        <v>1348</v>
      </c>
    </row>
    <row r="8571">
      <c r="A8571" s="56" t="s">
        <v>20056</v>
      </c>
      <c r="B8571" s="79"/>
      <c r="C8571" s="33" t="s">
        <v>11389</v>
      </c>
      <c r="E8571" s="46" t="s">
        <v>1348</v>
      </c>
    </row>
    <row r="8572">
      <c r="A8572" s="56" t="s">
        <v>20059</v>
      </c>
      <c r="B8572" s="21"/>
      <c r="C8572" s="33" t="s">
        <v>11391</v>
      </c>
      <c r="E8572" s="46" t="s">
        <v>7616</v>
      </c>
    </row>
    <row r="8573">
      <c r="A8573" s="56" t="s">
        <v>20060</v>
      </c>
      <c r="B8573" s="21"/>
      <c r="C8573" s="33" t="s">
        <v>11391</v>
      </c>
      <c r="E8573" s="46" t="s">
        <v>7618</v>
      </c>
    </row>
    <row r="8574">
      <c r="A8574" s="56" t="s">
        <v>20063</v>
      </c>
      <c r="B8574" s="21"/>
      <c r="C8574" s="33" t="s">
        <v>11394</v>
      </c>
      <c r="E8574" s="46" t="s">
        <v>7616</v>
      </c>
    </row>
    <row r="8575">
      <c r="A8575" s="56" t="s">
        <v>20064</v>
      </c>
      <c r="B8575" s="21"/>
      <c r="C8575" s="33" t="s">
        <v>11394</v>
      </c>
      <c r="E8575" s="46" t="s">
        <v>7618</v>
      </c>
    </row>
    <row r="8576">
      <c r="A8576" s="56" t="s">
        <v>20065</v>
      </c>
      <c r="B8576" s="21"/>
      <c r="C8576" s="33" t="s">
        <v>11398</v>
      </c>
      <c r="E8576" s="46" t="s">
        <v>7616</v>
      </c>
    </row>
    <row r="8577">
      <c r="A8577" s="56" t="s">
        <v>20066</v>
      </c>
      <c r="B8577" s="21"/>
      <c r="C8577" s="33" t="s">
        <v>11398</v>
      </c>
      <c r="E8577" s="46" t="s">
        <v>7618</v>
      </c>
    </row>
    <row r="8578">
      <c r="A8578" s="56" t="s">
        <v>20068</v>
      </c>
      <c r="B8578" s="21"/>
      <c r="C8578" s="33" t="s">
        <v>11391</v>
      </c>
      <c r="E8578" s="46" t="s">
        <v>7616</v>
      </c>
    </row>
    <row r="8579">
      <c r="A8579" s="56" t="s">
        <v>20072</v>
      </c>
      <c r="B8579" s="21"/>
      <c r="C8579" s="33" t="s">
        <v>11391</v>
      </c>
      <c r="E8579" s="46" t="s">
        <v>7618</v>
      </c>
    </row>
    <row r="8580">
      <c r="A8580" s="56" t="s">
        <v>20073</v>
      </c>
      <c r="B8580" s="21"/>
      <c r="C8580" s="33" t="s">
        <v>11394</v>
      </c>
      <c r="E8580" s="46" t="s">
        <v>7616</v>
      </c>
    </row>
    <row r="8581">
      <c r="A8581" s="56" t="s">
        <v>20074</v>
      </c>
      <c r="B8581" s="21"/>
      <c r="C8581" s="33" t="s">
        <v>11394</v>
      </c>
      <c r="E8581" s="46" t="s">
        <v>7618</v>
      </c>
    </row>
    <row r="8582">
      <c r="A8582" s="56" t="s">
        <v>20076</v>
      </c>
      <c r="B8582" s="21"/>
      <c r="C8582" s="33" t="s">
        <v>11398</v>
      </c>
      <c r="E8582" s="46" t="s">
        <v>7616</v>
      </c>
    </row>
    <row r="8583">
      <c r="A8583" s="56" t="s">
        <v>20078</v>
      </c>
      <c r="B8583" s="21"/>
      <c r="C8583" s="33" t="s">
        <v>11398</v>
      </c>
      <c r="E8583" s="46" t="s">
        <v>7618</v>
      </c>
    </row>
    <row r="8584">
      <c r="A8584" s="56" t="s">
        <v>20079</v>
      </c>
      <c r="B8584" s="21"/>
      <c r="C8584" s="33" t="s">
        <v>11411</v>
      </c>
      <c r="E8584" s="46" t="s">
        <v>7616</v>
      </c>
    </row>
    <row r="8585">
      <c r="A8585" s="56" t="s">
        <v>20082</v>
      </c>
      <c r="B8585" s="21"/>
      <c r="C8585" s="33" t="s">
        <v>11411</v>
      </c>
      <c r="E8585" s="46" t="s">
        <v>7618</v>
      </c>
    </row>
    <row r="8586">
      <c r="A8586" s="56" t="s">
        <v>20084</v>
      </c>
      <c r="B8586" s="21"/>
      <c r="C8586" s="33" t="s">
        <v>11416</v>
      </c>
      <c r="E8586" s="46" t="s">
        <v>7616</v>
      </c>
    </row>
    <row r="8587">
      <c r="A8587" s="56" t="s">
        <v>20085</v>
      </c>
      <c r="B8587" s="21"/>
      <c r="C8587" s="33" t="s">
        <v>11416</v>
      </c>
      <c r="E8587" s="46" t="s">
        <v>7618</v>
      </c>
    </row>
    <row r="8588">
      <c r="A8588" s="56" t="s">
        <v>20086</v>
      </c>
      <c r="B8588" s="21"/>
      <c r="C8588" s="33" t="s">
        <v>11419</v>
      </c>
      <c r="E8588" s="46" t="s">
        <v>7616</v>
      </c>
    </row>
    <row r="8589">
      <c r="A8589" s="56" t="s">
        <v>20089</v>
      </c>
      <c r="B8589" s="21"/>
      <c r="C8589" s="33" t="s">
        <v>11419</v>
      </c>
      <c r="E8589" s="46" t="s">
        <v>7618</v>
      </c>
    </row>
    <row r="8590">
      <c r="A8590" s="56" t="s">
        <v>20092</v>
      </c>
      <c r="B8590" s="21"/>
      <c r="C8590" s="33" t="s">
        <v>11411</v>
      </c>
      <c r="E8590" s="46" t="s">
        <v>7616</v>
      </c>
    </row>
    <row r="8591">
      <c r="A8591" s="56" t="s">
        <v>20094</v>
      </c>
      <c r="B8591" s="21"/>
      <c r="C8591" s="33" t="s">
        <v>11411</v>
      </c>
      <c r="E8591" s="46" t="s">
        <v>7618</v>
      </c>
    </row>
    <row r="8592">
      <c r="A8592" s="56" t="s">
        <v>20096</v>
      </c>
      <c r="B8592" s="21"/>
      <c r="C8592" s="33" t="s">
        <v>11416</v>
      </c>
      <c r="E8592" s="46" t="s">
        <v>7616</v>
      </c>
    </row>
    <row r="8593">
      <c r="A8593" s="56" t="s">
        <v>20098</v>
      </c>
      <c r="B8593" s="21"/>
      <c r="C8593" s="33" t="s">
        <v>11416</v>
      </c>
      <c r="E8593" s="46" t="s">
        <v>7618</v>
      </c>
    </row>
    <row r="8594">
      <c r="A8594" s="56" t="s">
        <v>20099</v>
      </c>
      <c r="B8594" s="21"/>
      <c r="C8594" s="33" t="s">
        <v>11419</v>
      </c>
      <c r="E8594" s="46" t="s">
        <v>7616</v>
      </c>
    </row>
    <row r="8595">
      <c r="A8595" s="56" t="s">
        <v>20100</v>
      </c>
      <c r="B8595" s="21"/>
      <c r="C8595" s="33" t="s">
        <v>11419</v>
      </c>
      <c r="E8595" s="46" t="s">
        <v>7618</v>
      </c>
    </row>
    <row r="8596">
      <c r="A8596" s="56" t="s">
        <v>20101</v>
      </c>
      <c r="B8596" s="55"/>
      <c r="C8596" s="31"/>
    </row>
    <row r="8597">
      <c r="A8597" s="56" t="s">
        <v>20102</v>
      </c>
      <c r="B8597" s="55"/>
      <c r="C8597" s="31"/>
    </row>
    <row r="8598">
      <c r="A8598" s="56" t="s">
        <v>20103</v>
      </c>
      <c r="B8598" s="55"/>
      <c r="C8598" s="31"/>
    </row>
    <row r="8599">
      <c r="A8599" s="56" t="s">
        <v>20105</v>
      </c>
      <c r="B8599" s="55"/>
      <c r="C8599" s="31"/>
    </row>
    <row r="8600">
      <c r="A8600" s="56" t="s">
        <v>20106</v>
      </c>
      <c r="B8600" s="82"/>
      <c r="C8600" s="33" t="s">
        <v>20107</v>
      </c>
    </row>
    <row r="8601">
      <c r="A8601" s="56" t="s">
        <v>20108</v>
      </c>
      <c r="B8601" s="82"/>
      <c r="C8601" s="33" t="s">
        <v>11373</v>
      </c>
      <c r="E8601" s="46" t="s">
        <v>7616</v>
      </c>
    </row>
    <row r="8602">
      <c r="A8602" s="56" t="s">
        <v>20112</v>
      </c>
      <c r="B8602" s="82"/>
      <c r="C8602" s="33" t="s">
        <v>11373</v>
      </c>
      <c r="E8602" s="46" t="s">
        <v>7618</v>
      </c>
    </row>
    <row r="8603">
      <c r="A8603" s="56" t="s">
        <v>20113</v>
      </c>
      <c r="B8603" s="82"/>
      <c r="C8603" s="33" t="s">
        <v>11376</v>
      </c>
      <c r="E8603" s="46" t="s">
        <v>7616</v>
      </c>
    </row>
    <row r="8604">
      <c r="A8604" s="56" t="s">
        <v>20114</v>
      </c>
      <c r="B8604" s="82"/>
      <c r="C8604" s="33" t="s">
        <v>11376</v>
      </c>
      <c r="E8604" s="46" t="s">
        <v>7618</v>
      </c>
    </row>
    <row r="8605">
      <c r="A8605" s="56" t="s">
        <v>20115</v>
      </c>
      <c r="B8605" s="82"/>
      <c r="C8605" s="33" t="s">
        <v>11380</v>
      </c>
      <c r="E8605" s="46" t="s">
        <v>7616</v>
      </c>
    </row>
    <row r="8606">
      <c r="A8606" s="56" t="s">
        <v>20118</v>
      </c>
      <c r="B8606" s="82"/>
      <c r="C8606" s="33" t="s">
        <v>11380</v>
      </c>
      <c r="E8606" s="46" t="s">
        <v>7618</v>
      </c>
    </row>
    <row r="8607">
      <c r="A8607" s="56" t="s">
        <v>20120</v>
      </c>
      <c r="B8607" s="79"/>
      <c r="C8607" s="33" t="s">
        <v>11384</v>
      </c>
      <c r="E8607" s="46" t="s">
        <v>1348</v>
      </c>
    </row>
    <row r="8608">
      <c r="A8608" s="56" t="s">
        <v>20121</v>
      </c>
      <c r="B8608" s="79"/>
      <c r="C8608" s="33" t="s">
        <v>11384</v>
      </c>
      <c r="E8608" s="46" t="s">
        <v>1348</v>
      </c>
    </row>
    <row r="8609">
      <c r="A8609" s="56" t="s">
        <v>20125</v>
      </c>
      <c r="B8609" s="79"/>
      <c r="C8609" s="33" t="s">
        <v>11389</v>
      </c>
      <c r="E8609" s="46" t="s">
        <v>1348</v>
      </c>
    </row>
    <row r="8610">
      <c r="A8610" s="56" t="s">
        <v>20126</v>
      </c>
      <c r="B8610" s="21"/>
      <c r="C8610" s="33" t="s">
        <v>11391</v>
      </c>
      <c r="E8610" s="46" t="s">
        <v>7616</v>
      </c>
    </row>
    <row r="8611">
      <c r="A8611" s="56" t="s">
        <v>20129</v>
      </c>
      <c r="B8611" s="21"/>
      <c r="C8611" s="33" t="s">
        <v>11391</v>
      </c>
      <c r="E8611" s="46" t="s">
        <v>7618</v>
      </c>
    </row>
    <row r="8612">
      <c r="A8612" s="56" t="s">
        <v>20130</v>
      </c>
      <c r="B8612" s="21"/>
      <c r="C8612" s="33" t="s">
        <v>11394</v>
      </c>
      <c r="E8612" s="46" t="s">
        <v>7616</v>
      </c>
    </row>
    <row r="8613">
      <c r="A8613" s="56" t="s">
        <v>20133</v>
      </c>
      <c r="B8613" s="21"/>
      <c r="C8613" s="33" t="s">
        <v>11394</v>
      </c>
      <c r="E8613" s="46" t="s">
        <v>7618</v>
      </c>
    </row>
    <row r="8614">
      <c r="A8614" s="56" t="s">
        <v>20134</v>
      </c>
      <c r="B8614" s="21"/>
      <c r="C8614" s="33" t="s">
        <v>11398</v>
      </c>
      <c r="E8614" s="46" t="s">
        <v>7616</v>
      </c>
    </row>
    <row r="8615">
      <c r="A8615" s="56" t="s">
        <v>20135</v>
      </c>
      <c r="B8615" s="21"/>
      <c r="C8615" s="33" t="s">
        <v>11398</v>
      </c>
      <c r="E8615" s="46" t="s">
        <v>7618</v>
      </c>
    </row>
    <row r="8616">
      <c r="A8616" s="56" t="s">
        <v>20137</v>
      </c>
      <c r="B8616" s="21"/>
      <c r="C8616" s="33" t="s">
        <v>11391</v>
      </c>
      <c r="E8616" s="46" t="s">
        <v>7616</v>
      </c>
    </row>
    <row r="8617">
      <c r="A8617" s="56" t="s">
        <v>20138</v>
      </c>
      <c r="B8617" s="21"/>
      <c r="C8617" s="33" t="s">
        <v>11391</v>
      </c>
      <c r="E8617" s="46" t="s">
        <v>7618</v>
      </c>
    </row>
    <row r="8618">
      <c r="A8618" s="56" t="s">
        <v>20139</v>
      </c>
      <c r="B8618" s="21"/>
      <c r="C8618" s="33" t="s">
        <v>11394</v>
      </c>
      <c r="E8618" s="46" t="s">
        <v>7616</v>
      </c>
    </row>
    <row r="8619">
      <c r="A8619" s="56" t="s">
        <v>20140</v>
      </c>
      <c r="B8619" s="21"/>
      <c r="C8619" s="33" t="s">
        <v>11394</v>
      </c>
      <c r="E8619" s="46" t="s">
        <v>7618</v>
      </c>
    </row>
    <row r="8620">
      <c r="A8620" s="56" t="s">
        <v>20143</v>
      </c>
      <c r="B8620" s="21"/>
      <c r="C8620" s="33" t="s">
        <v>11398</v>
      </c>
      <c r="E8620" s="46" t="s">
        <v>7616</v>
      </c>
    </row>
    <row r="8621">
      <c r="A8621" s="56" t="s">
        <v>20144</v>
      </c>
      <c r="B8621" s="21"/>
      <c r="C8621" s="33" t="s">
        <v>11398</v>
      </c>
      <c r="E8621" s="46" t="s">
        <v>7618</v>
      </c>
    </row>
    <row r="8622">
      <c r="A8622" s="56" t="s">
        <v>20145</v>
      </c>
      <c r="B8622" s="21"/>
      <c r="C8622" s="33" t="s">
        <v>11411</v>
      </c>
      <c r="E8622" s="46" t="s">
        <v>7616</v>
      </c>
    </row>
    <row r="8623">
      <c r="A8623" s="56" t="s">
        <v>20146</v>
      </c>
      <c r="B8623" s="21"/>
      <c r="C8623" s="33" t="s">
        <v>11411</v>
      </c>
      <c r="E8623" s="46" t="s">
        <v>7618</v>
      </c>
    </row>
    <row r="8624">
      <c r="A8624" s="56" t="s">
        <v>20148</v>
      </c>
      <c r="B8624" s="21"/>
      <c r="C8624" s="33" t="s">
        <v>11416</v>
      </c>
      <c r="E8624" s="46" t="s">
        <v>7616</v>
      </c>
    </row>
    <row r="8625">
      <c r="A8625" s="56" t="s">
        <v>20150</v>
      </c>
      <c r="B8625" s="21"/>
      <c r="C8625" s="33" t="s">
        <v>11416</v>
      </c>
      <c r="E8625" s="46" t="s">
        <v>7618</v>
      </c>
    </row>
    <row r="8626">
      <c r="A8626" s="56" t="s">
        <v>20152</v>
      </c>
      <c r="B8626" s="21"/>
      <c r="C8626" s="33" t="s">
        <v>11419</v>
      </c>
      <c r="E8626" s="46" t="s">
        <v>7616</v>
      </c>
    </row>
    <row r="8627">
      <c r="A8627" s="56" t="s">
        <v>20153</v>
      </c>
      <c r="B8627" s="21"/>
      <c r="C8627" s="33" t="s">
        <v>11419</v>
      </c>
      <c r="E8627" s="46" t="s">
        <v>7618</v>
      </c>
    </row>
    <row r="8628">
      <c r="A8628" s="56" t="s">
        <v>20154</v>
      </c>
      <c r="B8628" s="21"/>
      <c r="C8628" s="33" t="s">
        <v>11411</v>
      </c>
      <c r="E8628" s="46" t="s">
        <v>7616</v>
      </c>
    </row>
    <row r="8629">
      <c r="A8629" s="56" t="s">
        <v>20156</v>
      </c>
      <c r="B8629" s="21"/>
      <c r="C8629" s="33" t="s">
        <v>11411</v>
      </c>
      <c r="E8629" s="46" t="s">
        <v>7618</v>
      </c>
    </row>
    <row r="8630">
      <c r="A8630" s="56" t="s">
        <v>20158</v>
      </c>
      <c r="B8630" s="21"/>
      <c r="C8630" s="33" t="s">
        <v>11416</v>
      </c>
      <c r="E8630" s="46" t="s">
        <v>7616</v>
      </c>
    </row>
    <row r="8631">
      <c r="A8631" s="56" t="s">
        <v>20159</v>
      </c>
      <c r="B8631" s="21"/>
      <c r="C8631" s="33" t="s">
        <v>11416</v>
      </c>
      <c r="E8631" s="46" t="s">
        <v>7618</v>
      </c>
    </row>
    <row r="8632">
      <c r="A8632" s="56" t="s">
        <v>20160</v>
      </c>
      <c r="B8632" s="21"/>
      <c r="C8632" s="33" t="s">
        <v>11419</v>
      </c>
      <c r="E8632" s="46" t="s">
        <v>7616</v>
      </c>
    </row>
    <row r="8633">
      <c r="A8633" s="56" t="s">
        <v>20161</v>
      </c>
      <c r="B8633" s="21"/>
      <c r="C8633" s="33" t="s">
        <v>11419</v>
      </c>
      <c r="E8633" s="46" t="s">
        <v>7618</v>
      </c>
    </row>
    <row r="8634">
      <c r="A8634" s="56" t="s">
        <v>20163</v>
      </c>
      <c r="B8634" s="82"/>
      <c r="C8634" s="33" t="s">
        <v>20164</v>
      </c>
    </row>
    <row r="8635">
      <c r="A8635" s="56" t="s">
        <v>20165</v>
      </c>
      <c r="B8635" s="82"/>
      <c r="C8635" s="33" t="s">
        <v>11373</v>
      </c>
      <c r="E8635" s="46" t="s">
        <v>7616</v>
      </c>
    </row>
    <row r="8636">
      <c r="A8636" s="56" t="s">
        <v>20166</v>
      </c>
      <c r="B8636" s="82"/>
      <c r="C8636" s="33" t="s">
        <v>11373</v>
      </c>
      <c r="E8636" s="46" t="s">
        <v>7618</v>
      </c>
    </row>
    <row r="8637">
      <c r="A8637" s="56" t="s">
        <v>20167</v>
      </c>
      <c r="B8637" s="82"/>
      <c r="C8637" s="33" t="s">
        <v>11376</v>
      </c>
      <c r="E8637" s="46" t="s">
        <v>7616</v>
      </c>
    </row>
    <row r="8638">
      <c r="A8638" s="56" t="s">
        <v>20170</v>
      </c>
      <c r="B8638" s="82"/>
      <c r="C8638" s="33" t="s">
        <v>11376</v>
      </c>
      <c r="E8638" s="46" t="s">
        <v>7618</v>
      </c>
    </row>
    <row r="8639">
      <c r="A8639" s="56" t="s">
        <v>20171</v>
      </c>
      <c r="B8639" s="82"/>
      <c r="C8639" s="33" t="s">
        <v>11380</v>
      </c>
      <c r="E8639" s="46" t="s">
        <v>7616</v>
      </c>
    </row>
    <row r="8640">
      <c r="A8640" s="56" t="s">
        <v>20173</v>
      </c>
      <c r="B8640" s="82"/>
      <c r="C8640" s="33" t="s">
        <v>11380</v>
      </c>
      <c r="E8640" s="46" t="s">
        <v>7618</v>
      </c>
    </row>
    <row r="8641">
      <c r="A8641" s="56" t="s">
        <v>20174</v>
      </c>
      <c r="B8641" s="79"/>
      <c r="C8641" s="33" t="s">
        <v>11384</v>
      </c>
      <c r="E8641" s="46" t="s">
        <v>1348</v>
      </c>
    </row>
    <row r="8642">
      <c r="A8642" s="56" t="s">
        <v>20175</v>
      </c>
      <c r="B8642" s="79"/>
      <c r="C8642" s="33" t="s">
        <v>11384</v>
      </c>
      <c r="E8642" s="46" t="s">
        <v>1348</v>
      </c>
    </row>
    <row r="8643">
      <c r="A8643" s="56" t="s">
        <v>20176</v>
      </c>
      <c r="B8643" s="79"/>
      <c r="C8643" s="33" t="s">
        <v>11389</v>
      </c>
      <c r="E8643" s="46" t="s">
        <v>1348</v>
      </c>
    </row>
    <row r="8644">
      <c r="A8644" s="56" t="s">
        <v>20177</v>
      </c>
      <c r="B8644" s="21"/>
      <c r="C8644" s="33" t="s">
        <v>11391</v>
      </c>
      <c r="E8644" s="46" t="s">
        <v>7616</v>
      </c>
    </row>
    <row r="8645">
      <c r="A8645" s="56" t="s">
        <v>20179</v>
      </c>
      <c r="B8645" s="21"/>
      <c r="C8645" s="33" t="s">
        <v>11391</v>
      </c>
      <c r="E8645" s="46" t="s">
        <v>7618</v>
      </c>
    </row>
    <row r="8646">
      <c r="A8646" s="56" t="s">
        <v>20181</v>
      </c>
      <c r="B8646" s="21"/>
      <c r="C8646" s="33" t="s">
        <v>11394</v>
      </c>
      <c r="E8646" s="46" t="s">
        <v>7616</v>
      </c>
    </row>
    <row r="8647">
      <c r="A8647" s="56" t="s">
        <v>20182</v>
      </c>
      <c r="B8647" s="21"/>
      <c r="C8647" s="33" t="s">
        <v>11394</v>
      </c>
      <c r="E8647" s="46" t="s">
        <v>7618</v>
      </c>
    </row>
    <row r="8648">
      <c r="A8648" s="56" t="s">
        <v>20183</v>
      </c>
      <c r="B8648" s="21"/>
      <c r="C8648" s="33" t="s">
        <v>11398</v>
      </c>
      <c r="E8648" s="46" t="s">
        <v>7616</v>
      </c>
    </row>
    <row r="8649">
      <c r="A8649" s="56" t="s">
        <v>20185</v>
      </c>
      <c r="B8649" s="21"/>
      <c r="C8649" s="33" t="s">
        <v>11398</v>
      </c>
      <c r="E8649" s="46" t="s">
        <v>7618</v>
      </c>
    </row>
    <row r="8650">
      <c r="A8650" s="56" t="s">
        <v>20186</v>
      </c>
      <c r="B8650" s="21"/>
      <c r="C8650" s="33" t="s">
        <v>11391</v>
      </c>
      <c r="E8650" s="46" t="s">
        <v>7616</v>
      </c>
    </row>
    <row r="8651">
      <c r="A8651" s="56" t="s">
        <v>20187</v>
      </c>
      <c r="B8651" s="21"/>
      <c r="C8651" s="33" t="s">
        <v>11391</v>
      </c>
      <c r="E8651" s="46" t="s">
        <v>7618</v>
      </c>
    </row>
    <row r="8652">
      <c r="A8652" s="56" t="s">
        <v>20188</v>
      </c>
      <c r="B8652" s="21"/>
      <c r="C8652" s="33" t="s">
        <v>11394</v>
      </c>
      <c r="E8652" s="46" t="s">
        <v>7616</v>
      </c>
    </row>
    <row r="8653">
      <c r="A8653" s="56" t="s">
        <v>20189</v>
      </c>
      <c r="B8653" s="21"/>
      <c r="C8653" s="33" t="s">
        <v>11394</v>
      </c>
      <c r="E8653" s="46" t="s">
        <v>7618</v>
      </c>
    </row>
    <row r="8654">
      <c r="A8654" s="56" t="s">
        <v>20192</v>
      </c>
      <c r="B8654" s="21"/>
      <c r="C8654" s="33" t="s">
        <v>11398</v>
      </c>
      <c r="E8654" s="46" t="s">
        <v>7616</v>
      </c>
    </row>
    <row r="8655">
      <c r="A8655" s="56" t="s">
        <v>20193</v>
      </c>
      <c r="B8655" s="21"/>
      <c r="C8655" s="33" t="s">
        <v>11398</v>
      </c>
      <c r="E8655" s="46" t="s">
        <v>7618</v>
      </c>
    </row>
    <row r="8656">
      <c r="A8656" s="56" t="s">
        <v>20194</v>
      </c>
      <c r="B8656" s="21"/>
      <c r="C8656" s="33" t="s">
        <v>11411</v>
      </c>
      <c r="E8656" s="46" t="s">
        <v>7616</v>
      </c>
    </row>
    <row r="8657">
      <c r="A8657" s="56" t="s">
        <v>20195</v>
      </c>
      <c r="B8657" s="21"/>
      <c r="C8657" s="33" t="s">
        <v>11411</v>
      </c>
      <c r="E8657" s="46" t="s">
        <v>7618</v>
      </c>
    </row>
    <row r="8658">
      <c r="A8658" s="56" t="s">
        <v>20197</v>
      </c>
      <c r="B8658" s="21"/>
      <c r="C8658" s="33" t="s">
        <v>11416</v>
      </c>
      <c r="E8658" s="46" t="s">
        <v>7616</v>
      </c>
    </row>
    <row r="8659">
      <c r="A8659" s="56" t="s">
        <v>20198</v>
      </c>
      <c r="B8659" s="21"/>
      <c r="C8659" s="33" t="s">
        <v>11416</v>
      </c>
      <c r="E8659" s="46" t="s">
        <v>7618</v>
      </c>
    </row>
    <row r="8660">
      <c r="A8660" s="56" t="s">
        <v>20199</v>
      </c>
      <c r="B8660" s="21"/>
      <c r="C8660" s="33" t="s">
        <v>11419</v>
      </c>
      <c r="E8660" s="46" t="s">
        <v>7616</v>
      </c>
    </row>
    <row r="8661">
      <c r="A8661" s="56" t="s">
        <v>20201</v>
      </c>
      <c r="B8661" s="21"/>
      <c r="C8661" s="33" t="s">
        <v>11419</v>
      </c>
      <c r="E8661" s="46" t="s">
        <v>7618</v>
      </c>
    </row>
    <row r="8662">
      <c r="A8662" s="56" t="s">
        <v>20202</v>
      </c>
      <c r="B8662" s="21"/>
      <c r="C8662" s="33" t="s">
        <v>11411</v>
      </c>
      <c r="E8662" s="46" t="s">
        <v>7616</v>
      </c>
    </row>
    <row r="8663">
      <c r="A8663" s="56" t="s">
        <v>20204</v>
      </c>
      <c r="B8663" s="21"/>
      <c r="C8663" s="33" t="s">
        <v>11411</v>
      </c>
      <c r="E8663" s="46" t="s">
        <v>7618</v>
      </c>
    </row>
    <row r="8664">
      <c r="A8664" s="56" t="s">
        <v>20205</v>
      </c>
      <c r="B8664" s="21"/>
      <c r="C8664" s="33" t="s">
        <v>11416</v>
      </c>
      <c r="E8664" s="46" t="s">
        <v>7616</v>
      </c>
    </row>
    <row r="8665">
      <c r="A8665" s="56" t="s">
        <v>20206</v>
      </c>
      <c r="B8665" s="21"/>
      <c r="C8665" s="33" t="s">
        <v>11416</v>
      </c>
      <c r="E8665" s="46" t="s">
        <v>7618</v>
      </c>
    </row>
    <row r="8666">
      <c r="A8666" s="56" t="s">
        <v>20207</v>
      </c>
      <c r="B8666" s="21"/>
      <c r="C8666" s="33" t="s">
        <v>11419</v>
      </c>
      <c r="E8666" s="46" t="s">
        <v>7616</v>
      </c>
    </row>
    <row r="8667">
      <c r="A8667" s="56" t="s">
        <v>20208</v>
      </c>
      <c r="B8667" s="21"/>
      <c r="C8667" s="33" t="s">
        <v>11419</v>
      </c>
      <c r="E8667" s="46" t="s">
        <v>7618</v>
      </c>
    </row>
    <row r="8668">
      <c r="A8668" s="56" t="s">
        <v>20209</v>
      </c>
      <c r="B8668" s="55"/>
      <c r="C8668" s="31"/>
    </row>
    <row r="8669">
      <c r="A8669" s="56" t="s">
        <v>20211</v>
      </c>
      <c r="B8669" s="82"/>
      <c r="C8669" s="33" t="s">
        <v>20212</v>
      </c>
    </row>
    <row r="8670">
      <c r="A8670" s="56" t="s">
        <v>20214</v>
      </c>
      <c r="B8670" s="82"/>
      <c r="C8670" s="33" t="s">
        <v>11373</v>
      </c>
      <c r="E8670" s="46" t="s">
        <v>7616</v>
      </c>
    </row>
    <row r="8671">
      <c r="A8671" s="56" t="s">
        <v>20216</v>
      </c>
      <c r="B8671" s="82"/>
      <c r="C8671" s="33" t="s">
        <v>11373</v>
      </c>
      <c r="E8671" s="46" t="s">
        <v>7618</v>
      </c>
    </row>
    <row r="8672">
      <c r="A8672" s="56" t="s">
        <v>20217</v>
      </c>
      <c r="B8672" s="82"/>
      <c r="C8672" s="33" t="s">
        <v>11376</v>
      </c>
      <c r="E8672" s="46" t="s">
        <v>7616</v>
      </c>
    </row>
    <row r="8673">
      <c r="A8673" s="56" t="s">
        <v>20218</v>
      </c>
      <c r="B8673" s="82"/>
      <c r="C8673" s="33" t="s">
        <v>11376</v>
      </c>
      <c r="E8673" s="46" t="s">
        <v>7618</v>
      </c>
    </row>
    <row r="8674">
      <c r="A8674" s="56" t="s">
        <v>20219</v>
      </c>
      <c r="B8674" s="82"/>
      <c r="C8674" s="33" t="s">
        <v>11380</v>
      </c>
      <c r="E8674" s="46" t="s">
        <v>7616</v>
      </c>
    </row>
    <row r="8675">
      <c r="A8675" s="56" t="s">
        <v>20221</v>
      </c>
      <c r="B8675" s="82"/>
      <c r="C8675" s="33" t="s">
        <v>11380</v>
      </c>
      <c r="E8675" s="46" t="s">
        <v>7618</v>
      </c>
    </row>
    <row r="8676">
      <c r="A8676" s="56" t="s">
        <v>20222</v>
      </c>
      <c r="B8676" s="79"/>
      <c r="C8676" s="33" t="s">
        <v>11384</v>
      </c>
      <c r="E8676" s="46" t="s">
        <v>1348</v>
      </c>
    </row>
    <row r="8677">
      <c r="A8677" s="56" t="s">
        <v>20223</v>
      </c>
      <c r="B8677" s="79"/>
      <c r="C8677" s="33" t="s">
        <v>11384</v>
      </c>
      <c r="E8677" s="46" t="s">
        <v>1348</v>
      </c>
    </row>
    <row r="8678">
      <c r="A8678" s="56" t="s">
        <v>20224</v>
      </c>
      <c r="B8678" s="79"/>
      <c r="C8678" s="33" t="s">
        <v>11389</v>
      </c>
      <c r="E8678" s="46" t="s">
        <v>1348</v>
      </c>
    </row>
    <row r="8679">
      <c r="A8679" s="56" t="s">
        <v>20226</v>
      </c>
      <c r="B8679" s="21"/>
      <c r="C8679" s="33" t="s">
        <v>11391</v>
      </c>
      <c r="E8679" s="46" t="s">
        <v>7616</v>
      </c>
    </row>
    <row r="8680">
      <c r="A8680" s="56" t="s">
        <v>20228</v>
      </c>
      <c r="B8680" s="21"/>
      <c r="C8680" s="33" t="s">
        <v>11391</v>
      </c>
      <c r="E8680" s="46" t="s">
        <v>7618</v>
      </c>
    </row>
    <row r="8681">
      <c r="A8681" s="56" t="s">
        <v>20229</v>
      </c>
      <c r="B8681" s="21"/>
      <c r="C8681" s="33" t="s">
        <v>11394</v>
      </c>
      <c r="E8681" s="46" t="s">
        <v>7616</v>
      </c>
    </row>
    <row r="8682">
      <c r="A8682" s="56" t="s">
        <v>20230</v>
      </c>
      <c r="B8682" s="21"/>
      <c r="C8682" s="33" t="s">
        <v>11394</v>
      </c>
      <c r="E8682" s="46" t="s">
        <v>7618</v>
      </c>
    </row>
    <row r="8683">
      <c r="A8683" s="56" t="s">
        <v>20231</v>
      </c>
      <c r="B8683" s="21"/>
      <c r="C8683" s="33" t="s">
        <v>11398</v>
      </c>
      <c r="E8683" s="46" t="s">
        <v>7616</v>
      </c>
    </row>
    <row r="8684">
      <c r="A8684" s="56" t="s">
        <v>20232</v>
      </c>
      <c r="B8684" s="21"/>
      <c r="C8684" s="33" t="s">
        <v>11398</v>
      </c>
      <c r="E8684" s="46" t="s">
        <v>7618</v>
      </c>
    </row>
    <row r="8685">
      <c r="A8685" s="56" t="s">
        <v>20233</v>
      </c>
      <c r="B8685" s="21"/>
      <c r="C8685" s="33" t="s">
        <v>11391</v>
      </c>
      <c r="E8685" s="46" t="s">
        <v>7616</v>
      </c>
    </row>
    <row r="8686">
      <c r="A8686" s="56" t="s">
        <v>20235</v>
      </c>
      <c r="B8686" s="21"/>
      <c r="C8686" s="33" t="s">
        <v>11391</v>
      </c>
      <c r="E8686" s="46" t="s">
        <v>7618</v>
      </c>
    </row>
    <row r="8687">
      <c r="A8687" s="56" t="s">
        <v>20236</v>
      </c>
      <c r="B8687" s="21"/>
      <c r="C8687" s="33" t="s">
        <v>11394</v>
      </c>
      <c r="E8687" s="46" t="s">
        <v>7616</v>
      </c>
    </row>
    <row r="8688">
      <c r="A8688" s="56" t="s">
        <v>20240</v>
      </c>
      <c r="B8688" s="21"/>
      <c r="C8688" s="33" t="s">
        <v>11394</v>
      </c>
      <c r="E8688" s="46" t="s">
        <v>7618</v>
      </c>
    </row>
    <row r="8689">
      <c r="A8689" s="56" t="s">
        <v>20241</v>
      </c>
      <c r="B8689" s="21"/>
      <c r="C8689" s="33" t="s">
        <v>11398</v>
      </c>
      <c r="E8689" s="46" t="s">
        <v>7616</v>
      </c>
    </row>
    <row r="8690">
      <c r="A8690" s="56" t="s">
        <v>20242</v>
      </c>
      <c r="B8690" s="21"/>
      <c r="C8690" s="33" t="s">
        <v>11398</v>
      </c>
      <c r="E8690" s="46" t="s">
        <v>7618</v>
      </c>
    </row>
    <row r="8691">
      <c r="A8691" s="56" t="s">
        <v>20243</v>
      </c>
      <c r="B8691" s="21"/>
      <c r="C8691" s="33" t="s">
        <v>11411</v>
      </c>
      <c r="E8691" s="46" t="s">
        <v>7616</v>
      </c>
    </row>
    <row r="8692">
      <c r="A8692" s="56" t="s">
        <v>20244</v>
      </c>
      <c r="B8692" s="21"/>
      <c r="C8692" s="33" t="s">
        <v>11411</v>
      </c>
      <c r="E8692" s="46" t="s">
        <v>7618</v>
      </c>
    </row>
    <row r="8693">
      <c r="A8693" s="56" t="s">
        <v>20245</v>
      </c>
      <c r="B8693" s="21"/>
      <c r="C8693" s="33" t="s">
        <v>11416</v>
      </c>
      <c r="E8693" s="46" t="s">
        <v>7616</v>
      </c>
    </row>
    <row r="8694">
      <c r="A8694" s="56" t="s">
        <v>20248</v>
      </c>
      <c r="B8694" s="21"/>
      <c r="C8694" s="33" t="s">
        <v>11416</v>
      </c>
      <c r="E8694" s="46" t="s">
        <v>7618</v>
      </c>
    </row>
    <row r="8695">
      <c r="A8695" s="56" t="s">
        <v>20249</v>
      </c>
      <c r="B8695" s="21"/>
      <c r="C8695" s="33" t="s">
        <v>11419</v>
      </c>
      <c r="E8695" s="46" t="s">
        <v>7616</v>
      </c>
    </row>
    <row r="8696">
      <c r="A8696" s="56" t="s">
        <v>20252</v>
      </c>
      <c r="B8696" s="21"/>
      <c r="C8696" s="33" t="s">
        <v>11419</v>
      </c>
      <c r="E8696" s="46" t="s">
        <v>7618</v>
      </c>
    </row>
    <row r="8697">
      <c r="A8697" s="56" t="s">
        <v>20253</v>
      </c>
      <c r="B8697" s="21"/>
      <c r="C8697" s="33" t="s">
        <v>11411</v>
      </c>
      <c r="E8697" s="46" t="s">
        <v>7616</v>
      </c>
    </row>
    <row r="8698">
      <c r="A8698" s="56" t="s">
        <v>20254</v>
      </c>
      <c r="B8698" s="21"/>
      <c r="C8698" s="33" t="s">
        <v>11411</v>
      </c>
      <c r="E8698" s="46" t="s">
        <v>7618</v>
      </c>
    </row>
    <row r="8699">
      <c r="A8699" s="56" t="s">
        <v>20255</v>
      </c>
      <c r="B8699" s="21"/>
      <c r="C8699" s="33" t="s">
        <v>11416</v>
      </c>
      <c r="E8699" s="46" t="s">
        <v>7616</v>
      </c>
    </row>
    <row r="8700">
      <c r="A8700" s="56" t="s">
        <v>20256</v>
      </c>
      <c r="B8700" s="21"/>
      <c r="C8700" s="33" t="s">
        <v>11416</v>
      </c>
      <c r="E8700" s="46" t="s">
        <v>7618</v>
      </c>
    </row>
    <row r="8701">
      <c r="A8701" s="56" t="s">
        <v>20257</v>
      </c>
      <c r="B8701" s="21"/>
      <c r="C8701" s="33" t="s">
        <v>11419</v>
      </c>
      <c r="E8701" s="46" t="s">
        <v>7616</v>
      </c>
    </row>
    <row r="8702">
      <c r="A8702" s="56" t="s">
        <v>20259</v>
      </c>
      <c r="B8702" s="21"/>
      <c r="C8702" s="33" t="s">
        <v>11419</v>
      </c>
      <c r="E8702" s="46" t="s">
        <v>7618</v>
      </c>
    </row>
    <row r="8703">
      <c r="A8703" s="56" t="s">
        <v>20260</v>
      </c>
      <c r="B8703" s="82"/>
      <c r="C8703" s="33" t="s">
        <v>20262</v>
      </c>
    </row>
    <row r="8704">
      <c r="A8704" s="56" t="s">
        <v>20263</v>
      </c>
      <c r="B8704" s="55"/>
      <c r="C8704" s="31"/>
    </row>
    <row r="8705">
      <c r="A8705" s="56" t="s">
        <v>20264</v>
      </c>
      <c r="B8705" s="55"/>
      <c r="C8705" s="31"/>
    </row>
    <row r="8706">
      <c r="A8706" s="56" t="s">
        <v>20265</v>
      </c>
      <c r="B8706" s="55"/>
      <c r="C8706" s="31"/>
    </row>
    <row r="8707">
      <c r="A8707" s="56" t="s">
        <v>20267</v>
      </c>
      <c r="B8707" s="55"/>
      <c r="C8707" s="31"/>
    </row>
    <row r="8708">
      <c r="A8708" s="56" t="s">
        <v>20268</v>
      </c>
      <c r="B8708" s="55"/>
      <c r="C8708" s="31"/>
    </row>
    <row r="8709">
      <c r="A8709" s="56" t="s">
        <v>20269</v>
      </c>
      <c r="B8709" s="82"/>
      <c r="C8709" s="33" t="s">
        <v>20270</v>
      </c>
    </row>
    <row r="8710">
      <c r="A8710" s="56" t="s">
        <v>20271</v>
      </c>
      <c r="B8710" s="82"/>
      <c r="C8710" s="33" t="s">
        <v>11373</v>
      </c>
      <c r="E8710" s="46" t="s">
        <v>7616</v>
      </c>
    </row>
    <row r="8711">
      <c r="A8711" s="56" t="s">
        <v>20273</v>
      </c>
      <c r="B8711" s="82"/>
      <c r="C8711" s="33" t="s">
        <v>11373</v>
      </c>
      <c r="E8711" s="46" t="s">
        <v>7618</v>
      </c>
    </row>
    <row r="8712">
      <c r="A8712" s="56" t="s">
        <v>20275</v>
      </c>
      <c r="B8712" s="82"/>
      <c r="C8712" s="33" t="s">
        <v>11376</v>
      </c>
      <c r="E8712" s="46" t="s">
        <v>7616</v>
      </c>
    </row>
    <row r="8713">
      <c r="A8713" s="56" t="s">
        <v>20277</v>
      </c>
      <c r="B8713" s="82"/>
      <c r="C8713" s="33" t="s">
        <v>11376</v>
      </c>
      <c r="E8713" s="46" t="s">
        <v>7618</v>
      </c>
    </row>
    <row r="8714">
      <c r="A8714" s="56" t="s">
        <v>20278</v>
      </c>
      <c r="B8714" s="82"/>
      <c r="C8714" s="33" t="s">
        <v>11380</v>
      </c>
      <c r="E8714" s="46" t="s">
        <v>7616</v>
      </c>
    </row>
    <row r="8715">
      <c r="A8715" s="56" t="s">
        <v>20279</v>
      </c>
      <c r="B8715" s="82"/>
      <c r="C8715" s="33" t="s">
        <v>11380</v>
      </c>
      <c r="E8715" s="46" t="s">
        <v>7618</v>
      </c>
    </row>
    <row r="8716">
      <c r="A8716" s="56" t="s">
        <v>20281</v>
      </c>
      <c r="B8716" s="79"/>
      <c r="C8716" s="33" t="s">
        <v>11384</v>
      </c>
      <c r="E8716" s="46" t="s">
        <v>1348</v>
      </c>
    </row>
    <row r="8717">
      <c r="A8717" s="56" t="s">
        <v>20282</v>
      </c>
      <c r="B8717" s="79"/>
      <c r="C8717" s="33" t="s">
        <v>11384</v>
      </c>
      <c r="E8717" s="46" t="s">
        <v>1348</v>
      </c>
    </row>
    <row r="8718">
      <c r="A8718" s="56" t="s">
        <v>20283</v>
      </c>
      <c r="B8718" s="79"/>
      <c r="C8718" s="33" t="s">
        <v>11389</v>
      </c>
      <c r="E8718" s="46" t="s">
        <v>1348</v>
      </c>
    </row>
    <row r="8719">
      <c r="A8719" s="56" t="s">
        <v>20284</v>
      </c>
      <c r="B8719" s="21"/>
      <c r="C8719" s="33" t="s">
        <v>11391</v>
      </c>
      <c r="E8719" s="46" t="s">
        <v>7616</v>
      </c>
    </row>
    <row r="8720">
      <c r="A8720" s="56" t="s">
        <v>20286</v>
      </c>
      <c r="B8720" s="21"/>
      <c r="C8720" s="33" t="s">
        <v>11391</v>
      </c>
      <c r="E8720" s="46" t="s">
        <v>7618</v>
      </c>
    </row>
    <row r="8721">
      <c r="A8721" s="56" t="s">
        <v>20288</v>
      </c>
      <c r="B8721" s="21"/>
      <c r="C8721" s="33" t="s">
        <v>11394</v>
      </c>
      <c r="E8721" s="46" t="s">
        <v>7616</v>
      </c>
    </row>
    <row r="8722">
      <c r="A8722" s="56" t="s">
        <v>20289</v>
      </c>
      <c r="B8722" s="21"/>
      <c r="C8722" s="33" t="s">
        <v>11394</v>
      </c>
      <c r="E8722" s="46" t="s">
        <v>7618</v>
      </c>
    </row>
    <row r="8723">
      <c r="A8723" s="56" t="s">
        <v>20290</v>
      </c>
      <c r="B8723" s="21"/>
      <c r="C8723" s="33" t="s">
        <v>11398</v>
      </c>
      <c r="E8723" s="46" t="s">
        <v>7616</v>
      </c>
    </row>
    <row r="8724">
      <c r="A8724" s="56" t="s">
        <v>20291</v>
      </c>
      <c r="B8724" s="21"/>
      <c r="C8724" s="33" t="s">
        <v>11398</v>
      </c>
      <c r="E8724" s="46" t="s">
        <v>7618</v>
      </c>
    </row>
    <row r="8725">
      <c r="A8725" s="56" t="s">
        <v>20292</v>
      </c>
      <c r="B8725" s="21"/>
      <c r="C8725" s="33" t="s">
        <v>11391</v>
      </c>
      <c r="E8725" s="46" t="s">
        <v>7616</v>
      </c>
    </row>
    <row r="8726">
      <c r="A8726" s="56" t="s">
        <v>20293</v>
      </c>
      <c r="B8726" s="21"/>
      <c r="C8726" s="33" t="s">
        <v>11391</v>
      </c>
      <c r="E8726" s="46" t="s">
        <v>7618</v>
      </c>
    </row>
    <row r="8727">
      <c r="A8727" s="56" t="s">
        <v>20294</v>
      </c>
      <c r="B8727" s="21"/>
      <c r="C8727" s="33" t="s">
        <v>11394</v>
      </c>
      <c r="E8727" s="46" t="s">
        <v>7616</v>
      </c>
    </row>
    <row r="8728">
      <c r="A8728" s="56" t="s">
        <v>20296</v>
      </c>
      <c r="B8728" s="21"/>
      <c r="C8728" s="33" t="s">
        <v>11394</v>
      </c>
      <c r="E8728" s="46" t="s">
        <v>7618</v>
      </c>
    </row>
    <row r="8729">
      <c r="A8729" s="56" t="s">
        <v>20298</v>
      </c>
      <c r="B8729" s="21"/>
      <c r="C8729" s="33" t="s">
        <v>11398</v>
      </c>
      <c r="E8729" s="46" t="s">
        <v>7616</v>
      </c>
    </row>
    <row r="8730">
      <c r="A8730" s="56" t="s">
        <v>20299</v>
      </c>
      <c r="B8730" s="21"/>
      <c r="C8730" s="33" t="s">
        <v>11398</v>
      </c>
      <c r="E8730" s="46" t="s">
        <v>7618</v>
      </c>
    </row>
    <row r="8731">
      <c r="A8731" s="56" t="s">
        <v>20300</v>
      </c>
      <c r="B8731" s="21"/>
      <c r="C8731" s="33" t="s">
        <v>11411</v>
      </c>
      <c r="E8731" s="46" t="s">
        <v>7616</v>
      </c>
    </row>
    <row r="8732">
      <c r="A8732" s="56" t="s">
        <v>20301</v>
      </c>
      <c r="B8732" s="21"/>
      <c r="C8732" s="33" t="s">
        <v>11411</v>
      </c>
      <c r="E8732" s="46" t="s">
        <v>7618</v>
      </c>
    </row>
    <row r="8733">
      <c r="A8733" s="56" t="s">
        <v>20302</v>
      </c>
      <c r="B8733" s="21"/>
      <c r="C8733" s="33" t="s">
        <v>11416</v>
      </c>
      <c r="E8733" s="46" t="s">
        <v>7616</v>
      </c>
    </row>
    <row r="8734">
      <c r="A8734" s="56" t="s">
        <v>20303</v>
      </c>
      <c r="B8734" s="21"/>
      <c r="C8734" s="33" t="s">
        <v>11416</v>
      </c>
      <c r="E8734" s="46" t="s">
        <v>7618</v>
      </c>
    </row>
    <row r="8735">
      <c r="A8735" s="56" t="s">
        <v>20305</v>
      </c>
      <c r="B8735" s="21"/>
      <c r="C8735" s="33" t="s">
        <v>11419</v>
      </c>
      <c r="E8735" s="46" t="s">
        <v>7616</v>
      </c>
    </row>
    <row r="8736">
      <c r="A8736" s="56" t="s">
        <v>20307</v>
      </c>
      <c r="B8736" s="21"/>
      <c r="C8736" s="33" t="s">
        <v>11419</v>
      </c>
      <c r="E8736" s="46" t="s">
        <v>7618</v>
      </c>
    </row>
    <row r="8737">
      <c r="A8737" s="56" t="s">
        <v>20308</v>
      </c>
      <c r="B8737" s="21"/>
      <c r="C8737" s="33" t="s">
        <v>11411</v>
      </c>
      <c r="E8737" s="46" t="s">
        <v>7616</v>
      </c>
    </row>
    <row r="8738">
      <c r="A8738" s="56" t="s">
        <v>20309</v>
      </c>
      <c r="B8738" s="21"/>
      <c r="C8738" s="33" t="s">
        <v>11411</v>
      </c>
      <c r="E8738" s="46" t="s">
        <v>7618</v>
      </c>
    </row>
    <row r="8739">
      <c r="A8739" s="56" t="s">
        <v>20310</v>
      </c>
      <c r="B8739" s="21"/>
      <c r="C8739" s="33" t="s">
        <v>11416</v>
      </c>
      <c r="E8739" s="46" t="s">
        <v>7616</v>
      </c>
    </row>
    <row r="8740">
      <c r="A8740" s="56" t="s">
        <v>20312</v>
      </c>
      <c r="B8740" s="21"/>
      <c r="C8740" s="33" t="s">
        <v>11416</v>
      </c>
      <c r="E8740" s="46" t="s">
        <v>7618</v>
      </c>
    </row>
    <row r="8741">
      <c r="A8741" s="56" t="s">
        <v>20313</v>
      </c>
      <c r="B8741" s="21"/>
      <c r="C8741" s="33" t="s">
        <v>11419</v>
      </c>
      <c r="E8741" s="46" t="s">
        <v>7616</v>
      </c>
    </row>
    <row r="8742">
      <c r="A8742" s="56" t="s">
        <v>20314</v>
      </c>
      <c r="B8742" s="21"/>
      <c r="C8742" s="33" t="s">
        <v>11419</v>
      </c>
      <c r="E8742" s="46" t="s">
        <v>7618</v>
      </c>
    </row>
    <row r="8743">
      <c r="A8743" s="56" t="s">
        <v>20315</v>
      </c>
      <c r="B8743" s="55"/>
      <c r="C8743" s="31"/>
    </row>
    <row r="8744">
      <c r="A8744" s="56" t="s">
        <v>20316</v>
      </c>
      <c r="B8744" s="55"/>
      <c r="C8744" s="31"/>
    </row>
    <row r="8745">
      <c r="A8745" s="56" t="s">
        <v>20318</v>
      </c>
      <c r="B8745" s="55"/>
      <c r="C8745" s="31"/>
    </row>
    <row r="8746">
      <c r="A8746" s="56" t="s">
        <v>20319</v>
      </c>
      <c r="B8746" s="55"/>
      <c r="C8746" s="31"/>
    </row>
    <row r="8747">
      <c r="A8747" s="56" t="s">
        <v>20321</v>
      </c>
      <c r="B8747" s="55"/>
      <c r="C8747" s="31"/>
    </row>
    <row r="8748">
      <c r="A8748" s="56" t="s">
        <v>20323</v>
      </c>
      <c r="B8748" s="55"/>
      <c r="C8748" s="31"/>
    </row>
    <row r="8749">
      <c r="A8749" s="56" t="s">
        <v>20324</v>
      </c>
      <c r="B8749" s="55"/>
      <c r="C8749" s="31"/>
    </row>
    <row r="8750">
      <c r="A8750" s="56" t="s">
        <v>20325</v>
      </c>
      <c r="B8750" s="82"/>
      <c r="C8750" s="33" t="s">
        <v>20326</v>
      </c>
    </row>
    <row r="8751">
      <c r="A8751" s="56" t="s">
        <v>20327</v>
      </c>
      <c r="B8751" s="82"/>
      <c r="C8751" s="33" t="s">
        <v>11373</v>
      </c>
      <c r="E8751" s="46" t="s">
        <v>7616</v>
      </c>
    </row>
    <row r="8752">
      <c r="A8752" s="56" t="s">
        <v>20329</v>
      </c>
      <c r="B8752" s="82"/>
      <c r="C8752" s="33" t="s">
        <v>11373</v>
      </c>
      <c r="E8752" s="46" t="s">
        <v>7618</v>
      </c>
    </row>
    <row r="8753">
      <c r="A8753" s="56" t="s">
        <v>20330</v>
      </c>
      <c r="B8753" s="82"/>
      <c r="C8753" s="33" t="s">
        <v>11376</v>
      </c>
      <c r="E8753" s="46" t="s">
        <v>7616</v>
      </c>
    </row>
    <row r="8754">
      <c r="A8754" s="56" t="s">
        <v>20333</v>
      </c>
      <c r="B8754" s="82"/>
      <c r="C8754" s="33" t="s">
        <v>11376</v>
      </c>
      <c r="E8754" s="46" t="s">
        <v>7618</v>
      </c>
    </row>
    <row r="8755">
      <c r="A8755" s="56" t="s">
        <v>20334</v>
      </c>
      <c r="B8755" s="82"/>
      <c r="C8755" s="33" t="s">
        <v>11380</v>
      </c>
      <c r="E8755" s="46" t="s">
        <v>7616</v>
      </c>
    </row>
    <row r="8756">
      <c r="A8756" s="56" t="s">
        <v>20335</v>
      </c>
      <c r="B8756" s="82"/>
      <c r="C8756" s="33" t="s">
        <v>11380</v>
      </c>
      <c r="E8756" s="46" t="s">
        <v>7618</v>
      </c>
    </row>
    <row r="8757">
      <c r="A8757" s="56" t="s">
        <v>20337</v>
      </c>
      <c r="B8757" s="79"/>
      <c r="C8757" s="33" t="s">
        <v>11384</v>
      </c>
      <c r="E8757" s="46" t="s">
        <v>1348</v>
      </c>
    </row>
    <row r="8758">
      <c r="A8758" s="56" t="s">
        <v>20339</v>
      </c>
      <c r="B8758" s="79"/>
      <c r="C8758" s="33" t="s">
        <v>11384</v>
      </c>
      <c r="E8758" s="46" t="s">
        <v>1348</v>
      </c>
    </row>
    <row r="8759">
      <c r="A8759" s="56" t="s">
        <v>20341</v>
      </c>
      <c r="B8759" s="79"/>
      <c r="C8759" s="33" t="s">
        <v>11389</v>
      </c>
      <c r="E8759" s="46" t="s">
        <v>1348</v>
      </c>
    </row>
    <row r="8760">
      <c r="A8760" s="56" t="s">
        <v>20343</v>
      </c>
      <c r="B8760" s="21"/>
      <c r="C8760" s="33" t="s">
        <v>11391</v>
      </c>
      <c r="E8760" s="46" t="s">
        <v>7616</v>
      </c>
    </row>
    <row r="8761">
      <c r="A8761" s="56" t="s">
        <v>20344</v>
      </c>
      <c r="B8761" s="21"/>
      <c r="C8761" s="33" t="s">
        <v>11391</v>
      </c>
      <c r="E8761" s="46" t="s">
        <v>7618</v>
      </c>
    </row>
    <row r="8762">
      <c r="A8762" s="56" t="s">
        <v>20345</v>
      </c>
      <c r="B8762" s="21"/>
      <c r="C8762" s="33" t="s">
        <v>11394</v>
      </c>
      <c r="E8762" s="46" t="s">
        <v>7616</v>
      </c>
    </row>
    <row r="8763">
      <c r="A8763" s="56" t="s">
        <v>20346</v>
      </c>
      <c r="B8763" s="21"/>
      <c r="C8763" s="33" t="s">
        <v>11394</v>
      </c>
      <c r="E8763" s="46" t="s">
        <v>7618</v>
      </c>
    </row>
    <row r="8764">
      <c r="A8764" s="56" t="s">
        <v>20349</v>
      </c>
      <c r="B8764" s="21"/>
      <c r="C8764" s="33" t="s">
        <v>11398</v>
      </c>
      <c r="E8764" s="46" t="s">
        <v>7616</v>
      </c>
    </row>
    <row r="8765">
      <c r="A8765" s="56" t="s">
        <v>20350</v>
      </c>
      <c r="B8765" s="21"/>
      <c r="C8765" s="33" t="s">
        <v>11398</v>
      </c>
      <c r="E8765" s="46" t="s">
        <v>7618</v>
      </c>
    </row>
    <row r="8766">
      <c r="A8766" s="56" t="s">
        <v>20351</v>
      </c>
      <c r="B8766" s="21"/>
      <c r="C8766" s="33" t="s">
        <v>11391</v>
      </c>
      <c r="E8766" s="46" t="s">
        <v>7616</v>
      </c>
    </row>
    <row r="8767">
      <c r="A8767" s="56" t="s">
        <v>20352</v>
      </c>
      <c r="B8767" s="21"/>
      <c r="C8767" s="33" t="s">
        <v>11391</v>
      </c>
      <c r="E8767" s="46" t="s">
        <v>7618</v>
      </c>
    </row>
    <row r="8768">
      <c r="A8768" s="56" t="s">
        <v>20353</v>
      </c>
      <c r="B8768" s="21"/>
      <c r="C8768" s="33" t="s">
        <v>11394</v>
      </c>
      <c r="E8768" s="46" t="s">
        <v>7616</v>
      </c>
    </row>
    <row r="8769">
      <c r="A8769" s="56" t="s">
        <v>20355</v>
      </c>
      <c r="B8769" s="21"/>
      <c r="C8769" s="33" t="s">
        <v>11394</v>
      </c>
      <c r="E8769" s="46" t="s">
        <v>7618</v>
      </c>
    </row>
    <row r="8770">
      <c r="A8770" s="56" t="s">
        <v>20358</v>
      </c>
      <c r="B8770" s="21"/>
      <c r="C8770" s="33" t="s">
        <v>11398</v>
      </c>
      <c r="E8770" s="46" t="s">
        <v>7616</v>
      </c>
    </row>
    <row r="8771">
      <c r="A8771" s="56" t="s">
        <v>20359</v>
      </c>
      <c r="B8771" s="21"/>
      <c r="C8771" s="33" t="s">
        <v>11398</v>
      </c>
      <c r="E8771" s="46" t="s">
        <v>7618</v>
      </c>
    </row>
    <row r="8772">
      <c r="A8772" s="56" t="s">
        <v>20360</v>
      </c>
      <c r="B8772" s="21"/>
      <c r="C8772" s="33" t="s">
        <v>11411</v>
      </c>
      <c r="E8772" s="46" t="s">
        <v>7616</v>
      </c>
    </row>
    <row r="8773">
      <c r="A8773" s="56" t="s">
        <v>20361</v>
      </c>
      <c r="B8773" s="21"/>
      <c r="C8773" s="33" t="s">
        <v>11411</v>
      </c>
      <c r="E8773" s="46" t="s">
        <v>7618</v>
      </c>
    </row>
    <row r="8774">
      <c r="A8774" s="56" t="s">
        <v>20363</v>
      </c>
      <c r="B8774" s="21"/>
      <c r="C8774" s="33" t="s">
        <v>11416</v>
      </c>
      <c r="E8774" s="46" t="s">
        <v>7616</v>
      </c>
    </row>
    <row r="8775">
      <c r="A8775" s="56" t="s">
        <v>20365</v>
      </c>
      <c r="B8775" s="21"/>
      <c r="C8775" s="33" t="s">
        <v>11416</v>
      </c>
      <c r="E8775" s="46" t="s">
        <v>7618</v>
      </c>
    </row>
    <row r="8776">
      <c r="A8776" s="56" t="s">
        <v>20367</v>
      </c>
      <c r="B8776" s="21"/>
      <c r="C8776" s="33" t="s">
        <v>11419</v>
      </c>
      <c r="E8776" s="46" t="s">
        <v>7616</v>
      </c>
    </row>
    <row r="8777">
      <c r="A8777" s="56" t="s">
        <v>20368</v>
      </c>
      <c r="B8777" s="21"/>
      <c r="C8777" s="33" t="s">
        <v>11419</v>
      </c>
      <c r="E8777" s="46" t="s">
        <v>7618</v>
      </c>
    </row>
    <row r="8778">
      <c r="A8778" s="56" t="s">
        <v>20369</v>
      </c>
      <c r="B8778" s="21"/>
      <c r="C8778" s="33" t="s">
        <v>11411</v>
      </c>
      <c r="E8778" s="46" t="s">
        <v>7616</v>
      </c>
    </row>
    <row r="8779">
      <c r="A8779" s="56" t="s">
        <v>20370</v>
      </c>
      <c r="B8779" s="21"/>
      <c r="C8779" s="33" t="s">
        <v>11411</v>
      </c>
      <c r="E8779" s="46" t="s">
        <v>7618</v>
      </c>
    </row>
    <row r="8780">
      <c r="A8780" s="56" t="s">
        <v>20372</v>
      </c>
      <c r="B8780" s="21"/>
      <c r="C8780" s="33" t="s">
        <v>11416</v>
      </c>
      <c r="E8780" s="46" t="s">
        <v>7616</v>
      </c>
    </row>
    <row r="8781">
      <c r="A8781" s="56" t="s">
        <v>20374</v>
      </c>
      <c r="B8781" s="21"/>
      <c r="C8781" s="33" t="s">
        <v>11416</v>
      </c>
      <c r="E8781" s="46" t="s">
        <v>7618</v>
      </c>
    </row>
    <row r="8782">
      <c r="A8782" s="56" t="s">
        <v>20376</v>
      </c>
      <c r="B8782" s="21"/>
      <c r="C8782" s="33" t="s">
        <v>11419</v>
      </c>
      <c r="E8782" s="46" t="s">
        <v>7616</v>
      </c>
    </row>
    <row r="8783">
      <c r="A8783" s="56" t="s">
        <v>20377</v>
      </c>
      <c r="B8783" s="21"/>
      <c r="C8783" s="33" t="s">
        <v>11419</v>
      </c>
      <c r="E8783" s="46" t="s">
        <v>7618</v>
      </c>
    </row>
    <row r="8784">
      <c r="A8784" s="56" t="s">
        <v>20378</v>
      </c>
      <c r="B8784" s="55"/>
      <c r="C8784" s="31"/>
    </row>
    <row r="8785">
      <c r="A8785" s="56" t="s">
        <v>20379</v>
      </c>
      <c r="B8785" s="55"/>
      <c r="C8785" s="31"/>
    </row>
    <row r="8786">
      <c r="A8786" s="56" t="s">
        <v>20381</v>
      </c>
      <c r="B8786" s="55"/>
      <c r="C8786" s="31"/>
    </row>
    <row r="8787">
      <c r="A8787" s="56" t="s">
        <v>20383</v>
      </c>
      <c r="B8787" s="55"/>
      <c r="C8787" s="31"/>
    </row>
    <row r="8788">
      <c r="A8788" s="56" t="s">
        <v>20385</v>
      </c>
      <c r="B8788" s="55"/>
      <c r="C8788" s="31"/>
    </row>
    <row r="8789">
      <c r="A8789" s="56" t="s">
        <v>20386</v>
      </c>
      <c r="B8789" s="55"/>
      <c r="C8789" s="31"/>
    </row>
    <row r="8790">
      <c r="A8790" s="56" t="s">
        <v>20387</v>
      </c>
      <c r="B8790" s="55"/>
      <c r="C8790" s="31"/>
    </row>
    <row r="8791">
      <c r="A8791" s="56" t="s">
        <v>20388</v>
      </c>
      <c r="B8791" s="55"/>
      <c r="C8791" s="31"/>
    </row>
    <row r="8792">
      <c r="A8792" s="56" t="s">
        <v>20390</v>
      </c>
      <c r="B8792" s="55"/>
      <c r="C8792" s="31"/>
    </row>
    <row r="8793">
      <c r="A8793" s="56" t="s">
        <v>20392</v>
      </c>
      <c r="B8793" s="55"/>
      <c r="C8793" s="31"/>
    </row>
    <row r="8794">
      <c r="A8794" s="56" t="s">
        <v>20393</v>
      </c>
      <c r="B8794" s="55"/>
      <c r="C8794" s="31"/>
    </row>
    <row r="8795">
      <c r="A8795" s="56" t="s">
        <v>20395</v>
      </c>
      <c r="B8795" s="55"/>
      <c r="C8795" s="31"/>
    </row>
    <row r="8796">
      <c r="A8796" s="56" t="s">
        <v>20397</v>
      </c>
      <c r="B8796" s="55"/>
      <c r="C8796" s="31"/>
    </row>
    <row r="8797">
      <c r="A8797" s="56" t="s">
        <v>20398</v>
      </c>
      <c r="B8797" s="55"/>
      <c r="C8797" s="31"/>
    </row>
    <row r="8798">
      <c r="A8798" s="56" t="s">
        <v>20399</v>
      </c>
      <c r="B8798" s="55"/>
      <c r="C8798" s="31"/>
    </row>
    <row r="8799">
      <c r="A8799" s="56" t="s">
        <v>20400</v>
      </c>
      <c r="B8799" s="55"/>
      <c r="C8799" s="31"/>
    </row>
    <row r="8800">
      <c r="A8800" s="56" t="s">
        <v>20401</v>
      </c>
      <c r="B8800" s="55"/>
      <c r="C8800" s="31"/>
    </row>
    <row r="8801">
      <c r="A8801" s="56" t="s">
        <v>20402</v>
      </c>
      <c r="B8801" s="55"/>
      <c r="C8801" s="31"/>
    </row>
    <row r="8802">
      <c r="A8802" s="56" t="s">
        <v>20405</v>
      </c>
      <c r="B8802" s="55"/>
      <c r="C8802" s="31"/>
    </row>
    <row r="8803">
      <c r="A8803" s="56" t="s">
        <v>20407</v>
      </c>
      <c r="B8803" s="55"/>
      <c r="C8803" s="31"/>
    </row>
    <row r="8804">
      <c r="A8804" s="56" t="s">
        <v>20408</v>
      </c>
      <c r="B8804" s="55"/>
      <c r="C8804" s="31"/>
    </row>
    <row r="8805">
      <c r="A8805" s="56" t="s">
        <v>20409</v>
      </c>
      <c r="B8805" s="55"/>
      <c r="C8805" s="31"/>
    </row>
    <row r="8806">
      <c r="A8806" s="56" t="s">
        <v>20410</v>
      </c>
      <c r="B8806" s="55"/>
      <c r="C8806" s="31"/>
    </row>
    <row r="8807">
      <c r="A8807" s="56" t="s">
        <v>20411</v>
      </c>
      <c r="B8807" s="55"/>
      <c r="C8807" s="31"/>
    </row>
    <row r="8808">
      <c r="A8808" s="56" t="s">
        <v>20412</v>
      </c>
      <c r="B8808" s="55"/>
      <c r="C8808" s="31"/>
    </row>
    <row r="8809">
      <c r="A8809" s="56" t="s">
        <v>20413</v>
      </c>
      <c r="B8809" s="55"/>
      <c r="C8809" s="31"/>
    </row>
    <row r="8810">
      <c r="A8810" s="56" t="s">
        <v>20416</v>
      </c>
      <c r="B8810" s="55"/>
      <c r="C8810" s="31"/>
    </row>
    <row r="8811">
      <c r="A8811" s="56" t="s">
        <v>20417</v>
      </c>
      <c r="B8811" s="55"/>
      <c r="C8811" s="31"/>
    </row>
    <row r="8812">
      <c r="A8812" s="56" t="s">
        <v>20419</v>
      </c>
      <c r="B8812" s="55"/>
      <c r="C8812" s="31"/>
    </row>
    <row r="8813">
      <c r="A8813" s="56" t="s">
        <v>20420</v>
      </c>
      <c r="B8813" s="82"/>
      <c r="C8813" s="33" t="s">
        <v>20421</v>
      </c>
    </row>
    <row r="8814">
      <c r="A8814" s="56" t="s">
        <v>20422</v>
      </c>
      <c r="B8814" s="82"/>
      <c r="C8814" s="33" t="s">
        <v>11373</v>
      </c>
      <c r="E8814" s="46" t="s">
        <v>7616</v>
      </c>
    </row>
    <row r="8815">
      <c r="A8815" s="56" t="s">
        <v>20424</v>
      </c>
      <c r="B8815" s="82"/>
      <c r="C8815" s="33" t="s">
        <v>11373</v>
      </c>
      <c r="E8815" s="46" t="s">
        <v>7618</v>
      </c>
    </row>
    <row r="8816">
      <c r="A8816" s="56" t="s">
        <v>20426</v>
      </c>
      <c r="B8816" s="82"/>
      <c r="C8816" s="33" t="s">
        <v>11376</v>
      </c>
      <c r="E8816" s="46" t="s">
        <v>7616</v>
      </c>
    </row>
    <row r="8817">
      <c r="A8817" s="56" t="s">
        <v>20427</v>
      </c>
      <c r="B8817" s="82"/>
      <c r="C8817" s="33" t="s">
        <v>11376</v>
      </c>
      <c r="E8817" s="46" t="s">
        <v>7618</v>
      </c>
    </row>
    <row r="8818">
      <c r="A8818" s="56" t="s">
        <v>20428</v>
      </c>
      <c r="B8818" s="82"/>
      <c r="C8818" s="33" t="s">
        <v>11380</v>
      </c>
      <c r="E8818" s="46" t="s">
        <v>7616</v>
      </c>
    </row>
    <row r="8819">
      <c r="A8819" s="56" t="s">
        <v>20429</v>
      </c>
      <c r="B8819" s="82"/>
      <c r="C8819" s="33" t="s">
        <v>11380</v>
      </c>
      <c r="E8819" s="46" t="s">
        <v>7618</v>
      </c>
    </row>
    <row r="8820">
      <c r="A8820" s="56" t="s">
        <v>20430</v>
      </c>
      <c r="B8820" s="79"/>
      <c r="C8820" s="33" t="s">
        <v>11384</v>
      </c>
      <c r="E8820" s="46" t="s">
        <v>1348</v>
      </c>
    </row>
    <row r="8821">
      <c r="A8821" s="56" t="s">
        <v>20434</v>
      </c>
      <c r="B8821" s="79"/>
      <c r="C8821" s="33" t="s">
        <v>11384</v>
      </c>
      <c r="E8821" s="46" t="s">
        <v>1348</v>
      </c>
    </row>
    <row r="8822">
      <c r="A8822" s="56" t="s">
        <v>20435</v>
      </c>
      <c r="B8822" s="79"/>
      <c r="C8822" s="33" t="s">
        <v>11389</v>
      </c>
      <c r="E8822" s="46" t="s">
        <v>1348</v>
      </c>
    </row>
    <row r="8823">
      <c r="A8823" s="56" t="s">
        <v>20436</v>
      </c>
      <c r="B8823" s="21"/>
      <c r="C8823" s="33" t="s">
        <v>11391</v>
      </c>
      <c r="E8823" s="46" t="s">
        <v>7616</v>
      </c>
    </row>
    <row r="8824">
      <c r="A8824" s="56" t="s">
        <v>20437</v>
      </c>
      <c r="B8824" s="21"/>
      <c r="C8824" s="33" t="s">
        <v>11391</v>
      </c>
      <c r="E8824" s="46" t="s">
        <v>7618</v>
      </c>
    </row>
    <row r="8825">
      <c r="A8825" s="56" t="s">
        <v>20438</v>
      </c>
      <c r="B8825" s="21"/>
      <c r="C8825" s="33" t="s">
        <v>11394</v>
      </c>
      <c r="E8825" s="46" t="s">
        <v>7616</v>
      </c>
    </row>
    <row r="8826">
      <c r="A8826" s="56" t="s">
        <v>20441</v>
      </c>
      <c r="B8826" s="21"/>
      <c r="C8826" s="33" t="s">
        <v>11394</v>
      </c>
      <c r="E8826" s="46" t="s">
        <v>7618</v>
      </c>
    </row>
    <row r="8827">
      <c r="A8827" s="56" t="s">
        <v>20442</v>
      </c>
      <c r="B8827" s="21"/>
      <c r="C8827" s="33" t="s">
        <v>11398</v>
      </c>
      <c r="E8827" s="46" t="s">
        <v>7616</v>
      </c>
    </row>
    <row r="8828">
      <c r="A8828" s="56" t="s">
        <v>20443</v>
      </c>
      <c r="B8828" s="21"/>
      <c r="C8828" s="33" t="s">
        <v>11398</v>
      </c>
      <c r="E8828" s="46" t="s">
        <v>7618</v>
      </c>
    </row>
    <row r="8829">
      <c r="A8829" s="56" t="s">
        <v>20445</v>
      </c>
      <c r="B8829" s="21"/>
      <c r="C8829" s="33" t="s">
        <v>11391</v>
      </c>
      <c r="E8829" s="46" t="s">
        <v>7616</v>
      </c>
    </row>
    <row r="8830">
      <c r="A8830" s="56" t="s">
        <v>20447</v>
      </c>
      <c r="B8830" s="21"/>
      <c r="C8830" s="33" t="s">
        <v>11391</v>
      </c>
      <c r="E8830" s="46" t="s">
        <v>7618</v>
      </c>
    </row>
    <row r="8831">
      <c r="A8831" s="56" t="s">
        <v>20449</v>
      </c>
      <c r="B8831" s="21"/>
      <c r="C8831" s="33" t="s">
        <v>11394</v>
      </c>
      <c r="E8831" s="46" t="s">
        <v>7616</v>
      </c>
    </row>
    <row r="8832">
      <c r="A8832" s="56" t="s">
        <v>20450</v>
      </c>
      <c r="B8832" s="21"/>
      <c r="C8832" s="33" t="s">
        <v>11394</v>
      </c>
      <c r="E8832" s="46" t="s">
        <v>7618</v>
      </c>
    </row>
    <row r="8833">
      <c r="A8833" s="56" t="s">
        <v>20451</v>
      </c>
      <c r="B8833" s="21"/>
      <c r="C8833" s="33" t="s">
        <v>11398</v>
      </c>
      <c r="E8833" s="46" t="s">
        <v>7616</v>
      </c>
    </row>
    <row r="8834">
      <c r="A8834" s="56" t="s">
        <v>20452</v>
      </c>
      <c r="B8834" s="21"/>
      <c r="C8834" s="33" t="s">
        <v>11398</v>
      </c>
      <c r="E8834" s="46" t="s">
        <v>7618</v>
      </c>
    </row>
    <row r="8835">
      <c r="A8835" s="56" t="s">
        <v>20454</v>
      </c>
      <c r="B8835" s="21"/>
      <c r="C8835" s="33" t="s">
        <v>11411</v>
      </c>
      <c r="E8835" s="46" t="s">
        <v>7616</v>
      </c>
    </row>
    <row r="8836">
      <c r="A8836" s="56" t="s">
        <v>20455</v>
      </c>
      <c r="B8836" s="21"/>
      <c r="C8836" s="33" t="s">
        <v>11411</v>
      </c>
      <c r="E8836" s="46" t="s">
        <v>7618</v>
      </c>
    </row>
    <row r="8837">
      <c r="A8837" s="56" t="s">
        <v>20456</v>
      </c>
      <c r="B8837" s="21"/>
      <c r="C8837" s="33" t="s">
        <v>11416</v>
      </c>
      <c r="E8837" s="46" t="s">
        <v>7616</v>
      </c>
    </row>
    <row r="8838">
      <c r="A8838" s="56" t="s">
        <v>20457</v>
      </c>
      <c r="B8838" s="21"/>
      <c r="C8838" s="33" t="s">
        <v>11416</v>
      </c>
      <c r="E8838" s="46" t="s">
        <v>7618</v>
      </c>
    </row>
    <row r="8839">
      <c r="A8839" s="56" t="s">
        <v>20458</v>
      </c>
      <c r="B8839" s="21"/>
      <c r="C8839" s="33" t="s">
        <v>11419</v>
      </c>
      <c r="E8839" s="46" t="s">
        <v>7616</v>
      </c>
    </row>
    <row r="8840">
      <c r="A8840" s="56" t="s">
        <v>20460</v>
      </c>
      <c r="B8840" s="21"/>
      <c r="C8840" s="33" t="s">
        <v>11419</v>
      </c>
      <c r="E8840" s="46" t="s">
        <v>7618</v>
      </c>
    </row>
    <row r="8841">
      <c r="A8841" s="56" t="s">
        <v>20462</v>
      </c>
      <c r="B8841" s="21"/>
      <c r="C8841" s="33" t="s">
        <v>11411</v>
      </c>
      <c r="E8841" s="46" t="s">
        <v>7616</v>
      </c>
    </row>
    <row r="8842">
      <c r="A8842" s="56" t="s">
        <v>20464</v>
      </c>
      <c r="B8842" s="21"/>
      <c r="C8842" s="33" t="s">
        <v>11411</v>
      </c>
      <c r="E8842" s="46" t="s">
        <v>7618</v>
      </c>
    </row>
    <row r="8843">
      <c r="A8843" s="56" t="s">
        <v>20465</v>
      </c>
      <c r="B8843" s="21"/>
      <c r="C8843" s="33" t="s">
        <v>11416</v>
      </c>
      <c r="E8843" s="46" t="s">
        <v>7616</v>
      </c>
    </row>
    <row r="8844">
      <c r="A8844" s="56" t="s">
        <v>20466</v>
      </c>
      <c r="B8844" s="21"/>
      <c r="C8844" s="33" t="s">
        <v>11416</v>
      </c>
      <c r="E8844" s="46" t="s">
        <v>7618</v>
      </c>
    </row>
    <row r="8845">
      <c r="A8845" s="56" t="s">
        <v>20467</v>
      </c>
      <c r="B8845" s="21"/>
      <c r="C8845" s="33" t="s">
        <v>11419</v>
      </c>
      <c r="E8845" s="46" t="s">
        <v>7616</v>
      </c>
    </row>
    <row r="8846">
      <c r="A8846" s="56" t="s">
        <v>20469</v>
      </c>
      <c r="B8846" s="21"/>
      <c r="C8846" s="33" t="s">
        <v>11419</v>
      </c>
      <c r="E8846" s="46" t="s">
        <v>7618</v>
      </c>
    </row>
    <row r="8847">
      <c r="A8847" s="56" t="s">
        <v>20472</v>
      </c>
      <c r="B8847" s="55"/>
      <c r="C8847" s="31"/>
    </row>
    <row r="8848">
      <c r="A8848" s="56" t="s">
        <v>20473</v>
      </c>
      <c r="B8848" s="55"/>
      <c r="C8848" s="31"/>
    </row>
    <row r="8849">
      <c r="A8849" s="56" t="s">
        <v>20474</v>
      </c>
      <c r="B8849" s="55"/>
      <c r="C8849" s="31"/>
    </row>
    <row r="8850">
      <c r="A8850" s="56" t="s">
        <v>20475</v>
      </c>
      <c r="B8850" s="55"/>
      <c r="C8850" s="31"/>
    </row>
    <row r="8851">
      <c r="A8851" s="56" t="s">
        <v>20476</v>
      </c>
      <c r="B8851" s="55"/>
      <c r="C8851" s="31"/>
    </row>
    <row r="8852">
      <c r="A8852" s="56" t="s">
        <v>20478</v>
      </c>
      <c r="B8852" s="55"/>
      <c r="C8852" s="31"/>
    </row>
    <row r="8853">
      <c r="A8853" s="56" t="s">
        <v>20480</v>
      </c>
      <c r="B8853" s="55"/>
      <c r="C8853" s="31"/>
    </row>
    <row r="8854">
      <c r="A8854" s="56" t="s">
        <v>20481</v>
      </c>
      <c r="B8854" s="55"/>
      <c r="C8854" s="31"/>
    </row>
    <row r="8855">
      <c r="A8855" s="56" t="s">
        <v>20482</v>
      </c>
      <c r="B8855" s="55"/>
      <c r="C8855" s="31"/>
    </row>
    <row r="8856">
      <c r="A8856" s="56" t="s">
        <v>20484</v>
      </c>
      <c r="B8856" s="55"/>
      <c r="C8856" s="31"/>
    </row>
    <row r="8857">
      <c r="A8857" s="56" t="s">
        <v>20485</v>
      </c>
      <c r="B8857" s="55"/>
      <c r="C8857" s="31"/>
    </row>
    <row r="8858">
      <c r="A8858" s="56" t="s">
        <v>20486</v>
      </c>
      <c r="B8858" s="55"/>
      <c r="C8858" s="31"/>
    </row>
    <row r="8859">
      <c r="A8859" s="56" t="s">
        <v>20487</v>
      </c>
      <c r="B8859" s="55"/>
      <c r="C8859" s="31"/>
    </row>
    <row r="8860">
      <c r="A8860" s="56" t="s">
        <v>20488</v>
      </c>
      <c r="B8860" s="55"/>
      <c r="C8860" s="31"/>
    </row>
    <row r="8861">
      <c r="A8861" s="56" t="s">
        <v>20489</v>
      </c>
      <c r="B8861" s="82"/>
      <c r="C8861" s="33" t="s">
        <v>20490</v>
      </c>
    </row>
    <row r="8862">
      <c r="A8862" s="56" t="s">
        <v>20493</v>
      </c>
      <c r="B8862" s="55"/>
      <c r="C8862" s="31"/>
    </row>
    <row r="8863">
      <c r="A8863" s="56" t="s">
        <v>20495</v>
      </c>
      <c r="B8863" s="55"/>
      <c r="C8863" s="31"/>
    </row>
    <row r="8864">
      <c r="A8864" s="56" t="s">
        <v>20497</v>
      </c>
      <c r="B8864" s="55"/>
      <c r="C8864" s="31"/>
    </row>
    <row r="8865">
      <c r="A8865" s="56" t="s">
        <v>20499</v>
      </c>
      <c r="B8865" s="55"/>
      <c r="C8865" s="31"/>
    </row>
    <row r="8866">
      <c r="A8866" s="56" t="s">
        <v>20500</v>
      </c>
      <c r="B8866" s="55"/>
      <c r="C8866" s="31"/>
    </row>
    <row r="8867">
      <c r="A8867" s="56" t="s">
        <v>20501</v>
      </c>
      <c r="B8867" s="82"/>
      <c r="C8867" s="33" t="s">
        <v>20502</v>
      </c>
    </row>
    <row r="8868">
      <c r="A8868" s="56" t="s">
        <v>20503</v>
      </c>
      <c r="B8868" s="55"/>
      <c r="C8868" s="31"/>
    </row>
    <row r="8869">
      <c r="A8869" s="56" t="s">
        <v>20506</v>
      </c>
      <c r="B8869" s="55"/>
      <c r="C8869" s="31"/>
    </row>
    <row r="8870">
      <c r="A8870" s="56" t="s">
        <v>20507</v>
      </c>
      <c r="B8870" s="55"/>
      <c r="C8870" s="31"/>
    </row>
    <row r="8871">
      <c r="A8871" s="56" t="s">
        <v>20508</v>
      </c>
      <c r="B8871" s="55"/>
      <c r="C8871" s="31"/>
    </row>
    <row r="8872">
      <c r="A8872" s="56" t="s">
        <v>20509</v>
      </c>
      <c r="B8872" s="55"/>
      <c r="C8872" s="31"/>
    </row>
    <row r="8873">
      <c r="A8873" s="56" t="s">
        <v>20513</v>
      </c>
      <c r="B8873" s="82"/>
      <c r="C8873" s="33" t="s">
        <v>20514</v>
      </c>
    </row>
    <row r="8874">
      <c r="A8874" s="56" t="s">
        <v>20515</v>
      </c>
      <c r="B8874" s="82"/>
      <c r="C8874" s="33" t="s">
        <v>11373</v>
      </c>
      <c r="E8874" s="46" t="s">
        <v>7616</v>
      </c>
    </row>
    <row r="8875">
      <c r="A8875" s="56" t="s">
        <v>20518</v>
      </c>
      <c r="B8875" s="82"/>
      <c r="C8875" s="33" t="s">
        <v>11373</v>
      </c>
      <c r="E8875" s="46" t="s">
        <v>7618</v>
      </c>
    </row>
    <row r="8876">
      <c r="A8876" s="56" t="s">
        <v>20520</v>
      </c>
      <c r="B8876" s="82"/>
      <c r="C8876" s="33" t="s">
        <v>11376</v>
      </c>
      <c r="E8876" s="46" t="s">
        <v>7616</v>
      </c>
    </row>
    <row r="8877">
      <c r="A8877" s="56" t="s">
        <v>20521</v>
      </c>
      <c r="B8877" s="82"/>
      <c r="C8877" s="33" t="s">
        <v>11376</v>
      </c>
      <c r="E8877" s="46" t="s">
        <v>7618</v>
      </c>
    </row>
    <row r="8878">
      <c r="A8878" s="56" t="s">
        <v>20522</v>
      </c>
      <c r="B8878" s="82"/>
      <c r="C8878" s="33" t="s">
        <v>11380</v>
      </c>
      <c r="E8878" s="46" t="s">
        <v>7616</v>
      </c>
    </row>
    <row r="8879">
      <c r="A8879" s="56" t="s">
        <v>20523</v>
      </c>
      <c r="B8879" s="82"/>
      <c r="C8879" s="33" t="s">
        <v>11380</v>
      </c>
      <c r="E8879" s="46" t="s">
        <v>7618</v>
      </c>
    </row>
    <row r="8880">
      <c r="A8880" s="56" t="s">
        <v>20526</v>
      </c>
      <c r="B8880" s="79"/>
      <c r="C8880" s="33" t="s">
        <v>11384</v>
      </c>
      <c r="E8880" s="46" t="s">
        <v>1348</v>
      </c>
    </row>
    <row r="8881">
      <c r="A8881" s="56" t="s">
        <v>20528</v>
      </c>
      <c r="B8881" s="79"/>
      <c r="C8881" s="33" t="s">
        <v>11384</v>
      </c>
      <c r="E8881" s="46" t="s">
        <v>1348</v>
      </c>
    </row>
    <row r="8882">
      <c r="A8882" s="56" t="s">
        <v>20529</v>
      </c>
      <c r="B8882" s="79"/>
      <c r="C8882" s="33" t="s">
        <v>11389</v>
      </c>
      <c r="E8882" s="46" t="s">
        <v>1348</v>
      </c>
    </row>
    <row r="8883">
      <c r="A8883" s="56" t="s">
        <v>20530</v>
      </c>
      <c r="B8883" s="21"/>
      <c r="C8883" s="33" t="s">
        <v>11391</v>
      </c>
      <c r="E8883" s="46" t="s">
        <v>7616</v>
      </c>
    </row>
    <row r="8884">
      <c r="A8884" s="56" t="s">
        <v>20531</v>
      </c>
      <c r="B8884" s="21"/>
      <c r="C8884" s="33" t="s">
        <v>11391</v>
      </c>
      <c r="E8884" s="46" t="s">
        <v>7618</v>
      </c>
    </row>
    <row r="8885">
      <c r="A8885" s="56" t="s">
        <v>20534</v>
      </c>
      <c r="B8885" s="21"/>
      <c r="C8885" s="33" t="s">
        <v>11394</v>
      </c>
      <c r="E8885" s="46" t="s">
        <v>7616</v>
      </c>
    </row>
    <row r="8886">
      <c r="A8886" s="56" t="s">
        <v>20536</v>
      </c>
      <c r="B8886" s="21"/>
      <c r="C8886" s="33" t="s">
        <v>11394</v>
      </c>
      <c r="E8886" s="46" t="s">
        <v>7618</v>
      </c>
    </row>
    <row r="8887">
      <c r="A8887" s="56" t="s">
        <v>20537</v>
      </c>
      <c r="B8887" s="21"/>
      <c r="C8887" s="33" t="s">
        <v>11398</v>
      </c>
      <c r="E8887" s="46" t="s">
        <v>7616</v>
      </c>
    </row>
    <row r="8888">
      <c r="A8888" s="56" t="s">
        <v>20538</v>
      </c>
      <c r="B8888" s="21"/>
      <c r="C8888" s="33" t="s">
        <v>11398</v>
      </c>
      <c r="E8888" s="46" t="s">
        <v>7618</v>
      </c>
    </row>
    <row r="8889">
      <c r="A8889" s="56" t="s">
        <v>20539</v>
      </c>
      <c r="B8889" s="21"/>
      <c r="C8889" s="33" t="s">
        <v>11391</v>
      </c>
      <c r="E8889" s="46" t="s">
        <v>7616</v>
      </c>
    </row>
    <row r="8890">
      <c r="A8890" s="56" t="s">
        <v>20540</v>
      </c>
      <c r="B8890" s="21"/>
      <c r="C8890" s="33" t="s">
        <v>11391</v>
      </c>
      <c r="E8890" s="46" t="s">
        <v>7618</v>
      </c>
    </row>
    <row r="8891">
      <c r="A8891" s="56" t="s">
        <v>20543</v>
      </c>
      <c r="B8891" s="21"/>
      <c r="C8891" s="33" t="s">
        <v>11394</v>
      </c>
      <c r="E8891" s="46" t="s">
        <v>7616</v>
      </c>
    </row>
    <row r="8892">
      <c r="A8892" s="56" t="s">
        <v>20545</v>
      </c>
      <c r="B8892" s="21"/>
      <c r="C8892" s="33" t="s">
        <v>11394</v>
      </c>
      <c r="E8892" s="46" t="s">
        <v>7618</v>
      </c>
    </row>
    <row r="8893">
      <c r="A8893" s="56" t="s">
        <v>20546</v>
      </c>
      <c r="B8893" s="21"/>
      <c r="C8893" s="33" t="s">
        <v>11398</v>
      </c>
      <c r="E8893" s="46" t="s">
        <v>7616</v>
      </c>
    </row>
    <row r="8894">
      <c r="A8894" s="56" t="s">
        <v>20547</v>
      </c>
      <c r="B8894" s="21"/>
      <c r="C8894" s="33" t="s">
        <v>11398</v>
      </c>
      <c r="E8894" s="46" t="s">
        <v>7618</v>
      </c>
    </row>
    <row r="8895">
      <c r="A8895" s="56" t="s">
        <v>20548</v>
      </c>
      <c r="B8895" s="21"/>
      <c r="C8895" s="33" t="s">
        <v>11411</v>
      </c>
      <c r="E8895" s="46" t="s">
        <v>7616</v>
      </c>
    </row>
    <row r="8896">
      <c r="A8896" s="56" t="s">
        <v>20550</v>
      </c>
      <c r="B8896" s="21"/>
      <c r="C8896" s="33" t="s">
        <v>11411</v>
      </c>
      <c r="E8896" s="46" t="s">
        <v>7618</v>
      </c>
    </row>
    <row r="8897">
      <c r="A8897" s="56" t="s">
        <v>20553</v>
      </c>
      <c r="B8897" s="21"/>
      <c r="C8897" s="33" t="s">
        <v>11416</v>
      </c>
      <c r="E8897" s="46" t="s">
        <v>7616</v>
      </c>
    </row>
    <row r="8898">
      <c r="A8898" s="56" t="s">
        <v>20554</v>
      </c>
      <c r="B8898" s="21"/>
      <c r="C8898" s="33" t="s">
        <v>11416</v>
      </c>
      <c r="E8898" s="46" t="s">
        <v>7618</v>
      </c>
    </row>
    <row r="8899">
      <c r="A8899" s="56" t="s">
        <v>20555</v>
      </c>
      <c r="B8899" s="21"/>
      <c r="C8899" s="33" t="s">
        <v>11419</v>
      </c>
      <c r="E8899" s="46" t="s">
        <v>7616</v>
      </c>
    </row>
    <row r="8900">
      <c r="A8900" s="56" t="s">
        <v>20556</v>
      </c>
      <c r="B8900" s="21"/>
      <c r="C8900" s="33" t="s">
        <v>11419</v>
      </c>
      <c r="E8900" s="46" t="s">
        <v>7618</v>
      </c>
    </row>
    <row r="8901">
      <c r="A8901" s="56" t="s">
        <v>20558</v>
      </c>
      <c r="B8901" s="21"/>
      <c r="C8901" s="33" t="s">
        <v>11411</v>
      </c>
      <c r="E8901" s="46" t="s">
        <v>7616</v>
      </c>
    </row>
    <row r="8902">
      <c r="A8902" s="56" t="s">
        <v>20560</v>
      </c>
      <c r="B8902" s="21"/>
      <c r="C8902" s="33" t="s">
        <v>11411</v>
      </c>
      <c r="E8902" s="46" t="s">
        <v>7618</v>
      </c>
    </row>
    <row r="8903">
      <c r="A8903" s="56" t="s">
        <v>20561</v>
      </c>
      <c r="B8903" s="21"/>
      <c r="C8903" s="33" t="s">
        <v>11416</v>
      </c>
      <c r="E8903" s="46" t="s">
        <v>7616</v>
      </c>
    </row>
    <row r="8904">
      <c r="A8904" s="56" t="s">
        <v>20562</v>
      </c>
      <c r="B8904" s="21"/>
      <c r="C8904" s="33" t="s">
        <v>11416</v>
      </c>
      <c r="E8904" s="46" t="s">
        <v>7618</v>
      </c>
    </row>
    <row r="8905">
      <c r="A8905" s="56" t="s">
        <v>20563</v>
      </c>
      <c r="B8905" s="21"/>
      <c r="C8905" s="33" t="s">
        <v>11419</v>
      </c>
      <c r="E8905" s="46" t="s">
        <v>7616</v>
      </c>
    </row>
    <row r="8906">
      <c r="A8906" s="56" t="s">
        <v>20565</v>
      </c>
      <c r="B8906" s="21"/>
      <c r="C8906" s="33" t="s">
        <v>11419</v>
      </c>
      <c r="E8906" s="46" t="s">
        <v>7618</v>
      </c>
    </row>
    <row r="8907">
      <c r="A8907" s="56" t="s">
        <v>20568</v>
      </c>
      <c r="B8907" s="55"/>
      <c r="C8907" s="31"/>
    </row>
    <row r="8908">
      <c r="A8908" s="56" t="s">
        <v>20569</v>
      </c>
      <c r="B8908" s="55"/>
      <c r="C8908" s="31"/>
    </row>
    <row r="8909">
      <c r="A8909" s="56" t="s">
        <v>20570</v>
      </c>
      <c r="B8909" s="55"/>
      <c r="C8909" s="31"/>
    </row>
    <row r="8910">
      <c r="A8910" s="56" t="s">
        <v>20571</v>
      </c>
      <c r="B8910" s="55"/>
      <c r="C8910" s="31"/>
    </row>
    <row r="8911">
      <c r="A8911" s="56" t="s">
        <v>20572</v>
      </c>
      <c r="B8911" s="55"/>
      <c r="C8911" s="31"/>
    </row>
    <row r="8912">
      <c r="A8912" s="56" t="s">
        <v>20573</v>
      </c>
      <c r="B8912" s="55"/>
      <c r="C8912" s="31"/>
    </row>
    <row r="8913">
      <c r="A8913" s="56" t="s">
        <v>20576</v>
      </c>
      <c r="B8913" s="55"/>
      <c r="C8913" s="31"/>
    </row>
    <row r="8914">
      <c r="A8914" s="56" t="s">
        <v>20577</v>
      </c>
      <c r="B8914" s="55"/>
      <c r="C8914" s="31"/>
    </row>
    <row r="8915">
      <c r="A8915" s="56" t="s">
        <v>20578</v>
      </c>
      <c r="B8915" s="82"/>
      <c r="C8915" s="33" t="s">
        <v>20579</v>
      </c>
    </row>
    <row r="8916">
      <c r="A8916" s="56" t="s">
        <v>20580</v>
      </c>
      <c r="B8916" s="82"/>
      <c r="C8916" s="33" t="s">
        <v>11373</v>
      </c>
      <c r="E8916" s="46" t="s">
        <v>7616</v>
      </c>
    </row>
    <row r="8917">
      <c r="A8917" s="56" t="s">
        <v>20582</v>
      </c>
      <c r="B8917" s="82"/>
      <c r="C8917" s="33" t="s">
        <v>11373</v>
      </c>
      <c r="E8917" s="46" t="s">
        <v>7618</v>
      </c>
    </row>
    <row r="8918">
      <c r="A8918" s="56" t="s">
        <v>20584</v>
      </c>
      <c r="B8918" s="82"/>
      <c r="C8918" s="33" t="s">
        <v>11376</v>
      </c>
      <c r="E8918" s="46" t="s">
        <v>7616</v>
      </c>
    </row>
    <row r="8919">
      <c r="A8919" s="56" t="s">
        <v>20586</v>
      </c>
      <c r="B8919" s="82"/>
      <c r="C8919" s="33" t="s">
        <v>11376</v>
      </c>
      <c r="E8919" s="46" t="s">
        <v>7618</v>
      </c>
    </row>
    <row r="8920">
      <c r="A8920" s="56" t="s">
        <v>20587</v>
      </c>
      <c r="B8920" s="82"/>
      <c r="C8920" s="33" t="s">
        <v>11380</v>
      </c>
      <c r="E8920" s="46" t="s">
        <v>7616</v>
      </c>
    </row>
    <row r="8921">
      <c r="A8921" s="56" t="s">
        <v>20588</v>
      </c>
      <c r="B8921" s="82"/>
      <c r="C8921" s="33" t="s">
        <v>11380</v>
      </c>
      <c r="E8921" s="46" t="s">
        <v>7618</v>
      </c>
    </row>
    <row r="8922">
      <c r="A8922" s="56" t="s">
        <v>20589</v>
      </c>
      <c r="B8922" s="79"/>
      <c r="C8922" s="33" t="s">
        <v>11384</v>
      </c>
      <c r="E8922" s="46" t="s">
        <v>1348</v>
      </c>
    </row>
    <row r="8923">
      <c r="A8923" s="56" t="s">
        <v>20591</v>
      </c>
      <c r="B8923" s="79"/>
      <c r="C8923" s="33" t="s">
        <v>11384</v>
      </c>
      <c r="E8923" s="46" t="s">
        <v>1348</v>
      </c>
    </row>
    <row r="8924">
      <c r="A8924" s="56" t="s">
        <v>20592</v>
      </c>
      <c r="B8924" s="79"/>
      <c r="C8924" s="33" t="s">
        <v>11389</v>
      </c>
      <c r="E8924" s="46" t="s">
        <v>1348</v>
      </c>
    </row>
    <row r="8925">
      <c r="A8925" s="56" t="s">
        <v>20593</v>
      </c>
      <c r="B8925" s="21"/>
      <c r="C8925" s="33" t="s">
        <v>11391</v>
      </c>
      <c r="E8925" s="46" t="s">
        <v>7616</v>
      </c>
    </row>
    <row r="8926">
      <c r="A8926" s="56" t="s">
        <v>20595</v>
      </c>
      <c r="B8926" s="21"/>
      <c r="C8926" s="33" t="s">
        <v>11391</v>
      </c>
      <c r="E8926" s="46" t="s">
        <v>7618</v>
      </c>
    </row>
    <row r="8927">
      <c r="A8927" s="56" t="s">
        <v>20596</v>
      </c>
      <c r="B8927" s="21"/>
      <c r="C8927" s="33" t="s">
        <v>11394</v>
      </c>
      <c r="E8927" s="46" t="s">
        <v>7616</v>
      </c>
    </row>
    <row r="8928">
      <c r="A8928" s="56" t="s">
        <v>20599</v>
      </c>
      <c r="B8928" s="21"/>
      <c r="C8928" s="33" t="s">
        <v>11394</v>
      </c>
      <c r="E8928" s="46" t="s">
        <v>7618</v>
      </c>
    </row>
    <row r="8929">
      <c r="A8929" s="56" t="s">
        <v>20600</v>
      </c>
      <c r="B8929" s="21"/>
      <c r="C8929" s="33" t="s">
        <v>11398</v>
      </c>
      <c r="E8929" s="46" t="s">
        <v>7616</v>
      </c>
    </row>
    <row r="8930">
      <c r="A8930" s="56" t="s">
        <v>20601</v>
      </c>
      <c r="B8930" s="21"/>
      <c r="C8930" s="33" t="s">
        <v>11398</v>
      </c>
      <c r="E8930" s="46" t="s">
        <v>7618</v>
      </c>
    </row>
    <row r="8931">
      <c r="A8931" s="56" t="s">
        <v>20602</v>
      </c>
      <c r="B8931" s="21"/>
      <c r="C8931" s="33" t="s">
        <v>11391</v>
      </c>
      <c r="E8931" s="46" t="s">
        <v>7616</v>
      </c>
    </row>
    <row r="8932">
      <c r="A8932" s="56" t="s">
        <v>20603</v>
      </c>
      <c r="B8932" s="21"/>
      <c r="C8932" s="33" t="s">
        <v>11391</v>
      </c>
      <c r="E8932" s="46" t="s">
        <v>7618</v>
      </c>
    </row>
    <row r="8933">
      <c r="A8933" s="56" t="s">
        <v>20604</v>
      </c>
      <c r="B8933" s="21"/>
      <c r="C8933" s="33" t="s">
        <v>11394</v>
      </c>
      <c r="E8933" s="46" t="s">
        <v>7616</v>
      </c>
    </row>
    <row r="8934">
      <c r="A8934" s="56" t="s">
        <v>20606</v>
      </c>
      <c r="B8934" s="21"/>
      <c r="C8934" s="33" t="s">
        <v>11394</v>
      </c>
      <c r="E8934" s="46" t="s">
        <v>7618</v>
      </c>
    </row>
    <row r="8935">
      <c r="A8935" s="56" t="s">
        <v>20607</v>
      </c>
      <c r="B8935" s="21"/>
      <c r="C8935" s="33" t="s">
        <v>11398</v>
      </c>
      <c r="E8935" s="46" t="s">
        <v>7616</v>
      </c>
    </row>
    <row r="8936">
      <c r="A8936" s="56" t="s">
        <v>20608</v>
      </c>
      <c r="B8936" s="21"/>
      <c r="C8936" s="33" t="s">
        <v>11398</v>
      </c>
      <c r="E8936" s="46" t="s">
        <v>7618</v>
      </c>
    </row>
    <row r="8937">
      <c r="A8937" s="56" t="s">
        <v>20610</v>
      </c>
      <c r="B8937" s="21"/>
      <c r="C8937" s="33" t="s">
        <v>11411</v>
      </c>
      <c r="E8937" s="46" t="s">
        <v>7616</v>
      </c>
    </row>
    <row r="8938">
      <c r="A8938" s="56" t="s">
        <v>20612</v>
      </c>
      <c r="B8938" s="21"/>
      <c r="C8938" s="33" t="s">
        <v>11411</v>
      </c>
      <c r="E8938" s="46" t="s">
        <v>7618</v>
      </c>
    </row>
    <row r="8939">
      <c r="A8939" s="56" t="s">
        <v>20613</v>
      </c>
      <c r="B8939" s="21"/>
      <c r="C8939" s="33" t="s">
        <v>11416</v>
      </c>
      <c r="E8939" s="46" t="s">
        <v>7616</v>
      </c>
    </row>
    <row r="8940">
      <c r="A8940" s="56" t="s">
        <v>20614</v>
      </c>
      <c r="B8940" s="21"/>
      <c r="C8940" s="33" t="s">
        <v>11416</v>
      </c>
      <c r="E8940" s="46" t="s">
        <v>7618</v>
      </c>
    </row>
    <row r="8941">
      <c r="A8941" s="56" t="s">
        <v>20615</v>
      </c>
      <c r="B8941" s="21"/>
      <c r="C8941" s="33" t="s">
        <v>11419</v>
      </c>
      <c r="E8941" s="46" t="s">
        <v>7616</v>
      </c>
    </row>
    <row r="8942">
      <c r="A8942" s="56" t="s">
        <v>20616</v>
      </c>
      <c r="B8942" s="21"/>
      <c r="C8942" s="33" t="s">
        <v>11419</v>
      </c>
      <c r="E8942" s="46" t="s">
        <v>7618</v>
      </c>
    </row>
    <row r="8943">
      <c r="A8943" s="56" t="s">
        <v>20618</v>
      </c>
      <c r="B8943" s="21"/>
      <c r="C8943" s="33" t="s">
        <v>11411</v>
      </c>
      <c r="E8943" s="46" t="s">
        <v>7616</v>
      </c>
    </row>
    <row r="8944">
      <c r="A8944" s="56" t="s">
        <v>20619</v>
      </c>
      <c r="B8944" s="21"/>
      <c r="C8944" s="33" t="s">
        <v>11411</v>
      </c>
      <c r="E8944" s="46" t="s">
        <v>7618</v>
      </c>
    </row>
    <row r="8945">
      <c r="A8945" s="56" t="s">
        <v>20620</v>
      </c>
      <c r="B8945" s="21"/>
      <c r="C8945" s="33" t="s">
        <v>11416</v>
      </c>
      <c r="E8945" s="46" t="s">
        <v>7616</v>
      </c>
    </row>
    <row r="8946">
      <c r="A8946" s="56" t="s">
        <v>20621</v>
      </c>
      <c r="B8946" s="21"/>
      <c r="C8946" s="33" t="s">
        <v>11416</v>
      </c>
      <c r="E8946" s="46" t="s">
        <v>7618</v>
      </c>
    </row>
    <row r="8947">
      <c r="A8947" s="56" t="s">
        <v>20624</v>
      </c>
      <c r="B8947" s="21"/>
      <c r="C8947" s="33" t="s">
        <v>11419</v>
      </c>
      <c r="E8947" s="46" t="s">
        <v>7616</v>
      </c>
    </row>
    <row r="8948">
      <c r="A8948" s="56" t="s">
        <v>20625</v>
      </c>
      <c r="B8948" s="21"/>
      <c r="C8948" s="33" t="s">
        <v>11419</v>
      </c>
      <c r="E8948" s="46" t="s">
        <v>7618</v>
      </c>
    </row>
    <row r="8949">
      <c r="A8949" s="56" t="s">
        <v>20626</v>
      </c>
      <c r="B8949" s="55"/>
      <c r="C8949" s="31"/>
    </row>
    <row r="8950">
      <c r="A8950" s="56" t="s">
        <v>20627</v>
      </c>
      <c r="B8950" s="55"/>
      <c r="C8950" s="31"/>
    </row>
    <row r="8951">
      <c r="A8951" s="56" t="s">
        <v>20629</v>
      </c>
      <c r="B8951" s="55"/>
      <c r="C8951" s="31"/>
    </row>
    <row r="8952">
      <c r="A8952" s="56" t="s">
        <v>20630</v>
      </c>
      <c r="B8952" s="55"/>
      <c r="C8952" s="31"/>
    </row>
    <row r="8953">
      <c r="A8953" s="56" t="s">
        <v>20631</v>
      </c>
      <c r="B8953" s="55"/>
      <c r="C8953" s="31"/>
    </row>
    <row r="8954">
      <c r="A8954" s="56" t="s">
        <v>20633</v>
      </c>
      <c r="B8954" s="55"/>
      <c r="C8954" s="31"/>
    </row>
    <row r="8955">
      <c r="A8955" s="56" t="s">
        <v>20635</v>
      </c>
      <c r="B8955" s="55"/>
      <c r="C8955" s="31"/>
    </row>
    <row r="8956">
      <c r="A8956" s="56" t="s">
        <v>20636</v>
      </c>
      <c r="B8956" s="55"/>
      <c r="C8956" s="31"/>
    </row>
    <row r="8957">
      <c r="A8957" s="56" t="s">
        <v>20637</v>
      </c>
      <c r="B8957" s="55"/>
      <c r="C8957" s="31"/>
    </row>
    <row r="8958">
      <c r="A8958" s="56" t="s">
        <v>20639</v>
      </c>
      <c r="B8958" s="55"/>
      <c r="C8958" s="31"/>
    </row>
    <row r="8959">
      <c r="A8959" s="56" t="s">
        <v>20640</v>
      </c>
      <c r="B8959" s="82"/>
      <c r="C8959" s="33" t="s">
        <v>20641</v>
      </c>
    </row>
    <row r="8960">
      <c r="A8960" s="56" t="s">
        <v>20642</v>
      </c>
      <c r="B8960" s="55"/>
      <c r="C8960" s="31"/>
    </row>
    <row r="8961">
      <c r="A8961" s="56" t="s">
        <v>20643</v>
      </c>
      <c r="B8961" s="55"/>
      <c r="C8961" s="31"/>
    </row>
    <row r="8962">
      <c r="A8962" s="56" t="s">
        <v>20644</v>
      </c>
      <c r="B8962" s="55"/>
      <c r="C8962" s="31"/>
    </row>
    <row r="8963">
      <c r="A8963" s="56" t="s">
        <v>20645</v>
      </c>
      <c r="B8963" s="55"/>
      <c r="C8963" s="31"/>
    </row>
    <row r="8964">
      <c r="A8964" s="56" t="s">
        <v>20647</v>
      </c>
      <c r="B8964" s="55"/>
      <c r="C8964" s="31"/>
    </row>
    <row r="8965">
      <c r="A8965" s="56" t="s">
        <v>20649</v>
      </c>
      <c r="B8965" s="55"/>
      <c r="C8965" s="31"/>
    </row>
    <row r="8966">
      <c r="A8966" s="56" t="s">
        <v>20650</v>
      </c>
      <c r="B8966" s="55"/>
      <c r="C8966" s="31"/>
    </row>
    <row r="8967">
      <c r="A8967" s="56" t="s">
        <v>20652</v>
      </c>
      <c r="B8967" s="55"/>
      <c r="C8967" s="31"/>
    </row>
    <row r="8968">
      <c r="A8968" s="56" t="s">
        <v>20653</v>
      </c>
      <c r="B8968" s="55"/>
      <c r="C8968" s="31"/>
    </row>
    <row r="8969">
      <c r="A8969" s="56" t="s">
        <v>20654</v>
      </c>
      <c r="B8969" s="55"/>
      <c r="C8969" s="31"/>
    </row>
    <row r="8970">
      <c r="A8970" s="56" t="s">
        <v>20655</v>
      </c>
      <c r="B8970" s="55"/>
      <c r="C8970" s="31"/>
    </row>
    <row r="8971">
      <c r="A8971" s="56" t="s">
        <v>20656</v>
      </c>
      <c r="B8971" s="55"/>
      <c r="C8971" s="31"/>
    </row>
    <row r="8972">
      <c r="A8972" s="56" t="s">
        <v>20657</v>
      </c>
      <c r="B8972" s="55"/>
      <c r="C8972" s="31"/>
    </row>
    <row r="8973">
      <c r="A8973" s="56" t="s">
        <v>20658</v>
      </c>
      <c r="B8973" s="55"/>
      <c r="C8973" s="31"/>
    </row>
    <row r="8974">
      <c r="A8974" s="56" t="s">
        <v>20659</v>
      </c>
      <c r="B8974" s="55"/>
      <c r="C8974" s="31"/>
    </row>
    <row r="8975">
      <c r="A8975" s="56" t="s">
        <v>20660</v>
      </c>
      <c r="B8975" s="55"/>
      <c r="C8975" s="31"/>
    </row>
    <row r="8976">
      <c r="A8976" s="56" t="s">
        <v>20662</v>
      </c>
      <c r="B8976" s="55"/>
      <c r="C8976" s="31"/>
    </row>
    <row r="8977">
      <c r="A8977" s="56" t="s">
        <v>20665</v>
      </c>
      <c r="B8977" s="55"/>
      <c r="C8977" s="31"/>
    </row>
    <row r="8978">
      <c r="A8978" s="56" t="s">
        <v>20666</v>
      </c>
      <c r="B8978" s="55"/>
      <c r="C8978" s="31"/>
    </row>
    <row r="8979">
      <c r="A8979" s="56" t="s">
        <v>20667</v>
      </c>
      <c r="B8979" s="55"/>
      <c r="C8979" s="31"/>
    </row>
    <row r="8980">
      <c r="A8980" s="56" t="s">
        <v>20668</v>
      </c>
      <c r="B8980" s="55"/>
      <c r="C8980" s="31"/>
    </row>
    <row r="8981">
      <c r="A8981" s="56" t="s">
        <v>20669</v>
      </c>
      <c r="B8981" s="55"/>
      <c r="C8981" s="31"/>
    </row>
    <row r="8982">
      <c r="A8982" s="56" t="s">
        <v>20670</v>
      </c>
      <c r="B8982" s="55"/>
      <c r="C8982" s="31"/>
    </row>
    <row r="8983">
      <c r="A8983" s="56" t="s">
        <v>20674</v>
      </c>
      <c r="B8983" s="55"/>
      <c r="C8983" s="31"/>
    </row>
    <row r="8984">
      <c r="A8984" s="56" t="s">
        <v>20675</v>
      </c>
      <c r="B8984" s="55"/>
      <c r="C8984" s="31"/>
    </row>
    <row r="8985">
      <c r="A8985" s="56" t="s">
        <v>20676</v>
      </c>
      <c r="B8985" s="55"/>
      <c r="C8985" s="31"/>
    </row>
    <row r="8986">
      <c r="A8986" s="56" t="s">
        <v>20677</v>
      </c>
      <c r="B8986" s="55"/>
      <c r="C8986" s="31"/>
    </row>
    <row r="8987">
      <c r="A8987" s="56" t="s">
        <v>20678</v>
      </c>
      <c r="B8987" s="55"/>
      <c r="C8987" s="31"/>
    </row>
    <row r="8988">
      <c r="A8988" s="56" t="s">
        <v>20681</v>
      </c>
      <c r="B8988" s="55"/>
      <c r="C8988" s="31"/>
    </row>
    <row r="8989">
      <c r="A8989" s="56" t="s">
        <v>20683</v>
      </c>
      <c r="B8989" s="55"/>
      <c r="C8989" s="31"/>
    </row>
    <row r="8990">
      <c r="A8990" s="56" t="s">
        <v>20684</v>
      </c>
      <c r="B8990" s="55"/>
      <c r="C8990" s="31"/>
    </row>
    <row r="8991">
      <c r="A8991" s="56" t="s">
        <v>20685</v>
      </c>
      <c r="B8991" s="55"/>
      <c r="C8991" s="31"/>
    </row>
    <row r="8992">
      <c r="A8992" s="56" t="s">
        <v>20686</v>
      </c>
      <c r="B8992" s="55"/>
      <c r="C8992" s="31"/>
    </row>
    <row r="8993">
      <c r="A8993" s="56" t="s">
        <v>20687</v>
      </c>
      <c r="B8993" s="55"/>
      <c r="C8993" s="31"/>
    </row>
    <row r="8994">
      <c r="A8994" s="56" t="s">
        <v>20688</v>
      </c>
      <c r="B8994" s="55"/>
      <c r="C8994" s="31"/>
    </row>
    <row r="8995">
      <c r="A8995" s="56" t="s">
        <v>20689</v>
      </c>
      <c r="B8995" s="55"/>
      <c r="C8995" s="31"/>
    </row>
    <row r="8996">
      <c r="A8996" s="56" t="s">
        <v>20690</v>
      </c>
      <c r="B8996" s="55"/>
      <c r="C8996" s="31"/>
    </row>
    <row r="8997">
      <c r="A8997" s="56" t="s">
        <v>20693</v>
      </c>
      <c r="B8997" s="55"/>
      <c r="C8997" s="31"/>
    </row>
    <row r="8998">
      <c r="A8998" s="56" t="s">
        <v>20694</v>
      </c>
      <c r="B8998" s="55"/>
      <c r="C8998" s="31"/>
    </row>
    <row r="8999">
      <c r="A8999" s="56" t="s">
        <v>20696</v>
      </c>
      <c r="B8999" s="55"/>
      <c r="C8999" s="31"/>
    </row>
    <row r="9000">
      <c r="A9000" s="56" t="s">
        <v>20697</v>
      </c>
      <c r="B9000" s="55"/>
      <c r="C9000" s="31"/>
    </row>
    <row r="9001">
      <c r="A9001" s="56" t="s">
        <v>20698</v>
      </c>
      <c r="B9001" s="82"/>
      <c r="C9001" s="33" t="s">
        <v>20699</v>
      </c>
    </row>
    <row r="9002">
      <c r="A9002" s="56" t="s">
        <v>20700</v>
      </c>
      <c r="B9002" s="55"/>
      <c r="C9002" s="31"/>
    </row>
    <row r="9003">
      <c r="A9003" s="56" t="s">
        <v>20702</v>
      </c>
      <c r="B9003" s="55"/>
      <c r="C9003" s="31"/>
    </row>
    <row r="9004">
      <c r="A9004" s="56" t="s">
        <v>20704</v>
      </c>
      <c r="B9004" s="55"/>
      <c r="C9004" s="31"/>
    </row>
    <row r="9005">
      <c r="A9005" s="56" t="s">
        <v>20705</v>
      </c>
      <c r="B9005" s="55"/>
      <c r="C9005" s="31"/>
    </row>
    <row r="9006">
      <c r="A9006" s="56" t="s">
        <v>20706</v>
      </c>
      <c r="B9006" s="55"/>
      <c r="C9006" s="31"/>
    </row>
    <row r="9007">
      <c r="A9007" s="56" t="s">
        <v>20708</v>
      </c>
      <c r="B9007" s="55"/>
      <c r="C9007" s="31"/>
    </row>
    <row r="9008">
      <c r="A9008" s="56" t="s">
        <v>20709</v>
      </c>
      <c r="B9008" s="55"/>
      <c r="C9008" s="31"/>
    </row>
    <row r="9009">
      <c r="A9009" s="56" t="s">
        <v>20710</v>
      </c>
      <c r="B9009" s="55"/>
      <c r="C9009" s="31"/>
    </row>
    <row r="9010">
      <c r="A9010" s="56" t="s">
        <v>20711</v>
      </c>
      <c r="B9010" s="55"/>
      <c r="C9010" s="31"/>
    </row>
    <row r="9011">
      <c r="A9011" s="56" t="s">
        <v>20713</v>
      </c>
      <c r="B9011" s="55"/>
      <c r="C9011" s="31"/>
    </row>
    <row r="9012">
      <c r="A9012" s="56" t="s">
        <v>20715</v>
      </c>
      <c r="B9012" s="55"/>
      <c r="C9012" s="31"/>
    </row>
    <row r="9013">
      <c r="A9013" s="56" t="s">
        <v>20716</v>
      </c>
      <c r="B9013" s="55"/>
      <c r="C9013" s="31"/>
    </row>
    <row r="9014">
      <c r="A9014" s="56" t="s">
        <v>20718</v>
      </c>
      <c r="B9014" s="55"/>
      <c r="C9014" s="31"/>
    </row>
    <row r="9015">
      <c r="A9015" s="56" t="s">
        <v>20719</v>
      </c>
      <c r="B9015" s="55"/>
      <c r="C9015" s="31"/>
    </row>
    <row r="9016">
      <c r="A9016" s="56" t="s">
        <v>20720</v>
      </c>
      <c r="B9016" s="55"/>
      <c r="C9016" s="31"/>
    </row>
    <row r="9017">
      <c r="A9017" s="56" t="s">
        <v>20721</v>
      </c>
      <c r="B9017" s="55"/>
      <c r="C9017" s="31"/>
    </row>
    <row r="9018">
      <c r="A9018" s="56" t="s">
        <v>20722</v>
      </c>
      <c r="B9018" s="55"/>
      <c r="C9018" s="31"/>
    </row>
    <row r="9019">
      <c r="A9019" s="56" t="s">
        <v>20723</v>
      </c>
      <c r="B9019" s="55"/>
      <c r="C9019" s="31"/>
    </row>
    <row r="9020">
      <c r="A9020" s="56" t="s">
        <v>20725</v>
      </c>
      <c r="B9020" s="82"/>
      <c r="C9020" s="33" t="s">
        <v>20727</v>
      </c>
    </row>
    <row r="9021">
      <c r="A9021" s="56" t="s">
        <v>20729</v>
      </c>
      <c r="B9021" s="82"/>
      <c r="C9021" s="33" t="s">
        <v>11373</v>
      </c>
      <c r="E9021" s="46" t="s">
        <v>7616</v>
      </c>
    </row>
    <row r="9022">
      <c r="A9022" s="56" t="s">
        <v>20730</v>
      </c>
      <c r="B9022" s="82"/>
      <c r="C9022" s="33" t="s">
        <v>11373</v>
      </c>
      <c r="E9022" s="46" t="s">
        <v>7618</v>
      </c>
    </row>
    <row r="9023">
      <c r="A9023" s="56" t="s">
        <v>20731</v>
      </c>
      <c r="B9023" s="82"/>
      <c r="C9023" s="33" t="s">
        <v>11376</v>
      </c>
      <c r="E9023" s="46" t="s">
        <v>7616</v>
      </c>
    </row>
    <row r="9024">
      <c r="A9024" s="56" t="s">
        <v>20732</v>
      </c>
      <c r="B9024" s="82"/>
      <c r="C9024" s="33" t="s">
        <v>11376</v>
      </c>
      <c r="E9024" s="46" t="s">
        <v>7618</v>
      </c>
    </row>
    <row r="9025">
      <c r="A9025" s="56" t="s">
        <v>20733</v>
      </c>
      <c r="B9025" s="82"/>
      <c r="C9025" s="33" t="s">
        <v>11380</v>
      </c>
      <c r="E9025" s="46" t="s">
        <v>7616</v>
      </c>
    </row>
    <row r="9026">
      <c r="A9026" s="56" t="s">
        <v>20734</v>
      </c>
      <c r="B9026" s="82"/>
      <c r="C9026" s="33" t="s">
        <v>11380</v>
      </c>
      <c r="E9026" s="46" t="s">
        <v>7618</v>
      </c>
    </row>
    <row r="9027">
      <c r="A9027" s="56" t="s">
        <v>20735</v>
      </c>
      <c r="B9027" s="79"/>
      <c r="C9027" s="33" t="s">
        <v>11384</v>
      </c>
      <c r="E9027" s="46" t="s">
        <v>1348</v>
      </c>
    </row>
    <row r="9028">
      <c r="A9028" s="56" t="s">
        <v>20737</v>
      </c>
      <c r="B9028" s="79"/>
      <c r="C9028" s="33" t="s">
        <v>11384</v>
      </c>
      <c r="E9028" s="46" t="s">
        <v>1348</v>
      </c>
    </row>
    <row r="9029">
      <c r="A9029" s="56" t="s">
        <v>20740</v>
      </c>
      <c r="B9029" s="79"/>
      <c r="C9029" s="33" t="s">
        <v>11389</v>
      </c>
      <c r="E9029" s="46" t="s">
        <v>1348</v>
      </c>
    </row>
    <row r="9030">
      <c r="A9030" s="56" t="s">
        <v>20741</v>
      </c>
      <c r="B9030" s="21"/>
      <c r="C9030" s="33" t="s">
        <v>11391</v>
      </c>
      <c r="E9030" s="46" t="s">
        <v>7616</v>
      </c>
    </row>
    <row r="9031">
      <c r="A9031" s="56" t="s">
        <v>20742</v>
      </c>
      <c r="B9031" s="21"/>
      <c r="C9031" s="33" t="s">
        <v>11391</v>
      </c>
      <c r="E9031" s="46" t="s">
        <v>7618</v>
      </c>
    </row>
    <row r="9032">
      <c r="A9032" s="56" t="s">
        <v>20743</v>
      </c>
      <c r="B9032" s="21"/>
      <c r="C9032" s="33" t="s">
        <v>11394</v>
      </c>
      <c r="E9032" s="46" t="s">
        <v>7616</v>
      </c>
    </row>
    <row r="9033">
      <c r="A9033" s="56" t="s">
        <v>20744</v>
      </c>
      <c r="B9033" s="21"/>
      <c r="C9033" s="33" t="s">
        <v>11394</v>
      </c>
      <c r="E9033" s="46" t="s">
        <v>7618</v>
      </c>
    </row>
    <row r="9034">
      <c r="A9034" s="56" t="s">
        <v>20746</v>
      </c>
      <c r="B9034" s="21"/>
      <c r="C9034" s="33" t="s">
        <v>11398</v>
      </c>
      <c r="E9034" s="46" t="s">
        <v>7616</v>
      </c>
    </row>
    <row r="9035">
      <c r="A9035" s="56" t="s">
        <v>20748</v>
      </c>
      <c r="B9035" s="21"/>
      <c r="C9035" s="33" t="s">
        <v>11398</v>
      </c>
      <c r="E9035" s="46" t="s">
        <v>7618</v>
      </c>
    </row>
    <row r="9036">
      <c r="A9036" s="56" t="s">
        <v>20749</v>
      </c>
      <c r="B9036" s="21"/>
      <c r="C9036" s="33" t="s">
        <v>11391</v>
      </c>
      <c r="E9036" s="46" t="s">
        <v>7616</v>
      </c>
    </row>
    <row r="9037">
      <c r="A9037" s="56" t="s">
        <v>20750</v>
      </c>
      <c r="B9037" s="21"/>
      <c r="C9037" s="33" t="s">
        <v>11391</v>
      </c>
      <c r="E9037" s="46" t="s">
        <v>7618</v>
      </c>
    </row>
    <row r="9038">
      <c r="A9038" s="56" t="s">
        <v>20752</v>
      </c>
      <c r="B9038" s="21"/>
      <c r="C9038" s="33" t="s">
        <v>11394</v>
      </c>
      <c r="E9038" s="46" t="s">
        <v>7616</v>
      </c>
    </row>
    <row r="9039">
      <c r="A9039" s="56" t="s">
        <v>20753</v>
      </c>
      <c r="B9039" s="21"/>
      <c r="C9039" s="33" t="s">
        <v>11394</v>
      </c>
      <c r="E9039" s="46" t="s">
        <v>7618</v>
      </c>
    </row>
    <row r="9040">
      <c r="A9040" s="56" t="s">
        <v>20756</v>
      </c>
      <c r="B9040" s="21"/>
      <c r="C9040" s="33" t="s">
        <v>11398</v>
      </c>
      <c r="E9040" s="46" t="s">
        <v>7616</v>
      </c>
    </row>
    <row r="9041">
      <c r="A9041" s="56" t="s">
        <v>20757</v>
      </c>
      <c r="B9041" s="21"/>
      <c r="C9041" s="33" t="s">
        <v>11398</v>
      </c>
      <c r="E9041" s="46" t="s">
        <v>7618</v>
      </c>
    </row>
    <row r="9042">
      <c r="A9042" s="56" t="s">
        <v>20758</v>
      </c>
      <c r="B9042" s="21"/>
      <c r="C9042" s="33" t="s">
        <v>11411</v>
      </c>
      <c r="E9042" s="46" t="s">
        <v>7616</v>
      </c>
    </row>
    <row r="9043">
      <c r="A9043" s="56" t="s">
        <v>20759</v>
      </c>
      <c r="B9043" s="21"/>
      <c r="C9043" s="33" t="s">
        <v>11411</v>
      </c>
      <c r="E9043" s="46" t="s">
        <v>7618</v>
      </c>
    </row>
    <row r="9044">
      <c r="A9044" s="56" t="s">
        <v>20761</v>
      </c>
      <c r="B9044" s="21"/>
      <c r="C9044" s="33" t="s">
        <v>11416</v>
      </c>
      <c r="E9044" s="46" t="s">
        <v>7616</v>
      </c>
    </row>
    <row r="9045">
      <c r="A9045" s="56" t="s">
        <v>20762</v>
      </c>
      <c r="B9045" s="21"/>
      <c r="C9045" s="33" t="s">
        <v>11416</v>
      </c>
      <c r="E9045" s="46" t="s">
        <v>7618</v>
      </c>
    </row>
    <row r="9046">
      <c r="A9046" s="56" t="s">
        <v>20765</v>
      </c>
      <c r="B9046" s="21"/>
      <c r="C9046" s="33" t="s">
        <v>11419</v>
      </c>
      <c r="E9046" s="46" t="s">
        <v>7616</v>
      </c>
    </row>
    <row r="9047">
      <c r="A9047" s="56" t="s">
        <v>20766</v>
      </c>
      <c r="B9047" s="21"/>
      <c r="C9047" s="33" t="s">
        <v>11419</v>
      </c>
      <c r="E9047" s="46" t="s">
        <v>7618</v>
      </c>
    </row>
    <row r="9048">
      <c r="A9048" s="56" t="s">
        <v>20767</v>
      </c>
      <c r="B9048" s="21"/>
      <c r="C9048" s="33" t="s">
        <v>11411</v>
      </c>
      <c r="E9048" s="46" t="s">
        <v>7616</v>
      </c>
    </row>
    <row r="9049">
      <c r="A9049" s="56" t="s">
        <v>20768</v>
      </c>
      <c r="B9049" s="21"/>
      <c r="C9049" s="33" t="s">
        <v>11411</v>
      </c>
      <c r="E9049" s="46" t="s">
        <v>7618</v>
      </c>
    </row>
    <row r="9050">
      <c r="A9050" s="56" t="s">
        <v>20770</v>
      </c>
      <c r="B9050" s="21"/>
      <c r="C9050" s="33" t="s">
        <v>11416</v>
      </c>
      <c r="E9050" s="46" t="s">
        <v>7616</v>
      </c>
    </row>
    <row r="9051">
      <c r="A9051" s="56" t="s">
        <v>20773</v>
      </c>
      <c r="B9051" s="21"/>
      <c r="C9051" s="33" t="s">
        <v>11416</v>
      </c>
      <c r="E9051" s="46" t="s">
        <v>7618</v>
      </c>
    </row>
    <row r="9052">
      <c r="A9052" s="56" t="s">
        <v>20774</v>
      </c>
      <c r="B9052" s="21"/>
      <c r="C9052" s="33" t="s">
        <v>11419</v>
      </c>
      <c r="E9052" s="46" t="s">
        <v>7616</v>
      </c>
    </row>
    <row r="9053">
      <c r="A9053" s="56" t="s">
        <v>20775</v>
      </c>
      <c r="B9053" s="21"/>
      <c r="C9053" s="33" t="s">
        <v>11419</v>
      </c>
      <c r="E9053" s="46" t="s">
        <v>7618</v>
      </c>
    </row>
    <row r="9054">
      <c r="A9054" s="56" t="s">
        <v>20776</v>
      </c>
      <c r="B9054" s="55"/>
      <c r="C9054" s="31"/>
    </row>
    <row r="9055">
      <c r="A9055" s="56" t="s">
        <v>20778</v>
      </c>
      <c r="B9055" s="55"/>
      <c r="C9055" s="31"/>
    </row>
    <row r="9056">
      <c r="A9056" s="56" t="s">
        <v>20780</v>
      </c>
      <c r="B9056" s="55"/>
      <c r="C9056" s="31"/>
    </row>
    <row r="9057">
      <c r="A9057" s="56" t="s">
        <v>20782</v>
      </c>
      <c r="B9057" s="82"/>
      <c r="C9057" s="33" t="s">
        <v>20783</v>
      </c>
    </row>
    <row r="9058">
      <c r="A9058" s="56" t="s">
        <v>20784</v>
      </c>
      <c r="B9058" s="55"/>
      <c r="C9058" s="31"/>
    </row>
    <row r="9059">
      <c r="A9059" s="56" t="s">
        <v>20785</v>
      </c>
      <c r="B9059" s="55"/>
      <c r="C9059" s="31"/>
    </row>
    <row r="9060">
      <c r="A9060" s="56" t="s">
        <v>20786</v>
      </c>
      <c r="B9060" s="55"/>
      <c r="C9060" s="31"/>
    </row>
    <row r="9061">
      <c r="A9061" s="56" t="s">
        <v>20788</v>
      </c>
      <c r="B9061" s="55"/>
      <c r="C9061" s="31"/>
    </row>
    <row r="9062">
      <c r="A9062" s="56" t="s">
        <v>20789</v>
      </c>
      <c r="B9062" s="55"/>
      <c r="C9062" s="31"/>
    </row>
    <row r="9063">
      <c r="A9063" s="56" t="s">
        <v>20791</v>
      </c>
      <c r="B9063" s="55"/>
      <c r="C9063" s="31"/>
    </row>
    <row r="9064">
      <c r="A9064" s="56" t="s">
        <v>20793</v>
      </c>
      <c r="B9064" s="55"/>
      <c r="C9064" s="31"/>
    </row>
    <row r="9065">
      <c r="A9065" s="56" t="s">
        <v>20794</v>
      </c>
      <c r="B9065" s="55"/>
      <c r="C9065" s="31"/>
    </row>
    <row r="9066">
      <c r="A9066" s="56" t="s">
        <v>20795</v>
      </c>
      <c r="B9066" s="55"/>
      <c r="C9066" s="31"/>
    </row>
    <row r="9067">
      <c r="A9067" s="56" t="s">
        <v>20796</v>
      </c>
      <c r="B9067" s="55"/>
      <c r="C9067" s="31"/>
    </row>
    <row r="9068">
      <c r="A9068" s="56" t="s">
        <v>20797</v>
      </c>
      <c r="B9068" s="55"/>
      <c r="C9068" s="31"/>
    </row>
    <row r="9069">
      <c r="A9069" s="56" t="s">
        <v>20798</v>
      </c>
      <c r="B9069" s="55"/>
      <c r="C9069" s="31"/>
    </row>
    <row r="9070">
      <c r="A9070" s="56" t="s">
        <v>20799</v>
      </c>
      <c r="B9070" s="55"/>
      <c r="C9070" s="31"/>
    </row>
    <row r="9071">
      <c r="A9071" s="56" t="s">
        <v>20801</v>
      </c>
      <c r="B9071" s="55"/>
      <c r="C9071" s="31"/>
    </row>
    <row r="9072">
      <c r="A9072" s="56" t="s">
        <v>20804</v>
      </c>
      <c r="B9072" s="55"/>
      <c r="C9072" s="31"/>
    </row>
    <row r="9073">
      <c r="A9073" s="56" t="s">
        <v>20805</v>
      </c>
      <c r="B9073" s="55"/>
      <c r="C9073" s="31"/>
    </row>
    <row r="9074">
      <c r="A9074" s="56" t="s">
        <v>20806</v>
      </c>
      <c r="B9074" s="55"/>
      <c r="C9074" s="31"/>
    </row>
    <row r="9075">
      <c r="A9075" s="56" t="s">
        <v>20807</v>
      </c>
      <c r="B9075" s="55"/>
      <c r="C9075" s="31"/>
    </row>
    <row r="9076">
      <c r="A9076" s="56" t="s">
        <v>20808</v>
      </c>
      <c r="B9076" s="55"/>
      <c r="C9076" s="31"/>
    </row>
    <row r="9077">
      <c r="A9077" s="56" t="s">
        <v>20809</v>
      </c>
      <c r="B9077" s="55"/>
      <c r="C9077" s="31"/>
    </row>
    <row r="9078">
      <c r="A9078" s="56" t="s">
        <v>20810</v>
      </c>
      <c r="B9078" s="55"/>
      <c r="C9078" s="31"/>
    </row>
    <row r="9079">
      <c r="A9079" s="56" t="s">
        <v>20813</v>
      </c>
      <c r="B9079" s="55"/>
      <c r="C9079" s="31"/>
    </row>
    <row r="9080">
      <c r="A9080" s="56" t="s">
        <v>20814</v>
      </c>
      <c r="B9080" s="55"/>
      <c r="C9080" s="31"/>
    </row>
    <row r="9081">
      <c r="A9081" s="56" t="s">
        <v>20815</v>
      </c>
      <c r="B9081" s="55"/>
      <c r="C9081" s="31"/>
    </row>
    <row r="9082">
      <c r="A9082" s="56" t="s">
        <v>20816</v>
      </c>
      <c r="B9082" s="55"/>
      <c r="C9082" s="31"/>
    </row>
    <row r="9083">
      <c r="A9083" s="56" t="s">
        <v>20818</v>
      </c>
      <c r="B9083" s="55"/>
      <c r="C9083" s="31"/>
    </row>
    <row r="9084">
      <c r="A9084" s="56" t="s">
        <v>20819</v>
      </c>
      <c r="B9084" s="55"/>
      <c r="C9084" s="31"/>
    </row>
    <row r="9085">
      <c r="A9085" s="56" t="s">
        <v>20820</v>
      </c>
      <c r="B9085" s="55"/>
      <c r="C9085" s="31"/>
    </row>
    <row r="9086">
      <c r="A9086" s="56" t="s">
        <v>20823</v>
      </c>
      <c r="B9086" s="55"/>
      <c r="C9086" s="31"/>
    </row>
    <row r="9087">
      <c r="A9087" s="56" t="s">
        <v>20824</v>
      </c>
      <c r="B9087" s="55"/>
      <c r="C9087" s="31"/>
    </row>
    <row r="9088">
      <c r="A9088" s="56" t="s">
        <v>20825</v>
      </c>
      <c r="B9088" s="55"/>
      <c r="C9088" s="31"/>
    </row>
    <row r="9089">
      <c r="A9089" s="56" t="s">
        <v>20826</v>
      </c>
      <c r="B9089" s="55"/>
      <c r="C9089" s="31"/>
    </row>
    <row r="9090">
      <c r="A9090" s="56" t="s">
        <v>20827</v>
      </c>
      <c r="B9090" s="82"/>
      <c r="C9090" s="33" t="s">
        <v>20828</v>
      </c>
    </row>
    <row r="9091">
      <c r="A9091" s="56" t="s">
        <v>20829</v>
      </c>
      <c r="B9091" s="82"/>
      <c r="C9091" s="33" t="s">
        <v>11373</v>
      </c>
      <c r="E9091" s="46" t="s">
        <v>7616</v>
      </c>
    </row>
    <row r="9092">
      <c r="A9092" s="56" t="s">
        <v>20830</v>
      </c>
      <c r="B9092" s="82"/>
      <c r="C9092" s="33" t="s">
        <v>11373</v>
      </c>
      <c r="E9092" s="46" t="s">
        <v>7618</v>
      </c>
    </row>
    <row r="9093">
      <c r="A9093" s="56" t="s">
        <v>20833</v>
      </c>
      <c r="B9093" s="82"/>
      <c r="C9093" s="33" t="s">
        <v>11376</v>
      </c>
      <c r="E9093" s="46" t="s">
        <v>7616</v>
      </c>
    </row>
    <row r="9094">
      <c r="A9094" s="56" t="s">
        <v>20834</v>
      </c>
      <c r="B9094" s="82"/>
      <c r="C9094" s="33" t="s">
        <v>11376</v>
      </c>
      <c r="E9094" s="46" t="s">
        <v>7618</v>
      </c>
    </row>
    <row r="9095">
      <c r="A9095" s="56" t="s">
        <v>20835</v>
      </c>
      <c r="B9095" s="82"/>
      <c r="C9095" s="33" t="s">
        <v>11380</v>
      </c>
      <c r="E9095" s="46" t="s">
        <v>7616</v>
      </c>
    </row>
    <row r="9096">
      <c r="A9096" s="56" t="s">
        <v>20836</v>
      </c>
      <c r="B9096" s="82"/>
      <c r="C9096" s="33" t="s">
        <v>11380</v>
      </c>
      <c r="E9096" s="46" t="s">
        <v>7618</v>
      </c>
    </row>
    <row r="9097">
      <c r="A9097" s="56" t="s">
        <v>20837</v>
      </c>
      <c r="B9097" s="79"/>
      <c r="C9097" s="33" t="s">
        <v>11384</v>
      </c>
      <c r="E9097" s="46" t="s">
        <v>1348</v>
      </c>
    </row>
    <row r="9098">
      <c r="A9098" s="56" t="s">
        <v>20839</v>
      </c>
      <c r="B9098" s="79"/>
      <c r="C9098" s="33" t="s">
        <v>11384</v>
      </c>
      <c r="E9098" s="46" t="s">
        <v>1348</v>
      </c>
    </row>
    <row r="9099">
      <c r="A9099" s="56" t="s">
        <v>20841</v>
      </c>
      <c r="B9099" s="79"/>
      <c r="C9099" s="33" t="s">
        <v>11389</v>
      </c>
      <c r="E9099" s="46" t="s">
        <v>1348</v>
      </c>
    </row>
    <row r="9100">
      <c r="A9100" s="56" t="s">
        <v>20843</v>
      </c>
      <c r="B9100" s="21"/>
      <c r="C9100" s="33" t="s">
        <v>11391</v>
      </c>
      <c r="E9100" s="46" t="s">
        <v>7616</v>
      </c>
    </row>
    <row r="9101">
      <c r="A9101" s="56" t="s">
        <v>20844</v>
      </c>
      <c r="B9101" s="21"/>
      <c r="C9101" s="33" t="s">
        <v>11391</v>
      </c>
      <c r="E9101" s="46" t="s">
        <v>7618</v>
      </c>
    </row>
    <row r="9102">
      <c r="A9102" s="56" t="s">
        <v>20845</v>
      </c>
      <c r="B9102" s="21"/>
      <c r="C9102" s="33" t="s">
        <v>11394</v>
      </c>
      <c r="E9102" s="46" t="s">
        <v>7616</v>
      </c>
    </row>
    <row r="9103">
      <c r="A9103" s="56" t="s">
        <v>20847</v>
      </c>
      <c r="B9103" s="21"/>
      <c r="C9103" s="33" t="s">
        <v>11394</v>
      </c>
      <c r="E9103" s="46" t="s">
        <v>7618</v>
      </c>
    </row>
    <row r="9104">
      <c r="A9104" s="56" t="s">
        <v>20849</v>
      </c>
      <c r="B9104" s="21"/>
      <c r="C9104" s="33" t="s">
        <v>11398</v>
      </c>
      <c r="E9104" s="46" t="s">
        <v>7616</v>
      </c>
    </row>
    <row r="9105">
      <c r="A9105" s="56" t="s">
        <v>20850</v>
      </c>
      <c r="B9105" s="21"/>
      <c r="C9105" s="33" t="s">
        <v>11398</v>
      </c>
      <c r="E9105" s="46" t="s">
        <v>7618</v>
      </c>
    </row>
    <row r="9106">
      <c r="A9106" s="56" t="s">
        <v>20851</v>
      </c>
      <c r="B9106" s="21"/>
      <c r="C9106" s="33" t="s">
        <v>11391</v>
      </c>
      <c r="E9106" s="46" t="s">
        <v>7616</v>
      </c>
    </row>
    <row r="9107">
      <c r="A9107" s="56" t="s">
        <v>20854</v>
      </c>
      <c r="B9107" s="21"/>
      <c r="C9107" s="33" t="s">
        <v>11391</v>
      </c>
      <c r="E9107" s="46" t="s">
        <v>7618</v>
      </c>
    </row>
    <row r="9108">
      <c r="A9108" s="56" t="s">
        <v>20855</v>
      </c>
      <c r="B9108" s="21"/>
      <c r="C9108" s="33" t="s">
        <v>11394</v>
      </c>
      <c r="E9108" s="46" t="s">
        <v>7616</v>
      </c>
    </row>
    <row r="9109">
      <c r="A9109" s="56" t="s">
        <v>20856</v>
      </c>
      <c r="B9109" s="21"/>
      <c r="C9109" s="33" t="s">
        <v>11394</v>
      </c>
      <c r="E9109" s="46" t="s">
        <v>7618</v>
      </c>
    </row>
    <row r="9110">
      <c r="A9110" s="56" t="s">
        <v>20857</v>
      </c>
      <c r="B9110" s="21"/>
      <c r="C9110" s="33" t="s">
        <v>11398</v>
      </c>
      <c r="E9110" s="46" t="s">
        <v>7616</v>
      </c>
    </row>
    <row r="9111">
      <c r="A9111" s="56" t="s">
        <v>20858</v>
      </c>
      <c r="B9111" s="21"/>
      <c r="C9111" s="33" t="s">
        <v>11398</v>
      </c>
      <c r="E9111" s="46" t="s">
        <v>7618</v>
      </c>
    </row>
    <row r="9112">
      <c r="A9112" s="56" t="s">
        <v>20859</v>
      </c>
      <c r="B9112" s="21"/>
      <c r="C9112" s="33" t="s">
        <v>11411</v>
      </c>
      <c r="E9112" s="46" t="s">
        <v>7616</v>
      </c>
    </row>
    <row r="9113">
      <c r="A9113" s="56" t="s">
        <v>20860</v>
      </c>
      <c r="B9113" s="21"/>
      <c r="C9113" s="33" t="s">
        <v>11411</v>
      </c>
      <c r="E9113" s="46" t="s">
        <v>7618</v>
      </c>
    </row>
    <row r="9114">
      <c r="A9114" s="56" t="s">
        <v>20862</v>
      </c>
      <c r="B9114" s="21"/>
      <c r="C9114" s="33" t="s">
        <v>11416</v>
      </c>
      <c r="E9114" s="46" t="s">
        <v>7616</v>
      </c>
    </row>
    <row r="9115">
      <c r="A9115" s="56" t="s">
        <v>20865</v>
      </c>
      <c r="B9115" s="21"/>
      <c r="C9115" s="33" t="s">
        <v>11416</v>
      </c>
      <c r="E9115" s="46" t="s">
        <v>7618</v>
      </c>
    </row>
    <row r="9116">
      <c r="A9116" s="56" t="s">
        <v>20866</v>
      </c>
      <c r="B9116" s="21"/>
      <c r="C9116" s="33" t="s">
        <v>11419</v>
      </c>
      <c r="E9116" s="46" t="s">
        <v>7616</v>
      </c>
    </row>
    <row r="9117">
      <c r="A9117" s="56" t="s">
        <v>20867</v>
      </c>
      <c r="B9117" s="21"/>
      <c r="C9117" s="33" t="s">
        <v>11419</v>
      </c>
      <c r="E9117" s="46" t="s">
        <v>7618</v>
      </c>
    </row>
    <row r="9118">
      <c r="A9118" s="56" t="s">
        <v>20868</v>
      </c>
      <c r="B9118" s="21"/>
      <c r="C9118" s="33" t="s">
        <v>11411</v>
      </c>
      <c r="E9118" s="46" t="s">
        <v>7616</v>
      </c>
    </row>
    <row r="9119">
      <c r="A9119" s="56" t="s">
        <v>20870</v>
      </c>
      <c r="B9119" s="21"/>
      <c r="C9119" s="33" t="s">
        <v>11411</v>
      </c>
      <c r="E9119" s="46" t="s">
        <v>7618</v>
      </c>
    </row>
    <row r="9120">
      <c r="A9120" s="56" t="s">
        <v>20872</v>
      </c>
      <c r="B9120" s="21"/>
      <c r="C9120" s="33" t="s">
        <v>11416</v>
      </c>
      <c r="E9120" s="46" t="s">
        <v>7616</v>
      </c>
    </row>
    <row r="9121">
      <c r="A9121" s="56" t="s">
        <v>20873</v>
      </c>
      <c r="B9121" s="21"/>
      <c r="C9121" s="33" t="s">
        <v>11416</v>
      </c>
      <c r="E9121" s="46" t="s">
        <v>7618</v>
      </c>
    </row>
    <row r="9122">
      <c r="A9122" s="56" t="s">
        <v>20874</v>
      </c>
      <c r="B9122" s="21"/>
      <c r="C9122" s="33" t="s">
        <v>11419</v>
      </c>
      <c r="E9122" s="46" t="s">
        <v>7616</v>
      </c>
    </row>
    <row r="9123">
      <c r="A9123" s="56" t="s">
        <v>20876</v>
      </c>
      <c r="B9123" s="21"/>
      <c r="C9123" s="33" t="s">
        <v>11419</v>
      </c>
      <c r="E9123" s="46" t="s">
        <v>7618</v>
      </c>
    </row>
    <row r="9124">
      <c r="A9124" s="56" t="s">
        <v>20879</v>
      </c>
      <c r="B9124" s="55"/>
      <c r="C9124" s="31"/>
    </row>
    <row r="9125">
      <c r="A9125" s="56" t="s">
        <v>20881</v>
      </c>
      <c r="B9125" s="55"/>
      <c r="C9125" s="31"/>
    </row>
    <row r="9126">
      <c r="A9126" s="56" t="s">
        <v>20882</v>
      </c>
      <c r="B9126" s="55"/>
      <c r="C9126" s="31"/>
    </row>
    <row r="9127">
      <c r="A9127" s="56" t="s">
        <v>20883</v>
      </c>
      <c r="B9127" s="55"/>
      <c r="C9127" s="31"/>
    </row>
    <row r="9128">
      <c r="A9128" s="56" t="s">
        <v>20884</v>
      </c>
      <c r="B9128" s="55"/>
      <c r="C9128" s="31"/>
    </row>
    <row r="9129">
      <c r="A9129" s="56" t="s">
        <v>20885</v>
      </c>
      <c r="B9129" s="55"/>
      <c r="C9129" s="31"/>
    </row>
    <row r="9130">
      <c r="A9130" s="56" t="s">
        <v>20887</v>
      </c>
      <c r="B9130" s="55"/>
      <c r="C9130" s="31"/>
    </row>
    <row r="9131">
      <c r="A9131" s="56" t="s">
        <v>20889</v>
      </c>
      <c r="B9131" s="55"/>
      <c r="C9131" s="31"/>
    </row>
    <row r="9132">
      <c r="A9132" s="56" t="s">
        <v>20890</v>
      </c>
      <c r="B9132" s="55"/>
      <c r="C9132" s="31"/>
    </row>
    <row r="9133">
      <c r="A9133" s="56" t="s">
        <v>20891</v>
      </c>
      <c r="B9133" s="55"/>
      <c r="C9133" s="31"/>
    </row>
    <row r="9134">
      <c r="A9134" s="56" t="s">
        <v>20893</v>
      </c>
      <c r="B9134" s="82"/>
      <c r="C9134" s="33" t="s">
        <v>20895</v>
      </c>
    </row>
    <row r="9135">
      <c r="A9135" s="56" t="s">
        <v>20896</v>
      </c>
      <c r="B9135" s="82"/>
      <c r="C9135" s="33" t="s">
        <v>11373</v>
      </c>
      <c r="E9135" s="46" t="s">
        <v>7616</v>
      </c>
    </row>
    <row r="9136">
      <c r="A9136" s="56" t="s">
        <v>20898</v>
      </c>
      <c r="B9136" s="82"/>
      <c r="C9136" s="33" t="s">
        <v>11373</v>
      </c>
      <c r="E9136" s="46" t="s">
        <v>7618</v>
      </c>
    </row>
    <row r="9137">
      <c r="A9137" s="56" t="s">
        <v>20902</v>
      </c>
      <c r="B9137" s="82"/>
      <c r="C9137" s="33" t="s">
        <v>11376</v>
      </c>
      <c r="E9137" s="46" t="s">
        <v>7616</v>
      </c>
    </row>
    <row r="9138">
      <c r="A9138" s="56" t="s">
        <v>20903</v>
      </c>
      <c r="B9138" s="82"/>
      <c r="C9138" s="33" t="s">
        <v>11376</v>
      </c>
      <c r="E9138" s="46" t="s">
        <v>7618</v>
      </c>
    </row>
    <row r="9139">
      <c r="A9139" s="56" t="s">
        <v>20904</v>
      </c>
      <c r="B9139" s="82"/>
      <c r="C9139" s="33" t="s">
        <v>11380</v>
      </c>
      <c r="E9139" s="46" t="s">
        <v>7616</v>
      </c>
    </row>
    <row r="9140">
      <c r="A9140" s="56" t="s">
        <v>20905</v>
      </c>
      <c r="B9140" s="82"/>
      <c r="C9140" s="33" t="s">
        <v>11380</v>
      </c>
      <c r="E9140" s="46" t="s">
        <v>7618</v>
      </c>
    </row>
    <row r="9141">
      <c r="A9141" s="56" t="s">
        <v>20906</v>
      </c>
      <c r="B9141" s="79"/>
      <c r="C9141" s="33" t="s">
        <v>11384</v>
      </c>
      <c r="E9141" s="46" t="s">
        <v>1348</v>
      </c>
    </row>
    <row r="9142">
      <c r="A9142" s="56" t="s">
        <v>20910</v>
      </c>
      <c r="B9142" s="79"/>
      <c r="C9142" s="33" t="s">
        <v>11384</v>
      </c>
      <c r="E9142" s="46" t="s">
        <v>1348</v>
      </c>
    </row>
    <row r="9143">
      <c r="A9143" s="56" t="s">
        <v>20912</v>
      </c>
      <c r="B9143" s="79"/>
      <c r="C9143" s="33" t="s">
        <v>11389</v>
      </c>
      <c r="E9143" s="46" t="s">
        <v>1348</v>
      </c>
    </row>
    <row r="9144">
      <c r="A9144" s="56" t="s">
        <v>20914</v>
      </c>
      <c r="B9144" s="21"/>
      <c r="C9144" s="33" t="s">
        <v>11391</v>
      </c>
      <c r="E9144" s="46" t="s">
        <v>7616</v>
      </c>
    </row>
    <row r="9145">
      <c r="A9145" s="56" t="s">
        <v>20916</v>
      </c>
      <c r="B9145" s="21"/>
      <c r="C9145" s="33" t="s">
        <v>11391</v>
      </c>
      <c r="E9145" s="46" t="s">
        <v>7618</v>
      </c>
    </row>
    <row r="9146">
      <c r="A9146" s="56" t="s">
        <v>20917</v>
      </c>
      <c r="B9146" s="21"/>
      <c r="C9146" s="33" t="s">
        <v>11394</v>
      </c>
      <c r="E9146" s="46" t="s">
        <v>7616</v>
      </c>
    </row>
    <row r="9147">
      <c r="A9147" s="56" t="s">
        <v>20920</v>
      </c>
      <c r="B9147" s="21"/>
      <c r="C9147" s="33" t="s">
        <v>11394</v>
      </c>
      <c r="E9147" s="46" t="s">
        <v>7618</v>
      </c>
    </row>
    <row r="9148">
      <c r="A9148" s="56" t="s">
        <v>20921</v>
      </c>
      <c r="B9148" s="21"/>
      <c r="C9148" s="33" t="s">
        <v>11398</v>
      </c>
      <c r="E9148" s="46" t="s">
        <v>7616</v>
      </c>
    </row>
    <row r="9149">
      <c r="A9149" s="56" t="s">
        <v>20922</v>
      </c>
      <c r="B9149" s="21"/>
      <c r="C9149" s="33" t="s">
        <v>11398</v>
      </c>
      <c r="E9149" s="46" t="s">
        <v>7618</v>
      </c>
    </row>
    <row r="9150">
      <c r="A9150" s="56" t="s">
        <v>20923</v>
      </c>
      <c r="B9150" s="21"/>
      <c r="C9150" s="33" t="s">
        <v>11391</v>
      </c>
      <c r="E9150" s="46" t="s">
        <v>7616</v>
      </c>
    </row>
    <row r="9151">
      <c r="A9151" s="56" t="s">
        <v>20924</v>
      </c>
      <c r="B9151" s="21"/>
      <c r="C9151" s="33" t="s">
        <v>11391</v>
      </c>
      <c r="E9151" s="46" t="s">
        <v>7618</v>
      </c>
    </row>
    <row r="9152">
      <c r="A9152" s="56" t="s">
        <v>20929</v>
      </c>
      <c r="B9152" s="21"/>
      <c r="C9152" s="33" t="s">
        <v>11394</v>
      </c>
      <c r="E9152" s="46" t="s">
        <v>7616</v>
      </c>
    </row>
    <row r="9153">
      <c r="A9153" s="56" t="s">
        <v>20931</v>
      </c>
      <c r="B9153" s="21"/>
      <c r="C9153" s="33" t="s">
        <v>11394</v>
      </c>
      <c r="E9153" s="46" t="s">
        <v>7618</v>
      </c>
    </row>
    <row r="9154">
      <c r="A9154" s="56" t="s">
        <v>20933</v>
      </c>
      <c r="B9154" s="21"/>
      <c r="C9154" s="33" t="s">
        <v>11398</v>
      </c>
      <c r="E9154" s="46" t="s">
        <v>7616</v>
      </c>
    </row>
    <row r="9155">
      <c r="A9155" s="56" t="s">
        <v>20936</v>
      </c>
      <c r="B9155" s="21"/>
      <c r="C9155" s="33" t="s">
        <v>11398</v>
      </c>
      <c r="E9155" s="46" t="s">
        <v>7618</v>
      </c>
    </row>
    <row r="9156">
      <c r="A9156" s="56" t="s">
        <v>20937</v>
      </c>
      <c r="B9156" s="21"/>
      <c r="C9156" s="33" t="s">
        <v>11411</v>
      </c>
      <c r="E9156" s="46" t="s">
        <v>7616</v>
      </c>
    </row>
    <row r="9157">
      <c r="A9157" s="56" t="s">
        <v>20938</v>
      </c>
      <c r="B9157" s="21"/>
      <c r="C9157" s="33" t="s">
        <v>11411</v>
      </c>
      <c r="E9157" s="46" t="s">
        <v>7618</v>
      </c>
    </row>
    <row r="9158">
      <c r="A9158" s="56" t="s">
        <v>20939</v>
      </c>
      <c r="B9158" s="21"/>
      <c r="C9158" s="33" t="s">
        <v>11416</v>
      </c>
      <c r="E9158" s="46" t="s">
        <v>7616</v>
      </c>
    </row>
    <row r="9159">
      <c r="A9159" s="56" t="s">
        <v>20942</v>
      </c>
      <c r="B9159" s="21"/>
      <c r="C9159" s="33" t="s">
        <v>11416</v>
      </c>
      <c r="E9159" s="46" t="s">
        <v>7618</v>
      </c>
    </row>
    <row r="9160">
      <c r="A9160" s="56" t="s">
        <v>20943</v>
      </c>
      <c r="B9160" s="21"/>
      <c r="C9160" s="33" t="s">
        <v>11419</v>
      </c>
      <c r="E9160" s="46" t="s">
        <v>7616</v>
      </c>
    </row>
    <row r="9161">
      <c r="A9161" s="56" t="s">
        <v>20945</v>
      </c>
      <c r="B9161" s="21"/>
      <c r="C9161" s="33" t="s">
        <v>11419</v>
      </c>
      <c r="E9161" s="46" t="s">
        <v>7618</v>
      </c>
    </row>
    <row r="9162">
      <c r="A9162" s="56" t="s">
        <v>20946</v>
      </c>
      <c r="B9162" s="21"/>
      <c r="C9162" s="33" t="s">
        <v>11411</v>
      </c>
      <c r="E9162" s="46" t="s">
        <v>7616</v>
      </c>
    </row>
    <row r="9163">
      <c r="A9163" s="56" t="s">
        <v>20948</v>
      </c>
      <c r="B9163" s="21"/>
      <c r="C9163" s="33" t="s">
        <v>11411</v>
      </c>
      <c r="E9163" s="46" t="s">
        <v>7618</v>
      </c>
    </row>
    <row r="9164">
      <c r="A9164" s="56" t="s">
        <v>20950</v>
      </c>
      <c r="B9164" s="21"/>
      <c r="C9164" s="33" t="s">
        <v>11416</v>
      </c>
      <c r="E9164" s="46" t="s">
        <v>7616</v>
      </c>
    </row>
    <row r="9165">
      <c r="A9165" s="56" t="s">
        <v>20951</v>
      </c>
      <c r="B9165" s="21"/>
      <c r="C9165" s="33" t="s">
        <v>11416</v>
      </c>
      <c r="E9165" s="46" t="s">
        <v>7618</v>
      </c>
    </row>
    <row r="9166">
      <c r="A9166" s="56" t="s">
        <v>20952</v>
      </c>
      <c r="B9166" s="21"/>
      <c r="C9166" s="33" t="s">
        <v>11419</v>
      </c>
      <c r="E9166" s="46" t="s">
        <v>7616</v>
      </c>
    </row>
    <row r="9167">
      <c r="A9167" s="56" t="s">
        <v>20953</v>
      </c>
      <c r="B9167" s="21"/>
      <c r="C9167" s="33" t="s">
        <v>11419</v>
      </c>
      <c r="E9167" s="46" t="s">
        <v>7618</v>
      </c>
    </row>
    <row r="9168">
      <c r="A9168" s="56" t="s">
        <v>20954</v>
      </c>
      <c r="B9168" s="55"/>
      <c r="C9168" s="31"/>
    </row>
    <row r="9169">
      <c r="A9169" s="56" t="s">
        <v>20956</v>
      </c>
      <c r="B9169" s="55"/>
      <c r="C9169" s="31"/>
    </row>
    <row r="9170">
      <c r="A9170" s="56" t="s">
        <v>20958</v>
      </c>
      <c r="B9170" s="55"/>
      <c r="C9170" s="31"/>
    </row>
    <row r="9171">
      <c r="A9171" s="56" t="s">
        <v>20959</v>
      </c>
      <c r="B9171" s="55"/>
      <c r="C9171" s="31"/>
    </row>
    <row r="9172">
      <c r="A9172" s="56" t="s">
        <v>20960</v>
      </c>
      <c r="B9172" s="55"/>
      <c r="C9172" s="31"/>
    </row>
    <row r="9173">
      <c r="A9173" s="56" t="s">
        <v>20961</v>
      </c>
      <c r="B9173" s="55"/>
      <c r="C9173" s="31"/>
    </row>
    <row r="9174">
      <c r="A9174" s="56" t="s">
        <v>20962</v>
      </c>
      <c r="B9174" s="55"/>
      <c r="C9174" s="31"/>
    </row>
    <row r="9175">
      <c r="A9175" s="56" t="s">
        <v>20963</v>
      </c>
      <c r="B9175" s="55"/>
      <c r="C9175" s="31"/>
    </row>
    <row r="9176">
      <c r="A9176" s="56" t="s">
        <v>20964</v>
      </c>
      <c r="B9176" s="55"/>
      <c r="C9176" s="31"/>
    </row>
    <row r="9177">
      <c r="A9177" s="56" t="s">
        <v>20966</v>
      </c>
      <c r="B9177" s="55"/>
      <c r="C9177" s="31"/>
    </row>
    <row r="9178">
      <c r="A9178" s="56" t="s">
        <v>20967</v>
      </c>
      <c r="B9178" s="55"/>
      <c r="C9178" s="31"/>
    </row>
    <row r="9179">
      <c r="A9179" s="56" t="s">
        <v>20968</v>
      </c>
      <c r="B9179" s="55"/>
      <c r="C9179" s="31"/>
    </row>
    <row r="9180">
      <c r="A9180" s="56" t="s">
        <v>20969</v>
      </c>
      <c r="B9180" s="55"/>
      <c r="C9180" s="31"/>
    </row>
    <row r="9181">
      <c r="A9181" s="56" t="s">
        <v>20970</v>
      </c>
      <c r="B9181" s="55"/>
      <c r="C9181" s="31"/>
    </row>
    <row r="9182">
      <c r="A9182" s="56" t="s">
        <v>20972</v>
      </c>
      <c r="B9182" s="55"/>
      <c r="C9182" s="31"/>
    </row>
    <row r="9183">
      <c r="A9183" s="56" t="s">
        <v>20973</v>
      </c>
      <c r="B9183" s="55"/>
      <c r="C9183" s="31"/>
    </row>
    <row r="9184">
      <c r="A9184" s="56" t="s">
        <v>20975</v>
      </c>
      <c r="B9184" s="55"/>
      <c r="C9184" s="31"/>
    </row>
    <row r="9185">
      <c r="A9185" s="56" t="s">
        <v>20977</v>
      </c>
      <c r="B9185" s="55"/>
      <c r="C9185" s="31"/>
    </row>
    <row r="9186">
      <c r="A9186" s="56" t="s">
        <v>20978</v>
      </c>
      <c r="B9186" s="55"/>
      <c r="C9186" s="31"/>
    </row>
    <row r="9187">
      <c r="A9187" s="56" t="s">
        <v>20979</v>
      </c>
      <c r="B9187" s="82"/>
      <c r="C9187" s="33" t="s">
        <v>20980</v>
      </c>
    </row>
    <row r="9188">
      <c r="A9188" s="56" t="s">
        <v>20981</v>
      </c>
      <c r="B9188" s="82"/>
      <c r="C9188" s="33" t="s">
        <v>11373</v>
      </c>
      <c r="E9188" s="46" t="s">
        <v>7616</v>
      </c>
    </row>
    <row r="9189">
      <c r="A9189" s="56" t="s">
        <v>20982</v>
      </c>
      <c r="B9189" s="82"/>
      <c r="C9189" s="33" t="s">
        <v>11373</v>
      </c>
      <c r="E9189" s="46" t="s">
        <v>7618</v>
      </c>
    </row>
    <row r="9190">
      <c r="A9190" s="56" t="s">
        <v>20983</v>
      </c>
      <c r="B9190" s="82"/>
      <c r="C9190" s="33" t="s">
        <v>11376</v>
      </c>
      <c r="E9190" s="46" t="s">
        <v>7616</v>
      </c>
    </row>
    <row r="9191">
      <c r="A9191" s="56" t="s">
        <v>20986</v>
      </c>
      <c r="B9191" s="82"/>
      <c r="C9191" s="33" t="s">
        <v>11376</v>
      </c>
      <c r="E9191" s="46" t="s">
        <v>7618</v>
      </c>
    </row>
    <row r="9192">
      <c r="A9192" s="56" t="s">
        <v>20988</v>
      </c>
      <c r="B9192" s="82"/>
      <c r="C9192" s="33" t="s">
        <v>11380</v>
      </c>
      <c r="E9192" s="46" t="s">
        <v>7616</v>
      </c>
    </row>
    <row r="9193">
      <c r="A9193" s="56" t="s">
        <v>20989</v>
      </c>
      <c r="B9193" s="82"/>
      <c r="C9193" s="33" t="s">
        <v>11380</v>
      </c>
      <c r="E9193" s="46" t="s">
        <v>7618</v>
      </c>
    </row>
    <row r="9194">
      <c r="A9194" s="56" t="s">
        <v>20990</v>
      </c>
      <c r="B9194" s="79"/>
      <c r="C9194" s="33" t="s">
        <v>11384</v>
      </c>
      <c r="E9194" s="46" t="s">
        <v>1348</v>
      </c>
    </row>
    <row r="9195">
      <c r="A9195" s="56" t="s">
        <v>20991</v>
      </c>
      <c r="B9195" s="79"/>
      <c r="C9195" s="33" t="s">
        <v>11384</v>
      </c>
      <c r="E9195" s="46" t="s">
        <v>1348</v>
      </c>
    </row>
    <row r="9196">
      <c r="A9196" s="56" t="s">
        <v>20994</v>
      </c>
      <c r="B9196" s="79"/>
      <c r="C9196" s="33" t="s">
        <v>11389</v>
      </c>
      <c r="E9196" s="46" t="s">
        <v>1348</v>
      </c>
    </row>
    <row r="9197">
      <c r="A9197" s="56" t="s">
        <v>20995</v>
      </c>
      <c r="B9197" s="21"/>
      <c r="C9197" s="33" t="s">
        <v>11391</v>
      </c>
      <c r="E9197" s="46" t="s">
        <v>7616</v>
      </c>
    </row>
    <row r="9198">
      <c r="A9198" s="56" t="s">
        <v>20996</v>
      </c>
      <c r="B9198" s="21"/>
      <c r="C9198" s="33" t="s">
        <v>11391</v>
      </c>
      <c r="E9198" s="46" t="s">
        <v>7618</v>
      </c>
    </row>
    <row r="9199">
      <c r="A9199" s="56" t="s">
        <v>20998</v>
      </c>
      <c r="B9199" s="21"/>
      <c r="C9199" s="33" t="s">
        <v>11394</v>
      </c>
      <c r="E9199" s="46" t="s">
        <v>7616</v>
      </c>
    </row>
    <row r="9200">
      <c r="A9200" s="56" t="s">
        <v>20999</v>
      </c>
      <c r="B9200" s="21"/>
      <c r="C9200" s="33" t="s">
        <v>11394</v>
      </c>
      <c r="E9200" s="46" t="s">
        <v>7618</v>
      </c>
    </row>
    <row r="9201">
      <c r="A9201" s="56" t="s">
        <v>21000</v>
      </c>
      <c r="B9201" s="21"/>
      <c r="C9201" s="33" t="s">
        <v>11398</v>
      </c>
      <c r="E9201" s="46" t="s">
        <v>7616</v>
      </c>
    </row>
    <row r="9202">
      <c r="A9202" s="56" t="s">
        <v>21003</v>
      </c>
      <c r="B9202" s="21"/>
      <c r="C9202" s="33" t="s">
        <v>11398</v>
      </c>
      <c r="E9202" s="46" t="s">
        <v>7618</v>
      </c>
    </row>
    <row r="9203">
      <c r="A9203" s="56" t="s">
        <v>21004</v>
      </c>
      <c r="B9203" s="21"/>
      <c r="C9203" s="33" t="s">
        <v>11391</v>
      </c>
      <c r="E9203" s="46" t="s">
        <v>7616</v>
      </c>
    </row>
    <row r="9204">
      <c r="A9204" s="56" t="s">
        <v>21005</v>
      </c>
      <c r="B9204" s="21"/>
      <c r="C9204" s="33" t="s">
        <v>11391</v>
      </c>
      <c r="E9204" s="46" t="s">
        <v>7618</v>
      </c>
    </row>
    <row r="9205">
      <c r="A9205" s="56" t="s">
        <v>21006</v>
      </c>
      <c r="B9205" s="21"/>
      <c r="C9205" s="33" t="s">
        <v>11394</v>
      </c>
      <c r="E9205" s="46" t="s">
        <v>7616</v>
      </c>
    </row>
    <row r="9206">
      <c r="A9206" s="56" t="s">
        <v>21007</v>
      </c>
      <c r="B9206" s="21"/>
      <c r="C9206" s="33" t="s">
        <v>11394</v>
      </c>
      <c r="E9206" s="46" t="s">
        <v>7618</v>
      </c>
    </row>
    <row r="9207">
      <c r="A9207" s="56" t="s">
        <v>21010</v>
      </c>
      <c r="B9207" s="21"/>
      <c r="C9207" s="33" t="s">
        <v>11398</v>
      </c>
      <c r="E9207" s="46" t="s">
        <v>7616</v>
      </c>
    </row>
    <row r="9208">
      <c r="A9208" s="56" t="s">
        <v>21012</v>
      </c>
      <c r="B9208" s="21"/>
      <c r="C9208" s="33" t="s">
        <v>11398</v>
      </c>
      <c r="E9208" s="46" t="s">
        <v>7618</v>
      </c>
    </row>
    <row r="9209">
      <c r="A9209" s="56" t="s">
        <v>21013</v>
      </c>
      <c r="B9209" s="21"/>
      <c r="C9209" s="33" t="s">
        <v>11411</v>
      </c>
      <c r="E9209" s="46" t="s">
        <v>7616</v>
      </c>
    </row>
    <row r="9210">
      <c r="A9210" s="56" t="s">
        <v>21014</v>
      </c>
      <c r="B9210" s="21"/>
      <c r="C9210" s="33" t="s">
        <v>11411</v>
      </c>
      <c r="E9210" s="46" t="s">
        <v>7618</v>
      </c>
    </row>
    <row r="9211">
      <c r="A9211" s="56" t="s">
        <v>21015</v>
      </c>
      <c r="B9211" s="21"/>
      <c r="C9211" s="33" t="s">
        <v>11416</v>
      </c>
      <c r="E9211" s="46" t="s">
        <v>7616</v>
      </c>
    </row>
    <row r="9212">
      <c r="A9212" s="56" t="s">
        <v>21018</v>
      </c>
      <c r="B9212" s="21"/>
      <c r="C9212" s="33" t="s">
        <v>11416</v>
      </c>
      <c r="E9212" s="46" t="s">
        <v>7618</v>
      </c>
    </row>
    <row r="9213">
      <c r="A9213" s="56" t="s">
        <v>21019</v>
      </c>
      <c r="B9213" s="21"/>
      <c r="C9213" s="33" t="s">
        <v>11419</v>
      </c>
      <c r="E9213" s="46" t="s">
        <v>7616</v>
      </c>
    </row>
    <row r="9214">
      <c r="A9214" s="56" t="s">
        <v>21020</v>
      </c>
      <c r="B9214" s="21"/>
      <c r="C9214" s="33" t="s">
        <v>11419</v>
      </c>
      <c r="E9214" s="46" t="s">
        <v>7618</v>
      </c>
    </row>
    <row r="9215">
      <c r="A9215" s="56" t="s">
        <v>21022</v>
      </c>
      <c r="B9215" s="21"/>
      <c r="C9215" s="33" t="s">
        <v>11411</v>
      </c>
      <c r="E9215" s="46" t="s">
        <v>7616</v>
      </c>
    </row>
    <row r="9216">
      <c r="A9216" s="56" t="s">
        <v>21023</v>
      </c>
      <c r="B9216" s="21"/>
      <c r="C9216" s="33" t="s">
        <v>11411</v>
      </c>
      <c r="E9216" s="46" t="s">
        <v>7618</v>
      </c>
    </row>
    <row r="9217">
      <c r="A9217" s="56" t="s">
        <v>21024</v>
      </c>
      <c r="B9217" s="21"/>
      <c r="C9217" s="33" t="s">
        <v>11416</v>
      </c>
      <c r="E9217" s="46" t="s">
        <v>7616</v>
      </c>
    </row>
    <row r="9218">
      <c r="A9218" s="56" t="s">
        <v>21027</v>
      </c>
      <c r="B9218" s="21"/>
      <c r="C9218" s="33" t="s">
        <v>11416</v>
      </c>
      <c r="E9218" s="46" t="s">
        <v>7618</v>
      </c>
    </row>
    <row r="9219">
      <c r="A9219" s="56" t="s">
        <v>21028</v>
      </c>
      <c r="B9219" s="21"/>
      <c r="C9219" s="33" t="s">
        <v>11419</v>
      </c>
      <c r="E9219" s="46" t="s">
        <v>7616</v>
      </c>
    </row>
    <row r="9220">
      <c r="A9220" s="56" t="s">
        <v>21030</v>
      </c>
      <c r="B9220" s="21"/>
      <c r="C9220" s="33" t="s">
        <v>11419</v>
      </c>
      <c r="E9220" s="46" t="s">
        <v>7618</v>
      </c>
    </row>
    <row r="9221">
      <c r="A9221" s="56" t="s">
        <v>21031</v>
      </c>
      <c r="B9221" s="55"/>
      <c r="C9221" s="31"/>
    </row>
    <row r="9222">
      <c r="A9222" s="56" t="s">
        <v>21032</v>
      </c>
      <c r="B9222" s="55"/>
      <c r="C9222" s="31"/>
    </row>
    <row r="9223">
      <c r="A9223" s="56" t="s">
        <v>21034</v>
      </c>
      <c r="B9223" s="55"/>
      <c r="C9223" s="31"/>
    </row>
    <row r="9224">
      <c r="A9224" s="56" t="s">
        <v>21035</v>
      </c>
      <c r="B9224" s="82"/>
      <c r="C9224" s="33" t="s">
        <v>21036</v>
      </c>
    </row>
    <row r="9225">
      <c r="A9225" s="56" t="s">
        <v>21037</v>
      </c>
      <c r="B9225" s="82"/>
      <c r="C9225" s="33" t="s">
        <v>11373</v>
      </c>
      <c r="E9225" s="46" t="s">
        <v>7616</v>
      </c>
    </row>
    <row r="9226">
      <c r="A9226" s="56" t="s">
        <v>21039</v>
      </c>
      <c r="B9226" s="82"/>
      <c r="C9226" s="33" t="s">
        <v>11373</v>
      </c>
      <c r="E9226" s="46" t="s">
        <v>7618</v>
      </c>
    </row>
    <row r="9227">
      <c r="A9227" s="56" t="s">
        <v>21040</v>
      </c>
      <c r="B9227" s="82"/>
      <c r="C9227" s="33" t="s">
        <v>11376</v>
      </c>
      <c r="E9227" s="46" t="s">
        <v>7616</v>
      </c>
    </row>
    <row r="9228">
      <c r="A9228" s="56" t="s">
        <v>21041</v>
      </c>
      <c r="B9228" s="82"/>
      <c r="C9228" s="33" t="s">
        <v>11376</v>
      </c>
      <c r="E9228" s="46" t="s">
        <v>7618</v>
      </c>
    </row>
    <row r="9229">
      <c r="A9229" s="56" t="s">
        <v>21044</v>
      </c>
      <c r="B9229" s="82"/>
      <c r="C9229" s="33" t="s">
        <v>11380</v>
      </c>
      <c r="E9229" s="46" t="s">
        <v>7616</v>
      </c>
    </row>
    <row r="9230">
      <c r="A9230" s="56" t="s">
        <v>21045</v>
      </c>
      <c r="B9230" s="82"/>
      <c r="C9230" s="33" t="s">
        <v>11380</v>
      </c>
      <c r="E9230" s="46" t="s">
        <v>7618</v>
      </c>
    </row>
    <row r="9231">
      <c r="A9231" s="56" t="s">
        <v>21047</v>
      </c>
      <c r="B9231" s="79"/>
      <c r="C9231" s="33" t="s">
        <v>11384</v>
      </c>
      <c r="E9231" s="46" t="s">
        <v>1348</v>
      </c>
    </row>
    <row r="9232">
      <c r="A9232" s="56" t="s">
        <v>21048</v>
      </c>
      <c r="B9232" s="79"/>
      <c r="C9232" s="33" t="s">
        <v>11384</v>
      </c>
      <c r="E9232" s="46" t="s">
        <v>1348</v>
      </c>
    </row>
    <row r="9233">
      <c r="A9233" s="56" t="s">
        <v>21049</v>
      </c>
      <c r="B9233" s="79"/>
      <c r="C9233" s="33" t="s">
        <v>11389</v>
      </c>
      <c r="E9233" s="46" t="s">
        <v>1348</v>
      </c>
    </row>
    <row r="9234">
      <c r="A9234" s="56" t="s">
        <v>21052</v>
      </c>
      <c r="B9234" s="21"/>
      <c r="C9234" s="33" t="s">
        <v>11391</v>
      </c>
      <c r="E9234" s="46" t="s">
        <v>7616</v>
      </c>
    </row>
    <row r="9235">
      <c r="A9235" s="56" t="s">
        <v>21053</v>
      </c>
      <c r="B9235" s="21"/>
      <c r="C9235" s="33" t="s">
        <v>11391</v>
      </c>
      <c r="E9235" s="46" t="s">
        <v>7618</v>
      </c>
    </row>
    <row r="9236">
      <c r="A9236" s="56" t="s">
        <v>21055</v>
      </c>
      <c r="B9236" s="21"/>
      <c r="C9236" s="33" t="s">
        <v>11394</v>
      </c>
      <c r="E9236" s="46" t="s">
        <v>7616</v>
      </c>
    </row>
    <row r="9237">
      <c r="A9237" s="56" t="s">
        <v>21056</v>
      </c>
      <c r="B9237" s="21"/>
      <c r="C9237" s="33" t="s">
        <v>11394</v>
      </c>
      <c r="E9237" s="46" t="s">
        <v>7618</v>
      </c>
    </row>
    <row r="9238">
      <c r="A9238" s="56" t="s">
        <v>21057</v>
      </c>
      <c r="B9238" s="21"/>
      <c r="C9238" s="33" t="s">
        <v>11398</v>
      </c>
      <c r="E9238" s="46" t="s">
        <v>7616</v>
      </c>
    </row>
    <row r="9239">
      <c r="A9239" s="56" t="s">
        <v>21060</v>
      </c>
      <c r="B9239" s="21"/>
      <c r="C9239" s="33" t="s">
        <v>11398</v>
      </c>
      <c r="E9239" s="46" t="s">
        <v>7618</v>
      </c>
    </row>
    <row r="9240">
      <c r="A9240" s="56" t="s">
        <v>21061</v>
      </c>
      <c r="B9240" s="21"/>
      <c r="C9240" s="33" t="s">
        <v>11391</v>
      </c>
      <c r="E9240" s="46" t="s">
        <v>7616</v>
      </c>
    </row>
    <row r="9241">
      <c r="A9241" s="56" t="s">
        <v>21062</v>
      </c>
      <c r="B9241" s="21"/>
      <c r="C9241" s="33" t="s">
        <v>11391</v>
      </c>
      <c r="E9241" s="46" t="s">
        <v>7618</v>
      </c>
    </row>
    <row r="9242">
      <c r="A9242" s="56" t="s">
        <v>21064</v>
      </c>
      <c r="B9242" s="21"/>
      <c r="C9242" s="33" t="s">
        <v>11394</v>
      </c>
      <c r="E9242" s="46" t="s">
        <v>7616</v>
      </c>
    </row>
    <row r="9243">
      <c r="A9243" s="56" t="s">
        <v>21065</v>
      </c>
      <c r="B9243" s="21"/>
      <c r="C9243" s="33" t="s">
        <v>11394</v>
      </c>
      <c r="E9243" s="46" t="s">
        <v>7618</v>
      </c>
    </row>
    <row r="9244">
      <c r="A9244" s="56" t="s">
        <v>21066</v>
      </c>
      <c r="B9244" s="21"/>
      <c r="C9244" s="33" t="s">
        <v>11398</v>
      </c>
      <c r="E9244" s="46" t="s">
        <v>7616</v>
      </c>
    </row>
    <row r="9245">
      <c r="A9245" s="56" t="s">
        <v>21068</v>
      </c>
      <c r="B9245" s="21"/>
      <c r="C9245" s="33" t="s">
        <v>11398</v>
      </c>
      <c r="E9245" s="46" t="s">
        <v>7618</v>
      </c>
    </row>
    <row r="9246">
      <c r="A9246" s="56" t="s">
        <v>21071</v>
      </c>
      <c r="B9246" s="21"/>
      <c r="C9246" s="33" t="s">
        <v>11411</v>
      </c>
      <c r="E9246" s="46" t="s">
        <v>7616</v>
      </c>
    </row>
    <row r="9247">
      <c r="A9247" s="56" t="s">
        <v>21072</v>
      </c>
      <c r="B9247" s="21"/>
      <c r="C9247" s="33" t="s">
        <v>11411</v>
      </c>
      <c r="E9247" s="46" t="s">
        <v>7618</v>
      </c>
    </row>
    <row r="9248">
      <c r="A9248" s="56" t="s">
        <v>21073</v>
      </c>
      <c r="B9248" s="21"/>
      <c r="C9248" s="33" t="s">
        <v>11416</v>
      </c>
      <c r="E9248" s="46" t="s">
        <v>7616</v>
      </c>
    </row>
    <row r="9249">
      <c r="A9249" s="56" t="s">
        <v>21076</v>
      </c>
      <c r="B9249" s="21"/>
      <c r="C9249" s="33" t="s">
        <v>11416</v>
      </c>
      <c r="E9249" s="46" t="s">
        <v>7618</v>
      </c>
    </row>
    <row r="9250">
      <c r="A9250" s="56" t="s">
        <v>21077</v>
      </c>
      <c r="B9250" s="21"/>
      <c r="C9250" s="33" t="s">
        <v>11419</v>
      </c>
      <c r="E9250" s="46" t="s">
        <v>7616</v>
      </c>
    </row>
    <row r="9251">
      <c r="A9251" s="56" t="s">
        <v>21079</v>
      </c>
      <c r="B9251" s="21"/>
      <c r="C9251" s="33" t="s">
        <v>11419</v>
      </c>
      <c r="E9251" s="46" t="s">
        <v>7618</v>
      </c>
    </row>
    <row r="9252">
      <c r="A9252" s="56" t="s">
        <v>21081</v>
      </c>
      <c r="B9252" s="21"/>
      <c r="C9252" s="33" t="s">
        <v>11411</v>
      </c>
      <c r="E9252" s="46" t="s">
        <v>7616</v>
      </c>
    </row>
    <row r="9253">
      <c r="A9253" s="56" t="s">
        <v>21082</v>
      </c>
      <c r="B9253" s="21"/>
      <c r="C9253" s="33" t="s">
        <v>11411</v>
      </c>
      <c r="E9253" s="46" t="s">
        <v>7618</v>
      </c>
    </row>
    <row r="9254">
      <c r="A9254" s="56" t="s">
        <v>21083</v>
      </c>
      <c r="B9254" s="21"/>
      <c r="C9254" s="33" t="s">
        <v>11416</v>
      </c>
      <c r="E9254" s="46" t="s">
        <v>7616</v>
      </c>
    </row>
    <row r="9255">
      <c r="A9255" s="56" t="s">
        <v>21084</v>
      </c>
      <c r="B9255" s="21"/>
      <c r="C9255" s="33" t="s">
        <v>11416</v>
      </c>
      <c r="E9255" s="46" t="s">
        <v>7618</v>
      </c>
    </row>
    <row r="9256">
      <c r="A9256" s="56" t="s">
        <v>21086</v>
      </c>
      <c r="B9256" s="21"/>
      <c r="C9256" s="33" t="s">
        <v>11419</v>
      </c>
      <c r="E9256" s="46" t="s">
        <v>7616</v>
      </c>
    </row>
    <row r="9257">
      <c r="A9257" s="56" t="s">
        <v>21089</v>
      </c>
      <c r="B9257" s="21"/>
      <c r="C9257" s="33" t="s">
        <v>11419</v>
      </c>
      <c r="E9257" s="46" t="s">
        <v>7618</v>
      </c>
    </row>
    <row r="9258">
      <c r="A9258" s="56" t="s">
        <v>21090</v>
      </c>
      <c r="B9258" s="55"/>
      <c r="C9258" s="31"/>
    </row>
    <row r="9259">
      <c r="A9259" s="56" t="s">
        <v>21091</v>
      </c>
      <c r="B9259" s="55"/>
      <c r="C9259" s="31"/>
    </row>
    <row r="9260">
      <c r="A9260" s="56" t="s">
        <v>21092</v>
      </c>
      <c r="B9260" s="55"/>
      <c r="C9260" s="31"/>
    </row>
    <row r="9261">
      <c r="A9261" s="56" t="s">
        <v>21093</v>
      </c>
      <c r="B9261" s="82"/>
      <c r="C9261" s="33" t="s">
        <v>21094</v>
      </c>
    </row>
    <row r="9262">
      <c r="A9262" s="56" t="s">
        <v>21096</v>
      </c>
      <c r="B9262" s="55"/>
      <c r="C9262" s="31"/>
    </row>
    <row r="9263">
      <c r="A9263" s="56" t="s">
        <v>21098</v>
      </c>
      <c r="B9263" s="55"/>
      <c r="C9263" s="31"/>
    </row>
    <row r="9264">
      <c r="A9264" s="56" t="s">
        <v>21100</v>
      </c>
      <c r="B9264" s="55"/>
      <c r="C9264" s="31"/>
    </row>
    <row r="9265">
      <c r="A9265" s="56" t="s">
        <v>21101</v>
      </c>
      <c r="B9265" s="55"/>
      <c r="C9265" s="31"/>
    </row>
    <row r="9266">
      <c r="A9266" s="56" t="s">
        <v>21102</v>
      </c>
      <c r="B9266" s="55"/>
      <c r="C9266" s="31"/>
    </row>
    <row r="9267">
      <c r="A9267" s="56" t="s">
        <v>21103</v>
      </c>
      <c r="B9267" s="55"/>
      <c r="C9267" s="31"/>
    </row>
    <row r="9268">
      <c r="A9268" s="56" t="s">
        <v>21104</v>
      </c>
      <c r="B9268" s="55"/>
      <c r="C9268" s="31"/>
    </row>
    <row r="9269">
      <c r="A9269" s="56" t="s">
        <v>21106</v>
      </c>
      <c r="B9269" s="55"/>
      <c r="C9269" s="31"/>
    </row>
    <row r="9270">
      <c r="A9270" s="56" t="s">
        <v>21107</v>
      </c>
      <c r="B9270" s="55"/>
      <c r="C9270" s="31"/>
    </row>
    <row r="9271">
      <c r="A9271" s="56" t="s">
        <v>21110</v>
      </c>
      <c r="B9271" s="55"/>
      <c r="C9271" s="31"/>
    </row>
    <row r="9272">
      <c r="A9272" s="56" t="s">
        <v>21111</v>
      </c>
      <c r="B9272" s="55"/>
      <c r="C9272" s="31"/>
    </row>
    <row r="9273">
      <c r="A9273" s="56" t="s">
        <v>21112</v>
      </c>
      <c r="B9273" s="55"/>
      <c r="C9273" s="31"/>
    </row>
    <row r="9274">
      <c r="A9274" s="56" t="s">
        <v>21113</v>
      </c>
      <c r="B9274" s="55"/>
      <c r="C9274" s="31"/>
    </row>
    <row r="9275">
      <c r="A9275" s="56" t="s">
        <v>21114</v>
      </c>
      <c r="B9275" s="55"/>
      <c r="C9275" s="31"/>
    </row>
    <row r="9276">
      <c r="A9276" s="56" t="s">
        <v>21117</v>
      </c>
      <c r="B9276" s="55"/>
      <c r="C9276" s="31"/>
    </row>
    <row r="9277">
      <c r="A9277" s="56" t="s">
        <v>21118</v>
      </c>
      <c r="B9277" s="55"/>
      <c r="C9277" s="31"/>
    </row>
    <row r="9278">
      <c r="A9278" s="56" t="s">
        <v>21120</v>
      </c>
      <c r="B9278" s="55"/>
      <c r="C9278" s="31"/>
    </row>
    <row r="9279">
      <c r="A9279" s="56" t="s">
        <v>21121</v>
      </c>
      <c r="B9279" s="55"/>
      <c r="C9279" s="31"/>
    </row>
    <row r="9280">
      <c r="A9280" s="56" t="s">
        <v>21122</v>
      </c>
      <c r="B9280" s="55"/>
      <c r="C9280" s="31"/>
    </row>
    <row r="9281">
      <c r="A9281" s="56" t="s">
        <v>21124</v>
      </c>
      <c r="B9281" s="55"/>
      <c r="C9281" s="31"/>
    </row>
    <row r="9282">
      <c r="A9282" s="56" t="s">
        <v>21126</v>
      </c>
      <c r="B9282" s="55"/>
      <c r="C9282" s="31"/>
    </row>
    <row r="9283">
      <c r="A9283" s="56" t="s">
        <v>21127</v>
      </c>
      <c r="B9283" s="55"/>
      <c r="C9283" s="31"/>
    </row>
    <row r="9284">
      <c r="A9284" s="56" t="s">
        <v>21128</v>
      </c>
      <c r="B9284" s="55"/>
      <c r="C9284" s="31"/>
    </row>
    <row r="9285">
      <c r="A9285" s="56" t="s">
        <v>21129</v>
      </c>
      <c r="B9285" s="55"/>
      <c r="C9285" s="31"/>
    </row>
    <row r="9286">
      <c r="A9286" s="56" t="s">
        <v>21130</v>
      </c>
      <c r="B9286" s="55"/>
      <c r="C9286" s="31"/>
    </row>
    <row r="9287">
      <c r="A9287" s="56" t="s">
        <v>21132</v>
      </c>
      <c r="B9287" s="55"/>
      <c r="C9287" s="31"/>
    </row>
    <row r="9288">
      <c r="A9288" s="56" t="s">
        <v>21135</v>
      </c>
      <c r="B9288" s="55"/>
      <c r="C9288" s="31"/>
    </row>
    <row r="9289">
      <c r="A9289" s="56" t="s">
        <v>21136</v>
      </c>
      <c r="B9289" s="55"/>
      <c r="C9289" s="31"/>
    </row>
    <row r="9290">
      <c r="A9290" s="56" t="s">
        <v>21137</v>
      </c>
      <c r="B9290" s="55"/>
      <c r="C9290" s="31"/>
    </row>
    <row r="9291">
      <c r="A9291" s="56" t="s">
        <v>21138</v>
      </c>
      <c r="B9291" s="55"/>
      <c r="C9291" s="31"/>
    </row>
    <row r="9292">
      <c r="A9292" s="56" t="s">
        <v>21139</v>
      </c>
      <c r="B9292" s="55"/>
      <c r="C9292" s="31"/>
    </row>
    <row r="9293">
      <c r="A9293" s="56" t="s">
        <v>21142</v>
      </c>
      <c r="B9293" s="55"/>
      <c r="C9293" s="31"/>
    </row>
    <row r="9294">
      <c r="A9294" s="56" t="s">
        <v>21144</v>
      </c>
      <c r="B9294" s="55"/>
      <c r="C9294" s="31"/>
    </row>
    <row r="9295">
      <c r="A9295" s="56" t="s">
        <v>21145</v>
      </c>
      <c r="B9295" s="55"/>
      <c r="C9295" s="31"/>
    </row>
    <row r="9296">
      <c r="A9296" s="56" t="s">
        <v>21146</v>
      </c>
      <c r="B9296" s="55"/>
      <c r="C9296" s="31"/>
    </row>
    <row r="9297">
      <c r="A9297" s="56" t="s">
        <v>21147</v>
      </c>
      <c r="B9297" s="55"/>
      <c r="C9297" s="31"/>
    </row>
    <row r="9298">
      <c r="A9298" s="56" t="s">
        <v>21148</v>
      </c>
      <c r="B9298" s="55"/>
      <c r="C9298" s="31"/>
    </row>
    <row r="9299">
      <c r="A9299" s="56" t="s">
        <v>21149</v>
      </c>
      <c r="B9299" s="55"/>
      <c r="C9299" s="31"/>
    </row>
    <row r="9300">
      <c r="A9300" s="56" t="s">
        <v>21151</v>
      </c>
      <c r="B9300" s="55"/>
      <c r="C9300" s="31"/>
    </row>
    <row r="9301">
      <c r="A9301" s="56" t="s">
        <v>21153</v>
      </c>
      <c r="B9301" s="55"/>
      <c r="C9301" s="31"/>
    </row>
    <row r="9302">
      <c r="A9302" s="56" t="s">
        <v>21154</v>
      </c>
      <c r="B9302" s="55"/>
      <c r="C9302" s="31"/>
    </row>
    <row r="9303">
      <c r="A9303" s="56" t="s">
        <v>21155</v>
      </c>
      <c r="B9303" s="55"/>
      <c r="C9303" s="31"/>
    </row>
    <row r="9304">
      <c r="A9304" s="56" t="s">
        <v>21156</v>
      </c>
      <c r="B9304" s="55"/>
      <c r="C9304" s="31"/>
    </row>
    <row r="9305">
      <c r="A9305" s="56" t="s">
        <v>21157</v>
      </c>
      <c r="B9305" s="55"/>
      <c r="C9305" s="31"/>
    </row>
    <row r="9306">
      <c r="A9306" s="56" t="s">
        <v>21159</v>
      </c>
      <c r="B9306" s="55"/>
      <c r="C9306" s="31"/>
    </row>
    <row r="9307">
      <c r="A9307" s="56" t="s">
        <v>21161</v>
      </c>
      <c r="B9307" s="55"/>
      <c r="C9307" s="31"/>
    </row>
    <row r="9308">
      <c r="A9308" s="56" t="s">
        <v>21163</v>
      </c>
      <c r="B9308" s="55"/>
      <c r="C9308" s="31"/>
    </row>
    <row r="9309">
      <c r="A9309" s="56" t="s">
        <v>21164</v>
      </c>
      <c r="B9309" s="55"/>
      <c r="C9309" s="31"/>
    </row>
    <row r="9310">
      <c r="A9310" s="56" t="s">
        <v>21165</v>
      </c>
      <c r="B9310" s="55"/>
      <c r="C9310" s="31"/>
    </row>
    <row r="9311">
      <c r="A9311" s="56" t="s">
        <v>21166</v>
      </c>
      <c r="B9311" s="55"/>
      <c r="C9311" s="31"/>
    </row>
    <row r="9312">
      <c r="A9312" s="56" t="s">
        <v>21167</v>
      </c>
      <c r="B9312" s="55"/>
      <c r="C9312" s="31"/>
    </row>
    <row r="9313">
      <c r="A9313" s="56" t="s">
        <v>21168</v>
      </c>
      <c r="B9313" s="55"/>
      <c r="C9313" s="31"/>
    </row>
    <row r="9314">
      <c r="A9314" s="56" t="s">
        <v>21169</v>
      </c>
      <c r="B9314" s="55"/>
      <c r="C9314" s="31"/>
    </row>
    <row r="9315">
      <c r="A9315" s="56" t="s">
        <v>21170</v>
      </c>
      <c r="B9315" s="55"/>
      <c r="C9315" s="31"/>
    </row>
    <row r="9316">
      <c r="A9316" s="56" t="s">
        <v>21173</v>
      </c>
      <c r="B9316" s="55"/>
      <c r="C9316" s="31"/>
    </row>
    <row r="9317">
      <c r="A9317" s="56" t="s">
        <v>21175</v>
      </c>
      <c r="B9317" s="55"/>
      <c r="C9317" s="31"/>
    </row>
    <row r="9318">
      <c r="A9318" s="56" t="s">
        <v>21176</v>
      </c>
      <c r="B9318" s="55"/>
      <c r="C9318" s="31"/>
    </row>
    <row r="9319">
      <c r="A9319" s="56" t="s">
        <v>21177</v>
      </c>
      <c r="B9319" s="55"/>
      <c r="C9319" s="31"/>
    </row>
    <row r="9320">
      <c r="A9320" s="56" t="s">
        <v>21178</v>
      </c>
      <c r="B9320" s="55"/>
      <c r="C9320" s="31"/>
    </row>
    <row r="9321">
      <c r="A9321" s="56" t="s">
        <v>21179</v>
      </c>
      <c r="B9321" s="55"/>
      <c r="C9321" s="31"/>
    </row>
    <row r="9322">
      <c r="A9322" s="56" t="s">
        <v>21180</v>
      </c>
      <c r="B9322" s="55"/>
      <c r="C9322" s="31"/>
    </row>
    <row r="9323">
      <c r="A9323" s="56" t="s">
        <v>21182</v>
      </c>
      <c r="B9323" s="55"/>
      <c r="C9323" s="31"/>
    </row>
    <row r="9324">
      <c r="A9324" s="56" t="s">
        <v>21184</v>
      </c>
      <c r="B9324" s="55"/>
      <c r="C9324" s="31"/>
    </row>
    <row r="9325">
      <c r="A9325" s="56" t="s">
        <v>21186</v>
      </c>
      <c r="B9325" s="55"/>
      <c r="C9325" s="31"/>
    </row>
    <row r="9326">
      <c r="A9326" s="56" t="s">
        <v>21187</v>
      </c>
      <c r="B9326" s="55"/>
      <c r="C9326" s="31"/>
    </row>
    <row r="9327">
      <c r="A9327" s="56" t="s">
        <v>21188</v>
      </c>
      <c r="B9327" s="55"/>
      <c r="C9327" s="31"/>
    </row>
    <row r="9328">
      <c r="A9328" s="56" t="s">
        <v>21189</v>
      </c>
      <c r="B9328" s="55"/>
      <c r="C9328" s="31"/>
    </row>
    <row r="9329">
      <c r="A9329" s="56" t="s">
        <v>21190</v>
      </c>
      <c r="B9329" s="55"/>
      <c r="C9329" s="31"/>
    </row>
    <row r="9330">
      <c r="A9330" s="56" t="s">
        <v>21191</v>
      </c>
      <c r="B9330" s="55"/>
      <c r="C9330" s="31"/>
    </row>
    <row r="9331">
      <c r="A9331" s="56" t="s">
        <v>21194</v>
      </c>
      <c r="B9331" s="55"/>
      <c r="C9331" s="31"/>
    </row>
    <row r="9332">
      <c r="A9332" s="56" t="s">
        <v>21196</v>
      </c>
      <c r="B9332" s="55"/>
      <c r="C9332" s="31"/>
    </row>
    <row r="9333">
      <c r="A9333" s="56" t="s">
        <v>21197</v>
      </c>
      <c r="B9333" s="55"/>
      <c r="C9333" s="31"/>
    </row>
    <row r="9334">
      <c r="A9334" s="56" t="s">
        <v>21198</v>
      </c>
      <c r="B9334" s="55"/>
      <c r="C9334" s="31"/>
    </row>
    <row r="9335">
      <c r="A9335" s="56" t="s">
        <v>21199</v>
      </c>
      <c r="B9335" s="55"/>
      <c r="C9335" s="31"/>
    </row>
    <row r="9336">
      <c r="A9336" s="56" t="s">
        <v>21200</v>
      </c>
      <c r="B9336" s="82"/>
      <c r="C9336" s="33" t="s">
        <v>10221</v>
      </c>
    </row>
    <row r="9337">
      <c r="A9337" s="56" t="s">
        <v>21201</v>
      </c>
      <c r="B9337" s="82"/>
      <c r="C9337" s="33" t="s">
        <v>11373</v>
      </c>
      <c r="E9337" s="46" t="s">
        <v>7616</v>
      </c>
    </row>
    <row r="9338">
      <c r="A9338" s="56" t="s">
        <v>21205</v>
      </c>
      <c r="B9338" s="82"/>
      <c r="C9338" s="33" t="s">
        <v>11373</v>
      </c>
      <c r="E9338" s="46" t="s">
        <v>7618</v>
      </c>
    </row>
    <row r="9339">
      <c r="A9339" s="56" t="s">
        <v>21206</v>
      </c>
      <c r="B9339" s="82"/>
      <c r="C9339" s="33" t="s">
        <v>11376</v>
      </c>
      <c r="E9339" s="46" t="s">
        <v>7616</v>
      </c>
    </row>
    <row r="9340">
      <c r="A9340" s="56" t="s">
        <v>21207</v>
      </c>
      <c r="B9340" s="82"/>
      <c r="C9340" s="33" t="s">
        <v>11376</v>
      </c>
      <c r="E9340" s="46" t="s">
        <v>7618</v>
      </c>
    </row>
    <row r="9341">
      <c r="A9341" s="56" t="s">
        <v>21210</v>
      </c>
      <c r="B9341" s="82"/>
      <c r="C9341" s="33" t="s">
        <v>11380</v>
      </c>
      <c r="E9341" s="46" t="s">
        <v>7616</v>
      </c>
    </row>
    <row r="9342">
      <c r="A9342" s="56" t="s">
        <v>21212</v>
      </c>
      <c r="B9342" s="82"/>
      <c r="C9342" s="33" t="s">
        <v>11380</v>
      </c>
      <c r="E9342" s="46" t="s">
        <v>7618</v>
      </c>
    </row>
    <row r="9343">
      <c r="A9343" s="56" t="s">
        <v>21213</v>
      </c>
      <c r="B9343" s="79"/>
      <c r="C9343" s="33" t="s">
        <v>11384</v>
      </c>
      <c r="E9343" s="46" t="s">
        <v>1348</v>
      </c>
    </row>
    <row r="9344">
      <c r="A9344" s="56" t="s">
        <v>21214</v>
      </c>
      <c r="B9344" s="79"/>
      <c r="C9344" s="33" t="s">
        <v>11384</v>
      </c>
      <c r="E9344" s="46" t="s">
        <v>1348</v>
      </c>
    </row>
    <row r="9345">
      <c r="A9345" s="56" t="s">
        <v>21215</v>
      </c>
      <c r="B9345" s="79"/>
      <c r="C9345" s="33" t="s">
        <v>11389</v>
      </c>
      <c r="E9345" s="46" t="s">
        <v>1348</v>
      </c>
    </row>
    <row r="9346">
      <c r="A9346" s="56" t="s">
        <v>21218</v>
      </c>
      <c r="B9346" s="21"/>
      <c r="C9346" s="33" t="s">
        <v>11391</v>
      </c>
      <c r="E9346" s="46" t="s">
        <v>7616</v>
      </c>
    </row>
    <row r="9347">
      <c r="A9347" s="56" t="s">
        <v>21220</v>
      </c>
      <c r="B9347" s="21"/>
      <c r="C9347" s="33" t="s">
        <v>11391</v>
      </c>
      <c r="E9347" s="46" t="s">
        <v>7618</v>
      </c>
    </row>
    <row r="9348">
      <c r="A9348" s="56" t="s">
        <v>21221</v>
      </c>
      <c r="B9348" s="21"/>
      <c r="C9348" s="33" t="s">
        <v>11394</v>
      </c>
      <c r="E9348" s="46" t="s">
        <v>7616</v>
      </c>
    </row>
    <row r="9349">
      <c r="A9349" s="56" t="s">
        <v>21222</v>
      </c>
      <c r="B9349" s="21"/>
      <c r="C9349" s="33" t="s">
        <v>11394</v>
      </c>
      <c r="E9349" s="46" t="s">
        <v>7618</v>
      </c>
    </row>
    <row r="9350">
      <c r="A9350" s="56" t="s">
        <v>21223</v>
      </c>
      <c r="B9350" s="21"/>
      <c r="C9350" s="33" t="s">
        <v>11398</v>
      </c>
      <c r="E9350" s="46" t="s">
        <v>7616</v>
      </c>
    </row>
    <row r="9351">
      <c r="A9351" s="56" t="s">
        <v>21224</v>
      </c>
      <c r="B9351" s="21"/>
      <c r="C9351" s="33" t="s">
        <v>11398</v>
      </c>
      <c r="E9351" s="46" t="s">
        <v>7618</v>
      </c>
    </row>
    <row r="9352">
      <c r="A9352" s="56" t="s">
        <v>21227</v>
      </c>
      <c r="B9352" s="21"/>
      <c r="C9352" s="33" t="s">
        <v>11391</v>
      </c>
      <c r="E9352" s="46" t="s">
        <v>7616</v>
      </c>
    </row>
    <row r="9353">
      <c r="A9353" s="56" t="s">
        <v>21228</v>
      </c>
      <c r="B9353" s="21"/>
      <c r="C9353" s="33" t="s">
        <v>11391</v>
      </c>
      <c r="E9353" s="46" t="s">
        <v>7618</v>
      </c>
    </row>
    <row r="9354">
      <c r="A9354" s="56" t="s">
        <v>21229</v>
      </c>
      <c r="B9354" s="21"/>
      <c r="C9354" s="33" t="s">
        <v>11394</v>
      </c>
      <c r="E9354" s="46" t="s">
        <v>7616</v>
      </c>
    </row>
    <row r="9355">
      <c r="A9355" s="56" t="s">
        <v>21231</v>
      </c>
      <c r="B9355" s="21"/>
      <c r="C9355" s="33" t="s">
        <v>11394</v>
      </c>
      <c r="E9355" s="46" t="s">
        <v>7618</v>
      </c>
    </row>
    <row r="9356">
      <c r="A9356" s="56" t="s">
        <v>21232</v>
      </c>
      <c r="B9356" s="21"/>
      <c r="C9356" s="33" t="s">
        <v>11398</v>
      </c>
      <c r="E9356" s="46" t="s">
        <v>7616</v>
      </c>
    </row>
    <row r="9357">
      <c r="A9357" s="56" t="s">
        <v>21234</v>
      </c>
      <c r="B9357" s="21"/>
      <c r="C9357" s="33" t="s">
        <v>11398</v>
      </c>
      <c r="E9357" s="46" t="s">
        <v>7618</v>
      </c>
    </row>
    <row r="9358">
      <c r="A9358" s="56" t="s">
        <v>21235</v>
      </c>
      <c r="B9358" s="21"/>
      <c r="C9358" s="33" t="s">
        <v>11411</v>
      </c>
      <c r="E9358" s="46" t="s">
        <v>7616</v>
      </c>
    </row>
    <row r="9359">
      <c r="A9359" s="56" t="s">
        <v>21236</v>
      </c>
      <c r="B9359" s="21"/>
      <c r="C9359" s="33" t="s">
        <v>11411</v>
      </c>
      <c r="E9359" s="46" t="s">
        <v>7618</v>
      </c>
    </row>
    <row r="9360">
      <c r="A9360" s="56" t="s">
        <v>21237</v>
      </c>
      <c r="B9360" s="21"/>
      <c r="C9360" s="33" t="s">
        <v>11416</v>
      </c>
      <c r="E9360" s="46" t="s">
        <v>7616</v>
      </c>
    </row>
    <row r="9361">
      <c r="A9361" s="56" t="s">
        <v>21238</v>
      </c>
      <c r="B9361" s="21"/>
      <c r="C9361" s="33" t="s">
        <v>11416</v>
      </c>
      <c r="E9361" s="46" t="s">
        <v>7618</v>
      </c>
    </row>
    <row r="9362">
      <c r="A9362" s="56" t="s">
        <v>21241</v>
      </c>
      <c r="B9362" s="21"/>
      <c r="C9362" s="33" t="s">
        <v>11419</v>
      </c>
      <c r="E9362" s="46" t="s">
        <v>7616</v>
      </c>
    </row>
    <row r="9363">
      <c r="A9363" s="56" t="s">
        <v>21242</v>
      </c>
      <c r="B9363" s="21"/>
      <c r="C9363" s="33" t="s">
        <v>11419</v>
      </c>
      <c r="E9363" s="46" t="s">
        <v>7618</v>
      </c>
    </row>
    <row r="9364">
      <c r="A9364" s="56" t="s">
        <v>21243</v>
      </c>
      <c r="B9364" s="21"/>
      <c r="C9364" s="33" t="s">
        <v>11411</v>
      </c>
      <c r="E9364" s="46" t="s">
        <v>7616</v>
      </c>
    </row>
    <row r="9365">
      <c r="A9365" s="56" t="s">
        <v>21244</v>
      </c>
      <c r="B9365" s="21"/>
      <c r="C9365" s="33" t="s">
        <v>11411</v>
      </c>
      <c r="E9365" s="46" t="s">
        <v>7618</v>
      </c>
    </row>
    <row r="9366">
      <c r="A9366" s="56" t="s">
        <v>21247</v>
      </c>
      <c r="B9366" s="21"/>
      <c r="C9366" s="33" t="s">
        <v>11416</v>
      </c>
      <c r="E9366" s="46" t="s">
        <v>7616</v>
      </c>
    </row>
    <row r="9367">
      <c r="A9367" s="56" t="s">
        <v>21248</v>
      </c>
      <c r="B9367" s="21"/>
      <c r="C9367" s="33" t="s">
        <v>11416</v>
      </c>
      <c r="E9367" s="46" t="s">
        <v>7618</v>
      </c>
    </row>
    <row r="9368">
      <c r="A9368" s="56" t="s">
        <v>21249</v>
      </c>
      <c r="B9368" s="21"/>
      <c r="C9368" s="33" t="s">
        <v>11419</v>
      </c>
      <c r="E9368" s="46" t="s">
        <v>7616</v>
      </c>
    </row>
    <row r="9369">
      <c r="A9369" s="56" t="s">
        <v>21253</v>
      </c>
      <c r="B9369" s="21"/>
      <c r="C9369" s="33" t="s">
        <v>11419</v>
      </c>
      <c r="E9369" s="46" t="s">
        <v>7618</v>
      </c>
    </row>
    <row r="9370">
      <c r="A9370" s="56" t="s">
        <v>21254</v>
      </c>
      <c r="B9370" s="55"/>
      <c r="C9370" s="31"/>
    </row>
    <row r="9371">
      <c r="A9371" s="56" t="s">
        <v>21255</v>
      </c>
      <c r="B9371" s="55"/>
      <c r="C9371" s="31"/>
    </row>
    <row r="9372">
      <c r="A9372" s="56" t="s">
        <v>21257</v>
      </c>
      <c r="B9372" s="55"/>
      <c r="C9372" s="31"/>
    </row>
    <row r="9373">
      <c r="A9373" s="56" t="s">
        <v>21259</v>
      </c>
      <c r="B9373" s="55"/>
      <c r="C9373" s="31"/>
    </row>
    <row r="9374">
      <c r="A9374" s="56" t="s">
        <v>21262</v>
      </c>
      <c r="B9374" s="55"/>
      <c r="C9374" s="31"/>
    </row>
    <row r="9375">
      <c r="A9375" s="56" t="s">
        <v>21264</v>
      </c>
      <c r="B9375" s="55"/>
      <c r="C9375" s="31"/>
    </row>
    <row r="9376">
      <c r="A9376" s="56" t="s">
        <v>21265</v>
      </c>
      <c r="B9376" s="55"/>
      <c r="C9376" s="31"/>
    </row>
    <row r="9377">
      <c r="A9377" s="56" t="s">
        <v>21266</v>
      </c>
      <c r="B9377" s="55"/>
      <c r="C9377" s="31"/>
    </row>
    <row r="9378">
      <c r="A9378" s="56" t="s">
        <v>21268</v>
      </c>
      <c r="B9378" s="55"/>
      <c r="C9378" s="31"/>
    </row>
    <row r="9379">
      <c r="A9379" s="56" t="s">
        <v>21270</v>
      </c>
      <c r="B9379" s="55"/>
      <c r="C9379" s="31"/>
    </row>
    <row r="9380">
      <c r="A9380" s="56" t="s">
        <v>21271</v>
      </c>
      <c r="B9380" s="55"/>
      <c r="C9380" s="31"/>
    </row>
    <row r="9381">
      <c r="A9381" s="56" t="s">
        <v>21272</v>
      </c>
      <c r="B9381" s="55"/>
      <c r="C9381" s="31"/>
    </row>
    <row r="9382">
      <c r="A9382" s="56" t="s">
        <v>21273</v>
      </c>
      <c r="B9382" s="55"/>
      <c r="C9382" s="31"/>
    </row>
    <row r="9383">
      <c r="A9383" s="56" t="s">
        <v>21276</v>
      </c>
      <c r="B9383" s="55"/>
      <c r="C9383" s="31"/>
    </row>
    <row r="9384">
      <c r="A9384" s="56" t="s">
        <v>21280</v>
      </c>
      <c r="B9384" s="55"/>
      <c r="C9384" s="31"/>
    </row>
    <row r="9385">
      <c r="A9385" s="56" t="s">
        <v>21282</v>
      </c>
      <c r="B9385" s="55"/>
      <c r="C9385" s="31"/>
    </row>
    <row r="9386">
      <c r="A9386" s="56" t="s">
        <v>21283</v>
      </c>
      <c r="B9386" s="55"/>
      <c r="C9386" s="31"/>
    </row>
    <row r="9387">
      <c r="A9387" s="56" t="s">
        <v>21284</v>
      </c>
      <c r="B9387" s="55"/>
      <c r="C9387" s="31"/>
    </row>
    <row r="9388">
      <c r="A9388" s="56" t="s">
        <v>21286</v>
      </c>
      <c r="B9388" s="55"/>
      <c r="C9388" s="31"/>
    </row>
    <row r="9389">
      <c r="A9389" s="56" t="s">
        <v>21288</v>
      </c>
      <c r="B9389" s="55"/>
      <c r="C9389" s="31"/>
    </row>
    <row r="9390">
      <c r="A9390" s="56" t="s">
        <v>21289</v>
      </c>
      <c r="B9390" s="55"/>
      <c r="C9390" s="31"/>
    </row>
    <row r="9391">
      <c r="A9391" s="56" t="s">
        <v>21290</v>
      </c>
      <c r="B9391" s="55"/>
      <c r="C9391" s="31"/>
    </row>
    <row r="9392">
      <c r="A9392" s="56" t="s">
        <v>21292</v>
      </c>
      <c r="B9392" s="55"/>
      <c r="C9392" s="31"/>
    </row>
    <row r="9393">
      <c r="A9393" s="56" t="s">
        <v>21293</v>
      </c>
      <c r="B9393" s="55"/>
      <c r="C9393" s="31"/>
    </row>
    <row r="9394">
      <c r="A9394" s="56" t="s">
        <v>21294</v>
      </c>
      <c r="B9394" s="55"/>
      <c r="C9394" s="31"/>
    </row>
    <row r="9395">
      <c r="A9395" s="56" t="s">
        <v>21296</v>
      </c>
      <c r="B9395" s="55"/>
      <c r="C9395" s="31"/>
    </row>
    <row r="9396">
      <c r="A9396" s="56" t="s">
        <v>21298</v>
      </c>
      <c r="B9396" s="55"/>
      <c r="C9396" s="31"/>
    </row>
    <row r="9397">
      <c r="A9397" s="56" t="s">
        <v>21299</v>
      </c>
      <c r="B9397" s="55"/>
      <c r="C9397" s="31"/>
    </row>
    <row r="9398">
      <c r="A9398" s="56" t="s">
        <v>21300</v>
      </c>
      <c r="B9398" s="55"/>
      <c r="C9398" s="31"/>
    </row>
    <row r="9399">
      <c r="A9399" s="56" t="s">
        <v>21302</v>
      </c>
      <c r="B9399" s="55"/>
      <c r="C9399" s="31"/>
    </row>
    <row r="9400">
      <c r="A9400" s="56" t="s">
        <v>21303</v>
      </c>
      <c r="B9400" s="55"/>
      <c r="C9400" s="31"/>
    </row>
    <row r="9401">
      <c r="A9401" s="56" t="s">
        <v>21304</v>
      </c>
      <c r="B9401" s="55"/>
      <c r="C9401" s="31"/>
    </row>
    <row r="9402">
      <c r="A9402" s="56" t="s">
        <v>21306</v>
      </c>
      <c r="B9402" s="55"/>
      <c r="C9402" s="31"/>
    </row>
    <row r="9403">
      <c r="A9403" s="56" t="s">
        <v>21308</v>
      </c>
      <c r="B9403" s="55"/>
      <c r="C9403" s="31"/>
    </row>
    <row r="9404">
      <c r="A9404" s="56" t="s">
        <v>21309</v>
      </c>
      <c r="B9404" s="55"/>
      <c r="C9404" s="31"/>
    </row>
    <row r="9405">
      <c r="A9405" s="56" t="s">
        <v>21310</v>
      </c>
      <c r="B9405" s="55"/>
      <c r="C9405" s="31"/>
    </row>
    <row r="9406">
      <c r="A9406" s="56" t="s">
        <v>21311</v>
      </c>
      <c r="B9406" s="55"/>
      <c r="C9406" s="31"/>
    </row>
    <row r="9407">
      <c r="A9407" s="56" t="s">
        <v>21313</v>
      </c>
      <c r="B9407" s="55"/>
      <c r="C9407" s="31"/>
    </row>
    <row r="9408">
      <c r="A9408" s="56" t="s">
        <v>21314</v>
      </c>
      <c r="B9408" s="55"/>
      <c r="C9408" s="31"/>
    </row>
    <row r="9409">
      <c r="A9409" s="56" t="s">
        <v>21316</v>
      </c>
      <c r="B9409" s="55"/>
      <c r="C9409" s="31"/>
    </row>
    <row r="9410">
      <c r="A9410" s="56" t="s">
        <v>21318</v>
      </c>
      <c r="B9410" s="55"/>
      <c r="C9410" s="31"/>
    </row>
    <row r="9411">
      <c r="A9411" s="56" t="s">
        <v>21319</v>
      </c>
      <c r="B9411" s="55"/>
      <c r="C9411" s="31"/>
    </row>
    <row r="9412">
      <c r="A9412" s="56" t="s">
        <v>21320</v>
      </c>
      <c r="B9412" s="55"/>
      <c r="C9412" s="31"/>
    </row>
    <row r="9413">
      <c r="A9413" s="56" t="s">
        <v>21321</v>
      </c>
      <c r="B9413" s="55"/>
      <c r="C9413" s="31"/>
    </row>
    <row r="9414">
      <c r="A9414" s="56" t="s">
        <v>21322</v>
      </c>
      <c r="B9414" s="82"/>
      <c r="C9414" s="33" t="s">
        <v>21324</v>
      </c>
    </row>
    <row r="9415">
      <c r="A9415" s="56" t="s">
        <v>21325</v>
      </c>
      <c r="B9415" s="55"/>
      <c r="C9415" s="31"/>
    </row>
    <row r="9416">
      <c r="A9416" s="56" t="s">
        <v>21327</v>
      </c>
      <c r="B9416" s="55"/>
      <c r="C9416" s="31"/>
    </row>
    <row r="9417">
      <c r="A9417" s="56" t="s">
        <v>21329</v>
      </c>
      <c r="B9417" s="55"/>
      <c r="C9417" s="31"/>
    </row>
    <row r="9418">
      <c r="A9418" s="56" t="s">
        <v>21330</v>
      </c>
      <c r="B9418" s="55"/>
      <c r="C9418" s="31"/>
    </row>
    <row r="9419">
      <c r="A9419" s="56" t="s">
        <v>21331</v>
      </c>
      <c r="B9419" s="55"/>
      <c r="C9419" s="31"/>
    </row>
    <row r="9420">
      <c r="A9420" s="56" t="s">
        <v>21332</v>
      </c>
      <c r="B9420" s="55"/>
      <c r="C9420" s="31"/>
    </row>
    <row r="9421">
      <c r="A9421" s="56" t="s">
        <v>21333</v>
      </c>
      <c r="B9421" s="55"/>
      <c r="C9421" s="31"/>
    </row>
    <row r="9422">
      <c r="A9422" s="56" t="s">
        <v>21335</v>
      </c>
      <c r="B9422" s="55"/>
      <c r="C9422" s="31"/>
    </row>
    <row r="9423">
      <c r="A9423" s="56" t="s">
        <v>21337</v>
      </c>
      <c r="B9423" s="55"/>
      <c r="C9423" s="31"/>
    </row>
    <row r="9424">
      <c r="A9424" s="56" t="s">
        <v>21339</v>
      </c>
      <c r="B9424" s="55"/>
      <c r="C9424" s="31"/>
    </row>
    <row r="9425">
      <c r="A9425" s="56" t="s">
        <v>21340</v>
      </c>
      <c r="B9425" s="55"/>
      <c r="C9425" s="31"/>
    </row>
    <row r="9426">
      <c r="A9426" s="56" t="s">
        <v>21341</v>
      </c>
      <c r="B9426" s="55"/>
      <c r="C9426" s="31"/>
    </row>
    <row r="9427">
      <c r="A9427" s="56" t="s">
        <v>21342</v>
      </c>
      <c r="B9427" s="55"/>
      <c r="C9427" s="31"/>
    </row>
    <row r="9428">
      <c r="A9428" s="56" t="s">
        <v>21343</v>
      </c>
      <c r="B9428" s="55"/>
      <c r="C9428" s="31"/>
    </row>
    <row r="9429">
      <c r="A9429" s="56" t="s">
        <v>21344</v>
      </c>
      <c r="B9429" s="55"/>
      <c r="C9429" s="31"/>
    </row>
    <row r="9430">
      <c r="A9430" s="56" t="s">
        <v>21346</v>
      </c>
      <c r="B9430" s="55"/>
      <c r="C9430" s="31"/>
    </row>
    <row r="9431">
      <c r="A9431" s="56" t="s">
        <v>21348</v>
      </c>
      <c r="B9431" s="55"/>
      <c r="C9431" s="31"/>
    </row>
    <row r="9432">
      <c r="A9432" s="56" t="s">
        <v>21349</v>
      </c>
      <c r="B9432" s="55"/>
      <c r="C9432" s="31"/>
    </row>
    <row r="9433">
      <c r="A9433" s="56" t="s">
        <v>21351</v>
      </c>
      <c r="B9433" s="55"/>
      <c r="C9433" s="31"/>
    </row>
    <row r="9434">
      <c r="A9434" s="56" t="s">
        <v>21352</v>
      </c>
      <c r="B9434" s="55"/>
      <c r="C9434" s="31"/>
    </row>
    <row r="9435">
      <c r="A9435" s="56" t="s">
        <v>21353</v>
      </c>
      <c r="B9435" s="55"/>
      <c r="C9435" s="31"/>
    </row>
    <row r="9436">
      <c r="A9436" s="56" t="s">
        <v>21354</v>
      </c>
      <c r="B9436" s="55"/>
      <c r="C9436" s="31"/>
    </row>
    <row r="9437">
      <c r="A9437" s="56" t="s">
        <v>21355</v>
      </c>
      <c r="B9437" s="55"/>
      <c r="C9437" s="31"/>
    </row>
    <row r="9438">
      <c r="A9438" s="56" t="s">
        <v>21357</v>
      </c>
      <c r="B9438" s="55"/>
      <c r="C9438" s="31"/>
    </row>
    <row r="9439">
      <c r="A9439" s="56" t="s">
        <v>21358</v>
      </c>
      <c r="B9439" s="55"/>
      <c r="C9439" s="31"/>
    </row>
    <row r="9440">
      <c r="A9440" s="56" t="s">
        <v>21359</v>
      </c>
      <c r="B9440" s="55"/>
      <c r="C9440" s="31"/>
    </row>
    <row r="9441">
      <c r="A9441" s="56" t="s">
        <v>21361</v>
      </c>
      <c r="B9441" s="55"/>
      <c r="C9441" s="31"/>
    </row>
    <row r="9442">
      <c r="A9442" s="56" t="s">
        <v>21362</v>
      </c>
      <c r="B9442" s="55"/>
      <c r="C9442" s="31"/>
    </row>
    <row r="9443">
      <c r="A9443" s="56" t="s">
        <v>21363</v>
      </c>
      <c r="B9443" s="55"/>
      <c r="C9443" s="31"/>
    </row>
    <row r="9444">
      <c r="A9444" s="56" t="s">
        <v>21364</v>
      </c>
      <c r="B9444" s="55"/>
      <c r="C9444" s="31"/>
    </row>
    <row r="9445">
      <c r="A9445" s="56" t="s">
        <v>21365</v>
      </c>
      <c r="B9445" s="55"/>
      <c r="C9445" s="31"/>
    </row>
    <row r="9446">
      <c r="A9446" s="56" t="s">
        <v>21366</v>
      </c>
      <c r="B9446" s="55"/>
      <c r="C9446" s="31"/>
    </row>
    <row r="9447">
      <c r="A9447" s="56" t="s">
        <v>21368</v>
      </c>
      <c r="B9447" s="55"/>
      <c r="C9447" s="31"/>
    </row>
    <row r="9448">
      <c r="A9448" s="56" t="s">
        <v>21369</v>
      </c>
      <c r="B9448" s="55"/>
      <c r="C9448" s="31"/>
    </row>
    <row r="9449">
      <c r="A9449" s="56" t="s">
        <v>21371</v>
      </c>
      <c r="B9449" s="55"/>
      <c r="C9449" s="31"/>
    </row>
    <row r="9450">
      <c r="A9450" s="56" t="s">
        <v>21372</v>
      </c>
      <c r="B9450" s="55"/>
      <c r="C9450" s="31"/>
    </row>
    <row r="9451">
      <c r="A9451" s="56" t="s">
        <v>21373</v>
      </c>
      <c r="B9451" s="55"/>
      <c r="C9451" s="31"/>
    </row>
    <row r="9452">
      <c r="A9452" s="56" t="s">
        <v>21374</v>
      </c>
      <c r="B9452" s="55"/>
      <c r="C9452" s="31"/>
    </row>
    <row r="9453">
      <c r="A9453" s="56" t="s">
        <v>21375</v>
      </c>
      <c r="B9453" s="55"/>
      <c r="C9453" s="31"/>
    </row>
    <row r="9454">
      <c r="A9454" s="56" t="s">
        <v>21376</v>
      </c>
      <c r="B9454" s="55"/>
      <c r="C9454" s="31"/>
    </row>
    <row r="9455">
      <c r="A9455" s="56" t="s">
        <v>21379</v>
      </c>
      <c r="B9455" s="55"/>
      <c r="C9455" s="31"/>
    </row>
    <row r="9456">
      <c r="A9456" s="56" t="s">
        <v>21380</v>
      </c>
      <c r="B9456" s="55"/>
      <c r="C9456" s="31"/>
    </row>
    <row r="9457">
      <c r="A9457" s="56" t="s">
        <v>21381</v>
      </c>
      <c r="B9457" s="55"/>
      <c r="C9457" s="31"/>
    </row>
    <row r="9458">
      <c r="A9458" s="56" t="s">
        <v>21383</v>
      </c>
      <c r="B9458" s="55"/>
      <c r="C9458" s="31"/>
    </row>
    <row r="9459">
      <c r="A9459" s="56" t="s">
        <v>21384</v>
      </c>
      <c r="B9459" s="55"/>
      <c r="C9459" s="31"/>
    </row>
    <row r="9460">
      <c r="A9460" s="56" t="s">
        <v>21386</v>
      </c>
      <c r="B9460" s="55"/>
      <c r="C9460" s="31"/>
    </row>
    <row r="9461">
      <c r="A9461" s="56" t="s">
        <v>21388</v>
      </c>
      <c r="B9461" s="55"/>
      <c r="C9461" s="31"/>
    </row>
    <row r="9462">
      <c r="A9462" s="56" t="s">
        <v>21389</v>
      </c>
      <c r="B9462" s="55"/>
      <c r="C9462" s="31"/>
    </row>
    <row r="9463">
      <c r="A9463" s="56" t="s">
        <v>21391</v>
      </c>
      <c r="B9463" s="55"/>
      <c r="C9463" s="31"/>
    </row>
    <row r="9464">
      <c r="A9464" s="56" t="s">
        <v>21392</v>
      </c>
      <c r="B9464" s="55"/>
      <c r="C9464" s="31"/>
    </row>
    <row r="9465">
      <c r="A9465" s="56" t="s">
        <v>21393</v>
      </c>
      <c r="B9465" s="55"/>
      <c r="C9465" s="31"/>
    </row>
    <row r="9466">
      <c r="A9466" s="56" t="s">
        <v>21396</v>
      </c>
      <c r="B9466" s="55"/>
      <c r="C9466" s="31"/>
    </row>
    <row r="9467">
      <c r="A9467" s="56" t="s">
        <v>21397</v>
      </c>
      <c r="B9467" s="55"/>
      <c r="C9467" s="31"/>
    </row>
    <row r="9468">
      <c r="A9468" s="56" t="s">
        <v>21398</v>
      </c>
      <c r="B9468" s="55"/>
      <c r="C9468" s="31"/>
    </row>
    <row r="9469">
      <c r="A9469" s="56" t="s">
        <v>21399</v>
      </c>
      <c r="B9469" s="55"/>
      <c r="C9469" s="31"/>
    </row>
    <row r="9470">
      <c r="A9470" s="56" t="s">
        <v>21401</v>
      </c>
      <c r="B9470" s="82"/>
      <c r="C9470" s="33" t="s">
        <v>21403</v>
      </c>
    </row>
    <row r="9471">
      <c r="A9471" s="56" t="s">
        <v>21405</v>
      </c>
      <c r="B9471" s="55"/>
      <c r="C9471" s="31"/>
    </row>
    <row r="9472">
      <c r="A9472" s="56" t="s">
        <v>21406</v>
      </c>
      <c r="B9472" s="55"/>
      <c r="C9472" s="31"/>
    </row>
    <row r="9473">
      <c r="A9473" s="56" t="s">
        <v>21407</v>
      </c>
      <c r="B9473" s="55"/>
      <c r="C9473" s="31"/>
    </row>
    <row r="9474">
      <c r="A9474" s="56" t="s">
        <v>21409</v>
      </c>
      <c r="B9474" s="55"/>
      <c r="C9474" s="31"/>
    </row>
    <row r="9475">
      <c r="A9475" s="56" t="s">
        <v>21412</v>
      </c>
      <c r="B9475" s="55"/>
      <c r="C9475" s="31"/>
    </row>
    <row r="9476">
      <c r="A9476" s="56" t="s">
        <v>21413</v>
      </c>
      <c r="B9476" s="55"/>
      <c r="C9476" s="31"/>
    </row>
    <row r="9477">
      <c r="A9477" s="56" t="s">
        <v>21414</v>
      </c>
      <c r="B9477" s="55"/>
      <c r="C9477" s="31"/>
    </row>
    <row r="9478">
      <c r="A9478" s="56" t="s">
        <v>21415</v>
      </c>
      <c r="B9478" s="55"/>
      <c r="C9478" s="31"/>
    </row>
    <row r="9479">
      <c r="A9479" s="56" t="s">
        <v>21418</v>
      </c>
      <c r="B9479" s="55"/>
      <c r="C9479" s="31"/>
    </row>
    <row r="9480">
      <c r="A9480" s="56" t="s">
        <v>21419</v>
      </c>
      <c r="B9480" s="55"/>
      <c r="C9480" s="31"/>
    </row>
    <row r="9481">
      <c r="A9481" s="56" t="s">
        <v>21420</v>
      </c>
      <c r="B9481" s="55"/>
      <c r="C9481" s="31"/>
    </row>
    <row r="9482">
      <c r="A9482" s="56" t="s">
        <v>21422</v>
      </c>
      <c r="B9482" s="55"/>
      <c r="C9482" s="31"/>
    </row>
    <row r="9483">
      <c r="A9483" s="56" t="s">
        <v>21424</v>
      </c>
      <c r="B9483" s="55"/>
      <c r="C9483" s="31"/>
    </row>
    <row r="9484">
      <c r="A9484" s="56" t="s">
        <v>21426</v>
      </c>
      <c r="B9484" s="55"/>
      <c r="C9484" s="31"/>
    </row>
    <row r="9485">
      <c r="A9485" s="56" t="s">
        <v>21427</v>
      </c>
      <c r="B9485" s="55"/>
      <c r="C9485" s="31"/>
    </row>
    <row r="9486">
      <c r="A9486" s="56" t="s">
        <v>21428</v>
      </c>
      <c r="B9486" s="55"/>
      <c r="C9486" s="31"/>
    </row>
    <row r="9487">
      <c r="A9487" s="56" t="s">
        <v>21430</v>
      </c>
      <c r="B9487" s="55"/>
      <c r="C9487" s="31"/>
    </row>
    <row r="9488">
      <c r="A9488" s="56" t="s">
        <v>21433</v>
      </c>
      <c r="B9488" s="55"/>
      <c r="C9488" s="31"/>
    </row>
    <row r="9489">
      <c r="A9489" s="56" t="s">
        <v>21434</v>
      </c>
      <c r="B9489" s="55"/>
      <c r="C9489" s="31"/>
    </row>
    <row r="9490">
      <c r="A9490" s="56" t="s">
        <v>21435</v>
      </c>
      <c r="B9490" s="55"/>
      <c r="C9490" s="31"/>
    </row>
    <row r="9491">
      <c r="A9491" s="56" t="s">
        <v>21436</v>
      </c>
      <c r="B9491" s="55"/>
      <c r="C9491" s="31"/>
    </row>
    <row r="9492">
      <c r="A9492" s="56" t="s">
        <v>21438</v>
      </c>
      <c r="B9492" s="55"/>
      <c r="C9492" s="31"/>
    </row>
    <row r="9493">
      <c r="A9493" s="56" t="s">
        <v>21441</v>
      </c>
      <c r="B9493" s="55"/>
      <c r="C9493" s="31"/>
    </row>
    <row r="9494">
      <c r="A9494" s="56" t="s">
        <v>21442</v>
      </c>
      <c r="B9494" s="55"/>
      <c r="C9494" s="31"/>
    </row>
    <row r="9495">
      <c r="A9495" s="56" t="s">
        <v>21443</v>
      </c>
      <c r="B9495" s="55"/>
      <c r="C9495" s="31"/>
    </row>
    <row r="9496">
      <c r="A9496" s="56" t="s">
        <v>21444</v>
      </c>
      <c r="B9496" s="55"/>
      <c r="C9496" s="31"/>
    </row>
    <row r="9497">
      <c r="A9497" s="56" t="s">
        <v>21447</v>
      </c>
      <c r="B9497" s="55"/>
      <c r="C9497" s="31"/>
    </row>
    <row r="9498">
      <c r="A9498" s="56" t="s">
        <v>21449</v>
      </c>
      <c r="B9498" s="55"/>
      <c r="C9498" s="31"/>
    </row>
    <row r="9499">
      <c r="A9499" s="56" t="s">
        <v>21450</v>
      </c>
      <c r="B9499" s="55"/>
      <c r="C9499" s="31"/>
    </row>
    <row r="9500">
      <c r="A9500" s="56" t="s">
        <v>21451</v>
      </c>
      <c r="B9500" s="55"/>
      <c r="C9500" s="31"/>
    </row>
    <row r="9501">
      <c r="A9501" s="56" t="s">
        <v>21452</v>
      </c>
      <c r="B9501" s="55"/>
      <c r="C9501" s="31"/>
    </row>
    <row r="9502">
      <c r="A9502" s="56" t="s">
        <v>21455</v>
      </c>
      <c r="B9502" s="55"/>
      <c r="C9502" s="31"/>
    </row>
    <row r="9503">
      <c r="A9503" s="56" t="s">
        <v>21457</v>
      </c>
      <c r="B9503" s="55"/>
      <c r="C9503" s="31"/>
    </row>
    <row r="9504">
      <c r="A9504" s="56" t="s">
        <v>21458</v>
      </c>
      <c r="B9504" s="55"/>
      <c r="C9504" s="31"/>
    </row>
    <row r="9505">
      <c r="A9505" s="56" t="s">
        <v>21459</v>
      </c>
      <c r="B9505" s="55"/>
      <c r="C9505" s="31"/>
    </row>
    <row r="9506">
      <c r="A9506" s="56" t="s">
        <v>21463</v>
      </c>
      <c r="B9506" s="55"/>
      <c r="C9506" s="31"/>
    </row>
    <row r="9507">
      <c r="A9507" s="56" t="s">
        <v>21464</v>
      </c>
      <c r="B9507" s="55"/>
      <c r="C9507" s="31"/>
    </row>
    <row r="9508">
      <c r="A9508" s="56" t="s">
        <v>21467</v>
      </c>
      <c r="B9508" s="55"/>
      <c r="C9508" s="31"/>
    </row>
    <row r="9509">
      <c r="A9509" s="56" t="s">
        <v>21468</v>
      </c>
      <c r="B9509" s="55"/>
      <c r="C9509" s="31"/>
    </row>
    <row r="9510">
      <c r="A9510" s="56" t="s">
        <v>21470</v>
      </c>
      <c r="B9510" s="55"/>
      <c r="C9510" s="31"/>
    </row>
    <row r="9511">
      <c r="A9511" s="56" t="s">
        <v>21472</v>
      </c>
      <c r="B9511" s="55"/>
      <c r="C9511" s="31"/>
    </row>
    <row r="9512">
      <c r="A9512" s="56" t="s">
        <v>21473</v>
      </c>
      <c r="B9512" s="55"/>
      <c r="C9512" s="31"/>
    </row>
    <row r="9513">
      <c r="A9513" s="56" t="s">
        <v>21475</v>
      </c>
      <c r="B9513" s="55"/>
      <c r="C9513" s="31"/>
    </row>
    <row r="9514">
      <c r="A9514" s="56" t="s">
        <v>21477</v>
      </c>
      <c r="B9514" s="55"/>
      <c r="C9514" s="31"/>
    </row>
    <row r="9515">
      <c r="A9515" s="56" t="s">
        <v>21479</v>
      </c>
      <c r="B9515" s="55"/>
      <c r="C9515" s="31"/>
    </row>
    <row r="9516">
      <c r="A9516" s="56" t="s">
        <v>21482</v>
      </c>
      <c r="B9516" s="82"/>
      <c r="C9516" s="33" t="s">
        <v>21483</v>
      </c>
    </row>
    <row r="9517">
      <c r="A9517" s="56" t="s">
        <v>21484</v>
      </c>
      <c r="B9517" s="82"/>
      <c r="C9517" s="33" t="s">
        <v>11373</v>
      </c>
      <c r="E9517" s="46" t="s">
        <v>7616</v>
      </c>
    </row>
    <row r="9518">
      <c r="A9518" s="56" t="s">
        <v>21485</v>
      </c>
      <c r="B9518" s="82"/>
      <c r="C9518" s="33" t="s">
        <v>11373</v>
      </c>
      <c r="E9518" s="46" t="s">
        <v>7618</v>
      </c>
    </row>
    <row r="9519">
      <c r="A9519" s="56" t="s">
        <v>21488</v>
      </c>
      <c r="B9519" s="82"/>
      <c r="C9519" s="33" t="s">
        <v>11376</v>
      </c>
      <c r="E9519" s="46" t="s">
        <v>7616</v>
      </c>
    </row>
    <row r="9520">
      <c r="A9520" s="56" t="s">
        <v>21489</v>
      </c>
      <c r="B9520" s="82"/>
      <c r="C9520" s="33" t="s">
        <v>11376</v>
      </c>
      <c r="E9520" s="46" t="s">
        <v>7618</v>
      </c>
    </row>
    <row r="9521">
      <c r="A9521" s="56" t="s">
        <v>21490</v>
      </c>
      <c r="B9521" s="82"/>
      <c r="C9521" s="33" t="s">
        <v>11380</v>
      </c>
      <c r="E9521" s="46" t="s">
        <v>7616</v>
      </c>
    </row>
    <row r="9522">
      <c r="A9522" s="56" t="s">
        <v>21492</v>
      </c>
      <c r="B9522" s="82"/>
      <c r="C9522" s="33" t="s">
        <v>11380</v>
      </c>
      <c r="E9522" s="46" t="s">
        <v>7618</v>
      </c>
    </row>
    <row r="9523">
      <c r="A9523" s="56" t="s">
        <v>21496</v>
      </c>
      <c r="B9523" s="79"/>
      <c r="C9523" s="33" t="s">
        <v>11384</v>
      </c>
      <c r="E9523" s="46" t="s">
        <v>1348</v>
      </c>
    </row>
    <row r="9524">
      <c r="A9524" s="56" t="s">
        <v>21497</v>
      </c>
      <c r="B9524" s="79"/>
      <c r="C9524" s="33" t="s">
        <v>11384</v>
      </c>
      <c r="E9524" s="46" t="s">
        <v>1348</v>
      </c>
    </row>
    <row r="9525">
      <c r="A9525" s="56" t="s">
        <v>21498</v>
      </c>
      <c r="B9525" s="79"/>
      <c r="C9525" s="33" t="s">
        <v>11389</v>
      </c>
      <c r="E9525" s="46" t="s">
        <v>1348</v>
      </c>
    </row>
    <row r="9526">
      <c r="A9526" s="56" t="s">
        <v>21500</v>
      </c>
      <c r="B9526" s="21"/>
      <c r="C9526" s="33" t="s">
        <v>11391</v>
      </c>
      <c r="E9526" s="46" t="s">
        <v>7616</v>
      </c>
    </row>
    <row r="9527">
      <c r="A9527" s="56" t="s">
        <v>21503</v>
      </c>
      <c r="B9527" s="21"/>
      <c r="C9527" s="33" t="s">
        <v>11391</v>
      </c>
      <c r="E9527" s="46" t="s">
        <v>7618</v>
      </c>
    </row>
    <row r="9528">
      <c r="A9528" s="56" t="s">
        <v>21504</v>
      </c>
      <c r="B9528" s="21"/>
      <c r="C9528" s="33" t="s">
        <v>11394</v>
      </c>
      <c r="E9528" s="46" t="s">
        <v>7616</v>
      </c>
    </row>
    <row r="9529">
      <c r="A9529" s="56" t="s">
        <v>21505</v>
      </c>
      <c r="B9529" s="21"/>
      <c r="C9529" s="33" t="s">
        <v>11394</v>
      </c>
      <c r="E9529" s="46" t="s">
        <v>7618</v>
      </c>
    </row>
    <row r="9530">
      <c r="A9530" s="56" t="s">
        <v>21507</v>
      </c>
      <c r="B9530" s="21"/>
      <c r="C9530" s="33" t="s">
        <v>11398</v>
      </c>
      <c r="E9530" s="46" t="s">
        <v>7616</v>
      </c>
    </row>
    <row r="9531">
      <c r="A9531" s="56" t="s">
        <v>21509</v>
      </c>
      <c r="B9531" s="21"/>
      <c r="C9531" s="33" t="s">
        <v>11398</v>
      </c>
      <c r="E9531" s="46" t="s">
        <v>7618</v>
      </c>
    </row>
    <row r="9532">
      <c r="A9532" s="56" t="s">
        <v>21510</v>
      </c>
      <c r="B9532" s="21"/>
      <c r="C9532" s="33" t="s">
        <v>11391</v>
      </c>
      <c r="E9532" s="46" t="s">
        <v>7616</v>
      </c>
    </row>
    <row r="9533">
      <c r="A9533" s="56" t="s">
        <v>21516</v>
      </c>
      <c r="B9533" s="21"/>
      <c r="C9533" s="33" t="s">
        <v>11391</v>
      </c>
      <c r="E9533" s="46" t="s">
        <v>7618</v>
      </c>
    </row>
    <row r="9534">
      <c r="A9534" s="56" t="s">
        <v>21518</v>
      </c>
      <c r="B9534" s="21"/>
      <c r="C9534" s="33" t="s">
        <v>11394</v>
      </c>
      <c r="E9534" s="46" t="s">
        <v>7616</v>
      </c>
    </row>
    <row r="9535">
      <c r="A9535" s="56" t="s">
        <v>21520</v>
      </c>
      <c r="B9535" s="21"/>
      <c r="C9535" s="33" t="s">
        <v>11394</v>
      </c>
      <c r="E9535" s="46" t="s">
        <v>7618</v>
      </c>
    </row>
    <row r="9536">
      <c r="A9536" s="56" t="s">
        <v>21521</v>
      </c>
      <c r="B9536" s="21"/>
      <c r="C9536" s="33" t="s">
        <v>11398</v>
      </c>
      <c r="E9536" s="46" t="s">
        <v>7616</v>
      </c>
    </row>
    <row r="9537">
      <c r="A9537" s="56" t="s">
        <v>21522</v>
      </c>
      <c r="B9537" s="21"/>
      <c r="C9537" s="33" t="s">
        <v>11398</v>
      </c>
      <c r="E9537" s="46" t="s">
        <v>7618</v>
      </c>
    </row>
    <row r="9538">
      <c r="A9538" s="56" t="s">
        <v>21523</v>
      </c>
      <c r="B9538" s="21"/>
      <c r="C9538" s="33" t="s">
        <v>11411</v>
      </c>
      <c r="E9538" s="46" t="s">
        <v>7616</v>
      </c>
    </row>
    <row r="9539">
      <c r="A9539" s="56" t="s">
        <v>21526</v>
      </c>
      <c r="B9539" s="21"/>
      <c r="C9539" s="33" t="s">
        <v>11411</v>
      </c>
      <c r="E9539" s="46" t="s">
        <v>7618</v>
      </c>
    </row>
    <row r="9540">
      <c r="A9540" s="56" t="s">
        <v>21528</v>
      </c>
      <c r="B9540" s="21"/>
      <c r="C9540" s="33" t="s">
        <v>11416</v>
      </c>
      <c r="E9540" s="46" t="s">
        <v>7616</v>
      </c>
    </row>
    <row r="9541">
      <c r="A9541" s="56" t="s">
        <v>21529</v>
      </c>
      <c r="B9541" s="21"/>
      <c r="C9541" s="33" t="s">
        <v>11416</v>
      </c>
      <c r="E9541" s="46" t="s">
        <v>7618</v>
      </c>
    </row>
    <row r="9542">
      <c r="A9542" s="56" t="s">
        <v>21530</v>
      </c>
      <c r="B9542" s="21"/>
      <c r="C9542" s="33" t="s">
        <v>11419</v>
      </c>
      <c r="E9542" s="46" t="s">
        <v>7616</v>
      </c>
    </row>
    <row r="9543">
      <c r="A9543" s="56" t="s">
        <v>21533</v>
      </c>
      <c r="B9543" s="21"/>
      <c r="C9543" s="33" t="s">
        <v>11419</v>
      </c>
      <c r="E9543" s="46" t="s">
        <v>7618</v>
      </c>
    </row>
    <row r="9544">
      <c r="A9544" s="56" t="s">
        <v>21535</v>
      </c>
      <c r="B9544" s="21"/>
      <c r="C9544" s="33" t="s">
        <v>11411</v>
      </c>
      <c r="E9544" s="46" t="s">
        <v>7616</v>
      </c>
    </row>
    <row r="9545">
      <c r="A9545" s="56" t="s">
        <v>21539</v>
      </c>
      <c r="B9545" s="21"/>
      <c r="C9545" s="33" t="s">
        <v>11411</v>
      </c>
      <c r="E9545" s="46" t="s">
        <v>7618</v>
      </c>
    </row>
    <row r="9546">
      <c r="A9546" s="56" t="s">
        <v>21542</v>
      </c>
      <c r="B9546" s="21"/>
      <c r="C9546" s="33" t="s">
        <v>11416</v>
      </c>
      <c r="E9546" s="46" t="s">
        <v>7616</v>
      </c>
    </row>
    <row r="9547">
      <c r="A9547" s="56" t="s">
        <v>21543</v>
      </c>
      <c r="B9547" s="21"/>
      <c r="C9547" s="33" t="s">
        <v>11416</v>
      </c>
      <c r="E9547" s="46" t="s">
        <v>7618</v>
      </c>
    </row>
    <row r="9548">
      <c r="A9548" s="56" t="s">
        <v>21544</v>
      </c>
      <c r="B9548" s="21"/>
      <c r="C9548" s="33" t="s">
        <v>11419</v>
      </c>
      <c r="E9548" s="46" t="s">
        <v>7616</v>
      </c>
    </row>
    <row r="9549">
      <c r="A9549" s="56" t="s">
        <v>21547</v>
      </c>
      <c r="B9549" s="21"/>
      <c r="C9549" s="33" t="s">
        <v>11419</v>
      </c>
      <c r="E9549" s="46" t="s">
        <v>7618</v>
      </c>
    </row>
    <row r="9550">
      <c r="A9550" s="56" t="s">
        <v>21551</v>
      </c>
      <c r="B9550" s="55"/>
      <c r="C9550" s="31"/>
    </row>
    <row r="9551">
      <c r="A9551" s="56" t="s">
        <v>21553</v>
      </c>
      <c r="B9551" s="55"/>
      <c r="C9551" s="31"/>
    </row>
    <row r="9552">
      <c r="A9552" s="56" t="s">
        <v>21554</v>
      </c>
      <c r="B9552" s="55"/>
      <c r="C9552" s="31"/>
    </row>
    <row r="9553">
      <c r="A9553" s="56" t="s">
        <v>21555</v>
      </c>
      <c r="B9553" s="55"/>
      <c r="C9553" s="31"/>
    </row>
    <row r="9554">
      <c r="A9554" s="56" t="s">
        <v>21558</v>
      </c>
      <c r="B9554" s="55"/>
      <c r="C9554" s="31"/>
    </row>
    <row r="9555">
      <c r="A9555" s="56" t="s">
        <v>21560</v>
      </c>
      <c r="B9555" s="55"/>
      <c r="C9555" s="31"/>
    </row>
    <row r="9556">
      <c r="A9556" s="56" t="s">
        <v>21561</v>
      </c>
      <c r="B9556" s="55"/>
      <c r="C9556" s="31"/>
    </row>
    <row r="9557">
      <c r="A9557" s="56" t="s">
        <v>21562</v>
      </c>
      <c r="B9557" s="55"/>
      <c r="C9557" s="31"/>
    </row>
    <row r="9558">
      <c r="A9558" s="56" t="s">
        <v>21563</v>
      </c>
      <c r="B9558" s="55"/>
      <c r="C9558" s="31"/>
    </row>
    <row r="9559">
      <c r="A9559" s="56" t="s">
        <v>21566</v>
      </c>
      <c r="B9559" s="55"/>
      <c r="C9559" s="31"/>
    </row>
    <row r="9560">
      <c r="A9560" s="56" t="s">
        <v>21568</v>
      </c>
      <c r="B9560" s="55"/>
      <c r="C9560" s="31"/>
    </row>
    <row r="9561">
      <c r="A9561" s="56" t="s">
        <v>21569</v>
      </c>
      <c r="B9561" s="55"/>
      <c r="C9561" s="31"/>
    </row>
    <row r="9562">
      <c r="A9562" s="56" t="s">
        <v>21570</v>
      </c>
      <c r="B9562" s="55"/>
      <c r="C9562" s="31"/>
    </row>
    <row r="9563">
      <c r="A9563" s="56" t="s">
        <v>21571</v>
      </c>
      <c r="B9563" s="55"/>
      <c r="C9563" s="31"/>
    </row>
    <row r="9564">
      <c r="A9564" s="56" t="s">
        <v>21573</v>
      </c>
      <c r="B9564" s="55"/>
      <c r="C9564" s="31"/>
    </row>
    <row r="9565">
      <c r="A9565" s="56" t="s">
        <v>21575</v>
      </c>
      <c r="B9565" s="55"/>
      <c r="C9565" s="31"/>
    </row>
    <row r="9566">
      <c r="A9566" s="56" t="s">
        <v>21576</v>
      </c>
      <c r="B9566" s="55"/>
      <c r="C9566" s="31"/>
    </row>
    <row r="9567">
      <c r="A9567" s="56" t="s">
        <v>21577</v>
      </c>
      <c r="B9567" s="55"/>
      <c r="C9567" s="31"/>
    </row>
    <row r="9568">
      <c r="A9568" s="56" t="s">
        <v>21578</v>
      </c>
      <c r="B9568" s="82"/>
      <c r="C9568" s="33" t="s">
        <v>21580</v>
      </c>
    </row>
    <row r="9569">
      <c r="A9569" s="56" t="s">
        <v>21582</v>
      </c>
      <c r="B9569" s="55"/>
      <c r="C9569" s="31"/>
    </row>
    <row r="9570">
      <c r="A9570" s="56" t="s">
        <v>21584</v>
      </c>
      <c r="B9570" s="55"/>
      <c r="C9570" s="31"/>
    </row>
    <row r="9571">
      <c r="A9571" s="56" t="s">
        <v>21587</v>
      </c>
      <c r="B9571" s="55"/>
      <c r="C9571" s="31"/>
    </row>
    <row r="9572">
      <c r="A9572" s="56" t="s">
        <v>21588</v>
      </c>
      <c r="B9572" s="55"/>
      <c r="C9572" s="31"/>
    </row>
    <row r="9573">
      <c r="A9573" s="56" t="s">
        <v>21589</v>
      </c>
      <c r="B9573" s="55"/>
      <c r="C9573" s="31"/>
    </row>
    <row r="9574">
      <c r="A9574" s="56" t="s">
        <v>21592</v>
      </c>
      <c r="B9574" s="55"/>
      <c r="C9574" s="31"/>
    </row>
    <row r="9575">
      <c r="A9575" s="56" t="s">
        <v>21593</v>
      </c>
      <c r="B9575" s="55"/>
      <c r="C9575" s="31"/>
    </row>
    <row r="9576">
      <c r="A9576" s="56" t="s">
        <v>21594</v>
      </c>
      <c r="B9576" s="55"/>
      <c r="C9576" s="31"/>
    </row>
    <row r="9577">
      <c r="A9577" s="56" t="s">
        <v>21597</v>
      </c>
      <c r="B9577" s="55"/>
      <c r="C9577" s="31"/>
    </row>
    <row r="9578">
      <c r="A9578" s="56" t="s">
        <v>21599</v>
      </c>
      <c r="B9578" s="55"/>
      <c r="C9578" s="31"/>
    </row>
    <row r="9579">
      <c r="A9579" s="56" t="s">
        <v>21603</v>
      </c>
      <c r="B9579" s="55"/>
      <c r="C9579" s="31"/>
    </row>
    <row r="9580">
      <c r="A9580" s="56" t="s">
        <v>21604</v>
      </c>
      <c r="B9580" s="55"/>
      <c r="C9580" s="31"/>
    </row>
    <row r="9581">
      <c r="A9581" s="56" t="s">
        <v>21605</v>
      </c>
      <c r="B9581" s="55"/>
      <c r="C9581" s="31"/>
    </row>
    <row r="9582">
      <c r="A9582" s="56" t="s">
        <v>21606</v>
      </c>
      <c r="B9582" s="55"/>
      <c r="C9582" s="31"/>
    </row>
    <row r="9583">
      <c r="A9583" s="56" t="s">
        <v>21608</v>
      </c>
      <c r="B9583" s="55"/>
      <c r="C9583" s="31"/>
    </row>
    <row r="9584">
      <c r="A9584" s="56" t="s">
        <v>21611</v>
      </c>
      <c r="B9584" s="55"/>
      <c r="C9584" s="31"/>
    </row>
    <row r="9585">
      <c r="A9585" s="56" t="s">
        <v>21612</v>
      </c>
      <c r="B9585" s="55"/>
      <c r="C9585" s="31"/>
    </row>
    <row r="9586">
      <c r="A9586" s="56" t="s">
        <v>21613</v>
      </c>
      <c r="B9586" s="55"/>
      <c r="C9586" s="31"/>
    </row>
    <row r="9587">
      <c r="A9587" s="56" t="s">
        <v>21614</v>
      </c>
      <c r="B9587" s="55"/>
      <c r="C9587" s="31"/>
    </row>
    <row r="9588">
      <c r="A9588" s="56" t="s">
        <v>21615</v>
      </c>
      <c r="B9588" s="55"/>
      <c r="C9588" s="31"/>
    </row>
    <row r="9589">
      <c r="A9589" s="56" t="s">
        <v>21618</v>
      </c>
      <c r="B9589" s="82"/>
      <c r="C9589" s="33" t="s">
        <v>21619</v>
      </c>
    </row>
    <row r="9590">
      <c r="A9590" s="56" t="s">
        <v>21621</v>
      </c>
      <c r="B9590" s="82"/>
      <c r="C9590" s="33" t="s">
        <v>11373</v>
      </c>
      <c r="E9590" s="46" t="s">
        <v>7616</v>
      </c>
    </row>
    <row r="9591">
      <c r="A9591" s="56" t="s">
        <v>21622</v>
      </c>
      <c r="B9591" s="82"/>
      <c r="C9591" s="33" t="s">
        <v>11373</v>
      </c>
      <c r="E9591" s="46" t="s">
        <v>7618</v>
      </c>
    </row>
    <row r="9592">
      <c r="A9592" s="56" t="s">
        <v>21623</v>
      </c>
      <c r="B9592" s="82"/>
      <c r="C9592" s="33" t="s">
        <v>11376</v>
      </c>
      <c r="E9592" s="46" t="s">
        <v>7616</v>
      </c>
    </row>
    <row r="9593">
      <c r="A9593" s="56" t="s">
        <v>21625</v>
      </c>
      <c r="B9593" s="82"/>
      <c r="C9593" s="33" t="s">
        <v>11376</v>
      </c>
      <c r="E9593" s="46" t="s">
        <v>7618</v>
      </c>
    </row>
    <row r="9594">
      <c r="A9594" s="56" t="s">
        <v>21626</v>
      </c>
      <c r="B9594" s="82"/>
      <c r="C9594" s="33" t="s">
        <v>11380</v>
      </c>
      <c r="E9594" s="46" t="s">
        <v>7616</v>
      </c>
    </row>
    <row r="9595">
      <c r="A9595" s="56" t="s">
        <v>21628</v>
      </c>
      <c r="B9595" s="82"/>
      <c r="C9595" s="33" t="s">
        <v>11380</v>
      </c>
      <c r="E9595" s="46" t="s">
        <v>7618</v>
      </c>
    </row>
    <row r="9596">
      <c r="A9596" s="56" t="s">
        <v>21632</v>
      </c>
      <c r="B9596" s="79"/>
      <c r="C9596" s="33" t="s">
        <v>11384</v>
      </c>
      <c r="E9596" s="46" t="s">
        <v>1348</v>
      </c>
    </row>
    <row r="9597">
      <c r="A9597" s="56" t="s">
        <v>21634</v>
      </c>
      <c r="B9597" s="79"/>
      <c r="C9597" s="33" t="s">
        <v>11384</v>
      </c>
      <c r="E9597" s="46" t="s">
        <v>1348</v>
      </c>
    </row>
    <row r="9598">
      <c r="A9598" s="56" t="s">
        <v>21635</v>
      </c>
      <c r="B9598" s="79"/>
      <c r="C9598" s="33" t="s">
        <v>11389</v>
      </c>
      <c r="E9598" s="46" t="s">
        <v>1348</v>
      </c>
    </row>
    <row r="9599">
      <c r="A9599" s="56" t="s">
        <v>21637</v>
      </c>
      <c r="B9599" s="21"/>
      <c r="C9599" s="33" t="s">
        <v>11391</v>
      </c>
      <c r="E9599" s="46" t="s">
        <v>7616</v>
      </c>
    </row>
    <row r="9600">
      <c r="A9600" s="56" t="s">
        <v>21638</v>
      </c>
      <c r="B9600" s="21"/>
      <c r="C9600" s="33" t="s">
        <v>11391</v>
      </c>
      <c r="E9600" s="46" t="s">
        <v>7618</v>
      </c>
    </row>
    <row r="9601">
      <c r="A9601" s="56" t="s">
        <v>21641</v>
      </c>
      <c r="B9601" s="21"/>
      <c r="C9601" s="33" t="s">
        <v>11394</v>
      </c>
      <c r="E9601" s="46" t="s">
        <v>7616</v>
      </c>
    </row>
    <row r="9602">
      <c r="A9602" s="56" t="s">
        <v>21642</v>
      </c>
      <c r="B9602" s="21"/>
      <c r="C9602" s="33" t="s">
        <v>11394</v>
      </c>
      <c r="E9602" s="46" t="s">
        <v>7618</v>
      </c>
    </row>
    <row r="9603">
      <c r="A9603" s="56" t="s">
        <v>21647</v>
      </c>
      <c r="B9603" s="21"/>
      <c r="C9603" s="33" t="s">
        <v>11398</v>
      </c>
      <c r="E9603" s="46" t="s">
        <v>7616</v>
      </c>
    </row>
    <row r="9604">
      <c r="A9604" s="56" t="s">
        <v>21648</v>
      </c>
      <c r="B9604" s="21"/>
      <c r="C9604" s="33" t="s">
        <v>11398</v>
      </c>
      <c r="E9604" s="46" t="s">
        <v>7618</v>
      </c>
    </row>
    <row r="9605">
      <c r="A9605" s="56" t="s">
        <v>21649</v>
      </c>
      <c r="B9605" s="21"/>
      <c r="C9605" s="33" t="s">
        <v>11391</v>
      </c>
      <c r="E9605" s="46" t="s">
        <v>7616</v>
      </c>
    </row>
    <row r="9606">
      <c r="A9606" s="56" t="s">
        <v>21653</v>
      </c>
      <c r="B9606" s="21"/>
      <c r="C9606" s="33" t="s">
        <v>11391</v>
      </c>
      <c r="E9606" s="46" t="s">
        <v>7618</v>
      </c>
    </row>
    <row r="9607">
      <c r="A9607" s="56" t="s">
        <v>21654</v>
      </c>
      <c r="B9607" s="21"/>
      <c r="C9607" s="33" t="s">
        <v>11394</v>
      </c>
      <c r="E9607" s="46" t="s">
        <v>7616</v>
      </c>
    </row>
    <row r="9608">
      <c r="A9608" s="56" t="s">
        <v>21655</v>
      </c>
      <c r="B9608" s="21"/>
      <c r="C9608" s="33" t="s">
        <v>11394</v>
      </c>
      <c r="E9608" s="46" t="s">
        <v>7618</v>
      </c>
    </row>
    <row r="9609">
      <c r="A9609" s="56" t="s">
        <v>21656</v>
      </c>
      <c r="B9609" s="21"/>
      <c r="C9609" s="33" t="s">
        <v>11398</v>
      </c>
      <c r="E9609" s="46" t="s">
        <v>7616</v>
      </c>
    </row>
    <row r="9610">
      <c r="A9610" s="56" t="s">
        <v>21660</v>
      </c>
      <c r="B9610" s="21"/>
      <c r="C9610" s="33" t="s">
        <v>11398</v>
      </c>
      <c r="E9610" s="46" t="s">
        <v>7618</v>
      </c>
    </row>
    <row r="9611">
      <c r="A9611" s="56" t="s">
        <v>21661</v>
      </c>
      <c r="B9611" s="21"/>
      <c r="C9611" s="33" t="s">
        <v>11411</v>
      </c>
      <c r="E9611" s="46" t="s">
        <v>7616</v>
      </c>
    </row>
    <row r="9612">
      <c r="A9612" s="56" t="s">
        <v>21662</v>
      </c>
      <c r="B9612" s="21"/>
      <c r="C9612" s="33" t="s">
        <v>11411</v>
      </c>
      <c r="E9612" s="46" t="s">
        <v>7618</v>
      </c>
    </row>
    <row r="9613">
      <c r="A9613" s="56" t="s">
        <v>21663</v>
      </c>
      <c r="B9613" s="21"/>
      <c r="C9613" s="33" t="s">
        <v>11416</v>
      </c>
      <c r="E9613" s="46" t="s">
        <v>7616</v>
      </c>
    </row>
    <row r="9614">
      <c r="A9614" s="56" t="s">
        <v>21667</v>
      </c>
      <c r="B9614" s="21"/>
      <c r="C9614" s="33" t="s">
        <v>11416</v>
      </c>
      <c r="E9614" s="46" t="s">
        <v>7618</v>
      </c>
    </row>
    <row r="9615">
      <c r="A9615" s="56" t="s">
        <v>21669</v>
      </c>
      <c r="B9615" s="21"/>
      <c r="C9615" s="33" t="s">
        <v>11419</v>
      </c>
      <c r="E9615" s="46" t="s">
        <v>7616</v>
      </c>
    </row>
    <row r="9616">
      <c r="A9616" s="56" t="s">
        <v>21671</v>
      </c>
      <c r="B9616" s="21"/>
      <c r="C9616" s="33" t="s">
        <v>11419</v>
      </c>
      <c r="E9616" s="46" t="s">
        <v>7618</v>
      </c>
    </row>
    <row r="9617">
      <c r="A9617" s="56" t="s">
        <v>21672</v>
      </c>
      <c r="B9617" s="21"/>
      <c r="C9617" s="33" t="s">
        <v>11411</v>
      </c>
      <c r="E9617" s="46" t="s">
        <v>7616</v>
      </c>
    </row>
    <row r="9618">
      <c r="A9618" s="56" t="s">
        <v>21673</v>
      </c>
      <c r="B9618" s="21"/>
      <c r="C9618" s="33" t="s">
        <v>11411</v>
      </c>
      <c r="E9618" s="46" t="s">
        <v>7618</v>
      </c>
    </row>
    <row r="9619">
      <c r="A9619" s="56" t="s">
        <v>21676</v>
      </c>
      <c r="B9619" s="21"/>
      <c r="C9619" s="33" t="s">
        <v>11416</v>
      </c>
      <c r="E9619" s="46" t="s">
        <v>7616</v>
      </c>
    </row>
    <row r="9620">
      <c r="A9620" s="56" t="s">
        <v>21677</v>
      </c>
      <c r="B9620" s="21"/>
      <c r="C9620" s="33" t="s">
        <v>11416</v>
      </c>
      <c r="E9620" s="46" t="s">
        <v>7618</v>
      </c>
    </row>
    <row r="9621">
      <c r="A9621" s="56" t="s">
        <v>21679</v>
      </c>
      <c r="B9621" s="21"/>
      <c r="C9621" s="33" t="s">
        <v>11419</v>
      </c>
      <c r="E9621" s="46" t="s">
        <v>7616</v>
      </c>
    </row>
    <row r="9622">
      <c r="A9622" s="56" t="s">
        <v>21681</v>
      </c>
      <c r="B9622" s="21"/>
      <c r="C9622" s="33" t="s">
        <v>11419</v>
      </c>
      <c r="E9622" s="46" t="s">
        <v>7618</v>
      </c>
    </row>
    <row r="9623">
      <c r="A9623" s="56" t="s">
        <v>21683</v>
      </c>
      <c r="B9623" s="55"/>
      <c r="C9623" s="31"/>
    </row>
    <row r="9624">
      <c r="A9624" s="56" t="s">
        <v>21686</v>
      </c>
      <c r="B9624" s="55"/>
      <c r="C9624" s="31"/>
    </row>
    <row r="9625">
      <c r="A9625" s="56" t="s">
        <v>21687</v>
      </c>
      <c r="B9625" s="55"/>
      <c r="C9625" s="31"/>
    </row>
    <row r="9626">
      <c r="A9626" s="56" t="s">
        <v>21688</v>
      </c>
      <c r="B9626" s="55"/>
      <c r="C9626" s="31"/>
    </row>
    <row r="9627">
      <c r="A9627" s="56" t="s">
        <v>21689</v>
      </c>
      <c r="B9627" s="55"/>
      <c r="C9627" s="31"/>
    </row>
    <row r="9628">
      <c r="A9628" s="56" t="s">
        <v>21690</v>
      </c>
      <c r="B9628" s="55"/>
      <c r="C9628" s="31"/>
    </row>
    <row r="9629">
      <c r="A9629" s="56" t="s">
        <v>21691</v>
      </c>
      <c r="B9629" s="55"/>
      <c r="C9629" s="31"/>
    </row>
    <row r="9630">
      <c r="A9630" s="56" t="s">
        <v>21694</v>
      </c>
      <c r="B9630" s="82"/>
      <c r="C9630" s="33" t="s">
        <v>21696</v>
      </c>
    </row>
    <row r="9631">
      <c r="A9631" s="56" t="s">
        <v>21697</v>
      </c>
      <c r="B9631" s="55"/>
      <c r="C9631" s="31"/>
    </row>
    <row r="9632">
      <c r="A9632" s="56" t="s">
        <v>21698</v>
      </c>
      <c r="B9632" s="55"/>
      <c r="C9632" s="31"/>
    </row>
    <row r="9633">
      <c r="A9633" s="56" t="s">
        <v>21699</v>
      </c>
      <c r="B9633" s="55"/>
      <c r="C9633" s="31"/>
    </row>
    <row r="9634">
      <c r="A9634" s="56" t="s">
        <v>21700</v>
      </c>
      <c r="B9634" s="55"/>
      <c r="C9634" s="31"/>
    </row>
    <row r="9635">
      <c r="A9635" s="56" t="s">
        <v>21701</v>
      </c>
      <c r="B9635" s="55"/>
      <c r="C9635" s="31"/>
    </row>
    <row r="9636">
      <c r="A9636" s="56" t="s">
        <v>21702</v>
      </c>
      <c r="B9636" s="82"/>
      <c r="C9636" s="33" t="s">
        <v>21703</v>
      </c>
    </row>
    <row r="9637">
      <c r="A9637" s="56" t="s">
        <v>21706</v>
      </c>
      <c r="B9637" s="55"/>
      <c r="C9637" s="31"/>
    </row>
    <row r="9638">
      <c r="A9638" s="56" t="s">
        <v>21707</v>
      </c>
      <c r="B9638" s="55"/>
      <c r="C9638" s="31"/>
    </row>
    <row r="9639">
      <c r="A9639" s="56" t="s">
        <v>21708</v>
      </c>
      <c r="B9639" s="55"/>
      <c r="C9639" s="31"/>
    </row>
    <row r="9640">
      <c r="A9640" s="56" t="s">
        <v>21709</v>
      </c>
      <c r="B9640" s="55"/>
      <c r="C9640" s="31"/>
    </row>
    <row r="9641">
      <c r="A9641" s="56" t="s">
        <v>21710</v>
      </c>
      <c r="B9641" s="55"/>
      <c r="C9641" s="31"/>
    </row>
    <row r="9642">
      <c r="A9642" s="56" t="s">
        <v>21711</v>
      </c>
      <c r="B9642" s="55"/>
      <c r="C9642" s="31"/>
    </row>
    <row r="9643">
      <c r="A9643" s="56" t="s">
        <v>21712</v>
      </c>
      <c r="B9643" s="55"/>
      <c r="C9643" s="31"/>
    </row>
    <row r="9644">
      <c r="A9644" s="56" t="s">
        <v>21715</v>
      </c>
      <c r="B9644" s="55"/>
      <c r="C9644" s="31"/>
    </row>
    <row r="9645">
      <c r="A9645" s="56" t="s">
        <v>21716</v>
      </c>
      <c r="B9645" s="55"/>
      <c r="C9645" s="31"/>
    </row>
    <row r="9646">
      <c r="A9646" s="56" t="s">
        <v>21717</v>
      </c>
      <c r="B9646" s="55"/>
      <c r="C9646" s="31"/>
    </row>
    <row r="9647">
      <c r="A9647" s="56" t="s">
        <v>21718</v>
      </c>
      <c r="B9647" s="55"/>
      <c r="C9647" s="31"/>
    </row>
    <row r="9648">
      <c r="A9648" s="56" t="s">
        <v>21719</v>
      </c>
      <c r="B9648" s="55"/>
      <c r="C9648" s="31"/>
    </row>
    <row r="9649">
      <c r="A9649" s="56" t="s">
        <v>21720</v>
      </c>
      <c r="B9649" s="55"/>
      <c r="C9649" s="31"/>
    </row>
    <row r="9650">
      <c r="A9650" s="56" t="s">
        <v>21721</v>
      </c>
      <c r="B9650" s="55"/>
      <c r="C9650" s="31"/>
    </row>
    <row r="9651">
      <c r="A9651" s="56" t="s">
        <v>21723</v>
      </c>
      <c r="B9651" s="55"/>
      <c r="C9651" s="31"/>
    </row>
    <row r="9652">
      <c r="A9652" s="56" t="s">
        <v>21726</v>
      </c>
      <c r="B9652" s="55"/>
      <c r="C9652" s="31"/>
    </row>
    <row r="9653">
      <c r="A9653" s="56" t="s">
        <v>21727</v>
      </c>
      <c r="B9653" s="55"/>
      <c r="C9653" s="31"/>
    </row>
    <row r="9654">
      <c r="A9654" s="56" t="s">
        <v>21728</v>
      </c>
      <c r="B9654" s="55"/>
      <c r="C9654" s="31"/>
    </row>
    <row r="9655">
      <c r="A9655" s="56" t="s">
        <v>21729</v>
      </c>
      <c r="B9655" s="55"/>
      <c r="C9655" s="31"/>
    </row>
    <row r="9656">
      <c r="A9656" s="56" t="s">
        <v>21730</v>
      </c>
      <c r="B9656" s="55"/>
      <c r="C9656" s="31"/>
    </row>
    <row r="9657">
      <c r="A9657" s="56" t="s">
        <v>21731</v>
      </c>
      <c r="B9657" s="55"/>
      <c r="C9657" s="31"/>
    </row>
    <row r="9658">
      <c r="A9658" s="56" t="s">
        <v>21732</v>
      </c>
      <c r="B9658" s="55"/>
      <c r="C9658" s="31"/>
    </row>
    <row r="9659">
      <c r="A9659" s="56" t="s">
        <v>21734</v>
      </c>
      <c r="B9659" s="55"/>
      <c r="C9659" s="31"/>
    </row>
    <row r="9660">
      <c r="A9660" s="56" t="s">
        <v>21736</v>
      </c>
      <c r="B9660" s="55"/>
      <c r="C9660" s="31"/>
    </row>
    <row r="9661">
      <c r="A9661" s="56" t="s">
        <v>21737</v>
      </c>
      <c r="B9661" s="55"/>
      <c r="C9661" s="31"/>
    </row>
    <row r="9662">
      <c r="A9662" s="56" t="s">
        <v>21738</v>
      </c>
      <c r="B9662" s="55"/>
      <c r="C9662" s="31"/>
    </row>
    <row r="9663">
      <c r="A9663" s="56" t="s">
        <v>21739</v>
      </c>
      <c r="B9663" s="55"/>
      <c r="C9663" s="31"/>
    </row>
    <row r="9664">
      <c r="A9664" s="56" t="s">
        <v>21740</v>
      </c>
      <c r="B9664" s="55"/>
      <c r="C9664" s="31"/>
    </row>
    <row r="9665">
      <c r="A9665" s="56" t="s">
        <v>21741</v>
      </c>
      <c r="B9665" s="55"/>
      <c r="C9665" s="31"/>
    </row>
    <row r="9666">
      <c r="A9666" s="56" t="s">
        <v>21742</v>
      </c>
      <c r="B9666" s="55"/>
      <c r="C9666" s="31"/>
    </row>
    <row r="9667">
      <c r="A9667" s="56" t="s">
        <v>21745</v>
      </c>
      <c r="B9667" s="55"/>
      <c r="C9667" s="31"/>
    </row>
    <row r="9668">
      <c r="A9668" s="56" t="s">
        <v>21746</v>
      </c>
      <c r="B9668" s="55"/>
      <c r="C9668" s="31"/>
    </row>
    <row r="9669">
      <c r="A9669" s="56" t="s">
        <v>21747</v>
      </c>
      <c r="B9669" s="55"/>
      <c r="C9669" s="31"/>
    </row>
    <row r="9670">
      <c r="A9670" s="56" t="s">
        <v>21748</v>
      </c>
      <c r="B9670" s="55"/>
      <c r="C9670" s="31"/>
    </row>
    <row r="9671">
      <c r="A9671" s="56" t="s">
        <v>21749</v>
      </c>
      <c r="B9671" s="55"/>
      <c r="C9671" s="31"/>
    </row>
    <row r="9672">
      <c r="A9672" s="56" t="s">
        <v>21751</v>
      </c>
      <c r="B9672" s="55"/>
      <c r="C9672" s="31"/>
    </row>
    <row r="9673">
      <c r="A9673" s="56" t="s">
        <v>21752</v>
      </c>
      <c r="B9673" s="55"/>
      <c r="C9673" s="31"/>
    </row>
    <row r="9674">
      <c r="A9674" s="56" t="s">
        <v>21754</v>
      </c>
      <c r="B9674" s="55"/>
      <c r="C9674" s="31"/>
    </row>
    <row r="9675">
      <c r="A9675" s="56" t="s">
        <v>21756</v>
      </c>
      <c r="B9675" s="55"/>
      <c r="C9675" s="31"/>
    </row>
    <row r="9676">
      <c r="A9676" s="56" t="s">
        <v>21757</v>
      </c>
      <c r="B9676" s="55"/>
      <c r="C9676" s="31"/>
    </row>
    <row r="9677">
      <c r="A9677" s="56" t="s">
        <v>21758</v>
      </c>
      <c r="B9677" s="55"/>
      <c r="C9677" s="31"/>
    </row>
    <row r="9678">
      <c r="A9678" s="56" t="s">
        <v>21759</v>
      </c>
      <c r="B9678" s="55"/>
      <c r="C9678" s="31"/>
    </row>
    <row r="9679">
      <c r="A9679" s="56" t="s">
        <v>21760</v>
      </c>
      <c r="B9679" s="55"/>
      <c r="C9679" s="31"/>
    </row>
    <row r="9680">
      <c r="A9680" s="56" t="s">
        <v>21761</v>
      </c>
      <c r="B9680" s="55"/>
      <c r="C9680" s="31"/>
    </row>
    <row r="9681">
      <c r="A9681" s="56" t="s">
        <v>21762</v>
      </c>
      <c r="B9681" s="55"/>
      <c r="C9681" s="31"/>
    </row>
    <row r="9682">
      <c r="A9682" s="56" t="s">
        <v>21764</v>
      </c>
      <c r="B9682" s="55"/>
      <c r="C9682" s="31"/>
    </row>
    <row r="9683">
      <c r="A9683" s="56" t="s">
        <v>21766</v>
      </c>
      <c r="B9683" s="55"/>
      <c r="C9683" s="31"/>
    </row>
    <row r="9684">
      <c r="A9684" s="56" t="s">
        <v>21768</v>
      </c>
      <c r="B9684" s="55"/>
      <c r="C9684" s="31"/>
    </row>
    <row r="9685">
      <c r="A9685" s="56" t="s">
        <v>21769</v>
      </c>
      <c r="B9685" s="55"/>
      <c r="C9685" s="31"/>
    </row>
    <row r="9686">
      <c r="A9686" s="56" t="s">
        <v>21770</v>
      </c>
      <c r="B9686" s="55"/>
      <c r="C9686" s="31"/>
    </row>
    <row r="9687">
      <c r="A9687" s="56" t="s">
        <v>21771</v>
      </c>
      <c r="B9687" s="55"/>
      <c r="C9687" s="31"/>
    </row>
    <row r="9688">
      <c r="A9688" s="56" t="s">
        <v>21772</v>
      </c>
      <c r="B9688" s="55"/>
      <c r="C9688" s="31"/>
    </row>
    <row r="9689">
      <c r="A9689" s="56" t="s">
        <v>21773</v>
      </c>
      <c r="B9689" s="55"/>
      <c r="C9689" s="31"/>
    </row>
    <row r="9690">
      <c r="A9690" s="56" t="s">
        <v>21774</v>
      </c>
      <c r="B9690" s="82"/>
      <c r="C9690" s="33" t="s">
        <v>21776</v>
      </c>
    </row>
    <row r="9691">
      <c r="A9691" s="56" t="s">
        <v>21778</v>
      </c>
      <c r="B9691" s="55"/>
      <c r="C9691" s="31"/>
    </row>
    <row r="9692">
      <c r="A9692" s="56" t="s">
        <v>21780</v>
      </c>
      <c r="B9692" s="55"/>
      <c r="C9692" s="31"/>
    </row>
    <row r="9693">
      <c r="A9693" s="56" t="s">
        <v>21781</v>
      </c>
      <c r="B9693" s="55"/>
      <c r="C9693" s="31"/>
    </row>
    <row r="9694">
      <c r="A9694" s="56" t="s">
        <v>21782</v>
      </c>
      <c r="B9694" s="55"/>
      <c r="C9694" s="31"/>
    </row>
    <row r="9695">
      <c r="A9695" s="56" t="s">
        <v>21783</v>
      </c>
      <c r="B9695" s="55"/>
      <c r="C9695" s="31"/>
    </row>
    <row r="9696">
      <c r="A9696" s="56" t="s">
        <v>21784</v>
      </c>
      <c r="B9696" s="55"/>
      <c r="C9696" s="31"/>
    </row>
    <row r="9697">
      <c r="A9697" s="56" t="s">
        <v>21785</v>
      </c>
      <c r="B9697" s="55"/>
      <c r="C9697" s="31"/>
    </row>
    <row r="9698">
      <c r="A9698" s="56" t="s">
        <v>21787</v>
      </c>
      <c r="B9698" s="55"/>
      <c r="C9698" s="31"/>
    </row>
    <row r="9699">
      <c r="A9699" s="56" t="s">
        <v>21789</v>
      </c>
      <c r="B9699" s="55"/>
      <c r="C9699" s="31"/>
    </row>
    <row r="9700">
      <c r="A9700" s="56" t="s">
        <v>21791</v>
      </c>
      <c r="B9700" s="55"/>
      <c r="C9700" s="31"/>
    </row>
    <row r="9701">
      <c r="A9701" s="56" t="s">
        <v>21792</v>
      </c>
      <c r="B9701" s="55"/>
      <c r="C9701" s="31"/>
    </row>
    <row r="9702">
      <c r="A9702" s="56" t="s">
        <v>21793</v>
      </c>
      <c r="B9702" s="55"/>
      <c r="C9702" s="31"/>
    </row>
    <row r="9703">
      <c r="A9703" s="56" t="s">
        <v>21794</v>
      </c>
      <c r="B9703" s="55"/>
      <c r="C9703" s="31"/>
    </row>
    <row r="9704">
      <c r="A9704" s="56" t="s">
        <v>21795</v>
      </c>
      <c r="B9704" s="55"/>
      <c r="C9704" s="31"/>
    </row>
    <row r="9705">
      <c r="A9705" s="56" t="s">
        <v>21796</v>
      </c>
      <c r="B9705" s="55"/>
      <c r="C9705" s="31"/>
    </row>
    <row r="9706">
      <c r="A9706" s="56" t="s">
        <v>21797</v>
      </c>
      <c r="B9706" s="55"/>
      <c r="C9706" s="31"/>
    </row>
    <row r="9707">
      <c r="A9707" s="56" t="s">
        <v>21799</v>
      </c>
      <c r="B9707" s="82"/>
      <c r="C9707" s="33" t="s">
        <v>21801</v>
      </c>
    </row>
    <row r="9708">
      <c r="A9708" s="56" t="s">
        <v>21802</v>
      </c>
      <c r="B9708" s="82"/>
      <c r="C9708" s="33" t="s">
        <v>11373</v>
      </c>
      <c r="E9708" s="46" t="s">
        <v>7616</v>
      </c>
    </row>
    <row r="9709">
      <c r="A9709" s="56" t="s">
        <v>21804</v>
      </c>
      <c r="B9709" s="82"/>
      <c r="C9709" s="33" t="s">
        <v>11373</v>
      </c>
      <c r="E9709" s="46" t="s">
        <v>7618</v>
      </c>
    </row>
    <row r="9710">
      <c r="A9710" s="56" t="s">
        <v>21805</v>
      </c>
      <c r="B9710" s="82"/>
      <c r="C9710" s="33" t="s">
        <v>11376</v>
      </c>
      <c r="E9710" s="46" t="s">
        <v>7616</v>
      </c>
    </row>
    <row r="9711">
      <c r="A9711" s="56" t="s">
        <v>21806</v>
      </c>
      <c r="B9711" s="82"/>
      <c r="C9711" s="33" t="s">
        <v>11376</v>
      </c>
      <c r="E9711" s="46" t="s">
        <v>7618</v>
      </c>
    </row>
    <row r="9712">
      <c r="A9712" s="56" t="s">
        <v>21807</v>
      </c>
      <c r="B9712" s="82"/>
      <c r="C9712" s="33" t="s">
        <v>11380</v>
      </c>
      <c r="E9712" s="46" t="s">
        <v>7616</v>
      </c>
    </row>
    <row r="9713">
      <c r="A9713" s="56" t="s">
        <v>21809</v>
      </c>
      <c r="B9713" s="82"/>
      <c r="C9713" s="33" t="s">
        <v>11380</v>
      </c>
      <c r="E9713" s="46" t="s">
        <v>7618</v>
      </c>
    </row>
    <row r="9714">
      <c r="A9714" s="56" t="s">
        <v>21810</v>
      </c>
      <c r="B9714" s="79"/>
      <c r="C9714" s="33" t="s">
        <v>11384</v>
      </c>
      <c r="E9714" s="46" t="s">
        <v>1348</v>
      </c>
    </row>
    <row r="9715">
      <c r="A9715" s="56" t="s">
        <v>21811</v>
      </c>
      <c r="B9715" s="79"/>
      <c r="C9715" s="33" t="s">
        <v>11384</v>
      </c>
      <c r="E9715" s="46" t="s">
        <v>1348</v>
      </c>
    </row>
    <row r="9716">
      <c r="A9716" s="56" t="s">
        <v>21813</v>
      </c>
      <c r="B9716" s="79"/>
      <c r="C9716" s="33" t="s">
        <v>11389</v>
      </c>
      <c r="E9716" s="46" t="s">
        <v>1348</v>
      </c>
    </row>
    <row r="9717">
      <c r="A9717" s="56" t="s">
        <v>21815</v>
      </c>
      <c r="B9717" s="21"/>
      <c r="C9717" s="33" t="s">
        <v>11391</v>
      </c>
      <c r="E9717" s="46" t="s">
        <v>7616</v>
      </c>
    </row>
    <row r="9718">
      <c r="A9718" s="56" t="s">
        <v>21817</v>
      </c>
      <c r="B9718" s="21"/>
      <c r="C9718" s="33" t="s">
        <v>11391</v>
      </c>
      <c r="E9718" s="46" t="s">
        <v>7618</v>
      </c>
    </row>
    <row r="9719">
      <c r="A9719" s="56" t="s">
        <v>21818</v>
      </c>
      <c r="B9719" s="21"/>
      <c r="C9719" s="33" t="s">
        <v>11394</v>
      </c>
      <c r="E9719" s="46" t="s">
        <v>7616</v>
      </c>
    </row>
    <row r="9720">
      <c r="A9720" s="56" t="s">
        <v>21819</v>
      </c>
      <c r="B9720" s="21"/>
      <c r="C9720" s="33" t="s">
        <v>11394</v>
      </c>
      <c r="E9720" s="46" t="s">
        <v>7618</v>
      </c>
    </row>
    <row r="9721">
      <c r="A9721" s="56" t="s">
        <v>21820</v>
      </c>
      <c r="B9721" s="21"/>
      <c r="C9721" s="33" t="s">
        <v>11398</v>
      </c>
      <c r="E9721" s="46" t="s">
        <v>7616</v>
      </c>
    </row>
    <row r="9722">
      <c r="A9722" s="56" t="s">
        <v>21821</v>
      </c>
      <c r="B9722" s="21"/>
      <c r="C9722" s="33" t="s">
        <v>11398</v>
      </c>
      <c r="E9722" s="46" t="s">
        <v>7618</v>
      </c>
    </row>
    <row r="9723">
      <c r="A9723" s="56" t="s">
        <v>21822</v>
      </c>
      <c r="B9723" s="21"/>
      <c r="C9723" s="33" t="s">
        <v>11391</v>
      </c>
      <c r="E9723" s="46" t="s">
        <v>7616</v>
      </c>
    </row>
    <row r="9724">
      <c r="A9724" s="56" t="s">
        <v>21824</v>
      </c>
      <c r="B9724" s="21"/>
      <c r="C9724" s="33" t="s">
        <v>11391</v>
      </c>
      <c r="E9724" s="46" t="s">
        <v>7618</v>
      </c>
    </row>
    <row r="9725">
      <c r="A9725" s="56" t="s">
        <v>21827</v>
      </c>
      <c r="B9725" s="21"/>
      <c r="C9725" s="33" t="s">
        <v>11394</v>
      </c>
      <c r="E9725" s="46" t="s">
        <v>7616</v>
      </c>
    </row>
    <row r="9726">
      <c r="A9726" s="56" t="s">
        <v>21828</v>
      </c>
      <c r="B9726" s="21"/>
      <c r="C9726" s="33" t="s">
        <v>11394</v>
      </c>
      <c r="E9726" s="46" t="s">
        <v>7618</v>
      </c>
    </row>
    <row r="9727">
      <c r="A9727" s="56" t="s">
        <v>21829</v>
      </c>
      <c r="B9727" s="21"/>
      <c r="C9727" s="33" t="s">
        <v>11398</v>
      </c>
      <c r="E9727" s="46" t="s">
        <v>7616</v>
      </c>
    </row>
    <row r="9728">
      <c r="A9728" s="56" t="s">
        <v>21830</v>
      </c>
      <c r="B9728" s="21"/>
      <c r="C9728" s="33" t="s">
        <v>11398</v>
      </c>
      <c r="E9728" s="46" t="s">
        <v>7618</v>
      </c>
    </row>
    <row r="9729">
      <c r="A9729" s="56" t="s">
        <v>21831</v>
      </c>
      <c r="B9729" s="21"/>
      <c r="C9729" s="33" t="s">
        <v>11411</v>
      </c>
      <c r="E9729" s="46" t="s">
        <v>7616</v>
      </c>
    </row>
    <row r="9730">
      <c r="A9730" s="56" t="s">
        <v>21832</v>
      </c>
      <c r="B9730" s="21"/>
      <c r="C9730" s="33" t="s">
        <v>11411</v>
      </c>
      <c r="E9730" s="46" t="s">
        <v>7618</v>
      </c>
    </row>
    <row r="9731">
      <c r="A9731" s="56" t="s">
        <v>21833</v>
      </c>
      <c r="B9731" s="21"/>
      <c r="C9731" s="33" t="s">
        <v>11416</v>
      </c>
      <c r="E9731" s="46" t="s">
        <v>7616</v>
      </c>
    </row>
    <row r="9732">
      <c r="A9732" s="56" t="s">
        <v>21835</v>
      </c>
      <c r="B9732" s="21"/>
      <c r="C9732" s="33" t="s">
        <v>11416</v>
      </c>
      <c r="E9732" s="46" t="s">
        <v>7618</v>
      </c>
    </row>
    <row r="9733">
      <c r="A9733" s="56" t="s">
        <v>21837</v>
      </c>
      <c r="B9733" s="21"/>
      <c r="C9733" s="33" t="s">
        <v>11419</v>
      </c>
      <c r="E9733" s="46" t="s">
        <v>7616</v>
      </c>
    </row>
    <row r="9734">
      <c r="A9734" s="56" t="s">
        <v>21839</v>
      </c>
      <c r="B9734" s="21"/>
      <c r="C9734" s="33" t="s">
        <v>11419</v>
      </c>
      <c r="E9734" s="46" t="s">
        <v>7618</v>
      </c>
    </row>
    <row r="9735">
      <c r="A9735" s="56" t="s">
        <v>21840</v>
      </c>
      <c r="B9735" s="21"/>
      <c r="C9735" s="33" t="s">
        <v>11411</v>
      </c>
      <c r="E9735" s="46" t="s">
        <v>7616</v>
      </c>
    </row>
    <row r="9736">
      <c r="A9736" s="56" t="s">
        <v>21841</v>
      </c>
      <c r="B9736" s="21"/>
      <c r="C9736" s="33" t="s">
        <v>11411</v>
      </c>
      <c r="E9736" s="46" t="s">
        <v>7618</v>
      </c>
    </row>
    <row r="9737">
      <c r="A9737" s="56" t="s">
        <v>21842</v>
      </c>
      <c r="B9737" s="21"/>
      <c r="C9737" s="33" t="s">
        <v>11416</v>
      </c>
      <c r="E9737" s="46" t="s">
        <v>7616</v>
      </c>
    </row>
    <row r="9738">
      <c r="A9738" s="56" t="s">
        <v>21844</v>
      </c>
      <c r="B9738" s="21"/>
      <c r="C9738" s="33" t="s">
        <v>11416</v>
      </c>
      <c r="E9738" s="46" t="s">
        <v>7618</v>
      </c>
    </row>
    <row r="9739">
      <c r="A9739" s="56" t="s">
        <v>21845</v>
      </c>
      <c r="B9739" s="21"/>
      <c r="C9739" s="33" t="s">
        <v>11419</v>
      </c>
      <c r="E9739" s="46" t="s">
        <v>7616</v>
      </c>
    </row>
    <row r="9740">
      <c r="A9740" s="56" t="s">
        <v>21846</v>
      </c>
      <c r="B9740" s="21"/>
      <c r="C9740" s="33" t="s">
        <v>11419</v>
      </c>
      <c r="E9740" s="46" t="s">
        <v>7618</v>
      </c>
    </row>
    <row r="9741">
      <c r="A9741" s="56" t="s">
        <v>21847</v>
      </c>
      <c r="B9741" s="55"/>
      <c r="C9741" s="31"/>
    </row>
    <row r="9742">
      <c r="A9742" s="56" t="s">
        <v>21849</v>
      </c>
      <c r="B9742" s="55"/>
      <c r="C9742" s="31"/>
    </row>
    <row r="9743">
      <c r="A9743" s="56" t="s">
        <v>21851</v>
      </c>
      <c r="B9743" s="55"/>
      <c r="C9743" s="31"/>
    </row>
    <row r="9744">
      <c r="A9744" s="56" t="s">
        <v>21853</v>
      </c>
      <c r="B9744" s="55"/>
      <c r="C9744" s="31"/>
    </row>
    <row r="9745">
      <c r="A9745" s="56" t="s">
        <v>21854</v>
      </c>
      <c r="B9745" s="82"/>
      <c r="C9745" s="33" t="s">
        <v>21855</v>
      </c>
    </row>
    <row r="9746">
      <c r="A9746" s="56" t="s">
        <v>21856</v>
      </c>
      <c r="B9746" s="82"/>
      <c r="C9746" s="33" t="s">
        <v>11373</v>
      </c>
      <c r="E9746" s="46" t="s">
        <v>7616</v>
      </c>
    </row>
    <row r="9747">
      <c r="A9747" s="56" t="s">
        <v>21857</v>
      </c>
      <c r="B9747" s="82"/>
      <c r="C9747" s="33" t="s">
        <v>11373</v>
      </c>
      <c r="E9747" s="46" t="s">
        <v>7618</v>
      </c>
    </row>
    <row r="9748">
      <c r="A9748" s="56" t="s">
        <v>21858</v>
      </c>
      <c r="B9748" s="82"/>
      <c r="C9748" s="33" t="s">
        <v>11376</v>
      </c>
      <c r="E9748" s="46" t="s">
        <v>7616</v>
      </c>
    </row>
    <row r="9749">
      <c r="A9749" s="56" t="s">
        <v>21859</v>
      </c>
      <c r="B9749" s="82"/>
      <c r="C9749" s="33" t="s">
        <v>11376</v>
      </c>
      <c r="E9749" s="46" t="s">
        <v>7618</v>
      </c>
    </row>
    <row r="9750">
      <c r="A9750" s="56" t="s">
        <v>21861</v>
      </c>
      <c r="B9750" s="82"/>
      <c r="C9750" s="33" t="s">
        <v>11380</v>
      </c>
      <c r="E9750" s="46" t="s">
        <v>7616</v>
      </c>
    </row>
    <row r="9751">
      <c r="A9751" s="56" t="s">
        <v>21863</v>
      </c>
      <c r="B9751" s="82"/>
      <c r="C9751" s="33" t="s">
        <v>11380</v>
      </c>
      <c r="E9751" s="46" t="s">
        <v>7618</v>
      </c>
    </row>
    <row r="9752">
      <c r="A9752" s="56" t="s">
        <v>21865</v>
      </c>
      <c r="B9752" s="79"/>
      <c r="C9752" s="33" t="s">
        <v>11384</v>
      </c>
      <c r="E9752" s="46" t="s">
        <v>1348</v>
      </c>
    </row>
    <row r="9753">
      <c r="A9753" s="56" t="s">
        <v>21866</v>
      </c>
      <c r="B9753" s="79"/>
      <c r="C9753" s="33" t="s">
        <v>11384</v>
      </c>
      <c r="E9753" s="46" t="s">
        <v>1348</v>
      </c>
    </row>
    <row r="9754">
      <c r="A9754" s="56" t="s">
        <v>21867</v>
      </c>
      <c r="B9754" s="79"/>
      <c r="C9754" s="33" t="s">
        <v>11389</v>
      </c>
      <c r="E9754" s="46" t="s">
        <v>1348</v>
      </c>
    </row>
    <row r="9755">
      <c r="A9755" s="56" t="s">
        <v>21869</v>
      </c>
      <c r="B9755" s="21"/>
      <c r="C9755" s="33" t="s">
        <v>11391</v>
      </c>
      <c r="E9755" s="46" t="s">
        <v>7616</v>
      </c>
    </row>
    <row r="9756">
      <c r="A9756" s="56" t="s">
        <v>21870</v>
      </c>
      <c r="B9756" s="21"/>
      <c r="C9756" s="33" t="s">
        <v>11391</v>
      </c>
      <c r="E9756" s="46" t="s">
        <v>7618</v>
      </c>
    </row>
    <row r="9757">
      <c r="A9757" s="56" t="s">
        <v>21871</v>
      </c>
      <c r="B9757" s="21"/>
      <c r="C9757" s="33" t="s">
        <v>11394</v>
      </c>
      <c r="E9757" s="46" t="s">
        <v>7616</v>
      </c>
    </row>
    <row r="9758">
      <c r="A9758" s="56" t="s">
        <v>21872</v>
      </c>
      <c r="B9758" s="21"/>
      <c r="C9758" s="33" t="s">
        <v>11394</v>
      </c>
      <c r="E9758" s="46" t="s">
        <v>7618</v>
      </c>
    </row>
    <row r="9759">
      <c r="A9759" s="56" t="s">
        <v>21873</v>
      </c>
      <c r="B9759" s="21"/>
      <c r="C9759" s="33" t="s">
        <v>11398</v>
      </c>
      <c r="E9759" s="46" t="s">
        <v>7616</v>
      </c>
    </row>
    <row r="9760">
      <c r="A9760" s="56" t="s">
        <v>21876</v>
      </c>
      <c r="B9760" s="21"/>
      <c r="C9760" s="33" t="s">
        <v>11398</v>
      </c>
      <c r="E9760" s="46" t="s">
        <v>7618</v>
      </c>
    </row>
    <row r="9761">
      <c r="A9761" s="56" t="s">
        <v>21878</v>
      </c>
      <c r="B9761" s="21"/>
      <c r="C9761" s="33" t="s">
        <v>11391</v>
      </c>
      <c r="E9761" s="46" t="s">
        <v>7616</v>
      </c>
    </row>
    <row r="9762">
      <c r="A9762" s="56" t="s">
        <v>21879</v>
      </c>
      <c r="B9762" s="21"/>
      <c r="C9762" s="33" t="s">
        <v>11391</v>
      </c>
      <c r="E9762" s="46" t="s">
        <v>7618</v>
      </c>
    </row>
    <row r="9763">
      <c r="A9763" s="56" t="s">
        <v>21880</v>
      </c>
      <c r="B9763" s="21"/>
      <c r="C9763" s="33" t="s">
        <v>11394</v>
      </c>
      <c r="E9763" s="46" t="s">
        <v>7616</v>
      </c>
    </row>
    <row r="9764">
      <c r="A9764" s="56" t="s">
        <v>21881</v>
      </c>
      <c r="B9764" s="21"/>
      <c r="C9764" s="33" t="s">
        <v>11394</v>
      </c>
      <c r="E9764" s="46" t="s">
        <v>7618</v>
      </c>
    </row>
    <row r="9765">
      <c r="A9765" s="56" t="s">
        <v>21883</v>
      </c>
      <c r="B9765" s="21"/>
      <c r="C9765" s="33" t="s">
        <v>11398</v>
      </c>
      <c r="E9765" s="46" t="s">
        <v>7616</v>
      </c>
    </row>
    <row r="9766">
      <c r="A9766" s="56" t="s">
        <v>21884</v>
      </c>
      <c r="B9766" s="21"/>
      <c r="C9766" s="33" t="s">
        <v>11398</v>
      </c>
      <c r="E9766" s="46" t="s">
        <v>7618</v>
      </c>
    </row>
    <row r="9767">
      <c r="A9767" s="56" t="s">
        <v>21887</v>
      </c>
      <c r="B9767" s="21"/>
      <c r="C9767" s="33" t="s">
        <v>11411</v>
      </c>
      <c r="E9767" s="46" t="s">
        <v>7616</v>
      </c>
    </row>
    <row r="9768">
      <c r="A9768" s="56" t="s">
        <v>21888</v>
      </c>
      <c r="B9768" s="21"/>
      <c r="C9768" s="33" t="s">
        <v>11411</v>
      </c>
      <c r="E9768" s="46" t="s">
        <v>7618</v>
      </c>
    </row>
    <row r="9769">
      <c r="A9769" s="56" t="s">
        <v>21890</v>
      </c>
      <c r="B9769" s="21"/>
      <c r="C9769" s="33" t="s">
        <v>11416</v>
      </c>
      <c r="E9769" s="46" t="s">
        <v>7616</v>
      </c>
    </row>
    <row r="9770">
      <c r="A9770" s="56" t="s">
        <v>21891</v>
      </c>
      <c r="B9770" s="21"/>
      <c r="C9770" s="33" t="s">
        <v>11416</v>
      </c>
      <c r="E9770" s="46" t="s">
        <v>7618</v>
      </c>
    </row>
    <row r="9771">
      <c r="A9771" s="56" t="s">
        <v>21892</v>
      </c>
      <c r="B9771" s="21"/>
      <c r="C9771" s="33" t="s">
        <v>11419</v>
      </c>
      <c r="E9771" s="46" t="s">
        <v>7616</v>
      </c>
    </row>
    <row r="9772">
      <c r="A9772" s="56" t="s">
        <v>21894</v>
      </c>
      <c r="B9772" s="21"/>
      <c r="C9772" s="33" t="s">
        <v>11419</v>
      </c>
      <c r="E9772" s="46" t="s">
        <v>7618</v>
      </c>
    </row>
    <row r="9773">
      <c r="A9773" s="56" t="s">
        <v>21897</v>
      </c>
      <c r="B9773" s="21"/>
      <c r="C9773" s="33" t="s">
        <v>11411</v>
      </c>
      <c r="E9773" s="46" t="s">
        <v>7616</v>
      </c>
    </row>
    <row r="9774">
      <c r="A9774" s="56" t="s">
        <v>21898</v>
      </c>
      <c r="B9774" s="21"/>
      <c r="C9774" s="33" t="s">
        <v>11411</v>
      </c>
      <c r="E9774" s="46" t="s">
        <v>7618</v>
      </c>
    </row>
    <row r="9775">
      <c r="A9775" s="56" t="s">
        <v>21900</v>
      </c>
      <c r="B9775" s="21"/>
      <c r="C9775" s="33" t="s">
        <v>11416</v>
      </c>
      <c r="E9775" s="46" t="s">
        <v>7616</v>
      </c>
    </row>
    <row r="9776">
      <c r="A9776" s="56" t="s">
        <v>21901</v>
      </c>
      <c r="B9776" s="21"/>
      <c r="C9776" s="33" t="s">
        <v>11416</v>
      </c>
      <c r="E9776" s="46" t="s">
        <v>7618</v>
      </c>
    </row>
    <row r="9777">
      <c r="A9777" s="56" t="s">
        <v>21905</v>
      </c>
      <c r="B9777" s="21"/>
      <c r="C9777" s="33" t="s">
        <v>11419</v>
      </c>
      <c r="E9777" s="46" t="s">
        <v>7616</v>
      </c>
    </row>
    <row r="9778">
      <c r="A9778" s="56" t="s">
        <v>21907</v>
      </c>
      <c r="B9778" s="21"/>
      <c r="C9778" s="33" t="s">
        <v>11419</v>
      </c>
      <c r="E9778" s="46" t="s">
        <v>7618</v>
      </c>
    </row>
    <row r="9779">
      <c r="A9779" s="56" t="s">
        <v>21908</v>
      </c>
      <c r="B9779" s="55"/>
      <c r="C9779" s="31"/>
    </row>
    <row r="9780">
      <c r="A9780" s="56" t="s">
        <v>21910</v>
      </c>
      <c r="B9780" s="55"/>
      <c r="C9780" s="31"/>
    </row>
    <row r="9781">
      <c r="A9781" s="56" t="s">
        <v>21912</v>
      </c>
      <c r="B9781" s="55"/>
      <c r="C9781" s="31"/>
    </row>
    <row r="9782">
      <c r="A9782" s="56" t="s">
        <v>21914</v>
      </c>
      <c r="B9782" s="55"/>
      <c r="C9782" s="31"/>
    </row>
    <row r="9783">
      <c r="A9783" s="56" t="s">
        <v>21915</v>
      </c>
      <c r="B9783" s="82"/>
      <c r="C9783" s="33" t="s">
        <v>21917</v>
      </c>
    </row>
    <row r="9784">
      <c r="A9784" s="56" t="s">
        <v>21918</v>
      </c>
      <c r="B9784" s="55"/>
      <c r="C9784" s="31"/>
    </row>
    <row r="9785">
      <c r="A9785" s="56" t="s">
        <v>21919</v>
      </c>
      <c r="B9785" s="55"/>
      <c r="C9785" s="31"/>
    </row>
    <row r="9786">
      <c r="A9786" s="56" t="s">
        <v>21921</v>
      </c>
      <c r="B9786" s="55"/>
      <c r="C9786" s="31"/>
    </row>
    <row r="9787">
      <c r="A9787" s="56" t="s">
        <v>21922</v>
      </c>
      <c r="B9787" s="55"/>
      <c r="C9787" s="31"/>
    </row>
    <row r="9788">
      <c r="A9788" s="56" t="s">
        <v>21923</v>
      </c>
      <c r="B9788" s="55"/>
      <c r="C9788" s="31"/>
    </row>
    <row r="9789">
      <c r="A9789" s="56" t="s">
        <v>21924</v>
      </c>
      <c r="B9789" s="55"/>
      <c r="C9789" s="31"/>
    </row>
    <row r="9790">
      <c r="A9790" s="56" t="s">
        <v>21925</v>
      </c>
      <c r="B9790" s="55"/>
      <c r="C9790" s="31"/>
    </row>
    <row r="9791">
      <c r="A9791" s="56" t="s">
        <v>21926</v>
      </c>
      <c r="B9791" s="55"/>
      <c r="C9791" s="31"/>
    </row>
    <row r="9792">
      <c r="A9792" s="56" t="s">
        <v>21927</v>
      </c>
      <c r="B9792" s="55"/>
      <c r="C9792" s="31"/>
    </row>
    <row r="9793">
      <c r="A9793" s="56" t="s">
        <v>21930</v>
      </c>
      <c r="B9793" s="55"/>
      <c r="C9793" s="31"/>
    </row>
    <row r="9794">
      <c r="A9794" s="56" t="s">
        <v>21932</v>
      </c>
      <c r="B9794" s="55"/>
      <c r="C9794" s="31"/>
    </row>
    <row r="9795">
      <c r="A9795" s="56" t="s">
        <v>21933</v>
      </c>
      <c r="B9795" s="55"/>
      <c r="C9795" s="31"/>
    </row>
    <row r="9796">
      <c r="A9796" s="56" t="s">
        <v>21934</v>
      </c>
      <c r="B9796" s="55"/>
      <c r="C9796" s="31"/>
    </row>
    <row r="9797">
      <c r="A9797" s="56" t="s">
        <v>21935</v>
      </c>
      <c r="B9797" s="55"/>
      <c r="C9797" s="31"/>
    </row>
    <row r="9798">
      <c r="A9798" s="56" t="s">
        <v>21936</v>
      </c>
      <c r="B9798" s="55"/>
      <c r="C9798" s="31"/>
    </row>
    <row r="9799">
      <c r="A9799" s="56" t="s">
        <v>21937</v>
      </c>
      <c r="B9799" s="55"/>
      <c r="C9799" s="31"/>
    </row>
    <row r="9800">
      <c r="A9800" s="56" t="s">
        <v>21938</v>
      </c>
      <c r="B9800" s="55"/>
      <c r="C9800" s="31"/>
    </row>
    <row r="9801">
      <c r="A9801" s="56" t="s">
        <v>21940</v>
      </c>
      <c r="B9801" s="55"/>
      <c r="C9801" s="31"/>
    </row>
    <row r="9802">
      <c r="A9802" s="56" t="s">
        <v>21941</v>
      </c>
      <c r="B9802" s="55"/>
      <c r="C9802" s="31"/>
    </row>
    <row r="9803">
      <c r="A9803" s="56" t="s">
        <v>21942</v>
      </c>
      <c r="B9803" s="55"/>
      <c r="C9803" s="31"/>
    </row>
    <row r="9804">
      <c r="A9804" s="56" t="s">
        <v>21944</v>
      </c>
      <c r="B9804" s="55"/>
      <c r="C9804" s="31"/>
    </row>
    <row r="9805">
      <c r="A9805" s="56" t="s">
        <v>21946</v>
      </c>
      <c r="B9805" s="55"/>
      <c r="C9805" s="31"/>
    </row>
    <row r="9806">
      <c r="A9806" s="56" t="s">
        <v>21947</v>
      </c>
      <c r="B9806" s="55"/>
      <c r="C9806" s="31"/>
    </row>
    <row r="9807">
      <c r="A9807" s="56" t="s">
        <v>21948</v>
      </c>
      <c r="B9807" s="55"/>
      <c r="C9807" s="31"/>
    </row>
    <row r="9808">
      <c r="A9808" s="56" t="s">
        <v>21949</v>
      </c>
      <c r="B9808" s="55"/>
      <c r="C9808" s="31"/>
    </row>
    <row r="9809">
      <c r="A9809" s="56" t="s">
        <v>21950</v>
      </c>
      <c r="B9809" s="55"/>
      <c r="C9809" s="31"/>
    </row>
    <row r="9810">
      <c r="A9810" s="56" t="s">
        <v>21952</v>
      </c>
      <c r="B9810" s="55"/>
      <c r="C9810" s="31"/>
    </row>
    <row r="9811">
      <c r="A9811" s="56" t="s">
        <v>21953</v>
      </c>
      <c r="B9811" s="55"/>
      <c r="C9811" s="31"/>
    </row>
    <row r="9812">
      <c r="A9812" s="56" t="s">
        <v>21954</v>
      </c>
      <c r="B9812" s="55"/>
      <c r="C9812" s="31"/>
    </row>
    <row r="9813">
      <c r="A9813" s="56" t="s">
        <v>21955</v>
      </c>
      <c r="B9813" s="55"/>
      <c r="C9813" s="31"/>
    </row>
    <row r="9814">
      <c r="A9814" s="56" t="s">
        <v>21956</v>
      </c>
      <c r="B9814" s="55"/>
      <c r="C9814" s="31"/>
    </row>
    <row r="9815">
      <c r="A9815" s="56" t="s">
        <v>21958</v>
      </c>
      <c r="B9815" s="55"/>
      <c r="C9815" s="31"/>
    </row>
    <row r="9816">
      <c r="A9816" s="56" t="s">
        <v>21959</v>
      </c>
      <c r="B9816" s="55"/>
      <c r="C9816" s="31"/>
    </row>
    <row r="9817">
      <c r="A9817" s="56" t="s">
        <v>21960</v>
      </c>
      <c r="B9817" s="55"/>
      <c r="C9817" s="31"/>
    </row>
    <row r="9818">
      <c r="A9818" s="56" t="s">
        <v>21961</v>
      </c>
      <c r="B9818" s="55"/>
      <c r="C9818" s="31"/>
    </row>
    <row r="9819">
      <c r="A9819" s="56" t="s">
        <v>21962</v>
      </c>
      <c r="B9819" s="55"/>
      <c r="C9819" s="31"/>
    </row>
    <row r="9820">
      <c r="A9820" s="56" t="s">
        <v>21963</v>
      </c>
      <c r="B9820" s="55"/>
      <c r="C9820" s="31"/>
    </row>
    <row r="9821">
      <c r="A9821" s="56" t="s">
        <v>21964</v>
      </c>
      <c r="B9821" s="55"/>
      <c r="C9821" s="31"/>
    </row>
    <row r="9822">
      <c r="A9822" s="56" t="s">
        <v>21965</v>
      </c>
      <c r="B9822" s="55"/>
      <c r="C9822" s="31"/>
    </row>
    <row r="9823">
      <c r="A9823" s="56" t="s">
        <v>21966</v>
      </c>
      <c r="B9823" s="55"/>
      <c r="C9823" s="31"/>
    </row>
    <row r="9824">
      <c r="A9824" s="56" t="s">
        <v>21967</v>
      </c>
      <c r="B9824" s="55"/>
      <c r="C9824" s="31"/>
    </row>
    <row r="9825">
      <c r="A9825" s="56" t="s">
        <v>21968</v>
      </c>
      <c r="B9825" s="55"/>
      <c r="C9825" s="31"/>
    </row>
    <row r="9826">
      <c r="A9826" s="56" t="s">
        <v>21970</v>
      </c>
      <c r="B9826" s="55"/>
      <c r="C9826" s="31"/>
    </row>
    <row r="9827">
      <c r="A9827" s="56" t="s">
        <v>21971</v>
      </c>
      <c r="B9827" s="55"/>
      <c r="C9827" s="31"/>
    </row>
    <row r="9828">
      <c r="A9828" s="56" t="s">
        <v>21972</v>
      </c>
      <c r="B9828" s="55"/>
      <c r="C9828" s="31"/>
    </row>
    <row r="9829">
      <c r="A9829" s="56" t="s">
        <v>21975</v>
      </c>
      <c r="B9829" s="55"/>
      <c r="C9829" s="31"/>
    </row>
    <row r="9830">
      <c r="A9830" s="56" t="s">
        <v>21977</v>
      </c>
      <c r="B9830" s="55"/>
      <c r="C9830" s="31"/>
    </row>
    <row r="9831">
      <c r="A9831" s="56" t="s">
        <v>21978</v>
      </c>
      <c r="B9831" s="55"/>
      <c r="C9831" s="31"/>
    </row>
    <row r="9832">
      <c r="A9832" s="56" t="s">
        <v>21979</v>
      </c>
      <c r="B9832" s="55"/>
      <c r="C9832" s="31"/>
    </row>
    <row r="9833">
      <c r="A9833" s="56" t="s">
        <v>21980</v>
      </c>
      <c r="B9833" s="55"/>
      <c r="C9833" s="31"/>
    </row>
    <row r="9834">
      <c r="A9834" s="56" t="s">
        <v>21981</v>
      </c>
      <c r="B9834" s="55"/>
      <c r="C9834" s="31"/>
    </row>
    <row r="9835">
      <c r="A9835" s="56" t="s">
        <v>21984</v>
      </c>
      <c r="B9835" s="55"/>
      <c r="C9835" s="31"/>
    </row>
    <row r="9836">
      <c r="A9836" s="56" t="s">
        <v>21987</v>
      </c>
      <c r="B9836" s="55"/>
      <c r="C9836" s="31"/>
    </row>
    <row r="9837">
      <c r="A9837" s="56" t="s">
        <v>21989</v>
      </c>
      <c r="B9837" s="55"/>
      <c r="C9837" s="31"/>
    </row>
    <row r="9838">
      <c r="A9838" s="56" t="s">
        <v>21990</v>
      </c>
      <c r="B9838" s="55"/>
      <c r="C9838" s="31"/>
    </row>
    <row r="9839">
      <c r="A9839" s="56" t="s">
        <v>21991</v>
      </c>
      <c r="B9839" s="55"/>
      <c r="C9839" s="31"/>
    </row>
    <row r="9840">
      <c r="A9840" s="56" t="s">
        <v>21992</v>
      </c>
      <c r="B9840" s="55"/>
      <c r="C9840" s="31"/>
    </row>
    <row r="9841">
      <c r="A9841" s="56" t="s">
        <v>21993</v>
      </c>
      <c r="B9841" s="55"/>
      <c r="C9841" s="31"/>
    </row>
    <row r="9842">
      <c r="A9842" s="56" t="s">
        <v>21994</v>
      </c>
      <c r="B9842" s="55"/>
      <c r="C9842" s="31"/>
    </row>
    <row r="9843">
      <c r="A9843" s="56" t="s">
        <v>21996</v>
      </c>
      <c r="B9843" s="55"/>
      <c r="C9843" s="31"/>
    </row>
    <row r="9844">
      <c r="A9844" s="56" t="s">
        <v>21997</v>
      </c>
      <c r="B9844" s="55"/>
      <c r="C9844" s="31"/>
    </row>
    <row r="9845">
      <c r="A9845" s="56" t="s">
        <v>21998</v>
      </c>
      <c r="B9845" s="55"/>
      <c r="C9845" s="31"/>
    </row>
    <row r="9846">
      <c r="A9846" s="56" t="s">
        <v>21999</v>
      </c>
      <c r="B9846" s="55"/>
      <c r="C9846" s="31"/>
    </row>
    <row r="9847">
      <c r="A9847" s="56" t="s">
        <v>22000</v>
      </c>
      <c r="B9847" s="55"/>
      <c r="C9847" s="31"/>
    </row>
    <row r="9848">
      <c r="A9848" s="56" t="s">
        <v>22003</v>
      </c>
      <c r="B9848" s="55"/>
      <c r="C9848" s="31"/>
    </row>
    <row r="9849">
      <c r="A9849" s="56" t="s">
        <v>22005</v>
      </c>
      <c r="B9849" s="82"/>
      <c r="C9849" s="33" t="s">
        <v>22006</v>
      </c>
    </row>
    <row r="9850">
      <c r="A9850" s="56" t="s">
        <v>22007</v>
      </c>
      <c r="B9850" s="55"/>
      <c r="C9850" s="31"/>
    </row>
    <row r="9851">
      <c r="A9851" s="56" t="s">
        <v>22008</v>
      </c>
      <c r="B9851" s="55"/>
      <c r="C9851" s="31"/>
    </row>
    <row r="9852">
      <c r="A9852" s="56" t="s">
        <v>22009</v>
      </c>
      <c r="B9852" s="55"/>
      <c r="C9852" s="31"/>
    </row>
    <row r="9853">
      <c r="A9853" s="56" t="s">
        <v>22010</v>
      </c>
      <c r="B9853" s="55"/>
      <c r="C9853" s="31"/>
    </row>
    <row r="9854">
      <c r="A9854" s="56" t="s">
        <v>22011</v>
      </c>
      <c r="B9854" s="82"/>
      <c r="C9854" s="33" t="s">
        <v>22012</v>
      </c>
    </row>
    <row r="9855">
      <c r="A9855" s="56" t="s">
        <v>22013</v>
      </c>
      <c r="B9855" s="55"/>
      <c r="C9855" s="31"/>
    </row>
    <row r="9856">
      <c r="A9856" s="56" t="s">
        <v>22015</v>
      </c>
      <c r="B9856" s="55"/>
      <c r="C9856" s="31"/>
    </row>
    <row r="9857">
      <c r="A9857" s="56" t="s">
        <v>22016</v>
      </c>
      <c r="B9857" s="55"/>
      <c r="C9857" s="31"/>
    </row>
    <row r="9858">
      <c r="A9858" s="56" t="s">
        <v>22017</v>
      </c>
      <c r="B9858" s="55"/>
      <c r="C9858" s="31"/>
    </row>
    <row r="9859">
      <c r="A9859" s="56" t="s">
        <v>22018</v>
      </c>
      <c r="B9859" s="55"/>
      <c r="C9859" s="31"/>
    </row>
    <row r="9860">
      <c r="A9860" s="56" t="s">
        <v>22019</v>
      </c>
      <c r="B9860" s="55"/>
      <c r="C9860" s="31"/>
    </row>
    <row r="9861">
      <c r="A9861" s="56" t="s">
        <v>22020</v>
      </c>
      <c r="B9861" s="55"/>
      <c r="C9861" s="31"/>
    </row>
    <row r="9862">
      <c r="A9862" s="56" t="s">
        <v>22021</v>
      </c>
      <c r="B9862" s="55"/>
      <c r="C9862" s="31"/>
    </row>
    <row r="9863">
      <c r="A9863" s="56" t="s">
        <v>22023</v>
      </c>
      <c r="B9863" s="55"/>
      <c r="C9863" s="31"/>
    </row>
    <row r="9864">
      <c r="A9864" s="56" t="s">
        <v>22025</v>
      </c>
      <c r="B9864" s="55"/>
      <c r="C9864" s="31"/>
    </row>
    <row r="9865">
      <c r="A9865" s="56" t="s">
        <v>22027</v>
      </c>
      <c r="B9865" s="55"/>
      <c r="C9865" s="31"/>
    </row>
    <row r="9866">
      <c r="A9866" s="56" t="s">
        <v>22028</v>
      </c>
      <c r="B9866" s="82"/>
      <c r="C9866" s="33" t="s">
        <v>22029</v>
      </c>
    </row>
    <row r="9867">
      <c r="A9867" s="56" t="s">
        <v>22030</v>
      </c>
      <c r="B9867" s="55"/>
      <c r="C9867" s="31"/>
    </row>
    <row r="9868">
      <c r="A9868" s="56" t="s">
        <v>22032</v>
      </c>
      <c r="B9868" s="55"/>
      <c r="C9868" s="31"/>
    </row>
    <row r="9869">
      <c r="A9869" s="56" t="s">
        <v>22033</v>
      </c>
      <c r="B9869" s="55"/>
      <c r="C9869" s="31"/>
    </row>
    <row r="9870">
      <c r="A9870" s="56" t="s">
        <v>22034</v>
      </c>
      <c r="B9870" s="55"/>
      <c r="C9870" s="31"/>
    </row>
    <row r="9871">
      <c r="A9871" s="56" t="s">
        <v>22035</v>
      </c>
      <c r="B9871" s="82"/>
      <c r="C9871" s="33" t="s">
        <v>22036</v>
      </c>
    </row>
    <row r="9872">
      <c r="A9872" s="56" t="s">
        <v>22037</v>
      </c>
      <c r="B9872" s="55"/>
      <c r="C9872" s="31"/>
    </row>
    <row r="9873">
      <c r="A9873" s="56" t="s">
        <v>22038</v>
      </c>
      <c r="B9873" s="55"/>
      <c r="C9873" s="31"/>
    </row>
    <row r="9874">
      <c r="A9874" s="56" t="s">
        <v>22040</v>
      </c>
      <c r="B9874" s="55"/>
      <c r="C9874" s="31"/>
    </row>
    <row r="9875">
      <c r="A9875" s="56" t="s">
        <v>22043</v>
      </c>
      <c r="B9875" s="55"/>
      <c r="C9875" s="31"/>
    </row>
    <row r="9876">
      <c r="A9876" s="56" t="s">
        <v>22044</v>
      </c>
      <c r="B9876" s="82"/>
      <c r="C9876" s="33" t="s">
        <v>22045</v>
      </c>
    </row>
    <row r="9877">
      <c r="A9877" s="56" t="s">
        <v>22046</v>
      </c>
      <c r="B9877" s="55"/>
      <c r="C9877" s="31"/>
    </row>
    <row r="9878">
      <c r="A9878" s="56" t="s">
        <v>22047</v>
      </c>
      <c r="B9878" s="55"/>
      <c r="C9878" s="31"/>
    </row>
    <row r="9879">
      <c r="A9879" s="56" t="s">
        <v>22048</v>
      </c>
      <c r="B9879" s="55"/>
      <c r="C9879" s="31"/>
    </row>
    <row r="9880">
      <c r="A9880" s="56" t="s">
        <v>22049</v>
      </c>
      <c r="B9880" s="55"/>
      <c r="C9880" s="31"/>
    </row>
    <row r="9881">
      <c r="A9881" s="56" t="s">
        <v>22050</v>
      </c>
      <c r="B9881" s="55"/>
      <c r="C9881" s="31"/>
    </row>
    <row r="9882">
      <c r="A9882" s="56" t="s">
        <v>22051</v>
      </c>
      <c r="B9882" s="55"/>
      <c r="C9882" s="31"/>
    </row>
    <row r="9883">
      <c r="A9883" s="56" t="s">
        <v>22052</v>
      </c>
      <c r="B9883" s="82"/>
      <c r="C9883" s="33" t="s">
        <v>22053</v>
      </c>
    </row>
    <row r="9884">
      <c r="A9884" s="56" t="s">
        <v>22055</v>
      </c>
      <c r="B9884" s="82"/>
      <c r="C9884" s="33" t="s">
        <v>11373</v>
      </c>
      <c r="E9884" s="46" t="s">
        <v>7616</v>
      </c>
    </row>
    <row r="9885">
      <c r="A9885" s="56" t="s">
        <v>22056</v>
      </c>
      <c r="B9885" s="82"/>
      <c r="C9885" s="33" t="s">
        <v>11373</v>
      </c>
      <c r="E9885" s="46" t="s">
        <v>7618</v>
      </c>
    </row>
    <row r="9886">
      <c r="A9886" s="56" t="s">
        <v>22058</v>
      </c>
      <c r="B9886" s="82"/>
      <c r="C9886" s="33" t="s">
        <v>11376</v>
      </c>
      <c r="E9886" s="46" t="s">
        <v>7616</v>
      </c>
    </row>
    <row r="9887">
      <c r="A9887" s="56" t="s">
        <v>22060</v>
      </c>
      <c r="B9887" s="82"/>
      <c r="C9887" s="33" t="s">
        <v>11376</v>
      </c>
      <c r="E9887" s="46" t="s">
        <v>7618</v>
      </c>
    </row>
    <row r="9888">
      <c r="A9888" s="56" t="s">
        <v>22061</v>
      </c>
      <c r="B9888" s="82"/>
      <c r="C9888" s="33" t="s">
        <v>11380</v>
      </c>
      <c r="E9888" s="46" t="s">
        <v>7616</v>
      </c>
    </row>
    <row r="9889">
      <c r="A9889" s="56" t="s">
        <v>22062</v>
      </c>
      <c r="B9889" s="82"/>
      <c r="C9889" s="33" t="s">
        <v>11380</v>
      </c>
      <c r="E9889" s="46" t="s">
        <v>7618</v>
      </c>
    </row>
    <row r="9890">
      <c r="A9890" s="56" t="s">
        <v>22063</v>
      </c>
      <c r="B9890" s="79"/>
      <c r="C9890" s="33" t="s">
        <v>11384</v>
      </c>
      <c r="E9890" s="46" t="s">
        <v>1348</v>
      </c>
    </row>
    <row r="9891">
      <c r="A9891" s="56" t="s">
        <v>22064</v>
      </c>
      <c r="B9891" s="79"/>
      <c r="C9891" s="33" t="s">
        <v>11384</v>
      </c>
      <c r="E9891" s="46" t="s">
        <v>1348</v>
      </c>
    </row>
    <row r="9892">
      <c r="A9892" s="56" t="s">
        <v>22065</v>
      </c>
      <c r="B9892" s="79"/>
      <c r="C9892" s="33" t="s">
        <v>11389</v>
      </c>
      <c r="E9892" s="46" t="s">
        <v>1348</v>
      </c>
    </row>
    <row r="9893">
      <c r="A9893" s="56" t="s">
        <v>22067</v>
      </c>
      <c r="B9893" s="21"/>
      <c r="C9893" s="33" t="s">
        <v>11391</v>
      </c>
      <c r="E9893" s="46" t="s">
        <v>7616</v>
      </c>
    </row>
    <row r="9894">
      <c r="A9894" s="56" t="s">
        <v>22069</v>
      </c>
      <c r="B9894" s="21"/>
      <c r="C9894" s="33" t="s">
        <v>11391</v>
      </c>
      <c r="E9894" s="46" t="s">
        <v>7618</v>
      </c>
    </row>
    <row r="9895">
      <c r="A9895" s="56" t="s">
        <v>22070</v>
      </c>
      <c r="B9895" s="21"/>
      <c r="C9895" s="33" t="s">
        <v>11394</v>
      </c>
      <c r="E9895" s="46" t="s">
        <v>7616</v>
      </c>
    </row>
    <row r="9896">
      <c r="A9896" s="56" t="s">
        <v>22071</v>
      </c>
      <c r="B9896" s="21"/>
      <c r="C9896" s="33" t="s">
        <v>11394</v>
      </c>
      <c r="E9896" s="46" t="s">
        <v>7618</v>
      </c>
    </row>
    <row r="9897">
      <c r="A9897" s="56" t="s">
        <v>22072</v>
      </c>
      <c r="B9897" s="21"/>
      <c r="C9897" s="33" t="s">
        <v>11398</v>
      </c>
      <c r="E9897" s="46" t="s">
        <v>7616</v>
      </c>
    </row>
    <row r="9898">
      <c r="A9898" s="56" t="s">
        <v>22073</v>
      </c>
      <c r="B9898" s="21"/>
      <c r="C9898" s="33" t="s">
        <v>11398</v>
      </c>
      <c r="E9898" s="46" t="s">
        <v>7618</v>
      </c>
    </row>
    <row r="9899">
      <c r="A9899" s="56" t="s">
        <v>22074</v>
      </c>
      <c r="B9899" s="21"/>
      <c r="C9899" s="33" t="s">
        <v>11391</v>
      </c>
      <c r="E9899" s="46" t="s">
        <v>7616</v>
      </c>
    </row>
    <row r="9900">
      <c r="A9900" s="56" t="s">
        <v>22076</v>
      </c>
      <c r="B9900" s="21"/>
      <c r="C9900" s="33" t="s">
        <v>11391</v>
      </c>
      <c r="E9900" s="46" t="s">
        <v>7618</v>
      </c>
    </row>
    <row r="9901">
      <c r="A9901" s="56" t="s">
        <v>22077</v>
      </c>
      <c r="B9901" s="21"/>
      <c r="C9901" s="33" t="s">
        <v>11394</v>
      </c>
      <c r="E9901" s="46" t="s">
        <v>7616</v>
      </c>
    </row>
    <row r="9902">
      <c r="A9902" s="56" t="s">
        <v>22078</v>
      </c>
      <c r="B9902" s="21"/>
      <c r="C9902" s="33" t="s">
        <v>11394</v>
      </c>
      <c r="E9902" s="46" t="s">
        <v>7618</v>
      </c>
    </row>
    <row r="9903">
      <c r="A9903" s="56" t="s">
        <v>22080</v>
      </c>
      <c r="B9903" s="21"/>
      <c r="C9903" s="33" t="s">
        <v>11398</v>
      </c>
      <c r="E9903" s="46" t="s">
        <v>7616</v>
      </c>
    </row>
    <row r="9904">
      <c r="A9904" s="56" t="s">
        <v>22081</v>
      </c>
      <c r="B9904" s="21"/>
      <c r="C9904" s="33" t="s">
        <v>11398</v>
      </c>
      <c r="E9904" s="46" t="s">
        <v>7618</v>
      </c>
    </row>
    <row r="9905">
      <c r="A9905" s="56" t="s">
        <v>22082</v>
      </c>
      <c r="B9905" s="21"/>
      <c r="C9905" s="33" t="s">
        <v>11411</v>
      </c>
      <c r="E9905" s="46" t="s">
        <v>7616</v>
      </c>
    </row>
    <row r="9906">
      <c r="A9906" s="56" t="s">
        <v>22083</v>
      </c>
      <c r="B9906" s="21"/>
      <c r="C9906" s="33" t="s">
        <v>11411</v>
      </c>
      <c r="E9906" s="46" t="s">
        <v>7618</v>
      </c>
    </row>
    <row r="9907">
      <c r="A9907" s="56" t="s">
        <v>22084</v>
      </c>
      <c r="B9907" s="21"/>
      <c r="C9907" s="33" t="s">
        <v>11416</v>
      </c>
      <c r="E9907" s="46" t="s">
        <v>7616</v>
      </c>
    </row>
    <row r="9908">
      <c r="A9908" s="56" t="s">
        <v>22085</v>
      </c>
      <c r="B9908" s="21"/>
      <c r="C9908" s="33" t="s">
        <v>11416</v>
      </c>
      <c r="E9908" s="46" t="s">
        <v>7618</v>
      </c>
    </row>
    <row r="9909">
      <c r="A9909" s="56" t="s">
        <v>22086</v>
      </c>
      <c r="B9909" s="21"/>
      <c r="C9909" s="33" t="s">
        <v>11419</v>
      </c>
      <c r="E9909" s="46" t="s">
        <v>7616</v>
      </c>
    </row>
    <row r="9910">
      <c r="A9910" s="56" t="s">
        <v>22088</v>
      </c>
      <c r="B9910" s="21"/>
      <c r="C9910" s="33" t="s">
        <v>11419</v>
      </c>
      <c r="E9910" s="46" t="s">
        <v>7618</v>
      </c>
    </row>
    <row r="9911">
      <c r="A9911" s="56" t="s">
        <v>22089</v>
      </c>
      <c r="B9911" s="21"/>
      <c r="C9911" s="33" t="s">
        <v>11411</v>
      </c>
      <c r="E9911" s="46" t="s">
        <v>7616</v>
      </c>
    </row>
    <row r="9912">
      <c r="A9912" s="56" t="s">
        <v>22091</v>
      </c>
      <c r="B9912" s="21"/>
      <c r="C9912" s="33" t="s">
        <v>11411</v>
      </c>
      <c r="E9912" s="46" t="s">
        <v>7618</v>
      </c>
    </row>
    <row r="9913">
      <c r="A9913" s="56" t="s">
        <v>22092</v>
      </c>
      <c r="B9913" s="21"/>
      <c r="C9913" s="33" t="s">
        <v>11416</v>
      </c>
      <c r="E9913" s="46" t="s">
        <v>7616</v>
      </c>
    </row>
    <row r="9914">
      <c r="A9914" s="56" t="s">
        <v>22093</v>
      </c>
      <c r="B9914" s="21"/>
      <c r="C9914" s="33" t="s">
        <v>11416</v>
      </c>
      <c r="E9914" s="46" t="s">
        <v>7618</v>
      </c>
    </row>
    <row r="9915">
      <c r="A9915" s="56" t="s">
        <v>22094</v>
      </c>
      <c r="B9915" s="21"/>
      <c r="C9915" s="33" t="s">
        <v>11419</v>
      </c>
      <c r="E9915" s="46" t="s">
        <v>7616</v>
      </c>
    </row>
    <row r="9916">
      <c r="A9916" s="56" t="s">
        <v>22095</v>
      </c>
      <c r="B9916" s="21"/>
      <c r="C9916" s="33" t="s">
        <v>11419</v>
      </c>
      <c r="E9916" s="46" t="s">
        <v>7618</v>
      </c>
    </row>
    <row r="9917">
      <c r="A9917" s="56" t="s">
        <v>22096</v>
      </c>
      <c r="B9917" s="55"/>
      <c r="C9917" s="31"/>
    </row>
    <row r="9918">
      <c r="A9918" s="56" t="s">
        <v>22098</v>
      </c>
      <c r="B9918" s="55"/>
      <c r="C9918" s="31"/>
    </row>
    <row r="9919">
      <c r="A9919" s="56" t="s">
        <v>22099</v>
      </c>
      <c r="B9919" s="55"/>
      <c r="C9919" s="31"/>
    </row>
    <row r="9920">
      <c r="A9920" s="56" t="s">
        <v>22100</v>
      </c>
      <c r="B9920" s="55"/>
      <c r="C9920" s="31"/>
    </row>
    <row r="9921">
      <c r="A9921" s="56" t="s">
        <v>22102</v>
      </c>
      <c r="B9921" s="82"/>
      <c r="C9921" s="33" t="s">
        <v>22103</v>
      </c>
    </row>
    <row r="9922">
      <c r="A9922" s="56" t="s">
        <v>22105</v>
      </c>
      <c r="B9922" s="55"/>
      <c r="C9922" s="31"/>
    </row>
    <row r="9923">
      <c r="A9923" s="56" t="s">
        <v>22106</v>
      </c>
      <c r="B9923" s="55"/>
      <c r="C9923" s="31"/>
    </row>
    <row r="9924">
      <c r="A9924" s="56" t="s">
        <v>22107</v>
      </c>
      <c r="B9924" s="55"/>
      <c r="C9924" s="31"/>
    </row>
    <row r="9925">
      <c r="A9925" s="56" t="s">
        <v>22108</v>
      </c>
      <c r="B9925" s="55"/>
      <c r="C9925" s="31"/>
    </row>
    <row r="9926">
      <c r="A9926" s="56" t="s">
        <v>22109</v>
      </c>
      <c r="B9926" s="55"/>
      <c r="C9926" s="31"/>
    </row>
    <row r="9927">
      <c r="A9927" s="56" t="s">
        <v>22110</v>
      </c>
      <c r="B9927" s="55"/>
      <c r="C9927" s="31"/>
    </row>
    <row r="9928">
      <c r="A9928" s="56" t="s">
        <v>22111</v>
      </c>
      <c r="B9928" s="55"/>
      <c r="C9928" s="31"/>
    </row>
    <row r="9929">
      <c r="A9929" s="56" t="s">
        <v>22112</v>
      </c>
      <c r="B9929" s="55"/>
      <c r="C9929" s="31"/>
    </row>
    <row r="9930">
      <c r="A9930" s="56" t="s">
        <v>22114</v>
      </c>
      <c r="B9930" s="55"/>
      <c r="C9930" s="31"/>
    </row>
    <row r="9931">
      <c r="A9931" s="56" t="s">
        <v>22115</v>
      </c>
      <c r="B9931" s="55"/>
      <c r="C9931" s="31"/>
    </row>
    <row r="9932">
      <c r="A9932" s="56" t="s">
        <v>22116</v>
      </c>
      <c r="B9932" s="55"/>
      <c r="C9932" s="31"/>
    </row>
    <row r="9933">
      <c r="A9933" s="56" t="s">
        <v>22117</v>
      </c>
      <c r="B9933" s="55"/>
      <c r="C9933" s="31"/>
    </row>
    <row r="9934">
      <c r="A9934" s="56" t="s">
        <v>22119</v>
      </c>
      <c r="B9934" s="55"/>
      <c r="C9934" s="31"/>
    </row>
    <row r="9935">
      <c r="A9935" s="56" t="s">
        <v>22121</v>
      </c>
      <c r="B9935" s="55"/>
      <c r="C9935" s="31"/>
    </row>
    <row r="9936">
      <c r="A9936" s="56" t="s">
        <v>22122</v>
      </c>
      <c r="B9936" s="55"/>
      <c r="C9936" s="31"/>
    </row>
    <row r="9937">
      <c r="A9937" s="56" t="s">
        <v>22123</v>
      </c>
      <c r="B9937" s="55"/>
      <c r="C9937" s="31"/>
    </row>
    <row r="9938">
      <c r="A9938" s="56" t="s">
        <v>22124</v>
      </c>
      <c r="B9938" s="55"/>
      <c r="C9938" s="31"/>
    </row>
    <row r="9939">
      <c r="A9939" s="56" t="s">
        <v>22126</v>
      </c>
      <c r="B9939" s="55"/>
      <c r="C9939" s="31"/>
    </row>
    <row r="9940">
      <c r="A9940" s="56" t="s">
        <v>22127</v>
      </c>
      <c r="B9940" s="55"/>
      <c r="C9940" s="31"/>
    </row>
    <row r="9941">
      <c r="A9941" s="56" t="s">
        <v>22128</v>
      </c>
      <c r="B9941" s="55"/>
      <c r="C9941" s="31"/>
    </row>
    <row r="9942">
      <c r="A9942" s="56" t="s">
        <v>22129</v>
      </c>
      <c r="B9942" s="55"/>
      <c r="C9942" s="31"/>
    </row>
    <row r="9943">
      <c r="A9943" s="56" t="s">
        <v>22130</v>
      </c>
      <c r="B9943" s="55"/>
      <c r="C9943" s="31"/>
    </row>
    <row r="9944">
      <c r="A9944" s="56" t="s">
        <v>22131</v>
      </c>
      <c r="B9944" s="55"/>
      <c r="C9944" s="31"/>
    </row>
    <row r="9945">
      <c r="A9945" s="56" t="s">
        <v>22132</v>
      </c>
      <c r="B9945" s="55"/>
      <c r="C9945" s="31"/>
    </row>
    <row r="9946">
      <c r="A9946" s="56" t="s">
        <v>22134</v>
      </c>
      <c r="B9946" s="55"/>
      <c r="C9946" s="31"/>
    </row>
    <row r="9947">
      <c r="A9947" s="56" t="s">
        <v>22137</v>
      </c>
      <c r="B9947" s="55"/>
      <c r="C9947" s="31"/>
    </row>
    <row r="9948">
      <c r="A9948" s="56" t="s">
        <v>22138</v>
      </c>
      <c r="B9948" s="55"/>
      <c r="C9948" s="31"/>
    </row>
    <row r="9949">
      <c r="A9949" s="56" t="s">
        <v>22139</v>
      </c>
      <c r="B9949" s="55"/>
      <c r="C9949" s="31"/>
    </row>
    <row r="9950">
      <c r="A9950" s="56" t="s">
        <v>22140</v>
      </c>
      <c r="B9950" s="55"/>
      <c r="C9950" s="31"/>
    </row>
    <row r="9951">
      <c r="A9951" s="56" t="s">
        <v>22141</v>
      </c>
      <c r="B9951" s="55"/>
      <c r="C9951" s="31"/>
    </row>
    <row r="9952">
      <c r="A9952" s="56" t="s">
        <v>22142</v>
      </c>
      <c r="B9952" s="55"/>
      <c r="C9952" s="31"/>
    </row>
    <row r="9953">
      <c r="A9953" s="56" t="s">
        <v>22143</v>
      </c>
      <c r="B9953" s="55"/>
      <c r="C9953" s="31"/>
    </row>
    <row r="9954">
      <c r="A9954" s="56" t="s">
        <v>22145</v>
      </c>
      <c r="B9954" s="55"/>
      <c r="C9954" s="31"/>
    </row>
    <row r="9955">
      <c r="A9955" s="56" t="s">
        <v>22146</v>
      </c>
      <c r="B9955" s="55"/>
      <c r="C9955" s="31"/>
    </row>
    <row r="9956">
      <c r="A9956" s="56" t="s">
        <v>22147</v>
      </c>
      <c r="B9956" s="55"/>
      <c r="C9956" s="31"/>
    </row>
    <row r="9957">
      <c r="A9957" s="56" t="s">
        <v>22148</v>
      </c>
      <c r="B9957" s="55"/>
      <c r="C9957" s="31"/>
    </row>
    <row r="9958">
      <c r="A9958" s="56" t="s">
        <v>22149</v>
      </c>
      <c r="B9958" s="55"/>
      <c r="C9958" s="31"/>
    </row>
    <row r="9959">
      <c r="A9959" s="56" t="s">
        <v>22151</v>
      </c>
      <c r="B9959" s="55"/>
      <c r="C9959" s="31"/>
    </row>
    <row r="9960">
      <c r="A9960" s="56" t="s">
        <v>22153</v>
      </c>
      <c r="B9960" s="55"/>
      <c r="C9960" s="31"/>
    </row>
    <row r="9961">
      <c r="A9961" s="56" t="s">
        <v>22154</v>
      </c>
      <c r="B9961" s="55"/>
      <c r="C9961" s="31"/>
    </row>
    <row r="9962">
      <c r="A9962" s="56" t="s">
        <v>22156</v>
      </c>
      <c r="B9962" s="55"/>
      <c r="C9962" s="31"/>
    </row>
    <row r="9963">
      <c r="A9963" s="56" t="s">
        <v>22157</v>
      </c>
      <c r="B9963" s="55"/>
      <c r="C9963" s="31"/>
    </row>
    <row r="9964">
      <c r="A9964" s="56" t="s">
        <v>22158</v>
      </c>
      <c r="B9964" s="55"/>
      <c r="C9964" s="31"/>
    </row>
    <row r="9965">
      <c r="A9965" s="56" t="s">
        <v>22159</v>
      </c>
      <c r="B9965" s="55"/>
      <c r="C9965" s="31"/>
    </row>
    <row r="9966">
      <c r="A9966" s="56" t="s">
        <v>22160</v>
      </c>
      <c r="B9966" s="55"/>
      <c r="C9966" s="31"/>
    </row>
    <row r="9967">
      <c r="A9967" s="56" t="s">
        <v>22161</v>
      </c>
      <c r="B9967" s="55"/>
      <c r="C9967" s="31"/>
    </row>
    <row r="9968">
      <c r="A9968" s="56" t="s">
        <v>22162</v>
      </c>
      <c r="B9968" s="55"/>
      <c r="C9968" s="31"/>
    </row>
    <row r="9969">
      <c r="A9969" s="56" t="s">
        <v>22164</v>
      </c>
      <c r="B9969" s="55"/>
      <c r="C9969" s="31"/>
    </row>
    <row r="9970">
      <c r="A9970" s="56" t="s">
        <v>22165</v>
      </c>
      <c r="B9970" s="55"/>
      <c r="C9970" s="31"/>
    </row>
    <row r="9971">
      <c r="A9971" s="56" t="s">
        <v>22166</v>
      </c>
      <c r="B9971" s="55"/>
      <c r="C9971" s="31"/>
    </row>
    <row r="9972">
      <c r="A9972" s="56" t="s">
        <v>22167</v>
      </c>
      <c r="B9972" s="55"/>
      <c r="C9972" s="31"/>
    </row>
    <row r="9973">
      <c r="A9973" s="56" t="s">
        <v>22168</v>
      </c>
      <c r="B9973" s="55"/>
      <c r="C9973" s="31"/>
    </row>
    <row r="9974">
      <c r="A9974" s="56" t="s">
        <v>22170</v>
      </c>
      <c r="B9974" s="55"/>
      <c r="C9974" s="31"/>
    </row>
    <row r="9975">
      <c r="A9975" s="56" t="s">
        <v>22173</v>
      </c>
      <c r="B9975" s="55"/>
      <c r="C9975" s="31"/>
    </row>
    <row r="9976">
      <c r="A9976" s="56" t="s">
        <v>22174</v>
      </c>
      <c r="B9976" s="55"/>
      <c r="C9976" s="31"/>
    </row>
    <row r="9977">
      <c r="A9977" s="56" t="s">
        <v>22175</v>
      </c>
      <c r="B9977" s="55"/>
      <c r="C9977" s="31"/>
    </row>
    <row r="9978">
      <c r="A9978" s="56" t="s">
        <v>22176</v>
      </c>
      <c r="B9978" s="55"/>
      <c r="C9978" s="31"/>
    </row>
    <row r="9979">
      <c r="A9979" s="56" t="s">
        <v>22177</v>
      </c>
      <c r="B9979" s="55"/>
      <c r="C9979" s="31"/>
    </row>
    <row r="9980">
      <c r="A9980" s="56" t="s">
        <v>22178</v>
      </c>
      <c r="B9980" s="55"/>
      <c r="C9980" s="31"/>
    </row>
    <row r="9981">
      <c r="A9981" s="56" t="s">
        <v>22179</v>
      </c>
      <c r="B9981" s="55"/>
      <c r="C9981" s="31"/>
    </row>
    <row r="9982">
      <c r="A9982" s="56" t="s">
        <v>22180</v>
      </c>
      <c r="B9982" s="82"/>
      <c r="C9982" s="33" t="s">
        <v>22182</v>
      </c>
    </row>
    <row r="9983">
      <c r="A9983" s="56" t="s">
        <v>22183</v>
      </c>
      <c r="B9983" s="55"/>
      <c r="C9983" s="31"/>
    </row>
    <row r="9984">
      <c r="A9984" s="56" t="s">
        <v>22184</v>
      </c>
      <c r="B9984" s="55"/>
      <c r="C9984" s="31"/>
    </row>
    <row r="9985">
      <c r="A9985" s="56" t="s">
        <v>22185</v>
      </c>
      <c r="B9985" s="55"/>
      <c r="C9985" s="31"/>
    </row>
    <row r="9986">
      <c r="A9986" s="56" t="s">
        <v>22187</v>
      </c>
      <c r="B9986" s="55"/>
      <c r="C9986" s="31"/>
    </row>
    <row r="9987">
      <c r="A9987" s="56" t="s">
        <v>22189</v>
      </c>
      <c r="B9987" s="55"/>
      <c r="C9987" s="31"/>
    </row>
    <row r="9988">
      <c r="A9988" s="56" t="s">
        <v>22190</v>
      </c>
      <c r="B9988" s="55"/>
      <c r="C9988" s="31"/>
    </row>
    <row r="9989">
      <c r="A9989" s="56" t="s">
        <v>22191</v>
      </c>
      <c r="B9989" s="55"/>
      <c r="C9989" s="31"/>
    </row>
    <row r="9990">
      <c r="A9990" s="56" t="s">
        <v>22193</v>
      </c>
      <c r="B9990" s="55"/>
      <c r="C9990" s="31"/>
    </row>
    <row r="9991">
      <c r="A9991" s="56" t="s">
        <v>22194</v>
      </c>
      <c r="B9991" s="55"/>
      <c r="C9991" s="31"/>
    </row>
    <row r="9992">
      <c r="A9992" s="56" t="s">
        <v>22195</v>
      </c>
      <c r="B9992" s="55"/>
      <c r="C9992" s="31"/>
    </row>
    <row r="9993">
      <c r="A9993" s="56" t="s">
        <v>22196</v>
      </c>
      <c r="B9993" s="55"/>
      <c r="C9993" s="31"/>
    </row>
    <row r="9994">
      <c r="A9994" s="56" t="s">
        <v>22197</v>
      </c>
      <c r="B9994" s="55"/>
      <c r="C9994" s="31"/>
    </row>
    <row r="9995">
      <c r="A9995" s="56" t="s">
        <v>22198</v>
      </c>
      <c r="B9995" s="55"/>
      <c r="C9995" s="31"/>
    </row>
    <row r="9996">
      <c r="A9996" s="56" t="s">
        <v>22199</v>
      </c>
      <c r="B9996" s="55"/>
      <c r="C9996" s="31"/>
    </row>
    <row r="9997">
      <c r="A9997" s="56" t="s">
        <v>22200</v>
      </c>
      <c r="B9997" s="55"/>
      <c r="C9997" s="31"/>
    </row>
    <row r="9998">
      <c r="A9998" s="56" t="s">
        <v>22202</v>
      </c>
      <c r="B9998" s="55"/>
      <c r="C9998" s="31"/>
    </row>
    <row r="9999">
      <c r="A9999" s="56" t="s">
        <v>22204</v>
      </c>
      <c r="B9999" s="55"/>
      <c r="C9999" s="31"/>
    </row>
    <row r="10000">
      <c r="A10000" s="56" t="s">
        <v>22206</v>
      </c>
      <c r="B10000" s="55"/>
      <c r="C10000" s="31"/>
    </row>
    <row r="10001">
      <c r="A10001" s="56" t="s">
        <v>22207</v>
      </c>
      <c r="B10001" s="82"/>
      <c r="C10001" s="33" t="s">
        <v>22208</v>
      </c>
    </row>
    <row r="10002">
      <c r="A10002" s="56" t="s">
        <v>22209</v>
      </c>
      <c r="B10002" s="55"/>
      <c r="C10002" s="31"/>
    </row>
    <row r="10003">
      <c r="A10003" s="56" t="s">
        <v>22210</v>
      </c>
      <c r="B10003" s="55"/>
      <c r="C10003" s="31"/>
    </row>
    <row r="10004">
      <c r="A10004" s="56" t="s">
        <v>22211</v>
      </c>
      <c r="B10004" s="55"/>
      <c r="C10004" s="31"/>
    </row>
    <row r="10005">
      <c r="A10005" s="56" t="s">
        <v>22212</v>
      </c>
      <c r="B10005" s="55"/>
      <c r="C10005" s="31"/>
    </row>
    <row r="10006">
      <c r="A10006" s="56" t="s">
        <v>22213</v>
      </c>
      <c r="B10006" s="55"/>
      <c r="C10006" s="31"/>
    </row>
    <row r="10007">
      <c r="A10007" s="56" t="s">
        <v>22215</v>
      </c>
      <c r="B10007" s="55"/>
      <c r="C10007" s="31"/>
    </row>
    <row r="10008">
      <c r="A10008" s="56" t="s">
        <v>22216</v>
      </c>
      <c r="B10008" s="55"/>
      <c r="C10008" s="31"/>
    </row>
    <row r="10009">
      <c r="A10009" s="56" t="s">
        <v>22217</v>
      </c>
      <c r="B10009" s="55"/>
      <c r="C10009" s="31"/>
    </row>
    <row r="10010">
      <c r="A10010" s="56" t="s">
        <v>22220</v>
      </c>
      <c r="B10010" s="55"/>
      <c r="C10010" s="31"/>
    </row>
    <row r="10011">
      <c r="A10011" s="56" t="s">
        <v>22223</v>
      </c>
      <c r="B10011" s="55"/>
      <c r="C10011" s="31"/>
    </row>
    <row r="10012">
      <c r="A10012" s="56" t="s">
        <v>22224</v>
      </c>
      <c r="B10012" s="55"/>
      <c r="C10012" s="31"/>
    </row>
    <row r="10013">
      <c r="A10013" s="56" t="s">
        <v>22225</v>
      </c>
      <c r="B10013" s="55"/>
      <c r="C10013" s="31"/>
    </row>
    <row r="10014">
      <c r="A10014" s="56" t="s">
        <v>22226</v>
      </c>
      <c r="B10014" s="55"/>
      <c r="C10014" s="31"/>
    </row>
    <row r="10015">
      <c r="A10015" s="56" t="s">
        <v>22227</v>
      </c>
      <c r="B10015" s="55"/>
      <c r="C10015" s="31"/>
    </row>
    <row r="10016">
      <c r="A10016" s="56" t="s">
        <v>22228</v>
      </c>
      <c r="B10016" s="55"/>
      <c r="C10016" s="31"/>
    </row>
    <row r="10017">
      <c r="A10017" s="56" t="s">
        <v>22230</v>
      </c>
      <c r="B10017" s="82"/>
      <c r="C10017" s="33" t="s">
        <v>22232</v>
      </c>
    </row>
    <row r="10018">
      <c r="A10018" s="56" t="s">
        <v>22233</v>
      </c>
      <c r="B10018" s="55"/>
      <c r="C10018" s="31"/>
    </row>
    <row r="10019">
      <c r="A10019" s="56" t="s">
        <v>22235</v>
      </c>
      <c r="B10019" s="55"/>
      <c r="C10019" s="31"/>
    </row>
    <row r="10020">
      <c r="A10020" s="56" t="s">
        <v>22237</v>
      </c>
      <c r="B10020" s="55"/>
      <c r="C10020" s="31"/>
    </row>
    <row r="10021">
      <c r="A10021" s="56" t="s">
        <v>22239</v>
      </c>
      <c r="B10021" s="55"/>
      <c r="C10021" s="31"/>
    </row>
    <row r="10022">
      <c r="A10022" s="56" t="s">
        <v>22241</v>
      </c>
      <c r="B10022" s="55"/>
      <c r="C10022" s="31"/>
    </row>
    <row r="10023">
      <c r="A10023" s="56" t="s">
        <v>22242</v>
      </c>
      <c r="B10023" s="55"/>
      <c r="C10023" s="31"/>
    </row>
    <row r="10024">
      <c r="A10024" s="56" t="s">
        <v>22243</v>
      </c>
      <c r="B10024" s="55"/>
      <c r="C10024" s="31"/>
    </row>
    <row r="10025">
      <c r="A10025" s="56" t="s">
        <v>22244</v>
      </c>
      <c r="B10025" s="82"/>
      <c r="C10025" s="33" t="s">
        <v>22245</v>
      </c>
    </row>
    <row r="10026">
      <c r="A10026" s="56" t="s">
        <v>22246</v>
      </c>
      <c r="B10026" s="55"/>
      <c r="C10026" s="31"/>
    </row>
    <row r="10027">
      <c r="A10027" s="56" t="s">
        <v>22247</v>
      </c>
      <c r="B10027" s="55"/>
      <c r="C10027" s="31"/>
    </row>
    <row r="10028">
      <c r="A10028" s="56" t="s">
        <v>22249</v>
      </c>
      <c r="B10028" s="55"/>
      <c r="C10028" s="31"/>
    </row>
    <row r="10029">
      <c r="A10029" s="56" t="s">
        <v>22250</v>
      </c>
      <c r="B10029" s="55"/>
      <c r="C10029" s="31"/>
    </row>
    <row r="10030">
      <c r="A10030" s="56" t="s">
        <v>22251</v>
      </c>
      <c r="B10030" s="55"/>
      <c r="C10030" s="31"/>
    </row>
    <row r="10031">
      <c r="A10031" s="56" t="s">
        <v>22252</v>
      </c>
      <c r="B10031" s="55"/>
      <c r="C10031" s="31"/>
    </row>
    <row r="10032">
      <c r="A10032" s="56" t="s">
        <v>22253</v>
      </c>
      <c r="B10032" s="55"/>
      <c r="C10032" s="31"/>
    </row>
    <row r="10033">
      <c r="A10033" s="56" t="s">
        <v>22255</v>
      </c>
      <c r="B10033" s="55"/>
      <c r="C10033" s="31"/>
    </row>
    <row r="10034">
      <c r="A10034" s="56" t="s">
        <v>22256</v>
      </c>
      <c r="B10034" s="55"/>
      <c r="C10034" s="31"/>
    </row>
    <row r="10035">
      <c r="A10035" s="56" t="s">
        <v>22257</v>
      </c>
      <c r="B10035" s="55"/>
      <c r="C10035" s="31"/>
    </row>
    <row r="10036">
      <c r="A10036" s="56" t="s">
        <v>22259</v>
      </c>
      <c r="B10036" s="55"/>
      <c r="C10036" s="31"/>
    </row>
    <row r="10037">
      <c r="A10037" s="56" t="s">
        <v>22260</v>
      </c>
      <c r="B10037" s="55"/>
      <c r="C10037" s="31"/>
    </row>
    <row r="10038">
      <c r="A10038" s="56" t="s">
        <v>22261</v>
      </c>
      <c r="B10038" s="55"/>
      <c r="C10038" s="31"/>
    </row>
    <row r="10039">
      <c r="A10039" s="56" t="s">
        <v>22262</v>
      </c>
      <c r="B10039" s="55"/>
      <c r="C10039" s="31"/>
    </row>
    <row r="10040">
      <c r="A10040" s="56" t="s">
        <v>22263</v>
      </c>
      <c r="B10040" s="55"/>
      <c r="C10040" s="31"/>
    </row>
    <row r="10041">
      <c r="A10041" s="56" t="s">
        <v>22264</v>
      </c>
      <c r="B10041" s="55"/>
      <c r="C10041" s="31"/>
    </row>
    <row r="10042">
      <c r="A10042" s="56" t="s">
        <v>22265</v>
      </c>
      <c r="B10042" s="82"/>
      <c r="C10042" s="33" t="s">
        <v>22267</v>
      </c>
    </row>
    <row r="10043">
      <c r="A10043" s="56" t="s">
        <v>22268</v>
      </c>
      <c r="B10043" s="82"/>
      <c r="C10043" s="33" t="s">
        <v>11373</v>
      </c>
      <c r="E10043" s="46" t="s">
        <v>7616</v>
      </c>
    </row>
    <row r="10044">
      <c r="A10044" s="56" t="s">
        <v>22269</v>
      </c>
      <c r="B10044" s="82"/>
      <c r="C10044" s="33" t="s">
        <v>11373</v>
      </c>
      <c r="E10044" s="46" t="s">
        <v>7618</v>
      </c>
    </row>
    <row r="10045">
      <c r="A10045" s="56" t="s">
        <v>22270</v>
      </c>
      <c r="B10045" s="82"/>
      <c r="C10045" s="33" t="s">
        <v>11376</v>
      </c>
      <c r="E10045" s="46" t="s">
        <v>7616</v>
      </c>
    </row>
    <row r="10046">
      <c r="A10046" s="56" t="s">
        <v>22271</v>
      </c>
      <c r="B10046" s="82"/>
      <c r="C10046" s="33" t="s">
        <v>11376</v>
      </c>
      <c r="E10046" s="46" t="s">
        <v>7618</v>
      </c>
    </row>
    <row r="10047">
      <c r="A10047" s="56" t="s">
        <v>22273</v>
      </c>
      <c r="B10047" s="82"/>
      <c r="C10047" s="33" t="s">
        <v>11380</v>
      </c>
      <c r="E10047" s="46" t="s">
        <v>7616</v>
      </c>
    </row>
    <row r="10048">
      <c r="A10048" s="56" t="s">
        <v>22276</v>
      </c>
      <c r="B10048" s="82"/>
      <c r="C10048" s="33" t="s">
        <v>11380</v>
      </c>
      <c r="E10048" s="46" t="s">
        <v>7618</v>
      </c>
    </row>
    <row r="10049">
      <c r="A10049" s="56" t="s">
        <v>22277</v>
      </c>
      <c r="B10049" s="79"/>
      <c r="C10049" s="33" t="s">
        <v>11384</v>
      </c>
      <c r="E10049" s="46" t="s">
        <v>1348</v>
      </c>
    </row>
    <row r="10050">
      <c r="A10050" s="56" t="s">
        <v>22278</v>
      </c>
      <c r="B10050" s="79"/>
      <c r="C10050" s="33" t="s">
        <v>11384</v>
      </c>
      <c r="E10050" s="46" t="s">
        <v>1348</v>
      </c>
    </row>
    <row r="10051">
      <c r="A10051" s="56" t="s">
        <v>22279</v>
      </c>
      <c r="B10051" s="79"/>
      <c r="C10051" s="33" t="s">
        <v>11389</v>
      </c>
      <c r="E10051" s="46" t="s">
        <v>1348</v>
      </c>
    </row>
    <row r="10052">
      <c r="A10052" s="56" t="s">
        <v>22280</v>
      </c>
      <c r="B10052" s="21"/>
      <c r="C10052" s="33" t="s">
        <v>11391</v>
      </c>
      <c r="E10052" s="46" t="s">
        <v>7616</v>
      </c>
    </row>
    <row r="10053">
      <c r="A10053" s="56" t="s">
        <v>22282</v>
      </c>
      <c r="B10053" s="21"/>
      <c r="C10053" s="33" t="s">
        <v>11391</v>
      </c>
      <c r="E10053" s="46" t="s">
        <v>7618</v>
      </c>
    </row>
    <row r="10054">
      <c r="A10054" s="56" t="s">
        <v>22284</v>
      </c>
      <c r="B10054" s="21"/>
      <c r="C10054" s="33" t="s">
        <v>11394</v>
      </c>
      <c r="E10054" s="46" t="s">
        <v>7616</v>
      </c>
    </row>
    <row r="10055">
      <c r="A10055" s="56" t="s">
        <v>22287</v>
      </c>
      <c r="B10055" s="21"/>
      <c r="C10055" s="33" t="s">
        <v>11394</v>
      </c>
      <c r="E10055" s="46" t="s">
        <v>7618</v>
      </c>
    </row>
    <row r="10056">
      <c r="A10056" s="56" t="s">
        <v>22289</v>
      </c>
      <c r="B10056" s="21"/>
      <c r="C10056" s="33" t="s">
        <v>11398</v>
      </c>
      <c r="E10056" s="46" t="s">
        <v>7616</v>
      </c>
    </row>
    <row r="10057">
      <c r="A10057" s="56" t="s">
        <v>22290</v>
      </c>
      <c r="B10057" s="21"/>
      <c r="C10057" s="33" t="s">
        <v>11398</v>
      </c>
      <c r="E10057" s="46" t="s">
        <v>7618</v>
      </c>
    </row>
    <row r="10058">
      <c r="A10058" s="56" t="s">
        <v>22291</v>
      </c>
      <c r="B10058" s="21"/>
      <c r="C10058" s="33" t="s">
        <v>11391</v>
      </c>
      <c r="E10058" s="46" t="s">
        <v>7616</v>
      </c>
    </row>
    <row r="10059">
      <c r="A10059" s="56" t="s">
        <v>22292</v>
      </c>
      <c r="B10059" s="21"/>
      <c r="C10059" s="33" t="s">
        <v>11391</v>
      </c>
      <c r="E10059" s="46" t="s">
        <v>7618</v>
      </c>
    </row>
    <row r="10060">
      <c r="A10060" s="56" t="s">
        <v>22294</v>
      </c>
      <c r="B10060" s="21"/>
      <c r="C10060" s="33" t="s">
        <v>11394</v>
      </c>
      <c r="E10060" s="46" t="s">
        <v>7616</v>
      </c>
    </row>
    <row r="10061">
      <c r="A10061" s="56" t="s">
        <v>22296</v>
      </c>
      <c r="B10061" s="21"/>
      <c r="C10061" s="33" t="s">
        <v>11394</v>
      </c>
      <c r="E10061" s="46" t="s">
        <v>7618</v>
      </c>
    </row>
    <row r="10062">
      <c r="A10062" s="56" t="s">
        <v>22298</v>
      </c>
      <c r="B10062" s="21"/>
      <c r="C10062" s="33" t="s">
        <v>11398</v>
      </c>
      <c r="E10062" s="46" t="s">
        <v>7616</v>
      </c>
    </row>
    <row r="10063">
      <c r="A10063" s="56" t="s">
        <v>22299</v>
      </c>
      <c r="B10063" s="21"/>
      <c r="C10063" s="33" t="s">
        <v>11398</v>
      </c>
      <c r="E10063" s="46" t="s">
        <v>7618</v>
      </c>
    </row>
    <row r="10064">
      <c r="A10064" s="56" t="s">
        <v>22301</v>
      </c>
      <c r="B10064" s="21"/>
      <c r="C10064" s="33" t="s">
        <v>11411</v>
      </c>
      <c r="E10064" s="46" t="s">
        <v>7616</v>
      </c>
    </row>
    <row r="10065">
      <c r="A10065" s="56" t="s">
        <v>22302</v>
      </c>
      <c r="B10065" s="21"/>
      <c r="C10065" s="33" t="s">
        <v>11411</v>
      </c>
      <c r="E10065" s="46" t="s">
        <v>7618</v>
      </c>
    </row>
    <row r="10066">
      <c r="A10066" s="56" t="s">
        <v>22303</v>
      </c>
      <c r="B10066" s="21"/>
      <c r="C10066" s="33" t="s">
        <v>11416</v>
      </c>
      <c r="E10066" s="46" t="s">
        <v>7616</v>
      </c>
    </row>
    <row r="10067">
      <c r="A10067" s="56" t="s">
        <v>22305</v>
      </c>
      <c r="B10067" s="21"/>
      <c r="C10067" s="33" t="s">
        <v>11416</v>
      </c>
      <c r="E10067" s="46" t="s">
        <v>7618</v>
      </c>
    </row>
    <row r="10068">
      <c r="A10068" s="56" t="s">
        <v>22306</v>
      </c>
      <c r="B10068" s="21"/>
      <c r="C10068" s="33" t="s">
        <v>11419</v>
      </c>
      <c r="E10068" s="46" t="s">
        <v>7616</v>
      </c>
    </row>
    <row r="10069">
      <c r="A10069" s="56" t="s">
        <v>22307</v>
      </c>
      <c r="B10069" s="21"/>
      <c r="C10069" s="33" t="s">
        <v>11419</v>
      </c>
      <c r="E10069" s="46" t="s">
        <v>7618</v>
      </c>
    </row>
    <row r="10070">
      <c r="A10070" s="56" t="s">
        <v>22308</v>
      </c>
      <c r="B10070" s="21"/>
      <c r="C10070" s="33" t="s">
        <v>11411</v>
      </c>
      <c r="E10070" s="46" t="s">
        <v>7616</v>
      </c>
    </row>
    <row r="10071">
      <c r="A10071" s="56" t="s">
        <v>22309</v>
      </c>
      <c r="B10071" s="21"/>
      <c r="C10071" s="33" t="s">
        <v>11411</v>
      </c>
      <c r="E10071" s="46" t="s">
        <v>7618</v>
      </c>
    </row>
    <row r="10072">
      <c r="A10072" s="56" t="s">
        <v>22313</v>
      </c>
      <c r="B10072" s="21"/>
      <c r="C10072" s="33" t="s">
        <v>11416</v>
      </c>
      <c r="E10072" s="46" t="s">
        <v>7616</v>
      </c>
    </row>
    <row r="10073">
      <c r="A10073" s="56" t="s">
        <v>22314</v>
      </c>
      <c r="B10073" s="21"/>
      <c r="C10073" s="33" t="s">
        <v>11416</v>
      </c>
      <c r="E10073" s="46" t="s">
        <v>7618</v>
      </c>
    </row>
    <row r="10074">
      <c r="A10074" s="56" t="s">
        <v>22315</v>
      </c>
      <c r="B10074" s="21"/>
      <c r="C10074" s="33" t="s">
        <v>11419</v>
      </c>
      <c r="E10074" s="46" t="s">
        <v>7616</v>
      </c>
    </row>
    <row r="10075">
      <c r="A10075" s="56" t="s">
        <v>22316</v>
      </c>
      <c r="B10075" s="21"/>
      <c r="C10075" s="33" t="s">
        <v>11419</v>
      </c>
      <c r="E10075" s="46" t="s">
        <v>7618</v>
      </c>
    </row>
    <row r="10076">
      <c r="A10076" s="56" t="s">
        <v>22317</v>
      </c>
      <c r="B10076" s="55"/>
      <c r="C10076" s="31"/>
    </row>
    <row r="10077">
      <c r="A10077" s="56" t="s">
        <v>22318</v>
      </c>
      <c r="B10077" s="82"/>
      <c r="C10077" s="33" t="s">
        <v>22232</v>
      </c>
    </row>
    <row r="10078">
      <c r="A10078" s="56" t="s">
        <v>22319</v>
      </c>
      <c r="B10078" s="82"/>
      <c r="C10078" s="33" t="s">
        <v>11373</v>
      </c>
      <c r="E10078" s="46" t="s">
        <v>7616</v>
      </c>
    </row>
    <row r="10079">
      <c r="A10079" s="56" t="s">
        <v>22320</v>
      </c>
      <c r="B10079" s="82"/>
      <c r="C10079" s="33" t="s">
        <v>11373</v>
      </c>
      <c r="E10079" s="46" t="s">
        <v>7618</v>
      </c>
    </row>
    <row r="10080">
      <c r="A10080" s="56" t="s">
        <v>22322</v>
      </c>
      <c r="B10080" s="82"/>
      <c r="C10080" s="33" t="s">
        <v>11376</v>
      </c>
      <c r="E10080" s="46" t="s">
        <v>7616</v>
      </c>
    </row>
    <row r="10081">
      <c r="A10081" s="56" t="s">
        <v>22324</v>
      </c>
      <c r="B10081" s="82"/>
      <c r="C10081" s="33" t="s">
        <v>11376</v>
      </c>
      <c r="E10081" s="46" t="s">
        <v>7618</v>
      </c>
    </row>
    <row r="10082">
      <c r="A10082" s="56" t="s">
        <v>22326</v>
      </c>
      <c r="B10082" s="82"/>
      <c r="C10082" s="33" t="s">
        <v>11380</v>
      </c>
      <c r="E10082" s="46" t="s">
        <v>7616</v>
      </c>
    </row>
    <row r="10083">
      <c r="A10083" s="56" t="s">
        <v>22327</v>
      </c>
      <c r="B10083" s="82"/>
      <c r="C10083" s="33" t="s">
        <v>11380</v>
      </c>
      <c r="E10083" s="46" t="s">
        <v>7618</v>
      </c>
    </row>
    <row r="10084">
      <c r="A10084" s="56" t="s">
        <v>22328</v>
      </c>
      <c r="B10084" s="79"/>
      <c r="C10084" s="33" t="s">
        <v>11384</v>
      </c>
      <c r="E10084" s="46" t="s">
        <v>1348</v>
      </c>
    </row>
    <row r="10085">
      <c r="A10085" s="56" t="s">
        <v>22329</v>
      </c>
      <c r="B10085" s="79"/>
      <c r="C10085" s="33" t="s">
        <v>11384</v>
      </c>
      <c r="E10085" s="46" t="s">
        <v>1348</v>
      </c>
    </row>
    <row r="10086">
      <c r="A10086" s="56" t="s">
        <v>22331</v>
      </c>
      <c r="B10086" s="79"/>
      <c r="C10086" s="33" t="s">
        <v>11389</v>
      </c>
      <c r="E10086" s="46" t="s">
        <v>1348</v>
      </c>
    </row>
    <row r="10087">
      <c r="A10087" s="56" t="s">
        <v>22332</v>
      </c>
      <c r="B10087" s="21"/>
      <c r="C10087" s="33" t="s">
        <v>11391</v>
      </c>
      <c r="E10087" s="46" t="s">
        <v>7616</v>
      </c>
    </row>
    <row r="10088">
      <c r="A10088" s="56" t="s">
        <v>22333</v>
      </c>
      <c r="B10088" s="21"/>
      <c r="C10088" s="33" t="s">
        <v>11391</v>
      </c>
      <c r="E10088" s="46" t="s">
        <v>7618</v>
      </c>
    </row>
    <row r="10089">
      <c r="A10089" s="56" t="s">
        <v>22334</v>
      </c>
      <c r="B10089" s="21"/>
      <c r="C10089" s="33" t="s">
        <v>11394</v>
      </c>
      <c r="E10089" s="46" t="s">
        <v>7616</v>
      </c>
    </row>
    <row r="10090">
      <c r="A10090" s="56" t="s">
        <v>22337</v>
      </c>
      <c r="B10090" s="21"/>
      <c r="C10090" s="33" t="s">
        <v>11394</v>
      </c>
      <c r="E10090" s="46" t="s">
        <v>7618</v>
      </c>
    </row>
    <row r="10091">
      <c r="A10091" s="56" t="s">
        <v>22338</v>
      </c>
      <c r="B10091" s="21"/>
      <c r="C10091" s="33" t="s">
        <v>11398</v>
      </c>
      <c r="E10091" s="46" t="s">
        <v>7616</v>
      </c>
    </row>
    <row r="10092">
      <c r="A10092" s="56" t="s">
        <v>22339</v>
      </c>
      <c r="B10092" s="21"/>
      <c r="C10092" s="33" t="s">
        <v>11398</v>
      </c>
      <c r="E10092" s="46" t="s">
        <v>7618</v>
      </c>
    </row>
    <row r="10093">
      <c r="A10093" s="56" t="s">
        <v>22341</v>
      </c>
      <c r="B10093" s="21"/>
      <c r="C10093" s="33" t="s">
        <v>11391</v>
      </c>
      <c r="E10093" s="46" t="s">
        <v>7616</v>
      </c>
    </row>
    <row r="10094">
      <c r="A10094" s="56" t="s">
        <v>22342</v>
      </c>
      <c r="B10094" s="21"/>
      <c r="C10094" s="33" t="s">
        <v>11391</v>
      </c>
      <c r="E10094" s="46" t="s">
        <v>7618</v>
      </c>
    </row>
    <row r="10095">
      <c r="A10095" s="56" t="s">
        <v>22343</v>
      </c>
      <c r="B10095" s="21"/>
      <c r="C10095" s="33" t="s">
        <v>11394</v>
      </c>
      <c r="E10095" s="46" t="s">
        <v>7616</v>
      </c>
    </row>
    <row r="10096">
      <c r="A10096" s="56" t="s">
        <v>22344</v>
      </c>
      <c r="B10096" s="21"/>
      <c r="C10096" s="33" t="s">
        <v>11394</v>
      </c>
      <c r="E10096" s="46" t="s">
        <v>7618</v>
      </c>
    </row>
    <row r="10097">
      <c r="A10097" s="56" t="s">
        <v>22345</v>
      </c>
      <c r="B10097" s="21"/>
      <c r="C10097" s="33" t="s">
        <v>11398</v>
      </c>
      <c r="E10097" s="46" t="s">
        <v>7616</v>
      </c>
    </row>
    <row r="10098">
      <c r="A10098" s="56" t="s">
        <v>22347</v>
      </c>
      <c r="B10098" s="21"/>
      <c r="C10098" s="33" t="s">
        <v>11398</v>
      </c>
      <c r="E10098" s="46" t="s">
        <v>7618</v>
      </c>
    </row>
    <row r="10099">
      <c r="A10099" s="56" t="s">
        <v>22349</v>
      </c>
      <c r="B10099" s="21"/>
      <c r="C10099" s="33" t="s">
        <v>11411</v>
      </c>
      <c r="E10099" s="46" t="s">
        <v>7616</v>
      </c>
    </row>
    <row r="10100">
      <c r="A10100" s="56" t="s">
        <v>22350</v>
      </c>
      <c r="B10100" s="21"/>
      <c r="C10100" s="33" t="s">
        <v>11411</v>
      </c>
      <c r="E10100" s="46" t="s">
        <v>7618</v>
      </c>
    </row>
    <row r="10101">
      <c r="A10101" s="56" t="s">
        <v>22351</v>
      </c>
      <c r="B10101" s="21"/>
      <c r="C10101" s="33" t="s">
        <v>11416</v>
      </c>
      <c r="E10101" s="46" t="s">
        <v>7616</v>
      </c>
    </row>
    <row r="10102">
      <c r="A10102" s="56" t="s">
        <v>22352</v>
      </c>
      <c r="B10102" s="21"/>
      <c r="C10102" s="33" t="s">
        <v>11416</v>
      </c>
      <c r="E10102" s="46" t="s">
        <v>7618</v>
      </c>
    </row>
    <row r="10103">
      <c r="A10103" s="56" t="s">
        <v>22353</v>
      </c>
      <c r="B10103" s="21"/>
      <c r="C10103" s="33" t="s">
        <v>11419</v>
      </c>
      <c r="E10103" s="46" t="s">
        <v>7616</v>
      </c>
    </row>
    <row r="10104">
      <c r="A10104" s="56" t="s">
        <v>22354</v>
      </c>
      <c r="B10104" s="21"/>
      <c r="C10104" s="33" t="s">
        <v>11419</v>
      </c>
      <c r="E10104" s="46" t="s">
        <v>7618</v>
      </c>
    </row>
    <row r="10105">
      <c r="A10105" s="56" t="s">
        <v>22355</v>
      </c>
      <c r="B10105" s="21"/>
      <c r="C10105" s="33" t="s">
        <v>11411</v>
      </c>
      <c r="E10105" s="46" t="s">
        <v>7616</v>
      </c>
    </row>
    <row r="10106">
      <c r="A10106" s="56" t="s">
        <v>22357</v>
      </c>
      <c r="B10106" s="21"/>
      <c r="C10106" s="33" t="s">
        <v>11411</v>
      </c>
      <c r="E10106" s="46" t="s">
        <v>7618</v>
      </c>
    </row>
    <row r="10107">
      <c r="A10107" s="56" t="s">
        <v>22359</v>
      </c>
      <c r="B10107" s="21"/>
      <c r="C10107" s="33" t="s">
        <v>11416</v>
      </c>
      <c r="E10107" s="46" t="s">
        <v>7616</v>
      </c>
    </row>
    <row r="10108">
      <c r="A10108" s="56" t="s">
        <v>22361</v>
      </c>
      <c r="B10108" s="21"/>
      <c r="C10108" s="33" t="s">
        <v>11416</v>
      </c>
      <c r="E10108" s="46" t="s">
        <v>7618</v>
      </c>
    </row>
    <row r="10109">
      <c r="A10109" s="56" t="s">
        <v>22362</v>
      </c>
      <c r="B10109" s="21"/>
      <c r="C10109" s="33" t="s">
        <v>11419</v>
      </c>
      <c r="E10109" s="46" t="s">
        <v>7616</v>
      </c>
    </row>
    <row r="10110">
      <c r="A10110" s="56" t="s">
        <v>22363</v>
      </c>
      <c r="B10110" s="21"/>
      <c r="C10110" s="33" t="s">
        <v>11419</v>
      </c>
      <c r="E10110" s="46" t="s">
        <v>7618</v>
      </c>
    </row>
    <row r="10111">
      <c r="A10111" s="56" t="s">
        <v>22364</v>
      </c>
      <c r="B10111" s="82"/>
      <c r="C10111" s="33" t="s">
        <v>22365</v>
      </c>
    </row>
    <row r="10112">
      <c r="A10112" s="56" t="s">
        <v>22366</v>
      </c>
      <c r="B10112" s="82"/>
      <c r="C10112" s="33" t="s">
        <v>11373</v>
      </c>
      <c r="E10112" s="46" t="s">
        <v>7616</v>
      </c>
    </row>
    <row r="10113">
      <c r="A10113" s="56" t="s">
        <v>22367</v>
      </c>
      <c r="B10113" s="82"/>
      <c r="C10113" s="33" t="s">
        <v>11373</v>
      </c>
      <c r="E10113" s="46" t="s">
        <v>7618</v>
      </c>
    </row>
    <row r="10114">
      <c r="A10114" s="56" t="s">
        <v>22368</v>
      </c>
      <c r="B10114" s="82"/>
      <c r="C10114" s="33" t="s">
        <v>11376</v>
      </c>
      <c r="E10114" s="46" t="s">
        <v>7616</v>
      </c>
    </row>
    <row r="10115">
      <c r="A10115" s="56" t="s">
        <v>22369</v>
      </c>
      <c r="B10115" s="82"/>
      <c r="C10115" s="33" t="s">
        <v>11376</v>
      </c>
      <c r="E10115" s="46" t="s">
        <v>7618</v>
      </c>
    </row>
    <row r="10116">
      <c r="A10116" s="56" t="s">
        <v>22371</v>
      </c>
      <c r="B10116" s="82"/>
      <c r="C10116" s="33" t="s">
        <v>11380</v>
      </c>
      <c r="E10116" s="46" t="s">
        <v>7616</v>
      </c>
    </row>
    <row r="10117">
      <c r="A10117" s="56" t="s">
        <v>22372</v>
      </c>
      <c r="B10117" s="82"/>
      <c r="C10117" s="33" t="s">
        <v>11380</v>
      </c>
      <c r="E10117" s="46" t="s">
        <v>7618</v>
      </c>
    </row>
    <row r="10118">
      <c r="A10118" s="56" t="s">
        <v>22374</v>
      </c>
      <c r="B10118" s="79"/>
      <c r="C10118" s="33" t="s">
        <v>11384</v>
      </c>
      <c r="E10118" s="46" t="s">
        <v>1348</v>
      </c>
    </row>
    <row r="10119">
      <c r="A10119" s="56" t="s">
        <v>22376</v>
      </c>
      <c r="B10119" s="79"/>
      <c r="C10119" s="33" t="s">
        <v>11384</v>
      </c>
      <c r="E10119" s="46" t="s">
        <v>1348</v>
      </c>
    </row>
    <row r="10120">
      <c r="A10120" s="56" t="s">
        <v>22377</v>
      </c>
      <c r="B10120" s="79"/>
      <c r="C10120" s="33" t="s">
        <v>11389</v>
      </c>
      <c r="E10120" s="46" t="s">
        <v>1348</v>
      </c>
    </row>
    <row r="10121">
      <c r="A10121" s="56" t="s">
        <v>22378</v>
      </c>
      <c r="B10121" s="21"/>
      <c r="C10121" s="33" t="s">
        <v>11391</v>
      </c>
      <c r="E10121" s="46" t="s">
        <v>7616</v>
      </c>
    </row>
    <row r="10122">
      <c r="A10122" s="56" t="s">
        <v>22380</v>
      </c>
      <c r="B10122" s="21"/>
      <c r="C10122" s="33" t="s">
        <v>11391</v>
      </c>
      <c r="E10122" s="46" t="s">
        <v>7618</v>
      </c>
    </row>
    <row r="10123">
      <c r="A10123" s="56" t="s">
        <v>22381</v>
      </c>
      <c r="B10123" s="21"/>
      <c r="C10123" s="33" t="s">
        <v>11394</v>
      </c>
      <c r="E10123" s="46" t="s">
        <v>7616</v>
      </c>
    </row>
    <row r="10124">
      <c r="A10124" s="56" t="s">
        <v>22382</v>
      </c>
      <c r="B10124" s="21"/>
      <c r="C10124" s="33" t="s">
        <v>11394</v>
      </c>
      <c r="E10124" s="46" t="s">
        <v>7618</v>
      </c>
    </row>
    <row r="10125">
      <c r="A10125" s="56" t="s">
        <v>22383</v>
      </c>
      <c r="B10125" s="21"/>
      <c r="C10125" s="33" t="s">
        <v>11398</v>
      </c>
      <c r="E10125" s="46" t="s">
        <v>7616</v>
      </c>
    </row>
    <row r="10126">
      <c r="A10126" s="56" t="s">
        <v>22384</v>
      </c>
      <c r="B10126" s="21"/>
      <c r="C10126" s="33" t="s">
        <v>11398</v>
      </c>
      <c r="E10126" s="46" t="s">
        <v>7618</v>
      </c>
    </row>
    <row r="10127">
      <c r="A10127" s="56" t="s">
        <v>22388</v>
      </c>
      <c r="B10127" s="21"/>
      <c r="C10127" s="33" t="s">
        <v>11391</v>
      </c>
      <c r="E10127" s="46" t="s">
        <v>7616</v>
      </c>
    </row>
    <row r="10128">
      <c r="A10128" s="56" t="s">
        <v>22389</v>
      </c>
      <c r="B10128" s="21"/>
      <c r="C10128" s="33" t="s">
        <v>11391</v>
      </c>
      <c r="E10128" s="46" t="s">
        <v>7618</v>
      </c>
    </row>
    <row r="10129">
      <c r="A10129" s="56" t="s">
        <v>22390</v>
      </c>
      <c r="B10129" s="21"/>
      <c r="C10129" s="33" t="s">
        <v>11394</v>
      </c>
      <c r="E10129" s="46" t="s">
        <v>7616</v>
      </c>
    </row>
    <row r="10130">
      <c r="A10130" s="56" t="s">
        <v>22391</v>
      </c>
      <c r="B10130" s="21"/>
      <c r="C10130" s="33" t="s">
        <v>11394</v>
      </c>
      <c r="E10130" s="46" t="s">
        <v>7618</v>
      </c>
    </row>
    <row r="10131">
      <c r="A10131" s="56" t="s">
        <v>22393</v>
      </c>
      <c r="B10131" s="21"/>
      <c r="C10131" s="33" t="s">
        <v>11398</v>
      </c>
      <c r="E10131" s="46" t="s">
        <v>7616</v>
      </c>
    </row>
    <row r="10132">
      <c r="A10132" s="56" t="s">
        <v>22394</v>
      </c>
      <c r="B10132" s="21"/>
      <c r="C10132" s="33" t="s">
        <v>11398</v>
      </c>
      <c r="E10132" s="46" t="s">
        <v>7618</v>
      </c>
    </row>
    <row r="10133">
      <c r="A10133" s="56" t="s">
        <v>22395</v>
      </c>
      <c r="B10133" s="21"/>
      <c r="C10133" s="33" t="s">
        <v>11411</v>
      </c>
      <c r="E10133" s="46" t="s">
        <v>7616</v>
      </c>
    </row>
    <row r="10134">
      <c r="A10134" s="56" t="s">
        <v>22396</v>
      </c>
      <c r="B10134" s="21"/>
      <c r="C10134" s="33" t="s">
        <v>11411</v>
      </c>
      <c r="E10134" s="46" t="s">
        <v>7618</v>
      </c>
    </row>
    <row r="10135">
      <c r="A10135" s="56" t="s">
        <v>22398</v>
      </c>
      <c r="B10135" s="21"/>
      <c r="C10135" s="33" t="s">
        <v>11416</v>
      </c>
      <c r="E10135" s="46" t="s">
        <v>7616</v>
      </c>
    </row>
    <row r="10136">
      <c r="A10136" s="56" t="s">
        <v>22399</v>
      </c>
      <c r="B10136" s="21"/>
      <c r="C10136" s="33" t="s">
        <v>11416</v>
      </c>
      <c r="E10136" s="46" t="s">
        <v>7618</v>
      </c>
    </row>
    <row r="10137">
      <c r="A10137" s="56" t="s">
        <v>22401</v>
      </c>
      <c r="B10137" s="21"/>
      <c r="C10137" s="33" t="s">
        <v>11419</v>
      </c>
      <c r="E10137" s="46" t="s">
        <v>7616</v>
      </c>
    </row>
    <row r="10138">
      <c r="A10138" s="56" t="s">
        <v>22402</v>
      </c>
      <c r="B10138" s="21"/>
      <c r="C10138" s="33" t="s">
        <v>11419</v>
      </c>
      <c r="E10138" s="46" t="s">
        <v>7618</v>
      </c>
    </row>
    <row r="10139">
      <c r="A10139" s="56" t="s">
        <v>22403</v>
      </c>
      <c r="B10139" s="21"/>
      <c r="C10139" s="33" t="s">
        <v>11411</v>
      </c>
      <c r="E10139" s="46" t="s">
        <v>7616</v>
      </c>
    </row>
    <row r="10140">
      <c r="A10140" s="56" t="s">
        <v>22404</v>
      </c>
      <c r="B10140" s="21"/>
      <c r="C10140" s="33" t="s">
        <v>11411</v>
      </c>
      <c r="E10140" s="46" t="s">
        <v>7618</v>
      </c>
    </row>
    <row r="10141">
      <c r="A10141" s="56" t="s">
        <v>22405</v>
      </c>
      <c r="B10141" s="21"/>
      <c r="C10141" s="33" t="s">
        <v>11416</v>
      </c>
      <c r="E10141" s="46" t="s">
        <v>7616</v>
      </c>
    </row>
    <row r="10142">
      <c r="A10142" s="56" t="s">
        <v>22407</v>
      </c>
      <c r="B10142" s="21"/>
      <c r="C10142" s="33" t="s">
        <v>11416</v>
      </c>
      <c r="E10142" s="46" t="s">
        <v>7618</v>
      </c>
    </row>
    <row r="10143">
      <c r="A10143" s="56" t="s">
        <v>22408</v>
      </c>
      <c r="B10143" s="21"/>
      <c r="C10143" s="33" t="s">
        <v>11419</v>
      </c>
      <c r="E10143" s="46" t="s">
        <v>7616</v>
      </c>
    </row>
    <row r="10144">
      <c r="A10144" s="56" t="s">
        <v>22410</v>
      </c>
      <c r="B10144" s="21"/>
      <c r="C10144" s="33" t="s">
        <v>11419</v>
      </c>
      <c r="E10144" s="46" t="s">
        <v>7618</v>
      </c>
    </row>
    <row r="10145">
      <c r="A10145" s="56" t="s">
        <v>22412</v>
      </c>
      <c r="B10145" s="82"/>
      <c r="C10145" s="33" t="s">
        <v>22413</v>
      </c>
    </row>
    <row r="10146">
      <c r="A10146" s="56" t="s">
        <v>22414</v>
      </c>
      <c r="B10146" s="55"/>
      <c r="C10146" s="31"/>
    </row>
    <row r="10147">
      <c r="A10147" s="56" t="s">
        <v>22416</v>
      </c>
      <c r="B10147" s="55"/>
      <c r="C10147" s="31"/>
    </row>
    <row r="10148">
      <c r="A10148" s="56" t="s">
        <v>22417</v>
      </c>
      <c r="B10148" s="55"/>
      <c r="C10148" s="31"/>
    </row>
    <row r="10149">
      <c r="A10149" s="56" t="s">
        <v>22418</v>
      </c>
      <c r="B10149" s="55"/>
      <c r="C10149" s="31"/>
    </row>
    <row r="10150">
      <c r="A10150" s="56" t="s">
        <v>22419</v>
      </c>
      <c r="B10150" s="55"/>
      <c r="C10150" s="31"/>
    </row>
    <row r="10151">
      <c r="A10151" s="56" t="s">
        <v>22420</v>
      </c>
      <c r="B10151" s="55"/>
      <c r="C10151" s="31"/>
    </row>
    <row r="10152">
      <c r="A10152" s="56" t="s">
        <v>22421</v>
      </c>
      <c r="B10152" s="55"/>
      <c r="C10152" s="31"/>
    </row>
    <row r="10153">
      <c r="A10153" s="56" t="s">
        <v>22422</v>
      </c>
      <c r="B10153" s="55"/>
      <c r="C10153" s="31"/>
    </row>
    <row r="10154">
      <c r="A10154" s="56" t="s">
        <v>22424</v>
      </c>
      <c r="B10154" s="55"/>
      <c r="C10154" s="31"/>
    </row>
    <row r="10155">
      <c r="A10155" s="56" t="s">
        <v>22427</v>
      </c>
      <c r="B10155" s="55"/>
      <c r="C10155" s="31"/>
    </row>
    <row r="10156">
      <c r="A10156" s="56" t="s">
        <v>22428</v>
      </c>
      <c r="B10156" s="55"/>
      <c r="C10156" s="31"/>
    </row>
    <row r="10157">
      <c r="A10157" s="56" t="s">
        <v>22429</v>
      </c>
      <c r="B10157" s="55"/>
      <c r="C10157" s="31"/>
    </row>
    <row r="10158">
      <c r="A10158" s="56" t="s">
        <v>22430</v>
      </c>
      <c r="B10158" s="55"/>
      <c r="C10158" s="31"/>
    </row>
    <row r="10159">
      <c r="A10159" s="56" t="s">
        <v>22431</v>
      </c>
      <c r="B10159" s="55"/>
      <c r="C10159" s="31"/>
    </row>
    <row r="10160">
      <c r="A10160" s="56" t="s">
        <v>22433</v>
      </c>
      <c r="B10160" s="55"/>
      <c r="C10160" s="31"/>
    </row>
    <row r="10161">
      <c r="A10161" s="56" t="s">
        <v>22434</v>
      </c>
      <c r="B10161" s="55"/>
      <c r="C10161" s="31"/>
    </row>
    <row r="10162">
      <c r="A10162" s="56" t="s">
        <v>22435</v>
      </c>
      <c r="B10162" s="55"/>
      <c r="C10162" s="31"/>
    </row>
    <row r="10163">
      <c r="A10163" s="56" t="s">
        <v>22436</v>
      </c>
      <c r="B10163" s="55"/>
      <c r="C10163" s="31"/>
    </row>
    <row r="10164">
      <c r="A10164" s="56" t="s">
        <v>22437</v>
      </c>
      <c r="B10164" s="55"/>
      <c r="C10164" s="31"/>
    </row>
    <row r="10165">
      <c r="A10165" s="56" t="s">
        <v>22440</v>
      </c>
      <c r="B10165" s="55"/>
      <c r="C10165" s="31"/>
    </row>
    <row r="10166">
      <c r="A10166" s="56" t="s">
        <v>22442</v>
      </c>
      <c r="B10166" s="55"/>
      <c r="C10166" s="31"/>
    </row>
    <row r="10167">
      <c r="A10167" s="56" t="s">
        <v>22443</v>
      </c>
      <c r="B10167" s="55"/>
      <c r="C10167" s="31"/>
    </row>
    <row r="10168">
      <c r="A10168" s="56" t="s">
        <v>22444</v>
      </c>
      <c r="B10168" s="55"/>
      <c r="C10168" s="31"/>
    </row>
    <row r="10169">
      <c r="A10169" s="56" t="s">
        <v>22445</v>
      </c>
      <c r="B10169" s="55"/>
      <c r="C10169" s="31"/>
    </row>
    <row r="10170">
      <c r="A10170" s="56" t="s">
        <v>22447</v>
      </c>
      <c r="B10170" s="55"/>
      <c r="C10170" s="31"/>
    </row>
    <row r="10171">
      <c r="A10171" s="56" t="s">
        <v>22448</v>
      </c>
      <c r="B10171" s="55"/>
      <c r="C10171" s="31"/>
    </row>
    <row r="10172">
      <c r="A10172" s="56" t="s">
        <v>22449</v>
      </c>
      <c r="B10172" s="55"/>
      <c r="C10172" s="31"/>
    </row>
    <row r="10173">
      <c r="A10173" s="56" t="s">
        <v>22450</v>
      </c>
      <c r="B10173" s="55"/>
      <c r="C10173" s="31"/>
    </row>
    <row r="10174">
      <c r="A10174" s="56" t="s">
        <v>22452</v>
      </c>
      <c r="B10174" s="55"/>
      <c r="C10174" s="31"/>
    </row>
    <row r="10175">
      <c r="A10175" s="56" t="s">
        <v>22454</v>
      </c>
      <c r="B10175" s="55"/>
      <c r="C10175" s="31"/>
    </row>
    <row r="10176">
      <c r="A10176" s="56" t="s">
        <v>22456</v>
      </c>
      <c r="B10176" s="55"/>
      <c r="C10176" s="31"/>
    </row>
    <row r="10177">
      <c r="A10177" s="56" t="s">
        <v>22457</v>
      </c>
      <c r="B10177" s="82"/>
      <c r="C10177" s="33" t="s">
        <v>22458</v>
      </c>
    </row>
    <row r="10178">
      <c r="A10178" s="56" t="s">
        <v>22459</v>
      </c>
      <c r="B10178" s="55"/>
      <c r="C10178" s="31"/>
    </row>
    <row r="10179">
      <c r="A10179" s="56" t="s">
        <v>22460</v>
      </c>
      <c r="B10179" s="55"/>
      <c r="C10179" s="31"/>
    </row>
    <row r="10180">
      <c r="A10180" s="56" t="s">
        <v>22461</v>
      </c>
      <c r="B10180" s="55"/>
      <c r="C10180" s="31"/>
    </row>
    <row r="10181">
      <c r="A10181" s="56" t="s">
        <v>22462</v>
      </c>
      <c r="B10181" s="55"/>
      <c r="C10181" s="31"/>
    </row>
    <row r="10182">
      <c r="A10182" s="56" t="s">
        <v>22463</v>
      </c>
      <c r="B10182" s="55"/>
      <c r="C10182" s="31"/>
    </row>
    <row r="10183">
      <c r="A10183" s="56" t="s">
        <v>22464</v>
      </c>
      <c r="B10183" s="55"/>
      <c r="C10183" s="31"/>
    </row>
    <row r="10184">
      <c r="A10184" s="56" t="s">
        <v>22465</v>
      </c>
      <c r="B10184" s="55"/>
      <c r="C10184" s="31"/>
    </row>
    <row r="10185">
      <c r="A10185" s="56" t="s">
        <v>22467</v>
      </c>
      <c r="B10185" s="55"/>
      <c r="C10185" s="31"/>
    </row>
    <row r="10186">
      <c r="A10186" s="56" t="s">
        <v>22469</v>
      </c>
      <c r="B10186" s="55"/>
      <c r="C10186" s="31"/>
    </row>
    <row r="10187">
      <c r="A10187" s="56" t="s">
        <v>22471</v>
      </c>
      <c r="B10187" s="55"/>
      <c r="C10187" s="31"/>
    </row>
    <row r="10188">
      <c r="A10188" s="56" t="s">
        <v>22472</v>
      </c>
      <c r="B10188" s="55"/>
      <c r="C10188" s="31"/>
    </row>
    <row r="10189">
      <c r="A10189" s="56" t="s">
        <v>22473</v>
      </c>
      <c r="B10189" s="55"/>
      <c r="C10189" s="31"/>
    </row>
    <row r="10190">
      <c r="A10190" s="56" t="s">
        <v>22474</v>
      </c>
      <c r="B10190" s="55"/>
      <c r="C10190" s="31"/>
    </row>
    <row r="10191">
      <c r="A10191" s="56" t="s">
        <v>22475</v>
      </c>
      <c r="B10191" s="55"/>
      <c r="C10191" s="31"/>
    </row>
    <row r="10192">
      <c r="A10192" s="56" t="s">
        <v>22476</v>
      </c>
      <c r="B10192" s="55"/>
      <c r="C10192" s="31"/>
    </row>
    <row r="10193">
      <c r="A10193" s="56" t="s">
        <v>22477</v>
      </c>
      <c r="B10193" s="55"/>
      <c r="C10193" s="31"/>
    </row>
    <row r="10194">
      <c r="A10194" s="56" t="s">
        <v>22478</v>
      </c>
      <c r="B10194" s="55"/>
      <c r="C10194" s="31"/>
    </row>
    <row r="10195">
      <c r="A10195" s="56" t="s">
        <v>22480</v>
      </c>
      <c r="B10195" s="55"/>
      <c r="C10195" s="31"/>
    </row>
    <row r="10196">
      <c r="A10196" s="56" t="s">
        <v>22481</v>
      </c>
      <c r="B10196" s="55"/>
      <c r="C10196" s="31"/>
    </row>
    <row r="10197">
      <c r="A10197" s="56" t="s">
        <v>22483</v>
      </c>
      <c r="B10197" s="55"/>
      <c r="C10197" s="31"/>
    </row>
    <row r="10198">
      <c r="A10198" s="56" t="s">
        <v>22485</v>
      </c>
      <c r="B10198" s="55"/>
      <c r="C10198" s="31"/>
    </row>
    <row r="10199">
      <c r="A10199" s="56" t="s">
        <v>22486</v>
      </c>
      <c r="B10199" s="55"/>
      <c r="C10199" s="31"/>
    </row>
    <row r="10200">
      <c r="A10200" s="56" t="s">
        <v>22487</v>
      </c>
      <c r="B10200" s="55"/>
      <c r="C10200" s="31"/>
    </row>
    <row r="10201">
      <c r="A10201" s="56" t="s">
        <v>22488</v>
      </c>
      <c r="B10201" s="55"/>
      <c r="C10201" s="31"/>
    </row>
    <row r="10202">
      <c r="A10202" s="56" t="s">
        <v>22489</v>
      </c>
      <c r="B10202" s="55"/>
      <c r="C10202" s="31"/>
    </row>
    <row r="10203">
      <c r="A10203" s="56" t="s">
        <v>22491</v>
      </c>
      <c r="B10203" s="55"/>
      <c r="C10203" s="31"/>
    </row>
    <row r="10204">
      <c r="A10204" s="56" t="s">
        <v>22492</v>
      </c>
      <c r="B10204" s="55"/>
      <c r="C10204" s="31"/>
    </row>
    <row r="10205">
      <c r="A10205" s="56" t="s">
        <v>22493</v>
      </c>
      <c r="B10205" s="55"/>
      <c r="C10205" s="31"/>
    </row>
    <row r="10206">
      <c r="A10206" s="56" t="s">
        <v>22494</v>
      </c>
      <c r="B10206" s="55"/>
      <c r="C10206" s="31"/>
    </row>
    <row r="10207">
      <c r="A10207" s="56" t="s">
        <v>22495</v>
      </c>
      <c r="B10207" s="55"/>
      <c r="C10207" s="31"/>
    </row>
    <row r="10208">
      <c r="A10208" s="56" t="s">
        <v>22496</v>
      </c>
      <c r="B10208" s="55"/>
      <c r="C10208" s="31"/>
    </row>
    <row r="10209">
      <c r="A10209" s="56" t="s">
        <v>22498</v>
      </c>
      <c r="B10209" s="55"/>
      <c r="C10209" s="31"/>
    </row>
    <row r="10210">
      <c r="A10210" s="56" t="s">
        <v>22500</v>
      </c>
      <c r="B10210" s="55"/>
      <c r="C10210" s="31"/>
    </row>
    <row r="10211">
      <c r="A10211" s="56" t="s">
        <v>22501</v>
      </c>
      <c r="B10211" s="55"/>
      <c r="C10211" s="31"/>
    </row>
    <row r="10212">
      <c r="A10212" s="56" t="s">
        <v>22502</v>
      </c>
      <c r="B10212" s="55"/>
      <c r="C10212" s="31"/>
    </row>
    <row r="10213">
      <c r="A10213" s="56" t="s">
        <v>22503</v>
      </c>
      <c r="B10213" s="55"/>
      <c r="C10213" s="31"/>
    </row>
    <row r="10214">
      <c r="A10214" s="56" t="s">
        <v>22505</v>
      </c>
      <c r="B10214" s="55"/>
      <c r="C10214" s="31"/>
    </row>
    <row r="10215">
      <c r="A10215" s="56" t="s">
        <v>22506</v>
      </c>
      <c r="B10215" s="55"/>
      <c r="C10215" s="31"/>
    </row>
    <row r="10216">
      <c r="A10216" s="56" t="s">
        <v>22507</v>
      </c>
      <c r="B10216" s="55"/>
      <c r="C10216" s="31"/>
    </row>
    <row r="10217">
      <c r="A10217" s="56" t="s">
        <v>22508</v>
      </c>
      <c r="B10217" s="55"/>
      <c r="C10217" s="31"/>
    </row>
    <row r="10218">
      <c r="A10218" s="56" t="s">
        <v>22509</v>
      </c>
      <c r="B10218" s="55"/>
      <c r="C10218" s="31"/>
    </row>
    <row r="10219">
      <c r="A10219" s="56" t="s">
        <v>22510</v>
      </c>
      <c r="B10219" s="55"/>
      <c r="C10219" s="31"/>
    </row>
    <row r="10220">
      <c r="A10220" s="56" t="s">
        <v>22511</v>
      </c>
      <c r="B10220" s="55"/>
      <c r="C10220" s="31"/>
    </row>
    <row r="10221">
      <c r="A10221" s="56" t="s">
        <v>22513</v>
      </c>
      <c r="B10221" s="55"/>
      <c r="C10221" s="31"/>
    </row>
    <row r="10222">
      <c r="A10222" s="56" t="s">
        <v>22515</v>
      </c>
      <c r="B10222" s="82"/>
      <c r="C10222" s="33" t="s">
        <v>22516</v>
      </c>
    </row>
    <row r="10223">
      <c r="A10223" s="56" t="s">
        <v>22517</v>
      </c>
      <c r="B10223" s="55"/>
      <c r="C10223" s="31"/>
    </row>
    <row r="10224">
      <c r="A10224" s="56" t="s">
        <v>22518</v>
      </c>
      <c r="B10224" s="55"/>
      <c r="C10224" s="31"/>
    </row>
    <row r="10225">
      <c r="A10225" s="56" t="s">
        <v>22520</v>
      </c>
      <c r="B10225" s="55"/>
      <c r="C10225" s="31"/>
    </row>
    <row r="10226">
      <c r="A10226" s="56" t="s">
        <v>22521</v>
      </c>
      <c r="B10226" s="55"/>
      <c r="C10226" s="31"/>
    </row>
    <row r="10227">
      <c r="A10227" s="56" t="s">
        <v>22522</v>
      </c>
      <c r="B10227" s="55"/>
      <c r="C10227" s="31"/>
    </row>
    <row r="10228">
      <c r="A10228" s="56" t="s">
        <v>22523</v>
      </c>
      <c r="B10228" s="55"/>
      <c r="C10228" s="31"/>
    </row>
    <row r="10229">
      <c r="A10229" s="56" t="s">
        <v>22524</v>
      </c>
      <c r="B10229" s="55"/>
      <c r="C10229" s="31"/>
    </row>
    <row r="10230">
      <c r="A10230" s="56" t="s">
        <v>22525</v>
      </c>
      <c r="B10230" s="55"/>
      <c r="C10230" s="31"/>
    </row>
    <row r="10231">
      <c r="A10231" s="56" t="s">
        <v>22526</v>
      </c>
      <c r="B10231" s="55"/>
      <c r="C10231" s="31"/>
    </row>
    <row r="10232">
      <c r="A10232" s="56" t="s">
        <v>22528</v>
      </c>
      <c r="B10232" s="55"/>
      <c r="C10232" s="31"/>
    </row>
    <row r="10233">
      <c r="A10233" s="56" t="s">
        <v>22529</v>
      </c>
      <c r="B10233" s="55"/>
      <c r="C10233" s="31"/>
    </row>
    <row r="10234">
      <c r="A10234" s="56" t="s">
        <v>22531</v>
      </c>
      <c r="B10234" s="55"/>
      <c r="C10234" s="31"/>
    </row>
    <row r="10235">
      <c r="A10235" s="56" t="s">
        <v>22532</v>
      </c>
      <c r="B10235" s="55"/>
      <c r="C10235" s="31"/>
    </row>
    <row r="10236">
      <c r="A10236" s="56" t="s">
        <v>22533</v>
      </c>
      <c r="B10236" s="55"/>
      <c r="C10236" s="31"/>
    </row>
    <row r="10237">
      <c r="A10237" s="56" t="s">
        <v>22535</v>
      </c>
      <c r="B10237" s="55"/>
      <c r="C10237" s="31"/>
    </row>
    <row r="10238">
      <c r="A10238" s="56" t="s">
        <v>22536</v>
      </c>
      <c r="B10238" s="55"/>
      <c r="C10238" s="31"/>
    </row>
    <row r="10239">
      <c r="A10239" s="56" t="s">
        <v>22537</v>
      </c>
      <c r="B10239" s="55"/>
      <c r="C10239" s="31"/>
    </row>
    <row r="10240">
      <c r="A10240" s="56" t="s">
        <v>22538</v>
      </c>
      <c r="B10240" s="55"/>
      <c r="C10240" s="31"/>
    </row>
    <row r="10241">
      <c r="A10241" s="56" t="s">
        <v>22539</v>
      </c>
      <c r="B10241" s="55"/>
      <c r="C10241" s="31"/>
    </row>
    <row r="10242">
      <c r="A10242" s="56" t="s">
        <v>22540</v>
      </c>
      <c r="B10242" s="55"/>
      <c r="C10242" s="31"/>
    </row>
    <row r="10243">
      <c r="A10243" s="56" t="s">
        <v>22541</v>
      </c>
      <c r="B10243" s="55"/>
      <c r="C10243" s="31"/>
    </row>
    <row r="10244">
      <c r="A10244" s="56" t="s">
        <v>22542</v>
      </c>
      <c r="B10244" s="55"/>
      <c r="C10244" s="31"/>
    </row>
    <row r="10245">
      <c r="A10245" s="56" t="s">
        <v>22544</v>
      </c>
      <c r="B10245" s="55"/>
      <c r="C10245" s="31"/>
    </row>
    <row r="10246">
      <c r="A10246" s="56" t="s">
        <v>22546</v>
      </c>
      <c r="B10246" s="55"/>
      <c r="C10246" s="31"/>
    </row>
    <row r="10247">
      <c r="A10247" s="56" t="s">
        <v>22547</v>
      </c>
      <c r="B10247" s="55"/>
      <c r="C10247" s="31"/>
    </row>
    <row r="10248">
      <c r="A10248" s="56" t="s">
        <v>22549</v>
      </c>
      <c r="B10248" s="55"/>
      <c r="C10248" s="31"/>
    </row>
    <row r="10249">
      <c r="A10249" s="56" t="s">
        <v>22550</v>
      </c>
      <c r="B10249" s="55"/>
      <c r="C10249" s="31"/>
    </row>
    <row r="10250">
      <c r="A10250" s="56" t="s">
        <v>22551</v>
      </c>
      <c r="B10250" s="55"/>
      <c r="C10250" s="31"/>
    </row>
    <row r="10251">
      <c r="A10251" s="56" t="s">
        <v>22552</v>
      </c>
      <c r="B10251" s="55"/>
      <c r="C10251" s="31"/>
    </row>
    <row r="10252">
      <c r="A10252" s="56" t="s">
        <v>22553</v>
      </c>
      <c r="B10252" s="82"/>
      <c r="C10252" s="33" t="s">
        <v>22554</v>
      </c>
    </row>
    <row r="10253">
      <c r="A10253" s="56" t="s">
        <v>22555</v>
      </c>
      <c r="B10253" s="55"/>
      <c r="C10253" s="31"/>
    </row>
    <row r="10254">
      <c r="A10254" s="56" t="s">
        <v>22556</v>
      </c>
      <c r="B10254" s="55"/>
      <c r="C10254" s="31"/>
    </row>
    <row r="10255">
      <c r="A10255" s="56" t="s">
        <v>22557</v>
      </c>
      <c r="B10255" s="55"/>
      <c r="C10255" s="31"/>
    </row>
    <row r="10256">
      <c r="A10256" s="56" t="s">
        <v>22559</v>
      </c>
      <c r="B10256" s="55"/>
      <c r="C10256" s="31"/>
    </row>
    <row r="10257">
      <c r="A10257" s="56" t="s">
        <v>22561</v>
      </c>
      <c r="B10257" s="55"/>
      <c r="C10257" s="31"/>
    </row>
    <row r="10258">
      <c r="A10258" s="56" t="s">
        <v>22563</v>
      </c>
      <c r="B10258" s="55"/>
      <c r="C10258" s="31"/>
    </row>
    <row r="10259">
      <c r="A10259" s="56" t="s">
        <v>22564</v>
      </c>
      <c r="B10259" s="55"/>
      <c r="C10259" s="31"/>
    </row>
    <row r="10260">
      <c r="A10260" s="56" t="s">
        <v>22565</v>
      </c>
      <c r="B10260" s="55"/>
      <c r="C10260" s="31"/>
    </row>
    <row r="10261">
      <c r="A10261" s="56" t="s">
        <v>22566</v>
      </c>
      <c r="B10261" s="55"/>
      <c r="C10261" s="31"/>
    </row>
    <row r="10262">
      <c r="A10262" s="56" t="s">
        <v>22567</v>
      </c>
      <c r="B10262" s="55"/>
      <c r="C10262" s="31"/>
    </row>
    <row r="10263">
      <c r="A10263" s="56" t="s">
        <v>22568</v>
      </c>
      <c r="B10263" s="55"/>
      <c r="C10263" s="31"/>
    </row>
    <row r="10264">
      <c r="A10264" s="56" t="s">
        <v>22570</v>
      </c>
      <c r="B10264" s="55"/>
      <c r="C10264" s="31"/>
    </row>
    <row r="10265">
      <c r="A10265" s="56" t="s">
        <v>22572</v>
      </c>
      <c r="B10265" s="55"/>
      <c r="C10265" s="31"/>
    </row>
    <row r="10266">
      <c r="A10266" s="56" t="s">
        <v>22573</v>
      </c>
      <c r="B10266" s="55"/>
      <c r="C10266" s="31"/>
    </row>
    <row r="10267">
      <c r="A10267" s="56" t="s">
        <v>22574</v>
      </c>
      <c r="B10267" s="55"/>
      <c r="C10267" s="31"/>
    </row>
    <row r="10268">
      <c r="A10268" s="56" t="s">
        <v>22576</v>
      </c>
      <c r="B10268" s="55"/>
      <c r="C10268" s="31"/>
    </row>
    <row r="10269">
      <c r="A10269" s="56" t="s">
        <v>22578</v>
      </c>
      <c r="B10269" s="55"/>
      <c r="C10269" s="31"/>
    </row>
    <row r="10270">
      <c r="A10270" s="56" t="s">
        <v>22580</v>
      </c>
      <c r="B10270" s="55"/>
      <c r="C10270" s="31"/>
    </row>
    <row r="10271">
      <c r="A10271" s="56" t="s">
        <v>22581</v>
      </c>
      <c r="B10271" s="55"/>
      <c r="C10271" s="31"/>
    </row>
    <row r="10272">
      <c r="A10272" s="56" t="s">
        <v>22582</v>
      </c>
      <c r="B10272" s="55"/>
      <c r="C10272" s="31"/>
    </row>
    <row r="10273">
      <c r="A10273" s="56" t="s">
        <v>22585</v>
      </c>
      <c r="B10273" s="55"/>
      <c r="C10273" s="31"/>
    </row>
    <row r="10274">
      <c r="A10274" s="56" t="s">
        <v>22586</v>
      </c>
      <c r="B10274" s="55"/>
      <c r="C10274" s="31"/>
    </row>
    <row r="10275">
      <c r="A10275" s="56" t="s">
        <v>22587</v>
      </c>
      <c r="B10275" s="55"/>
      <c r="C10275" s="31"/>
    </row>
    <row r="10276">
      <c r="A10276" s="56" t="s">
        <v>22588</v>
      </c>
      <c r="B10276" s="55"/>
      <c r="C10276" s="31"/>
    </row>
    <row r="10277">
      <c r="A10277" s="56" t="s">
        <v>22590</v>
      </c>
      <c r="B10277" s="82"/>
      <c r="C10277" s="33" t="s">
        <v>22592</v>
      </c>
    </row>
    <row r="10278">
      <c r="A10278" s="56" t="s">
        <v>22593</v>
      </c>
      <c r="B10278" s="55"/>
      <c r="C10278" s="31"/>
    </row>
    <row r="10279">
      <c r="A10279" s="56" t="s">
        <v>22595</v>
      </c>
      <c r="B10279" s="55"/>
      <c r="C10279" s="31"/>
    </row>
    <row r="10280">
      <c r="A10280" s="56" t="s">
        <v>22597</v>
      </c>
      <c r="B10280" s="55"/>
      <c r="C10280" s="31"/>
    </row>
    <row r="10281">
      <c r="A10281" s="56" t="s">
        <v>22599</v>
      </c>
      <c r="B10281" s="55"/>
      <c r="C10281" s="31"/>
    </row>
    <row r="10282">
      <c r="A10282" s="56" t="s">
        <v>22600</v>
      </c>
      <c r="B10282" s="55"/>
      <c r="C10282" s="31"/>
    </row>
    <row r="10283">
      <c r="A10283" s="56" t="s">
        <v>22601</v>
      </c>
      <c r="B10283" s="55"/>
      <c r="C10283" s="31"/>
    </row>
    <row r="10284">
      <c r="A10284" s="56" t="s">
        <v>22602</v>
      </c>
      <c r="B10284" s="55"/>
      <c r="C10284" s="31"/>
    </row>
    <row r="10285">
      <c r="A10285" s="56" t="s">
        <v>22603</v>
      </c>
      <c r="B10285" s="55"/>
      <c r="C10285" s="31"/>
    </row>
    <row r="10286">
      <c r="A10286" s="56" t="s">
        <v>22604</v>
      </c>
      <c r="B10286" s="55"/>
      <c r="C10286" s="31"/>
    </row>
    <row r="10287">
      <c r="A10287" s="56" t="s">
        <v>22606</v>
      </c>
      <c r="B10287" s="55"/>
      <c r="C10287" s="31"/>
    </row>
    <row r="10288">
      <c r="A10288" s="56" t="s">
        <v>22607</v>
      </c>
      <c r="B10288" s="55"/>
      <c r="C10288" s="31"/>
    </row>
    <row r="10289">
      <c r="A10289" s="56" t="s">
        <v>22609</v>
      </c>
      <c r="B10289" s="55"/>
      <c r="C10289" s="31"/>
    </row>
    <row r="10290">
      <c r="A10290" s="56" t="s">
        <v>22611</v>
      </c>
      <c r="B10290" s="55"/>
      <c r="C10290" s="31"/>
    </row>
    <row r="10291">
      <c r="A10291" s="56" t="s">
        <v>22612</v>
      </c>
      <c r="B10291" s="55"/>
      <c r="C10291" s="31"/>
    </row>
    <row r="10292">
      <c r="A10292" s="56" t="s">
        <v>22613</v>
      </c>
      <c r="B10292" s="55"/>
      <c r="C10292" s="31"/>
    </row>
    <row r="10293">
      <c r="A10293" s="56" t="s">
        <v>22614</v>
      </c>
      <c r="B10293" s="55"/>
      <c r="C10293" s="31"/>
    </row>
    <row r="10294">
      <c r="A10294" s="56" t="s">
        <v>22615</v>
      </c>
      <c r="B10294" s="55"/>
      <c r="C10294" s="31"/>
    </row>
    <row r="10295">
      <c r="A10295" s="56" t="s">
        <v>22616</v>
      </c>
      <c r="B10295" s="55"/>
      <c r="C10295" s="31"/>
    </row>
    <row r="10296">
      <c r="A10296" s="56" t="s">
        <v>22617</v>
      </c>
      <c r="B10296" s="55"/>
      <c r="C10296" s="31"/>
    </row>
    <row r="10297">
      <c r="A10297" s="56" t="s">
        <v>22618</v>
      </c>
      <c r="B10297" s="55"/>
      <c r="C10297" s="31"/>
    </row>
    <row r="10298">
      <c r="A10298" s="56" t="s">
        <v>22620</v>
      </c>
      <c r="B10298" s="55"/>
      <c r="C10298" s="31"/>
    </row>
    <row r="10299">
      <c r="A10299" s="56" t="s">
        <v>22621</v>
      </c>
      <c r="B10299" s="55"/>
      <c r="C10299" s="31"/>
    </row>
    <row r="10300">
      <c r="A10300" s="56" t="s">
        <v>22622</v>
      </c>
      <c r="B10300" s="55"/>
      <c r="C10300" s="31"/>
    </row>
    <row r="10301">
      <c r="A10301" s="56" t="s">
        <v>22623</v>
      </c>
      <c r="B10301" s="55"/>
      <c r="C10301" s="31"/>
    </row>
    <row r="10302">
      <c r="A10302" s="56" t="s">
        <v>22624</v>
      </c>
      <c r="B10302" s="82"/>
      <c r="C10302" s="33" t="s">
        <v>22625</v>
      </c>
    </row>
    <row r="10303">
      <c r="A10303" s="56" t="s">
        <v>22626</v>
      </c>
      <c r="B10303" s="55"/>
      <c r="C10303" s="31"/>
    </row>
    <row r="10304">
      <c r="A10304" s="56" t="s">
        <v>22627</v>
      </c>
      <c r="B10304" s="55"/>
      <c r="C10304" s="31"/>
    </row>
    <row r="10305">
      <c r="A10305" s="56" t="s">
        <v>22628</v>
      </c>
      <c r="B10305" s="55"/>
      <c r="C10305" s="31"/>
    </row>
    <row r="10306">
      <c r="A10306" s="56" t="s">
        <v>22630</v>
      </c>
      <c r="B10306" s="55"/>
      <c r="C10306" s="31"/>
    </row>
    <row r="10307">
      <c r="A10307" s="56" t="s">
        <v>22632</v>
      </c>
      <c r="B10307" s="55"/>
      <c r="C10307" s="31"/>
    </row>
    <row r="10308">
      <c r="A10308" s="56" t="s">
        <v>22634</v>
      </c>
      <c r="B10308" s="55"/>
      <c r="C10308" s="31"/>
    </row>
    <row r="10309">
      <c r="A10309" s="56" t="s">
        <v>22635</v>
      </c>
      <c r="B10309" s="55"/>
      <c r="C10309" s="31"/>
    </row>
    <row r="10310">
      <c r="A10310" s="56" t="s">
        <v>22636</v>
      </c>
      <c r="B10310" s="55"/>
      <c r="C10310" s="31"/>
    </row>
    <row r="10311">
      <c r="A10311" s="56" t="s">
        <v>22637</v>
      </c>
      <c r="B10311" s="55"/>
      <c r="C10311" s="31"/>
    </row>
    <row r="10312">
      <c r="A10312" s="56" t="s">
        <v>22638</v>
      </c>
      <c r="B10312" s="55"/>
      <c r="C10312" s="31"/>
    </row>
    <row r="10313">
      <c r="A10313" s="56" t="s">
        <v>22639</v>
      </c>
      <c r="B10313" s="55"/>
      <c r="C10313" s="31"/>
    </row>
    <row r="10314">
      <c r="A10314" s="56" t="s">
        <v>22640</v>
      </c>
      <c r="B10314" s="55"/>
      <c r="C10314" s="31"/>
    </row>
    <row r="10315">
      <c r="A10315" s="56" t="s">
        <v>22642</v>
      </c>
      <c r="B10315" s="55"/>
      <c r="C10315" s="31"/>
    </row>
    <row r="10316">
      <c r="A10316" s="56" t="s">
        <v>22645</v>
      </c>
      <c r="B10316" s="55"/>
      <c r="C10316" s="31"/>
    </row>
    <row r="10317">
      <c r="A10317" s="56" t="s">
        <v>22646</v>
      </c>
      <c r="B10317" s="55"/>
      <c r="C10317" s="31"/>
    </row>
    <row r="10318">
      <c r="A10318" s="56" t="s">
        <v>22647</v>
      </c>
      <c r="B10318" s="55"/>
      <c r="C10318" s="31"/>
    </row>
    <row r="10319">
      <c r="A10319" s="56" t="s">
        <v>22648</v>
      </c>
      <c r="B10319" s="55"/>
      <c r="C10319" s="31"/>
    </row>
    <row r="10320">
      <c r="A10320" s="56" t="s">
        <v>22649</v>
      </c>
      <c r="B10320" s="55"/>
      <c r="C10320" s="31"/>
    </row>
    <row r="10321">
      <c r="A10321" s="56" t="s">
        <v>22650</v>
      </c>
      <c r="B10321" s="55"/>
      <c r="C10321" s="31"/>
    </row>
    <row r="10322">
      <c r="A10322" s="56" t="s">
        <v>22651</v>
      </c>
      <c r="B10322" s="55"/>
      <c r="C10322" s="31"/>
    </row>
    <row r="10323">
      <c r="A10323" s="56" t="s">
        <v>22654</v>
      </c>
      <c r="B10323" s="55"/>
      <c r="C10323" s="31"/>
    </row>
    <row r="10324">
      <c r="A10324" s="56" t="s">
        <v>22656</v>
      </c>
      <c r="B10324" s="55"/>
      <c r="C10324" s="31"/>
    </row>
    <row r="10325">
      <c r="A10325" s="56" t="s">
        <v>22657</v>
      </c>
      <c r="B10325" s="55"/>
      <c r="C10325" s="31"/>
    </row>
    <row r="10326">
      <c r="A10326" s="56" t="s">
        <v>22658</v>
      </c>
      <c r="B10326" s="55"/>
      <c r="C10326" s="31"/>
    </row>
    <row r="10327">
      <c r="A10327" s="56" t="s">
        <v>22659</v>
      </c>
      <c r="B10327" s="55"/>
      <c r="C10327" s="31"/>
    </row>
    <row r="10328">
      <c r="A10328" s="56" t="s">
        <v>22660</v>
      </c>
      <c r="B10328" s="55"/>
      <c r="C10328" s="31"/>
    </row>
    <row r="10329">
      <c r="A10329" s="56" t="s">
        <v>22661</v>
      </c>
      <c r="B10329" s="55"/>
      <c r="C10329" s="31"/>
    </row>
    <row r="10330">
      <c r="A10330" s="56" t="s">
        <v>22662</v>
      </c>
      <c r="B10330" s="55"/>
      <c r="C10330" s="31"/>
    </row>
    <row r="10331">
      <c r="A10331" s="56" t="s">
        <v>22664</v>
      </c>
      <c r="B10331" s="55"/>
      <c r="C10331" s="31"/>
    </row>
    <row r="10332">
      <c r="A10332" s="56" t="s">
        <v>22666</v>
      </c>
      <c r="B10332" s="55"/>
      <c r="C10332" s="31"/>
    </row>
    <row r="10333">
      <c r="A10333" s="56" t="s">
        <v>22668</v>
      </c>
      <c r="B10333" s="82"/>
      <c r="C10333" s="33" t="s">
        <v>22669</v>
      </c>
    </row>
    <row r="10334">
      <c r="A10334" s="56" t="s">
        <v>22670</v>
      </c>
      <c r="B10334" s="82"/>
      <c r="C10334" s="33" t="s">
        <v>11373</v>
      </c>
      <c r="E10334" s="46" t="s">
        <v>7616</v>
      </c>
    </row>
    <row r="10335">
      <c r="A10335" s="56" t="s">
        <v>22671</v>
      </c>
      <c r="B10335" s="82"/>
      <c r="C10335" s="33" t="s">
        <v>11373</v>
      </c>
      <c r="E10335" s="46" t="s">
        <v>7618</v>
      </c>
    </row>
    <row r="10336">
      <c r="A10336" s="56" t="s">
        <v>22672</v>
      </c>
      <c r="B10336" s="82"/>
      <c r="C10336" s="33" t="s">
        <v>11376</v>
      </c>
      <c r="E10336" s="46" t="s">
        <v>7616</v>
      </c>
    </row>
    <row r="10337">
      <c r="A10337" s="56" t="s">
        <v>22673</v>
      </c>
      <c r="B10337" s="82"/>
      <c r="C10337" s="33" t="s">
        <v>11376</v>
      </c>
      <c r="E10337" s="46" t="s">
        <v>7618</v>
      </c>
    </row>
    <row r="10338">
      <c r="A10338" s="56" t="s">
        <v>22674</v>
      </c>
      <c r="B10338" s="82"/>
      <c r="C10338" s="33" t="s">
        <v>11380</v>
      </c>
      <c r="E10338" s="46" t="s">
        <v>7616</v>
      </c>
    </row>
    <row r="10339">
      <c r="A10339" s="56" t="s">
        <v>22675</v>
      </c>
      <c r="B10339" s="82"/>
      <c r="C10339" s="33" t="s">
        <v>11380</v>
      </c>
      <c r="E10339" s="46" t="s">
        <v>7618</v>
      </c>
    </row>
    <row r="10340">
      <c r="A10340" s="56" t="s">
        <v>22678</v>
      </c>
      <c r="B10340" s="79"/>
      <c r="C10340" s="33" t="s">
        <v>11384</v>
      </c>
      <c r="E10340" s="46" t="s">
        <v>1348</v>
      </c>
    </row>
    <row r="10341">
      <c r="A10341" s="56" t="s">
        <v>22680</v>
      </c>
      <c r="B10341" s="79"/>
      <c r="C10341" s="33" t="s">
        <v>11384</v>
      </c>
      <c r="E10341" s="46" t="s">
        <v>1348</v>
      </c>
    </row>
    <row r="10342">
      <c r="A10342" s="56" t="s">
        <v>22681</v>
      </c>
      <c r="B10342" s="79"/>
      <c r="C10342" s="33" t="s">
        <v>11389</v>
      </c>
      <c r="E10342" s="46" t="s">
        <v>1348</v>
      </c>
    </row>
    <row r="10343">
      <c r="A10343" s="56" t="s">
        <v>22682</v>
      </c>
      <c r="B10343" s="21"/>
      <c r="C10343" s="33" t="s">
        <v>11391</v>
      </c>
      <c r="E10343" s="46" t="s">
        <v>7616</v>
      </c>
    </row>
    <row r="10344">
      <c r="A10344" s="56" t="s">
        <v>22683</v>
      </c>
      <c r="B10344" s="21"/>
      <c r="C10344" s="33" t="s">
        <v>11391</v>
      </c>
      <c r="E10344" s="46" t="s">
        <v>7618</v>
      </c>
    </row>
    <row r="10345">
      <c r="A10345" s="56" t="s">
        <v>22684</v>
      </c>
      <c r="B10345" s="21"/>
      <c r="C10345" s="33" t="s">
        <v>11394</v>
      </c>
      <c r="E10345" s="46" t="s">
        <v>7616</v>
      </c>
    </row>
    <row r="10346">
      <c r="A10346" s="56" t="s">
        <v>22687</v>
      </c>
      <c r="B10346" s="21"/>
      <c r="C10346" s="33" t="s">
        <v>11394</v>
      </c>
      <c r="E10346" s="46" t="s">
        <v>7618</v>
      </c>
    </row>
    <row r="10347">
      <c r="A10347" s="56" t="s">
        <v>22689</v>
      </c>
      <c r="B10347" s="21"/>
      <c r="C10347" s="33" t="s">
        <v>11398</v>
      </c>
      <c r="E10347" s="46" t="s">
        <v>7616</v>
      </c>
    </row>
    <row r="10348">
      <c r="A10348" s="56" t="s">
        <v>22690</v>
      </c>
      <c r="B10348" s="21"/>
      <c r="C10348" s="33" t="s">
        <v>11398</v>
      </c>
      <c r="E10348" s="46" t="s">
        <v>7618</v>
      </c>
    </row>
    <row r="10349">
      <c r="A10349" s="56" t="s">
        <v>22691</v>
      </c>
      <c r="B10349" s="21"/>
      <c r="C10349" s="33" t="s">
        <v>11391</v>
      </c>
      <c r="E10349" s="46" t="s">
        <v>7616</v>
      </c>
    </row>
    <row r="10350">
      <c r="A10350" s="56" t="s">
        <v>22692</v>
      </c>
      <c r="B10350" s="21"/>
      <c r="C10350" s="33" t="s">
        <v>11391</v>
      </c>
      <c r="E10350" s="46" t="s">
        <v>7618</v>
      </c>
    </row>
    <row r="10351">
      <c r="A10351" s="56" t="s">
        <v>22693</v>
      </c>
      <c r="B10351" s="21"/>
      <c r="C10351" s="33" t="s">
        <v>11394</v>
      </c>
      <c r="E10351" s="46" t="s">
        <v>7616</v>
      </c>
    </row>
    <row r="10352">
      <c r="A10352" s="56" t="s">
        <v>22694</v>
      </c>
      <c r="B10352" s="21"/>
      <c r="C10352" s="33" t="s">
        <v>11394</v>
      </c>
      <c r="E10352" s="46" t="s">
        <v>7618</v>
      </c>
    </row>
    <row r="10353">
      <c r="A10353" s="56" t="s">
        <v>22696</v>
      </c>
      <c r="B10353" s="21"/>
      <c r="C10353" s="33" t="s">
        <v>11398</v>
      </c>
      <c r="E10353" s="46" t="s">
        <v>7616</v>
      </c>
    </row>
    <row r="10354">
      <c r="A10354" s="56" t="s">
        <v>22699</v>
      </c>
      <c r="B10354" s="21"/>
      <c r="C10354" s="33" t="s">
        <v>11398</v>
      </c>
      <c r="E10354" s="46" t="s">
        <v>7618</v>
      </c>
    </row>
    <row r="10355">
      <c r="A10355" s="56" t="s">
        <v>22700</v>
      </c>
      <c r="B10355" s="21"/>
      <c r="C10355" s="33" t="s">
        <v>11411</v>
      </c>
      <c r="E10355" s="46" t="s">
        <v>7616</v>
      </c>
    </row>
    <row r="10356">
      <c r="A10356" s="56" t="s">
        <v>22701</v>
      </c>
      <c r="B10356" s="21"/>
      <c r="C10356" s="33" t="s">
        <v>11411</v>
      </c>
      <c r="E10356" s="46" t="s">
        <v>7618</v>
      </c>
    </row>
    <row r="10357">
      <c r="A10357" s="56" t="s">
        <v>22702</v>
      </c>
      <c r="B10357" s="21"/>
      <c r="C10357" s="33" t="s">
        <v>11416</v>
      </c>
      <c r="E10357" s="46" t="s">
        <v>7616</v>
      </c>
    </row>
    <row r="10358">
      <c r="A10358" s="56" t="s">
        <v>22703</v>
      </c>
      <c r="B10358" s="21"/>
      <c r="C10358" s="33" t="s">
        <v>11416</v>
      </c>
      <c r="E10358" s="46" t="s">
        <v>7618</v>
      </c>
    </row>
    <row r="10359">
      <c r="A10359" s="56" t="s">
        <v>22704</v>
      </c>
      <c r="B10359" s="21"/>
      <c r="C10359" s="33" t="s">
        <v>11419</v>
      </c>
      <c r="E10359" s="46" t="s">
        <v>7616</v>
      </c>
    </row>
    <row r="10360">
      <c r="A10360" s="56" t="s">
        <v>22705</v>
      </c>
      <c r="B10360" s="21"/>
      <c r="C10360" s="33" t="s">
        <v>11419</v>
      </c>
      <c r="E10360" s="46" t="s">
        <v>7618</v>
      </c>
    </row>
    <row r="10361">
      <c r="A10361" s="56" t="s">
        <v>22707</v>
      </c>
      <c r="B10361" s="21"/>
      <c r="C10361" s="33" t="s">
        <v>11411</v>
      </c>
      <c r="E10361" s="46" t="s">
        <v>7616</v>
      </c>
    </row>
    <row r="10362">
      <c r="A10362" s="56" t="s">
        <v>22709</v>
      </c>
      <c r="B10362" s="21"/>
      <c r="C10362" s="33" t="s">
        <v>11411</v>
      </c>
      <c r="E10362" s="46" t="s">
        <v>7618</v>
      </c>
    </row>
    <row r="10363">
      <c r="A10363" s="56" t="s">
        <v>22710</v>
      </c>
      <c r="B10363" s="21"/>
      <c r="C10363" s="33" t="s">
        <v>11416</v>
      </c>
      <c r="E10363" s="46" t="s">
        <v>7616</v>
      </c>
    </row>
    <row r="10364">
      <c r="A10364" s="56" t="s">
        <v>22712</v>
      </c>
      <c r="B10364" s="21"/>
      <c r="C10364" s="33" t="s">
        <v>11416</v>
      </c>
      <c r="E10364" s="46" t="s">
        <v>7618</v>
      </c>
    </row>
    <row r="10365">
      <c r="A10365" s="56" t="s">
        <v>22713</v>
      </c>
      <c r="B10365" s="21"/>
      <c r="C10365" s="33" t="s">
        <v>11419</v>
      </c>
      <c r="E10365" s="46" t="s">
        <v>7616</v>
      </c>
    </row>
    <row r="10366">
      <c r="A10366" s="56" t="s">
        <v>22714</v>
      </c>
      <c r="B10366" s="21"/>
      <c r="C10366" s="33" t="s">
        <v>11419</v>
      </c>
      <c r="E10366" s="46" t="s">
        <v>7618</v>
      </c>
    </row>
    <row r="10367">
      <c r="A10367" s="56" t="s">
        <v>22715</v>
      </c>
      <c r="B10367" s="55"/>
      <c r="C10367" s="31"/>
    </row>
    <row r="10368">
      <c r="A10368" s="56" t="s">
        <v>22716</v>
      </c>
      <c r="B10368" s="55"/>
      <c r="C10368" s="31"/>
    </row>
    <row r="10369">
      <c r="A10369" s="56" t="s">
        <v>22717</v>
      </c>
      <c r="B10369" s="55"/>
      <c r="C10369" s="31"/>
    </row>
    <row r="10370">
      <c r="A10370" s="56" t="s">
        <v>22718</v>
      </c>
      <c r="B10370" s="55"/>
      <c r="C10370" s="31"/>
    </row>
    <row r="10371">
      <c r="A10371" s="56" t="s">
        <v>22720</v>
      </c>
      <c r="B10371" s="55"/>
      <c r="C10371" s="31"/>
    </row>
    <row r="10372">
      <c r="A10372" s="56" t="s">
        <v>22721</v>
      </c>
      <c r="B10372" s="55"/>
      <c r="C10372" s="31"/>
    </row>
    <row r="10373">
      <c r="A10373" s="56" t="s">
        <v>22722</v>
      </c>
      <c r="B10373" s="55"/>
      <c r="C10373" s="31"/>
    </row>
    <row r="10374">
      <c r="A10374" s="56" t="s">
        <v>22724</v>
      </c>
      <c r="B10374" s="55"/>
      <c r="C10374" s="31"/>
    </row>
    <row r="10375">
      <c r="A10375" s="56" t="s">
        <v>22725</v>
      </c>
      <c r="B10375" s="82"/>
      <c r="C10375" s="33" t="s">
        <v>22726</v>
      </c>
    </row>
    <row r="10376">
      <c r="A10376" s="56" t="s">
        <v>22727</v>
      </c>
      <c r="B10376" s="82"/>
      <c r="C10376" s="33" t="s">
        <v>11373</v>
      </c>
      <c r="E10376" s="46" t="s">
        <v>7616</v>
      </c>
    </row>
    <row r="10377">
      <c r="A10377" s="56" t="s">
        <v>22728</v>
      </c>
      <c r="B10377" s="82"/>
      <c r="C10377" s="33" t="s">
        <v>11373</v>
      </c>
      <c r="E10377" s="46" t="s">
        <v>7618</v>
      </c>
    </row>
    <row r="10378">
      <c r="A10378" s="56" t="s">
        <v>22729</v>
      </c>
      <c r="B10378" s="82"/>
      <c r="C10378" s="33" t="s">
        <v>11376</v>
      </c>
      <c r="E10378" s="46" t="s">
        <v>7616</v>
      </c>
    </row>
    <row r="10379">
      <c r="A10379" s="56" t="s">
        <v>22731</v>
      </c>
      <c r="B10379" s="82"/>
      <c r="C10379" s="33" t="s">
        <v>11376</v>
      </c>
      <c r="E10379" s="46" t="s">
        <v>7618</v>
      </c>
    </row>
    <row r="10380">
      <c r="A10380" s="56" t="s">
        <v>22733</v>
      </c>
      <c r="B10380" s="82"/>
      <c r="C10380" s="33" t="s">
        <v>11380</v>
      </c>
      <c r="E10380" s="46" t="s">
        <v>7616</v>
      </c>
    </row>
    <row r="10381">
      <c r="A10381" s="56" t="s">
        <v>22734</v>
      </c>
      <c r="B10381" s="82"/>
      <c r="C10381" s="33" t="s">
        <v>11380</v>
      </c>
      <c r="E10381" s="46" t="s">
        <v>7618</v>
      </c>
    </row>
    <row r="10382">
      <c r="A10382" s="56" t="s">
        <v>22736</v>
      </c>
      <c r="B10382" s="79"/>
      <c r="C10382" s="33" t="s">
        <v>11384</v>
      </c>
      <c r="E10382" s="46" t="s">
        <v>1348</v>
      </c>
    </row>
    <row r="10383">
      <c r="A10383" s="56" t="s">
        <v>22737</v>
      </c>
      <c r="B10383" s="79"/>
      <c r="C10383" s="33" t="s">
        <v>11384</v>
      </c>
      <c r="E10383" s="46" t="s">
        <v>1348</v>
      </c>
    </row>
    <row r="10384">
      <c r="A10384" s="56" t="s">
        <v>22738</v>
      </c>
      <c r="B10384" s="79"/>
      <c r="C10384" s="33" t="s">
        <v>11389</v>
      </c>
      <c r="E10384" s="46" t="s">
        <v>1348</v>
      </c>
    </row>
    <row r="10385">
      <c r="A10385" s="56" t="s">
        <v>22739</v>
      </c>
      <c r="B10385" s="21"/>
      <c r="C10385" s="33" t="s">
        <v>11391</v>
      </c>
      <c r="E10385" s="46" t="s">
        <v>7616</v>
      </c>
    </row>
    <row r="10386">
      <c r="A10386" s="56" t="s">
        <v>22740</v>
      </c>
      <c r="B10386" s="21"/>
      <c r="C10386" s="33" t="s">
        <v>11391</v>
      </c>
      <c r="E10386" s="46" t="s">
        <v>7618</v>
      </c>
    </row>
    <row r="10387">
      <c r="A10387" s="56" t="s">
        <v>22742</v>
      </c>
      <c r="B10387" s="21"/>
      <c r="C10387" s="33" t="s">
        <v>11394</v>
      </c>
      <c r="E10387" s="46" t="s">
        <v>7616</v>
      </c>
    </row>
    <row r="10388">
      <c r="A10388" s="56" t="s">
        <v>22744</v>
      </c>
      <c r="B10388" s="21"/>
      <c r="C10388" s="33" t="s">
        <v>11394</v>
      </c>
      <c r="E10388" s="46" t="s">
        <v>7618</v>
      </c>
    </row>
    <row r="10389">
      <c r="A10389" s="56" t="s">
        <v>22745</v>
      </c>
      <c r="B10389" s="21"/>
      <c r="C10389" s="33" t="s">
        <v>11398</v>
      </c>
      <c r="E10389" s="46" t="s">
        <v>7616</v>
      </c>
    </row>
    <row r="10390">
      <c r="A10390" s="56" t="s">
        <v>22747</v>
      </c>
      <c r="B10390" s="21"/>
      <c r="C10390" s="33" t="s">
        <v>11398</v>
      </c>
      <c r="E10390" s="46" t="s">
        <v>7618</v>
      </c>
    </row>
    <row r="10391">
      <c r="A10391" s="56" t="s">
        <v>22748</v>
      </c>
      <c r="B10391" s="21"/>
      <c r="C10391" s="33" t="s">
        <v>11391</v>
      </c>
      <c r="E10391" s="46" t="s">
        <v>7616</v>
      </c>
    </row>
    <row r="10392">
      <c r="A10392" s="56" t="s">
        <v>22749</v>
      </c>
      <c r="B10392" s="21"/>
      <c r="C10392" s="33" t="s">
        <v>11391</v>
      </c>
      <c r="E10392" s="46" t="s">
        <v>7618</v>
      </c>
    </row>
    <row r="10393">
      <c r="A10393" s="56" t="s">
        <v>22750</v>
      </c>
      <c r="B10393" s="21"/>
      <c r="C10393" s="33" t="s">
        <v>11394</v>
      </c>
      <c r="E10393" s="46" t="s">
        <v>7616</v>
      </c>
    </row>
    <row r="10394">
      <c r="A10394" s="56" t="s">
        <v>22751</v>
      </c>
      <c r="B10394" s="21"/>
      <c r="C10394" s="33" t="s">
        <v>11394</v>
      </c>
      <c r="E10394" s="46" t="s">
        <v>7618</v>
      </c>
    </row>
    <row r="10395">
      <c r="A10395" s="56" t="s">
        <v>22753</v>
      </c>
      <c r="B10395" s="21"/>
      <c r="C10395" s="33" t="s">
        <v>11398</v>
      </c>
      <c r="E10395" s="46" t="s">
        <v>7616</v>
      </c>
    </row>
    <row r="10396">
      <c r="A10396" s="56" t="s">
        <v>22755</v>
      </c>
      <c r="B10396" s="21"/>
      <c r="C10396" s="33" t="s">
        <v>11398</v>
      </c>
      <c r="E10396" s="46" t="s">
        <v>7618</v>
      </c>
    </row>
    <row r="10397">
      <c r="A10397" s="56" t="s">
        <v>22756</v>
      </c>
      <c r="B10397" s="21"/>
      <c r="C10397" s="33" t="s">
        <v>11411</v>
      </c>
      <c r="E10397" s="46" t="s">
        <v>7616</v>
      </c>
    </row>
    <row r="10398">
      <c r="A10398" s="56" t="s">
        <v>22758</v>
      </c>
      <c r="B10398" s="21"/>
      <c r="C10398" s="33" t="s">
        <v>11411</v>
      </c>
      <c r="E10398" s="46" t="s">
        <v>7618</v>
      </c>
    </row>
    <row r="10399">
      <c r="A10399" s="56" t="s">
        <v>22759</v>
      </c>
      <c r="B10399" s="21"/>
      <c r="C10399" s="33" t="s">
        <v>11416</v>
      </c>
      <c r="E10399" s="46" t="s">
        <v>7616</v>
      </c>
    </row>
    <row r="10400">
      <c r="A10400" s="56" t="s">
        <v>22760</v>
      </c>
      <c r="B10400" s="21"/>
      <c r="C10400" s="33" t="s">
        <v>11416</v>
      </c>
      <c r="E10400" s="46" t="s">
        <v>7618</v>
      </c>
    </row>
    <row r="10401">
      <c r="A10401" s="56" t="s">
        <v>22762</v>
      </c>
      <c r="B10401" s="21"/>
      <c r="C10401" s="33" t="s">
        <v>11419</v>
      </c>
      <c r="E10401" s="46" t="s">
        <v>7616</v>
      </c>
    </row>
    <row r="10402">
      <c r="A10402" s="56" t="s">
        <v>22764</v>
      </c>
      <c r="B10402" s="21"/>
      <c r="C10402" s="33" t="s">
        <v>11419</v>
      </c>
      <c r="E10402" s="46" t="s">
        <v>7618</v>
      </c>
    </row>
    <row r="10403">
      <c r="A10403" s="56" t="s">
        <v>22765</v>
      </c>
      <c r="B10403" s="21"/>
      <c r="C10403" s="33" t="s">
        <v>11411</v>
      </c>
      <c r="E10403" s="46" t="s">
        <v>7616</v>
      </c>
    </row>
    <row r="10404">
      <c r="A10404" s="56" t="s">
        <v>22766</v>
      </c>
      <c r="B10404" s="21"/>
      <c r="C10404" s="33" t="s">
        <v>11411</v>
      </c>
      <c r="E10404" s="46" t="s">
        <v>7618</v>
      </c>
    </row>
    <row r="10405">
      <c r="A10405" s="56" t="s">
        <v>22767</v>
      </c>
      <c r="B10405" s="21"/>
      <c r="C10405" s="33" t="s">
        <v>11416</v>
      </c>
      <c r="E10405" s="46" t="s">
        <v>7616</v>
      </c>
    </row>
    <row r="10406">
      <c r="A10406" s="56" t="s">
        <v>22769</v>
      </c>
      <c r="B10406" s="21"/>
      <c r="C10406" s="33" t="s">
        <v>11416</v>
      </c>
      <c r="E10406" s="46" t="s">
        <v>7618</v>
      </c>
    </row>
    <row r="10407">
      <c r="A10407" s="56" t="s">
        <v>22771</v>
      </c>
      <c r="B10407" s="21"/>
      <c r="C10407" s="33" t="s">
        <v>11419</v>
      </c>
      <c r="E10407" s="46" t="s">
        <v>7616</v>
      </c>
    </row>
    <row r="10408">
      <c r="A10408" s="56" t="s">
        <v>22773</v>
      </c>
      <c r="B10408" s="21"/>
      <c r="C10408" s="33" t="s">
        <v>11419</v>
      </c>
      <c r="E10408" s="46" t="s">
        <v>7618</v>
      </c>
    </row>
    <row r="10409">
      <c r="A10409" s="56" t="s">
        <v>22774</v>
      </c>
      <c r="B10409" s="55"/>
      <c r="C10409" s="31"/>
    </row>
    <row r="10410">
      <c r="A10410" s="56" t="s">
        <v>22775</v>
      </c>
      <c r="B10410" s="55"/>
      <c r="C10410" s="31"/>
    </row>
    <row r="10411">
      <c r="A10411" s="56" t="s">
        <v>22776</v>
      </c>
      <c r="B10411" s="55"/>
      <c r="C10411" s="31"/>
    </row>
    <row r="10412">
      <c r="A10412" s="56" t="s">
        <v>22778</v>
      </c>
      <c r="B10412" s="55"/>
      <c r="C10412" s="31"/>
    </row>
    <row r="10413">
      <c r="A10413" s="56" t="s">
        <v>22779</v>
      </c>
      <c r="B10413" s="55"/>
      <c r="C10413" s="31"/>
    </row>
    <row r="10414">
      <c r="A10414" s="56" t="s">
        <v>22781</v>
      </c>
      <c r="B10414" s="55"/>
      <c r="C10414" s="31"/>
    </row>
    <row r="10415">
      <c r="A10415" s="56" t="s">
        <v>22783</v>
      </c>
      <c r="B10415" s="82"/>
      <c r="C10415" s="33" t="s">
        <v>22784</v>
      </c>
    </row>
    <row r="10416">
      <c r="A10416" s="56" t="s">
        <v>22785</v>
      </c>
      <c r="B10416" s="82"/>
      <c r="C10416" s="33" t="s">
        <v>11373</v>
      </c>
      <c r="E10416" s="46" t="s">
        <v>7616</v>
      </c>
    </row>
    <row r="10417">
      <c r="A10417" s="56" t="s">
        <v>22787</v>
      </c>
      <c r="B10417" s="82"/>
      <c r="C10417" s="33" t="s">
        <v>11373</v>
      </c>
      <c r="E10417" s="46" t="s">
        <v>7618</v>
      </c>
    </row>
    <row r="10418">
      <c r="A10418" s="56" t="s">
        <v>22788</v>
      </c>
      <c r="B10418" s="82"/>
      <c r="C10418" s="33" t="s">
        <v>11376</v>
      </c>
      <c r="E10418" s="46" t="s">
        <v>7616</v>
      </c>
    </row>
    <row r="10419">
      <c r="A10419" s="56" t="s">
        <v>22789</v>
      </c>
      <c r="B10419" s="82"/>
      <c r="C10419" s="33" t="s">
        <v>11376</v>
      </c>
      <c r="E10419" s="46" t="s">
        <v>7618</v>
      </c>
    </row>
    <row r="10420">
      <c r="A10420" s="56" t="s">
        <v>22793</v>
      </c>
      <c r="B10420" s="82"/>
      <c r="C10420" s="33" t="s">
        <v>11380</v>
      </c>
      <c r="E10420" s="46" t="s">
        <v>7616</v>
      </c>
    </row>
    <row r="10421">
      <c r="A10421" s="56" t="s">
        <v>22794</v>
      </c>
      <c r="B10421" s="82"/>
      <c r="C10421" s="33" t="s">
        <v>11380</v>
      </c>
      <c r="E10421" s="46" t="s">
        <v>7618</v>
      </c>
    </row>
    <row r="10422">
      <c r="A10422" s="56" t="s">
        <v>22795</v>
      </c>
      <c r="B10422" s="79"/>
      <c r="C10422" s="33" t="s">
        <v>11384</v>
      </c>
      <c r="E10422" s="46" t="s">
        <v>1348</v>
      </c>
    </row>
    <row r="10423">
      <c r="A10423" s="56" t="s">
        <v>22797</v>
      </c>
      <c r="B10423" s="79"/>
      <c r="C10423" s="33" t="s">
        <v>11384</v>
      </c>
      <c r="E10423" s="46" t="s">
        <v>1348</v>
      </c>
    </row>
    <row r="10424">
      <c r="A10424" s="56" t="s">
        <v>22798</v>
      </c>
      <c r="B10424" s="79"/>
      <c r="C10424" s="33" t="s">
        <v>11389</v>
      </c>
      <c r="E10424" s="46" t="s">
        <v>1348</v>
      </c>
    </row>
    <row r="10425">
      <c r="A10425" s="56" t="s">
        <v>22800</v>
      </c>
      <c r="B10425" s="21"/>
      <c r="C10425" s="33" t="s">
        <v>11391</v>
      </c>
      <c r="E10425" s="46" t="s">
        <v>7616</v>
      </c>
    </row>
    <row r="10426">
      <c r="A10426" s="56" t="s">
        <v>22802</v>
      </c>
      <c r="B10426" s="21"/>
      <c r="C10426" s="33" t="s">
        <v>11391</v>
      </c>
      <c r="E10426" s="46" t="s">
        <v>7618</v>
      </c>
    </row>
    <row r="10427">
      <c r="A10427" s="56" t="s">
        <v>22804</v>
      </c>
      <c r="B10427" s="21"/>
      <c r="C10427" s="33" t="s">
        <v>11394</v>
      </c>
      <c r="E10427" s="46" t="s">
        <v>7616</v>
      </c>
    </row>
    <row r="10428">
      <c r="A10428" s="56" t="s">
        <v>22805</v>
      </c>
      <c r="B10428" s="21"/>
      <c r="C10428" s="33" t="s">
        <v>11394</v>
      </c>
      <c r="E10428" s="46" t="s">
        <v>7618</v>
      </c>
    </row>
    <row r="10429">
      <c r="A10429" s="56" t="s">
        <v>22806</v>
      </c>
      <c r="B10429" s="21"/>
      <c r="C10429" s="33" t="s">
        <v>11398</v>
      </c>
      <c r="E10429" s="46" t="s">
        <v>7616</v>
      </c>
    </row>
    <row r="10430">
      <c r="A10430" s="56" t="s">
        <v>22807</v>
      </c>
      <c r="B10430" s="21"/>
      <c r="C10430" s="33" t="s">
        <v>11398</v>
      </c>
      <c r="E10430" s="46" t="s">
        <v>7618</v>
      </c>
    </row>
    <row r="10431">
      <c r="A10431" s="56" t="s">
        <v>22811</v>
      </c>
      <c r="B10431" s="21"/>
      <c r="C10431" s="33" t="s">
        <v>11391</v>
      </c>
      <c r="E10431" s="46" t="s">
        <v>7616</v>
      </c>
    </row>
    <row r="10432">
      <c r="A10432" s="56" t="s">
        <v>22812</v>
      </c>
      <c r="B10432" s="21"/>
      <c r="C10432" s="33" t="s">
        <v>11391</v>
      </c>
      <c r="E10432" s="46" t="s">
        <v>7618</v>
      </c>
    </row>
    <row r="10433">
      <c r="A10433" s="56" t="s">
        <v>22813</v>
      </c>
      <c r="B10433" s="21"/>
      <c r="C10433" s="33" t="s">
        <v>11394</v>
      </c>
      <c r="E10433" s="46" t="s">
        <v>7616</v>
      </c>
    </row>
    <row r="10434">
      <c r="A10434" s="56" t="s">
        <v>22815</v>
      </c>
      <c r="B10434" s="21"/>
      <c r="C10434" s="33" t="s">
        <v>11394</v>
      </c>
      <c r="E10434" s="46" t="s">
        <v>7618</v>
      </c>
    </row>
    <row r="10435">
      <c r="A10435" s="56" t="s">
        <v>22816</v>
      </c>
      <c r="B10435" s="21"/>
      <c r="C10435" s="33" t="s">
        <v>11398</v>
      </c>
      <c r="E10435" s="46" t="s">
        <v>7616</v>
      </c>
    </row>
    <row r="10436">
      <c r="A10436" s="56" t="s">
        <v>22819</v>
      </c>
      <c r="B10436" s="21"/>
      <c r="C10436" s="33" t="s">
        <v>11398</v>
      </c>
      <c r="E10436" s="46" t="s">
        <v>7618</v>
      </c>
    </row>
    <row r="10437">
      <c r="A10437" s="56" t="s">
        <v>22820</v>
      </c>
      <c r="B10437" s="21"/>
      <c r="C10437" s="33" t="s">
        <v>11411</v>
      </c>
      <c r="E10437" s="46" t="s">
        <v>7616</v>
      </c>
    </row>
    <row r="10438">
      <c r="A10438" s="56" t="s">
        <v>22821</v>
      </c>
      <c r="B10438" s="21"/>
      <c r="C10438" s="33" t="s">
        <v>11411</v>
      </c>
      <c r="E10438" s="46" t="s">
        <v>7618</v>
      </c>
    </row>
    <row r="10439">
      <c r="A10439" s="56" t="s">
        <v>22822</v>
      </c>
      <c r="B10439" s="21"/>
      <c r="C10439" s="33" t="s">
        <v>11416</v>
      </c>
      <c r="E10439" s="46" t="s">
        <v>7616</v>
      </c>
    </row>
    <row r="10440">
      <c r="A10440" s="56" t="s">
        <v>22824</v>
      </c>
      <c r="B10440" s="21"/>
      <c r="C10440" s="33" t="s">
        <v>11416</v>
      </c>
      <c r="E10440" s="46" t="s">
        <v>7618</v>
      </c>
    </row>
    <row r="10441">
      <c r="A10441" s="56" t="s">
        <v>22825</v>
      </c>
      <c r="B10441" s="21"/>
      <c r="C10441" s="33" t="s">
        <v>11419</v>
      </c>
      <c r="E10441" s="46" t="s">
        <v>7616</v>
      </c>
    </row>
    <row r="10442">
      <c r="A10442" s="56" t="s">
        <v>22828</v>
      </c>
      <c r="B10442" s="21"/>
      <c r="C10442" s="33" t="s">
        <v>11419</v>
      </c>
      <c r="E10442" s="46" t="s">
        <v>7618</v>
      </c>
    </row>
    <row r="10443">
      <c r="A10443" s="56" t="s">
        <v>22829</v>
      </c>
      <c r="B10443" s="21"/>
      <c r="C10443" s="33" t="s">
        <v>11411</v>
      </c>
      <c r="E10443" s="46" t="s">
        <v>7616</v>
      </c>
    </row>
    <row r="10444">
      <c r="A10444" s="56" t="s">
        <v>22830</v>
      </c>
      <c r="B10444" s="21"/>
      <c r="C10444" s="33" t="s">
        <v>11411</v>
      </c>
      <c r="E10444" s="46" t="s">
        <v>7618</v>
      </c>
    </row>
    <row r="10445">
      <c r="A10445" s="56" t="s">
        <v>22831</v>
      </c>
      <c r="B10445" s="21"/>
      <c r="C10445" s="33" t="s">
        <v>11416</v>
      </c>
      <c r="E10445" s="46" t="s">
        <v>7616</v>
      </c>
    </row>
    <row r="10446">
      <c r="A10446" s="56" t="s">
        <v>22834</v>
      </c>
      <c r="B10446" s="21"/>
      <c r="C10446" s="33" t="s">
        <v>11416</v>
      </c>
      <c r="E10446" s="46" t="s">
        <v>7618</v>
      </c>
    </row>
    <row r="10447">
      <c r="A10447" s="56" t="s">
        <v>22835</v>
      </c>
      <c r="B10447" s="21"/>
      <c r="C10447" s="33" t="s">
        <v>11419</v>
      </c>
      <c r="E10447" s="46" t="s">
        <v>7616</v>
      </c>
    </row>
    <row r="10448">
      <c r="A10448" s="56" t="s">
        <v>22837</v>
      </c>
      <c r="B10448" s="21"/>
      <c r="C10448" s="33" t="s">
        <v>11419</v>
      </c>
      <c r="E10448" s="46" t="s">
        <v>7618</v>
      </c>
    </row>
    <row r="10449">
      <c r="A10449" s="56" t="s">
        <v>22838</v>
      </c>
      <c r="B10449" s="55"/>
      <c r="C10449" s="31"/>
    </row>
    <row r="10450">
      <c r="A10450" s="56" t="s">
        <v>22839</v>
      </c>
      <c r="B10450" s="55"/>
      <c r="C10450" s="31"/>
    </row>
    <row r="10451">
      <c r="A10451" s="56" t="s">
        <v>22840</v>
      </c>
      <c r="B10451" s="55"/>
      <c r="C10451" s="31"/>
    </row>
    <row r="10452">
      <c r="A10452" s="56" t="s">
        <v>22841</v>
      </c>
      <c r="B10452" s="55"/>
      <c r="C10452" s="31"/>
    </row>
    <row r="10453">
      <c r="A10453" s="56" t="s">
        <v>22842</v>
      </c>
      <c r="B10453" s="55"/>
      <c r="C10453" s="31"/>
    </row>
    <row r="10454">
      <c r="A10454" s="56" t="s">
        <v>22843</v>
      </c>
      <c r="B10454" s="82"/>
      <c r="C10454" s="33" t="s">
        <v>22845</v>
      </c>
    </row>
    <row r="10455">
      <c r="A10455" s="56" t="s">
        <v>22847</v>
      </c>
      <c r="B10455" s="82"/>
      <c r="C10455" s="33" t="s">
        <v>11373</v>
      </c>
      <c r="E10455" s="46" t="s">
        <v>7616</v>
      </c>
    </row>
    <row r="10456">
      <c r="A10456" s="56" t="s">
        <v>22849</v>
      </c>
      <c r="B10456" s="82"/>
      <c r="C10456" s="33" t="s">
        <v>11373</v>
      </c>
      <c r="E10456" s="46" t="s">
        <v>7618</v>
      </c>
    </row>
    <row r="10457">
      <c r="A10457" s="56" t="s">
        <v>22850</v>
      </c>
      <c r="B10457" s="82"/>
      <c r="C10457" s="33" t="s">
        <v>11376</v>
      </c>
      <c r="E10457" s="46" t="s">
        <v>7616</v>
      </c>
    </row>
    <row r="10458">
      <c r="A10458" s="56" t="s">
        <v>22851</v>
      </c>
      <c r="B10458" s="82"/>
      <c r="C10458" s="33" t="s">
        <v>11376</v>
      </c>
      <c r="E10458" s="46" t="s">
        <v>7618</v>
      </c>
    </row>
    <row r="10459">
      <c r="A10459" s="56" t="s">
        <v>22852</v>
      </c>
      <c r="B10459" s="82"/>
      <c r="C10459" s="33" t="s">
        <v>11380</v>
      </c>
      <c r="E10459" s="46" t="s">
        <v>7616</v>
      </c>
    </row>
    <row r="10460">
      <c r="A10460" s="56" t="s">
        <v>22854</v>
      </c>
      <c r="B10460" s="82"/>
      <c r="C10460" s="33" t="s">
        <v>11380</v>
      </c>
      <c r="E10460" s="46" t="s">
        <v>7618</v>
      </c>
    </row>
    <row r="10461">
      <c r="A10461" s="56" t="s">
        <v>22856</v>
      </c>
      <c r="B10461" s="79"/>
      <c r="C10461" s="33" t="s">
        <v>11384</v>
      </c>
      <c r="E10461" s="46" t="s">
        <v>1348</v>
      </c>
    </row>
    <row r="10462">
      <c r="A10462" s="56" t="s">
        <v>22858</v>
      </c>
      <c r="B10462" s="79"/>
      <c r="C10462" s="33" t="s">
        <v>11384</v>
      </c>
      <c r="E10462" s="46" t="s">
        <v>1348</v>
      </c>
    </row>
    <row r="10463">
      <c r="A10463" s="56" t="s">
        <v>22859</v>
      </c>
      <c r="B10463" s="79"/>
      <c r="C10463" s="33" t="s">
        <v>11389</v>
      </c>
      <c r="E10463" s="46" t="s">
        <v>1348</v>
      </c>
    </row>
    <row r="10464">
      <c r="A10464" s="56" t="s">
        <v>22862</v>
      </c>
      <c r="B10464" s="21"/>
      <c r="C10464" s="33" t="s">
        <v>11391</v>
      </c>
      <c r="E10464" s="46" t="s">
        <v>7616</v>
      </c>
    </row>
    <row r="10465">
      <c r="A10465" s="56" t="s">
        <v>22864</v>
      </c>
      <c r="B10465" s="21"/>
      <c r="C10465" s="33" t="s">
        <v>11391</v>
      </c>
      <c r="E10465" s="46" t="s">
        <v>7618</v>
      </c>
    </row>
    <row r="10466">
      <c r="A10466" s="56" t="s">
        <v>22865</v>
      </c>
      <c r="B10466" s="21"/>
      <c r="C10466" s="33" t="s">
        <v>11394</v>
      </c>
      <c r="E10466" s="46" t="s">
        <v>7616</v>
      </c>
    </row>
    <row r="10467">
      <c r="A10467" s="56" t="s">
        <v>22866</v>
      </c>
      <c r="B10467" s="21"/>
      <c r="C10467" s="33" t="s">
        <v>11394</v>
      </c>
      <c r="E10467" s="46" t="s">
        <v>7618</v>
      </c>
    </row>
    <row r="10468">
      <c r="A10468" s="56" t="s">
        <v>22867</v>
      </c>
      <c r="B10468" s="21"/>
      <c r="C10468" s="33" t="s">
        <v>11398</v>
      </c>
      <c r="E10468" s="46" t="s">
        <v>7616</v>
      </c>
    </row>
    <row r="10469">
      <c r="A10469" s="56" t="s">
        <v>22868</v>
      </c>
      <c r="B10469" s="21"/>
      <c r="C10469" s="33" t="s">
        <v>11398</v>
      </c>
      <c r="E10469" s="46" t="s">
        <v>7618</v>
      </c>
    </row>
    <row r="10470">
      <c r="A10470" s="56" t="s">
        <v>22871</v>
      </c>
      <c r="B10470" s="21"/>
      <c r="C10470" s="33" t="s">
        <v>11391</v>
      </c>
      <c r="E10470" s="46" t="s">
        <v>7616</v>
      </c>
    </row>
    <row r="10471">
      <c r="A10471" s="56" t="s">
        <v>22872</v>
      </c>
      <c r="B10471" s="21"/>
      <c r="C10471" s="33" t="s">
        <v>11391</v>
      </c>
      <c r="E10471" s="46" t="s">
        <v>7618</v>
      </c>
    </row>
    <row r="10472">
      <c r="A10472" s="56" t="s">
        <v>22874</v>
      </c>
      <c r="B10472" s="21"/>
      <c r="C10472" s="33" t="s">
        <v>11394</v>
      </c>
      <c r="E10472" s="46" t="s">
        <v>7616</v>
      </c>
    </row>
    <row r="10473">
      <c r="A10473" s="56" t="s">
        <v>22876</v>
      </c>
      <c r="B10473" s="21"/>
      <c r="C10473" s="33" t="s">
        <v>11394</v>
      </c>
      <c r="E10473" s="46" t="s">
        <v>7618</v>
      </c>
    </row>
    <row r="10474">
      <c r="A10474" s="56" t="s">
        <v>22878</v>
      </c>
      <c r="B10474" s="21"/>
      <c r="C10474" s="33" t="s">
        <v>11398</v>
      </c>
      <c r="E10474" s="46" t="s">
        <v>7616</v>
      </c>
    </row>
    <row r="10475">
      <c r="A10475" s="56" t="s">
        <v>22880</v>
      </c>
      <c r="B10475" s="21"/>
      <c r="C10475" s="33" t="s">
        <v>11398</v>
      </c>
      <c r="E10475" s="46" t="s">
        <v>7618</v>
      </c>
    </row>
    <row r="10476">
      <c r="A10476" s="56" t="s">
        <v>22881</v>
      </c>
      <c r="B10476" s="21"/>
      <c r="C10476" s="33" t="s">
        <v>11411</v>
      </c>
      <c r="E10476" s="46" t="s">
        <v>7616</v>
      </c>
    </row>
    <row r="10477">
      <c r="A10477" s="56" t="s">
        <v>22882</v>
      </c>
      <c r="B10477" s="21"/>
      <c r="C10477" s="33" t="s">
        <v>11411</v>
      </c>
      <c r="E10477" s="46" t="s">
        <v>7618</v>
      </c>
    </row>
    <row r="10478">
      <c r="A10478" s="56" t="s">
        <v>22884</v>
      </c>
      <c r="B10478" s="21"/>
      <c r="C10478" s="33" t="s">
        <v>11416</v>
      </c>
      <c r="E10478" s="46" t="s">
        <v>7616</v>
      </c>
    </row>
    <row r="10479">
      <c r="A10479" s="56" t="s">
        <v>22885</v>
      </c>
      <c r="B10479" s="21"/>
      <c r="C10479" s="33" t="s">
        <v>11416</v>
      </c>
      <c r="E10479" s="46" t="s">
        <v>7618</v>
      </c>
    </row>
    <row r="10480">
      <c r="A10480" s="56" t="s">
        <v>22886</v>
      </c>
      <c r="B10480" s="21"/>
      <c r="C10480" s="33" t="s">
        <v>11419</v>
      </c>
      <c r="E10480" s="46" t="s">
        <v>7616</v>
      </c>
    </row>
    <row r="10481">
      <c r="A10481" s="56" t="s">
        <v>22887</v>
      </c>
      <c r="B10481" s="21"/>
      <c r="C10481" s="33" t="s">
        <v>11419</v>
      </c>
      <c r="E10481" s="46" t="s">
        <v>7618</v>
      </c>
    </row>
    <row r="10482">
      <c r="A10482" s="56" t="s">
        <v>22890</v>
      </c>
      <c r="B10482" s="21"/>
      <c r="C10482" s="33" t="s">
        <v>11411</v>
      </c>
      <c r="E10482" s="46" t="s">
        <v>7616</v>
      </c>
    </row>
    <row r="10483">
      <c r="A10483" s="56" t="s">
        <v>22892</v>
      </c>
      <c r="B10483" s="21"/>
      <c r="C10483" s="33" t="s">
        <v>11411</v>
      </c>
      <c r="E10483" s="46" t="s">
        <v>7618</v>
      </c>
    </row>
    <row r="10484">
      <c r="A10484" s="56" t="s">
        <v>22893</v>
      </c>
      <c r="B10484" s="21"/>
      <c r="C10484" s="33" t="s">
        <v>11416</v>
      </c>
      <c r="E10484" s="46" t="s">
        <v>7616</v>
      </c>
    </row>
    <row r="10485">
      <c r="A10485" s="56" t="s">
        <v>22894</v>
      </c>
      <c r="B10485" s="21"/>
      <c r="C10485" s="33" t="s">
        <v>11416</v>
      </c>
      <c r="E10485" s="46" t="s">
        <v>7618</v>
      </c>
    </row>
    <row r="10486">
      <c r="A10486" s="56" t="s">
        <v>22895</v>
      </c>
      <c r="B10486" s="21"/>
      <c r="C10486" s="33" t="s">
        <v>11419</v>
      </c>
      <c r="E10486" s="46" t="s">
        <v>7616</v>
      </c>
    </row>
    <row r="10487">
      <c r="A10487" s="56" t="s">
        <v>22898</v>
      </c>
      <c r="B10487" s="21"/>
      <c r="C10487" s="33" t="s">
        <v>11419</v>
      </c>
      <c r="E10487" s="46" t="s">
        <v>7618</v>
      </c>
    </row>
    <row r="10488">
      <c r="A10488" s="56" t="s">
        <v>22899</v>
      </c>
      <c r="B10488" s="55"/>
      <c r="C10488" s="31"/>
    </row>
    <row r="10489">
      <c r="A10489" s="56" t="s">
        <v>22900</v>
      </c>
      <c r="B10489" s="55"/>
      <c r="C10489" s="31"/>
    </row>
    <row r="10490">
      <c r="A10490" s="56" t="s">
        <v>22901</v>
      </c>
      <c r="B10490" s="55"/>
      <c r="C10490" s="31"/>
    </row>
    <row r="10491">
      <c r="A10491" s="56" t="s">
        <v>22902</v>
      </c>
      <c r="B10491" s="55"/>
      <c r="C10491" s="31"/>
    </row>
    <row r="10492">
      <c r="A10492" s="56" t="s">
        <v>22903</v>
      </c>
      <c r="B10492" s="55"/>
      <c r="C10492" s="31"/>
    </row>
    <row r="10493">
      <c r="A10493" s="56" t="s">
        <v>22907</v>
      </c>
      <c r="B10493" s="55"/>
      <c r="C10493" s="31"/>
    </row>
    <row r="10494">
      <c r="A10494" s="56" t="s">
        <v>22909</v>
      </c>
      <c r="B10494" s="82"/>
      <c r="C10494" s="33" t="s">
        <v>22910</v>
      </c>
    </row>
    <row r="10495">
      <c r="A10495" s="56" t="s">
        <v>22911</v>
      </c>
      <c r="B10495" s="55"/>
      <c r="C10495" s="31"/>
    </row>
    <row r="10496">
      <c r="A10496" s="56" t="s">
        <v>22912</v>
      </c>
      <c r="B10496" s="55"/>
      <c r="C10496" s="31"/>
    </row>
    <row r="10497">
      <c r="A10497" s="56" t="s">
        <v>22913</v>
      </c>
      <c r="B10497" s="55"/>
      <c r="C10497" s="31"/>
    </row>
    <row r="10498">
      <c r="A10498" s="56" t="s">
        <v>22915</v>
      </c>
      <c r="B10498" s="55"/>
      <c r="C10498" s="31"/>
    </row>
    <row r="10499">
      <c r="A10499" s="56" t="s">
        <v>22917</v>
      </c>
      <c r="B10499" s="55"/>
      <c r="C10499" s="31"/>
    </row>
    <row r="10500">
      <c r="A10500" s="56" t="s">
        <v>22919</v>
      </c>
      <c r="B10500" s="55"/>
      <c r="C10500" s="31"/>
    </row>
    <row r="10501">
      <c r="A10501" s="56" t="s">
        <v>22920</v>
      </c>
      <c r="B10501" s="55"/>
      <c r="C10501" s="31"/>
    </row>
    <row r="10502">
      <c r="A10502" s="56" t="s">
        <v>22921</v>
      </c>
      <c r="B10502" s="55"/>
      <c r="C10502" s="31"/>
    </row>
    <row r="10503">
      <c r="A10503" s="56" t="s">
        <v>22922</v>
      </c>
      <c r="B10503" s="55"/>
      <c r="C10503" s="31"/>
    </row>
    <row r="10504">
      <c r="A10504" s="56" t="s">
        <v>22923</v>
      </c>
      <c r="B10504" s="55"/>
      <c r="C10504" s="31"/>
    </row>
    <row r="10505">
      <c r="A10505" s="56" t="s">
        <v>22925</v>
      </c>
      <c r="B10505" s="55"/>
      <c r="C10505" s="31"/>
    </row>
    <row r="10506">
      <c r="A10506" s="56" t="s">
        <v>22927</v>
      </c>
      <c r="B10506" s="55"/>
      <c r="C10506" s="31"/>
    </row>
    <row r="10507">
      <c r="A10507" s="56" t="s">
        <v>22929</v>
      </c>
      <c r="B10507" s="55"/>
      <c r="C10507" s="31"/>
    </row>
    <row r="10508">
      <c r="A10508" s="56" t="s">
        <v>22930</v>
      </c>
      <c r="B10508" s="55"/>
      <c r="C10508" s="31"/>
    </row>
    <row r="10509">
      <c r="A10509" s="56" t="s">
        <v>22931</v>
      </c>
      <c r="B10509" s="55"/>
      <c r="C10509" s="31"/>
    </row>
    <row r="10510">
      <c r="A10510" s="56" t="s">
        <v>22932</v>
      </c>
      <c r="B10510" s="55"/>
      <c r="C10510" s="31"/>
    </row>
    <row r="10511">
      <c r="A10511" s="56" t="s">
        <v>22934</v>
      </c>
      <c r="B10511" s="55"/>
      <c r="C10511" s="31"/>
    </row>
    <row r="10512">
      <c r="A10512" s="56" t="s">
        <v>22936</v>
      </c>
      <c r="B10512" s="55"/>
      <c r="C10512" s="31"/>
    </row>
    <row r="10513">
      <c r="A10513" s="56" t="s">
        <v>22937</v>
      </c>
      <c r="B10513" s="55"/>
      <c r="C10513" s="31"/>
    </row>
    <row r="10514">
      <c r="A10514" s="56" t="s">
        <v>22938</v>
      </c>
      <c r="B10514" s="55"/>
      <c r="C10514" s="31"/>
    </row>
    <row r="10515">
      <c r="A10515" s="56" t="s">
        <v>22939</v>
      </c>
      <c r="B10515" s="55"/>
      <c r="C10515" s="31"/>
    </row>
    <row r="10516">
      <c r="A10516" s="56" t="s">
        <v>22940</v>
      </c>
      <c r="B10516" s="82"/>
      <c r="C10516" s="33" t="s">
        <v>22941</v>
      </c>
    </row>
    <row r="10517">
      <c r="A10517" s="56" t="s">
        <v>22942</v>
      </c>
      <c r="B10517" s="82"/>
      <c r="C10517" s="33" t="s">
        <v>11373</v>
      </c>
      <c r="E10517" s="46" t="s">
        <v>7616</v>
      </c>
    </row>
    <row r="10518">
      <c r="A10518" s="56" t="s">
        <v>22943</v>
      </c>
      <c r="B10518" s="82"/>
      <c r="C10518" s="33" t="s">
        <v>11373</v>
      </c>
      <c r="E10518" s="46" t="s">
        <v>7618</v>
      </c>
    </row>
    <row r="10519">
      <c r="A10519" s="56" t="s">
        <v>22945</v>
      </c>
      <c r="B10519" s="82"/>
      <c r="C10519" s="33" t="s">
        <v>11376</v>
      </c>
      <c r="E10519" s="46" t="s">
        <v>7616</v>
      </c>
    </row>
    <row r="10520">
      <c r="A10520" s="56" t="s">
        <v>22947</v>
      </c>
      <c r="B10520" s="82"/>
      <c r="C10520" s="33" t="s">
        <v>11376</v>
      </c>
      <c r="E10520" s="46" t="s">
        <v>7618</v>
      </c>
    </row>
    <row r="10521">
      <c r="A10521" s="56" t="s">
        <v>22951</v>
      </c>
      <c r="B10521" s="82"/>
      <c r="C10521" s="33" t="s">
        <v>11380</v>
      </c>
      <c r="E10521" s="46" t="s">
        <v>7616</v>
      </c>
    </row>
    <row r="10522">
      <c r="A10522" s="56" t="s">
        <v>22952</v>
      </c>
      <c r="B10522" s="82"/>
      <c r="C10522" s="33" t="s">
        <v>11380</v>
      </c>
      <c r="E10522" s="46" t="s">
        <v>7618</v>
      </c>
    </row>
    <row r="10523">
      <c r="A10523" s="56" t="s">
        <v>22953</v>
      </c>
      <c r="B10523" s="79"/>
      <c r="C10523" s="33" t="s">
        <v>11384</v>
      </c>
      <c r="E10523" s="46" t="s">
        <v>1348</v>
      </c>
    </row>
    <row r="10524">
      <c r="A10524" s="56" t="s">
        <v>22954</v>
      </c>
      <c r="B10524" s="79"/>
      <c r="C10524" s="33" t="s">
        <v>11384</v>
      </c>
      <c r="E10524" s="46" t="s">
        <v>1348</v>
      </c>
    </row>
    <row r="10525">
      <c r="A10525" s="56" t="s">
        <v>22956</v>
      </c>
      <c r="B10525" s="79"/>
      <c r="C10525" s="33" t="s">
        <v>11389</v>
      </c>
      <c r="E10525" s="46" t="s">
        <v>1348</v>
      </c>
    </row>
    <row r="10526">
      <c r="A10526" s="56" t="s">
        <v>22959</v>
      </c>
      <c r="B10526" s="21"/>
      <c r="C10526" s="33" t="s">
        <v>11391</v>
      </c>
      <c r="E10526" s="46" t="s">
        <v>7616</v>
      </c>
    </row>
    <row r="10527">
      <c r="A10527" s="56" t="s">
        <v>22961</v>
      </c>
      <c r="B10527" s="21"/>
      <c r="C10527" s="33" t="s">
        <v>11391</v>
      </c>
      <c r="E10527" s="46" t="s">
        <v>7618</v>
      </c>
    </row>
    <row r="10528">
      <c r="A10528" s="56" t="s">
        <v>22963</v>
      </c>
      <c r="B10528" s="21"/>
      <c r="C10528" s="33" t="s">
        <v>11394</v>
      </c>
      <c r="E10528" s="46" t="s">
        <v>7616</v>
      </c>
    </row>
    <row r="10529">
      <c r="A10529" s="56" t="s">
        <v>22965</v>
      </c>
      <c r="B10529" s="21"/>
      <c r="C10529" s="33" t="s">
        <v>11394</v>
      </c>
      <c r="E10529" s="46" t="s">
        <v>7618</v>
      </c>
    </row>
    <row r="10530">
      <c r="A10530" s="56" t="s">
        <v>22966</v>
      </c>
      <c r="B10530" s="21"/>
      <c r="C10530" s="33" t="s">
        <v>11398</v>
      </c>
      <c r="E10530" s="46" t="s">
        <v>7616</v>
      </c>
    </row>
    <row r="10531">
      <c r="A10531" s="56" t="s">
        <v>22967</v>
      </c>
      <c r="B10531" s="21"/>
      <c r="C10531" s="33" t="s">
        <v>11398</v>
      </c>
      <c r="E10531" s="46" t="s">
        <v>7618</v>
      </c>
    </row>
    <row r="10532">
      <c r="A10532" s="56" t="s">
        <v>22969</v>
      </c>
      <c r="B10532" s="21"/>
      <c r="C10532" s="33" t="s">
        <v>11391</v>
      </c>
      <c r="E10532" s="46" t="s">
        <v>7616</v>
      </c>
    </row>
    <row r="10533">
      <c r="A10533" s="56" t="s">
        <v>22971</v>
      </c>
      <c r="B10533" s="21"/>
      <c r="C10533" s="33" t="s">
        <v>11391</v>
      </c>
      <c r="E10533" s="46" t="s">
        <v>7618</v>
      </c>
    </row>
    <row r="10534">
      <c r="A10534" s="56" t="s">
        <v>22973</v>
      </c>
      <c r="B10534" s="21"/>
      <c r="C10534" s="33" t="s">
        <v>11394</v>
      </c>
      <c r="E10534" s="46" t="s">
        <v>7616</v>
      </c>
    </row>
    <row r="10535">
      <c r="A10535" s="56" t="s">
        <v>22974</v>
      </c>
      <c r="B10535" s="21"/>
      <c r="C10535" s="33" t="s">
        <v>11394</v>
      </c>
      <c r="E10535" s="46" t="s">
        <v>7618</v>
      </c>
    </row>
    <row r="10536">
      <c r="A10536" s="56" t="s">
        <v>22975</v>
      </c>
      <c r="B10536" s="21"/>
      <c r="C10536" s="33" t="s">
        <v>11398</v>
      </c>
      <c r="E10536" s="46" t="s">
        <v>7616</v>
      </c>
    </row>
    <row r="10537">
      <c r="A10537" s="56" t="s">
        <v>22976</v>
      </c>
      <c r="B10537" s="21"/>
      <c r="C10537" s="33" t="s">
        <v>11398</v>
      </c>
      <c r="E10537" s="46" t="s">
        <v>7618</v>
      </c>
    </row>
    <row r="10538">
      <c r="A10538" s="56" t="s">
        <v>22977</v>
      </c>
      <c r="B10538" s="21"/>
      <c r="C10538" s="33" t="s">
        <v>11411</v>
      </c>
      <c r="E10538" s="46" t="s">
        <v>7616</v>
      </c>
    </row>
    <row r="10539">
      <c r="A10539" s="56" t="s">
        <v>22978</v>
      </c>
      <c r="B10539" s="21"/>
      <c r="C10539" s="33" t="s">
        <v>11411</v>
      </c>
      <c r="E10539" s="46" t="s">
        <v>7618</v>
      </c>
    </row>
    <row r="10540">
      <c r="A10540" s="56" t="s">
        <v>22980</v>
      </c>
      <c r="B10540" s="21"/>
      <c r="C10540" s="33" t="s">
        <v>11416</v>
      </c>
      <c r="E10540" s="46" t="s">
        <v>7616</v>
      </c>
    </row>
    <row r="10541">
      <c r="A10541" s="56" t="s">
        <v>22981</v>
      </c>
      <c r="B10541" s="21"/>
      <c r="C10541" s="33" t="s">
        <v>11416</v>
      </c>
      <c r="E10541" s="46" t="s">
        <v>7618</v>
      </c>
    </row>
    <row r="10542">
      <c r="A10542" s="56" t="s">
        <v>22984</v>
      </c>
      <c r="B10542" s="21"/>
      <c r="C10542" s="33" t="s">
        <v>11419</v>
      </c>
      <c r="E10542" s="46" t="s">
        <v>7616</v>
      </c>
    </row>
    <row r="10543">
      <c r="A10543" s="56" t="s">
        <v>22985</v>
      </c>
      <c r="B10543" s="21"/>
      <c r="C10543" s="33" t="s">
        <v>11419</v>
      </c>
      <c r="E10543" s="46" t="s">
        <v>7618</v>
      </c>
    </row>
    <row r="10544">
      <c r="A10544" s="56" t="s">
        <v>22986</v>
      </c>
      <c r="B10544" s="21"/>
      <c r="C10544" s="33" t="s">
        <v>11411</v>
      </c>
      <c r="E10544" s="46" t="s">
        <v>7616</v>
      </c>
    </row>
    <row r="10545">
      <c r="A10545" s="56" t="s">
        <v>22987</v>
      </c>
      <c r="B10545" s="21"/>
      <c r="C10545" s="33" t="s">
        <v>11411</v>
      </c>
      <c r="E10545" s="46" t="s">
        <v>7618</v>
      </c>
    </row>
    <row r="10546">
      <c r="A10546" s="56" t="s">
        <v>22989</v>
      </c>
      <c r="B10546" s="21"/>
      <c r="C10546" s="33" t="s">
        <v>11416</v>
      </c>
      <c r="E10546" s="46" t="s">
        <v>7616</v>
      </c>
    </row>
    <row r="10547">
      <c r="A10547" s="56" t="s">
        <v>22990</v>
      </c>
      <c r="B10547" s="21"/>
      <c r="C10547" s="33" t="s">
        <v>11416</v>
      </c>
      <c r="E10547" s="46" t="s">
        <v>7618</v>
      </c>
    </row>
    <row r="10548">
      <c r="A10548" s="56" t="s">
        <v>22992</v>
      </c>
      <c r="B10548" s="21"/>
      <c r="C10548" s="33" t="s">
        <v>11419</v>
      </c>
      <c r="E10548" s="46" t="s">
        <v>7616</v>
      </c>
    </row>
    <row r="10549">
      <c r="A10549" s="56" t="s">
        <v>22993</v>
      </c>
      <c r="B10549" s="21"/>
      <c r="C10549" s="33" t="s">
        <v>11419</v>
      </c>
      <c r="E10549" s="46" t="s">
        <v>7618</v>
      </c>
    </row>
    <row r="10550">
      <c r="A10550" s="56" t="s">
        <v>22994</v>
      </c>
      <c r="B10550" s="82"/>
      <c r="C10550" s="33" t="s">
        <v>22995</v>
      </c>
    </row>
    <row r="10551">
      <c r="A10551" s="56" t="s">
        <v>22996</v>
      </c>
      <c r="B10551" s="82"/>
      <c r="C10551" s="33" t="s">
        <v>11373</v>
      </c>
      <c r="E10551" s="46" t="s">
        <v>7616</v>
      </c>
    </row>
    <row r="10552">
      <c r="A10552" s="56" t="s">
        <v>23000</v>
      </c>
      <c r="B10552" s="82"/>
      <c r="C10552" s="33" t="s">
        <v>11373</v>
      </c>
      <c r="E10552" s="46" t="s">
        <v>7618</v>
      </c>
    </row>
    <row r="10553">
      <c r="A10553" s="56" t="s">
        <v>23001</v>
      </c>
      <c r="B10553" s="82"/>
      <c r="C10553" s="33" t="s">
        <v>11376</v>
      </c>
      <c r="E10553" s="46" t="s">
        <v>7616</v>
      </c>
    </row>
    <row r="10554">
      <c r="A10554" s="56" t="s">
        <v>23002</v>
      </c>
      <c r="B10554" s="82"/>
      <c r="C10554" s="33" t="s">
        <v>11376</v>
      </c>
      <c r="E10554" s="46" t="s">
        <v>7618</v>
      </c>
    </row>
    <row r="10555">
      <c r="A10555" s="56" t="s">
        <v>23004</v>
      </c>
      <c r="B10555" s="82"/>
      <c r="C10555" s="33" t="s">
        <v>11380</v>
      </c>
      <c r="E10555" s="46" t="s">
        <v>7616</v>
      </c>
    </row>
    <row r="10556">
      <c r="A10556" s="56" t="s">
        <v>23006</v>
      </c>
      <c r="B10556" s="82"/>
      <c r="C10556" s="33" t="s">
        <v>11380</v>
      </c>
      <c r="E10556" s="46" t="s">
        <v>7618</v>
      </c>
    </row>
    <row r="10557">
      <c r="A10557" s="56" t="s">
        <v>23008</v>
      </c>
      <c r="B10557" s="79"/>
      <c r="C10557" s="33" t="s">
        <v>11384</v>
      </c>
      <c r="E10557" s="46" t="s">
        <v>1348</v>
      </c>
    </row>
    <row r="10558">
      <c r="A10558" s="56" t="s">
        <v>23009</v>
      </c>
      <c r="B10558" s="79"/>
      <c r="C10558" s="33" t="s">
        <v>11384</v>
      </c>
      <c r="E10558" s="46" t="s">
        <v>1348</v>
      </c>
    </row>
    <row r="10559">
      <c r="A10559" s="56" t="s">
        <v>23010</v>
      </c>
      <c r="B10559" s="79"/>
      <c r="C10559" s="33" t="s">
        <v>11389</v>
      </c>
      <c r="E10559" s="46" t="s">
        <v>1348</v>
      </c>
    </row>
    <row r="10560">
      <c r="A10560" s="56" t="s">
        <v>23013</v>
      </c>
      <c r="B10560" s="21"/>
      <c r="C10560" s="33" t="s">
        <v>11391</v>
      </c>
      <c r="E10560" s="46" t="s">
        <v>7616</v>
      </c>
    </row>
    <row r="10561">
      <c r="A10561" s="56" t="s">
        <v>23014</v>
      </c>
      <c r="B10561" s="21"/>
      <c r="C10561" s="33" t="s">
        <v>11391</v>
      </c>
      <c r="E10561" s="46" t="s">
        <v>7618</v>
      </c>
    </row>
    <row r="10562">
      <c r="A10562" s="56" t="s">
        <v>23016</v>
      </c>
      <c r="B10562" s="21"/>
      <c r="C10562" s="33" t="s">
        <v>11394</v>
      </c>
      <c r="E10562" s="46" t="s">
        <v>7616</v>
      </c>
    </row>
    <row r="10563">
      <c r="A10563" s="56" t="s">
        <v>23019</v>
      </c>
      <c r="B10563" s="21"/>
      <c r="C10563" s="33" t="s">
        <v>11394</v>
      </c>
      <c r="E10563" s="46" t="s">
        <v>7618</v>
      </c>
    </row>
    <row r="10564">
      <c r="A10564" s="56" t="s">
        <v>23020</v>
      </c>
      <c r="B10564" s="21"/>
      <c r="C10564" s="33" t="s">
        <v>11398</v>
      </c>
      <c r="E10564" s="46" t="s">
        <v>7616</v>
      </c>
    </row>
    <row r="10565">
      <c r="A10565" s="56" t="s">
        <v>23021</v>
      </c>
      <c r="B10565" s="21"/>
      <c r="C10565" s="33" t="s">
        <v>11398</v>
      </c>
      <c r="E10565" s="46" t="s">
        <v>7618</v>
      </c>
    </row>
    <row r="10566">
      <c r="A10566" s="56" t="s">
        <v>23022</v>
      </c>
      <c r="B10566" s="21"/>
      <c r="C10566" s="33" t="s">
        <v>11391</v>
      </c>
      <c r="E10566" s="46" t="s">
        <v>7616</v>
      </c>
    </row>
    <row r="10567">
      <c r="A10567" s="56" t="s">
        <v>23023</v>
      </c>
      <c r="B10567" s="21"/>
      <c r="C10567" s="33" t="s">
        <v>11391</v>
      </c>
      <c r="E10567" s="46" t="s">
        <v>7618</v>
      </c>
    </row>
    <row r="10568">
      <c r="A10568" s="56" t="s">
        <v>23027</v>
      </c>
      <c r="B10568" s="21"/>
      <c r="C10568" s="33" t="s">
        <v>11394</v>
      </c>
      <c r="E10568" s="46" t="s">
        <v>7616</v>
      </c>
    </row>
    <row r="10569">
      <c r="A10569" s="56" t="s">
        <v>23028</v>
      </c>
      <c r="B10569" s="21"/>
      <c r="C10569" s="33" t="s">
        <v>11394</v>
      </c>
      <c r="E10569" s="46" t="s">
        <v>7618</v>
      </c>
    </row>
    <row r="10570">
      <c r="A10570" s="56" t="s">
        <v>23029</v>
      </c>
      <c r="B10570" s="21"/>
      <c r="C10570" s="33" t="s">
        <v>11398</v>
      </c>
      <c r="E10570" s="46" t="s">
        <v>7616</v>
      </c>
    </row>
    <row r="10571">
      <c r="A10571" s="56" t="s">
        <v>23034</v>
      </c>
      <c r="B10571" s="21"/>
      <c r="C10571" s="33" t="s">
        <v>11398</v>
      </c>
      <c r="E10571" s="46" t="s">
        <v>7618</v>
      </c>
    </row>
    <row r="10572">
      <c r="A10572" s="56" t="s">
        <v>23035</v>
      </c>
      <c r="B10572" s="21"/>
      <c r="C10572" s="33" t="s">
        <v>11411</v>
      </c>
      <c r="E10572" s="46" t="s">
        <v>7616</v>
      </c>
    </row>
    <row r="10573">
      <c r="A10573" s="56" t="s">
        <v>23036</v>
      </c>
      <c r="B10573" s="21"/>
      <c r="C10573" s="33" t="s">
        <v>11411</v>
      </c>
      <c r="E10573" s="46" t="s">
        <v>7618</v>
      </c>
    </row>
    <row r="10574">
      <c r="A10574" s="56" t="s">
        <v>23037</v>
      </c>
      <c r="B10574" s="21"/>
      <c r="C10574" s="33" t="s">
        <v>11416</v>
      </c>
      <c r="E10574" s="46" t="s">
        <v>7616</v>
      </c>
    </row>
    <row r="10575">
      <c r="A10575" s="56" t="s">
        <v>23038</v>
      </c>
      <c r="B10575" s="21"/>
      <c r="C10575" s="33" t="s">
        <v>11416</v>
      </c>
      <c r="E10575" s="46" t="s">
        <v>7618</v>
      </c>
    </row>
    <row r="10576">
      <c r="A10576" s="56" t="s">
        <v>23040</v>
      </c>
      <c r="B10576" s="21"/>
      <c r="C10576" s="33" t="s">
        <v>11419</v>
      </c>
      <c r="E10576" s="46" t="s">
        <v>7616</v>
      </c>
    </row>
    <row r="10577">
      <c r="A10577" s="56" t="s">
        <v>23042</v>
      </c>
      <c r="B10577" s="21"/>
      <c r="C10577" s="33" t="s">
        <v>11419</v>
      </c>
      <c r="E10577" s="46" t="s">
        <v>7618</v>
      </c>
    </row>
    <row r="10578">
      <c r="A10578" s="56" t="s">
        <v>23043</v>
      </c>
      <c r="B10578" s="21"/>
      <c r="C10578" s="33" t="s">
        <v>11411</v>
      </c>
      <c r="E10578" s="46" t="s">
        <v>7616</v>
      </c>
    </row>
    <row r="10579">
      <c r="A10579" s="56" t="s">
        <v>23044</v>
      </c>
      <c r="B10579" s="21"/>
      <c r="C10579" s="33" t="s">
        <v>11411</v>
      </c>
      <c r="E10579" s="46" t="s">
        <v>7618</v>
      </c>
    </row>
    <row r="10580">
      <c r="A10580" s="56" t="s">
        <v>23046</v>
      </c>
      <c r="B10580" s="21"/>
      <c r="C10580" s="33" t="s">
        <v>11416</v>
      </c>
      <c r="E10580" s="46" t="s">
        <v>7616</v>
      </c>
    </row>
    <row r="10581">
      <c r="A10581" s="56" t="s">
        <v>23048</v>
      </c>
      <c r="B10581" s="21"/>
      <c r="C10581" s="33" t="s">
        <v>11416</v>
      </c>
      <c r="E10581" s="46" t="s">
        <v>7618</v>
      </c>
    </row>
    <row r="10582">
      <c r="A10582" s="56" t="s">
        <v>23050</v>
      </c>
      <c r="B10582" s="21"/>
      <c r="C10582" s="33" t="s">
        <v>11419</v>
      </c>
      <c r="E10582" s="46" t="s">
        <v>7616</v>
      </c>
    </row>
    <row r="10583">
      <c r="A10583" s="56" t="s">
        <v>23051</v>
      </c>
      <c r="B10583" s="21"/>
      <c r="C10583" s="33" t="s">
        <v>11419</v>
      </c>
      <c r="E10583" s="46" t="s">
        <v>7618</v>
      </c>
    </row>
    <row r="10584">
      <c r="A10584" s="56" t="s">
        <v>23052</v>
      </c>
      <c r="B10584" s="82"/>
      <c r="C10584" s="33" t="s">
        <v>23053</v>
      </c>
    </row>
    <row r="10585">
      <c r="A10585" s="56" t="s">
        <v>23054</v>
      </c>
      <c r="B10585" s="55"/>
      <c r="C10585" s="31"/>
    </row>
    <row r="10586">
      <c r="A10586" s="56" t="s">
        <v>23055</v>
      </c>
      <c r="B10586" s="55"/>
      <c r="C10586" s="31"/>
    </row>
    <row r="10587">
      <c r="A10587" s="56" t="s">
        <v>23056</v>
      </c>
      <c r="B10587" s="55"/>
      <c r="C10587" s="31"/>
    </row>
    <row r="10588">
      <c r="A10588" s="56" t="s">
        <v>23059</v>
      </c>
      <c r="B10588" s="55"/>
      <c r="C10588" s="31"/>
    </row>
    <row r="10589">
      <c r="A10589" s="56" t="s">
        <v>23061</v>
      </c>
      <c r="B10589" s="55"/>
      <c r="C10589" s="31"/>
    </row>
    <row r="10590">
      <c r="A10590" s="56" t="s">
        <v>23062</v>
      </c>
      <c r="B10590" s="55"/>
      <c r="C10590" s="31"/>
    </row>
    <row r="10591">
      <c r="A10591" s="56" t="s">
        <v>23063</v>
      </c>
      <c r="B10591" s="55"/>
      <c r="C10591" s="31"/>
    </row>
    <row r="10592">
      <c r="A10592" s="56" t="s">
        <v>23064</v>
      </c>
      <c r="B10592" s="55"/>
      <c r="C10592" s="31"/>
    </row>
    <row r="10593">
      <c r="A10593" s="56" t="s">
        <v>23065</v>
      </c>
      <c r="B10593" s="55"/>
      <c r="C10593" s="31"/>
    </row>
    <row r="10594">
      <c r="A10594" s="56" t="s">
        <v>23066</v>
      </c>
      <c r="B10594" s="55"/>
      <c r="C10594" s="31"/>
    </row>
    <row r="10595">
      <c r="A10595" s="56" t="s">
        <v>23069</v>
      </c>
      <c r="B10595" s="55"/>
      <c r="C10595" s="31"/>
    </row>
    <row r="10596">
      <c r="A10596" s="56" t="s">
        <v>23070</v>
      </c>
      <c r="B10596" s="55"/>
      <c r="C10596" s="31"/>
    </row>
    <row r="10597">
      <c r="A10597" s="56" t="s">
        <v>23071</v>
      </c>
      <c r="B10597" s="55"/>
      <c r="C10597" s="31"/>
    </row>
    <row r="10598">
      <c r="A10598" s="56" t="s">
        <v>23072</v>
      </c>
      <c r="B10598" s="82"/>
      <c r="C10598" s="33" t="s">
        <v>23073</v>
      </c>
    </row>
    <row r="10599">
      <c r="A10599" s="56" t="s">
        <v>23074</v>
      </c>
      <c r="B10599" s="82"/>
      <c r="C10599" s="33" t="s">
        <v>11373</v>
      </c>
      <c r="E10599" s="46" t="s">
        <v>7616</v>
      </c>
    </row>
    <row r="10600">
      <c r="A10600" s="56" t="s">
        <v>23076</v>
      </c>
      <c r="B10600" s="82"/>
      <c r="C10600" s="33" t="s">
        <v>11373</v>
      </c>
      <c r="E10600" s="46" t="s">
        <v>7618</v>
      </c>
    </row>
    <row r="10601">
      <c r="A10601" s="56" t="s">
        <v>23079</v>
      </c>
      <c r="B10601" s="82"/>
      <c r="C10601" s="33" t="s">
        <v>11376</v>
      </c>
      <c r="E10601" s="46" t="s">
        <v>7616</v>
      </c>
    </row>
    <row r="10602">
      <c r="A10602" s="56" t="s">
        <v>23080</v>
      </c>
      <c r="B10602" s="82"/>
      <c r="C10602" s="33" t="s">
        <v>11376</v>
      </c>
      <c r="E10602" s="46" t="s">
        <v>7618</v>
      </c>
    </row>
    <row r="10603">
      <c r="A10603" s="56" t="s">
        <v>23081</v>
      </c>
      <c r="B10603" s="82"/>
      <c r="C10603" s="33" t="s">
        <v>11380</v>
      </c>
      <c r="E10603" s="46" t="s">
        <v>7616</v>
      </c>
    </row>
    <row r="10604">
      <c r="A10604" s="56" t="s">
        <v>23082</v>
      </c>
      <c r="B10604" s="82"/>
      <c r="C10604" s="33" t="s">
        <v>11380</v>
      </c>
      <c r="E10604" s="46" t="s">
        <v>7618</v>
      </c>
    </row>
    <row r="10605">
      <c r="A10605" s="56" t="s">
        <v>23084</v>
      </c>
      <c r="B10605" s="79"/>
      <c r="C10605" s="33" t="s">
        <v>11384</v>
      </c>
      <c r="E10605" s="46" t="s">
        <v>1348</v>
      </c>
    </row>
    <row r="10606">
      <c r="A10606" s="56" t="s">
        <v>23086</v>
      </c>
      <c r="B10606" s="79"/>
      <c r="C10606" s="33" t="s">
        <v>11384</v>
      </c>
      <c r="E10606" s="46" t="s">
        <v>1348</v>
      </c>
    </row>
    <row r="10607">
      <c r="A10607" s="56" t="s">
        <v>23087</v>
      </c>
      <c r="B10607" s="79"/>
      <c r="C10607" s="33" t="s">
        <v>11389</v>
      </c>
      <c r="E10607" s="46" t="s">
        <v>1348</v>
      </c>
    </row>
    <row r="10608">
      <c r="A10608" s="56" t="s">
        <v>23089</v>
      </c>
      <c r="B10608" s="21"/>
      <c r="C10608" s="33" t="s">
        <v>11391</v>
      </c>
      <c r="E10608" s="46" t="s">
        <v>7616</v>
      </c>
    </row>
    <row r="10609">
      <c r="A10609" s="56" t="s">
        <v>23092</v>
      </c>
      <c r="B10609" s="21"/>
      <c r="C10609" s="33" t="s">
        <v>11391</v>
      </c>
      <c r="E10609" s="46" t="s">
        <v>7618</v>
      </c>
    </row>
    <row r="10610">
      <c r="A10610" s="56" t="s">
        <v>23093</v>
      </c>
      <c r="B10610" s="21"/>
      <c r="C10610" s="33" t="s">
        <v>11394</v>
      </c>
      <c r="E10610" s="46" t="s">
        <v>7616</v>
      </c>
    </row>
    <row r="10611">
      <c r="A10611" s="56" t="s">
        <v>23094</v>
      </c>
      <c r="B10611" s="21"/>
      <c r="C10611" s="33" t="s">
        <v>11394</v>
      </c>
      <c r="E10611" s="46" t="s">
        <v>7618</v>
      </c>
    </row>
    <row r="10612">
      <c r="A10612" s="56" t="s">
        <v>23097</v>
      </c>
      <c r="B10612" s="21"/>
      <c r="C10612" s="33" t="s">
        <v>11398</v>
      </c>
      <c r="E10612" s="46" t="s">
        <v>7616</v>
      </c>
    </row>
    <row r="10613">
      <c r="A10613" s="56" t="s">
        <v>23099</v>
      </c>
      <c r="B10613" s="21"/>
      <c r="C10613" s="33" t="s">
        <v>11398</v>
      </c>
      <c r="E10613" s="46" t="s">
        <v>7618</v>
      </c>
    </row>
    <row r="10614">
      <c r="A10614" s="56" t="s">
        <v>23100</v>
      </c>
      <c r="B10614" s="21"/>
      <c r="C10614" s="33" t="s">
        <v>11391</v>
      </c>
      <c r="E10614" s="46" t="s">
        <v>7616</v>
      </c>
    </row>
    <row r="10615">
      <c r="A10615" s="56" t="s">
        <v>23102</v>
      </c>
      <c r="B10615" s="21"/>
      <c r="C10615" s="33" t="s">
        <v>11391</v>
      </c>
      <c r="E10615" s="46" t="s">
        <v>7618</v>
      </c>
    </row>
    <row r="10616">
      <c r="A10616" s="56" t="s">
        <v>23104</v>
      </c>
      <c r="B10616" s="21"/>
      <c r="C10616" s="33" t="s">
        <v>11394</v>
      </c>
      <c r="E10616" s="46" t="s">
        <v>7616</v>
      </c>
    </row>
    <row r="10617">
      <c r="A10617" s="56" t="s">
        <v>23105</v>
      </c>
      <c r="B10617" s="21"/>
      <c r="C10617" s="33" t="s">
        <v>11394</v>
      </c>
      <c r="E10617" s="46" t="s">
        <v>7618</v>
      </c>
    </row>
    <row r="10618">
      <c r="A10618" s="56" t="s">
        <v>23107</v>
      </c>
      <c r="B10618" s="21"/>
      <c r="C10618" s="33" t="s">
        <v>11398</v>
      </c>
      <c r="E10618" s="46" t="s">
        <v>7616</v>
      </c>
    </row>
    <row r="10619">
      <c r="A10619" s="56" t="s">
        <v>23110</v>
      </c>
      <c r="B10619" s="21"/>
      <c r="C10619" s="33" t="s">
        <v>11398</v>
      </c>
      <c r="E10619" s="46" t="s">
        <v>7618</v>
      </c>
    </row>
    <row r="10620">
      <c r="A10620" s="56" t="s">
        <v>23111</v>
      </c>
      <c r="B10620" s="21"/>
      <c r="C10620" s="33" t="s">
        <v>11411</v>
      </c>
      <c r="E10620" s="46" t="s">
        <v>7616</v>
      </c>
    </row>
    <row r="10621">
      <c r="A10621" s="56" t="s">
        <v>23112</v>
      </c>
      <c r="B10621" s="21"/>
      <c r="C10621" s="33" t="s">
        <v>11411</v>
      </c>
      <c r="E10621" s="46" t="s">
        <v>7618</v>
      </c>
    </row>
    <row r="10622">
      <c r="A10622" s="56" t="s">
        <v>23114</v>
      </c>
      <c r="B10622" s="21"/>
      <c r="C10622" s="33" t="s">
        <v>11416</v>
      </c>
      <c r="E10622" s="46" t="s">
        <v>7616</v>
      </c>
    </row>
    <row r="10623">
      <c r="A10623" s="56" t="s">
        <v>23116</v>
      </c>
      <c r="B10623" s="21"/>
      <c r="C10623" s="33" t="s">
        <v>11416</v>
      </c>
      <c r="E10623" s="46" t="s">
        <v>7618</v>
      </c>
    </row>
    <row r="10624">
      <c r="A10624" s="56" t="s">
        <v>23118</v>
      </c>
      <c r="B10624" s="21"/>
      <c r="C10624" s="33" t="s">
        <v>11419</v>
      </c>
      <c r="E10624" s="46" t="s">
        <v>7616</v>
      </c>
    </row>
    <row r="10625">
      <c r="A10625" s="56" t="s">
        <v>23119</v>
      </c>
      <c r="B10625" s="21"/>
      <c r="C10625" s="33" t="s">
        <v>11419</v>
      </c>
      <c r="E10625" s="46" t="s">
        <v>7618</v>
      </c>
    </row>
    <row r="10626">
      <c r="A10626" s="56" t="s">
        <v>23120</v>
      </c>
      <c r="B10626" s="21"/>
      <c r="C10626" s="33" t="s">
        <v>11411</v>
      </c>
      <c r="E10626" s="46" t="s">
        <v>7616</v>
      </c>
    </row>
    <row r="10627">
      <c r="A10627" s="56" t="s">
        <v>23122</v>
      </c>
      <c r="B10627" s="21"/>
      <c r="C10627" s="33" t="s">
        <v>11411</v>
      </c>
      <c r="E10627" s="46" t="s">
        <v>7618</v>
      </c>
    </row>
    <row r="10628">
      <c r="A10628" s="56" t="s">
        <v>23123</v>
      </c>
      <c r="B10628" s="21"/>
      <c r="C10628" s="33" t="s">
        <v>11416</v>
      </c>
      <c r="E10628" s="46" t="s">
        <v>7616</v>
      </c>
    </row>
    <row r="10629">
      <c r="A10629" s="56" t="s">
        <v>23126</v>
      </c>
      <c r="B10629" s="21"/>
      <c r="C10629" s="33" t="s">
        <v>11416</v>
      </c>
      <c r="E10629" s="46" t="s">
        <v>7618</v>
      </c>
    </row>
    <row r="10630">
      <c r="A10630" s="56" t="s">
        <v>23127</v>
      </c>
      <c r="B10630" s="21"/>
      <c r="C10630" s="33" t="s">
        <v>11419</v>
      </c>
      <c r="E10630" s="46" t="s">
        <v>7616</v>
      </c>
    </row>
    <row r="10631">
      <c r="A10631" s="56" t="s">
        <v>23128</v>
      </c>
      <c r="B10631" s="21"/>
      <c r="C10631" s="33" t="s">
        <v>11419</v>
      </c>
      <c r="E10631" s="46" t="s">
        <v>7618</v>
      </c>
    </row>
    <row r="10632">
      <c r="A10632" s="56" t="s">
        <v>23129</v>
      </c>
      <c r="B10632" s="82"/>
      <c r="C10632" s="33" t="s">
        <v>23130</v>
      </c>
    </row>
    <row r="10633">
      <c r="A10633" s="56" t="s">
        <v>23132</v>
      </c>
      <c r="B10633" s="82"/>
      <c r="C10633" s="33" t="s">
        <v>11373</v>
      </c>
      <c r="E10633" s="46" t="s">
        <v>7616</v>
      </c>
    </row>
    <row r="10634">
      <c r="A10634" s="56" t="s">
        <v>23133</v>
      </c>
      <c r="B10634" s="82"/>
      <c r="C10634" s="33" t="s">
        <v>11373</v>
      </c>
      <c r="E10634" s="46" t="s">
        <v>7618</v>
      </c>
    </row>
    <row r="10635">
      <c r="A10635" s="56" t="s">
        <v>23135</v>
      </c>
      <c r="B10635" s="82"/>
      <c r="C10635" s="33" t="s">
        <v>11376</v>
      </c>
      <c r="E10635" s="46" t="s">
        <v>7616</v>
      </c>
    </row>
    <row r="10636">
      <c r="A10636" s="56" t="s">
        <v>23137</v>
      </c>
      <c r="B10636" s="82"/>
      <c r="C10636" s="33" t="s">
        <v>11376</v>
      </c>
      <c r="E10636" s="46" t="s">
        <v>7618</v>
      </c>
    </row>
    <row r="10637">
      <c r="A10637" s="56" t="s">
        <v>23138</v>
      </c>
      <c r="B10637" s="82"/>
      <c r="C10637" s="33" t="s">
        <v>11380</v>
      </c>
      <c r="E10637" s="46" t="s">
        <v>7616</v>
      </c>
    </row>
    <row r="10638">
      <c r="A10638" s="56" t="s">
        <v>23139</v>
      </c>
      <c r="B10638" s="82"/>
      <c r="C10638" s="33" t="s">
        <v>11380</v>
      </c>
      <c r="E10638" s="46" t="s">
        <v>7618</v>
      </c>
    </row>
    <row r="10639">
      <c r="A10639" s="56" t="s">
        <v>23141</v>
      </c>
      <c r="B10639" s="79"/>
      <c r="C10639" s="33" t="s">
        <v>11384</v>
      </c>
      <c r="E10639" s="46" t="s">
        <v>1348</v>
      </c>
    </row>
    <row r="10640">
      <c r="A10640" s="56" t="s">
        <v>23143</v>
      </c>
      <c r="B10640" s="79"/>
      <c r="C10640" s="33" t="s">
        <v>11384</v>
      </c>
      <c r="E10640" s="46" t="s">
        <v>1348</v>
      </c>
    </row>
    <row r="10641">
      <c r="A10641" s="56" t="s">
        <v>23144</v>
      </c>
      <c r="B10641" s="79"/>
      <c r="C10641" s="33" t="s">
        <v>11389</v>
      </c>
      <c r="E10641" s="46" t="s">
        <v>1348</v>
      </c>
    </row>
    <row r="10642">
      <c r="A10642" s="56" t="s">
        <v>23146</v>
      </c>
      <c r="B10642" s="21"/>
      <c r="C10642" s="33" t="s">
        <v>11391</v>
      </c>
      <c r="E10642" s="46" t="s">
        <v>7616</v>
      </c>
    </row>
    <row r="10643">
      <c r="A10643" s="56" t="s">
        <v>23147</v>
      </c>
      <c r="B10643" s="21"/>
      <c r="C10643" s="33" t="s">
        <v>11391</v>
      </c>
      <c r="E10643" s="46" t="s">
        <v>7618</v>
      </c>
    </row>
    <row r="10644">
      <c r="A10644" s="56" t="s">
        <v>23148</v>
      </c>
      <c r="B10644" s="21"/>
      <c r="C10644" s="33" t="s">
        <v>11394</v>
      </c>
      <c r="E10644" s="46" t="s">
        <v>7616</v>
      </c>
    </row>
    <row r="10645">
      <c r="A10645" s="56" t="s">
        <v>23150</v>
      </c>
      <c r="B10645" s="21"/>
      <c r="C10645" s="33" t="s">
        <v>11394</v>
      </c>
      <c r="E10645" s="46" t="s">
        <v>7618</v>
      </c>
    </row>
    <row r="10646">
      <c r="A10646" s="56" t="s">
        <v>23152</v>
      </c>
      <c r="B10646" s="21"/>
      <c r="C10646" s="33" t="s">
        <v>11398</v>
      </c>
      <c r="E10646" s="46" t="s">
        <v>7616</v>
      </c>
    </row>
    <row r="10647">
      <c r="A10647" s="56" t="s">
        <v>23153</v>
      </c>
      <c r="B10647" s="21"/>
      <c r="C10647" s="33" t="s">
        <v>11398</v>
      </c>
      <c r="E10647" s="46" t="s">
        <v>7618</v>
      </c>
    </row>
    <row r="10648">
      <c r="A10648" s="56" t="s">
        <v>23154</v>
      </c>
      <c r="B10648" s="21"/>
      <c r="C10648" s="33" t="s">
        <v>11391</v>
      </c>
      <c r="E10648" s="46" t="s">
        <v>7616</v>
      </c>
    </row>
    <row r="10649">
      <c r="A10649" s="56" t="s">
        <v>23155</v>
      </c>
      <c r="B10649" s="21"/>
      <c r="C10649" s="33" t="s">
        <v>11391</v>
      </c>
      <c r="E10649" s="46" t="s">
        <v>7618</v>
      </c>
    </row>
    <row r="10650">
      <c r="A10650" s="56" t="s">
        <v>23158</v>
      </c>
      <c r="B10650" s="21"/>
      <c r="C10650" s="33" t="s">
        <v>11394</v>
      </c>
      <c r="E10650" s="46" t="s">
        <v>7616</v>
      </c>
    </row>
    <row r="10651">
      <c r="A10651" s="56" t="s">
        <v>23159</v>
      </c>
      <c r="B10651" s="21"/>
      <c r="C10651" s="33" t="s">
        <v>11394</v>
      </c>
      <c r="E10651" s="46" t="s">
        <v>7618</v>
      </c>
    </row>
    <row r="10652">
      <c r="A10652" s="56" t="s">
        <v>23160</v>
      </c>
      <c r="B10652" s="21"/>
      <c r="C10652" s="33" t="s">
        <v>11398</v>
      </c>
      <c r="E10652" s="46" t="s">
        <v>7616</v>
      </c>
    </row>
    <row r="10653">
      <c r="A10653" s="56" t="s">
        <v>23162</v>
      </c>
      <c r="B10653" s="21"/>
      <c r="C10653" s="33" t="s">
        <v>11398</v>
      </c>
      <c r="E10653" s="46" t="s">
        <v>7618</v>
      </c>
    </row>
    <row r="10654">
      <c r="A10654" s="56" t="s">
        <v>23163</v>
      </c>
      <c r="B10654" s="21"/>
      <c r="C10654" s="33" t="s">
        <v>11411</v>
      </c>
      <c r="E10654" s="46" t="s">
        <v>7616</v>
      </c>
    </row>
    <row r="10655">
      <c r="A10655" s="56" t="s">
        <v>23164</v>
      </c>
      <c r="B10655" s="21"/>
      <c r="C10655" s="33" t="s">
        <v>11411</v>
      </c>
      <c r="E10655" s="46" t="s">
        <v>7618</v>
      </c>
    </row>
    <row r="10656">
      <c r="A10656" s="56" t="s">
        <v>23166</v>
      </c>
      <c r="B10656" s="21"/>
      <c r="C10656" s="33" t="s">
        <v>11416</v>
      </c>
      <c r="E10656" s="46" t="s">
        <v>7616</v>
      </c>
    </row>
    <row r="10657">
      <c r="A10657" s="56" t="s">
        <v>23167</v>
      </c>
      <c r="B10657" s="21"/>
      <c r="C10657" s="33" t="s">
        <v>11416</v>
      </c>
      <c r="E10657" s="46" t="s">
        <v>7618</v>
      </c>
    </row>
    <row r="10658">
      <c r="A10658" s="56" t="s">
        <v>23168</v>
      </c>
      <c r="B10658" s="21"/>
      <c r="C10658" s="33" t="s">
        <v>11419</v>
      </c>
      <c r="E10658" s="46" t="s">
        <v>7616</v>
      </c>
    </row>
    <row r="10659">
      <c r="A10659" s="56" t="s">
        <v>23170</v>
      </c>
      <c r="B10659" s="21"/>
      <c r="C10659" s="33" t="s">
        <v>11419</v>
      </c>
      <c r="E10659" s="46" t="s">
        <v>7618</v>
      </c>
    </row>
    <row r="10660">
      <c r="A10660" s="56" t="s">
        <v>23171</v>
      </c>
      <c r="B10660" s="21"/>
      <c r="C10660" s="33" t="s">
        <v>11411</v>
      </c>
      <c r="E10660" s="46" t="s">
        <v>7616</v>
      </c>
    </row>
    <row r="10661">
      <c r="A10661" s="56" t="s">
        <v>23172</v>
      </c>
      <c r="B10661" s="21"/>
      <c r="C10661" s="33" t="s">
        <v>11411</v>
      </c>
      <c r="E10661" s="46" t="s">
        <v>7618</v>
      </c>
    </row>
    <row r="10662">
      <c r="A10662" s="56" t="s">
        <v>23175</v>
      </c>
      <c r="B10662" s="21"/>
      <c r="C10662" s="33" t="s">
        <v>11416</v>
      </c>
      <c r="E10662" s="46" t="s">
        <v>7616</v>
      </c>
    </row>
    <row r="10663">
      <c r="A10663" s="56" t="s">
        <v>23176</v>
      </c>
      <c r="B10663" s="21"/>
      <c r="C10663" s="33" t="s">
        <v>11416</v>
      </c>
      <c r="E10663" s="46" t="s">
        <v>7618</v>
      </c>
    </row>
    <row r="10664">
      <c r="A10664" s="56" t="s">
        <v>23177</v>
      </c>
      <c r="B10664" s="21"/>
      <c r="C10664" s="33" t="s">
        <v>11419</v>
      </c>
      <c r="E10664" s="46" t="s">
        <v>7616</v>
      </c>
    </row>
    <row r="10665">
      <c r="A10665" s="56" t="s">
        <v>23179</v>
      </c>
      <c r="B10665" s="21"/>
      <c r="C10665" s="33" t="s">
        <v>11419</v>
      </c>
      <c r="E10665" s="46" t="s">
        <v>7618</v>
      </c>
    </row>
    <row r="10666">
      <c r="A10666" s="56" t="s">
        <v>23180</v>
      </c>
      <c r="B10666" s="82"/>
      <c r="C10666" s="33" t="s">
        <v>23181</v>
      </c>
    </row>
    <row r="10667">
      <c r="A10667" s="56" t="s">
        <v>23183</v>
      </c>
      <c r="B10667" s="82"/>
      <c r="C10667" s="33" t="s">
        <v>11373</v>
      </c>
      <c r="E10667" s="46" t="s">
        <v>7616</v>
      </c>
    </row>
    <row r="10668">
      <c r="A10668" s="56" t="s">
        <v>23185</v>
      </c>
      <c r="B10668" s="82"/>
      <c r="C10668" s="33" t="s">
        <v>11373</v>
      </c>
      <c r="E10668" s="46" t="s">
        <v>7618</v>
      </c>
    </row>
    <row r="10669">
      <c r="A10669" s="56" t="s">
        <v>23186</v>
      </c>
      <c r="B10669" s="82"/>
      <c r="C10669" s="33" t="s">
        <v>11376</v>
      </c>
      <c r="E10669" s="46" t="s">
        <v>7616</v>
      </c>
    </row>
    <row r="10670">
      <c r="A10670" s="56" t="s">
        <v>23187</v>
      </c>
      <c r="B10670" s="82"/>
      <c r="C10670" s="33" t="s">
        <v>11376</v>
      </c>
      <c r="E10670" s="46" t="s">
        <v>7618</v>
      </c>
    </row>
    <row r="10671">
      <c r="A10671" s="56" t="s">
        <v>23188</v>
      </c>
      <c r="B10671" s="82"/>
      <c r="C10671" s="33" t="s">
        <v>11380</v>
      </c>
      <c r="E10671" s="46" t="s">
        <v>7616</v>
      </c>
    </row>
    <row r="10672">
      <c r="A10672" s="56" t="s">
        <v>23190</v>
      </c>
      <c r="B10672" s="82"/>
      <c r="C10672" s="33" t="s">
        <v>11380</v>
      </c>
      <c r="E10672" s="46" t="s">
        <v>7618</v>
      </c>
    </row>
    <row r="10673">
      <c r="A10673" s="56" t="s">
        <v>23192</v>
      </c>
      <c r="B10673" s="79"/>
      <c r="C10673" s="33" t="s">
        <v>11384</v>
      </c>
      <c r="E10673" s="46" t="s">
        <v>1348</v>
      </c>
    </row>
    <row r="10674">
      <c r="A10674" s="56" t="s">
        <v>23193</v>
      </c>
      <c r="B10674" s="79"/>
      <c r="C10674" s="33" t="s">
        <v>11384</v>
      </c>
      <c r="E10674" s="46" t="s">
        <v>1348</v>
      </c>
    </row>
    <row r="10675">
      <c r="A10675" s="56" t="s">
        <v>23195</v>
      </c>
      <c r="B10675" s="79"/>
      <c r="C10675" s="33" t="s">
        <v>11389</v>
      </c>
      <c r="E10675" s="46" t="s">
        <v>1348</v>
      </c>
    </row>
    <row r="10676">
      <c r="A10676" s="56" t="s">
        <v>23196</v>
      </c>
      <c r="B10676" s="21"/>
      <c r="C10676" s="33" t="s">
        <v>11391</v>
      </c>
      <c r="E10676" s="46" t="s">
        <v>7616</v>
      </c>
    </row>
    <row r="10677">
      <c r="A10677" s="56" t="s">
        <v>23197</v>
      </c>
      <c r="B10677" s="21"/>
      <c r="C10677" s="33" t="s">
        <v>11391</v>
      </c>
      <c r="E10677" s="46" t="s">
        <v>7618</v>
      </c>
    </row>
    <row r="10678">
      <c r="A10678" s="56" t="s">
        <v>23199</v>
      </c>
      <c r="B10678" s="21"/>
      <c r="C10678" s="33" t="s">
        <v>11394</v>
      </c>
      <c r="E10678" s="46" t="s">
        <v>7616</v>
      </c>
    </row>
    <row r="10679">
      <c r="A10679" s="56" t="s">
        <v>23201</v>
      </c>
      <c r="B10679" s="21"/>
      <c r="C10679" s="33" t="s">
        <v>11394</v>
      </c>
      <c r="E10679" s="46" t="s">
        <v>7618</v>
      </c>
    </row>
    <row r="10680">
      <c r="A10680" s="56" t="s">
        <v>23202</v>
      </c>
      <c r="B10680" s="21"/>
      <c r="C10680" s="33" t="s">
        <v>11398</v>
      </c>
      <c r="E10680" s="46" t="s">
        <v>7616</v>
      </c>
    </row>
    <row r="10681">
      <c r="A10681" s="56" t="s">
        <v>23204</v>
      </c>
      <c r="B10681" s="21"/>
      <c r="C10681" s="33" t="s">
        <v>11398</v>
      </c>
      <c r="E10681" s="46" t="s">
        <v>7618</v>
      </c>
    </row>
    <row r="10682">
      <c r="A10682" s="56" t="s">
        <v>23205</v>
      </c>
      <c r="B10682" s="21"/>
      <c r="C10682" s="33" t="s">
        <v>11391</v>
      </c>
      <c r="E10682" s="46" t="s">
        <v>7616</v>
      </c>
    </row>
    <row r="10683">
      <c r="A10683" s="56" t="s">
        <v>23206</v>
      </c>
      <c r="B10683" s="21"/>
      <c r="C10683" s="33" t="s">
        <v>11391</v>
      </c>
      <c r="E10683" s="46" t="s">
        <v>7618</v>
      </c>
    </row>
    <row r="10684">
      <c r="A10684" s="56" t="s">
        <v>23207</v>
      </c>
      <c r="B10684" s="21"/>
      <c r="C10684" s="33" t="s">
        <v>11394</v>
      </c>
      <c r="E10684" s="46" t="s">
        <v>7616</v>
      </c>
    </row>
    <row r="10685">
      <c r="A10685" s="56" t="s">
        <v>23210</v>
      </c>
      <c r="B10685" s="21"/>
      <c r="C10685" s="33" t="s">
        <v>11394</v>
      </c>
      <c r="E10685" s="46" t="s">
        <v>7618</v>
      </c>
    </row>
    <row r="10686">
      <c r="A10686" s="56" t="s">
        <v>23211</v>
      </c>
      <c r="B10686" s="21"/>
      <c r="C10686" s="33" t="s">
        <v>11398</v>
      </c>
      <c r="E10686" s="46" t="s">
        <v>7616</v>
      </c>
    </row>
    <row r="10687">
      <c r="A10687" s="56" t="s">
        <v>23212</v>
      </c>
      <c r="B10687" s="21"/>
      <c r="C10687" s="33" t="s">
        <v>11398</v>
      </c>
      <c r="E10687" s="46" t="s">
        <v>7618</v>
      </c>
    </row>
    <row r="10688">
      <c r="A10688" s="56" t="s">
        <v>23214</v>
      </c>
      <c r="B10688" s="21"/>
      <c r="C10688" s="33" t="s">
        <v>11411</v>
      </c>
      <c r="E10688" s="46" t="s">
        <v>7616</v>
      </c>
    </row>
    <row r="10689">
      <c r="A10689" s="56" t="s">
        <v>23215</v>
      </c>
      <c r="B10689" s="21"/>
      <c r="C10689" s="33" t="s">
        <v>11411</v>
      </c>
      <c r="E10689" s="46" t="s">
        <v>7618</v>
      </c>
    </row>
    <row r="10690">
      <c r="A10690" s="56" t="s">
        <v>23216</v>
      </c>
      <c r="B10690" s="21"/>
      <c r="C10690" s="33" t="s">
        <v>11416</v>
      </c>
      <c r="E10690" s="46" t="s">
        <v>7616</v>
      </c>
    </row>
    <row r="10691">
      <c r="A10691" s="56" t="s">
        <v>23219</v>
      </c>
      <c r="B10691" s="21"/>
      <c r="C10691" s="33" t="s">
        <v>11416</v>
      </c>
      <c r="E10691" s="46" t="s">
        <v>7618</v>
      </c>
    </row>
    <row r="10692">
      <c r="A10692" s="56" t="s">
        <v>23220</v>
      </c>
      <c r="B10692" s="21"/>
      <c r="C10692" s="33" t="s">
        <v>11419</v>
      </c>
      <c r="E10692" s="46" t="s">
        <v>7616</v>
      </c>
    </row>
    <row r="10693">
      <c r="A10693" s="56" t="s">
        <v>23221</v>
      </c>
      <c r="B10693" s="21"/>
      <c r="C10693" s="33" t="s">
        <v>11419</v>
      </c>
      <c r="E10693" s="46" t="s">
        <v>7618</v>
      </c>
    </row>
    <row r="10694">
      <c r="A10694" s="56" t="s">
        <v>23222</v>
      </c>
      <c r="B10694" s="21"/>
      <c r="C10694" s="33" t="s">
        <v>11411</v>
      </c>
      <c r="E10694" s="46" t="s">
        <v>7616</v>
      </c>
    </row>
    <row r="10695">
      <c r="A10695" s="56" t="s">
        <v>23225</v>
      </c>
      <c r="B10695" s="21"/>
      <c r="C10695" s="33" t="s">
        <v>11411</v>
      </c>
      <c r="E10695" s="46" t="s">
        <v>7618</v>
      </c>
    </row>
    <row r="10696">
      <c r="A10696" s="56" t="s">
        <v>23226</v>
      </c>
      <c r="B10696" s="21"/>
      <c r="C10696" s="33" t="s">
        <v>11416</v>
      </c>
      <c r="E10696" s="46" t="s">
        <v>7616</v>
      </c>
    </row>
    <row r="10697">
      <c r="A10697" s="56" t="s">
        <v>23227</v>
      </c>
      <c r="B10697" s="21"/>
      <c r="C10697" s="33" t="s">
        <v>11416</v>
      </c>
      <c r="E10697" s="46" t="s">
        <v>7618</v>
      </c>
    </row>
    <row r="10698">
      <c r="A10698" s="56" t="s">
        <v>23229</v>
      </c>
      <c r="B10698" s="21"/>
      <c r="C10698" s="33" t="s">
        <v>11419</v>
      </c>
      <c r="E10698" s="46" t="s">
        <v>7616</v>
      </c>
    </row>
    <row r="10699">
      <c r="A10699" s="56" t="s">
        <v>23231</v>
      </c>
      <c r="B10699" s="21"/>
      <c r="C10699" s="33" t="s">
        <v>11419</v>
      </c>
      <c r="E10699" s="46" t="s">
        <v>7618</v>
      </c>
    </row>
    <row r="10700">
      <c r="A10700" s="56" t="s">
        <v>23233</v>
      </c>
      <c r="B10700" s="55"/>
      <c r="C10700" s="31"/>
    </row>
    <row r="10701">
      <c r="A10701" s="56" t="s">
        <v>23235</v>
      </c>
      <c r="B10701" s="55"/>
      <c r="C10701" s="31"/>
    </row>
    <row r="10702">
      <c r="A10702" s="56" t="s">
        <v>23236</v>
      </c>
      <c r="B10702" s="55"/>
      <c r="C10702" s="31"/>
    </row>
    <row r="10703">
      <c r="A10703" s="56" t="s">
        <v>23237</v>
      </c>
      <c r="B10703" s="55"/>
      <c r="C10703" s="31"/>
    </row>
    <row r="10704">
      <c r="A10704" s="56" t="s">
        <v>23238</v>
      </c>
      <c r="B10704" s="82"/>
      <c r="C10704" s="33" t="s">
        <v>23239</v>
      </c>
    </row>
    <row r="10705">
      <c r="A10705" s="56" t="s">
        <v>23240</v>
      </c>
      <c r="B10705" s="55"/>
      <c r="C10705" s="31"/>
    </row>
    <row r="10706">
      <c r="A10706" s="56" t="s">
        <v>23242</v>
      </c>
      <c r="B10706" s="55"/>
      <c r="C10706" s="31"/>
    </row>
    <row r="10707">
      <c r="A10707" s="56" t="s">
        <v>23243</v>
      </c>
      <c r="B10707" s="55"/>
      <c r="C10707" s="31"/>
    </row>
    <row r="10708">
      <c r="A10708" s="56" t="s">
        <v>23244</v>
      </c>
      <c r="B10708" s="55"/>
      <c r="C10708" s="31"/>
    </row>
    <row r="10709">
      <c r="A10709" s="56" t="s">
        <v>23245</v>
      </c>
      <c r="B10709" s="82"/>
      <c r="C10709" s="33" t="s">
        <v>23247</v>
      </c>
    </row>
    <row r="10710">
      <c r="A10710" s="56" t="s">
        <v>23249</v>
      </c>
      <c r="B10710" s="55"/>
      <c r="C10710" s="31"/>
    </row>
    <row r="10711">
      <c r="A10711" s="56" t="s">
        <v>23250</v>
      </c>
      <c r="B10711" s="55"/>
      <c r="C10711" s="31"/>
    </row>
    <row r="10712">
      <c r="A10712" s="56" t="s">
        <v>23251</v>
      </c>
      <c r="B10712" s="55"/>
      <c r="C10712" s="31"/>
    </row>
    <row r="10713">
      <c r="A10713" s="56" t="s">
        <v>23252</v>
      </c>
      <c r="B10713" s="55"/>
      <c r="C10713" s="31"/>
    </row>
    <row r="10714">
      <c r="A10714" s="56" t="s">
        <v>23254</v>
      </c>
      <c r="B10714" s="55"/>
      <c r="C10714" s="31"/>
    </row>
    <row r="10715">
      <c r="A10715" s="56" t="s">
        <v>23255</v>
      </c>
      <c r="B10715" s="55"/>
      <c r="C10715" s="31"/>
    </row>
    <row r="10716">
      <c r="A10716" s="56" t="s">
        <v>23256</v>
      </c>
      <c r="B10716" s="82"/>
      <c r="C10716" s="33" t="s">
        <v>23257</v>
      </c>
    </row>
    <row r="10717">
      <c r="A10717" s="56" t="s">
        <v>23259</v>
      </c>
      <c r="B10717" s="55"/>
      <c r="C10717" s="31"/>
    </row>
    <row r="10718">
      <c r="A10718" s="56" t="s">
        <v>23260</v>
      </c>
      <c r="B10718" s="55"/>
      <c r="C10718" s="31"/>
    </row>
    <row r="10719">
      <c r="A10719" s="56" t="s">
        <v>23262</v>
      </c>
      <c r="B10719" s="55"/>
      <c r="C10719" s="31"/>
    </row>
    <row r="10720">
      <c r="A10720" s="56" t="s">
        <v>23263</v>
      </c>
      <c r="B10720" s="55"/>
      <c r="C10720" s="31"/>
    </row>
    <row r="10721">
      <c r="A10721" s="56" t="s">
        <v>23264</v>
      </c>
      <c r="B10721" s="55"/>
      <c r="C10721" s="31"/>
    </row>
    <row r="10722">
      <c r="A10722" s="56" t="s">
        <v>23265</v>
      </c>
      <c r="B10722" s="55"/>
      <c r="C10722" s="31"/>
    </row>
    <row r="10723">
      <c r="A10723" s="56" t="s">
        <v>23267</v>
      </c>
      <c r="B10723" s="55"/>
      <c r="C10723" s="31"/>
    </row>
    <row r="10724">
      <c r="A10724" s="56" t="s">
        <v>23269</v>
      </c>
      <c r="B10724" s="82"/>
      <c r="C10724" s="33" t="s">
        <v>23271</v>
      </c>
    </row>
    <row r="10725">
      <c r="A10725" s="56" t="s">
        <v>23272</v>
      </c>
      <c r="B10725" s="55"/>
      <c r="C10725" s="31"/>
    </row>
    <row r="10726">
      <c r="A10726" s="56" t="s">
        <v>23273</v>
      </c>
      <c r="B10726" s="55"/>
      <c r="C10726" s="31"/>
    </row>
    <row r="10727">
      <c r="A10727" s="56" t="s">
        <v>23275</v>
      </c>
      <c r="B10727" s="55"/>
      <c r="C10727" s="31"/>
    </row>
    <row r="10728">
      <c r="A10728" s="56" t="s">
        <v>23277</v>
      </c>
      <c r="B10728" s="82"/>
      <c r="C10728" s="33" t="s">
        <v>23279</v>
      </c>
    </row>
    <row r="10729">
      <c r="A10729" s="56" t="s">
        <v>23280</v>
      </c>
      <c r="B10729" s="55"/>
      <c r="C10729" s="31"/>
    </row>
    <row r="10730">
      <c r="A10730" s="56" t="s">
        <v>23281</v>
      </c>
      <c r="B10730" s="55"/>
      <c r="C10730" s="31"/>
    </row>
    <row r="10731">
      <c r="A10731" s="56" t="s">
        <v>23282</v>
      </c>
      <c r="B10731" s="55"/>
      <c r="C10731" s="31"/>
    </row>
    <row r="10732">
      <c r="A10732" s="56" t="s">
        <v>23283</v>
      </c>
      <c r="B10732" s="55"/>
      <c r="C10732" s="31"/>
    </row>
    <row r="10733">
      <c r="A10733" s="56" t="s">
        <v>23285</v>
      </c>
      <c r="B10733" s="55"/>
      <c r="C10733" s="31"/>
    </row>
    <row r="10734">
      <c r="A10734" s="56" t="s">
        <v>23287</v>
      </c>
      <c r="B10734" s="55"/>
      <c r="C10734" s="31"/>
    </row>
    <row r="10735">
      <c r="A10735" s="56" t="s">
        <v>23289</v>
      </c>
      <c r="B10735" s="55"/>
      <c r="C10735" s="31"/>
    </row>
    <row r="10736">
      <c r="A10736" s="56" t="s">
        <v>23290</v>
      </c>
      <c r="B10736" s="82"/>
      <c r="C10736" s="33" t="s">
        <v>23292</v>
      </c>
    </row>
    <row r="10737">
      <c r="A10737" s="56" t="s">
        <v>23294</v>
      </c>
      <c r="B10737" s="55"/>
      <c r="C10737" s="31"/>
    </row>
    <row r="10738">
      <c r="A10738" s="56" t="s">
        <v>23296</v>
      </c>
      <c r="B10738" s="55"/>
      <c r="C10738" s="31"/>
    </row>
    <row r="10739">
      <c r="A10739" s="56" t="s">
        <v>23297</v>
      </c>
      <c r="B10739" s="55"/>
      <c r="C10739" s="31"/>
    </row>
    <row r="10740">
      <c r="A10740" s="56" t="s">
        <v>23298</v>
      </c>
      <c r="B10740" s="82"/>
      <c r="C10740" s="33" t="s">
        <v>23299</v>
      </c>
    </row>
    <row r="10741">
      <c r="A10741" s="56" t="s">
        <v>23300</v>
      </c>
      <c r="B10741" s="55"/>
      <c r="C10741" s="31"/>
    </row>
    <row r="10742">
      <c r="A10742" s="56" t="s">
        <v>23301</v>
      </c>
      <c r="B10742" s="55"/>
      <c r="C10742" s="31"/>
    </row>
    <row r="10743">
      <c r="A10743" s="56" t="s">
        <v>23303</v>
      </c>
      <c r="B10743" s="55"/>
      <c r="C10743" s="31"/>
    </row>
    <row r="10744">
      <c r="A10744" s="56" t="s">
        <v>23305</v>
      </c>
      <c r="B10744" s="82"/>
      <c r="C10744" s="33" t="s">
        <v>23306</v>
      </c>
    </row>
    <row r="10745">
      <c r="A10745" s="56" t="s">
        <v>23307</v>
      </c>
      <c r="B10745" s="55"/>
      <c r="C10745" s="31"/>
    </row>
    <row r="10746">
      <c r="A10746" s="56" t="s">
        <v>23309</v>
      </c>
      <c r="B10746" s="55"/>
      <c r="C10746" s="31"/>
    </row>
    <row r="10747">
      <c r="A10747" s="56" t="s">
        <v>23312</v>
      </c>
      <c r="B10747" s="55"/>
      <c r="C10747" s="31"/>
    </row>
    <row r="10748">
      <c r="A10748" s="56" t="s">
        <v>23313</v>
      </c>
      <c r="B10748" s="82"/>
      <c r="C10748" s="33" t="s">
        <v>23314</v>
      </c>
    </row>
    <row r="10749">
      <c r="A10749" s="56" t="s">
        <v>23315</v>
      </c>
      <c r="B10749" s="55"/>
      <c r="C10749" s="31"/>
    </row>
    <row r="10750">
      <c r="A10750" s="56" t="s">
        <v>23316</v>
      </c>
      <c r="B10750" s="55"/>
      <c r="C10750" s="31"/>
    </row>
    <row r="10751">
      <c r="A10751" s="56" t="s">
        <v>23318</v>
      </c>
      <c r="B10751" s="55"/>
      <c r="C10751" s="31"/>
    </row>
    <row r="10752">
      <c r="A10752" s="56" t="s">
        <v>23322</v>
      </c>
      <c r="B10752" s="55"/>
      <c r="C10752" s="31"/>
    </row>
    <row r="10753">
      <c r="A10753" s="56" t="s">
        <v>23325</v>
      </c>
      <c r="B10753" s="55"/>
      <c r="C10753" s="31"/>
    </row>
    <row r="10754">
      <c r="A10754" s="56" t="s">
        <v>23326</v>
      </c>
      <c r="B10754" s="55"/>
      <c r="C10754" s="31"/>
    </row>
    <row r="10755">
      <c r="A10755" s="56" t="s">
        <v>23327</v>
      </c>
      <c r="B10755" s="55"/>
      <c r="C10755" s="31"/>
    </row>
    <row r="10756">
      <c r="A10756" s="56" t="s">
        <v>23328</v>
      </c>
      <c r="B10756" s="55"/>
      <c r="C10756" s="31"/>
    </row>
    <row r="10757">
      <c r="A10757" s="56" t="s">
        <v>23330</v>
      </c>
      <c r="B10757" s="55"/>
      <c r="C10757" s="31"/>
    </row>
    <row r="10758">
      <c r="A10758" s="56" t="s">
        <v>23331</v>
      </c>
      <c r="B10758" s="55"/>
      <c r="C10758" s="31"/>
    </row>
    <row r="10759">
      <c r="A10759" s="56" t="s">
        <v>23332</v>
      </c>
      <c r="B10759" s="55"/>
      <c r="C10759" s="31"/>
    </row>
    <row r="10760">
      <c r="A10760" s="56" t="s">
        <v>23334</v>
      </c>
      <c r="B10760" s="55"/>
      <c r="C10760" s="31"/>
    </row>
    <row r="10761">
      <c r="A10761" s="56" t="s">
        <v>23336</v>
      </c>
      <c r="B10761" s="55"/>
      <c r="C10761" s="31"/>
    </row>
    <row r="10762">
      <c r="A10762" s="56" t="s">
        <v>23337</v>
      </c>
      <c r="B10762" s="55"/>
      <c r="C10762" s="31"/>
    </row>
    <row r="10763">
      <c r="A10763" s="56" t="s">
        <v>23338</v>
      </c>
      <c r="B10763" s="55"/>
      <c r="C10763" s="31"/>
    </row>
    <row r="10764">
      <c r="A10764" s="56" t="s">
        <v>23339</v>
      </c>
      <c r="B10764" s="55"/>
      <c r="C10764" s="31"/>
    </row>
    <row r="10765">
      <c r="A10765" s="56" t="s">
        <v>23340</v>
      </c>
      <c r="B10765" s="55"/>
      <c r="C10765" s="31"/>
    </row>
    <row r="10766">
      <c r="A10766" s="56" t="s">
        <v>23342</v>
      </c>
      <c r="B10766" s="55"/>
      <c r="C10766" s="31"/>
    </row>
    <row r="10767">
      <c r="A10767" s="56" t="s">
        <v>23344</v>
      </c>
      <c r="B10767" s="55"/>
      <c r="C10767" s="31"/>
    </row>
    <row r="10768">
      <c r="A10768" s="56" t="s">
        <v>23345</v>
      </c>
      <c r="B10768" s="55"/>
      <c r="C10768" s="31"/>
    </row>
    <row r="10769">
      <c r="A10769" s="56" t="s">
        <v>23346</v>
      </c>
      <c r="B10769" s="55"/>
      <c r="C10769" s="31"/>
    </row>
    <row r="10770">
      <c r="A10770" s="56" t="s">
        <v>23348</v>
      </c>
      <c r="B10770" s="55"/>
      <c r="C10770" s="31"/>
    </row>
    <row r="10771">
      <c r="A10771" s="56" t="s">
        <v>23349</v>
      </c>
      <c r="B10771" s="55"/>
      <c r="C10771" s="31"/>
    </row>
    <row r="10772">
      <c r="A10772" s="56" t="s">
        <v>23350</v>
      </c>
      <c r="B10772" s="55"/>
      <c r="C10772" s="31"/>
    </row>
    <row r="10773">
      <c r="A10773" s="56" t="s">
        <v>23351</v>
      </c>
      <c r="B10773" s="55"/>
      <c r="C10773" s="31"/>
    </row>
    <row r="10774">
      <c r="A10774" s="56" t="s">
        <v>23352</v>
      </c>
      <c r="B10774" s="55"/>
      <c r="C10774" s="31"/>
    </row>
    <row r="10775">
      <c r="A10775" s="56" t="s">
        <v>23354</v>
      </c>
      <c r="B10775" s="55"/>
      <c r="C10775" s="31"/>
    </row>
    <row r="10776">
      <c r="A10776" s="56" t="s">
        <v>23355</v>
      </c>
      <c r="B10776" s="55"/>
      <c r="C10776" s="31"/>
    </row>
    <row r="10777">
      <c r="A10777" s="56" t="s">
        <v>23357</v>
      </c>
      <c r="B10777" s="55"/>
      <c r="C10777" s="31"/>
    </row>
    <row r="10778">
      <c r="A10778" s="56" t="s">
        <v>23358</v>
      </c>
      <c r="B10778" s="55"/>
      <c r="C10778" s="31"/>
    </row>
    <row r="10779">
      <c r="A10779" s="56" t="s">
        <v>23359</v>
      </c>
      <c r="B10779" s="55"/>
      <c r="C10779" s="31"/>
    </row>
    <row r="10780">
      <c r="A10780" s="56" t="s">
        <v>23360</v>
      </c>
      <c r="B10780" s="82"/>
      <c r="C10780" s="33" t="s">
        <v>23361</v>
      </c>
    </row>
    <row r="10781">
      <c r="A10781" s="56" t="s">
        <v>23362</v>
      </c>
      <c r="B10781" s="55"/>
      <c r="C10781" s="31"/>
    </row>
    <row r="10782">
      <c r="A10782" s="56" t="s">
        <v>23363</v>
      </c>
      <c r="B10782" s="55"/>
      <c r="C10782" s="31"/>
    </row>
    <row r="10783">
      <c r="A10783" s="56" t="s">
        <v>23364</v>
      </c>
      <c r="B10783" s="55"/>
      <c r="C10783" s="31"/>
    </row>
    <row r="10784">
      <c r="A10784" s="56" t="s">
        <v>23366</v>
      </c>
      <c r="B10784" s="55"/>
      <c r="C10784" s="31"/>
    </row>
    <row r="10785">
      <c r="A10785" s="56" t="s">
        <v>23368</v>
      </c>
      <c r="B10785" s="55"/>
      <c r="C10785" s="31"/>
    </row>
    <row r="10786">
      <c r="A10786" s="56" t="s">
        <v>23369</v>
      </c>
      <c r="B10786" s="55"/>
      <c r="C10786" s="31"/>
    </row>
    <row r="10787">
      <c r="A10787" s="56" t="s">
        <v>23370</v>
      </c>
      <c r="B10787" s="55"/>
      <c r="C10787" s="31"/>
    </row>
    <row r="10788">
      <c r="A10788" s="56" t="s">
        <v>23371</v>
      </c>
      <c r="B10788" s="55"/>
      <c r="C10788" s="31"/>
    </row>
    <row r="10789">
      <c r="A10789" s="56" t="s">
        <v>23373</v>
      </c>
      <c r="B10789" s="55"/>
      <c r="C10789" s="31"/>
    </row>
    <row r="10790">
      <c r="A10790" s="56" t="s">
        <v>23374</v>
      </c>
      <c r="B10790" s="55"/>
      <c r="C10790" s="31"/>
    </row>
    <row r="10791">
      <c r="A10791" s="56" t="s">
        <v>23375</v>
      </c>
      <c r="B10791" s="55"/>
      <c r="C10791" s="31"/>
    </row>
    <row r="10792">
      <c r="A10792" s="56" t="s">
        <v>23376</v>
      </c>
      <c r="B10792" s="55"/>
      <c r="C10792" s="31"/>
    </row>
    <row r="10793">
      <c r="A10793" s="56" t="s">
        <v>23377</v>
      </c>
      <c r="B10793" s="55"/>
      <c r="C10793" s="31"/>
    </row>
    <row r="10794">
      <c r="A10794" s="56" t="s">
        <v>23378</v>
      </c>
      <c r="B10794" s="82"/>
      <c r="C10794" s="33" t="s">
        <v>23379</v>
      </c>
    </row>
    <row r="10795">
      <c r="A10795" s="56" t="s">
        <v>23380</v>
      </c>
      <c r="B10795" s="55"/>
      <c r="C10795" s="31"/>
    </row>
    <row r="10796">
      <c r="A10796" s="56" t="s">
        <v>23383</v>
      </c>
      <c r="B10796" s="55"/>
      <c r="C10796" s="31"/>
    </row>
    <row r="10797">
      <c r="A10797" s="56" t="s">
        <v>23384</v>
      </c>
      <c r="B10797" s="55"/>
      <c r="C10797" s="31"/>
    </row>
    <row r="10798">
      <c r="A10798" s="56" t="s">
        <v>23385</v>
      </c>
      <c r="B10798" s="55"/>
      <c r="C10798" s="31"/>
    </row>
    <row r="10799">
      <c r="A10799" s="56" t="s">
        <v>23386</v>
      </c>
      <c r="B10799" s="55"/>
      <c r="C10799" s="31"/>
    </row>
    <row r="10800">
      <c r="A10800" s="56" t="s">
        <v>23387</v>
      </c>
      <c r="B10800" s="55"/>
      <c r="C10800" s="31"/>
    </row>
    <row r="10801">
      <c r="A10801" s="56" t="s">
        <v>23388</v>
      </c>
      <c r="B10801" s="55"/>
      <c r="C10801" s="31"/>
    </row>
    <row r="10802">
      <c r="A10802" s="56" t="s">
        <v>23389</v>
      </c>
      <c r="B10802" s="55"/>
      <c r="C10802" s="31"/>
    </row>
    <row r="10803">
      <c r="A10803" s="56" t="s">
        <v>23391</v>
      </c>
      <c r="B10803" s="55"/>
      <c r="C10803" s="31"/>
    </row>
    <row r="10804">
      <c r="A10804" s="56" t="s">
        <v>23392</v>
      </c>
      <c r="B10804" s="55"/>
      <c r="C10804" s="31"/>
    </row>
    <row r="10805">
      <c r="A10805" s="56" t="s">
        <v>23393</v>
      </c>
      <c r="B10805" s="55"/>
      <c r="C10805" s="31"/>
    </row>
    <row r="10806">
      <c r="A10806" s="56" t="s">
        <v>23394</v>
      </c>
      <c r="B10806" s="55"/>
      <c r="C10806" s="31"/>
    </row>
    <row r="10807">
      <c r="A10807" s="56" t="s">
        <v>23396</v>
      </c>
      <c r="B10807" s="55"/>
      <c r="C10807" s="31"/>
    </row>
    <row r="10808">
      <c r="A10808" s="56" t="s">
        <v>23397</v>
      </c>
      <c r="B10808" s="55"/>
      <c r="C10808" s="31"/>
    </row>
    <row r="10809">
      <c r="A10809" s="56" t="s">
        <v>23399</v>
      </c>
      <c r="B10809" s="55"/>
      <c r="C10809" s="31"/>
    </row>
    <row r="10810">
      <c r="A10810" s="56" t="s">
        <v>23400</v>
      </c>
      <c r="B10810" s="55"/>
      <c r="C10810" s="31"/>
    </row>
    <row r="10811">
      <c r="A10811" s="56" t="s">
        <v>23401</v>
      </c>
      <c r="B10811" s="55"/>
      <c r="C10811" s="31"/>
    </row>
    <row r="10812">
      <c r="A10812" s="56" t="s">
        <v>23402</v>
      </c>
      <c r="B10812" s="55"/>
      <c r="C10812" s="31"/>
    </row>
    <row r="10813">
      <c r="A10813" s="56" t="s">
        <v>23403</v>
      </c>
      <c r="B10813" s="55"/>
      <c r="C10813" s="31"/>
    </row>
    <row r="10814">
      <c r="A10814" s="56" t="s">
        <v>23404</v>
      </c>
      <c r="B10814" s="55"/>
      <c r="C10814" s="31"/>
    </row>
    <row r="10815">
      <c r="A10815" s="56" t="s">
        <v>23405</v>
      </c>
      <c r="B10815" s="55"/>
      <c r="C10815" s="31"/>
    </row>
    <row r="10816">
      <c r="A10816" s="56" t="s">
        <v>23407</v>
      </c>
      <c r="B10816" s="55"/>
      <c r="C10816" s="31"/>
    </row>
    <row r="10817">
      <c r="A10817" s="56" t="s">
        <v>23409</v>
      </c>
      <c r="B10817" s="55"/>
      <c r="C10817" s="31"/>
    </row>
    <row r="10818">
      <c r="A10818" s="56" t="s">
        <v>23410</v>
      </c>
      <c r="B10818" s="55"/>
      <c r="C10818" s="31"/>
    </row>
    <row r="10819">
      <c r="A10819" s="56" t="s">
        <v>23411</v>
      </c>
      <c r="B10819" s="55"/>
      <c r="C10819" s="31"/>
    </row>
    <row r="10820">
      <c r="A10820" s="56" t="s">
        <v>23412</v>
      </c>
      <c r="B10820" s="55"/>
      <c r="C10820" s="31"/>
    </row>
    <row r="10821">
      <c r="A10821" s="56" t="s">
        <v>23413</v>
      </c>
      <c r="B10821" s="55"/>
      <c r="C10821" s="31"/>
    </row>
    <row r="10822">
      <c r="A10822" s="56" t="s">
        <v>23414</v>
      </c>
      <c r="B10822" s="55"/>
      <c r="C10822" s="31"/>
    </row>
    <row r="10823">
      <c r="A10823" s="56" t="s">
        <v>23416</v>
      </c>
      <c r="B10823" s="55"/>
      <c r="C10823" s="31"/>
    </row>
    <row r="10824">
      <c r="A10824" s="56" t="s">
        <v>23417</v>
      </c>
      <c r="B10824" s="55"/>
      <c r="C10824" s="31"/>
    </row>
    <row r="10825">
      <c r="A10825" s="56" t="s">
        <v>23418</v>
      </c>
      <c r="B10825" s="55"/>
      <c r="C10825" s="31"/>
    </row>
    <row r="10826">
      <c r="A10826" s="56" t="s">
        <v>23419</v>
      </c>
      <c r="B10826" s="55"/>
      <c r="C10826" s="31"/>
    </row>
    <row r="10827">
      <c r="A10827" s="56" t="s">
        <v>23420</v>
      </c>
      <c r="B10827" s="55"/>
      <c r="C10827" s="31"/>
    </row>
    <row r="10828">
      <c r="A10828" s="56" t="s">
        <v>23422</v>
      </c>
      <c r="B10828" s="55"/>
      <c r="C10828" s="31"/>
    </row>
    <row r="10829">
      <c r="A10829" s="56" t="s">
        <v>23423</v>
      </c>
      <c r="B10829" s="82"/>
      <c r="C10829" s="33" t="s">
        <v>23424</v>
      </c>
    </row>
    <row r="10830">
      <c r="A10830" s="56" t="s">
        <v>23426</v>
      </c>
      <c r="B10830" s="55"/>
      <c r="C10830" s="31"/>
    </row>
    <row r="10831">
      <c r="A10831" s="56" t="s">
        <v>23427</v>
      </c>
      <c r="B10831" s="55"/>
      <c r="C10831" s="31"/>
    </row>
    <row r="10832">
      <c r="A10832" s="56" t="s">
        <v>23429</v>
      </c>
      <c r="B10832" s="55"/>
      <c r="C10832" s="31"/>
    </row>
    <row r="10833">
      <c r="A10833" s="56" t="s">
        <v>23430</v>
      </c>
      <c r="B10833" s="82"/>
      <c r="C10833" s="33" t="s">
        <v>14008</v>
      </c>
    </row>
    <row r="10834">
      <c r="A10834" s="56" t="s">
        <v>23431</v>
      </c>
      <c r="B10834" s="82"/>
      <c r="C10834" s="33" t="s">
        <v>11373</v>
      </c>
      <c r="E10834" s="46" t="s">
        <v>7616</v>
      </c>
    </row>
    <row r="10835">
      <c r="A10835" s="56" t="s">
        <v>23432</v>
      </c>
      <c r="B10835" s="82"/>
      <c r="C10835" s="33" t="s">
        <v>11373</v>
      </c>
      <c r="E10835" s="46" t="s">
        <v>7618</v>
      </c>
    </row>
    <row r="10836">
      <c r="A10836" s="56" t="s">
        <v>23434</v>
      </c>
      <c r="B10836" s="82"/>
      <c r="C10836" s="33" t="s">
        <v>11376</v>
      </c>
      <c r="E10836" s="46" t="s">
        <v>7616</v>
      </c>
    </row>
    <row r="10837">
      <c r="A10837" s="56" t="s">
        <v>23436</v>
      </c>
      <c r="B10837" s="82"/>
      <c r="C10837" s="33" t="s">
        <v>11376</v>
      </c>
      <c r="E10837" s="46" t="s">
        <v>7618</v>
      </c>
    </row>
    <row r="10838">
      <c r="A10838" s="56" t="s">
        <v>23437</v>
      </c>
      <c r="B10838" s="82"/>
      <c r="C10838" s="33" t="s">
        <v>11380</v>
      </c>
      <c r="E10838" s="46" t="s">
        <v>7616</v>
      </c>
    </row>
    <row r="10839">
      <c r="A10839" s="56" t="s">
        <v>23438</v>
      </c>
      <c r="B10839" s="82"/>
      <c r="C10839" s="33" t="s">
        <v>11380</v>
      </c>
      <c r="E10839" s="46" t="s">
        <v>7618</v>
      </c>
    </row>
    <row r="10840">
      <c r="A10840" s="56" t="s">
        <v>23439</v>
      </c>
      <c r="B10840" s="79"/>
      <c r="C10840" s="33" t="s">
        <v>11384</v>
      </c>
      <c r="E10840" s="46" t="s">
        <v>1348</v>
      </c>
    </row>
    <row r="10841">
      <c r="A10841" s="56" t="s">
        <v>23440</v>
      </c>
      <c r="B10841" s="79"/>
      <c r="C10841" s="33" t="s">
        <v>11384</v>
      </c>
      <c r="E10841" s="46" t="s">
        <v>1348</v>
      </c>
    </row>
    <row r="10842">
      <c r="A10842" s="56" t="s">
        <v>23442</v>
      </c>
      <c r="B10842" s="79"/>
      <c r="C10842" s="33" t="s">
        <v>11389</v>
      </c>
      <c r="E10842" s="46" t="s">
        <v>1348</v>
      </c>
    </row>
    <row r="10843">
      <c r="A10843" s="56" t="s">
        <v>23443</v>
      </c>
      <c r="B10843" s="21"/>
      <c r="C10843" s="33" t="s">
        <v>11391</v>
      </c>
      <c r="E10843" s="46" t="s">
        <v>7616</v>
      </c>
    </row>
    <row r="10844">
      <c r="A10844" s="56" t="s">
        <v>23445</v>
      </c>
      <c r="B10844" s="21"/>
      <c r="C10844" s="33" t="s">
        <v>11391</v>
      </c>
      <c r="E10844" s="46" t="s">
        <v>7618</v>
      </c>
    </row>
    <row r="10845">
      <c r="A10845" s="56" t="s">
        <v>23446</v>
      </c>
      <c r="B10845" s="21"/>
      <c r="C10845" s="33" t="s">
        <v>11394</v>
      </c>
      <c r="E10845" s="46" t="s">
        <v>7616</v>
      </c>
    </row>
    <row r="10846">
      <c r="A10846" s="56" t="s">
        <v>23448</v>
      </c>
      <c r="B10846" s="21"/>
      <c r="C10846" s="33" t="s">
        <v>11394</v>
      </c>
      <c r="E10846" s="46" t="s">
        <v>7618</v>
      </c>
    </row>
    <row r="10847">
      <c r="A10847" s="56" t="s">
        <v>23449</v>
      </c>
      <c r="B10847" s="21"/>
      <c r="C10847" s="33" t="s">
        <v>11398</v>
      </c>
      <c r="E10847" s="46" t="s">
        <v>7616</v>
      </c>
    </row>
    <row r="10848">
      <c r="A10848" s="56" t="s">
        <v>23450</v>
      </c>
      <c r="B10848" s="21"/>
      <c r="C10848" s="33" t="s">
        <v>11398</v>
      </c>
      <c r="E10848" s="46" t="s">
        <v>7618</v>
      </c>
    </row>
    <row r="10849">
      <c r="A10849" s="56" t="s">
        <v>23451</v>
      </c>
      <c r="B10849" s="21"/>
      <c r="C10849" s="33" t="s">
        <v>11391</v>
      </c>
      <c r="E10849" s="46" t="s">
        <v>7616</v>
      </c>
    </row>
    <row r="10850">
      <c r="A10850" s="56" t="s">
        <v>23452</v>
      </c>
      <c r="B10850" s="21"/>
      <c r="C10850" s="33" t="s">
        <v>11391</v>
      </c>
      <c r="E10850" s="46" t="s">
        <v>7618</v>
      </c>
    </row>
    <row r="10851">
      <c r="A10851" s="56" t="s">
        <v>23455</v>
      </c>
      <c r="B10851" s="21"/>
      <c r="C10851" s="33" t="s">
        <v>11394</v>
      </c>
      <c r="E10851" s="46" t="s">
        <v>7616</v>
      </c>
    </row>
    <row r="10852">
      <c r="A10852" s="56" t="s">
        <v>23456</v>
      </c>
      <c r="B10852" s="21"/>
      <c r="C10852" s="33" t="s">
        <v>11394</v>
      </c>
      <c r="E10852" s="46" t="s">
        <v>7618</v>
      </c>
    </row>
    <row r="10853">
      <c r="A10853" s="56" t="s">
        <v>23457</v>
      </c>
      <c r="B10853" s="21"/>
      <c r="C10853" s="33" t="s">
        <v>11398</v>
      </c>
      <c r="E10853" s="46" t="s">
        <v>7616</v>
      </c>
    </row>
    <row r="10854">
      <c r="A10854" s="56" t="s">
        <v>23458</v>
      </c>
      <c r="B10854" s="21"/>
      <c r="C10854" s="33" t="s">
        <v>11398</v>
      </c>
      <c r="E10854" s="46" t="s">
        <v>7618</v>
      </c>
    </row>
    <row r="10855">
      <c r="A10855" s="56" t="s">
        <v>23459</v>
      </c>
      <c r="B10855" s="21"/>
      <c r="C10855" s="33" t="s">
        <v>11411</v>
      </c>
      <c r="E10855" s="46" t="s">
        <v>7616</v>
      </c>
    </row>
    <row r="10856">
      <c r="A10856" s="56" t="s">
        <v>23460</v>
      </c>
      <c r="B10856" s="21"/>
      <c r="C10856" s="33" t="s">
        <v>11411</v>
      </c>
      <c r="E10856" s="46" t="s">
        <v>7618</v>
      </c>
    </row>
    <row r="10857">
      <c r="A10857" s="56" t="s">
        <v>23461</v>
      </c>
      <c r="B10857" s="21"/>
      <c r="C10857" s="33" t="s">
        <v>11416</v>
      </c>
      <c r="E10857" s="46" t="s">
        <v>7616</v>
      </c>
    </row>
    <row r="10858">
      <c r="A10858" s="56" t="s">
        <v>23462</v>
      </c>
      <c r="B10858" s="21"/>
      <c r="C10858" s="33" t="s">
        <v>11416</v>
      </c>
      <c r="E10858" s="46" t="s">
        <v>7618</v>
      </c>
    </row>
    <row r="10859">
      <c r="A10859" s="56" t="s">
        <v>23465</v>
      </c>
      <c r="B10859" s="21"/>
      <c r="C10859" s="33" t="s">
        <v>11419</v>
      </c>
      <c r="E10859" s="46" t="s">
        <v>7616</v>
      </c>
    </row>
    <row r="10860">
      <c r="A10860" s="56" t="s">
        <v>23466</v>
      </c>
      <c r="B10860" s="21"/>
      <c r="C10860" s="33" t="s">
        <v>11419</v>
      </c>
      <c r="E10860" s="46" t="s">
        <v>7618</v>
      </c>
    </row>
    <row r="10861">
      <c r="A10861" s="56" t="s">
        <v>23467</v>
      </c>
      <c r="B10861" s="21"/>
      <c r="C10861" s="33" t="s">
        <v>11411</v>
      </c>
      <c r="E10861" s="46" t="s">
        <v>7616</v>
      </c>
    </row>
    <row r="10862">
      <c r="A10862" s="56" t="s">
        <v>23469</v>
      </c>
      <c r="B10862" s="21"/>
      <c r="C10862" s="33" t="s">
        <v>11411</v>
      </c>
      <c r="E10862" s="46" t="s">
        <v>7618</v>
      </c>
    </row>
    <row r="10863">
      <c r="A10863" s="56" t="s">
        <v>23470</v>
      </c>
      <c r="B10863" s="21"/>
      <c r="C10863" s="33" t="s">
        <v>11416</v>
      </c>
      <c r="E10863" s="46" t="s">
        <v>7616</v>
      </c>
    </row>
    <row r="10864">
      <c r="A10864" s="56" t="s">
        <v>23471</v>
      </c>
      <c r="B10864" s="21"/>
      <c r="C10864" s="33" t="s">
        <v>11416</v>
      </c>
      <c r="E10864" s="46" t="s">
        <v>7618</v>
      </c>
    </row>
    <row r="10865">
      <c r="A10865" s="56" t="s">
        <v>23473</v>
      </c>
      <c r="B10865" s="21"/>
      <c r="C10865" s="33" t="s">
        <v>11419</v>
      </c>
      <c r="E10865" s="46" t="s">
        <v>7616</v>
      </c>
    </row>
    <row r="10866">
      <c r="A10866" s="56" t="s">
        <v>23475</v>
      </c>
      <c r="B10866" s="21"/>
      <c r="C10866" s="33" t="s">
        <v>11419</v>
      </c>
      <c r="E10866" s="46" t="s">
        <v>7618</v>
      </c>
    </row>
    <row r="10867">
      <c r="A10867" s="56" t="s">
        <v>23476</v>
      </c>
      <c r="B10867" s="55"/>
      <c r="C10867" s="31"/>
    </row>
    <row r="10868">
      <c r="A10868" s="56" t="s">
        <v>23477</v>
      </c>
      <c r="B10868" s="55"/>
      <c r="C10868" s="31"/>
    </row>
    <row r="10869">
      <c r="A10869" s="56" t="s">
        <v>23478</v>
      </c>
      <c r="B10869" s="82"/>
      <c r="C10869" s="33" t="s">
        <v>23479</v>
      </c>
    </row>
    <row r="10870">
      <c r="A10870" s="56" t="s">
        <v>23480</v>
      </c>
      <c r="B10870" s="82"/>
      <c r="C10870" s="33" t="s">
        <v>11373</v>
      </c>
      <c r="E10870" s="46" t="s">
        <v>7616</v>
      </c>
    </row>
    <row r="10871">
      <c r="A10871" s="56" t="s">
        <v>23481</v>
      </c>
      <c r="B10871" s="82"/>
      <c r="C10871" s="33" t="s">
        <v>11373</v>
      </c>
      <c r="E10871" s="46" t="s">
        <v>7618</v>
      </c>
    </row>
    <row r="10872">
      <c r="A10872" s="56" t="s">
        <v>23484</v>
      </c>
      <c r="B10872" s="82"/>
      <c r="C10872" s="33" t="s">
        <v>11376</v>
      </c>
      <c r="E10872" s="46" t="s">
        <v>7616</v>
      </c>
    </row>
    <row r="10873">
      <c r="A10873" s="56" t="s">
        <v>23485</v>
      </c>
      <c r="B10873" s="82"/>
      <c r="C10873" s="33" t="s">
        <v>11376</v>
      </c>
      <c r="E10873" s="46" t="s">
        <v>7618</v>
      </c>
    </row>
    <row r="10874">
      <c r="A10874" s="56" t="s">
        <v>23486</v>
      </c>
      <c r="B10874" s="82"/>
      <c r="C10874" s="33" t="s">
        <v>11380</v>
      </c>
      <c r="E10874" s="46" t="s">
        <v>7616</v>
      </c>
    </row>
    <row r="10875">
      <c r="A10875" s="56" t="s">
        <v>23487</v>
      </c>
      <c r="B10875" s="82"/>
      <c r="C10875" s="33" t="s">
        <v>11380</v>
      </c>
      <c r="E10875" s="46" t="s">
        <v>7618</v>
      </c>
    </row>
    <row r="10876">
      <c r="A10876" s="56" t="s">
        <v>23488</v>
      </c>
      <c r="B10876" s="79"/>
      <c r="C10876" s="33" t="s">
        <v>11384</v>
      </c>
      <c r="E10876" s="46" t="s">
        <v>1348</v>
      </c>
    </row>
    <row r="10877">
      <c r="A10877" s="56" t="s">
        <v>23489</v>
      </c>
      <c r="B10877" s="79"/>
      <c r="C10877" s="33" t="s">
        <v>11384</v>
      </c>
      <c r="E10877" s="46" t="s">
        <v>1348</v>
      </c>
    </row>
    <row r="10878">
      <c r="A10878" s="56" t="s">
        <v>23490</v>
      </c>
      <c r="B10878" s="79"/>
      <c r="C10878" s="33" t="s">
        <v>11389</v>
      </c>
      <c r="E10878" s="46" t="s">
        <v>1348</v>
      </c>
    </row>
    <row r="10879">
      <c r="A10879" s="56" t="s">
        <v>23491</v>
      </c>
      <c r="B10879" s="21"/>
      <c r="C10879" s="33" t="s">
        <v>11391</v>
      </c>
      <c r="E10879" s="46" t="s">
        <v>7616</v>
      </c>
    </row>
    <row r="10880">
      <c r="A10880" s="56" t="s">
        <v>23493</v>
      </c>
      <c r="B10880" s="21"/>
      <c r="C10880" s="33" t="s">
        <v>11391</v>
      </c>
      <c r="E10880" s="46" t="s">
        <v>7618</v>
      </c>
    </row>
    <row r="10881">
      <c r="A10881" s="56" t="s">
        <v>23494</v>
      </c>
      <c r="B10881" s="21"/>
      <c r="C10881" s="33" t="s">
        <v>11394</v>
      </c>
      <c r="E10881" s="46" t="s">
        <v>7616</v>
      </c>
    </row>
    <row r="10882">
      <c r="A10882" s="56" t="s">
        <v>23495</v>
      </c>
      <c r="B10882" s="21"/>
      <c r="C10882" s="33" t="s">
        <v>11394</v>
      </c>
      <c r="E10882" s="46" t="s">
        <v>7618</v>
      </c>
    </row>
    <row r="10883">
      <c r="A10883" s="56" t="s">
        <v>23496</v>
      </c>
      <c r="B10883" s="21"/>
      <c r="C10883" s="33" t="s">
        <v>11398</v>
      </c>
      <c r="E10883" s="46" t="s">
        <v>7616</v>
      </c>
    </row>
    <row r="10884">
      <c r="A10884" s="56" t="s">
        <v>23498</v>
      </c>
      <c r="B10884" s="21"/>
      <c r="C10884" s="33" t="s">
        <v>11398</v>
      </c>
      <c r="E10884" s="46" t="s">
        <v>7618</v>
      </c>
    </row>
    <row r="10885">
      <c r="A10885" s="56" t="s">
        <v>23500</v>
      </c>
      <c r="B10885" s="21"/>
      <c r="C10885" s="33" t="s">
        <v>11391</v>
      </c>
      <c r="E10885" s="46" t="s">
        <v>7616</v>
      </c>
    </row>
    <row r="10886">
      <c r="A10886" s="56" t="s">
        <v>23501</v>
      </c>
      <c r="B10886" s="21"/>
      <c r="C10886" s="33" t="s">
        <v>11391</v>
      </c>
      <c r="E10886" s="46" t="s">
        <v>7618</v>
      </c>
    </row>
    <row r="10887">
      <c r="A10887" s="56" t="s">
        <v>23502</v>
      </c>
      <c r="B10887" s="21"/>
      <c r="C10887" s="33" t="s">
        <v>11394</v>
      </c>
      <c r="E10887" s="46" t="s">
        <v>7616</v>
      </c>
    </row>
    <row r="10888">
      <c r="A10888" s="56" t="s">
        <v>23503</v>
      </c>
      <c r="B10888" s="21"/>
      <c r="C10888" s="33" t="s">
        <v>11394</v>
      </c>
      <c r="E10888" s="46" t="s">
        <v>7618</v>
      </c>
    </row>
    <row r="10889">
      <c r="A10889" s="56" t="s">
        <v>23504</v>
      </c>
      <c r="B10889" s="21"/>
      <c r="C10889" s="33" t="s">
        <v>11398</v>
      </c>
      <c r="E10889" s="46" t="s">
        <v>7616</v>
      </c>
    </row>
    <row r="10890">
      <c r="A10890" s="56" t="s">
        <v>23505</v>
      </c>
      <c r="B10890" s="21"/>
      <c r="C10890" s="33" t="s">
        <v>11398</v>
      </c>
      <c r="E10890" s="46" t="s">
        <v>7618</v>
      </c>
    </row>
    <row r="10891">
      <c r="A10891" s="56" t="s">
        <v>23507</v>
      </c>
      <c r="B10891" s="21"/>
      <c r="C10891" s="33" t="s">
        <v>11411</v>
      </c>
      <c r="E10891" s="46" t="s">
        <v>7616</v>
      </c>
    </row>
    <row r="10892">
      <c r="A10892" s="56" t="s">
        <v>23509</v>
      </c>
      <c r="B10892" s="21"/>
      <c r="C10892" s="33" t="s">
        <v>11411</v>
      </c>
      <c r="E10892" s="46" t="s">
        <v>7618</v>
      </c>
    </row>
    <row r="10893">
      <c r="A10893" s="56" t="s">
        <v>23510</v>
      </c>
      <c r="B10893" s="21"/>
      <c r="C10893" s="33" t="s">
        <v>11416</v>
      </c>
      <c r="E10893" s="46" t="s">
        <v>7616</v>
      </c>
    </row>
    <row r="10894">
      <c r="A10894" s="56" t="s">
        <v>23511</v>
      </c>
      <c r="B10894" s="21"/>
      <c r="C10894" s="33" t="s">
        <v>11416</v>
      </c>
      <c r="E10894" s="46" t="s">
        <v>7618</v>
      </c>
    </row>
    <row r="10895">
      <c r="A10895" s="56" t="s">
        <v>23512</v>
      </c>
      <c r="B10895" s="21"/>
      <c r="C10895" s="33" t="s">
        <v>11419</v>
      </c>
      <c r="E10895" s="46" t="s">
        <v>7616</v>
      </c>
    </row>
    <row r="10896">
      <c r="A10896" s="56" t="s">
        <v>23514</v>
      </c>
      <c r="B10896" s="21"/>
      <c r="C10896" s="33" t="s">
        <v>11419</v>
      </c>
      <c r="E10896" s="46" t="s">
        <v>7618</v>
      </c>
    </row>
    <row r="10897">
      <c r="A10897" s="56" t="s">
        <v>23515</v>
      </c>
      <c r="B10897" s="21"/>
      <c r="C10897" s="33" t="s">
        <v>11411</v>
      </c>
      <c r="E10897" s="46" t="s">
        <v>7616</v>
      </c>
    </row>
    <row r="10898">
      <c r="A10898" s="56" t="s">
        <v>23517</v>
      </c>
      <c r="B10898" s="21"/>
      <c r="C10898" s="33" t="s">
        <v>11411</v>
      </c>
      <c r="E10898" s="46" t="s">
        <v>7618</v>
      </c>
    </row>
    <row r="10899">
      <c r="A10899" s="56" t="s">
        <v>23518</v>
      </c>
      <c r="B10899" s="21"/>
      <c r="C10899" s="33" t="s">
        <v>11416</v>
      </c>
      <c r="E10899" s="46" t="s">
        <v>7616</v>
      </c>
    </row>
    <row r="10900">
      <c r="A10900" s="56" t="s">
        <v>23520</v>
      </c>
      <c r="B10900" s="21"/>
      <c r="C10900" s="33" t="s">
        <v>11416</v>
      </c>
      <c r="E10900" s="46" t="s">
        <v>7618</v>
      </c>
    </row>
    <row r="10901">
      <c r="A10901" s="56" t="s">
        <v>23521</v>
      </c>
      <c r="B10901" s="21"/>
      <c r="C10901" s="33" t="s">
        <v>11419</v>
      </c>
      <c r="E10901" s="46" t="s">
        <v>7616</v>
      </c>
    </row>
    <row r="10902">
      <c r="A10902" s="56" t="s">
        <v>23522</v>
      </c>
      <c r="B10902" s="21"/>
      <c r="C10902" s="33" t="s">
        <v>11419</v>
      </c>
      <c r="E10902" s="46" t="s">
        <v>7618</v>
      </c>
    </row>
    <row r="10903">
      <c r="A10903" s="56" t="s">
        <v>23523</v>
      </c>
      <c r="B10903" s="55"/>
      <c r="C10903" s="31"/>
    </row>
    <row r="10904">
      <c r="A10904" s="56" t="s">
        <v>23524</v>
      </c>
      <c r="B10904" s="55"/>
      <c r="C10904" s="31"/>
    </row>
    <row r="10905">
      <c r="A10905" s="56" t="s">
        <v>23525</v>
      </c>
      <c r="B10905" s="55"/>
      <c r="C10905" s="31"/>
    </row>
    <row r="10906">
      <c r="A10906" s="56" t="s">
        <v>23528</v>
      </c>
      <c r="B10906" s="55"/>
      <c r="C10906" s="31"/>
    </row>
    <row r="10907">
      <c r="A10907" s="56" t="s">
        <v>23529</v>
      </c>
      <c r="B10907" s="55"/>
      <c r="C10907" s="31"/>
    </row>
    <row r="10908">
      <c r="A10908" s="56" t="s">
        <v>23530</v>
      </c>
      <c r="B10908" s="55"/>
      <c r="C10908" s="31"/>
    </row>
    <row r="10909">
      <c r="A10909" s="56" t="s">
        <v>23531</v>
      </c>
      <c r="B10909" s="55"/>
      <c r="C10909" s="31"/>
    </row>
    <row r="10910">
      <c r="A10910" s="56" t="s">
        <v>23532</v>
      </c>
      <c r="B10910" s="55"/>
      <c r="C10910" s="31"/>
    </row>
    <row r="10911">
      <c r="A10911" s="56" t="s">
        <v>23533</v>
      </c>
      <c r="B10911" s="55"/>
      <c r="C10911" s="31"/>
    </row>
    <row r="10912">
      <c r="A10912" s="56" t="s">
        <v>23535</v>
      </c>
      <c r="B10912" s="55"/>
      <c r="C10912" s="31"/>
    </row>
    <row r="10913">
      <c r="A10913" s="56" t="s">
        <v>23536</v>
      </c>
      <c r="B10913" s="55"/>
      <c r="C10913" s="31"/>
    </row>
    <row r="10914">
      <c r="A10914" s="56" t="s">
        <v>23537</v>
      </c>
      <c r="B10914" s="55"/>
      <c r="C10914" s="31"/>
    </row>
    <row r="10915">
      <c r="A10915" s="56" t="s">
        <v>23538</v>
      </c>
      <c r="B10915" s="55"/>
      <c r="C10915" s="31"/>
    </row>
    <row r="10916">
      <c r="A10916" s="56" t="s">
        <v>23539</v>
      </c>
      <c r="B10916" s="55"/>
      <c r="C10916" s="31"/>
    </row>
    <row r="10917">
      <c r="A10917" s="56" t="s">
        <v>23540</v>
      </c>
      <c r="B10917" s="55"/>
      <c r="C10917" s="31"/>
    </row>
    <row r="10918">
      <c r="A10918" s="56" t="s">
        <v>23542</v>
      </c>
      <c r="B10918" s="55"/>
      <c r="C10918" s="31"/>
    </row>
    <row r="10919">
      <c r="A10919" s="56" t="s">
        <v>23544</v>
      </c>
      <c r="B10919" s="55"/>
      <c r="C10919" s="31"/>
    </row>
    <row r="10920">
      <c r="A10920" s="56" t="s">
        <v>23545</v>
      </c>
      <c r="B10920" s="82"/>
      <c r="C10920" s="33" t="s">
        <v>23546</v>
      </c>
    </row>
    <row r="10921">
      <c r="A10921" s="56" t="s">
        <v>23547</v>
      </c>
      <c r="B10921" s="82"/>
      <c r="C10921" s="33" t="s">
        <v>11373</v>
      </c>
      <c r="E10921" s="46" t="s">
        <v>7616</v>
      </c>
    </row>
    <row r="10922">
      <c r="A10922" s="56" t="s">
        <v>23548</v>
      </c>
      <c r="B10922" s="82"/>
      <c r="C10922" s="33" t="s">
        <v>11373</v>
      </c>
      <c r="E10922" s="46" t="s">
        <v>7618</v>
      </c>
    </row>
    <row r="10923">
      <c r="A10923" s="56" t="s">
        <v>23549</v>
      </c>
      <c r="B10923" s="82"/>
      <c r="C10923" s="33" t="s">
        <v>11376</v>
      </c>
      <c r="E10923" s="46" t="s">
        <v>7616</v>
      </c>
    </row>
    <row r="10924">
      <c r="A10924" s="56" t="s">
        <v>23550</v>
      </c>
      <c r="B10924" s="82"/>
      <c r="C10924" s="33" t="s">
        <v>11376</v>
      </c>
      <c r="E10924" s="46" t="s">
        <v>7618</v>
      </c>
    </row>
    <row r="10925">
      <c r="A10925" s="56" t="s">
        <v>23552</v>
      </c>
      <c r="B10925" s="82"/>
      <c r="C10925" s="33" t="s">
        <v>11380</v>
      </c>
      <c r="E10925" s="46" t="s">
        <v>7616</v>
      </c>
    </row>
    <row r="10926">
      <c r="A10926" s="56" t="s">
        <v>23554</v>
      </c>
      <c r="B10926" s="82"/>
      <c r="C10926" s="33" t="s">
        <v>11380</v>
      </c>
      <c r="E10926" s="46" t="s">
        <v>7618</v>
      </c>
    </row>
    <row r="10927">
      <c r="A10927" s="56" t="s">
        <v>23555</v>
      </c>
      <c r="B10927" s="79"/>
      <c r="C10927" s="33" t="s">
        <v>11384</v>
      </c>
      <c r="E10927" s="46" t="s">
        <v>1348</v>
      </c>
    </row>
    <row r="10928">
      <c r="A10928" s="56" t="s">
        <v>23556</v>
      </c>
      <c r="B10928" s="79"/>
      <c r="C10928" s="33" t="s">
        <v>11384</v>
      </c>
      <c r="E10928" s="46" t="s">
        <v>1348</v>
      </c>
    </row>
    <row r="10929">
      <c r="A10929" s="56" t="s">
        <v>23557</v>
      </c>
      <c r="B10929" s="79"/>
      <c r="C10929" s="33" t="s">
        <v>11389</v>
      </c>
      <c r="E10929" s="46" t="s">
        <v>1348</v>
      </c>
    </row>
    <row r="10930">
      <c r="A10930" s="56" t="s">
        <v>23559</v>
      </c>
      <c r="B10930" s="21"/>
      <c r="C10930" s="33" t="s">
        <v>11391</v>
      </c>
      <c r="E10930" s="46" t="s">
        <v>7616</v>
      </c>
    </row>
    <row r="10931">
      <c r="A10931" s="56" t="s">
        <v>23560</v>
      </c>
      <c r="B10931" s="21"/>
      <c r="C10931" s="33" t="s">
        <v>11391</v>
      </c>
      <c r="E10931" s="46" t="s">
        <v>7618</v>
      </c>
    </row>
    <row r="10932">
      <c r="A10932" s="56" t="s">
        <v>23562</v>
      </c>
      <c r="B10932" s="21"/>
      <c r="C10932" s="33" t="s">
        <v>11394</v>
      </c>
      <c r="E10932" s="46" t="s">
        <v>7616</v>
      </c>
    </row>
    <row r="10933">
      <c r="A10933" s="56" t="s">
        <v>23564</v>
      </c>
      <c r="B10933" s="21"/>
      <c r="C10933" s="33" t="s">
        <v>11394</v>
      </c>
      <c r="E10933" s="46" t="s">
        <v>7618</v>
      </c>
    </row>
    <row r="10934">
      <c r="A10934" s="56" t="s">
        <v>23565</v>
      </c>
      <c r="B10934" s="21"/>
      <c r="C10934" s="33" t="s">
        <v>11398</v>
      </c>
      <c r="E10934" s="46" t="s">
        <v>7616</v>
      </c>
    </row>
    <row r="10935">
      <c r="A10935" s="56" t="s">
        <v>23567</v>
      </c>
      <c r="B10935" s="21"/>
      <c r="C10935" s="33" t="s">
        <v>11398</v>
      </c>
      <c r="E10935" s="46" t="s">
        <v>7618</v>
      </c>
    </row>
    <row r="10936">
      <c r="A10936" s="56" t="s">
        <v>23569</v>
      </c>
      <c r="B10936" s="21"/>
      <c r="C10936" s="33" t="s">
        <v>11391</v>
      </c>
      <c r="E10936" s="46" t="s">
        <v>7616</v>
      </c>
    </row>
    <row r="10937">
      <c r="A10937" s="56" t="s">
        <v>23570</v>
      </c>
      <c r="B10937" s="21"/>
      <c r="C10937" s="33" t="s">
        <v>11391</v>
      </c>
      <c r="E10937" s="46" t="s">
        <v>7618</v>
      </c>
    </row>
    <row r="10938">
      <c r="A10938" s="56" t="s">
        <v>23571</v>
      </c>
      <c r="B10938" s="21"/>
      <c r="C10938" s="33" t="s">
        <v>11394</v>
      </c>
      <c r="E10938" s="46" t="s">
        <v>7616</v>
      </c>
    </row>
    <row r="10939">
      <c r="A10939" s="56" t="s">
        <v>23573</v>
      </c>
      <c r="B10939" s="21"/>
      <c r="C10939" s="33" t="s">
        <v>11394</v>
      </c>
      <c r="E10939" s="46" t="s">
        <v>7618</v>
      </c>
    </row>
    <row r="10940">
      <c r="A10940" s="56" t="s">
        <v>23575</v>
      </c>
      <c r="B10940" s="21"/>
      <c r="C10940" s="33" t="s">
        <v>11398</v>
      </c>
      <c r="E10940" s="46" t="s">
        <v>7616</v>
      </c>
    </row>
    <row r="10941">
      <c r="A10941" s="56" t="s">
        <v>23576</v>
      </c>
      <c r="B10941" s="21"/>
      <c r="C10941" s="33" t="s">
        <v>11398</v>
      </c>
      <c r="E10941" s="46" t="s">
        <v>7618</v>
      </c>
    </row>
    <row r="10942">
      <c r="A10942" s="56" t="s">
        <v>23577</v>
      </c>
      <c r="B10942" s="21"/>
      <c r="C10942" s="33" t="s">
        <v>11411</v>
      </c>
      <c r="E10942" s="46" t="s">
        <v>7616</v>
      </c>
    </row>
    <row r="10943">
      <c r="A10943" s="56" t="s">
        <v>23578</v>
      </c>
      <c r="B10943" s="21"/>
      <c r="C10943" s="33" t="s">
        <v>11411</v>
      </c>
      <c r="E10943" s="46" t="s">
        <v>7618</v>
      </c>
    </row>
    <row r="10944">
      <c r="A10944" s="56" t="s">
        <v>23581</v>
      </c>
      <c r="B10944" s="21"/>
      <c r="C10944" s="33" t="s">
        <v>11416</v>
      </c>
      <c r="E10944" s="46" t="s">
        <v>7616</v>
      </c>
    </row>
    <row r="10945">
      <c r="A10945" s="56" t="s">
        <v>23582</v>
      </c>
      <c r="B10945" s="21"/>
      <c r="C10945" s="33" t="s">
        <v>11416</v>
      </c>
      <c r="E10945" s="46" t="s">
        <v>7618</v>
      </c>
    </row>
    <row r="10946">
      <c r="A10946" s="56" t="s">
        <v>23583</v>
      </c>
      <c r="B10946" s="21"/>
      <c r="C10946" s="33" t="s">
        <v>11419</v>
      </c>
      <c r="E10946" s="46" t="s">
        <v>7616</v>
      </c>
    </row>
    <row r="10947">
      <c r="A10947" s="56" t="s">
        <v>23584</v>
      </c>
      <c r="B10947" s="21"/>
      <c r="C10947" s="33" t="s">
        <v>11419</v>
      </c>
      <c r="E10947" s="46" t="s">
        <v>7618</v>
      </c>
    </row>
    <row r="10948">
      <c r="A10948" s="56" t="s">
        <v>23585</v>
      </c>
      <c r="B10948" s="21"/>
      <c r="C10948" s="33" t="s">
        <v>11411</v>
      </c>
      <c r="E10948" s="46" t="s">
        <v>7616</v>
      </c>
    </row>
    <row r="10949">
      <c r="A10949" s="56" t="s">
        <v>23588</v>
      </c>
      <c r="B10949" s="21"/>
      <c r="C10949" s="33" t="s">
        <v>11411</v>
      </c>
      <c r="E10949" s="46" t="s">
        <v>7618</v>
      </c>
    </row>
    <row r="10950">
      <c r="A10950" s="56" t="s">
        <v>23589</v>
      </c>
      <c r="B10950" s="21"/>
      <c r="C10950" s="33" t="s">
        <v>11416</v>
      </c>
      <c r="E10950" s="46" t="s">
        <v>7616</v>
      </c>
    </row>
    <row r="10951">
      <c r="A10951" s="56" t="s">
        <v>23590</v>
      </c>
      <c r="B10951" s="21"/>
      <c r="C10951" s="33" t="s">
        <v>11416</v>
      </c>
      <c r="E10951" s="46" t="s">
        <v>7618</v>
      </c>
    </row>
    <row r="10952">
      <c r="A10952" s="56" t="s">
        <v>23591</v>
      </c>
      <c r="B10952" s="21"/>
      <c r="C10952" s="33" t="s">
        <v>11419</v>
      </c>
      <c r="E10952" s="46" t="s">
        <v>7616</v>
      </c>
    </row>
    <row r="10953">
      <c r="A10953" s="56" t="s">
        <v>23592</v>
      </c>
      <c r="B10953" s="21"/>
      <c r="C10953" s="33" t="s">
        <v>11419</v>
      </c>
      <c r="E10953" s="46" t="s">
        <v>7618</v>
      </c>
    </row>
    <row r="10954">
      <c r="A10954" s="56" t="s">
        <v>23593</v>
      </c>
      <c r="B10954" s="55"/>
      <c r="C10954" s="31"/>
    </row>
    <row r="10955">
      <c r="A10955" s="56" t="s">
        <v>23595</v>
      </c>
      <c r="B10955" s="55"/>
      <c r="C10955" s="31"/>
    </row>
    <row r="10956">
      <c r="A10956" s="56" t="s">
        <v>23597</v>
      </c>
      <c r="B10956" s="55"/>
      <c r="C10956" s="31"/>
    </row>
    <row r="10957">
      <c r="A10957" s="56" t="s">
        <v>23598</v>
      </c>
      <c r="B10957" s="55"/>
      <c r="C10957" s="31"/>
    </row>
    <row r="10958">
      <c r="A10958" s="56" t="s">
        <v>23599</v>
      </c>
      <c r="B10958" s="55"/>
      <c r="C10958" s="31"/>
    </row>
    <row r="10959">
      <c r="A10959" s="56" t="s">
        <v>23600</v>
      </c>
      <c r="B10959" s="55"/>
      <c r="C10959" s="31"/>
    </row>
    <row r="10960">
      <c r="A10960" s="56" t="s">
        <v>23601</v>
      </c>
      <c r="B10960" s="55"/>
      <c r="C10960" s="31"/>
    </row>
    <row r="10961">
      <c r="A10961" s="56" t="s">
        <v>23602</v>
      </c>
      <c r="B10961" s="55"/>
      <c r="C10961" s="31"/>
    </row>
    <row r="10962">
      <c r="A10962" s="56" t="s">
        <v>23603</v>
      </c>
      <c r="B10962" s="55"/>
      <c r="C10962" s="31"/>
    </row>
    <row r="10963">
      <c r="A10963" s="56" t="s">
        <v>23604</v>
      </c>
      <c r="B10963" s="82"/>
      <c r="C10963" s="33" t="s">
        <v>23606</v>
      </c>
    </row>
    <row r="10964">
      <c r="A10964" s="56" t="s">
        <v>23608</v>
      </c>
      <c r="B10964" s="82"/>
      <c r="C10964" s="33" t="s">
        <v>11373</v>
      </c>
      <c r="E10964" s="46" t="s">
        <v>7616</v>
      </c>
    </row>
    <row r="10965">
      <c r="A10965" s="56" t="s">
        <v>23609</v>
      </c>
      <c r="B10965" s="82"/>
      <c r="C10965" s="33" t="s">
        <v>11373</v>
      </c>
      <c r="E10965" s="46" t="s">
        <v>7618</v>
      </c>
    </row>
    <row r="10966">
      <c r="A10966" s="56" t="s">
        <v>23611</v>
      </c>
      <c r="B10966" s="82"/>
      <c r="C10966" s="33" t="s">
        <v>11376</v>
      </c>
      <c r="E10966" s="46" t="s">
        <v>7616</v>
      </c>
    </row>
    <row r="10967">
      <c r="A10967" s="56" t="s">
        <v>23613</v>
      </c>
      <c r="B10967" s="82"/>
      <c r="C10967" s="33" t="s">
        <v>11376</v>
      </c>
      <c r="E10967" s="46" t="s">
        <v>7618</v>
      </c>
    </row>
    <row r="10968">
      <c r="A10968" s="56" t="s">
        <v>23614</v>
      </c>
      <c r="B10968" s="82"/>
      <c r="C10968" s="33" t="s">
        <v>11380</v>
      </c>
      <c r="E10968" s="46" t="s">
        <v>7616</v>
      </c>
    </row>
    <row r="10969">
      <c r="A10969" s="56" t="s">
        <v>23616</v>
      </c>
      <c r="B10969" s="82"/>
      <c r="C10969" s="33" t="s">
        <v>11380</v>
      </c>
      <c r="E10969" s="46" t="s">
        <v>7618</v>
      </c>
    </row>
    <row r="10970">
      <c r="A10970" s="56" t="s">
        <v>23617</v>
      </c>
      <c r="B10970" s="79"/>
      <c r="C10970" s="33" t="s">
        <v>11384</v>
      </c>
      <c r="E10970" s="46" t="s">
        <v>1348</v>
      </c>
    </row>
    <row r="10971">
      <c r="A10971" s="56" t="s">
        <v>23618</v>
      </c>
      <c r="B10971" s="79"/>
      <c r="C10971" s="33" t="s">
        <v>11384</v>
      </c>
      <c r="E10971" s="46" t="s">
        <v>1348</v>
      </c>
    </row>
    <row r="10972">
      <c r="A10972" s="56" t="s">
        <v>23620</v>
      </c>
      <c r="B10972" s="79"/>
      <c r="C10972" s="33" t="s">
        <v>11389</v>
      </c>
      <c r="E10972" s="46" t="s">
        <v>1348</v>
      </c>
    </row>
    <row r="10973">
      <c r="A10973" s="56" t="s">
        <v>23622</v>
      </c>
      <c r="B10973" s="21"/>
      <c r="C10973" s="33" t="s">
        <v>11391</v>
      </c>
      <c r="E10973" s="46" t="s">
        <v>7616</v>
      </c>
    </row>
    <row r="10974">
      <c r="A10974" s="56" t="s">
        <v>23623</v>
      </c>
      <c r="B10974" s="21"/>
      <c r="C10974" s="33" t="s">
        <v>11391</v>
      </c>
      <c r="E10974" s="46" t="s">
        <v>7618</v>
      </c>
    </row>
    <row r="10975">
      <c r="A10975" s="56" t="s">
        <v>23625</v>
      </c>
      <c r="B10975" s="21"/>
      <c r="C10975" s="33" t="s">
        <v>11394</v>
      </c>
      <c r="E10975" s="46" t="s">
        <v>7616</v>
      </c>
    </row>
    <row r="10976">
      <c r="A10976" s="56" t="s">
        <v>23627</v>
      </c>
      <c r="B10976" s="21"/>
      <c r="C10976" s="33" t="s">
        <v>11394</v>
      </c>
      <c r="E10976" s="46" t="s">
        <v>7618</v>
      </c>
    </row>
    <row r="10977">
      <c r="A10977" s="56" t="s">
        <v>23628</v>
      </c>
      <c r="B10977" s="21"/>
      <c r="C10977" s="33" t="s">
        <v>11398</v>
      </c>
      <c r="E10977" s="46" t="s">
        <v>7616</v>
      </c>
    </row>
    <row r="10978">
      <c r="A10978" s="56" t="s">
        <v>23629</v>
      </c>
      <c r="B10978" s="21"/>
      <c r="C10978" s="33" t="s">
        <v>11398</v>
      </c>
      <c r="E10978" s="46" t="s">
        <v>7618</v>
      </c>
    </row>
    <row r="10979">
      <c r="A10979" s="56" t="s">
        <v>23630</v>
      </c>
      <c r="B10979" s="21"/>
      <c r="C10979" s="33" t="s">
        <v>11391</v>
      </c>
      <c r="E10979" s="46" t="s">
        <v>7616</v>
      </c>
    </row>
    <row r="10980">
      <c r="A10980" s="56" t="s">
        <v>23631</v>
      </c>
      <c r="B10980" s="21"/>
      <c r="C10980" s="33" t="s">
        <v>11391</v>
      </c>
      <c r="E10980" s="46" t="s">
        <v>7618</v>
      </c>
    </row>
    <row r="10981">
      <c r="A10981" s="56" t="s">
        <v>23633</v>
      </c>
      <c r="B10981" s="21"/>
      <c r="C10981" s="33" t="s">
        <v>11394</v>
      </c>
      <c r="E10981" s="46" t="s">
        <v>7616</v>
      </c>
    </row>
    <row r="10982">
      <c r="A10982" s="56" t="s">
        <v>23635</v>
      </c>
      <c r="B10982" s="21"/>
      <c r="C10982" s="33" t="s">
        <v>11394</v>
      </c>
      <c r="E10982" s="46" t="s">
        <v>7618</v>
      </c>
    </row>
    <row r="10983">
      <c r="A10983" s="56" t="s">
        <v>23636</v>
      </c>
      <c r="B10983" s="21"/>
      <c r="C10983" s="33" t="s">
        <v>11398</v>
      </c>
      <c r="E10983" s="46" t="s">
        <v>7616</v>
      </c>
    </row>
    <row r="10984">
      <c r="A10984" s="56" t="s">
        <v>23637</v>
      </c>
      <c r="B10984" s="21"/>
      <c r="C10984" s="33" t="s">
        <v>11398</v>
      </c>
      <c r="E10984" s="46" t="s">
        <v>7618</v>
      </c>
    </row>
    <row r="10985">
      <c r="A10985" s="56" t="s">
        <v>23638</v>
      </c>
      <c r="B10985" s="21"/>
      <c r="C10985" s="33" t="s">
        <v>11411</v>
      </c>
      <c r="E10985" s="46" t="s">
        <v>7616</v>
      </c>
    </row>
    <row r="10986">
      <c r="A10986" s="56" t="s">
        <v>23639</v>
      </c>
      <c r="B10986" s="21"/>
      <c r="C10986" s="33" t="s">
        <v>11411</v>
      </c>
      <c r="E10986" s="46" t="s">
        <v>7618</v>
      </c>
    </row>
    <row r="10987">
      <c r="A10987" s="56" t="s">
        <v>23640</v>
      </c>
      <c r="B10987" s="21"/>
      <c r="C10987" s="33" t="s">
        <v>11416</v>
      </c>
      <c r="E10987" s="46" t="s">
        <v>7616</v>
      </c>
    </row>
    <row r="10988">
      <c r="A10988" s="56" t="s">
        <v>23642</v>
      </c>
      <c r="B10988" s="21"/>
      <c r="C10988" s="33" t="s">
        <v>11416</v>
      </c>
      <c r="E10988" s="46" t="s">
        <v>7618</v>
      </c>
    </row>
    <row r="10989">
      <c r="A10989" s="56" t="s">
        <v>23644</v>
      </c>
      <c r="B10989" s="21"/>
      <c r="C10989" s="33" t="s">
        <v>11419</v>
      </c>
      <c r="E10989" s="46" t="s">
        <v>7616</v>
      </c>
    </row>
    <row r="10990">
      <c r="A10990" s="56" t="s">
        <v>23645</v>
      </c>
      <c r="B10990" s="21"/>
      <c r="C10990" s="33" t="s">
        <v>11419</v>
      </c>
      <c r="E10990" s="46" t="s">
        <v>7618</v>
      </c>
    </row>
    <row r="10991">
      <c r="A10991" s="56" t="s">
        <v>23646</v>
      </c>
      <c r="B10991" s="21"/>
      <c r="C10991" s="33" t="s">
        <v>11411</v>
      </c>
      <c r="E10991" s="46" t="s">
        <v>7616</v>
      </c>
    </row>
    <row r="10992">
      <c r="A10992" s="56" t="s">
        <v>23647</v>
      </c>
      <c r="B10992" s="21"/>
      <c r="C10992" s="33" t="s">
        <v>11411</v>
      </c>
      <c r="E10992" s="46" t="s">
        <v>7618</v>
      </c>
    </row>
    <row r="10993">
      <c r="A10993" s="56" t="s">
        <v>23649</v>
      </c>
      <c r="B10993" s="21"/>
      <c r="C10993" s="33" t="s">
        <v>11416</v>
      </c>
      <c r="E10993" s="46" t="s">
        <v>7616</v>
      </c>
    </row>
    <row r="10994">
      <c r="A10994" s="56" t="s">
        <v>23650</v>
      </c>
      <c r="B10994" s="21"/>
      <c r="C10994" s="33" t="s">
        <v>11416</v>
      </c>
      <c r="E10994" s="46" t="s">
        <v>7618</v>
      </c>
    </row>
    <row r="10995">
      <c r="A10995" s="56" t="s">
        <v>23652</v>
      </c>
      <c r="B10995" s="21"/>
      <c r="C10995" s="33" t="s">
        <v>11419</v>
      </c>
      <c r="E10995" s="46" t="s">
        <v>7616</v>
      </c>
    </row>
    <row r="10996">
      <c r="A10996" s="56" t="s">
        <v>23653</v>
      </c>
      <c r="B10996" s="21"/>
      <c r="C10996" s="33" t="s">
        <v>11419</v>
      </c>
      <c r="E10996" s="46" t="s">
        <v>7618</v>
      </c>
    </row>
    <row r="10997">
      <c r="A10997" s="56" t="s">
        <v>23654</v>
      </c>
      <c r="B10997" s="82"/>
      <c r="C10997" s="33" t="s">
        <v>23655</v>
      </c>
    </row>
    <row r="10998">
      <c r="A10998" s="56" t="s">
        <v>23656</v>
      </c>
      <c r="B10998" s="55"/>
      <c r="C10998" s="31"/>
    </row>
    <row r="10999">
      <c r="A10999" s="56" t="s">
        <v>23657</v>
      </c>
      <c r="B10999" s="55"/>
      <c r="C10999" s="31"/>
    </row>
    <row r="11000">
      <c r="A11000" s="56" t="s">
        <v>23658</v>
      </c>
      <c r="B11000" s="55"/>
      <c r="C11000" s="31"/>
    </row>
    <row r="11001">
      <c r="A11001" s="56" t="s">
        <v>23659</v>
      </c>
      <c r="B11001" s="55"/>
      <c r="C11001" s="31"/>
    </row>
    <row r="11002">
      <c r="A11002" s="56" t="s">
        <v>23660</v>
      </c>
      <c r="B11002" s="82"/>
      <c r="C11002" s="33" t="s">
        <v>23661</v>
      </c>
    </row>
    <row r="11003">
      <c r="A11003" s="56" t="s">
        <v>23662</v>
      </c>
      <c r="B11003" s="55"/>
      <c r="C11003" s="31"/>
    </row>
    <row r="11004">
      <c r="A11004" s="56" t="s">
        <v>23663</v>
      </c>
      <c r="B11004" s="55"/>
      <c r="C11004" s="31"/>
    </row>
    <row r="11005">
      <c r="A11005" s="56" t="s">
        <v>23666</v>
      </c>
      <c r="B11005" s="55"/>
      <c r="C11005" s="31"/>
    </row>
    <row r="11006">
      <c r="A11006" s="56" t="s">
        <v>23667</v>
      </c>
      <c r="B11006" s="55"/>
      <c r="C11006" s="31"/>
    </row>
    <row r="11007">
      <c r="A11007" s="56" t="s">
        <v>23668</v>
      </c>
      <c r="B11007" s="82"/>
      <c r="C11007" s="33" t="s">
        <v>23669</v>
      </c>
    </row>
    <row r="11008">
      <c r="A11008" s="56" t="s">
        <v>23670</v>
      </c>
      <c r="B11008" s="82"/>
      <c r="C11008" s="33" t="s">
        <v>11373</v>
      </c>
      <c r="E11008" s="46" t="s">
        <v>7616</v>
      </c>
    </row>
    <row r="11009">
      <c r="A11009" s="56" t="s">
        <v>23671</v>
      </c>
      <c r="B11009" s="82"/>
      <c r="C11009" s="33" t="s">
        <v>11373</v>
      </c>
      <c r="E11009" s="46" t="s">
        <v>7618</v>
      </c>
    </row>
    <row r="11010">
      <c r="A11010" s="56" t="s">
        <v>23672</v>
      </c>
      <c r="B11010" s="82"/>
      <c r="C11010" s="33" t="s">
        <v>11376</v>
      </c>
      <c r="E11010" s="46" t="s">
        <v>7616</v>
      </c>
    </row>
    <row r="11011">
      <c r="A11011" s="56" t="s">
        <v>23673</v>
      </c>
      <c r="B11011" s="82"/>
      <c r="C11011" s="33" t="s">
        <v>11376</v>
      </c>
      <c r="E11011" s="46" t="s">
        <v>7618</v>
      </c>
    </row>
    <row r="11012">
      <c r="A11012" s="56" t="s">
        <v>23674</v>
      </c>
      <c r="B11012" s="82"/>
      <c r="C11012" s="33" t="s">
        <v>11380</v>
      </c>
      <c r="E11012" s="46" t="s">
        <v>7616</v>
      </c>
    </row>
    <row r="11013">
      <c r="A11013" s="56" t="s">
        <v>23675</v>
      </c>
      <c r="B11013" s="82"/>
      <c r="C11013" s="33" t="s">
        <v>11380</v>
      </c>
      <c r="E11013" s="46" t="s">
        <v>7618</v>
      </c>
    </row>
    <row r="11014">
      <c r="A11014" s="56" t="s">
        <v>23677</v>
      </c>
      <c r="B11014" s="79"/>
      <c r="C11014" s="33" t="s">
        <v>11384</v>
      </c>
      <c r="E11014" s="46" t="s">
        <v>1348</v>
      </c>
    </row>
    <row r="11015">
      <c r="A11015" s="56" t="s">
        <v>23679</v>
      </c>
      <c r="B11015" s="79"/>
      <c r="C11015" s="33" t="s">
        <v>11384</v>
      </c>
      <c r="E11015" s="46" t="s">
        <v>1348</v>
      </c>
    </row>
    <row r="11016">
      <c r="A11016" s="56" t="s">
        <v>23680</v>
      </c>
      <c r="B11016" s="79"/>
      <c r="C11016" s="33" t="s">
        <v>11389</v>
      </c>
      <c r="E11016" s="46" t="s">
        <v>1348</v>
      </c>
    </row>
    <row r="11017">
      <c r="A11017" s="56" t="s">
        <v>23681</v>
      </c>
      <c r="B11017" s="21"/>
      <c r="C11017" s="33" t="s">
        <v>11391</v>
      </c>
      <c r="E11017" s="46" t="s">
        <v>7616</v>
      </c>
    </row>
    <row r="11018">
      <c r="A11018" s="56" t="s">
        <v>23682</v>
      </c>
      <c r="B11018" s="21"/>
      <c r="C11018" s="33" t="s">
        <v>11391</v>
      </c>
      <c r="E11018" s="46" t="s">
        <v>7618</v>
      </c>
    </row>
    <row r="11019">
      <c r="A11019" s="56" t="s">
        <v>23683</v>
      </c>
      <c r="B11019" s="21"/>
      <c r="C11019" s="33" t="s">
        <v>11394</v>
      </c>
      <c r="E11019" s="46" t="s">
        <v>7616</v>
      </c>
    </row>
    <row r="11020">
      <c r="A11020" s="56" t="s">
        <v>23684</v>
      </c>
      <c r="B11020" s="21"/>
      <c r="C11020" s="33" t="s">
        <v>11394</v>
      </c>
      <c r="E11020" s="46" t="s">
        <v>7618</v>
      </c>
    </row>
    <row r="11021">
      <c r="A11021" s="56" t="s">
        <v>23685</v>
      </c>
      <c r="B11021" s="21"/>
      <c r="C11021" s="33" t="s">
        <v>11398</v>
      </c>
      <c r="E11021" s="46" t="s">
        <v>7616</v>
      </c>
    </row>
    <row r="11022">
      <c r="A11022" s="56" t="s">
        <v>23687</v>
      </c>
      <c r="B11022" s="21"/>
      <c r="C11022" s="33" t="s">
        <v>11398</v>
      </c>
      <c r="E11022" s="46" t="s">
        <v>7618</v>
      </c>
    </row>
    <row r="11023">
      <c r="A11023" s="56" t="s">
        <v>23689</v>
      </c>
      <c r="B11023" s="21"/>
      <c r="C11023" s="33" t="s">
        <v>11391</v>
      </c>
      <c r="E11023" s="46" t="s">
        <v>7616</v>
      </c>
    </row>
    <row r="11024">
      <c r="A11024" s="56" t="s">
        <v>23690</v>
      </c>
      <c r="B11024" s="21"/>
      <c r="C11024" s="33" t="s">
        <v>11391</v>
      </c>
      <c r="E11024" s="46" t="s">
        <v>7618</v>
      </c>
    </row>
    <row r="11025">
      <c r="A11025" s="56" t="s">
        <v>23691</v>
      </c>
      <c r="B11025" s="21"/>
      <c r="C11025" s="33" t="s">
        <v>11394</v>
      </c>
      <c r="E11025" s="46" t="s">
        <v>7616</v>
      </c>
    </row>
    <row r="11026">
      <c r="A11026" s="56" t="s">
        <v>23692</v>
      </c>
      <c r="B11026" s="21"/>
      <c r="C11026" s="33" t="s">
        <v>11394</v>
      </c>
      <c r="E11026" s="46" t="s">
        <v>7618</v>
      </c>
    </row>
    <row r="11027">
      <c r="A11027" s="56" t="s">
        <v>23693</v>
      </c>
      <c r="B11027" s="21"/>
      <c r="C11027" s="33" t="s">
        <v>11398</v>
      </c>
      <c r="E11027" s="46" t="s">
        <v>7616</v>
      </c>
    </row>
    <row r="11028">
      <c r="A11028" s="56" t="s">
        <v>23695</v>
      </c>
      <c r="B11028" s="21"/>
      <c r="C11028" s="33" t="s">
        <v>11398</v>
      </c>
      <c r="E11028" s="46" t="s">
        <v>7618</v>
      </c>
    </row>
    <row r="11029">
      <c r="A11029" s="56" t="s">
        <v>23697</v>
      </c>
      <c r="B11029" s="21"/>
      <c r="C11029" s="33" t="s">
        <v>11411</v>
      </c>
      <c r="E11029" s="46" t="s">
        <v>7616</v>
      </c>
    </row>
    <row r="11030">
      <c r="A11030" s="56" t="s">
        <v>23698</v>
      </c>
      <c r="B11030" s="21"/>
      <c r="C11030" s="33" t="s">
        <v>11411</v>
      </c>
      <c r="E11030" s="46" t="s">
        <v>7618</v>
      </c>
    </row>
    <row r="11031">
      <c r="A11031" s="56" t="s">
        <v>23699</v>
      </c>
      <c r="B11031" s="21"/>
      <c r="C11031" s="33" t="s">
        <v>11416</v>
      </c>
      <c r="E11031" s="46" t="s">
        <v>7616</v>
      </c>
    </row>
    <row r="11032">
      <c r="A11032" s="56" t="s">
        <v>23701</v>
      </c>
      <c r="B11032" s="21"/>
      <c r="C11032" s="33" t="s">
        <v>11416</v>
      </c>
      <c r="E11032" s="46" t="s">
        <v>7618</v>
      </c>
    </row>
    <row r="11033">
      <c r="A11033" s="56" t="s">
        <v>23702</v>
      </c>
      <c r="B11033" s="21"/>
      <c r="C11033" s="33" t="s">
        <v>11419</v>
      </c>
      <c r="E11033" s="46" t="s">
        <v>7616</v>
      </c>
    </row>
    <row r="11034">
      <c r="A11034" s="56" t="s">
        <v>23703</v>
      </c>
      <c r="B11034" s="21"/>
      <c r="C11034" s="33" t="s">
        <v>11419</v>
      </c>
      <c r="E11034" s="46" t="s">
        <v>7618</v>
      </c>
    </row>
    <row r="11035">
      <c r="A11035" s="56" t="s">
        <v>23706</v>
      </c>
      <c r="B11035" s="21"/>
      <c r="C11035" s="33" t="s">
        <v>11411</v>
      </c>
      <c r="E11035" s="46" t="s">
        <v>7616</v>
      </c>
    </row>
    <row r="11036">
      <c r="A11036" s="56" t="s">
        <v>23708</v>
      </c>
      <c r="B11036" s="21"/>
      <c r="C11036" s="33" t="s">
        <v>11411</v>
      </c>
      <c r="E11036" s="46" t="s">
        <v>7618</v>
      </c>
    </row>
    <row r="11037">
      <c r="A11037" s="56" t="s">
        <v>23709</v>
      </c>
      <c r="B11037" s="21"/>
      <c r="C11037" s="33" t="s">
        <v>11416</v>
      </c>
      <c r="E11037" s="46" t="s">
        <v>7616</v>
      </c>
    </row>
    <row r="11038">
      <c r="A11038" s="56" t="s">
        <v>23710</v>
      </c>
      <c r="B11038" s="21"/>
      <c r="C11038" s="33" t="s">
        <v>11416</v>
      </c>
      <c r="E11038" s="46" t="s">
        <v>7618</v>
      </c>
    </row>
    <row r="11039">
      <c r="A11039" s="56" t="s">
        <v>23711</v>
      </c>
      <c r="B11039" s="21"/>
      <c r="C11039" s="33" t="s">
        <v>11419</v>
      </c>
      <c r="E11039" s="46" t="s">
        <v>7616</v>
      </c>
    </row>
    <row r="11040">
      <c r="A11040" s="56" t="s">
        <v>23712</v>
      </c>
      <c r="B11040" s="21"/>
      <c r="C11040" s="33" t="s">
        <v>11419</v>
      </c>
      <c r="E11040" s="46" t="s">
        <v>7618</v>
      </c>
    </row>
    <row r="11041">
      <c r="A11041" s="56" t="s">
        <v>23713</v>
      </c>
      <c r="B11041" s="55"/>
      <c r="C11041" s="31"/>
    </row>
    <row r="11042">
      <c r="A11042" s="56" t="s">
        <v>23714</v>
      </c>
      <c r="B11042" s="55"/>
      <c r="C11042" s="31"/>
    </row>
    <row r="11043">
      <c r="A11043" s="56" t="s">
        <v>23716</v>
      </c>
      <c r="B11043" s="55"/>
      <c r="C11043" s="31"/>
    </row>
    <row r="11044">
      <c r="A11044" s="56" t="s">
        <v>23719</v>
      </c>
      <c r="B11044" s="55"/>
      <c r="C11044" s="31"/>
    </row>
    <row r="11045">
      <c r="A11045" s="56" t="s">
        <v>23721</v>
      </c>
      <c r="B11045" s="55"/>
      <c r="C11045" s="31"/>
    </row>
    <row r="11046">
      <c r="A11046" s="56" t="s">
        <v>23723</v>
      </c>
      <c r="B11046" s="55"/>
      <c r="C11046" s="31"/>
    </row>
    <row r="11047">
      <c r="A11047" s="56" t="s">
        <v>23724</v>
      </c>
      <c r="B11047" s="55"/>
      <c r="C11047" s="31"/>
    </row>
    <row r="11048">
      <c r="A11048" s="56" t="s">
        <v>23725</v>
      </c>
      <c r="B11048" s="55"/>
      <c r="C11048" s="31"/>
    </row>
    <row r="11049">
      <c r="A11049" s="56" t="s">
        <v>23726</v>
      </c>
      <c r="B11049" s="55"/>
      <c r="C11049" s="31"/>
    </row>
    <row r="11050">
      <c r="A11050" s="56" t="s">
        <v>23727</v>
      </c>
      <c r="B11050" s="55"/>
      <c r="C11050" s="31"/>
    </row>
    <row r="11051">
      <c r="A11051" s="56" t="s">
        <v>23728</v>
      </c>
      <c r="B11051" s="55"/>
      <c r="C11051" s="31"/>
    </row>
    <row r="11052">
      <c r="A11052" s="56" t="s">
        <v>23729</v>
      </c>
      <c r="B11052" s="55"/>
      <c r="C11052" s="31"/>
    </row>
    <row r="11053">
      <c r="A11053" s="56" t="s">
        <v>23730</v>
      </c>
      <c r="B11053" s="55"/>
      <c r="C11053" s="31"/>
    </row>
    <row r="11054">
      <c r="A11054" s="56" t="s">
        <v>23731</v>
      </c>
      <c r="B11054" s="55"/>
      <c r="C11054" s="31"/>
    </row>
    <row r="11055">
      <c r="A11055" s="56" t="s">
        <v>23732</v>
      </c>
      <c r="B11055" s="55"/>
      <c r="C11055" s="31"/>
    </row>
    <row r="11056">
      <c r="A11056" s="56" t="s">
        <v>23733</v>
      </c>
      <c r="B11056" s="55"/>
      <c r="C11056" s="31"/>
    </row>
    <row r="11057">
      <c r="A11057" s="56" t="s">
        <v>23736</v>
      </c>
      <c r="B11057" s="82"/>
      <c r="C11057" s="33" t="s">
        <v>23737</v>
      </c>
    </row>
    <row r="11058">
      <c r="A11058" s="56" t="s">
        <v>23738</v>
      </c>
      <c r="B11058" s="55"/>
      <c r="C11058" s="31"/>
    </row>
    <row r="11059">
      <c r="A11059" s="56" t="s">
        <v>23739</v>
      </c>
      <c r="B11059" s="55"/>
      <c r="C11059" s="31"/>
    </row>
    <row r="11060">
      <c r="A11060" s="56" t="s">
        <v>23740</v>
      </c>
      <c r="B11060" s="55"/>
      <c r="C11060" s="31"/>
    </row>
    <row r="11061">
      <c r="A11061" s="56" t="s">
        <v>23741</v>
      </c>
      <c r="B11061" s="55"/>
      <c r="C11061" s="31"/>
    </row>
    <row r="11062">
      <c r="A11062" s="56" t="s">
        <v>23742</v>
      </c>
      <c r="B11062" s="55"/>
      <c r="C11062" s="31"/>
    </row>
    <row r="11063">
      <c r="A11063" s="56" t="s">
        <v>23743</v>
      </c>
      <c r="B11063" s="55"/>
      <c r="C11063" s="31"/>
    </row>
    <row r="11064">
      <c r="A11064" s="56" t="s">
        <v>23744</v>
      </c>
      <c r="B11064" s="55"/>
      <c r="C11064" s="31"/>
    </row>
    <row r="11065">
      <c r="A11065" s="56" t="s">
        <v>23745</v>
      </c>
      <c r="B11065" s="55"/>
      <c r="C11065" s="31"/>
    </row>
    <row r="11066">
      <c r="A11066" s="56" t="s">
        <v>23746</v>
      </c>
      <c r="B11066" s="55"/>
      <c r="C11066" s="31"/>
    </row>
    <row r="11067">
      <c r="A11067" s="56" t="s">
        <v>23749</v>
      </c>
      <c r="B11067" s="55"/>
      <c r="C11067" s="31"/>
    </row>
    <row r="11068">
      <c r="A11068" s="56" t="s">
        <v>23751</v>
      </c>
      <c r="B11068" s="55"/>
      <c r="C11068" s="31"/>
    </row>
    <row r="11069">
      <c r="A11069" s="56" t="s">
        <v>23753</v>
      </c>
      <c r="B11069" s="55"/>
      <c r="C11069" s="31"/>
    </row>
    <row r="11070">
      <c r="A11070" s="56" t="s">
        <v>23754</v>
      </c>
      <c r="B11070" s="55"/>
      <c r="C11070" s="31"/>
    </row>
    <row r="11071">
      <c r="A11071" s="56" t="s">
        <v>23755</v>
      </c>
      <c r="B11071" s="55"/>
      <c r="C11071" s="31"/>
    </row>
    <row r="11072">
      <c r="A11072" s="56" t="s">
        <v>23756</v>
      </c>
      <c r="B11072" s="55"/>
      <c r="C11072" s="31"/>
    </row>
    <row r="11073">
      <c r="A11073" s="56" t="s">
        <v>23757</v>
      </c>
      <c r="B11073" s="55"/>
      <c r="C11073" s="31"/>
    </row>
    <row r="11074">
      <c r="A11074" s="56" t="s">
        <v>23758</v>
      </c>
      <c r="B11074" s="55"/>
      <c r="C11074" s="31"/>
    </row>
    <row r="11075">
      <c r="A11075" s="56" t="s">
        <v>23760</v>
      </c>
      <c r="B11075" s="55"/>
      <c r="C11075" s="31"/>
    </row>
    <row r="11076">
      <c r="A11076" s="56" t="s">
        <v>23761</v>
      </c>
      <c r="B11076" s="55"/>
      <c r="C11076" s="31"/>
    </row>
    <row r="11077">
      <c r="A11077" s="56" t="s">
        <v>23763</v>
      </c>
      <c r="B11077" s="55"/>
      <c r="C11077" s="31"/>
    </row>
    <row r="11078">
      <c r="A11078" s="56" t="s">
        <v>23764</v>
      </c>
      <c r="B11078" s="55"/>
      <c r="C11078" s="31"/>
    </row>
    <row r="11079">
      <c r="A11079" s="56" t="s">
        <v>23765</v>
      </c>
      <c r="B11079" s="55"/>
      <c r="C11079" s="31"/>
    </row>
    <row r="11080">
      <c r="A11080" s="56" t="s">
        <v>23767</v>
      </c>
      <c r="B11080" s="55"/>
      <c r="C11080" s="31"/>
    </row>
    <row r="11081">
      <c r="A11081" s="56" t="s">
        <v>23768</v>
      </c>
      <c r="B11081" s="55"/>
      <c r="C11081" s="31"/>
    </row>
    <row r="11082">
      <c r="A11082" s="56" t="s">
        <v>23769</v>
      </c>
      <c r="B11082" s="55"/>
      <c r="C11082" s="31"/>
    </row>
    <row r="11083">
      <c r="A11083" s="56" t="s">
        <v>23771</v>
      </c>
      <c r="B11083" s="55"/>
      <c r="C11083" s="31"/>
    </row>
    <row r="11084">
      <c r="A11084" s="56" t="s">
        <v>23772</v>
      </c>
      <c r="B11084" s="55"/>
      <c r="C11084" s="31"/>
    </row>
    <row r="11085">
      <c r="A11085" s="56" t="s">
        <v>23774</v>
      </c>
      <c r="B11085" s="55"/>
      <c r="C11085" s="31"/>
    </row>
    <row r="11086">
      <c r="A11086" s="56" t="s">
        <v>23775</v>
      </c>
      <c r="B11086" s="55"/>
      <c r="C11086" s="31"/>
    </row>
    <row r="11087">
      <c r="A11087" s="56" t="s">
        <v>23776</v>
      </c>
      <c r="B11087" s="55"/>
      <c r="C11087" s="31"/>
    </row>
    <row r="11088">
      <c r="A11088" s="56" t="s">
        <v>23777</v>
      </c>
      <c r="B11088" s="55"/>
      <c r="C11088" s="31"/>
    </row>
    <row r="11089">
      <c r="A11089" s="56" t="s">
        <v>23778</v>
      </c>
      <c r="B11089" s="55"/>
      <c r="C11089" s="31"/>
    </row>
    <row r="11090">
      <c r="A11090" s="56" t="s">
        <v>23779</v>
      </c>
      <c r="B11090" s="55"/>
      <c r="C11090" s="31"/>
    </row>
    <row r="11091">
      <c r="A11091" s="56" t="s">
        <v>23780</v>
      </c>
      <c r="B11091" s="55"/>
      <c r="C11091" s="31"/>
    </row>
    <row r="11092">
      <c r="A11092" s="56" t="s">
        <v>23781</v>
      </c>
      <c r="B11092" s="55"/>
      <c r="C11092" s="31"/>
    </row>
    <row r="11093">
      <c r="A11093" s="56" t="s">
        <v>23782</v>
      </c>
      <c r="B11093" s="55"/>
      <c r="C11093" s="31"/>
    </row>
    <row r="11094">
      <c r="A11094" s="56" t="s">
        <v>23783</v>
      </c>
      <c r="B11094" s="55"/>
      <c r="C11094" s="31"/>
    </row>
    <row r="11095">
      <c r="A11095" s="56" t="s">
        <v>23784</v>
      </c>
      <c r="B11095" s="55"/>
      <c r="C11095" s="31"/>
    </row>
    <row r="11096">
      <c r="A11096" s="56" t="s">
        <v>23786</v>
      </c>
      <c r="B11096" s="55"/>
      <c r="C11096" s="31"/>
    </row>
    <row r="11097">
      <c r="A11097" s="56" t="s">
        <v>23788</v>
      </c>
      <c r="B11097" s="55"/>
      <c r="C11097" s="31"/>
    </row>
    <row r="11098">
      <c r="A11098" s="56" t="s">
        <v>23789</v>
      </c>
      <c r="B11098" s="55"/>
      <c r="C11098" s="31"/>
    </row>
    <row r="11099">
      <c r="A11099" s="56" t="s">
        <v>23790</v>
      </c>
      <c r="B11099" s="55"/>
      <c r="C11099" s="31"/>
    </row>
    <row r="11100">
      <c r="A11100" s="56" t="s">
        <v>23791</v>
      </c>
      <c r="B11100" s="55"/>
      <c r="C11100" s="31"/>
    </row>
    <row r="11101">
      <c r="A11101" s="56" t="s">
        <v>23792</v>
      </c>
      <c r="B11101" s="55"/>
      <c r="C11101" s="31"/>
    </row>
    <row r="11102">
      <c r="A11102" s="56" t="s">
        <v>23795</v>
      </c>
      <c r="B11102" s="55"/>
      <c r="C11102" s="31"/>
    </row>
    <row r="11103">
      <c r="A11103" s="56" t="s">
        <v>23796</v>
      </c>
      <c r="B11103" s="55"/>
      <c r="C11103" s="31"/>
    </row>
    <row r="11104">
      <c r="A11104" s="56" t="s">
        <v>23797</v>
      </c>
      <c r="B11104" s="55"/>
      <c r="C11104" s="31"/>
    </row>
    <row r="11105">
      <c r="A11105" s="56" t="s">
        <v>23798</v>
      </c>
      <c r="B11105" s="55"/>
      <c r="C11105" s="31"/>
    </row>
    <row r="11106">
      <c r="A11106" s="56" t="s">
        <v>23799</v>
      </c>
      <c r="B11106" s="55"/>
      <c r="C11106" s="31"/>
    </row>
    <row r="11107">
      <c r="A11107" s="56" t="s">
        <v>23800</v>
      </c>
      <c r="B11107" s="55"/>
      <c r="C11107" s="31"/>
    </row>
    <row r="11108">
      <c r="A11108" s="56" t="s">
        <v>23801</v>
      </c>
      <c r="B11108" s="55"/>
      <c r="C11108" s="31"/>
    </row>
    <row r="11109">
      <c r="A11109" s="56" t="s">
        <v>23802</v>
      </c>
      <c r="B11109" s="55"/>
      <c r="C11109" s="31"/>
    </row>
    <row r="11110">
      <c r="A11110" s="56" t="s">
        <v>23803</v>
      </c>
      <c r="B11110" s="55"/>
      <c r="C11110" s="31"/>
    </row>
    <row r="11111">
      <c r="A11111" s="56" t="s">
        <v>23804</v>
      </c>
      <c r="B11111" s="55"/>
      <c r="C11111" s="31"/>
    </row>
    <row r="11112">
      <c r="A11112" s="56" t="s">
        <v>23805</v>
      </c>
      <c r="B11112" s="55"/>
      <c r="C11112" s="31"/>
    </row>
    <row r="11113">
      <c r="A11113" s="56" t="s">
        <v>23807</v>
      </c>
      <c r="B11113" s="55"/>
      <c r="C11113" s="31"/>
    </row>
    <row r="11114">
      <c r="A11114" s="56" t="s">
        <v>23809</v>
      </c>
      <c r="B11114" s="55"/>
      <c r="C11114" s="31"/>
    </row>
    <row r="11115">
      <c r="A11115" s="56" t="s">
        <v>23810</v>
      </c>
      <c r="B11115" s="55"/>
      <c r="C11115" s="31"/>
    </row>
    <row r="11116">
      <c r="A11116" s="56" t="s">
        <v>23811</v>
      </c>
      <c r="B11116" s="55"/>
      <c r="C11116" s="31"/>
    </row>
    <row r="11117">
      <c r="A11117" s="56" t="s">
        <v>23812</v>
      </c>
      <c r="B11117" s="55"/>
      <c r="C11117" s="31"/>
    </row>
    <row r="11118">
      <c r="A11118" s="56" t="s">
        <v>23813</v>
      </c>
      <c r="B11118" s="55"/>
      <c r="C11118" s="31"/>
    </row>
    <row r="11119">
      <c r="A11119" s="56" t="s">
        <v>23814</v>
      </c>
      <c r="B11119" s="55"/>
      <c r="C11119" s="31"/>
    </row>
    <row r="11120">
      <c r="A11120" s="56" t="s">
        <v>23815</v>
      </c>
      <c r="B11120" s="55"/>
      <c r="C11120" s="31"/>
    </row>
    <row r="11121">
      <c r="A11121" s="56" t="s">
        <v>23816</v>
      </c>
      <c r="B11121" s="55"/>
      <c r="C11121" s="31"/>
    </row>
    <row r="11122">
      <c r="A11122" s="56" t="s">
        <v>23817</v>
      </c>
      <c r="B11122" s="55"/>
      <c r="C11122" s="31"/>
    </row>
    <row r="11123">
      <c r="A11123" s="56" t="s">
        <v>23819</v>
      </c>
      <c r="B11123" s="55"/>
      <c r="C11123" s="31"/>
    </row>
    <row r="11124">
      <c r="A11124" s="56" t="s">
        <v>23821</v>
      </c>
      <c r="B11124" s="55"/>
      <c r="C11124" s="31"/>
    </row>
    <row r="11125">
      <c r="A11125" s="56" t="s">
        <v>23822</v>
      </c>
      <c r="B11125" s="55"/>
      <c r="C11125" s="31"/>
    </row>
    <row r="11126">
      <c r="A11126" s="56" t="s">
        <v>23823</v>
      </c>
      <c r="B11126" s="55"/>
      <c r="C11126" s="31"/>
    </row>
    <row r="11127">
      <c r="A11127" s="56" t="s">
        <v>23824</v>
      </c>
      <c r="B11127" s="55"/>
      <c r="C11127" s="31"/>
    </row>
    <row r="11128">
      <c r="A11128" s="56" t="s">
        <v>23825</v>
      </c>
      <c r="B11128" s="55"/>
      <c r="C11128" s="31"/>
    </row>
    <row r="11129">
      <c r="A11129" s="56" t="s">
        <v>23826</v>
      </c>
      <c r="B11129" s="55"/>
      <c r="C11129" s="31"/>
    </row>
    <row r="11130">
      <c r="A11130" s="56" t="s">
        <v>23827</v>
      </c>
      <c r="B11130" s="55"/>
      <c r="C11130" s="31"/>
    </row>
    <row r="11131">
      <c r="A11131" s="56" t="s">
        <v>23828</v>
      </c>
      <c r="B11131" s="55"/>
      <c r="C11131" s="31"/>
    </row>
    <row r="11132">
      <c r="A11132" s="56" t="s">
        <v>23829</v>
      </c>
      <c r="B11132" s="55"/>
      <c r="C11132" s="31"/>
    </row>
    <row r="11133">
      <c r="A11133" s="56" t="s">
        <v>23830</v>
      </c>
      <c r="B11133" s="55"/>
      <c r="C11133" s="31"/>
    </row>
    <row r="11134">
      <c r="A11134" s="56" t="s">
        <v>23832</v>
      </c>
      <c r="B11134" s="55"/>
      <c r="C11134" s="31"/>
    </row>
    <row r="11135">
      <c r="A11135" s="56" t="s">
        <v>23833</v>
      </c>
      <c r="B11135" s="55"/>
      <c r="C11135" s="31"/>
    </row>
    <row r="11136">
      <c r="A11136" s="56" t="s">
        <v>23834</v>
      </c>
      <c r="B11136" s="55"/>
      <c r="C11136" s="31"/>
    </row>
    <row r="11137">
      <c r="A11137" s="56" t="s">
        <v>23836</v>
      </c>
      <c r="B11137" s="55"/>
      <c r="C11137" s="31"/>
    </row>
    <row r="11138">
      <c r="A11138" s="56" t="s">
        <v>23837</v>
      </c>
      <c r="B11138" s="55"/>
      <c r="C11138" s="31"/>
    </row>
    <row r="11139">
      <c r="A11139" s="56" t="s">
        <v>23838</v>
      </c>
      <c r="B11139" s="55"/>
      <c r="C11139" s="31"/>
    </row>
    <row r="11140">
      <c r="A11140" s="56" t="s">
        <v>23839</v>
      </c>
      <c r="B11140" s="55"/>
      <c r="C11140" s="31"/>
    </row>
    <row r="11141">
      <c r="A11141" s="56" t="s">
        <v>23840</v>
      </c>
      <c r="B11141" s="55"/>
      <c r="C11141" s="31"/>
    </row>
    <row r="11142">
      <c r="A11142" s="56" t="s">
        <v>23841</v>
      </c>
      <c r="B11142" s="55"/>
      <c r="C11142" s="31"/>
    </row>
    <row r="11143">
      <c r="A11143" s="56" t="s">
        <v>23842</v>
      </c>
      <c r="B11143" s="55"/>
      <c r="C11143" s="31"/>
    </row>
    <row r="11144">
      <c r="A11144" s="56" t="s">
        <v>23843</v>
      </c>
      <c r="B11144" s="55"/>
      <c r="C11144" s="31"/>
    </row>
    <row r="11145">
      <c r="A11145" s="56" t="s">
        <v>23844</v>
      </c>
      <c r="B11145" s="55"/>
      <c r="C11145" s="31"/>
    </row>
    <row r="11146">
      <c r="A11146" s="56" t="s">
        <v>23845</v>
      </c>
      <c r="B11146" s="55"/>
      <c r="C11146" s="31"/>
    </row>
    <row r="11147">
      <c r="A11147" s="56" t="s">
        <v>23846</v>
      </c>
      <c r="B11147" s="55"/>
      <c r="C11147" s="31"/>
    </row>
    <row r="11148">
      <c r="A11148" s="56" t="s">
        <v>23848</v>
      </c>
      <c r="B11148" s="55"/>
      <c r="C11148" s="31"/>
    </row>
    <row r="11149">
      <c r="A11149" s="56" t="s">
        <v>23849</v>
      </c>
      <c r="B11149" s="55"/>
      <c r="C11149" s="31"/>
    </row>
    <row r="11150">
      <c r="A11150" s="56" t="s">
        <v>23851</v>
      </c>
      <c r="B11150" s="55"/>
      <c r="C11150" s="31"/>
    </row>
    <row r="11151">
      <c r="A11151" s="56" t="s">
        <v>23852</v>
      </c>
      <c r="B11151" s="55"/>
      <c r="C11151" s="31"/>
    </row>
    <row r="11152">
      <c r="A11152" s="56" t="s">
        <v>23853</v>
      </c>
      <c r="B11152" s="55"/>
      <c r="C11152" s="31"/>
    </row>
    <row r="11153">
      <c r="A11153" s="56" t="s">
        <v>23854</v>
      </c>
      <c r="B11153" s="55"/>
      <c r="C11153" s="31"/>
    </row>
    <row r="11154">
      <c r="A11154" s="56" t="s">
        <v>23855</v>
      </c>
      <c r="B11154" s="55"/>
      <c r="C11154" s="31"/>
    </row>
    <row r="11155">
      <c r="A11155" s="56" t="s">
        <v>23856</v>
      </c>
      <c r="B11155" s="55"/>
      <c r="C11155" s="31"/>
    </row>
    <row r="11156">
      <c r="A11156" s="56" t="s">
        <v>23858</v>
      </c>
      <c r="B11156" s="55"/>
      <c r="C11156" s="31"/>
    </row>
    <row r="11157">
      <c r="A11157" s="56" t="s">
        <v>23859</v>
      </c>
      <c r="B11157" s="55"/>
      <c r="C11157" s="31"/>
    </row>
    <row r="11158">
      <c r="A11158" s="56" t="s">
        <v>23861</v>
      </c>
      <c r="B11158" s="55"/>
      <c r="C11158" s="31"/>
    </row>
    <row r="11159">
      <c r="A11159" s="56" t="s">
        <v>23862</v>
      </c>
      <c r="B11159" s="55"/>
      <c r="C11159" s="31"/>
    </row>
    <row r="11160">
      <c r="A11160" s="56" t="s">
        <v>23863</v>
      </c>
      <c r="B11160" s="55"/>
      <c r="C11160" s="31"/>
    </row>
    <row r="11161">
      <c r="A11161" s="56" t="s">
        <v>23864</v>
      </c>
      <c r="B11161" s="55"/>
      <c r="C11161" s="31"/>
    </row>
    <row r="11162">
      <c r="A11162" s="56" t="s">
        <v>23865</v>
      </c>
      <c r="B11162" s="55"/>
      <c r="C11162" s="31"/>
    </row>
    <row r="11163">
      <c r="A11163" s="56" t="s">
        <v>23866</v>
      </c>
      <c r="B11163" s="55"/>
      <c r="C11163" s="31"/>
    </row>
    <row r="11164">
      <c r="A11164" s="56" t="s">
        <v>23867</v>
      </c>
      <c r="B11164" s="55"/>
      <c r="C11164" s="31"/>
    </row>
    <row r="11165">
      <c r="A11165" s="56" t="s">
        <v>23868</v>
      </c>
      <c r="B11165" s="55"/>
      <c r="C11165" s="31"/>
    </row>
    <row r="11166">
      <c r="A11166" s="56" t="s">
        <v>23870</v>
      </c>
      <c r="B11166" s="55"/>
      <c r="C11166" s="31"/>
    </row>
    <row r="11167">
      <c r="A11167" s="56" t="s">
        <v>23871</v>
      </c>
      <c r="B11167" s="55"/>
      <c r="C11167" s="31"/>
    </row>
    <row r="11168">
      <c r="A11168" s="56" t="s">
        <v>23872</v>
      </c>
      <c r="B11168" s="55"/>
      <c r="C11168" s="31"/>
    </row>
    <row r="11169">
      <c r="A11169" s="56" t="s">
        <v>23874</v>
      </c>
      <c r="B11169" s="82"/>
      <c r="C11169" s="33" t="s">
        <v>23875</v>
      </c>
    </row>
    <row r="11170">
      <c r="A11170" s="56" t="s">
        <v>23876</v>
      </c>
      <c r="B11170" s="55"/>
      <c r="C11170" s="31"/>
    </row>
    <row r="11171">
      <c r="A11171" s="56" t="s">
        <v>23877</v>
      </c>
      <c r="B11171" s="55"/>
      <c r="C11171" s="31"/>
    </row>
    <row r="11172">
      <c r="A11172" s="56" t="s">
        <v>23878</v>
      </c>
      <c r="B11172" s="55"/>
      <c r="C11172" s="31"/>
    </row>
    <row r="11173">
      <c r="A11173" s="56" t="s">
        <v>23879</v>
      </c>
      <c r="B11173" s="55"/>
      <c r="C11173" s="31"/>
    </row>
    <row r="11174">
      <c r="A11174" s="56" t="s">
        <v>23880</v>
      </c>
      <c r="B11174" s="55"/>
      <c r="C11174" s="31"/>
    </row>
    <row r="11175">
      <c r="A11175" s="56" t="s">
        <v>23881</v>
      </c>
      <c r="B11175" s="55"/>
      <c r="C11175" s="31"/>
    </row>
    <row r="11176">
      <c r="A11176" s="56" t="s">
        <v>23883</v>
      </c>
      <c r="B11176" s="55"/>
      <c r="C11176" s="31"/>
    </row>
    <row r="11177">
      <c r="A11177" s="56" t="s">
        <v>23884</v>
      </c>
      <c r="B11177" s="55"/>
      <c r="C11177" s="31"/>
    </row>
    <row r="11178">
      <c r="A11178" s="56" t="s">
        <v>23886</v>
      </c>
      <c r="B11178" s="55"/>
      <c r="C11178" s="31"/>
    </row>
    <row r="11179">
      <c r="A11179" s="56" t="s">
        <v>23887</v>
      </c>
      <c r="B11179" s="55"/>
      <c r="C11179" s="31"/>
    </row>
    <row r="11180">
      <c r="A11180" s="56" t="s">
        <v>23888</v>
      </c>
      <c r="B11180" s="55"/>
      <c r="C11180" s="31"/>
    </row>
    <row r="11181">
      <c r="A11181" s="56" t="s">
        <v>23889</v>
      </c>
      <c r="B11181" s="55"/>
      <c r="C11181" s="31"/>
    </row>
    <row r="11182">
      <c r="A11182" s="56" t="s">
        <v>23891</v>
      </c>
      <c r="B11182" s="55"/>
      <c r="C11182" s="31"/>
    </row>
    <row r="11183">
      <c r="A11183" s="56" t="s">
        <v>23892</v>
      </c>
      <c r="B11183" s="55"/>
      <c r="C11183" s="31"/>
    </row>
    <row r="11184">
      <c r="A11184" s="56" t="s">
        <v>23893</v>
      </c>
      <c r="B11184" s="55"/>
      <c r="C11184" s="31"/>
    </row>
    <row r="11185">
      <c r="A11185" s="56" t="s">
        <v>23894</v>
      </c>
      <c r="B11185" s="55"/>
      <c r="C11185" s="31"/>
    </row>
    <row r="11186">
      <c r="A11186" s="56" t="s">
        <v>23896</v>
      </c>
      <c r="B11186" s="55"/>
      <c r="C11186" s="31"/>
    </row>
    <row r="11187">
      <c r="A11187" s="56" t="s">
        <v>23897</v>
      </c>
      <c r="B11187" s="55"/>
      <c r="C11187" s="31"/>
    </row>
    <row r="11188">
      <c r="A11188" s="56" t="s">
        <v>23898</v>
      </c>
      <c r="B11188" s="55"/>
      <c r="C11188" s="31"/>
    </row>
    <row r="11189">
      <c r="A11189" s="56" t="s">
        <v>23899</v>
      </c>
      <c r="B11189" s="55"/>
      <c r="C11189" s="31"/>
    </row>
    <row r="11190">
      <c r="A11190" s="56" t="s">
        <v>23900</v>
      </c>
      <c r="B11190" s="55"/>
      <c r="C11190" s="31"/>
    </row>
    <row r="11191">
      <c r="A11191" s="56" t="s">
        <v>23901</v>
      </c>
      <c r="B11191" s="55"/>
      <c r="C11191" s="31"/>
    </row>
    <row r="11192">
      <c r="A11192" s="56" t="s">
        <v>23903</v>
      </c>
      <c r="B11192" s="55"/>
      <c r="C11192" s="31"/>
    </row>
    <row r="11193">
      <c r="A11193" s="56" t="s">
        <v>23904</v>
      </c>
      <c r="B11193" s="55"/>
      <c r="C11193" s="31"/>
    </row>
    <row r="11194">
      <c r="A11194" s="56" t="s">
        <v>23905</v>
      </c>
      <c r="B11194" s="55"/>
      <c r="C11194" s="31"/>
    </row>
    <row r="11195">
      <c r="A11195" s="56" t="s">
        <v>23906</v>
      </c>
      <c r="B11195" s="55"/>
      <c r="C11195" s="31"/>
    </row>
    <row r="11196">
      <c r="A11196" s="56" t="s">
        <v>23907</v>
      </c>
      <c r="B11196" s="55"/>
      <c r="C11196" s="31"/>
    </row>
    <row r="11197">
      <c r="A11197" s="56" t="s">
        <v>23909</v>
      </c>
      <c r="B11197" s="55"/>
      <c r="C11197" s="31"/>
    </row>
    <row r="11198">
      <c r="A11198" s="56" t="s">
        <v>23910</v>
      </c>
      <c r="B11198" s="55"/>
      <c r="C11198" s="31"/>
    </row>
    <row r="11199">
      <c r="A11199" s="56" t="s">
        <v>23911</v>
      </c>
      <c r="B11199" s="55"/>
      <c r="C11199" s="31"/>
    </row>
    <row r="11200">
      <c r="A11200" s="56" t="s">
        <v>23912</v>
      </c>
      <c r="B11200" s="55"/>
      <c r="C11200" s="31"/>
    </row>
    <row r="11201">
      <c r="A11201" s="56" t="s">
        <v>23913</v>
      </c>
      <c r="B11201" s="55"/>
      <c r="C11201" s="31"/>
    </row>
    <row r="11202">
      <c r="A11202" s="56" t="s">
        <v>23914</v>
      </c>
      <c r="B11202" s="55"/>
      <c r="C11202" s="31"/>
    </row>
    <row r="11203">
      <c r="A11203" s="56" t="s">
        <v>23916</v>
      </c>
      <c r="B11203" s="55"/>
      <c r="C11203" s="31"/>
    </row>
    <row r="11204">
      <c r="A11204" s="56" t="s">
        <v>23917</v>
      </c>
      <c r="B11204" s="55"/>
      <c r="C11204" s="31"/>
    </row>
    <row r="11205">
      <c r="A11205" s="56" t="s">
        <v>23918</v>
      </c>
      <c r="B11205" s="55"/>
      <c r="C11205" s="31"/>
    </row>
    <row r="11206">
      <c r="A11206" s="56" t="s">
        <v>23919</v>
      </c>
      <c r="B11206" s="55"/>
      <c r="C11206" s="31"/>
    </row>
    <row r="11207">
      <c r="A11207" s="56" t="s">
        <v>23920</v>
      </c>
      <c r="B11207" s="82"/>
      <c r="C11207" s="33" t="s">
        <v>23921</v>
      </c>
    </row>
    <row r="11208">
      <c r="A11208" s="56" t="s">
        <v>23922</v>
      </c>
      <c r="B11208" s="82"/>
      <c r="C11208" s="33" t="s">
        <v>11373</v>
      </c>
      <c r="E11208" s="46" t="s">
        <v>7616</v>
      </c>
    </row>
    <row r="11209">
      <c r="A11209" s="56" t="s">
        <v>23923</v>
      </c>
      <c r="B11209" s="82"/>
      <c r="C11209" s="33" t="s">
        <v>11373</v>
      </c>
      <c r="E11209" s="46" t="s">
        <v>7618</v>
      </c>
    </row>
    <row r="11210">
      <c r="A11210" s="56" t="s">
        <v>23925</v>
      </c>
      <c r="B11210" s="82"/>
      <c r="C11210" s="33" t="s">
        <v>11376</v>
      </c>
      <c r="E11210" s="46" t="s">
        <v>7616</v>
      </c>
    </row>
    <row r="11211">
      <c r="A11211" s="56" t="s">
        <v>23926</v>
      </c>
      <c r="B11211" s="82"/>
      <c r="C11211" s="33" t="s">
        <v>11376</v>
      </c>
      <c r="E11211" s="46" t="s">
        <v>7618</v>
      </c>
    </row>
    <row r="11212">
      <c r="A11212" s="56" t="s">
        <v>23928</v>
      </c>
      <c r="B11212" s="82"/>
      <c r="C11212" s="33" t="s">
        <v>11380</v>
      </c>
      <c r="E11212" s="46" t="s">
        <v>7616</v>
      </c>
    </row>
    <row r="11213">
      <c r="A11213" s="56" t="s">
        <v>23929</v>
      </c>
      <c r="B11213" s="82"/>
      <c r="C11213" s="33" t="s">
        <v>11380</v>
      </c>
      <c r="E11213" s="46" t="s">
        <v>7618</v>
      </c>
    </row>
    <row r="11214">
      <c r="A11214" s="56" t="s">
        <v>23930</v>
      </c>
      <c r="B11214" s="79"/>
      <c r="C11214" s="33" t="s">
        <v>11384</v>
      </c>
      <c r="E11214" s="46" t="s">
        <v>1348</v>
      </c>
    </row>
    <row r="11215">
      <c r="A11215" s="56" t="s">
        <v>23931</v>
      </c>
      <c r="B11215" s="79"/>
      <c r="C11215" s="33" t="s">
        <v>11384</v>
      </c>
      <c r="E11215" s="46" t="s">
        <v>1348</v>
      </c>
    </row>
    <row r="11216">
      <c r="A11216" s="56" t="s">
        <v>23932</v>
      </c>
      <c r="B11216" s="79"/>
      <c r="C11216" s="33" t="s">
        <v>11389</v>
      </c>
      <c r="E11216" s="46" t="s">
        <v>1348</v>
      </c>
    </row>
    <row r="11217">
      <c r="A11217" s="56" t="s">
        <v>23933</v>
      </c>
      <c r="B11217" s="21"/>
      <c r="C11217" s="33" t="s">
        <v>11391</v>
      </c>
      <c r="E11217" s="46" t="s">
        <v>7616</v>
      </c>
    </row>
    <row r="11218">
      <c r="A11218" s="56" t="s">
        <v>23935</v>
      </c>
      <c r="B11218" s="21"/>
      <c r="C11218" s="33" t="s">
        <v>11391</v>
      </c>
      <c r="E11218" s="46" t="s">
        <v>7618</v>
      </c>
    </row>
    <row r="11219">
      <c r="A11219" s="56" t="s">
        <v>23936</v>
      </c>
      <c r="B11219" s="21"/>
      <c r="C11219" s="33" t="s">
        <v>11394</v>
      </c>
      <c r="E11219" s="46" t="s">
        <v>7616</v>
      </c>
    </row>
    <row r="11220">
      <c r="A11220" s="56" t="s">
        <v>23937</v>
      </c>
      <c r="B11220" s="21"/>
      <c r="C11220" s="33" t="s">
        <v>11394</v>
      </c>
      <c r="E11220" s="46" t="s">
        <v>7618</v>
      </c>
    </row>
    <row r="11221">
      <c r="A11221" s="56" t="s">
        <v>23939</v>
      </c>
      <c r="B11221" s="21"/>
      <c r="C11221" s="33" t="s">
        <v>11398</v>
      </c>
      <c r="E11221" s="46" t="s">
        <v>7616</v>
      </c>
    </row>
    <row r="11222">
      <c r="A11222" s="56" t="s">
        <v>23940</v>
      </c>
      <c r="B11222" s="21"/>
      <c r="C11222" s="33" t="s">
        <v>11398</v>
      </c>
      <c r="E11222" s="46" t="s">
        <v>7618</v>
      </c>
    </row>
    <row r="11223">
      <c r="A11223" s="56" t="s">
        <v>23941</v>
      </c>
      <c r="B11223" s="21"/>
      <c r="C11223" s="33" t="s">
        <v>11391</v>
      </c>
      <c r="E11223" s="46" t="s">
        <v>7616</v>
      </c>
    </row>
    <row r="11224">
      <c r="A11224" s="56" t="s">
        <v>23942</v>
      </c>
      <c r="B11224" s="21"/>
      <c r="C11224" s="33" t="s">
        <v>11391</v>
      </c>
      <c r="E11224" s="46" t="s">
        <v>7618</v>
      </c>
    </row>
    <row r="11225">
      <c r="A11225" s="56" t="s">
        <v>23943</v>
      </c>
      <c r="B11225" s="21"/>
      <c r="C11225" s="33" t="s">
        <v>11394</v>
      </c>
      <c r="E11225" s="46" t="s">
        <v>7616</v>
      </c>
    </row>
    <row r="11226">
      <c r="A11226" s="56" t="s">
        <v>23944</v>
      </c>
      <c r="B11226" s="21"/>
      <c r="C11226" s="33" t="s">
        <v>11394</v>
      </c>
      <c r="E11226" s="46" t="s">
        <v>7618</v>
      </c>
    </row>
    <row r="11227">
      <c r="A11227" s="56" t="s">
        <v>23947</v>
      </c>
      <c r="B11227" s="21"/>
      <c r="C11227" s="33" t="s">
        <v>11398</v>
      </c>
      <c r="E11227" s="46" t="s">
        <v>7616</v>
      </c>
    </row>
    <row r="11228">
      <c r="A11228" s="56" t="s">
        <v>23948</v>
      </c>
      <c r="B11228" s="21"/>
      <c r="C11228" s="33" t="s">
        <v>11398</v>
      </c>
      <c r="E11228" s="46" t="s">
        <v>7618</v>
      </c>
    </row>
    <row r="11229">
      <c r="A11229" s="56" t="s">
        <v>23949</v>
      </c>
      <c r="B11229" s="21"/>
      <c r="C11229" s="33" t="s">
        <v>11411</v>
      </c>
      <c r="E11229" s="46" t="s">
        <v>7616</v>
      </c>
    </row>
    <row r="11230">
      <c r="A11230" s="56" t="s">
        <v>23950</v>
      </c>
      <c r="B11230" s="21"/>
      <c r="C11230" s="33" t="s">
        <v>11411</v>
      </c>
      <c r="E11230" s="46" t="s">
        <v>7618</v>
      </c>
    </row>
    <row r="11231">
      <c r="A11231" s="56" t="s">
        <v>23951</v>
      </c>
      <c r="B11231" s="21"/>
      <c r="C11231" s="33" t="s">
        <v>11416</v>
      </c>
      <c r="E11231" s="46" t="s">
        <v>7616</v>
      </c>
    </row>
    <row r="11232">
      <c r="A11232" s="56" t="s">
        <v>23952</v>
      </c>
      <c r="B11232" s="21"/>
      <c r="C11232" s="33" t="s">
        <v>11416</v>
      </c>
      <c r="E11232" s="46" t="s">
        <v>7618</v>
      </c>
    </row>
    <row r="11233">
      <c r="A11233" s="56" t="s">
        <v>23955</v>
      </c>
      <c r="B11233" s="21"/>
      <c r="C11233" s="33" t="s">
        <v>11419</v>
      </c>
      <c r="E11233" s="46" t="s">
        <v>7616</v>
      </c>
    </row>
    <row r="11234">
      <c r="A11234" s="56" t="s">
        <v>23956</v>
      </c>
      <c r="B11234" s="21"/>
      <c r="C11234" s="33" t="s">
        <v>11419</v>
      </c>
      <c r="E11234" s="46" t="s">
        <v>7618</v>
      </c>
    </row>
    <row r="11235">
      <c r="A11235" s="56" t="s">
        <v>23957</v>
      </c>
      <c r="B11235" s="21"/>
      <c r="C11235" s="33" t="s">
        <v>11411</v>
      </c>
      <c r="E11235" s="46" t="s">
        <v>7616</v>
      </c>
    </row>
    <row r="11236">
      <c r="A11236" s="56" t="s">
        <v>23958</v>
      </c>
      <c r="B11236" s="21"/>
      <c r="C11236" s="33" t="s">
        <v>11411</v>
      </c>
      <c r="E11236" s="46" t="s">
        <v>7618</v>
      </c>
    </row>
    <row r="11237">
      <c r="A11237" s="56" t="s">
        <v>23959</v>
      </c>
      <c r="B11237" s="21"/>
      <c r="C11237" s="33" t="s">
        <v>11416</v>
      </c>
      <c r="E11237" s="46" t="s">
        <v>7616</v>
      </c>
    </row>
    <row r="11238">
      <c r="A11238" s="56" t="s">
        <v>23960</v>
      </c>
      <c r="B11238" s="21"/>
      <c r="C11238" s="33" t="s">
        <v>11416</v>
      </c>
      <c r="E11238" s="46" t="s">
        <v>7618</v>
      </c>
    </row>
    <row r="11239">
      <c r="A11239" s="56" t="s">
        <v>23961</v>
      </c>
      <c r="B11239" s="21"/>
      <c r="C11239" s="33" t="s">
        <v>11419</v>
      </c>
      <c r="E11239" s="46" t="s">
        <v>7616</v>
      </c>
    </row>
    <row r="11240">
      <c r="A11240" s="56" t="s">
        <v>23964</v>
      </c>
      <c r="B11240" s="21"/>
      <c r="C11240" s="33" t="s">
        <v>11419</v>
      </c>
      <c r="E11240" s="46" t="s">
        <v>7618</v>
      </c>
    </row>
    <row r="11241">
      <c r="A11241" s="56" t="s">
        <v>23965</v>
      </c>
      <c r="B11241" s="82"/>
      <c r="C11241" s="33" t="s">
        <v>23966</v>
      </c>
    </row>
    <row r="11242">
      <c r="A11242" s="56" t="s">
        <v>23967</v>
      </c>
      <c r="B11242" s="82"/>
      <c r="C11242" s="33" t="s">
        <v>11373</v>
      </c>
      <c r="E11242" s="46" t="s">
        <v>7616</v>
      </c>
    </row>
    <row r="11243">
      <c r="A11243" s="56" t="s">
        <v>23968</v>
      </c>
      <c r="B11243" s="82"/>
      <c r="C11243" s="33" t="s">
        <v>11373</v>
      </c>
      <c r="E11243" s="46" t="s">
        <v>7618</v>
      </c>
    </row>
    <row r="11244">
      <c r="A11244" s="56" t="s">
        <v>23969</v>
      </c>
      <c r="B11244" s="82"/>
      <c r="C11244" s="33" t="s">
        <v>11376</v>
      </c>
      <c r="E11244" s="46" t="s">
        <v>7616</v>
      </c>
    </row>
    <row r="11245">
      <c r="A11245" s="56" t="s">
        <v>23970</v>
      </c>
      <c r="B11245" s="82"/>
      <c r="C11245" s="33" t="s">
        <v>11376</v>
      </c>
      <c r="E11245" s="46" t="s">
        <v>7618</v>
      </c>
    </row>
    <row r="11246">
      <c r="A11246" s="56" t="s">
        <v>23971</v>
      </c>
      <c r="B11246" s="82"/>
      <c r="C11246" s="33" t="s">
        <v>11380</v>
      </c>
      <c r="E11246" s="46" t="s">
        <v>7616</v>
      </c>
    </row>
    <row r="11247">
      <c r="A11247" s="56" t="s">
        <v>23972</v>
      </c>
      <c r="B11247" s="82"/>
      <c r="C11247" s="33" t="s">
        <v>11380</v>
      </c>
      <c r="E11247" s="46" t="s">
        <v>7618</v>
      </c>
    </row>
    <row r="11248">
      <c r="A11248" s="56" t="s">
        <v>23973</v>
      </c>
      <c r="B11248" s="79"/>
      <c r="C11248" s="33" t="s">
        <v>11384</v>
      </c>
      <c r="E11248" s="46" t="s">
        <v>1348</v>
      </c>
    </row>
    <row r="11249">
      <c r="A11249" s="56" t="s">
        <v>23975</v>
      </c>
      <c r="B11249" s="79"/>
      <c r="C11249" s="33" t="s">
        <v>11384</v>
      </c>
      <c r="E11249" s="46" t="s">
        <v>1348</v>
      </c>
    </row>
    <row r="11250">
      <c r="A11250" s="56" t="s">
        <v>23977</v>
      </c>
      <c r="B11250" s="79"/>
      <c r="C11250" s="33" t="s">
        <v>11389</v>
      </c>
      <c r="E11250" s="46" t="s">
        <v>1348</v>
      </c>
    </row>
    <row r="11251">
      <c r="A11251" s="56" t="s">
        <v>23978</v>
      </c>
      <c r="B11251" s="21"/>
      <c r="C11251" s="33" t="s">
        <v>11391</v>
      </c>
      <c r="E11251" s="46" t="s">
        <v>7616</v>
      </c>
    </row>
    <row r="11252">
      <c r="A11252" s="56" t="s">
        <v>23979</v>
      </c>
      <c r="B11252" s="21"/>
      <c r="C11252" s="33" t="s">
        <v>11391</v>
      </c>
      <c r="E11252" s="46" t="s">
        <v>7618</v>
      </c>
    </row>
    <row r="11253">
      <c r="A11253" s="56" t="s">
        <v>23980</v>
      </c>
      <c r="B11253" s="21"/>
      <c r="C11253" s="33" t="s">
        <v>11394</v>
      </c>
      <c r="E11253" s="46" t="s">
        <v>7616</v>
      </c>
    </row>
    <row r="11254">
      <c r="A11254" s="56" t="s">
        <v>23982</v>
      </c>
      <c r="B11254" s="21"/>
      <c r="C11254" s="33" t="s">
        <v>11394</v>
      </c>
      <c r="E11254" s="46" t="s">
        <v>7618</v>
      </c>
    </row>
    <row r="11255">
      <c r="A11255" s="56" t="s">
        <v>23985</v>
      </c>
      <c r="B11255" s="21"/>
      <c r="C11255" s="33" t="s">
        <v>11398</v>
      </c>
      <c r="E11255" s="46" t="s">
        <v>7616</v>
      </c>
    </row>
    <row r="11256">
      <c r="A11256" s="56" t="s">
        <v>23986</v>
      </c>
      <c r="B11256" s="21"/>
      <c r="C11256" s="33" t="s">
        <v>11398</v>
      </c>
      <c r="E11256" s="46" t="s">
        <v>7618</v>
      </c>
    </row>
    <row r="11257">
      <c r="A11257" s="56" t="s">
        <v>23987</v>
      </c>
      <c r="B11257" s="21"/>
      <c r="C11257" s="33" t="s">
        <v>11391</v>
      </c>
      <c r="E11257" s="46" t="s">
        <v>7616</v>
      </c>
    </row>
    <row r="11258">
      <c r="A11258" s="56" t="s">
        <v>23988</v>
      </c>
      <c r="B11258" s="21"/>
      <c r="C11258" s="33" t="s">
        <v>11391</v>
      </c>
      <c r="E11258" s="46" t="s">
        <v>7618</v>
      </c>
    </row>
    <row r="11259">
      <c r="A11259" s="56" t="s">
        <v>23989</v>
      </c>
      <c r="B11259" s="21"/>
      <c r="C11259" s="33" t="s">
        <v>11394</v>
      </c>
      <c r="E11259" s="46" t="s">
        <v>7616</v>
      </c>
    </row>
    <row r="11260">
      <c r="A11260" s="56" t="s">
        <v>23990</v>
      </c>
      <c r="B11260" s="21"/>
      <c r="C11260" s="33" t="s">
        <v>11394</v>
      </c>
      <c r="E11260" s="46" t="s">
        <v>7618</v>
      </c>
    </row>
    <row r="11261">
      <c r="A11261" s="56" t="s">
        <v>23991</v>
      </c>
      <c r="B11261" s="21"/>
      <c r="C11261" s="33" t="s">
        <v>11398</v>
      </c>
      <c r="E11261" s="46" t="s">
        <v>7616</v>
      </c>
    </row>
    <row r="11262">
      <c r="A11262" s="56" t="s">
        <v>23992</v>
      </c>
      <c r="B11262" s="21"/>
      <c r="C11262" s="33" t="s">
        <v>11398</v>
      </c>
      <c r="E11262" s="46" t="s">
        <v>7618</v>
      </c>
    </row>
    <row r="11263">
      <c r="A11263" s="56" t="s">
        <v>23993</v>
      </c>
      <c r="B11263" s="21"/>
      <c r="C11263" s="33" t="s">
        <v>11411</v>
      </c>
      <c r="E11263" s="46" t="s">
        <v>7616</v>
      </c>
    </row>
    <row r="11264">
      <c r="A11264" s="56" t="s">
        <v>23995</v>
      </c>
      <c r="B11264" s="21"/>
      <c r="C11264" s="33" t="s">
        <v>11411</v>
      </c>
      <c r="E11264" s="46" t="s">
        <v>7618</v>
      </c>
    </row>
    <row r="11265">
      <c r="A11265" s="56" t="s">
        <v>23996</v>
      </c>
      <c r="B11265" s="21"/>
      <c r="C11265" s="33" t="s">
        <v>11416</v>
      </c>
      <c r="E11265" s="46" t="s">
        <v>7616</v>
      </c>
    </row>
    <row r="11266">
      <c r="A11266" s="56" t="s">
        <v>23997</v>
      </c>
      <c r="B11266" s="21"/>
      <c r="C11266" s="33" t="s">
        <v>11416</v>
      </c>
      <c r="E11266" s="46" t="s">
        <v>7618</v>
      </c>
    </row>
    <row r="11267">
      <c r="A11267" s="56" t="s">
        <v>23999</v>
      </c>
      <c r="B11267" s="21"/>
      <c r="C11267" s="33" t="s">
        <v>11419</v>
      </c>
      <c r="E11267" s="46" t="s">
        <v>7616</v>
      </c>
    </row>
    <row r="11268">
      <c r="A11268" s="56" t="s">
        <v>24000</v>
      </c>
      <c r="B11268" s="21"/>
      <c r="C11268" s="33" t="s">
        <v>11419</v>
      </c>
      <c r="E11268" s="46" t="s">
        <v>7618</v>
      </c>
    </row>
    <row r="11269">
      <c r="A11269" s="56" t="s">
        <v>24002</v>
      </c>
      <c r="B11269" s="21"/>
      <c r="C11269" s="33" t="s">
        <v>11411</v>
      </c>
      <c r="E11269" s="46" t="s">
        <v>7616</v>
      </c>
    </row>
    <row r="11270">
      <c r="A11270" s="56" t="s">
        <v>24003</v>
      </c>
      <c r="B11270" s="21"/>
      <c r="C11270" s="33" t="s">
        <v>11411</v>
      </c>
      <c r="E11270" s="46" t="s">
        <v>7618</v>
      </c>
    </row>
    <row r="11271">
      <c r="A11271" s="56" t="s">
        <v>24006</v>
      </c>
      <c r="B11271" s="21"/>
      <c r="C11271" s="33" t="s">
        <v>11416</v>
      </c>
      <c r="E11271" s="46" t="s">
        <v>7616</v>
      </c>
    </row>
    <row r="11272">
      <c r="A11272" s="56" t="s">
        <v>24007</v>
      </c>
      <c r="B11272" s="21"/>
      <c r="C11272" s="33" t="s">
        <v>11416</v>
      </c>
      <c r="E11272" s="46" t="s">
        <v>7618</v>
      </c>
    </row>
    <row r="11273">
      <c r="A11273" s="56" t="s">
        <v>24008</v>
      </c>
      <c r="B11273" s="21"/>
      <c r="C11273" s="33" t="s">
        <v>11419</v>
      </c>
      <c r="E11273" s="46" t="s">
        <v>7616</v>
      </c>
    </row>
    <row r="11274">
      <c r="A11274" s="56" t="s">
        <v>24009</v>
      </c>
      <c r="B11274" s="21"/>
      <c r="C11274" s="33" t="s">
        <v>11419</v>
      </c>
      <c r="E11274" s="46" t="s">
        <v>7618</v>
      </c>
    </row>
    <row r="11275">
      <c r="A11275" s="56" t="s">
        <v>24010</v>
      </c>
      <c r="B11275" s="82"/>
      <c r="C11275" s="33" t="s">
        <v>24011</v>
      </c>
    </row>
    <row r="11276">
      <c r="A11276" s="56" t="s">
        <v>24012</v>
      </c>
      <c r="B11276" s="82"/>
      <c r="C11276" s="33" t="s">
        <v>11373</v>
      </c>
      <c r="E11276" s="46" t="s">
        <v>7616</v>
      </c>
    </row>
    <row r="11277">
      <c r="A11277" s="56" t="s">
        <v>24013</v>
      </c>
      <c r="B11277" s="82"/>
      <c r="C11277" s="33" t="s">
        <v>11373</v>
      </c>
      <c r="E11277" s="46" t="s">
        <v>7618</v>
      </c>
    </row>
    <row r="11278">
      <c r="A11278" s="56" t="s">
        <v>24015</v>
      </c>
      <c r="B11278" s="82"/>
      <c r="C11278" s="33" t="s">
        <v>11376</v>
      </c>
      <c r="E11278" s="46" t="s">
        <v>7616</v>
      </c>
    </row>
    <row r="11279">
      <c r="A11279" s="56" t="s">
        <v>24017</v>
      </c>
      <c r="B11279" s="82"/>
      <c r="C11279" s="33" t="s">
        <v>11376</v>
      </c>
      <c r="E11279" s="46" t="s">
        <v>7618</v>
      </c>
    </row>
    <row r="11280">
      <c r="A11280" s="56" t="s">
        <v>24018</v>
      </c>
      <c r="B11280" s="82"/>
      <c r="C11280" s="33" t="s">
        <v>11380</v>
      </c>
      <c r="E11280" s="46" t="s">
        <v>7616</v>
      </c>
    </row>
    <row r="11281">
      <c r="A11281" s="56" t="s">
        <v>24019</v>
      </c>
      <c r="B11281" s="82"/>
      <c r="C11281" s="33" t="s">
        <v>11380</v>
      </c>
      <c r="E11281" s="46" t="s">
        <v>7618</v>
      </c>
    </row>
    <row r="11282">
      <c r="A11282" s="56" t="s">
        <v>24020</v>
      </c>
      <c r="B11282" s="79"/>
      <c r="C11282" s="33" t="s">
        <v>11384</v>
      </c>
      <c r="E11282" s="46" t="s">
        <v>1348</v>
      </c>
    </row>
    <row r="11283">
      <c r="A11283" s="56" t="s">
        <v>24021</v>
      </c>
      <c r="B11283" s="79"/>
      <c r="C11283" s="33" t="s">
        <v>11384</v>
      </c>
      <c r="E11283" s="46" t="s">
        <v>1348</v>
      </c>
    </row>
    <row r="11284">
      <c r="A11284" s="56" t="s">
        <v>24022</v>
      </c>
      <c r="B11284" s="79"/>
      <c r="C11284" s="33" t="s">
        <v>11389</v>
      </c>
      <c r="E11284" s="46" t="s">
        <v>1348</v>
      </c>
    </row>
    <row r="11285">
      <c r="A11285" s="56" t="s">
        <v>24024</v>
      </c>
      <c r="B11285" s="21"/>
      <c r="C11285" s="33" t="s">
        <v>11391</v>
      </c>
      <c r="E11285" s="46" t="s">
        <v>7616</v>
      </c>
    </row>
    <row r="11286">
      <c r="A11286" s="56" t="s">
        <v>24025</v>
      </c>
      <c r="B11286" s="21"/>
      <c r="C11286" s="33" t="s">
        <v>11391</v>
      </c>
      <c r="E11286" s="46" t="s">
        <v>7618</v>
      </c>
    </row>
    <row r="11287">
      <c r="A11287" s="56" t="s">
        <v>24027</v>
      </c>
      <c r="B11287" s="21"/>
      <c r="C11287" s="33" t="s">
        <v>11394</v>
      </c>
      <c r="E11287" s="46" t="s">
        <v>7616</v>
      </c>
    </row>
    <row r="11288">
      <c r="A11288" s="56" t="s">
        <v>24028</v>
      </c>
      <c r="B11288" s="21"/>
      <c r="C11288" s="33" t="s">
        <v>11394</v>
      </c>
      <c r="E11288" s="46" t="s">
        <v>7618</v>
      </c>
    </row>
    <row r="11289">
      <c r="A11289" s="56" t="s">
        <v>24029</v>
      </c>
      <c r="B11289" s="21"/>
      <c r="C11289" s="33" t="s">
        <v>11398</v>
      </c>
      <c r="E11289" s="46" t="s">
        <v>7616</v>
      </c>
    </row>
    <row r="11290">
      <c r="A11290" s="56" t="s">
        <v>24030</v>
      </c>
      <c r="B11290" s="21"/>
      <c r="C11290" s="33" t="s">
        <v>11398</v>
      </c>
      <c r="E11290" s="46" t="s">
        <v>7618</v>
      </c>
    </row>
    <row r="11291">
      <c r="A11291" s="56" t="s">
        <v>24031</v>
      </c>
      <c r="B11291" s="21"/>
      <c r="C11291" s="33" t="s">
        <v>11391</v>
      </c>
      <c r="E11291" s="46" t="s">
        <v>7616</v>
      </c>
    </row>
    <row r="11292">
      <c r="A11292" s="56" t="s">
        <v>24032</v>
      </c>
      <c r="B11292" s="21"/>
      <c r="C11292" s="33" t="s">
        <v>11391</v>
      </c>
      <c r="E11292" s="46" t="s">
        <v>7618</v>
      </c>
    </row>
    <row r="11293">
      <c r="A11293" s="56" t="s">
        <v>24034</v>
      </c>
      <c r="B11293" s="21"/>
      <c r="C11293" s="33" t="s">
        <v>11394</v>
      </c>
      <c r="E11293" s="46" t="s">
        <v>7616</v>
      </c>
    </row>
    <row r="11294">
      <c r="A11294" s="56" t="s">
        <v>24035</v>
      </c>
      <c r="B11294" s="21"/>
      <c r="C11294" s="33" t="s">
        <v>11394</v>
      </c>
      <c r="E11294" s="46" t="s">
        <v>7618</v>
      </c>
    </row>
    <row r="11295">
      <c r="A11295" s="56" t="s">
        <v>24037</v>
      </c>
      <c r="B11295" s="21"/>
      <c r="C11295" s="33" t="s">
        <v>11398</v>
      </c>
      <c r="E11295" s="46" t="s">
        <v>7616</v>
      </c>
    </row>
    <row r="11296">
      <c r="A11296" s="56" t="s">
        <v>24038</v>
      </c>
      <c r="B11296" s="21"/>
      <c r="C11296" s="33" t="s">
        <v>11398</v>
      </c>
      <c r="E11296" s="46" t="s">
        <v>7618</v>
      </c>
    </row>
    <row r="11297">
      <c r="A11297" s="56" t="s">
        <v>24039</v>
      </c>
      <c r="B11297" s="21"/>
      <c r="C11297" s="33" t="s">
        <v>11411</v>
      </c>
      <c r="E11297" s="46" t="s">
        <v>7616</v>
      </c>
    </row>
    <row r="11298">
      <c r="A11298" s="56" t="s">
        <v>24040</v>
      </c>
      <c r="B11298" s="21"/>
      <c r="C11298" s="33" t="s">
        <v>11411</v>
      </c>
      <c r="E11298" s="46" t="s">
        <v>7618</v>
      </c>
    </row>
    <row r="11299">
      <c r="A11299" s="56" t="s">
        <v>24041</v>
      </c>
      <c r="B11299" s="21"/>
      <c r="C11299" s="33" t="s">
        <v>11416</v>
      </c>
      <c r="E11299" s="46" t="s">
        <v>7616</v>
      </c>
    </row>
    <row r="11300">
      <c r="A11300" s="56" t="s">
        <v>24042</v>
      </c>
      <c r="B11300" s="21"/>
      <c r="C11300" s="33" t="s">
        <v>11416</v>
      </c>
      <c r="E11300" s="46" t="s">
        <v>7618</v>
      </c>
    </row>
    <row r="11301">
      <c r="A11301" s="56" t="s">
        <v>24044</v>
      </c>
      <c r="B11301" s="21"/>
      <c r="C11301" s="33" t="s">
        <v>11419</v>
      </c>
      <c r="E11301" s="46" t="s">
        <v>7616</v>
      </c>
    </row>
    <row r="11302">
      <c r="A11302" s="56" t="s">
        <v>24045</v>
      </c>
      <c r="B11302" s="21"/>
      <c r="C11302" s="33" t="s">
        <v>11419</v>
      </c>
      <c r="E11302" s="46" t="s">
        <v>7618</v>
      </c>
    </row>
    <row r="11303">
      <c r="A11303" s="56" t="s">
        <v>24047</v>
      </c>
      <c r="B11303" s="21"/>
      <c r="C11303" s="33" t="s">
        <v>11411</v>
      </c>
      <c r="E11303" s="46" t="s">
        <v>7616</v>
      </c>
    </row>
    <row r="11304">
      <c r="A11304" s="56" t="s">
        <v>24048</v>
      </c>
      <c r="B11304" s="21"/>
      <c r="C11304" s="33" t="s">
        <v>11411</v>
      </c>
      <c r="E11304" s="46" t="s">
        <v>7618</v>
      </c>
    </row>
    <row r="11305">
      <c r="A11305" s="56" t="s">
        <v>24049</v>
      </c>
      <c r="B11305" s="21"/>
      <c r="C11305" s="33" t="s">
        <v>11416</v>
      </c>
      <c r="E11305" s="46" t="s">
        <v>7616</v>
      </c>
    </row>
    <row r="11306">
      <c r="A11306" s="56" t="s">
        <v>24050</v>
      </c>
      <c r="B11306" s="21"/>
      <c r="C11306" s="33" t="s">
        <v>11416</v>
      </c>
      <c r="E11306" s="46" t="s">
        <v>7618</v>
      </c>
    </row>
    <row r="11307">
      <c r="A11307" s="56" t="s">
        <v>24051</v>
      </c>
      <c r="B11307" s="21"/>
      <c r="C11307" s="33" t="s">
        <v>11419</v>
      </c>
      <c r="E11307" s="46" t="s">
        <v>7616</v>
      </c>
    </row>
    <row r="11308">
      <c r="A11308" s="56" t="s">
        <v>24052</v>
      </c>
      <c r="B11308" s="21"/>
      <c r="C11308" s="33" t="s">
        <v>11419</v>
      </c>
      <c r="E11308" s="46" t="s">
        <v>7618</v>
      </c>
    </row>
    <row r="11309">
      <c r="A11309" s="56" t="s">
        <v>24054</v>
      </c>
      <c r="B11309" s="82"/>
      <c r="C11309" s="33" t="s">
        <v>24055</v>
      </c>
    </row>
    <row r="11310">
      <c r="A11310" s="56" t="s">
        <v>24056</v>
      </c>
      <c r="B11310" s="82"/>
      <c r="C11310" s="33" t="s">
        <v>11373</v>
      </c>
      <c r="E11310" s="46" t="s">
        <v>7616</v>
      </c>
    </row>
    <row r="11311">
      <c r="A11311" s="56" t="s">
        <v>24057</v>
      </c>
      <c r="B11311" s="82"/>
      <c r="C11311" s="33" t="s">
        <v>11373</v>
      </c>
      <c r="E11311" s="46" t="s">
        <v>7618</v>
      </c>
    </row>
    <row r="11312">
      <c r="A11312" s="56" t="s">
        <v>24060</v>
      </c>
      <c r="B11312" s="82"/>
      <c r="C11312" s="33" t="s">
        <v>11376</v>
      </c>
      <c r="E11312" s="46" t="s">
        <v>7616</v>
      </c>
    </row>
    <row r="11313">
      <c r="A11313" s="56" t="s">
        <v>24062</v>
      </c>
      <c r="B11313" s="82"/>
      <c r="C11313" s="33" t="s">
        <v>11376</v>
      </c>
      <c r="E11313" s="46" t="s">
        <v>7618</v>
      </c>
    </row>
    <row r="11314">
      <c r="A11314" s="56" t="s">
        <v>24063</v>
      </c>
      <c r="B11314" s="82"/>
      <c r="C11314" s="33" t="s">
        <v>11380</v>
      </c>
      <c r="E11314" s="46" t="s">
        <v>7616</v>
      </c>
    </row>
    <row r="11315">
      <c r="A11315" s="56" t="s">
        <v>24064</v>
      </c>
      <c r="B11315" s="82"/>
      <c r="C11315" s="33" t="s">
        <v>11380</v>
      </c>
      <c r="E11315" s="46" t="s">
        <v>7618</v>
      </c>
    </row>
    <row r="11316">
      <c r="A11316" s="56" t="s">
        <v>24065</v>
      </c>
      <c r="B11316" s="79"/>
      <c r="C11316" s="33" t="s">
        <v>11384</v>
      </c>
      <c r="E11316" s="46" t="s">
        <v>1348</v>
      </c>
    </row>
    <row r="11317">
      <c r="A11317" s="56" t="s">
        <v>24066</v>
      </c>
      <c r="B11317" s="79"/>
      <c r="C11317" s="33" t="s">
        <v>11384</v>
      </c>
      <c r="E11317" s="46" t="s">
        <v>1348</v>
      </c>
    </row>
    <row r="11318">
      <c r="A11318" s="56" t="s">
        <v>24067</v>
      </c>
      <c r="B11318" s="79"/>
      <c r="C11318" s="33" t="s">
        <v>11389</v>
      </c>
      <c r="E11318" s="46" t="s">
        <v>1348</v>
      </c>
    </row>
    <row r="11319">
      <c r="A11319" s="56" t="s">
        <v>24068</v>
      </c>
      <c r="B11319" s="21"/>
      <c r="C11319" s="33" t="s">
        <v>11391</v>
      </c>
      <c r="E11319" s="46" t="s">
        <v>7616</v>
      </c>
    </row>
    <row r="11320">
      <c r="A11320" s="56" t="s">
        <v>24070</v>
      </c>
      <c r="B11320" s="21"/>
      <c r="C11320" s="33" t="s">
        <v>11391</v>
      </c>
      <c r="E11320" s="46" t="s">
        <v>7618</v>
      </c>
    </row>
    <row r="11321">
      <c r="A11321" s="56" t="s">
        <v>24072</v>
      </c>
      <c r="B11321" s="21"/>
      <c r="C11321" s="33" t="s">
        <v>11394</v>
      </c>
      <c r="E11321" s="46" t="s">
        <v>7616</v>
      </c>
    </row>
    <row r="11322">
      <c r="A11322" s="56" t="s">
        <v>24074</v>
      </c>
      <c r="B11322" s="21"/>
      <c r="C11322" s="33" t="s">
        <v>11394</v>
      </c>
      <c r="E11322" s="46" t="s">
        <v>7618</v>
      </c>
    </row>
    <row r="11323">
      <c r="A11323" s="56" t="s">
        <v>24075</v>
      </c>
      <c r="B11323" s="21"/>
      <c r="C11323" s="33" t="s">
        <v>11398</v>
      </c>
      <c r="E11323" s="46" t="s">
        <v>7616</v>
      </c>
    </row>
    <row r="11324">
      <c r="A11324" s="56" t="s">
        <v>24077</v>
      </c>
      <c r="B11324" s="21"/>
      <c r="C11324" s="33" t="s">
        <v>11398</v>
      </c>
      <c r="E11324" s="46" t="s">
        <v>7618</v>
      </c>
    </row>
    <row r="11325">
      <c r="A11325" s="56" t="s">
        <v>24078</v>
      </c>
      <c r="B11325" s="21"/>
      <c r="C11325" s="33" t="s">
        <v>11391</v>
      </c>
      <c r="E11325" s="46" t="s">
        <v>7616</v>
      </c>
    </row>
    <row r="11326">
      <c r="A11326" s="56" t="s">
        <v>24079</v>
      </c>
      <c r="B11326" s="21"/>
      <c r="C11326" s="33" t="s">
        <v>11391</v>
      </c>
      <c r="E11326" s="46" t="s">
        <v>7618</v>
      </c>
    </row>
    <row r="11327">
      <c r="A11327" s="56" t="s">
        <v>24080</v>
      </c>
      <c r="B11327" s="21"/>
      <c r="C11327" s="33" t="s">
        <v>11394</v>
      </c>
      <c r="E11327" s="46" t="s">
        <v>7616</v>
      </c>
    </row>
    <row r="11328">
      <c r="A11328" s="56" t="s">
        <v>24082</v>
      </c>
      <c r="B11328" s="21"/>
      <c r="C11328" s="33" t="s">
        <v>11394</v>
      </c>
      <c r="E11328" s="46" t="s">
        <v>7618</v>
      </c>
    </row>
    <row r="11329">
      <c r="A11329" s="56" t="s">
        <v>24083</v>
      </c>
      <c r="B11329" s="21"/>
      <c r="C11329" s="33" t="s">
        <v>11398</v>
      </c>
      <c r="E11329" s="46" t="s">
        <v>7616</v>
      </c>
    </row>
    <row r="11330">
      <c r="A11330" s="56" t="s">
        <v>24084</v>
      </c>
      <c r="B11330" s="21"/>
      <c r="C11330" s="33" t="s">
        <v>11398</v>
      </c>
      <c r="E11330" s="46" t="s">
        <v>7618</v>
      </c>
    </row>
    <row r="11331">
      <c r="A11331" s="56" t="s">
        <v>24085</v>
      </c>
      <c r="B11331" s="21"/>
      <c r="C11331" s="33" t="s">
        <v>11411</v>
      </c>
      <c r="E11331" s="46" t="s">
        <v>7616</v>
      </c>
    </row>
    <row r="11332">
      <c r="A11332" s="56" t="s">
        <v>24087</v>
      </c>
      <c r="B11332" s="21"/>
      <c r="C11332" s="33" t="s">
        <v>11411</v>
      </c>
      <c r="E11332" s="46" t="s">
        <v>7618</v>
      </c>
    </row>
    <row r="11333">
      <c r="A11333" s="56" t="s">
        <v>24088</v>
      </c>
      <c r="B11333" s="21"/>
      <c r="C11333" s="33" t="s">
        <v>11416</v>
      </c>
      <c r="E11333" s="46" t="s">
        <v>7616</v>
      </c>
    </row>
    <row r="11334">
      <c r="A11334" s="56" t="s">
        <v>24089</v>
      </c>
      <c r="B11334" s="21"/>
      <c r="C11334" s="33" t="s">
        <v>11416</v>
      </c>
      <c r="E11334" s="46" t="s">
        <v>7618</v>
      </c>
    </row>
    <row r="11335">
      <c r="A11335" s="56" t="s">
        <v>24091</v>
      </c>
      <c r="B11335" s="21"/>
      <c r="C11335" s="33" t="s">
        <v>11419</v>
      </c>
      <c r="E11335" s="46" t="s">
        <v>7616</v>
      </c>
    </row>
    <row r="11336">
      <c r="A11336" s="56" t="s">
        <v>24092</v>
      </c>
      <c r="B11336" s="21"/>
      <c r="C11336" s="33" t="s">
        <v>11419</v>
      </c>
      <c r="E11336" s="46" t="s">
        <v>7618</v>
      </c>
    </row>
    <row r="11337">
      <c r="A11337" s="56" t="s">
        <v>24093</v>
      </c>
      <c r="B11337" s="21"/>
      <c r="C11337" s="33" t="s">
        <v>11411</v>
      </c>
      <c r="E11337" s="46" t="s">
        <v>7616</v>
      </c>
    </row>
    <row r="11338">
      <c r="A11338" s="56" t="s">
        <v>24094</v>
      </c>
      <c r="B11338" s="21"/>
      <c r="C11338" s="33" t="s">
        <v>11411</v>
      </c>
      <c r="E11338" s="46" t="s">
        <v>7618</v>
      </c>
    </row>
    <row r="11339">
      <c r="A11339" s="56" t="s">
        <v>24095</v>
      </c>
      <c r="B11339" s="21"/>
      <c r="C11339" s="33" t="s">
        <v>11416</v>
      </c>
      <c r="E11339" s="46" t="s">
        <v>7616</v>
      </c>
    </row>
    <row r="11340">
      <c r="A11340" s="56" t="s">
        <v>24096</v>
      </c>
      <c r="B11340" s="21"/>
      <c r="C11340" s="33" t="s">
        <v>11416</v>
      </c>
      <c r="E11340" s="46" t="s">
        <v>7618</v>
      </c>
    </row>
    <row r="11341">
      <c r="A11341" s="56" t="s">
        <v>24097</v>
      </c>
      <c r="B11341" s="21"/>
      <c r="C11341" s="33" t="s">
        <v>11419</v>
      </c>
      <c r="E11341" s="46" t="s">
        <v>7616</v>
      </c>
    </row>
    <row r="11342">
      <c r="A11342" s="56" t="s">
        <v>24099</v>
      </c>
      <c r="B11342" s="21"/>
      <c r="C11342" s="33" t="s">
        <v>11419</v>
      </c>
      <c r="E11342" s="46" t="s">
        <v>7618</v>
      </c>
    </row>
    <row r="11343">
      <c r="A11343" s="56" t="s">
        <v>24100</v>
      </c>
      <c r="B11343" s="55"/>
      <c r="C11343" s="31"/>
    </row>
    <row r="11344">
      <c r="A11344" s="56" t="s">
        <v>24102</v>
      </c>
      <c r="B11344" s="55"/>
      <c r="C11344" s="31"/>
    </row>
    <row r="11345">
      <c r="A11345" s="56" t="s">
        <v>24103</v>
      </c>
      <c r="B11345" s="55"/>
      <c r="C11345" s="31"/>
    </row>
    <row r="11346">
      <c r="A11346" s="56" t="s">
        <v>24104</v>
      </c>
      <c r="B11346" s="55"/>
      <c r="C11346" s="31"/>
    </row>
    <row r="11347">
      <c r="A11347" s="56" t="s">
        <v>24105</v>
      </c>
      <c r="B11347" s="55"/>
      <c r="C11347" s="31"/>
    </row>
    <row r="11348">
      <c r="A11348" s="56" t="s">
        <v>24106</v>
      </c>
      <c r="B11348" s="55"/>
      <c r="C11348" s="31"/>
    </row>
    <row r="11349">
      <c r="A11349" s="56" t="s">
        <v>24107</v>
      </c>
      <c r="B11349" s="55"/>
      <c r="C11349" s="31"/>
    </row>
    <row r="11350">
      <c r="A11350" s="56" t="s">
        <v>24108</v>
      </c>
      <c r="B11350" s="55"/>
      <c r="C11350" s="31"/>
    </row>
    <row r="11351">
      <c r="A11351" s="56" t="s">
        <v>24109</v>
      </c>
      <c r="B11351" s="82"/>
      <c r="C11351" s="33" t="s">
        <v>24110</v>
      </c>
    </row>
    <row r="11352">
      <c r="A11352" s="56" t="s">
        <v>24111</v>
      </c>
      <c r="B11352" s="82"/>
      <c r="C11352" s="33" t="s">
        <v>11373</v>
      </c>
      <c r="E11352" s="46" t="s">
        <v>7616</v>
      </c>
    </row>
    <row r="11353">
      <c r="A11353" s="56" t="s">
        <v>24113</v>
      </c>
      <c r="B11353" s="82"/>
      <c r="C11353" s="33" t="s">
        <v>11373</v>
      </c>
      <c r="E11353" s="46" t="s">
        <v>7618</v>
      </c>
    </row>
    <row r="11354">
      <c r="A11354" s="56" t="s">
        <v>24115</v>
      </c>
      <c r="B11354" s="82"/>
      <c r="C11354" s="33" t="s">
        <v>11376</v>
      </c>
      <c r="E11354" s="46" t="s">
        <v>7616</v>
      </c>
    </row>
    <row r="11355">
      <c r="A11355" s="56" t="s">
        <v>24116</v>
      </c>
      <c r="B11355" s="82"/>
      <c r="C11355" s="33" t="s">
        <v>11376</v>
      </c>
      <c r="E11355" s="46" t="s">
        <v>7618</v>
      </c>
    </row>
    <row r="11356">
      <c r="A11356" s="56" t="s">
        <v>24117</v>
      </c>
      <c r="B11356" s="82"/>
      <c r="C11356" s="33" t="s">
        <v>11380</v>
      </c>
      <c r="E11356" s="46" t="s">
        <v>7616</v>
      </c>
    </row>
    <row r="11357">
      <c r="A11357" s="56" t="s">
        <v>24118</v>
      </c>
      <c r="B11357" s="82"/>
      <c r="C11357" s="33" t="s">
        <v>11380</v>
      </c>
      <c r="E11357" s="46" t="s">
        <v>7618</v>
      </c>
    </row>
    <row r="11358">
      <c r="A11358" s="56" t="s">
        <v>24119</v>
      </c>
      <c r="B11358" s="79"/>
      <c r="C11358" s="33" t="s">
        <v>11384</v>
      </c>
      <c r="E11358" s="46" t="s">
        <v>1348</v>
      </c>
    </row>
    <row r="11359">
      <c r="A11359" s="56" t="s">
        <v>24120</v>
      </c>
      <c r="B11359" s="79"/>
      <c r="C11359" s="33" t="s">
        <v>11384</v>
      </c>
      <c r="E11359" s="46" t="s">
        <v>1348</v>
      </c>
    </row>
    <row r="11360">
      <c r="A11360" s="56" t="s">
        <v>24123</v>
      </c>
      <c r="B11360" s="79"/>
      <c r="C11360" s="33" t="s">
        <v>11389</v>
      </c>
      <c r="E11360" s="46" t="s">
        <v>1348</v>
      </c>
    </row>
    <row r="11361">
      <c r="A11361" s="56" t="s">
        <v>24124</v>
      </c>
      <c r="B11361" s="21"/>
      <c r="C11361" s="33" t="s">
        <v>11391</v>
      </c>
      <c r="E11361" s="46" t="s">
        <v>7616</v>
      </c>
    </row>
    <row r="11362">
      <c r="A11362" s="56" t="s">
        <v>24125</v>
      </c>
      <c r="B11362" s="21"/>
      <c r="C11362" s="33" t="s">
        <v>11391</v>
      </c>
      <c r="E11362" s="46" t="s">
        <v>7618</v>
      </c>
    </row>
    <row r="11363">
      <c r="A11363" s="56" t="s">
        <v>24126</v>
      </c>
      <c r="B11363" s="21"/>
      <c r="C11363" s="33" t="s">
        <v>11394</v>
      </c>
      <c r="E11363" s="46" t="s">
        <v>7616</v>
      </c>
    </row>
    <row r="11364">
      <c r="A11364" s="56" t="s">
        <v>24127</v>
      </c>
      <c r="B11364" s="21"/>
      <c r="C11364" s="33" t="s">
        <v>11394</v>
      </c>
      <c r="E11364" s="46" t="s">
        <v>7618</v>
      </c>
    </row>
    <row r="11365">
      <c r="A11365" s="56" t="s">
        <v>24128</v>
      </c>
      <c r="B11365" s="21"/>
      <c r="C11365" s="33" t="s">
        <v>11398</v>
      </c>
      <c r="E11365" s="46" t="s">
        <v>7616</v>
      </c>
    </row>
    <row r="11366">
      <c r="A11366" s="56" t="s">
        <v>24132</v>
      </c>
      <c r="B11366" s="21"/>
      <c r="C11366" s="33" t="s">
        <v>11398</v>
      </c>
      <c r="E11366" s="46" t="s">
        <v>7618</v>
      </c>
    </row>
    <row r="11367">
      <c r="A11367" s="56" t="s">
        <v>24133</v>
      </c>
      <c r="B11367" s="21"/>
      <c r="C11367" s="33" t="s">
        <v>11391</v>
      </c>
      <c r="E11367" s="46" t="s">
        <v>7616</v>
      </c>
    </row>
    <row r="11368">
      <c r="A11368" s="56" t="s">
        <v>24134</v>
      </c>
      <c r="B11368" s="21"/>
      <c r="C11368" s="33" t="s">
        <v>11391</v>
      </c>
      <c r="E11368" s="46" t="s">
        <v>7618</v>
      </c>
    </row>
    <row r="11369">
      <c r="A11369" s="56" t="s">
        <v>24135</v>
      </c>
      <c r="B11369" s="21"/>
      <c r="C11369" s="33" t="s">
        <v>11394</v>
      </c>
      <c r="E11369" s="46" t="s">
        <v>7616</v>
      </c>
    </row>
    <row r="11370">
      <c r="A11370" s="56" t="s">
        <v>24136</v>
      </c>
      <c r="B11370" s="21"/>
      <c r="C11370" s="33" t="s">
        <v>11394</v>
      </c>
      <c r="E11370" s="46" t="s">
        <v>7618</v>
      </c>
    </row>
    <row r="11371">
      <c r="A11371" s="56" t="s">
        <v>24137</v>
      </c>
      <c r="B11371" s="21"/>
      <c r="C11371" s="33" t="s">
        <v>11398</v>
      </c>
      <c r="E11371" s="46" t="s">
        <v>7616</v>
      </c>
    </row>
    <row r="11372">
      <c r="A11372" s="56" t="s">
        <v>24138</v>
      </c>
      <c r="B11372" s="21"/>
      <c r="C11372" s="33" t="s">
        <v>11398</v>
      </c>
      <c r="E11372" s="46" t="s">
        <v>7618</v>
      </c>
    </row>
    <row r="11373">
      <c r="A11373" s="56" t="s">
        <v>24139</v>
      </c>
      <c r="B11373" s="21"/>
      <c r="C11373" s="33" t="s">
        <v>11411</v>
      </c>
      <c r="E11373" s="46" t="s">
        <v>7616</v>
      </c>
    </row>
    <row r="11374">
      <c r="A11374" s="56" t="s">
        <v>24143</v>
      </c>
      <c r="B11374" s="21"/>
      <c r="C11374" s="33" t="s">
        <v>11411</v>
      </c>
      <c r="E11374" s="46" t="s">
        <v>7618</v>
      </c>
    </row>
    <row r="11375">
      <c r="A11375" s="56" t="s">
        <v>24144</v>
      </c>
      <c r="B11375" s="21"/>
      <c r="C11375" s="33" t="s">
        <v>11416</v>
      </c>
      <c r="E11375" s="46" t="s">
        <v>7616</v>
      </c>
    </row>
    <row r="11376">
      <c r="A11376" s="56" t="s">
        <v>24145</v>
      </c>
      <c r="B11376" s="21"/>
      <c r="C11376" s="33" t="s">
        <v>11416</v>
      </c>
      <c r="E11376" s="46" t="s">
        <v>7618</v>
      </c>
    </row>
    <row r="11377">
      <c r="A11377" s="56" t="s">
        <v>24146</v>
      </c>
      <c r="B11377" s="21"/>
      <c r="C11377" s="33" t="s">
        <v>11419</v>
      </c>
      <c r="E11377" s="46" t="s">
        <v>7616</v>
      </c>
    </row>
    <row r="11378">
      <c r="A11378" s="56" t="s">
        <v>24147</v>
      </c>
      <c r="B11378" s="21"/>
      <c r="C11378" s="33" t="s">
        <v>11419</v>
      </c>
      <c r="E11378" s="46" t="s">
        <v>7618</v>
      </c>
    </row>
    <row r="11379">
      <c r="A11379" s="56" t="s">
        <v>24148</v>
      </c>
      <c r="B11379" s="21"/>
      <c r="C11379" s="33" t="s">
        <v>11411</v>
      </c>
      <c r="E11379" s="46" t="s">
        <v>7616</v>
      </c>
    </row>
    <row r="11380">
      <c r="A11380" s="56" t="s">
        <v>24149</v>
      </c>
      <c r="B11380" s="21"/>
      <c r="C11380" s="33" t="s">
        <v>11411</v>
      </c>
      <c r="E11380" s="46" t="s">
        <v>7618</v>
      </c>
    </row>
    <row r="11381">
      <c r="A11381" s="56" t="s">
        <v>24151</v>
      </c>
      <c r="B11381" s="21"/>
      <c r="C11381" s="33" t="s">
        <v>11416</v>
      </c>
      <c r="E11381" s="46" t="s">
        <v>7616</v>
      </c>
    </row>
    <row r="11382">
      <c r="A11382" s="56" t="s">
        <v>24153</v>
      </c>
      <c r="B11382" s="21"/>
      <c r="C11382" s="33" t="s">
        <v>11416</v>
      </c>
      <c r="E11382" s="46" t="s">
        <v>7618</v>
      </c>
    </row>
    <row r="11383">
      <c r="A11383" s="56" t="s">
        <v>24154</v>
      </c>
      <c r="B11383" s="21"/>
      <c r="C11383" s="33" t="s">
        <v>11419</v>
      </c>
      <c r="E11383" s="46" t="s">
        <v>7616</v>
      </c>
    </row>
    <row r="11384">
      <c r="A11384" s="56" t="s">
        <v>24155</v>
      </c>
      <c r="B11384" s="21"/>
      <c r="C11384" s="33" t="s">
        <v>11419</v>
      </c>
      <c r="E11384" s="46" t="s">
        <v>7618</v>
      </c>
    </row>
    <row r="11385">
      <c r="A11385" s="56" t="s">
        <v>24156</v>
      </c>
      <c r="B11385" s="82"/>
      <c r="C11385" s="31"/>
    </row>
    <row r="11386">
      <c r="A11386" s="56" t="s">
        <v>24157</v>
      </c>
      <c r="B11386" s="82"/>
      <c r="C11386" s="33" t="s">
        <v>11373</v>
      </c>
      <c r="E11386" s="46" t="s">
        <v>7616</v>
      </c>
    </row>
    <row r="11387">
      <c r="A11387" s="56" t="s">
        <v>24158</v>
      </c>
      <c r="B11387" s="82"/>
      <c r="C11387" s="33" t="s">
        <v>11373</v>
      </c>
      <c r="E11387" s="46" t="s">
        <v>7618</v>
      </c>
    </row>
    <row r="11388">
      <c r="A11388" s="56" t="s">
        <v>24159</v>
      </c>
      <c r="B11388" s="82"/>
      <c r="C11388" s="33" t="s">
        <v>11376</v>
      </c>
      <c r="E11388" s="46" t="s">
        <v>7616</v>
      </c>
    </row>
    <row r="11389">
      <c r="A11389" s="56" t="s">
        <v>24160</v>
      </c>
      <c r="B11389" s="82"/>
      <c r="C11389" s="33" t="s">
        <v>11376</v>
      </c>
      <c r="E11389" s="46" t="s">
        <v>7618</v>
      </c>
    </row>
    <row r="11390">
      <c r="A11390" s="56" t="s">
        <v>24162</v>
      </c>
      <c r="B11390" s="82"/>
      <c r="C11390" s="33" t="s">
        <v>11380</v>
      </c>
      <c r="E11390" s="46" t="s">
        <v>7616</v>
      </c>
    </row>
    <row r="11391">
      <c r="A11391" s="56" t="s">
        <v>24163</v>
      </c>
      <c r="B11391" s="82"/>
      <c r="C11391" s="33" t="s">
        <v>11380</v>
      </c>
      <c r="E11391" s="46" t="s">
        <v>7618</v>
      </c>
    </row>
    <row r="11392">
      <c r="A11392" s="56" t="s">
        <v>24165</v>
      </c>
      <c r="B11392" s="79"/>
      <c r="C11392" s="33" t="s">
        <v>11384</v>
      </c>
      <c r="E11392" s="46" t="s">
        <v>1348</v>
      </c>
    </row>
    <row r="11393">
      <c r="A11393" s="56" t="s">
        <v>24166</v>
      </c>
      <c r="B11393" s="79"/>
      <c r="C11393" s="33" t="s">
        <v>11384</v>
      </c>
      <c r="E11393" s="46" t="s">
        <v>1348</v>
      </c>
    </row>
    <row r="11394">
      <c r="A11394" s="56" t="s">
        <v>24167</v>
      </c>
      <c r="B11394" s="79"/>
      <c r="C11394" s="33" t="s">
        <v>11389</v>
      </c>
      <c r="E11394" s="46" t="s">
        <v>1348</v>
      </c>
    </row>
    <row r="11395">
      <c r="A11395" s="56" t="s">
        <v>24168</v>
      </c>
      <c r="B11395" s="21"/>
      <c r="C11395" s="33" t="s">
        <v>11391</v>
      </c>
      <c r="E11395" s="46" t="s">
        <v>7616</v>
      </c>
    </row>
    <row r="11396">
      <c r="A11396" s="56" t="s">
        <v>24169</v>
      </c>
      <c r="B11396" s="21"/>
      <c r="C11396" s="33" t="s">
        <v>11391</v>
      </c>
      <c r="E11396" s="46" t="s">
        <v>7618</v>
      </c>
    </row>
    <row r="11397">
      <c r="A11397" s="56" t="s">
        <v>24170</v>
      </c>
      <c r="B11397" s="21"/>
      <c r="C11397" s="33" t="s">
        <v>11394</v>
      </c>
      <c r="E11397" s="46" t="s">
        <v>7616</v>
      </c>
    </row>
    <row r="11398">
      <c r="A11398" s="56" t="s">
        <v>24172</v>
      </c>
      <c r="B11398" s="21"/>
      <c r="C11398" s="33" t="s">
        <v>11394</v>
      </c>
      <c r="E11398" s="46" t="s">
        <v>7618</v>
      </c>
    </row>
    <row r="11399">
      <c r="A11399" s="56" t="s">
        <v>24173</v>
      </c>
      <c r="B11399" s="21"/>
      <c r="C11399" s="33" t="s">
        <v>11398</v>
      </c>
      <c r="E11399" s="46" t="s">
        <v>7616</v>
      </c>
    </row>
    <row r="11400">
      <c r="A11400" s="56" t="s">
        <v>24175</v>
      </c>
      <c r="B11400" s="21"/>
      <c r="C11400" s="33" t="s">
        <v>11398</v>
      </c>
      <c r="E11400" s="46" t="s">
        <v>7618</v>
      </c>
    </row>
    <row r="11401">
      <c r="A11401" s="56" t="s">
        <v>24177</v>
      </c>
      <c r="B11401" s="21"/>
      <c r="C11401" s="33" t="s">
        <v>11391</v>
      </c>
      <c r="E11401" s="46" t="s">
        <v>7616</v>
      </c>
    </row>
    <row r="11402">
      <c r="A11402" s="56" t="s">
        <v>24178</v>
      </c>
      <c r="B11402" s="21"/>
      <c r="C11402" s="33" t="s">
        <v>11391</v>
      </c>
      <c r="E11402" s="46" t="s">
        <v>7618</v>
      </c>
    </row>
    <row r="11403">
      <c r="A11403" s="56" t="s">
        <v>24179</v>
      </c>
      <c r="B11403" s="21"/>
      <c r="C11403" s="33" t="s">
        <v>11394</v>
      </c>
      <c r="E11403" s="46" t="s">
        <v>7616</v>
      </c>
    </row>
    <row r="11404">
      <c r="A11404" s="56" t="s">
        <v>24180</v>
      </c>
      <c r="B11404" s="21"/>
      <c r="C11404" s="33" t="s">
        <v>11394</v>
      </c>
      <c r="E11404" s="46" t="s">
        <v>7618</v>
      </c>
    </row>
    <row r="11405">
      <c r="A11405" s="56" t="s">
        <v>24181</v>
      </c>
      <c r="B11405" s="21"/>
      <c r="C11405" s="33" t="s">
        <v>11398</v>
      </c>
      <c r="E11405" s="46" t="s">
        <v>7616</v>
      </c>
    </row>
    <row r="11406">
      <c r="A11406" s="56" t="s">
        <v>24183</v>
      </c>
      <c r="B11406" s="21"/>
      <c r="C11406" s="33" t="s">
        <v>11398</v>
      </c>
      <c r="E11406" s="46" t="s">
        <v>7618</v>
      </c>
    </row>
    <row r="11407">
      <c r="A11407" s="56" t="s">
        <v>24184</v>
      </c>
      <c r="B11407" s="21"/>
      <c r="C11407" s="33" t="s">
        <v>11411</v>
      </c>
      <c r="E11407" s="46" t="s">
        <v>7616</v>
      </c>
    </row>
    <row r="11408">
      <c r="A11408" s="56" t="s">
        <v>24186</v>
      </c>
      <c r="B11408" s="21"/>
      <c r="C11408" s="33" t="s">
        <v>11411</v>
      </c>
      <c r="E11408" s="46" t="s">
        <v>7618</v>
      </c>
    </row>
    <row r="11409">
      <c r="A11409" s="56" t="s">
        <v>24187</v>
      </c>
      <c r="B11409" s="21"/>
      <c r="C11409" s="33" t="s">
        <v>11416</v>
      </c>
      <c r="E11409" s="46" t="s">
        <v>7616</v>
      </c>
    </row>
    <row r="11410">
      <c r="A11410" s="56" t="s">
        <v>24188</v>
      </c>
      <c r="B11410" s="21"/>
      <c r="C11410" s="33" t="s">
        <v>11416</v>
      </c>
      <c r="E11410" s="46" t="s">
        <v>7618</v>
      </c>
    </row>
    <row r="11411">
      <c r="A11411" s="56" t="s">
        <v>24189</v>
      </c>
      <c r="B11411" s="21"/>
      <c r="C11411" s="33" t="s">
        <v>11419</v>
      </c>
      <c r="E11411" s="46" t="s">
        <v>7616</v>
      </c>
    </row>
    <row r="11412">
      <c r="A11412" s="56" t="s">
        <v>24190</v>
      </c>
      <c r="B11412" s="21"/>
      <c r="C11412" s="33" t="s">
        <v>11419</v>
      </c>
      <c r="E11412" s="46" t="s">
        <v>7618</v>
      </c>
    </row>
    <row r="11413">
      <c r="A11413" s="56" t="s">
        <v>24191</v>
      </c>
      <c r="B11413" s="21"/>
      <c r="C11413" s="33" t="s">
        <v>11411</v>
      </c>
      <c r="E11413" s="46" t="s">
        <v>7616</v>
      </c>
    </row>
    <row r="11414">
      <c r="A11414" s="56" t="s">
        <v>24193</v>
      </c>
      <c r="B11414" s="21"/>
      <c r="C11414" s="33" t="s">
        <v>11411</v>
      </c>
      <c r="E11414" s="46" t="s">
        <v>7618</v>
      </c>
    </row>
    <row r="11415">
      <c r="A11415" s="56" t="s">
        <v>24194</v>
      </c>
      <c r="B11415" s="21"/>
      <c r="C11415" s="33" t="s">
        <v>11416</v>
      </c>
      <c r="E11415" s="46" t="s">
        <v>7616</v>
      </c>
    </row>
    <row r="11416">
      <c r="A11416" s="56" t="s">
        <v>24196</v>
      </c>
      <c r="B11416" s="21"/>
      <c r="C11416" s="33" t="s">
        <v>11416</v>
      </c>
      <c r="E11416" s="46" t="s">
        <v>7618</v>
      </c>
    </row>
    <row r="11417">
      <c r="A11417" s="56" t="s">
        <v>24197</v>
      </c>
      <c r="B11417" s="21"/>
      <c r="C11417" s="33" t="s">
        <v>11419</v>
      </c>
      <c r="E11417" s="46" t="s">
        <v>7616</v>
      </c>
    </row>
    <row r="11418">
      <c r="A11418" s="56" t="s">
        <v>24198</v>
      </c>
      <c r="B11418" s="21"/>
      <c r="C11418" s="33" t="s">
        <v>11419</v>
      </c>
      <c r="E11418" s="46" t="s">
        <v>7618</v>
      </c>
    </row>
    <row r="11419">
      <c r="A11419" s="56" t="s">
        <v>24199</v>
      </c>
      <c r="B11419" s="55"/>
      <c r="C11419" s="31"/>
    </row>
    <row r="11420">
      <c r="A11420" s="56" t="s">
        <v>24200</v>
      </c>
      <c r="B11420" s="55"/>
      <c r="C11420" s="31"/>
    </row>
    <row r="11421">
      <c r="A11421" s="56" t="s">
        <v>24201</v>
      </c>
      <c r="B11421" s="55"/>
      <c r="C11421" s="31"/>
    </row>
    <row r="11422">
      <c r="A11422" s="56" t="s">
        <v>24202</v>
      </c>
      <c r="B11422" s="55"/>
      <c r="C11422" s="31"/>
    </row>
    <row r="11423">
      <c r="A11423" s="56" t="s">
        <v>24204</v>
      </c>
      <c r="B11423" s="55"/>
      <c r="C11423" s="31"/>
    </row>
    <row r="11424">
      <c r="A11424" s="56" t="s">
        <v>24205</v>
      </c>
      <c r="B11424" s="55"/>
      <c r="C11424" s="31"/>
    </row>
    <row r="11425">
      <c r="A11425" s="56" t="s">
        <v>24207</v>
      </c>
      <c r="B11425" s="55"/>
      <c r="C11425" s="31"/>
    </row>
    <row r="11426">
      <c r="A11426" s="56" t="s">
        <v>24209</v>
      </c>
      <c r="B11426" s="55"/>
      <c r="C11426" s="31"/>
    </row>
    <row r="11427">
      <c r="A11427" s="56" t="s">
        <v>24211</v>
      </c>
      <c r="B11427" s="55"/>
      <c r="C11427" s="31"/>
    </row>
    <row r="11428">
      <c r="A11428" s="56" t="s">
        <v>24212</v>
      </c>
      <c r="B11428" s="82"/>
      <c r="C11428" s="33" t="s">
        <v>24213</v>
      </c>
    </row>
    <row r="11429">
      <c r="A11429" s="56" t="s">
        <v>24214</v>
      </c>
      <c r="B11429" s="55"/>
      <c r="C11429" s="31"/>
    </row>
    <row r="11430">
      <c r="A11430" s="56" t="s">
        <v>24215</v>
      </c>
      <c r="B11430" s="55"/>
      <c r="C11430" s="31"/>
    </row>
    <row r="11431">
      <c r="A11431" s="56" t="s">
        <v>24216</v>
      </c>
      <c r="B11431" s="55"/>
      <c r="C11431" s="31"/>
    </row>
    <row r="11432">
      <c r="A11432" s="56" t="s">
        <v>24217</v>
      </c>
      <c r="B11432" s="55"/>
      <c r="C11432" s="31"/>
    </row>
    <row r="11433">
      <c r="A11433" s="56" t="s">
        <v>24218</v>
      </c>
      <c r="B11433" s="55"/>
      <c r="C11433" s="31"/>
    </row>
    <row r="11434">
      <c r="A11434" s="56" t="s">
        <v>24221</v>
      </c>
      <c r="B11434" s="55"/>
      <c r="C11434" s="31"/>
    </row>
    <row r="11435">
      <c r="A11435" s="56" t="s">
        <v>24222</v>
      </c>
      <c r="B11435" s="55"/>
      <c r="C11435" s="31"/>
    </row>
    <row r="11436">
      <c r="A11436" s="56" t="s">
        <v>24223</v>
      </c>
      <c r="B11436" s="55"/>
      <c r="C11436" s="31"/>
    </row>
    <row r="11437">
      <c r="A11437" s="56" t="s">
        <v>24224</v>
      </c>
      <c r="B11437" s="82"/>
      <c r="C11437" s="33" t="s">
        <v>24225</v>
      </c>
    </row>
    <row r="11438">
      <c r="A11438" s="56" t="s">
        <v>24226</v>
      </c>
      <c r="B11438" s="55"/>
      <c r="C11438" s="31"/>
    </row>
    <row r="11439">
      <c r="A11439" s="56" t="s">
        <v>24228</v>
      </c>
      <c r="B11439" s="55"/>
      <c r="C11439" s="31"/>
    </row>
    <row r="11440">
      <c r="A11440" s="56" t="s">
        <v>24229</v>
      </c>
      <c r="B11440" s="55"/>
      <c r="C11440" s="31"/>
    </row>
    <row r="11441">
      <c r="A11441" s="56" t="s">
        <v>24230</v>
      </c>
      <c r="B11441" s="55"/>
      <c r="C11441" s="31"/>
    </row>
    <row r="11442">
      <c r="A11442" s="56" t="s">
        <v>24231</v>
      </c>
      <c r="B11442" s="55"/>
      <c r="C11442" s="31"/>
    </row>
    <row r="11443">
      <c r="A11443" s="56" t="s">
        <v>24232</v>
      </c>
      <c r="B11443" s="55"/>
      <c r="C11443" s="31"/>
    </row>
    <row r="11444">
      <c r="A11444" s="56" t="s">
        <v>24233</v>
      </c>
      <c r="B11444" s="55"/>
      <c r="C11444" s="31"/>
    </row>
    <row r="11445">
      <c r="A11445" s="56" t="s">
        <v>24235</v>
      </c>
      <c r="B11445" s="55"/>
      <c r="C11445" s="31"/>
    </row>
    <row r="11446">
      <c r="A11446" s="56" t="s">
        <v>24236</v>
      </c>
      <c r="B11446" s="55"/>
      <c r="C11446" s="31"/>
    </row>
    <row r="11447">
      <c r="A11447" s="56" t="s">
        <v>24237</v>
      </c>
      <c r="B11447" s="55"/>
      <c r="C11447" s="31"/>
    </row>
    <row r="11448">
      <c r="A11448" s="56" t="s">
        <v>24238</v>
      </c>
      <c r="B11448" s="55"/>
      <c r="C11448" s="31"/>
    </row>
    <row r="11449">
      <c r="A11449" s="56" t="s">
        <v>24240</v>
      </c>
      <c r="B11449" s="55"/>
      <c r="C11449" s="31"/>
    </row>
    <row r="11450">
      <c r="A11450" s="56" t="s">
        <v>24241</v>
      </c>
      <c r="B11450" s="55"/>
      <c r="C11450" s="31"/>
    </row>
    <row r="11451">
      <c r="A11451" s="56" t="s">
        <v>24243</v>
      </c>
      <c r="B11451" s="55"/>
      <c r="C11451" s="31"/>
    </row>
    <row r="11452">
      <c r="A11452" s="56" t="s">
        <v>24244</v>
      </c>
      <c r="B11452" s="55"/>
      <c r="C11452" s="31"/>
    </row>
    <row r="11453">
      <c r="A11453" s="56" t="s">
        <v>24245</v>
      </c>
      <c r="B11453" s="55"/>
      <c r="C11453" s="31"/>
    </row>
    <row r="11454">
      <c r="A11454" s="56" t="s">
        <v>24246</v>
      </c>
      <c r="B11454" s="55"/>
      <c r="C11454" s="31"/>
    </row>
    <row r="11455">
      <c r="A11455" s="56" t="s">
        <v>24247</v>
      </c>
      <c r="B11455" s="55"/>
      <c r="C11455" s="31"/>
    </row>
    <row r="11456">
      <c r="A11456" s="56" t="s">
        <v>24249</v>
      </c>
      <c r="B11456" s="55"/>
      <c r="C11456" s="31"/>
    </row>
    <row r="11457">
      <c r="A11457" s="56" t="s">
        <v>24251</v>
      </c>
      <c r="B11457" s="55"/>
      <c r="C11457" s="31"/>
    </row>
    <row r="11458">
      <c r="A11458" s="56" t="s">
        <v>24252</v>
      </c>
      <c r="B11458" s="55"/>
      <c r="C11458" s="31"/>
    </row>
    <row r="11459">
      <c r="A11459" s="56" t="s">
        <v>24253</v>
      </c>
      <c r="B11459" s="55"/>
      <c r="C11459" s="31"/>
    </row>
    <row r="11460">
      <c r="A11460" s="56" t="s">
        <v>24254</v>
      </c>
      <c r="B11460" s="55"/>
      <c r="C11460" s="31"/>
    </row>
    <row r="11461">
      <c r="A11461" s="56" t="s">
        <v>24256</v>
      </c>
      <c r="B11461" s="55"/>
      <c r="C11461" s="31"/>
    </row>
    <row r="11462">
      <c r="A11462" s="56" t="s">
        <v>24257</v>
      </c>
      <c r="B11462" s="55"/>
      <c r="C11462" s="31"/>
    </row>
    <row r="11463">
      <c r="A11463" s="56" t="s">
        <v>24258</v>
      </c>
      <c r="B11463" s="55"/>
      <c r="C11463" s="31"/>
    </row>
    <row r="11464">
      <c r="A11464" s="56" t="s">
        <v>24259</v>
      </c>
      <c r="B11464" s="55"/>
      <c r="C11464" s="31"/>
    </row>
    <row r="11465">
      <c r="A11465" s="56" t="s">
        <v>24260</v>
      </c>
      <c r="B11465" s="55"/>
      <c r="C11465" s="31"/>
    </row>
    <row r="11466">
      <c r="A11466" s="56" t="s">
        <v>24261</v>
      </c>
      <c r="B11466" s="55"/>
      <c r="C11466" s="31"/>
    </row>
    <row r="11467">
      <c r="A11467" s="56" t="s">
        <v>24263</v>
      </c>
      <c r="B11467" s="55"/>
      <c r="C11467" s="31"/>
    </row>
    <row r="11468">
      <c r="A11468" s="56" t="s">
        <v>24265</v>
      </c>
      <c r="B11468" s="55"/>
      <c r="C11468" s="31"/>
    </row>
    <row r="11469">
      <c r="A11469" s="56" t="s">
        <v>24266</v>
      </c>
      <c r="B11469" s="55"/>
      <c r="C11469" s="31"/>
    </row>
    <row r="11470">
      <c r="A11470" s="56" t="s">
        <v>24267</v>
      </c>
      <c r="B11470" s="55"/>
      <c r="C11470" s="31"/>
    </row>
    <row r="11471">
      <c r="A11471" s="56" t="s">
        <v>24268</v>
      </c>
      <c r="B11471" s="55"/>
      <c r="C11471" s="31"/>
    </row>
    <row r="11472">
      <c r="A11472" s="56" t="s">
        <v>24269</v>
      </c>
      <c r="B11472" s="55"/>
      <c r="C11472" s="31"/>
    </row>
    <row r="11473">
      <c r="A11473" s="56" t="s">
        <v>24270</v>
      </c>
      <c r="B11473" s="55"/>
      <c r="C11473" s="31"/>
    </row>
    <row r="11474">
      <c r="A11474" s="56" t="s">
        <v>24271</v>
      </c>
      <c r="B11474" s="55"/>
      <c r="C11474" s="31"/>
    </row>
    <row r="11475">
      <c r="A11475" s="56" t="s">
        <v>24273</v>
      </c>
      <c r="B11475" s="55"/>
      <c r="C11475" s="31"/>
    </row>
    <row r="11476">
      <c r="A11476" s="56" t="s">
        <v>24275</v>
      </c>
      <c r="B11476" s="55"/>
      <c r="C11476" s="31"/>
    </row>
    <row r="11477">
      <c r="A11477" s="56" t="s">
        <v>24276</v>
      </c>
      <c r="B11477" s="55"/>
      <c r="C11477" s="31"/>
    </row>
    <row r="11478">
      <c r="A11478" s="56" t="s">
        <v>24277</v>
      </c>
      <c r="B11478" s="55"/>
      <c r="C11478" s="31"/>
    </row>
    <row r="11479">
      <c r="A11479" s="56" t="s">
        <v>24278</v>
      </c>
      <c r="B11479" s="55"/>
      <c r="C11479" s="31"/>
    </row>
    <row r="11480">
      <c r="A11480" s="56" t="s">
        <v>24279</v>
      </c>
      <c r="B11480" s="82"/>
      <c r="C11480" s="33" t="s">
        <v>24280</v>
      </c>
    </row>
    <row r="11481">
      <c r="A11481" s="56" t="s">
        <v>24281</v>
      </c>
      <c r="B11481" s="55"/>
      <c r="C11481" s="31"/>
    </row>
    <row r="11482">
      <c r="A11482" s="56" t="s">
        <v>24283</v>
      </c>
      <c r="B11482" s="55"/>
      <c r="C11482" s="31"/>
    </row>
    <row r="11483">
      <c r="A11483" s="56" t="s">
        <v>24284</v>
      </c>
      <c r="B11483" s="55"/>
      <c r="C11483" s="31"/>
    </row>
    <row r="11484">
      <c r="A11484" s="56" t="s">
        <v>24285</v>
      </c>
      <c r="B11484" s="55"/>
      <c r="C11484" s="31"/>
    </row>
    <row r="11485">
      <c r="A11485" s="56" t="s">
        <v>24286</v>
      </c>
      <c r="B11485" s="82"/>
      <c r="C11485" s="33" t="s">
        <v>24287</v>
      </c>
    </row>
    <row r="11486">
      <c r="A11486" s="56" t="s">
        <v>24288</v>
      </c>
      <c r="B11486" s="55"/>
      <c r="C11486" s="31"/>
    </row>
    <row r="11487">
      <c r="A11487" s="56" t="s">
        <v>24289</v>
      </c>
      <c r="B11487" s="55"/>
      <c r="C11487" s="31"/>
    </row>
    <row r="11488">
      <c r="A11488" s="56" t="s">
        <v>24291</v>
      </c>
      <c r="B11488" s="55"/>
      <c r="C11488" s="31"/>
    </row>
    <row r="11489">
      <c r="A11489" s="56" t="s">
        <v>24292</v>
      </c>
      <c r="B11489" s="55"/>
      <c r="C11489" s="31"/>
    </row>
    <row r="11490">
      <c r="A11490" s="56" t="s">
        <v>24293</v>
      </c>
      <c r="B11490" s="82"/>
      <c r="C11490" s="33" t="s">
        <v>24294</v>
      </c>
    </row>
    <row r="11491">
      <c r="A11491" s="56" t="s">
        <v>24296</v>
      </c>
      <c r="B11491" s="55"/>
      <c r="C11491" s="31"/>
    </row>
    <row r="11492">
      <c r="A11492" s="56" t="s">
        <v>24297</v>
      </c>
      <c r="B11492" s="55"/>
      <c r="C11492" s="31"/>
    </row>
    <row r="11493">
      <c r="A11493" s="56" t="s">
        <v>24298</v>
      </c>
      <c r="B11493" s="55"/>
      <c r="C11493" s="31"/>
    </row>
    <row r="11494">
      <c r="A11494" s="56" t="s">
        <v>24300</v>
      </c>
      <c r="B11494" s="55"/>
      <c r="C11494" s="31"/>
    </row>
    <row r="11495">
      <c r="A11495" s="56" t="s">
        <v>24301</v>
      </c>
      <c r="B11495" s="55"/>
      <c r="C11495" s="31"/>
    </row>
    <row r="11496">
      <c r="A11496" s="56" t="s">
        <v>24302</v>
      </c>
      <c r="B11496" s="55"/>
      <c r="C11496" s="31"/>
    </row>
    <row r="11497">
      <c r="A11497" s="56" t="s">
        <v>24303</v>
      </c>
      <c r="B11497" s="55"/>
      <c r="C11497" s="31"/>
    </row>
    <row r="11498">
      <c r="A11498" s="56" t="s">
        <v>24304</v>
      </c>
      <c r="B11498" s="55"/>
      <c r="C11498" s="31"/>
    </row>
    <row r="11499">
      <c r="A11499" s="56" t="s">
        <v>24305</v>
      </c>
      <c r="B11499" s="82"/>
      <c r="C11499" s="33" t="s">
        <v>24306</v>
      </c>
    </row>
    <row r="11500">
      <c r="A11500" s="56" t="s">
        <v>24307</v>
      </c>
      <c r="B11500" s="55"/>
      <c r="C11500" s="31"/>
    </row>
    <row r="11501">
      <c r="A11501" s="56" t="s">
        <v>24310</v>
      </c>
      <c r="B11501" s="55"/>
      <c r="C11501" s="31"/>
    </row>
    <row r="11502">
      <c r="A11502" s="56" t="s">
        <v>24312</v>
      </c>
      <c r="B11502" s="55"/>
      <c r="C11502" s="31"/>
    </row>
    <row r="11503">
      <c r="A11503" s="56" t="s">
        <v>24313</v>
      </c>
      <c r="B11503" s="55"/>
      <c r="C11503" s="31"/>
    </row>
    <row r="11504">
      <c r="A11504" s="56" t="s">
        <v>24314</v>
      </c>
      <c r="B11504" s="55"/>
      <c r="C11504" s="31"/>
    </row>
    <row r="11505">
      <c r="A11505" s="56" t="s">
        <v>24315</v>
      </c>
      <c r="B11505" s="55"/>
      <c r="C11505" s="31"/>
    </row>
    <row r="11506">
      <c r="A11506" s="56" t="s">
        <v>24316</v>
      </c>
      <c r="B11506" s="55"/>
      <c r="C11506" s="31"/>
    </row>
    <row r="11507">
      <c r="A11507" s="56" t="s">
        <v>24317</v>
      </c>
      <c r="B11507" s="55"/>
      <c r="C11507" s="31"/>
    </row>
    <row r="11508">
      <c r="A11508" s="56" t="s">
        <v>24318</v>
      </c>
      <c r="B11508" s="55"/>
      <c r="C11508" s="31"/>
    </row>
    <row r="11509">
      <c r="A11509" s="56" t="s">
        <v>24319</v>
      </c>
      <c r="B11509" s="55"/>
      <c r="C11509" s="31"/>
    </row>
    <row r="11510">
      <c r="A11510" s="56" t="s">
        <v>24321</v>
      </c>
      <c r="B11510" s="55"/>
      <c r="C11510" s="31"/>
    </row>
    <row r="11511">
      <c r="A11511" s="56" t="s">
        <v>24323</v>
      </c>
      <c r="B11511" s="55"/>
      <c r="C11511" s="31"/>
    </row>
    <row r="11512">
      <c r="A11512" s="56" t="s">
        <v>24324</v>
      </c>
      <c r="B11512" s="55"/>
      <c r="C11512" s="31"/>
    </row>
    <row r="11513">
      <c r="A11513" s="56" t="s">
        <v>24325</v>
      </c>
      <c r="B11513" s="55"/>
      <c r="C11513" s="31"/>
    </row>
    <row r="11514">
      <c r="A11514" s="56" t="s">
        <v>24326</v>
      </c>
      <c r="B11514" s="55"/>
      <c r="C11514" s="31"/>
    </row>
    <row r="11515">
      <c r="A11515" s="56" t="s">
        <v>24327</v>
      </c>
      <c r="B11515" s="55"/>
      <c r="C11515" s="31"/>
    </row>
    <row r="11516">
      <c r="A11516" s="56" t="s">
        <v>24328</v>
      </c>
      <c r="B11516" s="55"/>
      <c r="C11516" s="31"/>
    </row>
    <row r="11517">
      <c r="A11517" s="56" t="s">
        <v>24329</v>
      </c>
      <c r="B11517" s="55"/>
      <c r="C11517" s="31"/>
    </row>
    <row r="11518">
      <c r="A11518" s="56" t="s">
        <v>24330</v>
      </c>
      <c r="B11518" s="55"/>
      <c r="C11518" s="31"/>
    </row>
    <row r="11519">
      <c r="A11519" s="56" t="s">
        <v>24331</v>
      </c>
      <c r="B11519" s="55"/>
      <c r="C11519" s="31"/>
    </row>
    <row r="11520">
      <c r="A11520" s="56" t="s">
        <v>24332</v>
      </c>
      <c r="B11520" s="55"/>
      <c r="C11520" s="31"/>
    </row>
    <row r="11521">
      <c r="A11521" s="56" t="s">
        <v>24334</v>
      </c>
      <c r="B11521" s="55"/>
      <c r="C11521" s="31"/>
    </row>
    <row r="11522">
      <c r="A11522" s="56" t="s">
        <v>24336</v>
      </c>
      <c r="B11522" s="55"/>
      <c r="C11522" s="31"/>
    </row>
    <row r="11523">
      <c r="A11523" s="56" t="s">
        <v>24337</v>
      </c>
      <c r="B11523" s="55"/>
      <c r="C11523" s="31"/>
    </row>
    <row r="11524">
      <c r="A11524" s="56" t="s">
        <v>24339</v>
      </c>
      <c r="B11524" s="55"/>
      <c r="C11524" s="31"/>
    </row>
    <row r="11525">
      <c r="A11525" s="56" t="s">
        <v>24340</v>
      </c>
      <c r="B11525" s="55"/>
      <c r="C11525" s="31"/>
    </row>
    <row r="11526">
      <c r="A11526" s="56" t="s">
        <v>24341</v>
      </c>
      <c r="B11526" s="55"/>
      <c r="C11526" s="31"/>
    </row>
    <row r="11527">
      <c r="A11527" s="56" t="s">
        <v>24342</v>
      </c>
      <c r="B11527" s="55"/>
      <c r="C11527" s="31"/>
    </row>
    <row r="11528">
      <c r="A11528" s="56" t="s">
        <v>24344</v>
      </c>
      <c r="B11528" s="55"/>
      <c r="C11528" s="31"/>
    </row>
    <row r="11529">
      <c r="A11529" s="56" t="s">
        <v>24345</v>
      </c>
      <c r="B11529" s="55"/>
      <c r="C11529" s="31"/>
    </row>
    <row r="11530">
      <c r="A11530" s="56" t="s">
        <v>24346</v>
      </c>
      <c r="B11530" s="55"/>
      <c r="C11530" s="31"/>
    </row>
    <row r="11531">
      <c r="A11531" s="56" t="s">
        <v>24347</v>
      </c>
      <c r="B11531" s="55"/>
      <c r="C11531" s="31"/>
    </row>
    <row r="11532">
      <c r="A11532" s="56" t="s">
        <v>24348</v>
      </c>
      <c r="B11532" s="55"/>
      <c r="C11532" s="31"/>
    </row>
    <row r="11533">
      <c r="A11533" s="56" t="s">
        <v>24350</v>
      </c>
      <c r="B11533" s="55"/>
      <c r="C11533" s="31"/>
    </row>
    <row r="11534">
      <c r="A11534" s="56" t="s">
        <v>24351</v>
      </c>
      <c r="B11534" s="55"/>
      <c r="C11534" s="31"/>
    </row>
    <row r="11535">
      <c r="A11535" s="56" t="s">
        <v>24352</v>
      </c>
      <c r="B11535" s="55"/>
      <c r="C11535" s="31"/>
    </row>
    <row r="11536">
      <c r="A11536" s="56" t="s">
        <v>24353</v>
      </c>
      <c r="B11536" s="55"/>
      <c r="C11536" s="31"/>
    </row>
    <row r="11537">
      <c r="A11537" s="56" t="s">
        <v>24354</v>
      </c>
      <c r="B11537" s="55"/>
      <c r="C11537" s="31"/>
    </row>
    <row r="11538">
      <c r="A11538" s="56" t="s">
        <v>24355</v>
      </c>
      <c r="B11538" s="55"/>
      <c r="C11538" s="31"/>
    </row>
    <row r="11539">
      <c r="A11539" s="56" t="s">
        <v>24356</v>
      </c>
      <c r="B11539" s="55"/>
      <c r="C11539" s="31"/>
    </row>
    <row r="11540">
      <c r="A11540" s="56" t="s">
        <v>24358</v>
      </c>
      <c r="B11540" s="55"/>
      <c r="C11540" s="31"/>
    </row>
    <row r="11541">
      <c r="A11541" s="56" t="s">
        <v>24359</v>
      </c>
      <c r="B11541" s="55"/>
      <c r="C11541" s="31"/>
    </row>
    <row r="11542">
      <c r="A11542" s="56" t="s">
        <v>24360</v>
      </c>
      <c r="B11542" s="55"/>
      <c r="C11542" s="31"/>
    </row>
    <row r="11543">
      <c r="A11543" s="56" t="s">
        <v>24361</v>
      </c>
      <c r="B11543" s="55"/>
      <c r="C11543" s="31"/>
    </row>
    <row r="11544">
      <c r="A11544" s="56" t="s">
        <v>24363</v>
      </c>
      <c r="B11544" s="55"/>
      <c r="C11544" s="31"/>
    </row>
    <row r="11545">
      <c r="A11545" s="56" t="s">
        <v>24364</v>
      </c>
      <c r="B11545" s="55"/>
      <c r="C11545" s="31"/>
    </row>
    <row r="11546">
      <c r="A11546" s="56" t="s">
        <v>24365</v>
      </c>
      <c r="B11546" s="55"/>
      <c r="C11546" s="31"/>
    </row>
    <row r="11547">
      <c r="A11547" s="56" t="s">
        <v>24366</v>
      </c>
      <c r="B11547" s="55"/>
      <c r="C11547" s="31"/>
    </row>
    <row r="11548">
      <c r="A11548" s="56" t="s">
        <v>24367</v>
      </c>
      <c r="B11548" s="55"/>
      <c r="C11548" s="31"/>
    </row>
    <row r="11549">
      <c r="A11549" s="56" t="s">
        <v>24368</v>
      </c>
      <c r="B11549" s="55"/>
      <c r="C11549" s="31"/>
    </row>
    <row r="11550">
      <c r="A11550" s="56" t="s">
        <v>24369</v>
      </c>
      <c r="B11550" s="55"/>
      <c r="C11550" s="31"/>
    </row>
    <row r="11551">
      <c r="A11551" s="56" t="s">
        <v>24370</v>
      </c>
      <c r="B11551" s="55"/>
      <c r="C11551" s="31"/>
    </row>
    <row r="11552">
      <c r="A11552" s="56" t="s">
        <v>24371</v>
      </c>
      <c r="B11552" s="55"/>
      <c r="C11552" s="31"/>
    </row>
    <row r="11553">
      <c r="A11553" s="56" t="s">
        <v>24372</v>
      </c>
      <c r="B11553" s="55"/>
      <c r="C11553" s="31"/>
    </row>
    <row r="11554">
      <c r="A11554" s="56" t="s">
        <v>24375</v>
      </c>
      <c r="B11554" s="55"/>
      <c r="C11554" s="31"/>
    </row>
    <row r="11555">
      <c r="A11555" s="56" t="s">
        <v>24376</v>
      </c>
      <c r="B11555" s="55"/>
      <c r="C11555" s="31"/>
    </row>
    <row r="11556">
      <c r="A11556" s="56" t="s">
        <v>24377</v>
      </c>
      <c r="B11556" s="55"/>
      <c r="C11556" s="31"/>
    </row>
    <row r="11557">
      <c r="A11557" s="56" t="s">
        <v>24378</v>
      </c>
      <c r="B11557" s="55"/>
      <c r="C11557" s="31"/>
    </row>
    <row r="11558">
      <c r="A11558" s="56" t="s">
        <v>24379</v>
      </c>
      <c r="B11558" s="55"/>
      <c r="C11558" s="31"/>
    </row>
    <row r="11559">
      <c r="A11559" s="56" t="s">
        <v>24380</v>
      </c>
      <c r="B11559" s="55"/>
      <c r="C11559" s="31"/>
    </row>
    <row r="11560">
      <c r="A11560" s="56" t="s">
        <v>24381</v>
      </c>
      <c r="B11560" s="55"/>
      <c r="C11560" s="31"/>
    </row>
    <row r="11561">
      <c r="A11561" s="56" t="s">
        <v>24382</v>
      </c>
      <c r="B11561" s="55"/>
      <c r="C11561" s="31"/>
    </row>
    <row r="11562">
      <c r="A11562" s="56" t="s">
        <v>24383</v>
      </c>
      <c r="B11562" s="55"/>
      <c r="C11562" s="31"/>
    </row>
    <row r="11563">
      <c r="A11563" s="56" t="s">
        <v>24385</v>
      </c>
      <c r="B11563" s="55"/>
      <c r="C11563" s="31"/>
    </row>
    <row r="11564">
      <c r="A11564" s="56" t="s">
        <v>24386</v>
      </c>
      <c r="B11564" s="55"/>
      <c r="C11564" s="31"/>
    </row>
    <row r="11565">
      <c r="A11565" s="56" t="s">
        <v>24388</v>
      </c>
      <c r="B11565" s="55"/>
      <c r="C11565" s="31"/>
    </row>
    <row r="11566">
      <c r="A11566" s="56" t="s">
        <v>24389</v>
      </c>
      <c r="B11566" s="55"/>
      <c r="C11566" s="31"/>
    </row>
    <row r="11567">
      <c r="A11567" s="56" t="s">
        <v>24390</v>
      </c>
      <c r="B11567" s="55"/>
      <c r="C11567" s="31"/>
    </row>
    <row r="11568">
      <c r="A11568" s="56" t="s">
        <v>24391</v>
      </c>
      <c r="B11568" s="55"/>
      <c r="C11568" s="31"/>
    </row>
    <row r="11569">
      <c r="A11569" s="56" t="s">
        <v>24392</v>
      </c>
      <c r="B11569" s="55"/>
      <c r="C11569" s="31"/>
    </row>
    <row r="11570">
      <c r="A11570" s="56" t="s">
        <v>24393</v>
      </c>
      <c r="B11570" s="55"/>
      <c r="C11570" s="31"/>
    </row>
    <row r="11571">
      <c r="A11571" s="56" t="s">
        <v>24394</v>
      </c>
      <c r="B11571" s="55"/>
      <c r="C11571" s="31"/>
    </row>
    <row r="11572">
      <c r="A11572" s="56" t="s">
        <v>24395</v>
      </c>
      <c r="B11572" s="55"/>
      <c r="C11572" s="31"/>
    </row>
    <row r="11573">
      <c r="A11573" s="56" t="s">
        <v>24396</v>
      </c>
      <c r="B11573" s="55"/>
      <c r="C11573" s="31"/>
    </row>
    <row r="11574">
      <c r="A11574" s="56" t="s">
        <v>24397</v>
      </c>
      <c r="B11574" s="55"/>
      <c r="C11574" s="31"/>
    </row>
    <row r="11575">
      <c r="A11575" s="56" t="s">
        <v>24399</v>
      </c>
      <c r="B11575" s="55"/>
      <c r="C11575" s="31"/>
    </row>
    <row r="11576">
      <c r="A11576" s="56" t="s">
        <v>24400</v>
      </c>
      <c r="B11576" s="55"/>
      <c r="C11576" s="31"/>
    </row>
    <row r="11577">
      <c r="A11577" s="56" t="s">
        <v>24401</v>
      </c>
      <c r="B11577" s="55"/>
      <c r="C11577" s="31"/>
    </row>
    <row r="11578">
      <c r="A11578" s="56" t="s">
        <v>24403</v>
      </c>
      <c r="B11578" s="55"/>
      <c r="C11578" s="31"/>
    </row>
    <row r="11579">
      <c r="A11579" s="56" t="s">
        <v>24404</v>
      </c>
      <c r="B11579" s="55"/>
      <c r="C11579" s="31"/>
    </row>
    <row r="11580">
      <c r="A11580" s="56" t="s">
        <v>24405</v>
      </c>
      <c r="B11580" s="82"/>
      <c r="C11580" s="33" t="s">
        <v>24406</v>
      </c>
    </row>
    <row r="11581">
      <c r="A11581" s="56" t="s">
        <v>24407</v>
      </c>
      <c r="B11581" s="55"/>
      <c r="C11581" s="31"/>
    </row>
    <row r="11582">
      <c r="A11582" s="56" t="s">
        <v>24408</v>
      </c>
      <c r="B11582" s="55"/>
      <c r="C11582" s="31"/>
    </row>
    <row r="11583">
      <c r="A11583" s="56" t="s">
        <v>24409</v>
      </c>
      <c r="B11583" s="55"/>
      <c r="C11583" s="31"/>
    </row>
    <row r="11584">
      <c r="A11584" s="56" t="s">
        <v>24410</v>
      </c>
      <c r="B11584" s="55"/>
      <c r="C11584" s="31"/>
    </row>
    <row r="11585">
      <c r="A11585" s="56" t="s">
        <v>24411</v>
      </c>
      <c r="B11585" s="55"/>
      <c r="C11585" s="31"/>
    </row>
    <row r="11586">
      <c r="A11586" s="56" t="s">
        <v>24412</v>
      </c>
      <c r="B11586" s="55"/>
      <c r="C11586" s="31"/>
    </row>
    <row r="11587">
      <c r="A11587" s="56" t="s">
        <v>24413</v>
      </c>
      <c r="B11587" s="55"/>
      <c r="C11587" s="31"/>
    </row>
    <row r="11588">
      <c r="A11588" s="56" t="s">
        <v>24416</v>
      </c>
      <c r="B11588" s="55"/>
      <c r="C11588" s="31"/>
    </row>
    <row r="11589">
      <c r="A11589" s="56" t="s">
        <v>24417</v>
      </c>
      <c r="B11589" s="55"/>
      <c r="C11589" s="31"/>
    </row>
    <row r="11590">
      <c r="A11590" s="56" t="s">
        <v>24418</v>
      </c>
      <c r="B11590" s="55"/>
      <c r="C11590" s="31"/>
    </row>
    <row r="11591">
      <c r="A11591" s="56" t="s">
        <v>24419</v>
      </c>
      <c r="B11591" s="55"/>
      <c r="C11591" s="31"/>
    </row>
    <row r="11592">
      <c r="A11592" s="56" t="s">
        <v>24421</v>
      </c>
      <c r="B11592" s="55"/>
      <c r="C11592" s="31"/>
    </row>
    <row r="11593">
      <c r="A11593" s="56" t="s">
        <v>24422</v>
      </c>
      <c r="B11593" s="55"/>
      <c r="C11593" s="31"/>
    </row>
    <row r="11594">
      <c r="A11594" s="56" t="s">
        <v>24423</v>
      </c>
      <c r="B11594" s="55"/>
      <c r="C11594" s="31"/>
    </row>
    <row r="11595">
      <c r="A11595" s="56" t="s">
        <v>24425</v>
      </c>
      <c r="B11595" s="55"/>
      <c r="C11595" s="31"/>
    </row>
    <row r="11596">
      <c r="A11596" s="56" t="s">
        <v>24426</v>
      </c>
      <c r="B11596" s="82"/>
      <c r="C11596" s="33" t="s">
        <v>24427</v>
      </c>
    </row>
    <row r="11597">
      <c r="A11597" s="56" t="s">
        <v>24428</v>
      </c>
      <c r="B11597" s="55"/>
      <c r="C11597" s="31"/>
    </row>
    <row r="11598">
      <c r="A11598" s="56" t="s">
        <v>24430</v>
      </c>
      <c r="B11598" s="55"/>
      <c r="C11598" s="31"/>
    </row>
    <row r="11599">
      <c r="A11599" s="56" t="s">
        <v>24431</v>
      </c>
      <c r="B11599" s="55"/>
      <c r="C11599" s="31"/>
    </row>
    <row r="11600">
      <c r="A11600" s="56" t="s">
        <v>24432</v>
      </c>
      <c r="B11600" s="55"/>
      <c r="C11600" s="31"/>
    </row>
    <row r="11601">
      <c r="A11601" s="56" t="s">
        <v>24433</v>
      </c>
      <c r="B11601" s="55"/>
      <c r="C11601" s="31"/>
    </row>
    <row r="11602">
      <c r="A11602" s="56" t="s">
        <v>24434</v>
      </c>
      <c r="B11602" s="55"/>
      <c r="C11602" s="31"/>
    </row>
    <row r="11603">
      <c r="A11603" s="56" t="s">
        <v>24435</v>
      </c>
      <c r="B11603" s="55"/>
      <c r="C11603" s="31"/>
    </row>
    <row r="11604">
      <c r="A11604" s="56" t="s">
        <v>24436</v>
      </c>
      <c r="B11604" s="55"/>
      <c r="C11604" s="31"/>
    </row>
    <row r="11605">
      <c r="A11605" s="56" t="s">
        <v>24438</v>
      </c>
      <c r="B11605" s="55"/>
      <c r="C11605" s="31"/>
    </row>
    <row r="11606">
      <c r="A11606" s="56" t="s">
        <v>24439</v>
      </c>
      <c r="B11606" s="55"/>
      <c r="C11606" s="31"/>
    </row>
    <row r="11607">
      <c r="A11607" s="56" t="s">
        <v>24441</v>
      </c>
      <c r="B11607" s="82"/>
      <c r="C11607" s="33" t="s">
        <v>24442</v>
      </c>
    </row>
    <row r="11608">
      <c r="A11608" s="56" t="s">
        <v>24443</v>
      </c>
      <c r="B11608" s="55"/>
      <c r="C11608" s="31"/>
    </row>
    <row r="11609">
      <c r="A11609" s="56" t="s">
        <v>24444</v>
      </c>
      <c r="B11609" s="55"/>
      <c r="C11609" s="31"/>
    </row>
    <row r="11610">
      <c r="A11610" s="56" t="s">
        <v>24445</v>
      </c>
      <c r="B11610" s="55"/>
      <c r="C11610" s="31"/>
    </row>
    <row r="11611">
      <c r="A11611" s="56" t="s">
        <v>24446</v>
      </c>
      <c r="B11611" s="55"/>
      <c r="C11611" s="31"/>
    </row>
    <row r="11612">
      <c r="A11612" s="56" t="s">
        <v>24448</v>
      </c>
      <c r="B11612" s="82"/>
      <c r="C11612" s="33" t="s">
        <v>24449</v>
      </c>
    </row>
    <row r="11613">
      <c r="A11613" s="56" t="s">
        <v>24450</v>
      </c>
      <c r="B11613" s="55"/>
      <c r="C11613" s="31"/>
    </row>
    <row r="11614">
      <c r="A11614" s="56" t="s">
        <v>24452</v>
      </c>
      <c r="B11614" s="55"/>
      <c r="C11614" s="31"/>
    </row>
    <row r="11615">
      <c r="A11615" s="56" t="s">
        <v>24453</v>
      </c>
      <c r="B11615" s="55"/>
      <c r="C11615" s="31"/>
    </row>
    <row r="11616">
      <c r="A11616" s="56" t="s">
        <v>24455</v>
      </c>
      <c r="B11616" s="55"/>
      <c r="C11616" s="31"/>
    </row>
    <row r="11617">
      <c r="A11617" s="56" t="s">
        <v>24457</v>
      </c>
      <c r="B11617" s="82"/>
      <c r="C11617" s="33" t="s">
        <v>24459</v>
      </c>
    </row>
    <row r="11618">
      <c r="A11618" s="56" t="s">
        <v>24460</v>
      </c>
      <c r="B11618" s="55"/>
      <c r="C11618" s="31"/>
    </row>
    <row r="11619">
      <c r="A11619" s="56" t="s">
        <v>24461</v>
      </c>
      <c r="B11619" s="55"/>
      <c r="C11619" s="31"/>
    </row>
    <row r="11620">
      <c r="A11620" s="56" t="s">
        <v>24462</v>
      </c>
      <c r="B11620" s="55"/>
      <c r="C11620" s="31"/>
    </row>
    <row r="11621">
      <c r="A11621" s="56" t="s">
        <v>24463</v>
      </c>
      <c r="B11621" s="55"/>
      <c r="C11621" s="31"/>
    </row>
    <row r="11622">
      <c r="A11622" s="56" t="s">
        <v>24464</v>
      </c>
      <c r="B11622" s="82"/>
      <c r="C11622" s="33" t="s">
        <v>24466</v>
      </c>
    </row>
    <row r="11623">
      <c r="A11623" s="56" t="s">
        <v>24467</v>
      </c>
      <c r="B11623" s="55"/>
      <c r="C11623" s="31"/>
    </row>
    <row r="11624">
      <c r="A11624" s="56" t="s">
        <v>24470</v>
      </c>
      <c r="B11624" s="55"/>
      <c r="C11624" s="31"/>
    </row>
    <row r="11625">
      <c r="A11625" s="56" t="s">
        <v>24471</v>
      </c>
      <c r="B11625" s="55"/>
      <c r="C11625" s="31"/>
    </row>
    <row r="11626">
      <c r="A11626" s="56" t="s">
        <v>24473</v>
      </c>
      <c r="B11626" s="55"/>
      <c r="C11626" s="31"/>
    </row>
    <row r="11627">
      <c r="A11627" s="56" t="s">
        <v>24474</v>
      </c>
      <c r="B11627" s="82"/>
      <c r="C11627" s="33" t="s">
        <v>24475</v>
      </c>
    </row>
    <row r="11628">
      <c r="A11628" s="56" t="s">
        <v>24476</v>
      </c>
      <c r="B11628" s="55"/>
      <c r="C11628" s="31"/>
    </row>
    <row r="11629">
      <c r="A11629" s="56" t="s">
        <v>24477</v>
      </c>
      <c r="B11629" s="55"/>
      <c r="C11629" s="31"/>
    </row>
    <row r="11630">
      <c r="A11630" s="56" t="s">
        <v>24478</v>
      </c>
      <c r="B11630" s="55"/>
      <c r="C11630" s="31"/>
    </row>
    <row r="11631">
      <c r="A11631" s="56" t="s">
        <v>24480</v>
      </c>
      <c r="B11631" s="55"/>
      <c r="C11631" s="31"/>
    </row>
    <row r="11632">
      <c r="A11632" s="56" t="s">
        <v>24481</v>
      </c>
      <c r="B11632" s="55"/>
      <c r="C11632" s="31"/>
    </row>
    <row r="11633">
      <c r="A11633" s="56" t="s">
        <v>24483</v>
      </c>
      <c r="B11633" s="55"/>
      <c r="C11633" s="31"/>
    </row>
    <row r="11634">
      <c r="A11634" s="56" t="s">
        <v>24484</v>
      </c>
      <c r="B11634" s="55"/>
      <c r="C11634" s="31"/>
    </row>
    <row r="11635">
      <c r="A11635" s="56" t="s">
        <v>24485</v>
      </c>
      <c r="B11635" s="55"/>
      <c r="C11635" s="31"/>
    </row>
    <row r="11636">
      <c r="A11636" s="56" t="s">
        <v>24486</v>
      </c>
      <c r="B11636" s="55"/>
      <c r="C11636" s="31"/>
    </row>
    <row r="11637">
      <c r="A11637" s="56" t="s">
        <v>24487</v>
      </c>
      <c r="B11637" s="55"/>
      <c r="C11637" s="31"/>
    </row>
    <row r="11638">
      <c r="A11638" s="56" t="s">
        <v>24489</v>
      </c>
      <c r="B11638" s="55"/>
      <c r="C11638" s="31"/>
    </row>
    <row r="11639">
      <c r="A11639" s="56" t="s">
        <v>24490</v>
      </c>
      <c r="B11639" s="55"/>
      <c r="C11639" s="31"/>
    </row>
    <row r="11640">
      <c r="A11640" s="56" t="s">
        <v>24492</v>
      </c>
      <c r="B11640" s="55"/>
      <c r="C11640" s="31"/>
    </row>
    <row r="11641">
      <c r="A11641" s="56" t="s">
        <v>24493</v>
      </c>
      <c r="B11641" s="55"/>
      <c r="C11641" s="31"/>
    </row>
    <row r="11642">
      <c r="A11642" s="56" t="s">
        <v>24494</v>
      </c>
      <c r="B11642" s="55"/>
      <c r="C11642" s="31"/>
    </row>
    <row r="11643">
      <c r="A11643" s="56" t="s">
        <v>24495</v>
      </c>
      <c r="B11643" s="55"/>
      <c r="C11643" s="31"/>
    </row>
    <row r="11644">
      <c r="A11644" s="56" t="s">
        <v>24496</v>
      </c>
      <c r="B11644" s="82"/>
      <c r="C11644" s="33" t="s">
        <v>24498</v>
      </c>
    </row>
    <row r="11645">
      <c r="A11645" s="56" t="s">
        <v>24499</v>
      </c>
      <c r="B11645" s="55"/>
      <c r="C11645" s="31"/>
    </row>
    <row r="11646">
      <c r="A11646" s="56" t="s">
        <v>24500</v>
      </c>
      <c r="B11646" s="55"/>
      <c r="C11646" s="31"/>
    </row>
    <row r="11647">
      <c r="A11647" s="56" t="s">
        <v>24502</v>
      </c>
      <c r="B11647" s="55"/>
      <c r="C11647" s="31"/>
    </row>
    <row r="11648">
      <c r="A11648" s="56" t="s">
        <v>24503</v>
      </c>
      <c r="B11648" s="55"/>
      <c r="C11648" s="31"/>
    </row>
    <row r="11649">
      <c r="A11649" s="56" t="s">
        <v>24504</v>
      </c>
      <c r="B11649" s="55"/>
      <c r="C11649" s="31"/>
    </row>
    <row r="11650">
      <c r="A11650" s="56" t="s">
        <v>24505</v>
      </c>
      <c r="B11650" s="55"/>
      <c r="C11650" s="31"/>
    </row>
    <row r="11651">
      <c r="A11651" s="56" t="s">
        <v>24507</v>
      </c>
      <c r="B11651" s="55"/>
      <c r="C11651" s="31"/>
    </row>
    <row r="11652">
      <c r="A11652" s="56" t="s">
        <v>24508</v>
      </c>
      <c r="B11652" s="55"/>
      <c r="C11652" s="31"/>
    </row>
    <row r="11653">
      <c r="A11653" s="56" t="s">
        <v>24509</v>
      </c>
      <c r="B11653" s="55"/>
      <c r="C11653" s="31"/>
    </row>
    <row r="11654">
      <c r="A11654" s="56" t="s">
        <v>24511</v>
      </c>
      <c r="B11654" s="55"/>
      <c r="C11654" s="31"/>
    </row>
    <row r="11655">
      <c r="A11655" s="56" t="s">
        <v>24512</v>
      </c>
      <c r="B11655" s="55"/>
      <c r="C11655" s="31"/>
    </row>
    <row r="11656">
      <c r="A11656" s="56" t="s">
        <v>24513</v>
      </c>
      <c r="B11656" s="55"/>
      <c r="C11656" s="31"/>
    </row>
    <row r="11657">
      <c r="A11657" s="56" t="s">
        <v>24514</v>
      </c>
      <c r="B11657" s="55"/>
      <c r="C11657" s="31"/>
    </row>
    <row r="11658">
      <c r="A11658" s="56" t="s">
        <v>24516</v>
      </c>
      <c r="B11658" s="55"/>
      <c r="C11658" s="31"/>
    </row>
    <row r="11659">
      <c r="A11659" s="56" t="s">
        <v>24517</v>
      </c>
      <c r="B11659" s="55"/>
      <c r="C11659" s="31"/>
    </row>
    <row r="11660">
      <c r="A11660" s="56" t="s">
        <v>24518</v>
      </c>
      <c r="B11660" s="55"/>
      <c r="C11660" s="31"/>
    </row>
    <row r="11661">
      <c r="A11661" s="56" t="s">
        <v>24520</v>
      </c>
      <c r="B11661" s="55"/>
      <c r="C11661" s="31"/>
    </row>
    <row r="11662">
      <c r="A11662" s="56" t="s">
        <v>24521</v>
      </c>
      <c r="B11662" s="55"/>
      <c r="C11662" s="31"/>
    </row>
    <row r="11663">
      <c r="A11663" s="56" t="s">
        <v>24522</v>
      </c>
      <c r="B11663" s="82"/>
      <c r="C11663" s="33" t="s">
        <v>24523</v>
      </c>
    </row>
    <row r="11664">
      <c r="A11664" s="56" t="s">
        <v>24524</v>
      </c>
      <c r="B11664" s="55"/>
      <c r="C11664" s="31"/>
    </row>
    <row r="11665">
      <c r="A11665" s="56" t="s">
        <v>24526</v>
      </c>
      <c r="B11665" s="55"/>
      <c r="C11665" s="31"/>
    </row>
    <row r="11666">
      <c r="A11666" s="56" t="s">
        <v>24527</v>
      </c>
      <c r="B11666" s="55"/>
      <c r="C11666" s="31"/>
    </row>
    <row r="11667">
      <c r="A11667" s="56" t="s">
        <v>24528</v>
      </c>
      <c r="B11667" s="55"/>
      <c r="C11667" s="31"/>
    </row>
    <row r="11668">
      <c r="A11668" s="56" t="s">
        <v>24529</v>
      </c>
      <c r="B11668" s="55"/>
      <c r="C11668" s="31"/>
    </row>
    <row r="11669">
      <c r="A11669" s="56" t="s">
        <v>24531</v>
      </c>
      <c r="B11669" s="55"/>
      <c r="C11669" s="31"/>
    </row>
    <row r="11670">
      <c r="A11670" s="56" t="s">
        <v>24532</v>
      </c>
      <c r="B11670" s="55"/>
      <c r="C11670" s="31"/>
    </row>
    <row r="11671">
      <c r="A11671" s="56" t="s">
        <v>24533</v>
      </c>
      <c r="B11671" s="55"/>
      <c r="C11671" s="31"/>
    </row>
    <row r="11672">
      <c r="A11672" s="56" t="s">
        <v>24534</v>
      </c>
      <c r="B11672" s="55"/>
      <c r="C11672" s="31"/>
    </row>
    <row r="11673">
      <c r="A11673" s="56" t="s">
        <v>24535</v>
      </c>
      <c r="B11673" s="55"/>
      <c r="C11673" s="31"/>
    </row>
    <row r="11674">
      <c r="A11674" s="56" t="s">
        <v>24537</v>
      </c>
      <c r="B11674" s="55"/>
      <c r="C11674" s="31"/>
    </row>
    <row r="11675">
      <c r="A11675" s="56" t="s">
        <v>24539</v>
      </c>
      <c r="B11675" s="55"/>
      <c r="C11675" s="31"/>
    </row>
    <row r="11676">
      <c r="A11676" s="56" t="s">
        <v>24540</v>
      </c>
      <c r="B11676" s="82"/>
      <c r="C11676" s="33" t="s">
        <v>24541</v>
      </c>
    </row>
    <row r="11677">
      <c r="A11677" s="56" t="s">
        <v>24542</v>
      </c>
      <c r="B11677" s="55"/>
      <c r="C11677" s="31"/>
    </row>
    <row r="11678">
      <c r="A11678" s="56" t="s">
        <v>24543</v>
      </c>
      <c r="B11678" s="55"/>
      <c r="C11678" s="31"/>
    </row>
    <row r="11679">
      <c r="A11679" s="56" t="s">
        <v>24544</v>
      </c>
      <c r="B11679" s="55"/>
      <c r="C11679" s="31"/>
    </row>
    <row r="11680">
      <c r="A11680" s="56" t="s">
        <v>24545</v>
      </c>
      <c r="B11680" s="55"/>
      <c r="C11680" s="31"/>
    </row>
    <row r="11681">
      <c r="A11681" s="56" t="s">
        <v>24546</v>
      </c>
      <c r="B11681" s="55"/>
      <c r="C11681" s="31"/>
    </row>
    <row r="11682">
      <c r="A11682" s="56" t="s">
        <v>24548</v>
      </c>
      <c r="B11682" s="55"/>
      <c r="C11682" s="31"/>
    </row>
    <row r="11683">
      <c r="A11683" s="56" t="s">
        <v>24549</v>
      </c>
      <c r="B11683" s="55"/>
      <c r="C11683" s="31"/>
    </row>
    <row r="11684">
      <c r="A11684" s="56" t="s">
        <v>24551</v>
      </c>
      <c r="B11684" s="55"/>
      <c r="C11684" s="31"/>
    </row>
    <row r="11685">
      <c r="A11685" s="56" t="s">
        <v>24553</v>
      </c>
      <c r="B11685" s="55"/>
      <c r="C11685" s="31"/>
    </row>
    <row r="11686">
      <c r="A11686" s="56" t="s">
        <v>24555</v>
      </c>
      <c r="B11686" s="55"/>
      <c r="C11686" s="31"/>
    </row>
    <row r="11687">
      <c r="A11687" s="56" t="s">
        <v>24556</v>
      </c>
      <c r="B11687" s="55"/>
      <c r="C11687" s="31"/>
    </row>
    <row r="11688">
      <c r="A11688" s="56" t="s">
        <v>24557</v>
      </c>
      <c r="B11688" s="55"/>
      <c r="C11688" s="31"/>
    </row>
    <row r="11689">
      <c r="A11689" s="56" t="s">
        <v>24558</v>
      </c>
      <c r="B11689" s="55"/>
      <c r="C11689" s="31"/>
    </row>
    <row r="11690">
      <c r="A11690" s="56" t="s">
        <v>24560</v>
      </c>
      <c r="B11690" s="55"/>
      <c r="C11690" s="31"/>
    </row>
    <row r="11691">
      <c r="A11691" s="56" t="s">
        <v>24561</v>
      </c>
      <c r="B11691" s="55"/>
      <c r="C11691" s="31"/>
    </row>
    <row r="11692">
      <c r="A11692" s="56" t="s">
        <v>24562</v>
      </c>
      <c r="B11692" s="55"/>
      <c r="C11692" s="31"/>
    </row>
    <row r="11693">
      <c r="A11693" s="56" t="s">
        <v>24563</v>
      </c>
      <c r="B11693" s="55"/>
      <c r="C11693" s="31"/>
    </row>
    <row r="11694">
      <c r="A11694" s="56" t="s">
        <v>24564</v>
      </c>
      <c r="B11694" s="55"/>
      <c r="C11694" s="31"/>
    </row>
    <row r="11695">
      <c r="A11695" s="56" t="s">
        <v>24565</v>
      </c>
      <c r="B11695" s="55"/>
      <c r="C11695" s="31"/>
    </row>
    <row r="11696">
      <c r="A11696" s="56" t="s">
        <v>24566</v>
      </c>
      <c r="B11696" s="55"/>
      <c r="C11696" s="31"/>
    </row>
    <row r="11697">
      <c r="A11697" s="56" t="s">
        <v>24567</v>
      </c>
      <c r="B11697" s="55"/>
      <c r="C11697" s="31"/>
    </row>
    <row r="11698">
      <c r="A11698" s="56" t="s">
        <v>24568</v>
      </c>
      <c r="B11698" s="55"/>
      <c r="C11698" s="31"/>
    </row>
    <row r="11699">
      <c r="A11699" s="56" t="s">
        <v>24569</v>
      </c>
      <c r="B11699" s="55"/>
      <c r="C11699" s="31"/>
    </row>
    <row r="11700">
      <c r="A11700" s="56" t="s">
        <v>24571</v>
      </c>
      <c r="B11700" s="55"/>
      <c r="C11700" s="31"/>
    </row>
    <row r="11701">
      <c r="A11701" s="56" t="s">
        <v>24572</v>
      </c>
      <c r="B11701" s="55"/>
      <c r="C11701" s="31"/>
    </row>
    <row r="11702">
      <c r="A11702" s="56" t="s">
        <v>24573</v>
      </c>
      <c r="B11702" s="55"/>
      <c r="C11702" s="31"/>
    </row>
    <row r="11703">
      <c r="A11703" s="56" t="s">
        <v>24574</v>
      </c>
      <c r="B11703" s="55"/>
      <c r="C11703" s="31"/>
    </row>
    <row r="11704">
      <c r="A11704" s="56" t="s">
        <v>24575</v>
      </c>
      <c r="B11704" s="55"/>
      <c r="C11704" s="31"/>
    </row>
    <row r="11705">
      <c r="A11705" s="56" t="s">
        <v>24576</v>
      </c>
      <c r="B11705" s="55"/>
      <c r="C11705" s="31"/>
    </row>
    <row r="11706">
      <c r="A11706" s="56" t="s">
        <v>24578</v>
      </c>
      <c r="B11706" s="55"/>
      <c r="C11706" s="31"/>
    </row>
    <row r="11707">
      <c r="A11707" s="56" t="s">
        <v>24579</v>
      </c>
      <c r="B11707" s="55"/>
      <c r="C11707" s="31"/>
    </row>
    <row r="11708">
      <c r="A11708" s="56" t="s">
        <v>24580</v>
      </c>
      <c r="B11708" s="55"/>
      <c r="C11708" s="31"/>
    </row>
    <row r="11709">
      <c r="A11709" s="56" t="s">
        <v>24582</v>
      </c>
      <c r="B11709" s="55"/>
      <c r="C11709" s="31"/>
    </row>
    <row r="11710">
      <c r="A11710" s="56" t="s">
        <v>24583</v>
      </c>
      <c r="B11710" s="55"/>
      <c r="C11710" s="31"/>
    </row>
    <row r="11711">
      <c r="A11711" s="56" t="s">
        <v>24584</v>
      </c>
      <c r="B11711" s="55"/>
      <c r="C11711" s="31"/>
    </row>
    <row r="11712">
      <c r="A11712" s="56" t="s">
        <v>24585</v>
      </c>
      <c r="B11712" s="82"/>
      <c r="C11712" s="33" t="s">
        <v>24586</v>
      </c>
    </row>
    <row r="11713">
      <c r="A11713" s="56" t="s">
        <v>24587</v>
      </c>
      <c r="B11713" s="82"/>
      <c r="C11713" s="33" t="s">
        <v>11373</v>
      </c>
      <c r="E11713" s="46" t="s">
        <v>7616</v>
      </c>
    </row>
    <row r="11714">
      <c r="A11714" s="56" t="s">
        <v>24588</v>
      </c>
      <c r="B11714" s="82"/>
      <c r="C11714" s="33" t="s">
        <v>11373</v>
      </c>
      <c r="E11714" s="46" t="s">
        <v>7618</v>
      </c>
    </row>
    <row r="11715">
      <c r="A11715" s="56" t="s">
        <v>24589</v>
      </c>
      <c r="B11715" s="82"/>
      <c r="C11715" s="33" t="s">
        <v>11376</v>
      </c>
      <c r="E11715" s="46" t="s">
        <v>7616</v>
      </c>
    </row>
    <row r="11716">
      <c r="A11716" s="56" t="s">
        <v>24590</v>
      </c>
      <c r="B11716" s="82"/>
      <c r="C11716" s="33" t="s">
        <v>11376</v>
      </c>
      <c r="E11716" s="46" t="s">
        <v>7618</v>
      </c>
    </row>
    <row r="11717">
      <c r="A11717" s="56" t="s">
        <v>24591</v>
      </c>
      <c r="B11717" s="82"/>
      <c r="C11717" s="33" t="s">
        <v>11380</v>
      </c>
      <c r="E11717" s="46" t="s">
        <v>7616</v>
      </c>
    </row>
    <row r="11718">
      <c r="A11718" s="56" t="s">
        <v>24594</v>
      </c>
      <c r="B11718" s="82"/>
      <c r="C11718" s="33" t="s">
        <v>11380</v>
      </c>
      <c r="E11718" s="46" t="s">
        <v>7618</v>
      </c>
    </row>
    <row r="11719">
      <c r="A11719" s="56" t="s">
        <v>24595</v>
      </c>
      <c r="B11719" s="79"/>
      <c r="C11719" s="33" t="s">
        <v>11384</v>
      </c>
      <c r="E11719" s="46" t="s">
        <v>1348</v>
      </c>
    </row>
    <row r="11720">
      <c r="A11720" s="56" t="s">
        <v>24596</v>
      </c>
      <c r="B11720" s="79"/>
      <c r="C11720" s="33" t="s">
        <v>11384</v>
      </c>
      <c r="E11720" s="46" t="s">
        <v>1348</v>
      </c>
    </row>
    <row r="11721">
      <c r="A11721" s="56" t="s">
        <v>24597</v>
      </c>
      <c r="B11721" s="79"/>
      <c r="C11721" s="33" t="s">
        <v>11389</v>
      </c>
      <c r="E11721" s="46" t="s">
        <v>1348</v>
      </c>
    </row>
    <row r="11722">
      <c r="A11722" s="56" t="s">
        <v>24599</v>
      </c>
      <c r="B11722" s="21"/>
      <c r="C11722" s="33" t="s">
        <v>11391</v>
      </c>
      <c r="E11722" s="46" t="s">
        <v>7616</v>
      </c>
    </row>
    <row r="11723">
      <c r="A11723" s="56" t="s">
        <v>24601</v>
      </c>
      <c r="B11723" s="21"/>
      <c r="C11723" s="33" t="s">
        <v>11391</v>
      </c>
      <c r="E11723" s="46" t="s">
        <v>7618</v>
      </c>
    </row>
    <row r="11724">
      <c r="A11724" s="56" t="s">
        <v>24602</v>
      </c>
      <c r="B11724" s="21"/>
      <c r="C11724" s="33" t="s">
        <v>11394</v>
      </c>
      <c r="E11724" s="46" t="s">
        <v>7616</v>
      </c>
    </row>
    <row r="11725">
      <c r="A11725" s="56" t="s">
        <v>24603</v>
      </c>
      <c r="B11725" s="21"/>
      <c r="C11725" s="33" t="s">
        <v>11394</v>
      </c>
      <c r="E11725" s="46" t="s">
        <v>7618</v>
      </c>
    </row>
    <row r="11726">
      <c r="A11726" s="56" t="s">
        <v>24604</v>
      </c>
      <c r="B11726" s="21"/>
      <c r="C11726" s="33" t="s">
        <v>11398</v>
      </c>
      <c r="E11726" s="46" t="s">
        <v>7616</v>
      </c>
    </row>
    <row r="11727">
      <c r="A11727" s="56" t="s">
        <v>24605</v>
      </c>
      <c r="B11727" s="21"/>
      <c r="C11727" s="33" t="s">
        <v>11398</v>
      </c>
      <c r="E11727" s="46" t="s">
        <v>7618</v>
      </c>
    </row>
    <row r="11728">
      <c r="A11728" s="56" t="s">
        <v>24607</v>
      </c>
      <c r="B11728" s="21"/>
      <c r="C11728" s="33" t="s">
        <v>11391</v>
      </c>
      <c r="E11728" s="46" t="s">
        <v>7616</v>
      </c>
    </row>
    <row r="11729">
      <c r="A11729" s="56" t="s">
        <v>24608</v>
      </c>
      <c r="B11729" s="21"/>
      <c r="C11729" s="33" t="s">
        <v>11391</v>
      </c>
      <c r="E11729" s="46" t="s">
        <v>7618</v>
      </c>
    </row>
    <row r="11730">
      <c r="A11730" s="56" t="s">
        <v>24609</v>
      </c>
      <c r="B11730" s="21"/>
      <c r="C11730" s="33" t="s">
        <v>11394</v>
      </c>
      <c r="E11730" s="46" t="s">
        <v>7616</v>
      </c>
    </row>
    <row r="11731">
      <c r="A11731" s="56" t="s">
        <v>24611</v>
      </c>
      <c r="B11731" s="21"/>
      <c r="C11731" s="33" t="s">
        <v>11394</v>
      </c>
      <c r="E11731" s="46" t="s">
        <v>7618</v>
      </c>
    </row>
    <row r="11732">
      <c r="A11732" s="56" t="s">
        <v>24613</v>
      </c>
      <c r="B11732" s="21"/>
      <c r="C11732" s="33" t="s">
        <v>11398</v>
      </c>
      <c r="E11732" s="46" t="s">
        <v>7616</v>
      </c>
    </row>
    <row r="11733">
      <c r="A11733" s="56" t="s">
        <v>24614</v>
      </c>
      <c r="B11733" s="21"/>
      <c r="C11733" s="33" t="s">
        <v>11398</v>
      </c>
      <c r="E11733" s="46" t="s">
        <v>7618</v>
      </c>
    </row>
    <row r="11734">
      <c r="A11734" s="56" t="s">
        <v>24615</v>
      </c>
      <c r="B11734" s="21"/>
      <c r="C11734" s="33" t="s">
        <v>11411</v>
      </c>
      <c r="E11734" s="46" t="s">
        <v>7616</v>
      </c>
    </row>
    <row r="11735">
      <c r="A11735" s="56" t="s">
        <v>24616</v>
      </c>
      <c r="B11735" s="21"/>
      <c r="C11735" s="33" t="s">
        <v>11411</v>
      </c>
      <c r="E11735" s="46" t="s">
        <v>7618</v>
      </c>
    </row>
    <row r="11736">
      <c r="A11736" s="56" t="s">
        <v>24617</v>
      </c>
      <c r="B11736" s="21"/>
      <c r="C11736" s="33" t="s">
        <v>11416</v>
      </c>
      <c r="E11736" s="46" t="s">
        <v>7616</v>
      </c>
    </row>
    <row r="11737">
      <c r="A11737" s="56" t="s">
        <v>24618</v>
      </c>
      <c r="B11737" s="21"/>
      <c r="C11737" s="33" t="s">
        <v>11416</v>
      </c>
      <c r="E11737" s="46" t="s">
        <v>7618</v>
      </c>
    </row>
    <row r="11738">
      <c r="A11738" s="56" t="s">
        <v>24619</v>
      </c>
      <c r="B11738" s="21"/>
      <c r="C11738" s="33" t="s">
        <v>11419</v>
      </c>
      <c r="E11738" s="46" t="s">
        <v>7616</v>
      </c>
    </row>
    <row r="11739">
      <c r="A11739" s="56" t="s">
        <v>24621</v>
      </c>
      <c r="B11739" s="21"/>
      <c r="C11739" s="33" t="s">
        <v>11419</v>
      </c>
      <c r="E11739" s="46" t="s">
        <v>7618</v>
      </c>
    </row>
    <row r="11740">
      <c r="A11740" s="56" t="s">
        <v>24623</v>
      </c>
      <c r="B11740" s="21"/>
      <c r="C11740" s="33" t="s">
        <v>11411</v>
      </c>
      <c r="E11740" s="46" t="s">
        <v>7616</v>
      </c>
    </row>
    <row r="11741">
      <c r="A11741" s="56" t="s">
        <v>24624</v>
      </c>
      <c r="B11741" s="21"/>
      <c r="C11741" s="33" t="s">
        <v>11411</v>
      </c>
      <c r="E11741" s="46" t="s">
        <v>7618</v>
      </c>
    </row>
    <row r="11742">
      <c r="A11742" s="56" t="s">
        <v>24625</v>
      </c>
      <c r="B11742" s="21"/>
      <c r="C11742" s="33" t="s">
        <v>11416</v>
      </c>
      <c r="E11742" s="46" t="s">
        <v>7616</v>
      </c>
    </row>
    <row r="11743">
      <c r="A11743" s="56" t="s">
        <v>24626</v>
      </c>
      <c r="B11743" s="21"/>
      <c r="C11743" s="33" t="s">
        <v>11416</v>
      </c>
      <c r="E11743" s="46" t="s">
        <v>7618</v>
      </c>
    </row>
    <row r="11744">
      <c r="A11744" s="56" t="s">
        <v>24628</v>
      </c>
      <c r="B11744" s="21"/>
      <c r="C11744" s="33" t="s">
        <v>11419</v>
      </c>
      <c r="E11744" s="46" t="s">
        <v>7616</v>
      </c>
    </row>
    <row r="11745">
      <c r="A11745" s="56" t="s">
        <v>24629</v>
      </c>
      <c r="B11745" s="21"/>
      <c r="C11745" s="33" t="s">
        <v>11419</v>
      </c>
      <c r="E11745" s="46" t="s">
        <v>7618</v>
      </c>
    </row>
    <row r="11746">
      <c r="A11746" s="56" t="s">
        <v>24630</v>
      </c>
      <c r="B11746" s="55"/>
      <c r="C11746" s="31"/>
    </row>
    <row r="11747">
      <c r="A11747" s="56" t="s">
        <v>24631</v>
      </c>
      <c r="B11747" s="55"/>
      <c r="C11747" s="31"/>
    </row>
    <row r="11748">
      <c r="A11748" s="56" t="s">
        <v>24633</v>
      </c>
      <c r="B11748" s="55"/>
      <c r="C11748" s="31"/>
    </row>
    <row r="11749">
      <c r="A11749" s="56" t="s">
        <v>24634</v>
      </c>
      <c r="B11749" s="55"/>
      <c r="C11749" s="31"/>
    </row>
    <row r="11750">
      <c r="A11750" s="56" t="s">
        <v>24636</v>
      </c>
      <c r="B11750" s="82"/>
      <c r="C11750" s="33" t="s">
        <v>12708</v>
      </c>
    </row>
    <row r="11751">
      <c r="A11751" s="56" t="s">
        <v>24637</v>
      </c>
      <c r="B11751" s="82"/>
      <c r="C11751" s="33" t="s">
        <v>11373</v>
      </c>
      <c r="E11751" s="46" t="s">
        <v>7616</v>
      </c>
    </row>
    <row r="11752">
      <c r="A11752" s="56" t="s">
        <v>24640</v>
      </c>
      <c r="B11752" s="82"/>
      <c r="C11752" s="33" t="s">
        <v>11373</v>
      </c>
      <c r="E11752" s="46" t="s">
        <v>7618</v>
      </c>
    </row>
    <row r="11753">
      <c r="A11753" s="56" t="s">
        <v>24641</v>
      </c>
      <c r="B11753" s="82"/>
      <c r="C11753" s="33" t="s">
        <v>11376</v>
      </c>
      <c r="E11753" s="46" t="s">
        <v>7616</v>
      </c>
    </row>
    <row r="11754">
      <c r="A11754" s="56" t="s">
        <v>24644</v>
      </c>
      <c r="B11754" s="82"/>
      <c r="C11754" s="33" t="s">
        <v>11376</v>
      </c>
      <c r="E11754" s="46" t="s">
        <v>7618</v>
      </c>
    </row>
    <row r="11755">
      <c r="A11755" s="56" t="s">
        <v>24646</v>
      </c>
      <c r="B11755" s="82"/>
      <c r="C11755" s="33" t="s">
        <v>11380</v>
      </c>
      <c r="E11755" s="46" t="s">
        <v>7616</v>
      </c>
    </row>
    <row r="11756">
      <c r="A11756" s="56" t="s">
        <v>24648</v>
      </c>
      <c r="B11756" s="82"/>
      <c r="C11756" s="33" t="s">
        <v>11380</v>
      </c>
      <c r="E11756" s="46" t="s">
        <v>7618</v>
      </c>
    </row>
    <row r="11757">
      <c r="A11757" s="56" t="s">
        <v>24650</v>
      </c>
      <c r="B11757" s="79"/>
      <c r="C11757" s="33" t="s">
        <v>11384</v>
      </c>
      <c r="E11757" s="46" t="s">
        <v>1348</v>
      </c>
    </row>
    <row r="11758">
      <c r="A11758" s="56" t="s">
        <v>24651</v>
      </c>
      <c r="B11758" s="79"/>
      <c r="C11758" s="33" t="s">
        <v>11384</v>
      </c>
      <c r="E11758" s="46" t="s">
        <v>1348</v>
      </c>
    </row>
    <row r="11759">
      <c r="A11759" s="56" t="s">
        <v>24653</v>
      </c>
      <c r="B11759" s="79"/>
      <c r="C11759" s="33" t="s">
        <v>11389</v>
      </c>
      <c r="E11759" s="46" t="s">
        <v>1348</v>
      </c>
    </row>
    <row r="11760">
      <c r="A11760" s="56" t="s">
        <v>24655</v>
      </c>
      <c r="B11760" s="21"/>
      <c r="C11760" s="33" t="s">
        <v>11391</v>
      </c>
      <c r="E11760" s="46" t="s">
        <v>7616</v>
      </c>
    </row>
    <row r="11761">
      <c r="A11761" s="56" t="s">
        <v>24657</v>
      </c>
      <c r="B11761" s="21"/>
      <c r="C11761" s="33" t="s">
        <v>11391</v>
      </c>
      <c r="E11761" s="46" t="s">
        <v>7618</v>
      </c>
    </row>
    <row r="11762">
      <c r="A11762" s="56" t="s">
        <v>24659</v>
      </c>
      <c r="B11762" s="21"/>
      <c r="C11762" s="33" t="s">
        <v>11394</v>
      </c>
      <c r="E11762" s="46" t="s">
        <v>7616</v>
      </c>
    </row>
    <row r="11763">
      <c r="A11763" s="56" t="s">
        <v>24660</v>
      </c>
      <c r="B11763" s="21"/>
      <c r="C11763" s="33" t="s">
        <v>11394</v>
      </c>
      <c r="E11763" s="46" t="s">
        <v>7618</v>
      </c>
    </row>
    <row r="11764">
      <c r="A11764" s="56" t="s">
        <v>24661</v>
      </c>
      <c r="B11764" s="21"/>
      <c r="C11764" s="33" t="s">
        <v>11398</v>
      </c>
      <c r="E11764" s="46" t="s">
        <v>7616</v>
      </c>
    </row>
    <row r="11765">
      <c r="A11765" s="56" t="s">
        <v>24662</v>
      </c>
      <c r="B11765" s="21"/>
      <c r="C11765" s="33" t="s">
        <v>11398</v>
      </c>
      <c r="E11765" s="46" t="s">
        <v>7618</v>
      </c>
    </row>
    <row r="11766">
      <c r="A11766" s="56" t="s">
        <v>24665</v>
      </c>
      <c r="B11766" s="21"/>
      <c r="C11766" s="33" t="s">
        <v>11391</v>
      </c>
      <c r="E11766" s="46" t="s">
        <v>7616</v>
      </c>
    </row>
    <row r="11767">
      <c r="A11767" s="56" t="s">
        <v>24667</v>
      </c>
      <c r="B11767" s="21"/>
      <c r="C11767" s="33" t="s">
        <v>11391</v>
      </c>
      <c r="E11767" s="46" t="s">
        <v>7618</v>
      </c>
    </row>
    <row r="11768">
      <c r="A11768" s="56" t="s">
        <v>24668</v>
      </c>
      <c r="B11768" s="21"/>
      <c r="C11768" s="33" t="s">
        <v>11394</v>
      </c>
      <c r="E11768" s="46" t="s">
        <v>7616</v>
      </c>
    </row>
    <row r="11769">
      <c r="A11769" s="56" t="s">
        <v>24669</v>
      </c>
      <c r="B11769" s="21"/>
      <c r="C11769" s="33" t="s">
        <v>11394</v>
      </c>
      <c r="E11769" s="46" t="s">
        <v>7618</v>
      </c>
    </row>
    <row r="11770">
      <c r="A11770" s="56" t="s">
        <v>24671</v>
      </c>
      <c r="B11770" s="21"/>
      <c r="C11770" s="33" t="s">
        <v>11398</v>
      </c>
      <c r="E11770" s="46" t="s">
        <v>7616</v>
      </c>
    </row>
    <row r="11771">
      <c r="A11771" s="56" t="s">
        <v>24672</v>
      </c>
      <c r="B11771" s="21"/>
      <c r="C11771" s="33" t="s">
        <v>11398</v>
      </c>
      <c r="E11771" s="46" t="s">
        <v>7618</v>
      </c>
    </row>
    <row r="11772">
      <c r="A11772" s="56" t="s">
        <v>24673</v>
      </c>
      <c r="B11772" s="21"/>
      <c r="C11772" s="33" t="s">
        <v>11411</v>
      </c>
      <c r="E11772" s="46" t="s">
        <v>7616</v>
      </c>
    </row>
    <row r="11773">
      <c r="A11773" s="56" t="s">
        <v>24675</v>
      </c>
      <c r="B11773" s="21"/>
      <c r="C11773" s="33" t="s">
        <v>11411</v>
      </c>
      <c r="E11773" s="46" t="s">
        <v>7618</v>
      </c>
    </row>
    <row r="11774">
      <c r="A11774" s="56" t="s">
        <v>24676</v>
      </c>
      <c r="B11774" s="21"/>
      <c r="C11774" s="33" t="s">
        <v>11416</v>
      </c>
      <c r="E11774" s="46" t="s">
        <v>7616</v>
      </c>
    </row>
    <row r="11775">
      <c r="A11775" s="56" t="s">
        <v>24677</v>
      </c>
      <c r="B11775" s="21"/>
      <c r="C11775" s="33" t="s">
        <v>11416</v>
      </c>
      <c r="E11775" s="46" t="s">
        <v>7618</v>
      </c>
    </row>
    <row r="11776">
      <c r="A11776" s="56" t="s">
        <v>24679</v>
      </c>
      <c r="B11776" s="21"/>
      <c r="C11776" s="33" t="s">
        <v>11419</v>
      </c>
      <c r="E11776" s="46" t="s">
        <v>7616</v>
      </c>
    </row>
    <row r="11777">
      <c r="A11777" s="56" t="s">
        <v>24680</v>
      </c>
      <c r="B11777" s="21"/>
      <c r="C11777" s="33" t="s">
        <v>11419</v>
      </c>
      <c r="E11777" s="46" t="s">
        <v>7618</v>
      </c>
    </row>
    <row r="11778">
      <c r="A11778" s="56" t="s">
        <v>24681</v>
      </c>
      <c r="B11778" s="21"/>
      <c r="C11778" s="33" t="s">
        <v>11411</v>
      </c>
      <c r="E11778" s="46" t="s">
        <v>7616</v>
      </c>
    </row>
    <row r="11779">
      <c r="A11779" s="56" t="s">
        <v>24682</v>
      </c>
      <c r="B11779" s="21"/>
      <c r="C11779" s="33" t="s">
        <v>11411</v>
      </c>
      <c r="E11779" s="46" t="s">
        <v>7618</v>
      </c>
    </row>
    <row r="11780">
      <c r="A11780" s="56" t="s">
        <v>24683</v>
      </c>
      <c r="B11780" s="21"/>
      <c r="C11780" s="33" t="s">
        <v>11416</v>
      </c>
      <c r="E11780" s="46" t="s">
        <v>7616</v>
      </c>
    </row>
    <row r="11781">
      <c r="A11781" s="56" t="s">
        <v>24686</v>
      </c>
      <c r="B11781" s="21"/>
      <c r="C11781" s="33" t="s">
        <v>11416</v>
      </c>
      <c r="E11781" s="46" t="s">
        <v>7618</v>
      </c>
    </row>
    <row r="11782">
      <c r="A11782" s="56" t="s">
        <v>24687</v>
      </c>
      <c r="B11782" s="21"/>
      <c r="C11782" s="33" t="s">
        <v>11419</v>
      </c>
      <c r="E11782" s="46" t="s">
        <v>7616</v>
      </c>
    </row>
    <row r="11783">
      <c r="A11783" s="56" t="s">
        <v>24688</v>
      </c>
      <c r="B11783" s="21"/>
      <c r="C11783" s="33" t="s">
        <v>11419</v>
      </c>
      <c r="E11783" s="46" t="s">
        <v>7618</v>
      </c>
    </row>
    <row r="11784">
      <c r="A11784" s="56" t="s">
        <v>24689</v>
      </c>
      <c r="B11784" s="55"/>
      <c r="C11784" s="31"/>
    </row>
    <row r="11785">
      <c r="A11785" s="56" t="s">
        <v>24690</v>
      </c>
      <c r="B11785" s="55"/>
      <c r="C11785" s="31"/>
    </row>
    <row r="11786">
      <c r="A11786" s="56" t="s">
        <v>24691</v>
      </c>
      <c r="B11786" s="55"/>
      <c r="C11786" s="31"/>
    </row>
    <row r="11787">
      <c r="A11787" s="56" t="s">
        <v>24692</v>
      </c>
      <c r="B11787" s="55"/>
      <c r="C11787" s="31"/>
    </row>
    <row r="11788">
      <c r="A11788" s="56" t="s">
        <v>24695</v>
      </c>
      <c r="B11788" s="55"/>
      <c r="C11788" s="31"/>
    </row>
    <row r="11789">
      <c r="A11789" s="56" t="s">
        <v>24696</v>
      </c>
      <c r="B11789" s="55"/>
      <c r="C11789" s="31"/>
    </row>
    <row r="11790">
      <c r="A11790" s="56" t="s">
        <v>24697</v>
      </c>
      <c r="B11790" s="55"/>
      <c r="C11790" s="31"/>
    </row>
    <row r="11791">
      <c r="A11791" s="56" t="s">
        <v>24698</v>
      </c>
      <c r="B11791" s="55"/>
      <c r="C11791" s="31"/>
    </row>
    <row r="11792">
      <c r="A11792" s="56" t="s">
        <v>24699</v>
      </c>
      <c r="B11792" s="55"/>
      <c r="C11792" s="31"/>
    </row>
    <row r="11793">
      <c r="A11793" s="56" t="s">
        <v>24700</v>
      </c>
      <c r="B11793" s="82"/>
      <c r="C11793" s="33" t="s">
        <v>24702</v>
      </c>
    </row>
    <row r="11794">
      <c r="A11794" s="56" t="s">
        <v>24703</v>
      </c>
      <c r="B11794" s="55"/>
      <c r="C11794" s="31"/>
    </row>
    <row r="11795">
      <c r="A11795" s="56" t="s">
        <v>24704</v>
      </c>
      <c r="B11795" s="55"/>
      <c r="C11795" s="31"/>
    </row>
    <row r="11796">
      <c r="A11796" s="56" t="s">
        <v>24705</v>
      </c>
      <c r="B11796" s="55"/>
      <c r="C11796" s="31"/>
    </row>
    <row r="11797">
      <c r="A11797" s="56" t="s">
        <v>24707</v>
      </c>
      <c r="B11797" s="55"/>
      <c r="C11797" s="31"/>
    </row>
    <row r="11798">
      <c r="A11798" s="56" t="s">
        <v>24708</v>
      </c>
      <c r="B11798" s="55"/>
      <c r="C11798" s="31"/>
    </row>
    <row r="11799">
      <c r="A11799" s="56" t="s">
        <v>24709</v>
      </c>
      <c r="B11799" s="55"/>
      <c r="C11799" s="31"/>
    </row>
    <row r="11800">
      <c r="A11800" s="56" t="s">
        <v>24710</v>
      </c>
      <c r="B11800" s="55"/>
      <c r="C11800" s="31"/>
    </row>
    <row r="11801">
      <c r="A11801" s="56" t="s">
        <v>24711</v>
      </c>
      <c r="B11801" s="55"/>
      <c r="C11801" s="31"/>
    </row>
    <row r="11802">
      <c r="A11802" s="56" t="s">
        <v>24713</v>
      </c>
      <c r="B11802" s="55"/>
      <c r="C11802" s="31"/>
    </row>
    <row r="11803">
      <c r="A11803" s="56" t="s">
        <v>24714</v>
      </c>
      <c r="B11803" s="55"/>
      <c r="C11803" s="31"/>
    </row>
    <row r="11804">
      <c r="A11804" s="56" t="s">
        <v>24715</v>
      </c>
      <c r="B11804" s="55"/>
      <c r="C11804" s="31"/>
    </row>
    <row r="11805">
      <c r="A11805" s="56" t="s">
        <v>24716</v>
      </c>
      <c r="B11805" s="82"/>
      <c r="C11805" s="33" t="s">
        <v>24717</v>
      </c>
    </row>
    <row r="11806">
      <c r="A11806" s="56" t="s">
        <v>24718</v>
      </c>
      <c r="B11806" s="55"/>
      <c r="C11806" s="31"/>
    </row>
    <row r="11807">
      <c r="A11807" s="56" t="s">
        <v>24719</v>
      </c>
      <c r="B11807" s="55"/>
      <c r="C11807" s="31"/>
    </row>
    <row r="11808">
      <c r="A11808" s="56" t="s">
        <v>24720</v>
      </c>
      <c r="B11808" s="55"/>
      <c r="C11808" s="31"/>
    </row>
    <row r="11809">
      <c r="A11809" s="56" t="s">
        <v>24722</v>
      </c>
      <c r="B11809" s="55"/>
      <c r="C11809" s="31"/>
    </row>
    <row r="11810">
      <c r="A11810" s="56" t="s">
        <v>24723</v>
      </c>
      <c r="B11810" s="55"/>
      <c r="C11810" s="31"/>
    </row>
    <row r="11811">
      <c r="A11811" s="56" t="s">
        <v>24724</v>
      </c>
      <c r="B11811" s="55"/>
      <c r="C11811" s="31"/>
    </row>
    <row r="11812">
      <c r="A11812" s="56" t="s">
        <v>24725</v>
      </c>
      <c r="B11812" s="55"/>
      <c r="C11812" s="31"/>
    </row>
    <row r="11813">
      <c r="A11813" s="56" t="s">
        <v>24727</v>
      </c>
      <c r="B11813" s="55"/>
      <c r="C11813" s="31"/>
    </row>
    <row r="11814">
      <c r="A11814" s="56" t="s">
        <v>24728</v>
      </c>
      <c r="B11814" s="55"/>
      <c r="C11814" s="31"/>
    </row>
    <row r="11815">
      <c r="A11815" s="56" t="s">
        <v>24729</v>
      </c>
      <c r="B11815" s="55"/>
      <c r="C11815" s="31"/>
    </row>
    <row r="11816">
      <c r="A11816" s="56" t="s">
        <v>24730</v>
      </c>
      <c r="B11816" s="55"/>
      <c r="C11816" s="31"/>
    </row>
    <row r="11817">
      <c r="A11817" s="56" t="s">
        <v>24731</v>
      </c>
      <c r="B11817" s="55"/>
      <c r="C11817" s="31"/>
    </row>
    <row r="11818">
      <c r="A11818" s="56" t="s">
        <v>24732</v>
      </c>
      <c r="B11818" s="55"/>
      <c r="C11818" s="31"/>
    </row>
    <row r="11819">
      <c r="A11819" s="56" t="s">
        <v>24734</v>
      </c>
      <c r="B11819" s="55"/>
      <c r="C11819" s="31"/>
    </row>
    <row r="11820">
      <c r="A11820" s="56" t="s">
        <v>24735</v>
      </c>
      <c r="B11820" s="55"/>
      <c r="C11820" s="31"/>
    </row>
    <row r="11821">
      <c r="A11821" s="56" t="s">
        <v>24737</v>
      </c>
      <c r="B11821" s="55"/>
      <c r="C11821" s="31"/>
    </row>
    <row r="11822">
      <c r="A11822" s="56" t="s">
        <v>24738</v>
      </c>
      <c r="B11822" s="55"/>
      <c r="C11822" s="31"/>
    </row>
    <row r="11823">
      <c r="A11823" s="56" t="s">
        <v>24739</v>
      </c>
      <c r="B11823" s="55"/>
      <c r="C11823" s="31"/>
    </row>
    <row r="11824">
      <c r="A11824" s="56" t="s">
        <v>24740</v>
      </c>
      <c r="B11824" s="55"/>
      <c r="C11824" s="31"/>
    </row>
    <row r="11825">
      <c r="A11825" s="56" t="s">
        <v>24741</v>
      </c>
      <c r="B11825" s="82"/>
      <c r="C11825" s="33" t="s">
        <v>24742</v>
      </c>
    </row>
    <row r="11826">
      <c r="A11826" s="56" t="s">
        <v>24743</v>
      </c>
      <c r="B11826" s="55"/>
      <c r="C11826" s="31"/>
    </row>
    <row r="11827">
      <c r="A11827" s="56" t="s">
        <v>24744</v>
      </c>
      <c r="B11827" s="55"/>
      <c r="C11827" s="31"/>
    </row>
    <row r="11828">
      <c r="A11828" s="56" t="s">
        <v>24746</v>
      </c>
      <c r="B11828" s="55"/>
      <c r="C11828" s="31"/>
    </row>
    <row r="11829">
      <c r="A11829" s="56" t="s">
        <v>24747</v>
      </c>
      <c r="B11829" s="55"/>
      <c r="C11829" s="31"/>
    </row>
    <row r="11830">
      <c r="A11830" s="56" t="s">
        <v>24749</v>
      </c>
      <c r="B11830" s="55"/>
      <c r="C11830" s="31"/>
    </row>
    <row r="11831">
      <c r="A11831" s="56" t="s">
        <v>24750</v>
      </c>
      <c r="B11831" s="55"/>
      <c r="C11831" s="31"/>
    </row>
    <row r="11832">
      <c r="A11832" s="56" t="s">
        <v>24751</v>
      </c>
      <c r="B11832" s="55"/>
      <c r="C11832" s="31"/>
    </row>
    <row r="11833">
      <c r="A11833" s="56" t="s">
        <v>24752</v>
      </c>
      <c r="B11833" s="55"/>
      <c r="C11833" s="31"/>
    </row>
    <row r="11834">
      <c r="A11834" s="56" t="s">
        <v>24754</v>
      </c>
      <c r="B11834" s="55"/>
      <c r="C11834" s="31"/>
    </row>
    <row r="11835">
      <c r="A11835" s="56" t="s">
        <v>24755</v>
      </c>
      <c r="B11835" s="55"/>
      <c r="C11835" s="31"/>
    </row>
    <row r="11836">
      <c r="A11836" s="56" t="s">
        <v>24756</v>
      </c>
      <c r="B11836" s="55"/>
      <c r="C11836" s="31"/>
    </row>
    <row r="11837">
      <c r="A11837" s="56" t="s">
        <v>24757</v>
      </c>
      <c r="B11837" s="55"/>
      <c r="C11837" s="31"/>
    </row>
    <row r="11838">
      <c r="A11838" s="56" t="s">
        <v>24759</v>
      </c>
      <c r="B11838" s="55"/>
      <c r="C11838" s="31"/>
    </row>
    <row r="11839">
      <c r="A11839" s="56" t="s">
        <v>24760</v>
      </c>
      <c r="B11839" s="55"/>
      <c r="C11839" s="31"/>
    </row>
    <row r="11840">
      <c r="A11840" s="56" t="s">
        <v>24761</v>
      </c>
      <c r="B11840" s="55"/>
      <c r="C11840" s="31"/>
    </row>
    <row r="11841">
      <c r="A11841" s="56" t="s">
        <v>24763</v>
      </c>
      <c r="B11841" s="55"/>
      <c r="C11841" s="31"/>
    </row>
    <row r="11842">
      <c r="A11842" s="56" t="s">
        <v>24765</v>
      </c>
      <c r="B11842" s="55"/>
      <c r="C11842" s="31"/>
    </row>
    <row r="11843">
      <c r="A11843" s="56" t="s">
        <v>24766</v>
      </c>
      <c r="B11843" s="55"/>
      <c r="C11843" s="31"/>
    </row>
    <row r="11844">
      <c r="A11844" s="56" t="s">
        <v>24767</v>
      </c>
      <c r="B11844" s="55"/>
      <c r="C11844" s="31"/>
    </row>
    <row r="11845">
      <c r="A11845" s="56" t="s">
        <v>24768</v>
      </c>
      <c r="B11845" s="55"/>
      <c r="C11845" s="31"/>
    </row>
    <row r="11846">
      <c r="A11846" s="56" t="s">
        <v>24770</v>
      </c>
      <c r="B11846" s="55"/>
      <c r="C11846" s="31"/>
    </row>
    <row r="11847">
      <c r="A11847" s="56" t="s">
        <v>24771</v>
      </c>
      <c r="B11847" s="55"/>
      <c r="C11847" s="31"/>
    </row>
    <row r="11848">
      <c r="A11848" s="56" t="s">
        <v>24772</v>
      </c>
      <c r="B11848" s="55"/>
      <c r="C11848" s="31"/>
    </row>
    <row r="11849">
      <c r="A11849" s="56" t="s">
        <v>24773</v>
      </c>
      <c r="B11849" s="55"/>
      <c r="C11849" s="31"/>
    </row>
    <row r="11850">
      <c r="A11850" s="56" t="s">
        <v>24774</v>
      </c>
      <c r="B11850" s="55"/>
      <c r="C11850" s="31"/>
    </row>
    <row r="11851">
      <c r="A11851" s="56" t="s">
        <v>24775</v>
      </c>
      <c r="B11851" s="55"/>
      <c r="C11851" s="31"/>
    </row>
    <row r="11852">
      <c r="A11852" s="56" t="s">
        <v>24776</v>
      </c>
      <c r="B11852" s="55"/>
      <c r="C11852" s="31"/>
    </row>
    <row r="11853">
      <c r="A11853" s="56" t="s">
        <v>24778</v>
      </c>
      <c r="B11853" s="82"/>
      <c r="C11853" s="33" t="s">
        <v>24779</v>
      </c>
    </row>
    <row r="11854">
      <c r="A11854" s="56" t="s">
        <v>24780</v>
      </c>
      <c r="B11854" s="55"/>
      <c r="C11854" s="31"/>
    </row>
    <row r="11855">
      <c r="A11855" s="56" t="s">
        <v>24781</v>
      </c>
      <c r="B11855" s="55"/>
      <c r="C11855" s="31"/>
    </row>
    <row r="11856">
      <c r="A11856" s="56" t="s">
        <v>24782</v>
      </c>
      <c r="B11856" s="55"/>
      <c r="C11856" s="31"/>
    </row>
    <row r="11857">
      <c r="A11857" s="56" t="s">
        <v>24783</v>
      </c>
      <c r="B11857" s="55"/>
      <c r="C11857" s="31"/>
    </row>
    <row r="11858">
      <c r="A11858" s="56" t="s">
        <v>24785</v>
      </c>
      <c r="B11858" s="55"/>
      <c r="C11858" s="31"/>
    </row>
    <row r="11859">
      <c r="A11859" s="56" t="s">
        <v>24786</v>
      </c>
      <c r="B11859" s="55"/>
      <c r="C11859" s="31"/>
    </row>
    <row r="11860">
      <c r="A11860" s="56" t="s">
        <v>24788</v>
      </c>
      <c r="B11860" s="55"/>
      <c r="C11860" s="31"/>
    </row>
    <row r="11861">
      <c r="A11861" s="56" t="s">
        <v>24789</v>
      </c>
      <c r="B11861" s="55"/>
      <c r="C11861" s="31"/>
    </row>
    <row r="11862">
      <c r="A11862" s="56" t="s">
        <v>24790</v>
      </c>
      <c r="B11862" s="55"/>
      <c r="C11862" s="31"/>
    </row>
    <row r="11863">
      <c r="A11863" s="56" t="s">
        <v>24791</v>
      </c>
      <c r="B11863" s="55"/>
      <c r="C11863" s="31"/>
    </row>
    <row r="11864">
      <c r="A11864" s="56" t="s">
        <v>24792</v>
      </c>
      <c r="B11864" s="55"/>
      <c r="C11864" s="31"/>
    </row>
    <row r="11865">
      <c r="A11865" s="56" t="s">
        <v>24794</v>
      </c>
      <c r="B11865" s="55"/>
      <c r="C11865" s="31"/>
    </row>
    <row r="11866">
      <c r="A11866" s="56" t="s">
        <v>24795</v>
      </c>
      <c r="B11866" s="55"/>
      <c r="C11866" s="31"/>
    </row>
    <row r="11867">
      <c r="A11867" s="56" t="s">
        <v>24796</v>
      </c>
      <c r="B11867" s="55"/>
      <c r="C11867" s="31"/>
    </row>
    <row r="11868">
      <c r="A11868" s="56" t="s">
        <v>24797</v>
      </c>
      <c r="B11868" s="55"/>
      <c r="C11868" s="31"/>
    </row>
    <row r="11869">
      <c r="A11869" s="56" t="s">
        <v>24798</v>
      </c>
      <c r="B11869" s="82"/>
      <c r="C11869" s="33" t="s">
        <v>24799</v>
      </c>
    </row>
    <row r="11870">
      <c r="A11870" s="56" t="s">
        <v>24800</v>
      </c>
      <c r="B11870" s="55"/>
      <c r="C11870" s="31"/>
    </row>
    <row r="11871">
      <c r="A11871" s="56" t="s">
        <v>24802</v>
      </c>
      <c r="B11871" s="55"/>
      <c r="C11871" s="31"/>
    </row>
    <row r="11872">
      <c r="A11872" s="56" t="s">
        <v>24803</v>
      </c>
      <c r="B11872" s="55"/>
      <c r="C11872" s="31"/>
    </row>
    <row r="11873">
      <c r="A11873" s="56" t="s">
        <v>24804</v>
      </c>
      <c r="B11873" s="55"/>
      <c r="C11873" s="31"/>
    </row>
    <row r="11874">
      <c r="A11874" s="56" t="s">
        <v>24806</v>
      </c>
      <c r="B11874" s="55"/>
      <c r="C11874" s="31"/>
    </row>
    <row r="11875">
      <c r="A11875" s="56" t="s">
        <v>24807</v>
      </c>
      <c r="B11875" s="55"/>
      <c r="C11875" s="31"/>
    </row>
    <row r="11876">
      <c r="A11876" s="56" t="s">
        <v>24808</v>
      </c>
      <c r="B11876" s="55"/>
      <c r="C11876" s="31"/>
    </row>
    <row r="11877">
      <c r="A11877" s="56" t="s">
        <v>24809</v>
      </c>
      <c r="B11877" s="55"/>
      <c r="C11877" s="31"/>
    </row>
    <row r="11878">
      <c r="A11878" s="56" t="s">
        <v>24810</v>
      </c>
      <c r="B11878" s="55"/>
      <c r="C11878" s="31"/>
    </row>
    <row r="11879">
      <c r="A11879" s="56" t="s">
        <v>24811</v>
      </c>
      <c r="B11879" s="55"/>
      <c r="C11879" s="31"/>
    </row>
    <row r="11880">
      <c r="A11880" s="56" t="s">
        <v>24812</v>
      </c>
      <c r="B11880" s="55"/>
      <c r="C11880" s="31"/>
    </row>
    <row r="11881">
      <c r="A11881" s="56" t="s">
        <v>24814</v>
      </c>
      <c r="B11881" s="55"/>
      <c r="C11881" s="31"/>
    </row>
    <row r="11882">
      <c r="A11882" s="56" t="s">
        <v>24816</v>
      </c>
      <c r="B11882" s="55"/>
      <c r="C11882" s="31"/>
    </row>
    <row r="11883">
      <c r="A11883" s="56" t="s">
        <v>24817</v>
      </c>
      <c r="B11883" s="55"/>
      <c r="C11883" s="31"/>
    </row>
    <row r="11884">
      <c r="A11884" s="56" t="s">
        <v>24818</v>
      </c>
      <c r="B11884" s="55"/>
      <c r="C11884" s="31"/>
    </row>
    <row r="11885">
      <c r="A11885" s="56" t="s">
        <v>24819</v>
      </c>
      <c r="B11885" s="55"/>
      <c r="C11885" s="31"/>
    </row>
    <row r="11886">
      <c r="A11886" s="56" t="s">
        <v>24820</v>
      </c>
      <c r="B11886" s="55"/>
      <c r="C11886" s="31"/>
    </row>
    <row r="11887">
      <c r="A11887" s="56" t="s">
        <v>24821</v>
      </c>
      <c r="B11887" s="55"/>
      <c r="C11887" s="31"/>
    </row>
    <row r="11888">
      <c r="A11888" s="56" t="s">
        <v>24822</v>
      </c>
      <c r="B11888" s="55"/>
      <c r="C11888" s="31"/>
    </row>
    <row r="11889">
      <c r="A11889" s="56" t="s">
        <v>24823</v>
      </c>
      <c r="B11889" s="55"/>
      <c r="C11889" s="31"/>
    </row>
    <row r="11890">
      <c r="A11890" s="56" t="s">
        <v>24826</v>
      </c>
      <c r="B11890" s="55"/>
      <c r="C11890" s="31"/>
    </row>
    <row r="11891">
      <c r="A11891" s="56" t="s">
        <v>24827</v>
      </c>
      <c r="B11891" s="55"/>
      <c r="C11891" s="31"/>
    </row>
    <row r="11892">
      <c r="A11892" s="56" t="s">
        <v>24828</v>
      </c>
      <c r="B11892" s="55"/>
      <c r="C11892" s="31"/>
    </row>
    <row r="11893">
      <c r="A11893" s="56" t="s">
        <v>24829</v>
      </c>
      <c r="B11893" s="55"/>
      <c r="C11893" s="31"/>
    </row>
    <row r="11894">
      <c r="A11894" s="56" t="s">
        <v>24830</v>
      </c>
      <c r="B11894" s="55"/>
      <c r="C11894" s="31"/>
    </row>
    <row r="11895">
      <c r="A11895" s="56" t="s">
        <v>24831</v>
      </c>
      <c r="B11895" s="55"/>
      <c r="C11895" s="31"/>
    </row>
    <row r="11896">
      <c r="A11896" s="56" t="s">
        <v>24832</v>
      </c>
      <c r="B11896" s="55"/>
      <c r="C11896" s="31"/>
    </row>
    <row r="11897">
      <c r="A11897" s="56" t="s">
        <v>24833</v>
      </c>
      <c r="B11897" s="55"/>
      <c r="C11897" s="31"/>
    </row>
    <row r="11898">
      <c r="A11898" s="56" t="s">
        <v>24836</v>
      </c>
      <c r="B11898" s="55"/>
      <c r="C11898" s="31"/>
    </row>
    <row r="11899">
      <c r="A11899" s="56" t="s">
        <v>24837</v>
      </c>
      <c r="B11899" s="55"/>
      <c r="C11899" s="31"/>
    </row>
    <row r="11900">
      <c r="A11900" s="56" t="s">
        <v>24838</v>
      </c>
      <c r="B11900" s="55"/>
      <c r="C11900" s="31"/>
    </row>
    <row r="11901">
      <c r="A11901" s="56" t="s">
        <v>24839</v>
      </c>
      <c r="B11901" s="55"/>
      <c r="C11901" s="31"/>
    </row>
    <row r="11902">
      <c r="A11902" s="56" t="s">
        <v>24840</v>
      </c>
      <c r="B11902" s="55"/>
      <c r="C11902" s="31"/>
    </row>
    <row r="11903">
      <c r="A11903" s="56" t="s">
        <v>24841</v>
      </c>
      <c r="B11903" s="55"/>
      <c r="C11903" s="31"/>
    </row>
    <row r="11904">
      <c r="A11904" s="56" t="s">
        <v>24842</v>
      </c>
      <c r="B11904" s="55"/>
      <c r="C11904" s="31"/>
    </row>
    <row r="11905">
      <c r="A11905" s="56" t="s">
        <v>24843</v>
      </c>
      <c r="B11905" s="55"/>
      <c r="C11905" s="31"/>
    </row>
    <row r="11906">
      <c r="A11906" s="56" t="s">
        <v>24846</v>
      </c>
      <c r="B11906" s="55"/>
      <c r="C11906" s="31"/>
    </row>
    <row r="11907">
      <c r="A11907" s="56" t="s">
        <v>24847</v>
      </c>
      <c r="B11907" s="55"/>
      <c r="C11907" s="31"/>
    </row>
    <row r="11908">
      <c r="A11908" s="56" t="s">
        <v>24848</v>
      </c>
      <c r="B11908" s="55"/>
      <c r="C11908" s="31"/>
    </row>
    <row r="11909">
      <c r="A11909" s="56" t="s">
        <v>24850</v>
      </c>
      <c r="B11909" s="55"/>
      <c r="C11909" s="31"/>
    </row>
    <row r="11910">
      <c r="A11910" s="56" t="s">
        <v>24851</v>
      </c>
      <c r="B11910" s="55"/>
      <c r="C11910" s="31"/>
    </row>
    <row r="11911">
      <c r="A11911" s="56" t="s">
        <v>24853</v>
      </c>
      <c r="B11911" s="55"/>
      <c r="C11911" s="31"/>
    </row>
    <row r="11912">
      <c r="A11912" s="56" t="s">
        <v>24854</v>
      </c>
      <c r="B11912" s="55"/>
      <c r="C11912" s="31"/>
    </row>
    <row r="11913">
      <c r="A11913" s="56" t="s">
        <v>24856</v>
      </c>
      <c r="B11913" s="55"/>
      <c r="C11913" s="31"/>
    </row>
    <row r="11914">
      <c r="A11914" s="56" t="s">
        <v>24857</v>
      </c>
      <c r="B11914" s="55"/>
      <c r="C11914" s="31"/>
    </row>
    <row r="11915">
      <c r="A11915" s="56" t="s">
        <v>24858</v>
      </c>
      <c r="B11915" s="55"/>
      <c r="C11915" s="31"/>
    </row>
    <row r="11916">
      <c r="A11916" s="56" t="s">
        <v>24859</v>
      </c>
      <c r="B11916" s="55"/>
      <c r="C11916" s="31"/>
    </row>
    <row r="11917">
      <c r="A11917" s="56" t="s">
        <v>24860</v>
      </c>
      <c r="B11917" s="55"/>
      <c r="C11917" s="31"/>
    </row>
    <row r="11918">
      <c r="A11918" s="56" t="s">
        <v>24861</v>
      </c>
      <c r="B11918" s="55"/>
      <c r="C11918" s="31"/>
    </row>
    <row r="11919">
      <c r="A11919" s="56" t="s">
        <v>24862</v>
      </c>
      <c r="B11919" s="55"/>
      <c r="C11919" s="31"/>
    </row>
    <row r="11920">
      <c r="A11920" s="56" t="s">
        <v>24864</v>
      </c>
      <c r="B11920" s="55"/>
      <c r="C11920" s="31"/>
    </row>
    <row r="11921">
      <c r="A11921" s="56" t="s">
        <v>24865</v>
      </c>
      <c r="B11921" s="55"/>
      <c r="C11921" s="31"/>
    </row>
    <row r="11922">
      <c r="A11922" s="56" t="s">
        <v>24866</v>
      </c>
      <c r="B11922" s="55"/>
      <c r="C11922" s="31"/>
    </row>
    <row r="11923">
      <c r="A11923" s="56" t="s">
        <v>24868</v>
      </c>
      <c r="B11923" s="55"/>
      <c r="C11923" s="31"/>
    </row>
    <row r="11924">
      <c r="A11924" s="56" t="s">
        <v>24869</v>
      </c>
      <c r="B11924" s="55"/>
      <c r="C11924" s="31"/>
    </row>
    <row r="11925">
      <c r="A11925" s="56" t="s">
        <v>24870</v>
      </c>
      <c r="B11925" s="55"/>
      <c r="C11925" s="31"/>
    </row>
    <row r="11926">
      <c r="A11926" s="56" t="s">
        <v>24871</v>
      </c>
      <c r="B11926" s="55"/>
      <c r="C11926" s="31"/>
    </row>
    <row r="11927">
      <c r="A11927" s="56" t="s">
        <v>24872</v>
      </c>
      <c r="B11927" s="55"/>
      <c r="C11927" s="31"/>
    </row>
    <row r="11928">
      <c r="A11928" s="56" t="s">
        <v>24874</v>
      </c>
      <c r="B11928" s="55"/>
      <c r="C11928" s="31"/>
    </row>
    <row r="11929">
      <c r="A11929" s="56" t="s">
        <v>24875</v>
      </c>
      <c r="B11929" s="55"/>
      <c r="C11929" s="31"/>
    </row>
    <row r="11930">
      <c r="A11930" s="56" t="s">
        <v>24876</v>
      </c>
      <c r="B11930" s="55"/>
      <c r="C11930" s="31"/>
    </row>
    <row r="11931">
      <c r="A11931" s="56" t="s">
        <v>24878</v>
      </c>
      <c r="B11931" s="55"/>
      <c r="C11931" s="31"/>
    </row>
    <row r="11932">
      <c r="A11932" s="56" t="s">
        <v>24879</v>
      </c>
      <c r="B11932" s="55"/>
      <c r="C11932" s="31"/>
    </row>
    <row r="11933">
      <c r="A11933" s="56" t="s">
        <v>24880</v>
      </c>
      <c r="B11933" s="55"/>
      <c r="C11933" s="31"/>
    </row>
    <row r="11934">
      <c r="A11934" s="56" t="s">
        <v>24881</v>
      </c>
      <c r="B11934" s="55"/>
      <c r="C11934" s="31"/>
    </row>
    <row r="11935">
      <c r="A11935" s="56" t="s">
        <v>24882</v>
      </c>
      <c r="B11935" s="55"/>
      <c r="C11935" s="31"/>
    </row>
    <row r="11936">
      <c r="A11936" s="56" t="s">
        <v>24884</v>
      </c>
      <c r="B11936" s="82"/>
      <c r="C11936" s="33" t="s">
        <v>24885</v>
      </c>
    </row>
    <row r="11937">
      <c r="A11937" s="56" t="s">
        <v>24886</v>
      </c>
      <c r="B11937" s="55"/>
      <c r="C11937" s="31"/>
    </row>
    <row r="11938">
      <c r="A11938" s="56" t="s">
        <v>24888</v>
      </c>
      <c r="B11938" s="55"/>
      <c r="C11938" s="31"/>
    </row>
    <row r="11939">
      <c r="A11939" s="56" t="s">
        <v>24889</v>
      </c>
      <c r="B11939" s="55"/>
      <c r="C11939" s="31"/>
    </row>
    <row r="11940">
      <c r="A11940" s="56" t="s">
        <v>24890</v>
      </c>
      <c r="B11940" s="55"/>
      <c r="C11940" s="31"/>
    </row>
    <row r="11941">
      <c r="A11941" s="56" t="s">
        <v>24892</v>
      </c>
      <c r="B11941" s="55"/>
      <c r="C11941" s="31"/>
    </row>
    <row r="11942">
      <c r="A11942" s="56" t="s">
        <v>24894</v>
      </c>
      <c r="B11942" s="55"/>
      <c r="C11942" s="31"/>
    </row>
    <row r="11943">
      <c r="A11943" s="56" t="s">
        <v>24895</v>
      </c>
      <c r="B11943" s="55"/>
      <c r="C11943" s="31"/>
    </row>
    <row r="11944">
      <c r="A11944" s="56" t="s">
        <v>24896</v>
      </c>
      <c r="B11944" s="55"/>
      <c r="C11944" s="31"/>
    </row>
    <row r="11945">
      <c r="A11945" s="56" t="s">
        <v>24897</v>
      </c>
      <c r="B11945" s="55"/>
      <c r="C11945" s="31"/>
    </row>
    <row r="11946">
      <c r="A11946" s="56" t="s">
        <v>24898</v>
      </c>
      <c r="B11946" s="55"/>
      <c r="C11946" s="31"/>
    </row>
    <row r="11947">
      <c r="A11947" s="56" t="s">
        <v>24899</v>
      </c>
      <c r="B11947" s="55"/>
      <c r="C11947" s="31"/>
    </row>
    <row r="11948">
      <c r="A11948" s="56" t="s">
        <v>24901</v>
      </c>
      <c r="B11948" s="55"/>
      <c r="C11948" s="31"/>
    </row>
    <row r="11949">
      <c r="A11949" s="56" t="s">
        <v>24903</v>
      </c>
      <c r="B11949" s="55"/>
      <c r="C11949" s="31"/>
    </row>
    <row r="11950">
      <c r="A11950" s="56" t="s">
        <v>24905</v>
      </c>
      <c r="B11950" s="55"/>
      <c r="C11950" s="31"/>
    </row>
    <row r="11951">
      <c r="A11951" s="56" t="s">
        <v>24907</v>
      </c>
      <c r="B11951" s="55"/>
      <c r="C11951" s="31"/>
    </row>
    <row r="11952">
      <c r="A11952" s="56" t="s">
        <v>24909</v>
      </c>
      <c r="B11952" s="55"/>
      <c r="C11952" s="31"/>
    </row>
    <row r="11953">
      <c r="A11953" s="56" t="s">
        <v>24910</v>
      </c>
      <c r="B11953" s="55"/>
      <c r="C11953" s="31"/>
    </row>
    <row r="11954">
      <c r="A11954" s="56" t="s">
        <v>24911</v>
      </c>
      <c r="B11954" s="55"/>
      <c r="C11954" s="31"/>
    </row>
    <row r="11955">
      <c r="A11955" s="56" t="s">
        <v>24912</v>
      </c>
      <c r="B11955" s="55"/>
      <c r="C11955" s="31"/>
    </row>
    <row r="11956">
      <c r="A11956" s="56" t="s">
        <v>24913</v>
      </c>
      <c r="B11956" s="55"/>
      <c r="C11956" s="31"/>
    </row>
    <row r="11957">
      <c r="A11957" s="56" t="s">
        <v>24914</v>
      </c>
      <c r="B11957" s="55"/>
      <c r="C11957" s="31"/>
    </row>
    <row r="11958">
      <c r="A11958" s="56" t="s">
        <v>24915</v>
      </c>
      <c r="B11958" s="55"/>
      <c r="C11958" s="31"/>
    </row>
    <row r="11959">
      <c r="A11959" s="56" t="s">
        <v>24916</v>
      </c>
      <c r="B11959" s="55"/>
      <c r="C11959" s="31"/>
    </row>
    <row r="11960">
      <c r="A11960" s="56" t="s">
        <v>24918</v>
      </c>
      <c r="B11960" s="55"/>
      <c r="C11960" s="31"/>
    </row>
    <row r="11961">
      <c r="A11961" s="56" t="s">
        <v>24919</v>
      </c>
      <c r="B11961" s="55"/>
      <c r="C11961" s="31"/>
    </row>
    <row r="11962">
      <c r="A11962" s="56" t="s">
        <v>24920</v>
      </c>
      <c r="B11962" s="55"/>
      <c r="C11962" s="31"/>
    </row>
    <row r="11963">
      <c r="A11963" s="56" t="s">
        <v>24921</v>
      </c>
      <c r="B11963" s="55"/>
      <c r="C11963" s="31"/>
    </row>
    <row r="11964">
      <c r="A11964" s="56" t="s">
        <v>24923</v>
      </c>
      <c r="B11964" s="55"/>
      <c r="C11964" s="31"/>
    </row>
    <row r="11965">
      <c r="A11965" s="56" t="s">
        <v>24924</v>
      </c>
      <c r="B11965" s="55"/>
      <c r="C11965" s="31"/>
    </row>
    <row r="11966">
      <c r="A11966" s="56" t="s">
        <v>24925</v>
      </c>
      <c r="B11966" s="55"/>
      <c r="C11966" s="31"/>
    </row>
    <row r="11967">
      <c r="A11967" s="56" t="s">
        <v>24927</v>
      </c>
      <c r="B11967" s="55"/>
      <c r="C11967" s="31"/>
    </row>
    <row r="11968">
      <c r="A11968" s="56" t="s">
        <v>24928</v>
      </c>
      <c r="B11968" s="55"/>
      <c r="C11968" s="31"/>
    </row>
    <row r="11969">
      <c r="A11969" s="56" t="s">
        <v>24929</v>
      </c>
      <c r="B11969" s="82"/>
      <c r="C11969" s="33" t="s">
        <v>24930</v>
      </c>
    </row>
    <row r="11970">
      <c r="A11970" s="56" t="s">
        <v>24931</v>
      </c>
      <c r="B11970" s="82"/>
      <c r="C11970" s="33" t="s">
        <v>11373</v>
      </c>
      <c r="E11970" s="46" t="s">
        <v>7616</v>
      </c>
    </row>
    <row r="11971">
      <c r="A11971" s="56" t="s">
        <v>24933</v>
      </c>
      <c r="B11971" s="82"/>
      <c r="C11971" s="33" t="s">
        <v>11373</v>
      </c>
      <c r="E11971" s="46" t="s">
        <v>7618</v>
      </c>
    </row>
    <row r="11972">
      <c r="A11972" s="56" t="s">
        <v>24934</v>
      </c>
      <c r="B11972" s="82"/>
      <c r="C11972" s="33" t="s">
        <v>11376</v>
      </c>
      <c r="E11972" s="46" t="s">
        <v>7616</v>
      </c>
    </row>
    <row r="11973">
      <c r="A11973" s="56" t="s">
        <v>24936</v>
      </c>
      <c r="B11973" s="82"/>
      <c r="C11973" s="33" t="s">
        <v>11376</v>
      </c>
      <c r="E11973" s="46" t="s">
        <v>7618</v>
      </c>
    </row>
    <row r="11974">
      <c r="A11974" s="56" t="s">
        <v>24937</v>
      </c>
      <c r="B11974" s="82"/>
      <c r="C11974" s="33" t="s">
        <v>11380</v>
      </c>
      <c r="E11974" s="46" t="s">
        <v>7616</v>
      </c>
    </row>
    <row r="11975">
      <c r="A11975" s="56" t="s">
        <v>24938</v>
      </c>
      <c r="B11975" s="82"/>
      <c r="C11975" s="33" t="s">
        <v>11380</v>
      </c>
      <c r="E11975" s="46" t="s">
        <v>7618</v>
      </c>
    </row>
    <row r="11976">
      <c r="A11976" s="56" t="s">
        <v>24939</v>
      </c>
      <c r="B11976" s="79"/>
      <c r="C11976" s="33" t="s">
        <v>11384</v>
      </c>
      <c r="E11976" s="46" t="s">
        <v>1348</v>
      </c>
    </row>
    <row r="11977">
      <c r="A11977" s="56" t="s">
        <v>24941</v>
      </c>
      <c r="B11977" s="79"/>
      <c r="C11977" s="33" t="s">
        <v>11384</v>
      </c>
      <c r="E11977" s="46" t="s">
        <v>1348</v>
      </c>
    </row>
    <row r="11978">
      <c r="A11978" s="56" t="s">
        <v>24943</v>
      </c>
      <c r="B11978" s="79"/>
      <c r="C11978" s="33" t="s">
        <v>11389</v>
      </c>
      <c r="E11978" s="46" t="s">
        <v>1348</v>
      </c>
    </row>
    <row r="11979">
      <c r="A11979" s="56" t="s">
        <v>24944</v>
      </c>
      <c r="B11979" s="21"/>
      <c r="C11979" s="33" t="s">
        <v>11391</v>
      </c>
      <c r="E11979" s="46" t="s">
        <v>7616</v>
      </c>
    </row>
    <row r="11980">
      <c r="A11980" s="56" t="s">
        <v>24945</v>
      </c>
      <c r="B11980" s="21"/>
      <c r="C11980" s="33" t="s">
        <v>11391</v>
      </c>
      <c r="E11980" s="46" t="s">
        <v>7618</v>
      </c>
    </row>
    <row r="11981">
      <c r="A11981" s="56" t="s">
        <v>24946</v>
      </c>
      <c r="B11981" s="21"/>
      <c r="C11981" s="33" t="s">
        <v>11394</v>
      </c>
      <c r="E11981" s="46" t="s">
        <v>7616</v>
      </c>
    </row>
    <row r="11982">
      <c r="A11982" s="56" t="s">
        <v>24948</v>
      </c>
      <c r="B11982" s="21"/>
      <c r="C11982" s="33" t="s">
        <v>11394</v>
      </c>
      <c r="E11982" s="46" t="s">
        <v>7618</v>
      </c>
    </row>
    <row r="11983">
      <c r="A11983" s="56" t="s">
        <v>24950</v>
      </c>
      <c r="B11983" s="21"/>
      <c r="C11983" s="33" t="s">
        <v>11398</v>
      </c>
      <c r="E11983" s="46" t="s">
        <v>7616</v>
      </c>
    </row>
    <row r="11984">
      <c r="A11984" s="56" t="s">
        <v>24951</v>
      </c>
      <c r="B11984" s="21"/>
      <c r="C11984" s="33" t="s">
        <v>11398</v>
      </c>
      <c r="E11984" s="46" t="s">
        <v>7618</v>
      </c>
    </row>
    <row r="11985">
      <c r="A11985" s="56" t="s">
        <v>24952</v>
      </c>
      <c r="B11985" s="21"/>
      <c r="C11985" s="33" t="s">
        <v>11391</v>
      </c>
      <c r="E11985" s="46" t="s">
        <v>7616</v>
      </c>
    </row>
    <row r="11986">
      <c r="A11986" s="56" t="s">
        <v>24953</v>
      </c>
      <c r="B11986" s="21"/>
      <c r="C11986" s="33" t="s">
        <v>11391</v>
      </c>
      <c r="E11986" s="46" t="s">
        <v>7618</v>
      </c>
    </row>
    <row r="11987">
      <c r="A11987" s="56" t="s">
        <v>24954</v>
      </c>
      <c r="B11987" s="21"/>
      <c r="C11987" s="33" t="s">
        <v>11394</v>
      </c>
      <c r="E11987" s="46" t="s">
        <v>7616</v>
      </c>
    </row>
    <row r="11988">
      <c r="A11988" s="56" t="s">
        <v>24957</v>
      </c>
      <c r="B11988" s="21"/>
      <c r="C11988" s="33" t="s">
        <v>11394</v>
      </c>
      <c r="E11988" s="46" t="s">
        <v>7618</v>
      </c>
    </row>
    <row r="11989">
      <c r="A11989" s="56" t="s">
        <v>24958</v>
      </c>
      <c r="B11989" s="21"/>
      <c r="C11989" s="33" t="s">
        <v>11398</v>
      </c>
      <c r="E11989" s="46" t="s">
        <v>7616</v>
      </c>
    </row>
    <row r="11990">
      <c r="A11990" s="56" t="s">
        <v>24959</v>
      </c>
      <c r="B11990" s="21"/>
      <c r="C11990" s="33" t="s">
        <v>11398</v>
      </c>
      <c r="E11990" s="46" t="s">
        <v>7618</v>
      </c>
    </row>
    <row r="11991">
      <c r="A11991" s="56" t="s">
        <v>24960</v>
      </c>
      <c r="B11991" s="21"/>
      <c r="C11991" s="33" t="s">
        <v>11411</v>
      </c>
      <c r="E11991" s="46" t="s">
        <v>7616</v>
      </c>
    </row>
    <row r="11992">
      <c r="A11992" s="56" t="s">
        <v>24961</v>
      </c>
      <c r="B11992" s="21"/>
      <c r="C11992" s="33" t="s">
        <v>11411</v>
      </c>
      <c r="E11992" s="46" t="s">
        <v>7618</v>
      </c>
    </row>
    <row r="11993">
      <c r="A11993" s="56" t="s">
        <v>24962</v>
      </c>
      <c r="B11993" s="21"/>
      <c r="C11993" s="33" t="s">
        <v>11416</v>
      </c>
      <c r="E11993" s="46" t="s">
        <v>7616</v>
      </c>
    </row>
    <row r="11994">
      <c r="A11994" s="56" t="s">
        <v>24965</v>
      </c>
      <c r="B11994" s="21"/>
      <c r="C11994" s="33" t="s">
        <v>11416</v>
      </c>
      <c r="E11994" s="46" t="s">
        <v>7618</v>
      </c>
    </row>
    <row r="11995">
      <c r="A11995" s="56" t="s">
        <v>24966</v>
      </c>
      <c r="B11995" s="21"/>
      <c r="C11995" s="33" t="s">
        <v>11419</v>
      </c>
      <c r="E11995" s="46" t="s">
        <v>7616</v>
      </c>
    </row>
    <row r="11996">
      <c r="A11996" s="56" t="s">
        <v>24967</v>
      </c>
      <c r="B11996" s="21"/>
      <c r="C11996" s="33" t="s">
        <v>11419</v>
      </c>
      <c r="E11996" s="46" t="s">
        <v>7618</v>
      </c>
    </row>
    <row r="11997">
      <c r="A11997" s="56" t="s">
        <v>24968</v>
      </c>
      <c r="B11997" s="21"/>
      <c r="C11997" s="33" t="s">
        <v>11411</v>
      </c>
      <c r="E11997" s="46" t="s">
        <v>7616</v>
      </c>
    </row>
    <row r="11998">
      <c r="A11998" s="56" t="s">
        <v>24969</v>
      </c>
      <c r="B11998" s="21"/>
      <c r="C11998" s="33" t="s">
        <v>11411</v>
      </c>
      <c r="E11998" s="46" t="s">
        <v>7618</v>
      </c>
    </row>
    <row r="11999">
      <c r="A11999" s="56" t="s">
        <v>24971</v>
      </c>
      <c r="B11999" s="21"/>
      <c r="C11999" s="33" t="s">
        <v>11416</v>
      </c>
      <c r="E11999" s="46" t="s">
        <v>7616</v>
      </c>
    </row>
    <row r="12000">
      <c r="A12000" s="56" t="s">
        <v>24974</v>
      </c>
      <c r="B12000" s="21"/>
      <c r="C12000" s="33" t="s">
        <v>11416</v>
      </c>
      <c r="E12000" s="46" t="s">
        <v>7618</v>
      </c>
    </row>
    <row r="12001">
      <c r="A12001" s="56" t="s">
        <v>24975</v>
      </c>
      <c r="B12001" s="21"/>
      <c r="C12001" s="33" t="s">
        <v>11419</v>
      </c>
      <c r="E12001" s="46" t="s">
        <v>7616</v>
      </c>
    </row>
    <row r="12002">
      <c r="A12002" s="56" t="s">
        <v>24976</v>
      </c>
      <c r="B12002" s="21"/>
      <c r="C12002" s="33" t="s">
        <v>11419</v>
      </c>
      <c r="E12002" s="46" t="s">
        <v>7618</v>
      </c>
    </row>
    <row r="12003">
      <c r="A12003" s="56" t="s">
        <v>24977</v>
      </c>
      <c r="B12003" s="55"/>
      <c r="C12003" s="31"/>
    </row>
    <row r="12004">
      <c r="A12004" s="56" t="s">
        <v>24978</v>
      </c>
      <c r="B12004" s="55"/>
      <c r="C12004" s="31"/>
    </row>
    <row r="12005">
      <c r="A12005" s="56" t="s">
        <v>24979</v>
      </c>
      <c r="B12005" s="55"/>
      <c r="C12005" s="31"/>
    </row>
    <row r="12006">
      <c r="A12006" s="56" t="s">
        <v>24981</v>
      </c>
      <c r="B12006" s="55"/>
      <c r="C12006" s="31"/>
    </row>
    <row r="12007">
      <c r="A12007" s="56" t="s">
        <v>24982</v>
      </c>
      <c r="B12007" s="55"/>
      <c r="C12007" s="31"/>
    </row>
    <row r="12008">
      <c r="A12008" s="56" t="s">
        <v>24983</v>
      </c>
      <c r="B12008" s="55"/>
      <c r="C12008" s="31"/>
    </row>
    <row r="12009">
      <c r="A12009" s="56" t="s">
        <v>24984</v>
      </c>
      <c r="B12009" s="55"/>
      <c r="C12009" s="31"/>
    </row>
    <row r="12010">
      <c r="A12010" s="56" t="s">
        <v>24985</v>
      </c>
      <c r="B12010" s="55"/>
      <c r="C12010" s="31"/>
    </row>
    <row r="12011">
      <c r="A12011" s="56" t="s">
        <v>24986</v>
      </c>
      <c r="B12011" s="55"/>
      <c r="C12011" s="31"/>
    </row>
    <row r="12012">
      <c r="A12012" s="56" t="s">
        <v>24988</v>
      </c>
      <c r="B12012" s="55"/>
      <c r="C12012" s="31"/>
    </row>
    <row r="12013">
      <c r="A12013" s="56" t="s">
        <v>24989</v>
      </c>
      <c r="B12013" s="55"/>
      <c r="C12013" s="31"/>
    </row>
    <row r="12014">
      <c r="A12014" s="56" t="s">
        <v>24991</v>
      </c>
      <c r="B12014" s="55"/>
      <c r="C12014" s="31"/>
    </row>
    <row r="12015">
      <c r="A12015" s="56" t="s">
        <v>24992</v>
      </c>
      <c r="B12015" s="55"/>
      <c r="C12015" s="31"/>
    </row>
    <row r="12016">
      <c r="A12016" s="56" t="s">
        <v>24993</v>
      </c>
      <c r="B12016" s="55"/>
      <c r="C12016" s="31"/>
    </row>
    <row r="12017">
      <c r="A12017" s="56" t="s">
        <v>24994</v>
      </c>
      <c r="B12017" s="55"/>
      <c r="C12017" s="31"/>
    </row>
    <row r="12018">
      <c r="A12018" s="56" t="s">
        <v>24995</v>
      </c>
      <c r="B12018" s="82"/>
      <c r="C12018" s="33" t="s">
        <v>24996</v>
      </c>
    </row>
    <row r="12019">
      <c r="A12019" s="56" t="s">
        <v>24998</v>
      </c>
      <c r="B12019" s="55"/>
      <c r="C12019" s="31"/>
    </row>
    <row r="12020">
      <c r="A12020" s="56" t="s">
        <v>24999</v>
      </c>
      <c r="B12020" s="55"/>
      <c r="C12020" s="31"/>
    </row>
    <row r="12021">
      <c r="A12021" s="56" t="s">
        <v>25001</v>
      </c>
      <c r="B12021" s="55"/>
      <c r="C12021" s="31"/>
    </row>
    <row r="12022">
      <c r="A12022" s="56" t="s">
        <v>25002</v>
      </c>
      <c r="B12022" s="55"/>
      <c r="C12022" s="31"/>
    </row>
    <row r="12023">
      <c r="A12023" s="56" t="s">
        <v>25003</v>
      </c>
      <c r="B12023" s="55"/>
      <c r="C12023" s="31"/>
    </row>
    <row r="12024">
      <c r="A12024" s="56" t="s">
        <v>25004</v>
      </c>
      <c r="B12024" s="82"/>
      <c r="C12024" s="33" t="s">
        <v>25005</v>
      </c>
    </row>
    <row r="12025">
      <c r="A12025" s="56" t="s">
        <v>25006</v>
      </c>
      <c r="B12025" s="55"/>
      <c r="C12025" s="31"/>
    </row>
    <row r="12026">
      <c r="A12026" s="56" t="s">
        <v>25007</v>
      </c>
      <c r="B12026" s="55"/>
      <c r="C12026" s="31"/>
    </row>
    <row r="12027">
      <c r="A12027" s="56" t="s">
        <v>25008</v>
      </c>
      <c r="B12027" s="55"/>
      <c r="C12027" s="31"/>
    </row>
    <row r="12028">
      <c r="A12028" s="56" t="s">
        <v>25009</v>
      </c>
      <c r="B12028" s="55"/>
      <c r="C12028" s="31"/>
    </row>
    <row r="12029">
      <c r="A12029" s="56" t="s">
        <v>25011</v>
      </c>
      <c r="B12029" s="55"/>
      <c r="C12029" s="31"/>
    </row>
    <row r="12030">
      <c r="A12030" s="56" t="s">
        <v>25012</v>
      </c>
      <c r="B12030" s="55"/>
      <c r="C12030" s="31"/>
    </row>
    <row r="12031">
      <c r="A12031" s="56" t="s">
        <v>25013</v>
      </c>
      <c r="B12031" s="55"/>
      <c r="C12031" s="31"/>
    </row>
    <row r="12032">
      <c r="A12032" s="56" t="s">
        <v>25014</v>
      </c>
      <c r="B12032" s="55"/>
      <c r="C12032" s="31"/>
    </row>
    <row r="12033">
      <c r="A12033" s="56" t="s">
        <v>25015</v>
      </c>
      <c r="B12033" s="55"/>
      <c r="C12033" s="31"/>
    </row>
    <row r="12034">
      <c r="A12034" s="56" t="s">
        <v>25017</v>
      </c>
      <c r="B12034" s="55"/>
      <c r="C12034" s="31"/>
    </row>
    <row r="12035">
      <c r="A12035" s="56" t="s">
        <v>25018</v>
      </c>
      <c r="B12035" s="55"/>
      <c r="C12035" s="31"/>
    </row>
    <row r="12036">
      <c r="A12036" s="56" t="s">
        <v>25020</v>
      </c>
      <c r="B12036" s="55"/>
      <c r="C12036" s="31"/>
    </row>
    <row r="12037">
      <c r="A12037" s="56" t="s">
        <v>25021</v>
      </c>
      <c r="B12037" s="55"/>
      <c r="C12037" s="31"/>
    </row>
    <row r="12038">
      <c r="A12038" s="56" t="s">
        <v>25022</v>
      </c>
      <c r="B12038" s="55"/>
      <c r="C12038" s="31"/>
    </row>
    <row r="12039">
      <c r="A12039" s="56" t="s">
        <v>25023</v>
      </c>
      <c r="B12039" s="55"/>
      <c r="C12039" s="31"/>
    </row>
    <row r="12040">
      <c r="A12040" s="56" t="s">
        <v>25024</v>
      </c>
      <c r="B12040" s="55"/>
      <c r="C12040" s="31"/>
    </row>
    <row r="12041">
      <c r="A12041" s="56" t="s">
        <v>25025</v>
      </c>
      <c r="B12041" s="55"/>
      <c r="C12041" s="31"/>
    </row>
    <row r="12042">
      <c r="A12042" s="56" t="s">
        <v>25027</v>
      </c>
      <c r="B12042" s="55"/>
      <c r="C12042" s="31"/>
    </row>
    <row r="12043">
      <c r="A12043" s="56" t="s">
        <v>25029</v>
      </c>
      <c r="B12043" s="55"/>
      <c r="C12043" s="31"/>
    </row>
    <row r="12044">
      <c r="A12044" s="56" t="s">
        <v>25030</v>
      </c>
      <c r="B12044" s="55"/>
      <c r="C12044" s="31"/>
    </row>
    <row r="12045">
      <c r="A12045" s="56" t="s">
        <v>25031</v>
      </c>
      <c r="B12045" s="55"/>
      <c r="C12045" s="31"/>
    </row>
    <row r="12046">
      <c r="A12046" s="56" t="s">
        <v>25032</v>
      </c>
      <c r="B12046" s="55"/>
      <c r="C12046" s="31"/>
    </row>
    <row r="12047">
      <c r="A12047" s="56" t="s">
        <v>25033</v>
      </c>
      <c r="B12047" s="55"/>
      <c r="C12047" s="31"/>
    </row>
    <row r="12048">
      <c r="A12048" s="56" t="s">
        <v>25034</v>
      </c>
      <c r="B12048" s="55"/>
      <c r="C12048" s="31"/>
    </row>
    <row r="12049">
      <c r="A12049" s="56" t="s">
        <v>25036</v>
      </c>
      <c r="B12049" s="55"/>
      <c r="C12049" s="31"/>
    </row>
    <row r="12050">
      <c r="A12050" s="56" t="s">
        <v>25038</v>
      </c>
      <c r="B12050" s="55"/>
      <c r="C12050" s="31"/>
    </row>
    <row r="12051">
      <c r="A12051" s="56" t="s">
        <v>25039</v>
      </c>
      <c r="B12051" s="55"/>
      <c r="C12051" s="31"/>
    </row>
    <row r="12052">
      <c r="A12052" s="56" t="s">
        <v>25040</v>
      </c>
      <c r="B12052" s="55"/>
      <c r="C12052" s="31"/>
    </row>
    <row r="12053">
      <c r="A12053" s="56" t="s">
        <v>25041</v>
      </c>
      <c r="B12053" s="55"/>
      <c r="C12053" s="31"/>
    </row>
    <row r="12054">
      <c r="A12054" s="56" t="s">
        <v>25042</v>
      </c>
      <c r="B12054" s="55"/>
      <c r="C12054" s="31"/>
    </row>
    <row r="12055">
      <c r="A12055" s="56" t="s">
        <v>25043</v>
      </c>
      <c r="B12055" s="55"/>
      <c r="C12055" s="31"/>
    </row>
    <row r="12056">
      <c r="A12056" s="56" t="s">
        <v>25044</v>
      </c>
      <c r="B12056" s="82"/>
      <c r="C12056" s="33" t="s">
        <v>25046</v>
      </c>
    </row>
    <row r="12057">
      <c r="A12057" s="56" t="s">
        <v>25048</v>
      </c>
      <c r="B12057" s="55"/>
      <c r="C12057" s="31"/>
    </row>
    <row r="12058">
      <c r="A12058" s="56" t="s">
        <v>25049</v>
      </c>
      <c r="B12058" s="55"/>
      <c r="C12058" s="31"/>
    </row>
    <row r="12059">
      <c r="A12059" s="56" t="s">
        <v>25051</v>
      </c>
      <c r="B12059" s="55"/>
      <c r="C12059" s="31"/>
    </row>
    <row r="12060">
      <c r="A12060" s="56" t="s">
        <v>25053</v>
      </c>
      <c r="B12060" s="55"/>
      <c r="C12060" s="31"/>
    </row>
    <row r="12061">
      <c r="A12061" s="56" t="s">
        <v>25055</v>
      </c>
      <c r="B12061" s="55"/>
      <c r="C12061" s="31"/>
    </row>
    <row r="12062">
      <c r="A12062" s="56" t="s">
        <v>25056</v>
      </c>
      <c r="B12062" s="55"/>
      <c r="C12062" s="31"/>
    </row>
    <row r="12063">
      <c r="A12063" s="56" t="s">
        <v>25057</v>
      </c>
      <c r="B12063" s="55"/>
      <c r="C12063" s="31"/>
    </row>
    <row r="12064">
      <c r="A12064" s="56" t="s">
        <v>25059</v>
      </c>
      <c r="B12064" s="55"/>
      <c r="C12064" s="31"/>
    </row>
    <row r="12065">
      <c r="A12065" s="56" t="s">
        <v>25060</v>
      </c>
      <c r="B12065" s="55"/>
      <c r="C12065" s="31"/>
    </row>
    <row r="12066">
      <c r="A12066" s="56" t="s">
        <v>25061</v>
      </c>
      <c r="B12066" s="55"/>
      <c r="C12066" s="31"/>
    </row>
    <row r="12067">
      <c r="A12067" s="56" t="s">
        <v>25062</v>
      </c>
      <c r="B12067" s="55"/>
      <c r="C12067" s="31"/>
    </row>
    <row r="12068">
      <c r="A12068" s="56" t="s">
        <v>25064</v>
      </c>
      <c r="B12068" s="82"/>
      <c r="C12068" s="33" t="s">
        <v>25065</v>
      </c>
    </row>
    <row r="12069">
      <c r="A12069" s="56" t="s">
        <v>25067</v>
      </c>
      <c r="B12069" s="55"/>
      <c r="C12069" s="31"/>
    </row>
    <row r="12070">
      <c r="A12070" s="56" t="s">
        <v>25068</v>
      </c>
      <c r="B12070" s="55"/>
      <c r="C12070" s="31"/>
    </row>
    <row r="12071">
      <c r="A12071" s="56" t="s">
        <v>25069</v>
      </c>
      <c r="B12071" s="55"/>
      <c r="C12071" s="31"/>
    </row>
    <row r="12072">
      <c r="A12072" s="56" t="s">
        <v>25070</v>
      </c>
      <c r="B12072" s="55"/>
      <c r="C12072" s="31"/>
    </row>
    <row r="12073">
      <c r="A12073" s="56" t="s">
        <v>25071</v>
      </c>
      <c r="B12073" s="55"/>
      <c r="C12073" s="31"/>
    </row>
    <row r="12074">
      <c r="A12074" s="56" t="s">
        <v>25072</v>
      </c>
      <c r="B12074" s="55"/>
      <c r="C12074" s="31"/>
    </row>
    <row r="12075">
      <c r="A12075" s="56" t="s">
        <v>25073</v>
      </c>
      <c r="B12075" s="55"/>
      <c r="C12075" s="31"/>
    </row>
    <row r="12076">
      <c r="A12076" s="56" t="s">
        <v>25075</v>
      </c>
      <c r="B12076" s="55"/>
      <c r="C12076" s="31"/>
    </row>
    <row r="12077">
      <c r="A12077" s="56" t="s">
        <v>25077</v>
      </c>
      <c r="B12077" s="55"/>
      <c r="C12077" s="31"/>
    </row>
    <row r="12078">
      <c r="A12078" s="56" t="s">
        <v>25078</v>
      </c>
      <c r="B12078" s="55"/>
      <c r="C12078" s="31"/>
    </row>
    <row r="12079">
      <c r="A12079" s="56" t="s">
        <v>25079</v>
      </c>
      <c r="B12079" s="55"/>
      <c r="C12079" s="31"/>
    </row>
    <row r="12080">
      <c r="A12080" s="56" t="s">
        <v>25080</v>
      </c>
      <c r="B12080" s="55"/>
      <c r="C12080" s="31"/>
    </row>
    <row r="12081">
      <c r="A12081" s="56" t="s">
        <v>25081</v>
      </c>
      <c r="B12081" s="55"/>
      <c r="C12081" s="31"/>
    </row>
    <row r="12082">
      <c r="A12082" s="56" t="s">
        <v>25082</v>
      </c>
      <c r="B12082" s="82"/>
      <c r="C12082" s="33" t="s">
        <v>25083</v>
      </c>
    </row>
    <row r="12083">
      <c r="A12083" s="56" t="s">
        <v>25084</v>
      </c>
      <c r="B12083" s="55"/>
      <c r="C12083" s="31"/>
    </row>
    <row r="12084">
      <c r="A12084" s="56" t="s">
        <v>25086</v>
      </c>
      <c r="B12084" s="55"/>
      <c r="C12084" s="31"/>
    </row>
    <row r="12085">
      <c r="A12085" s="56" t="s">
        <v>25088</v>
      </c>
      <c r="B12085" s="55"/>
      <c r="C12085" s="31"/>
    </row>
    <row r="12086">
      <c r="A12086" s="56" t="s">
        <v>25089</v>
      </c>
      <c r="B12086" s="82"/>
      <c r="C12086" s="33" t="s">
        <v>25090</v>
      </c>
    </row>
    <row r="12087">
      <c r="A12087" s="56" t="s">
        <v>25091</v>
      </c>
      <c r="B12087" s="55"/>
      <c r="C12087" s="31"/>
    </row>
    <row r="12088">
      <c r="A12088" s="56" t="s">
        <v>25092</v>
      </c>
      <c r="B12088" s="55"/>
      <c r="C12088" s="31"/>
    </row>
    <row r="12089">
      <c r="A12089" s="56" t="s">
        <v>25093</v>
      </c>
      <c r="B12089" s="55"/>
      <c r="C12089" s="31"/>
    </row>
    <row r="12090">
      <c r="A12090" s="56" t="s">
        <v>25094</v>
      </c>
      <c r="B12090" s="55"/>
      <c r="C12090" s="31"/>
    </row>
    <row r="12091">
      <c r="A12091" s="56" t="s">
        <v>25095</v>
      </c>
      <c r="B12091" s="55"/>
      <c r="C12091" s="31"/>
    </row>
    <row r="12092">
      <c r="A12092" s="56" t="s">
        <v>25098</v>
      </c>
      <c r="B12092" s="55"/>
      <c r="C12092" s="31"/>
    </row>
    <row r="12093">
      <c r="A12093" s="56" t="s">
        <v>25099</v>
      </c>
      <c r="B12093" s="55"/>
      <c r="C12093" s="31"/>
    </row>
    <row r="12094">
      <c r="A12094" s="56" t="s">
        <v>25100</v>
      </c>
      <c r="B12094" s="55"/>
      <c r="C12094" s="31"/>
    </row>
    <row r="12095">
      <c r="A12095" s="56" t="s">
        <v>25101</v>
      </c>
      <c r="B12095" s="55"/>
      <c r="C12095" s="31"/>
    </row>
    <row r="12096">
      <c r="A12096" s="56" t="s">
        <v>25102</v>
      </c>
      <c r="B12096" s="55"/>
      <c r="C12096" s="31"/>
    </row>
    <row r="12097">
      <c r="A12097" s="56" t="s">
        <v>25103</v>
      </c>
      <c r="B12097" s="55"/>
      <c r="C12097" s="31"/>
    </row>
    <row r="12098">
      <c r="A12098" s="56" t="s">
        <v>25104</v>
      </c>
      <c r="B12098" s="55"/>
      <c r="C12098" s="31"/>
    </row>
    <row r="12099">
      <c r="A12099" s="56" t="s">
        <v>25106</v>
      </c>
      <c r="B12099" s="55"/>
      <c r="C12099" s="31"/>
    </row>
    <row r="12100">
      <c r="A12100" s="56" t="s">
        <v>25108</v>
      </c>
      <c r="B12100" s="55"/>
      <c r="C12100" s="31"/>
    </row>
    <row r="12101">
      <c r="A12101" s="56" t="s">
        <v>25109</v>
      </c>
      <c r="B12101" s="55"/>
      <c r="C12101" s="31"/>
    </row>
    <row r="12102">
      <c r="A12102" s="56" t="s">
        <v>25110</v>
      </c>
      <c r="B12102" s="55"/>
      <c r="C12102" s="31"/>
    </row>
    <row r="12103">
      <c r="A12103" s="56" t="s">
        <v>25111</v>
      </c>
      <c r="B12103" s="55"/>
      <c r="C12103" s="31"/>
    </row>
    <row r="12104">
      <c r="A12104" s="56" t="s">
        <v>25112</v>
      </c>
      <c r="B12104" s="55"/>
      <c r="C12104" s="31"/>
    </row>
    <row r="12105">
      <c r="A12105" s="56" t="s">
        <v>25113</v>
      </c>
      <c r="B12105" s="55"/>
      <c r="C12105" s="31"/>
    </row>
    <row r="12106">
      <c r="A12106" s="56" t="s">
        <v>25115</v>
      </c>
      <c r="B12106" s="55"/>
      <c r="C12106" s="31"/>
    </row>
    <row r="12107">
      <c r="A12107" s="56" t="s">
        <v>25117</v>
      </c>
      <c r="B12107" s="55"/>
      <c r="C12107" s="31"/>
    </row>
    <row r="12108">
      <c r="A12108" s="56" t="s">
        <v>25118</v>
      </c>
      <c r="B12108" s="55"/>
      <c r="C12108" s="31"/>
    </row>
    <row r="12109">
      <c r="A12109" s="56" t="s">
        <v>25119</v>
      </c>
      <c r="B12109" s="55"/>
      <c r="C12109" s="31"/>
    </row>
    <row r="12110">
      <c r="A12110" s="56" t="s">
        <v>25120</v>
      </c>
      <c r="B12110" s="55"/>
      <c r="C12110" s="31"/>
    </row>
    <row r="12111">
      <c r="A12111" s="56" t="s">
        <v>25121</v>
      </c>
      <c r="B12111" s="55"/>
      <c r="C12111" s="31"/>
    </row>
    <row r="12112">
      <c r="A12112" s="56" t="s">
        <v>25122</v>
      </c>
      <c r="B12112" s="55"/>
      <c r="C12112" s="31"/>
    </row>
    <row r="12113">
      <c r="A12113" s="56" t="s">
        <v>25123</v>
      </c>
      <c r="B12113" s="55"/>
      <c r="C12113" s="31"/>
    </row>
    <row r="12114">
      <c r="A12114" s="56" t="s">
        <v>25126</v>
      </c>
      <c r="B12114" s="55"/>
      <c r="C12114" s="31"/>
    </row>
    <row r="12115">
      <c r="A12115" s="56" t="s">
        <v>25127</v>
      </c>
      <c r="B12115" s="55"/>
      <c r="C12115" s="31"/>
    </row>
    <row r="12116">
      <c r="A12116" s="56" t="s">
        <v>25128</v>
      </c>
      <c r="B12116" s="55"/>
      <c r="C12116" s="31"/>
    </row>
    <row r="12117">
      <c r="A12117" s="56" t="s">
        <v>25129</v>
      </c>
      <c r="B12117" s="55"/>
      <c r="C12117" s="31"/>
    </row>
    <row r="12118">
      <c r="A12118" s="56" t="s">
        <v>25130</v>
      </c>
      <c r="B12118" s="55"/>
      <c r="C12118" s="31"/>
    </row>
    <row r="12119">
      <c r="A12119" s="56" t="s">
        <v>25131</v>
      </c>
      <c r="B12119" s="55"/>
      <c r="C12119" s="31"/>
    </row>
    <row r="12120">
      <c r="A12120" s="56" t="s">
        <v>25132</v>
      </c>
      <c r="B12120" s="55"/>
      <c r="C12120" s="31"/>
    </row>
    <row r="12121">
      <c r="A12121" s="56" t="s">
        <v>25135</v>
      </c>
      <c r="B12121" s="55"/>
      <c r="C12121" s="31"/>
    </row>
    <row r="12122">
      <c r="A12122" s="56" t="s">
        <v>25136</v>
      </c>
      <c r="B12122" s="55"/>
      <c r="C12122" s="31"/>
    </row>
    <row r="12123">
      <c r="A12123" s="56" t="s">
        <v>25137</v>
      </c>
      <c r="B12123" s="55"/>
      <c r="C12123" s="31"/>
    </row>
    <row r="12124">
      <c r="A12124" s="56" t="s">
        <v>25138</v>
      </c>
      <c r="B12124" s="55"/>
      <c r="C12124" s="31"/>
    </row>
    <row r="12125">
      <c r="A12125" s="56" t="s">
        <v>25139</v>
      </c>
      <c r="B12125" s="82"/>
      <c r="C12125" s="33" t="s">
        <v>25141</v>
      </c>
    </row>
    <row r="12126">
      <c r="A12126" s="56" t="s">
        <v>25142</v>
      </c>
      <c r="B12126" s="55"/>
      <c r="C12126" s="31"/>
    </row>
    <row r="12127">
      <c r="A12127" s="56" t="s">
        <v>25144</v>
      </c>
      <c r="B12127" s="55"/>
      <c r="C12127" s="31"/>
    </row>
    <row r="12128">
      <c r="A12128" s="56" t="s">
        <v>25145</v>
      </c>
      <c r="B12128" s="55"/>
      <c r="C12128" s="31"/>
    </row>
    <row r="12129">
      <c r="A12129" s="56" t="s">
        <v>25146</v>
      </c>
      <c r="B12129" s="55"/>
      <c r="C12129" s="31"/>
    </row>
    <row r="12130">
      <c r="A12130" s="56" t="s">
        <v>25147</v>
      </c>
      <c r="B12130" s="55"/>
      <c r="C12130" s="31"/>
    </row>
    <row r="12131">
      <c r="A12131" s="56" t="s">
        <v>25148</v>
      </c>
      <c r="B12131" s="55"/>
      <c r="C12131" s="31"/>
    </row>
    <row r="12132">
      <c r="A12132" s="56" t="s">
        <v>25150</v>
      </c>
      <c r="B12132" s="55"/>
      <c r="C12132" s="31"/>
    </row>
    <row r="12133">
      <c r="A12133" s="56" t="s">
        <v>25151</v>
      </c>
      <c r="B12133" s="55"/>
      <c r="C12133" s="31"/>
    </row>
    <row r="12134">
      <c r="A12134" s="56" t="s">
        <v>25152</v>
      </c>
      <c r="B12134" s="55"/>
      <c r="C12134" s="31"/>
    </row>
    <row r="12135">
      <c r="A12135" s="56" t="s">
        <v>25153</v>
      </c>
      <c r="B12135" s="55"/>
      <c r="C12135" s="31"/>
    </row>
    <row r="12136">
      <c r="A12136" s="56" t="s">
        <v>25155</v>
      </c>
      <c r="B12136" s="55"/>
      <c r="C12136" s="31"/>
    </row>
    <row r="12137">
      <c r="A12137" s="56" t="s">
        <v>25156</v>
      </c>
      <c r="B12137" s="55"/>
      <c r="C12137" s="31"/>
    </row>
    <row r="12138">
      <c r="A12138" s="56" t="s">
        <v>25157</v>
      </c>
      <c r="B12138" s="55"/>
      <c r="C12138" s="31"/>
    </row>
    <row r="12139">
      <c r="A12139" s="56" t="s">
        <v>25159</v>
      </c>
      <c r="B12139" s="55"/>
      <c r="C12139" s="31"/>
    </row>
    <row r="12140">
      <c r="A12140" s="56" t="s">
        <v>25162</v>
      </c>
      <c r="B12140" s="55"/>
      <c r="C12140" s="31"/>
    </row>
    <row r="12141">
      <c r="A12141" s="56" t="s">
        <v>25163</v>
      </c>
      <c r="B12141" s="55"/>
      <c r="C12141" s="31"/>
    </row>
    <row r="12142">
      <c r="A12142" s="56" t="s">
        <v>25164</v>
      </c>
      <c r="B12142" s="55"/>
      <c r="C12142" s="31"/>
    </row>
    <row r="12143">
      <c r="A12143" s="56" t="s">
        <v>25165</v>
      </c>
      <c r="B12143" s="55"/>
      <c r="C12143" s="31"/>
    </row>
    <row r="12144">
      <c r="A12144" s="56" t="s">
        <v>25166</v>
      </c>
      <c r="B12144" s="55"/>
      <c r="C12144" s="31"/>
    </row>
    <row r="12145">
      <c r="A12145" s="56" t="s">
        <v>25167</v>
      </c>
      <c r="B12145" s="55"/>
      <c r="C12145" s="31"/>
    </row>
    <row r="12146">
      <c r="A12146" s="56" t="s">
        <v>25169</v>
      </c>
      <c r="B12146" s="55"/>
      <c r="C12146" s="31"/>
    </row>
    <row r="12147">
      <c r="A12147" s="56" t="s">
        <v>25170</v>
      </c>
      <c r="B12147" s="55"/>
      <c r="C12147" s="31"/>
    </row>
    <row r="12148">
      <c r="A12148" s="56" t="s">
        <v>25174</v>
      </c>
      <c r="B12148" s="55"/>
      <c r="C12148" s="31"/>
    </row>
    <row r="12149">
      <c r="A12149" s="56" t="s">
        <v>25175</v>
      </c>
      <c r="B12149" s="55"/>
      <c r="C12149" s="31"/>
    </row>
    <row r="12150">
      <c r="A12150" s="56" t="s">
        <v>25176</v>
      </c>
      <c r="B12150" s="55"/>
      <c r="C12150" s="31"/>
    </row>
    <row r="12151">
      <c r="A12151" s="56" t="s">
        <v>25177</v>
      </c>
      <c r="B12151" s="55"/>
      <c r="C12151" s="31"/>
    </row>
    <row r="12152">
      <c r="A12152" s="56" t="s">
        <v>25178</v>
      </c>
      <c r="B12152" s="55"/>
      <c r="C12152" s="31"/>
    </row>
    <row r="12153">
      <c r="A12153" s="56" t="s">
        <v>25179</v>
      </c>
      <c r="B12153" s="55"/>
      <c r="C12153" s="31"/>
    </row>
    <row r="12154">
      <c r="A12154" s="56" t="s">
        <v>25182</v>
      </c>
      <c r="B12154" s="55"/>
      <c r="C12154" s="31"/>
    </row>
    <row r="12155">
      <c r="A12155" s="56" t="s">
        <v>25184</v>
      </c>
      <c r="B12155" s="55"/>
      <c r="C12155" s="31"/>
    </row>
    <row r="12156">
      <c r="A12156" s="56" t="s">
        <v>25185</v>
      </c>
      <c r="B12156" s="55"/>
      <c r="C12156" s="31"/>
    </row>
    <row r="12157">
      <c r="A12157" s="56" t="s">
        <v>25186</v>
      </c>
      <c r="B12157" s="82"/>
      <c r="C12157" s="33" t="s">
        <v>25187</v>
      </c>
    </row>
    <row r="12158">
      <c r="A12158" s="56" t="s">
        <v>25188</v>
      </c>
      <c r="B12158" s="55"/>
      <c r="C12158" s="31"/>
    </row>
    <row r="12159">
      <c r="A12159" s="56" t="s">
        <v>25189</v>
      </c>
      <c r="B12159" s="55"/>
      <c r="C12159" s="31"/>
    </row>
    <row r="12160">
      <c r="A12160" s="56" t="s">
        <v>25190</v>
      </c>
      <c r="B12160" s="55"/>
      <c r="C12160" s="31"/>
    </row>
    <row r="12161">
      <c r="A12161" s="56" t="s">
        <v>25193</v>
      </c>
      <c r="B12161" s="55"/>
      <c r="C12161" s="31"/>
    </row>
    <row r="12162">
      <c r="A12162" s="56" t="s">
        <v>25194</v>
      </c>
      <c r="B12162" s="55"/>
      <c r="C12162" s="31"/>
    </row>
    <row r="12163">
      <c r="A12163" s="56" t="s">
        <v>25195</v>
      </c>
      <c r="B12163" s="55"/>
      <c r="C12163" s="31"/>
    </row>
    <row r="12164">
      <c r="A12164" s="56" t="s">
        <v>25196</v>
      </c>
      <c r="B12164" s="55"/>
      <c r="C12164" s="31"/>
    </row>
    <row r="12165">
      <c r="A12165" s="56" t="s">
        <v>25197</v>
      </c>
      <c r="B12165" s="55"/>
      <c r="C12165" s="31"/>
    </row>
    <row r="12166">
      <c r="A12166" s="56" t="s">
        <v>25198</v>
      </c>
      <c r="B12166" s="55"/>
      <c r="C12166" s="31"/>
    </row>
    <row r="12167">
      <c r="A12167" s="56" t="s">
        <v>25199</v>
      </c>
      <c r="B12167" s="55"/>
      <c r="C12167" s="31"/>
    </row>
    <row r="12168">
      <c r="A12168" s="56" t="s">
        <v>25202</v>
      </c>
      <c r="B12168" s="55"/>
      <c r="C12168" s="31"/>
    </row>
    <row r="12169">
      <c r="A12169" s="56" t="s">
        <v>25203</v>
      </c>
      <c r="B12169" s="55"/>
      <c r="C12169" s="31"/>
    </row>
    <row r="12170">
      <c r="A12170" s="56" t="s">
        <v>25204</v>
      </c>
      <c r="B12170" s="55"/>
      <c r="C12170" s="31"/>
    </row>
    <row r="12171">
      <c r="A12171" s="56" t="s">
        <v>25205</v>
      </c>
      <c r="B12171" s="55"/>
      <c r="C12171" s="31"/>
    </row>
    <row r="12172">
      <c r="A12172" s="56" t="s">
        <v>25207</v>
      </c>
      <c r="B12172" s="55"/>
      <c r="C12172" s="31"/>
    </row>
    <row r="12173">
      <c r="A12173" s="56" t="s">
        <v>25208</v>
      </c>
      <c r="B12173" s="55"/>
      <c r="C12173" s="31"/>
    </row>
    <row r="12174">
      <c r="A12174" s="56" t="s">
        <v>25209</v>
      </c>
      <c r="B12174" s="55"/>
      <c r="C12174" s="31"/>
    </row>
    <row r="12175">
      <c r="A12175" s="56" t="s">
        <v>25210</v>
      </c>
      <c r="B12175" s="55"/>
      <c r="C12175" s="31"/>
    </row>
    <row r="12176">
      <c r="A12176" s="56" t="s">
        <v>25211</v>
      </c>
      <c r="B12176" s="55"/>
      <c r="C12176" s="31"/>
    </row>
    <row r="12177">
      <c r="A12177" s="56" t="s">
        <v>25214</v>
      </c>
      <c r="B12177" s="55"/>
      <c r="C12177" s="31"/>
    </row>
    <row r="12178">
      <c r="A12178" s="56" t="s">
        <v>25215</v>
      </c>
      <c r="B12178" s="55"/>
      <c r="C12178" s="31"/>
    </row>
    <row r="12179">
      <c r="A12179" s="56" t="s">
        <v>25216</v>
      </c>
      <c r="B12179" s="55"/>
      <c r="C12179" s="31"/>
    </row>
    <row r="12180">
      <c r="A12180" s="56" t="s">
        <v>25217</v>
      </c>
      <c r="B12180" s="55"/>
      <c r="C12180" s="31"/>
    </row>
    <row r="12181">
      <c r="A12181" s="56" t="s">
        <v>25218</v>
      </c>
      <c r="B12181" s="55"/>
      <c r="C12181" s="31"/>
    </row>
    <row r="12182">
      <c r="A12182" s="56" t="s">
        <v>25219</v>
      </c>
      <c r="B12182" s="55"/>
      <c r="C12182" s="31"/>
    </row>
    <row r="12183">
      <c r="A12183" s="56" t="s">
        <v>25221</v>
      </c>
      <c r="B12183" s="55"/>
      <c r="C12183" s="31"/>
    </row>
    <row r="12184">
      <c r="A12184" s="56" t="s">
        <v>25222</v>
      </c>
      <c r="B12184" s="55"/>
      <c r="C12184" s="31"/>
    </row>
    <row r="12185">
      <c r="A12185" s="56" t="s">
        <v>25223</v>
      </c>
      <c r="B12185" s="55"/>
      <c r="C12185" s="31"/>
    </row>
    <row r="12186">
      <c r="A12186" s="56" t="s">
        <v>25225</v>
      </c>
      <c r="B12186" s="55"/>
      <c r="C12186" s="31"/>
    </row>
    <row r="12187">
      <c r="A12187" s="56" t="s">
        <v>25226</v>
      </c>
      <c r="B12187" s="55"/>
      <c r="C12187" s="31"/>
    </row>
    <row r="12188">
      <c r="A12188" s="56" t="s">
        <v>25227</v>
      </c>
      <c r="B12188" s="55"/>
      <c r="C12188" s="31"/>
    </row>
    <row r="12189">
      <c r="A12189" s="56" t="s">
        <v>25229</v>
      </c>
      <c r="B12189" s="55"/>
      <c r="C12189" s="31"/>
    </row>
    <row r="12190">
      <c r="A12190" s="56" t="s">
        <v>25230</v>
      </c>
      <c r="B12190" s="55"/>
      <c r="C12190" s="31"/>
    </row>
    <row r="12191">
      <c r="A12191" s="56" t="s">
        <v>25231</v>
      </c>
      <c r="B12191" s="55"/>
      <c r="C12191" s="31"/>
    </row>
    <row r="12192">
      <c r="A12192" s="56" t="s">
        <v>25232</v>
      </c>
      <c r="B12192" s="55"/>
      <c r="C12192" s="31"/>
    </row>
    <row r="12193">
      <c r="A12193" s="56" t="s">
        <v>25233</v>
      </c>
      <c r="B12193" s="55"/>
      <c r="C12193" s="31"/>
    </row>
    <row r="12194">
      <c r="A12194" s="56" t="s">
        <v>25234</v>
      </c>
      <c r="B12194" s="55"/>
      <c r="C12194" s="31"/>
    </row>
    <row r="12195">
      <c r="A12195" s="56" t="s">
        <v>25235</v>
      </c>
      <c r="B12195" s="55"/>
      <c r="C12195" s="31"/>
    </row>
    <row r="12196">
      <c r="A12196" s="56" t="s">
        <v>25236</v>
      </c>
      <c r="B12196" s="55"/>
      <c r="C12196" s="31"/>
    </row>
    <row r="12197">
      <c r="A12197" s="56" t="s">
        <v>25239</v>
      </c>
      <c r="B12197" s="55"/>
      <c r="C12197" s="31"/>
    </row>
    <row r="12198">
      <c r="A12198" s="56" t="s">
        <v>25240</v>
      </c>
      <c r="B12198" s="55"/>
      <c r="C12198" s="31"/>
    </row>
    <row r="12199">
      <c r="A12199" s="56" t="s">
        <v>25241</v>
      </c>
      <c r="B12199" s="55"/>
      <c r="C12199" s="31"/>
    </row>
    <row r="12200">
      <c r="A12200" s="56" t="s">
        <v>25242</v>
      </c>
      <c r="B12200" s="55"/>
      <c r="C12200" s="31"/>
    </row>
    <row r="12201">
      <c r="A12201" s="56" t="s">
        <v>25244</v>
      </c>
      <c r="B12201" s="55"/>
      <c r="C12201" s="31"/>
    </row>
    <row r="12202">
      <c r="A12202" s="56" t="s">
        <v>25245</v>
      </c>
      <c r="B12202" s="55"/>
      <c r="C12202" s="31"/>
    </row>
    <row r="12203">
      <c r="A12203" s="56" t="s">
        <v>25247</v>
      </c>
      <c r="B12203" s="55"/>
      <c r="C12203" s="31"/>
    </row>
    <row r="12204">
      <c r="A12204" s="56" t="s">
        <v>25248</v>
      </c>
      <c r="B12204" s="55"/>
      <c r="C12204" s="31"/>
    </row>
    <row r="12205">
      <c r="A12205" s="56" t="s">
        <v>25249</v>
      </c>
      <c r="B12205" s="55"/>
      <c r="C12205" s="31"/>
    </row>
    <row r="12206">
      <c r="A12206" s="56" t="s">
        <v>25250</v>
      </c>
      <c r="B12206" s="55"/>
      <c r="C12206" s="31"/>
    </row>
    <row r="12207">
      <c r="A12207" s="56" t="s">
        <v>25252</v>
      </c>
      <c r="B12207" s="55"/>
      <c r="C12207" s="31"/>
    </row>
    <row r="12208">
      <c r="A12208" s="56" t="s">
        <v>25253</v>
      </c>
      <c r="B12208" s="55"/>
      <c r="C12208" s="31"/>
    </row>
    <row r="12209">
      <c r="A12209" s="56" t="s">
        <v>25255</v>
      </c>
      <c r="B12209" s="55"/>
      <c r="C12209" s="31"/>
    </row>
    <row r="12210">
      <c r="A12210" s="56" t="s">
        <v>25256</v>
      </c>
      <c r="B12210" s="55"/>
      <c r="C12210" s="31"/>
    </row>
    <row r="12211">
      <c r="A12211" s="56" t="s">
        <v>25258</v>
      </c>
      <c r="B12211" s="55"/>
      <c r="C12211" s="31"/>
    </row>
    <row r="12212">
      <c r="A12212" s="56" t="s">
        <v>25261</v>
      </c>
      <c r="B12212" s="55"/>
      <c r="C12212" s="31"/>
    </row>
    <row r="12213">
      <c r="A12213" s="56" t="s">
        <v>25263</v>
      </c>
      <c r="B12213" s="55"/>
      <c r="C12213" s="31"/>
    </row>
    <row r="12214">
      <c r="A12214" s="56" t="s">
        <v>25264</v>
      </c>
      <c r="B12214" s="55"/>
      <c r="C12214" s="31"/>
    </row>
    <row r="12215">
      <c r="A12215" s="56" t="s">
        <v>25265</v>
      </c>
      <c r="B12215" s="55"/>
      <c r="C12215" s="31"/>
    </row>
    <row r="12216">
      <c r="A12216" s="56" t="s">
        <v>25266</v>
      </c>
      <c r="B12216" s="55"/>
      <c r="C12216" s="31"/>
    </row>
    <row r="12217">
      <c r="A12217" s="56" t="s">
        <v>25268</v>
      </c>
      <c r="B12217" s="55"/>
      <c r="C12217" s="31"/>
    </row>
    <row r="12218">
      <c r="A12218" s="56" t="s">
        <v>25270</v>
      </c>
      <c r="B12218" s="82"/>
      <c r="C12218" s="33" t="s">
        <v>25271</v>
      </c>
    </row>
    <row r="12219">
      <c r="A12219" s="56" t="s">
        <v>25272</v>
      </c>
      <c r="B12219" s="55"/>
      <c r="C12219" s="31"/>
    </row>
    <row r="12220">
      <c r="A12220" s="56" t="s">
        <v>25273</v>
      </c>
      <c r="B12220" s="55"/>
      <c r="C12220" s="31"/>
    </row>
    <row r="12221">
      <c r="A12221" s="56" t="s">
        <v>25274</v>
      </c>
      <c r="B12221" s="55"/>
      <c r="C12221" s="31"/>
    </row>
    <row r="12222">
      <c r="A12222" s="56" t="s">
        <v>25275</v>
      </c>
      <c r="B12222" s="55"/>
      <c r="C12222" s="31"/>
    </row>
    <row r="12223">
      <c r="A12223" s="56" t="s">
        <v>25276</v>
      </c>
      <c r="B12223" s="55"/>
      <c r="C12223" s="31"/>
    </row>
    <row r="12224">
      <c r="A12224" s="56" t="s">
        <v>25278</v>
      </c>
      <c r="B12224" s="55"/>
      <c r="C12224" s="31"/>
    </row>
    <row r="12225">
      <c r="A12225" s="56" t="s">
        <v>25280</v>
      </c>
      <c r="B12225" s="55"/>
      <c r="C12225" s="31"/>
    </row>
    <row r="12226">
      <c r="A12226" s="56" t="s">
        <v>25281</v>
      </c>
      <c r="B12226" s="55"/>
      <c r="C12226" s="31"/>
    </row>
    <row r="12227">
      <c r="A12227" s="56" t="s">
        <v>25282</v>
      </c>
      <c r="B12227" s="55"/>
      <c r="C12227" s="31"/>
    </row>
    <row r="12228">
      <c r="A12228" s="56" t="s">
        <v>25284</v>
      </c>
      <c r="B12228" s="55"/>
      <c r="C12228" s="31"/>
    </row>
    <row r="12229">
      <c r="A12229" s="56" t="s">
        <v>25285</v>
      </c>
      <c r="B12229" s="55"/>
      <c r="C12229" s="31"/>
    </row>
    <row r="12230">
      <c r="A12230" s="56" t="s">
        <v>25286</v>
      </c>
      <c r="B12230" s="55"/>
      <c r="C12230" s="31"/>
    </row>
    <row r="12231">
      <c r="A12231" s="56" t="s">
        <v>25287</v>
      </c>
      <c r="B12231" s="55"/>
      <c r="C12231" s="31"/>
    </row>
    <row r="12232">
      <c r="A12232" s="56" t="s">
        <v>25289</v>
      </c>
      <c r="B12232" s="55"/>
      <c r="C12232" s="31"/>
    </row>
    <row r="12233">
      <c r="A12233" s="56" t="s">
        <v>25290</v>
      </c>
      <c r="B12233" s="55"/>
      <c r="C12233" s="31"/>
    </row>
    <row r="12234">
      <c r="A12234" s="56" t="s">
        <v>25291</v>
      </c>
      <c r="B12234" s="55"/>
      <c r="C12234" s="31"/>
    </row>
    <row r="12235">
      <c r="A12235" s="56" t="s">
        <v>25293</v>
      </c>
      <c r="B12235" s="55"/>
      <c r="C12235" s="31"/>
    </row>
    <row r="12236">
      <c r="A12236" s="56" t="s">
        <v>25294</v>
      </c>
      <c r="B12236" s="55"/>
      <c r="C12236" s="31"/>
    </row>
    <row r="12237">
      <c r="A12237" s="56" t="s">
        <v>25295</v>
      </c>
      <c r="B12237" s="55"/>
      <c r="C12237" s="31"/>
    </row>
    <row r="12238">
      <c r="A12238" s="56" t="s">
        <v>25296</v>
      </c>
      <c r="B12238" s="55"/>
      <c r="C12238" s="31"/>
    </row>
    <row r="12239">
      <c r="A12239" s="56" t="s">
        <v>25298</v>
      </c>
      <c r="B12239" s="55"/>
      <c r="C12239" s="31"/>
    </row>
    <row r="12240">
      <c r="A12240" s="56" t="s">
        <v>25299</v>
      </c>
      <c r="B12240" s="55"/>
      <c r="C12240" s="31"/>
    </row>
    <row r="12241">
      <c r="A12241" s="56" t="s">
        <v>25301</v>
      </c>
      <c r="B12241" s="55"/>
      <c r="C12241" s="31"/>
    </row>
    <row r="12242">
      <c r="A12242" s="56" t="s">
        <v>25302</v>
      </c>
      <c r="B12242" s="55"/>
      <c r="C12242" s="31"/>
    </row>
    <row r="12243">
      <c r="A12243" s="56" t="s">
        <v>25303</v>
      </c>
      <c r="B12243" s="55"/>
      <c r="C12243" s="31"/>
    </row>
    <row r="12244">
      <c r="A12244" s="56" t="s">
        <v>25304</v>
      </c>
      <c r="B12244" s="55"/>
      <c r="C12244" s="31"/>
    </row>
    <row r="12245">
      <c r="A12245" s="56" t="s">
        <v>25305</v>
      </c>
      <c r="B12245" s="55"/>
      <c r="C12245" s="31"/>
    </row>
    <row r="12246">
      <c r="A12246" s="56" t="s">
        <v>25306</v>
      </c>
      <c r="B12246" s="55"/>
      <c r="C12246" s="31"/>
    </row>
    <row r="12247">
      <c r="A12247" s="56" t="s">
        <v>25307</v>
      </c>
      <c r="B12247" s="55"/>
      <c r="C12247" s="31"/>
    </row>
    <row r="12248">
      <c r="A12248" s="56" t="s">
        <v>25310</v>
      </c>
      <c r="B12248" s="55"/>
      <c r="C12248" s="31"/>
    </row>
    <row r="12249">
      <c r="A12249" s="56" t="s">
        <v>25311</v>
      </c>
      <c r="B12249" s="55"/>
      <c r="C12249" s="31"/>
    </row>
    <row r="12250">
      <c r="A12250" s="56" t="s">
        <v>25312</v>
      </c>
      <c r="B12250" s="55"/>
      <c r="C12250" s="31"/>
    </row>
    <row r="12251">
      <c r="A12251" s="56" t="s">
        <v>25313</v>
      </c>
      <c r="B12251" s="55"/>
      <c r="C12251" s="31"/>
    </row>
    <row r="12252">
      <c r="A12252" s="56" t="s">
        <v>25314</v>
      </c>
      <c r="B12252" s="55"/>
      <c r="C12252" s="31"/>
    </row>
    <row r="12253">
      <c r="A12253" s="56" t="s">
        <v>25315</v>
      </c>
      <c r="B12253" s="55"/>
      <c r="C12253" s="31"/>
    </row>
    <row r="12254">
      <c r="A12254" s="56" t="s">
        <v>25316</v>
      </c>
      <c r="B12254" s="55"/>
      <c r="C12254" s="31"/>
    </row>
    <row r="12255">
      <c r="A12255" s="56" t="s">
        <v>25317</v>
      </c>
      <c r="B12255" s="55"/>
      <c r="C12255" s="31"/>
    </row>
    <row r="12256">
      <c r="A12256" s="56" t="s">
        <v>25318</v>
      </c>
      <c r="B12256" s="55"/>
      <c r="C12256" s="31"/>
    </row>
    <row r="12257">
      <c r="A12257" s="56" t="s">
        <v>25320</v>
      </c>
      <c r="B12257" s="55"/>
      <c r="C12257" s="31"/>
    </row>
    <row r="12258">
      <c r="A12258" s="56" t="s">
        <v>25321</v>
      </c>
      <c r="B12258" s="55"/>
      <c r="C12258" s="31"/>
    </row>
    <row r="12259">
      <c r="A12259" s="56" t="s">
        <v>25323</v>
      </c>
      <c r="B12259" s="55"/>
      <c r="C12259" s="31"/>
    </row>
    <row r="12260">
      <c r="A12260" s="56" t="s">
        <v>25324</v>
      </c>
      <c r="B12260" s="55"/>
      <c r="C12260" s="31"/>
    </row>
    <row r="12261">
      <c r="A12261" s="56" t="s">
        <v>25325</v>
      </c>
      <c r="B12261" s="55"/>
      <c r="C12261" s="31"/>
    </row>
    <row r="12262">
      <c r="A12262" s="56" t="s">
        <v>25326</v>
      </c>
      <c r="B12262" s="55"/>
      <c r="C12262" s="31"/>
    </row>
    <row r="12263">
      <c r="A12263" s="56" t="s">
        <v>25327</v>
      </c>
      <c r="B12263" s="55"/>
      <c r="C12263" s="31"/>
    </row>
    <row r="12264">
      <c r="A12264" s="56" t="s">
        <v>25328</v>
      </c>
      <c r="B12264" s="55"/>
      <c r="C12264" s="31"/>
    </row>
    <row r="12265">
      <c r="A12265" s="56" t="s">
        <v>25329</v>
      </c>
      <c r="B12265" s="55"/>
      <c r="C12265" s="31"/>
    </row>
    <row r="12266">
      <c r="A12266" s="56" t="s">
        <v>25332</v>
      </c>
      <c r="B12266" s="55"/>
      <c r="C12266" s="31"/>
    </row>
    <row r="12267">
      <c r="A12267" s="56" t="s">
        <v>25333</v>
      </c>
      <c r="B12267" s="55"/>
      <c r="C12267" s="31"/>
    </row>
    <row r="12268">
      <c r="A12268" s="56" t="s">
        <v>25334</v>
      </c>
      <c r="B12268" s="55"/>
      <c r="C12268" s="31"/>
    </row>
    <row r="12269">
      <c r="A12269" s="56" t="s">
        <v>25335</v>
      </c>
      <c r="B12269" s="55"/>
      <c r="C12269" s="31"/>
    </row>
    <row r="12270">
      <c r="A12270" s="56" t="s">
        <v>25336</v>
      </c>
      <c r="B12270" s="55"/>
      <c r="C12270" s="31"/>
    </row>
    <row r="12271">
      <c r="A12271" s="56" t="s">
        <v>25337</v>
      </c>
      <c r="B12271" s="55"/>
      <c r="C12271" s="31"/>
    </row>
    <row r="12272">
      <c r="A12272" s="56" t="s">
        <v>25338</v>
      </c>
      <c r="B12272" s="55"/>
      <c r="C12272" s="31"/>
    </row>
    <row r="12273">
      <c r="A12273" s="56" t="s">
        <v>25341</v>
      </c>
      <c r="B12273" s="55"/>
      <c r="C12273" s="31"/>
    </row>
    <row r="12274">
      <c r="A12274" s="56" t="s">
        <v>25342</v>
      </c>
      <c r="B12274" s="55"/>
      <c r="C12274" s="31"/>
    </row>
    <row r="12275">
      <c r="A12275" s="56" t="s">
        <v>25343</v>
      </c>
      <c r="B12275" s="55"/>
      <c r="C12275" s="31"/>
    </row>
    <row r="12276">
      <c r="A12276" s="56" t="s">
        <v>25344</v>
      </c>
      <c r="B12276" s="55"/>
      <c r="C12276" s="31"/>
    </row>
    <row r="12277">
      <c r="A12277" s="56" t="s">
        <v>25345</v>
      </c>
      <c r="B12277" s="55"/>
      <c r="C12277" s="31"/>
    </row>
    <row r="12278">
      <c r="A12278" s="56" t="s">
        <v>25346</v>
      </c>
      <c r="B12278" s="55"/>
      <c r="C12278" s="31"/>
    </row>
    <row r="12279">
      <c r="A12279" s="56" t="s">
        <v>25348</v>
      </c>
      <c r="B12279" s="55"/>
      <c r="C12279" s="31"/>
    </row>
    <row r="12280">
      <c r="A12280" s="56" t="s">
        <v>25350</v>
      </c>
      <c r="B12280" s="55"/>
      <c r="C12280" s="31"/>
    </row>
    <row r="12281">
      <c r="A12281" s="56" t="s">
        <v>25351</v>
      </c>
      <c r="B12281" s="55"/>
      <c r="C12281" s="31"/>
    </row>
    <row r="12282">
      <c r="A12282" s="56" t="s">
        <v>25352</v>
      </c>
      <c r="B12282" s="55"/>
      <c r="C12282" s="31"/>
    </row>
    <row r="12283">
      <c r="A12283" s="56" t="s">
        <v>25353</v>
      </c>
      <c r="B12283" s="55"/>
      <c r="C12283" s="31"/>
    </row>
    <row r="12284">
      <c r="A12284" s="56" t="s">
        <v>25354</v>
      </c>
      <c r="B12284" s="55"/>
      <c r="C12284" s="31"/>
    </row>
    <row r="12285">
      <c r="A12285" s="56" t="s">
        <v>25355</v>
      </c>
      <c r="B12285" s="55"/>
      <c r="C12285" s="31"/>
    </row>
    <row r="12286">
      <c r="A12286" s="56" t="s">
        <v>25356</v>
      </c>
      <c r="B12286" s="55"/>
      <c r="C12286" s="31"/>
    </row>
    <row r="12287">
      <c r="A12287" s="56" t="s">
        <v>25358</v>
      </c>
      <c r="B12287" s="55"/>
      <c r="C12287" s="31"/>
    </row>
    <row r="12288">
      <c r="A12288" s="56" t="s">
        <v>25360</v>
      </c>
      <c r="B12288" s="55"/>
      <c r="C12288" s="31"/>
    </row>
    <row r="12289">
      <c r="A12289" s="56" t="s">
        <v>25361</v>
      </c>
      <c r="B12289" s="55"/>
      <c r="C12289" s="31"/>
    </row>
    <row r="12290">
      <c r="A12290" s="56" t="s">
        <v>25362</v>
      </c>
      <c r="B12290" s="55"/>
      <c r="C12290" s="31"/>
    </row>
    <row r="12291">
      <c r="A12291" s="56" t="s">
        <v>25363</v>
      </c>
      <c r="B12291" s="55"/>
      <c r="C12291" s="31"/>
    </row>
    <row r="12292">
      <c r="A12292" s="56" t="s">
        <v>25364</v>
      </c>
      <c r="B12292" s="55"/>
      <c r="C12292" s="31"/>
    </row>
    <row r="12293">
      <c r="A12293" s="56" t="s">
        <v>25365</v>
      </c>
      <c r="B12293" s="55"/>
      <c r="C12293" s="31"/>
    </row>
    <row r="12294">
      <c r="A12294" s="56" t="s">
        <v>25368</v>
      </c>
      <c r="B12294" s="55"/>
      <c r="C12294" s="31"/>
    </row>
    <row r="12295">
      <c r="A12295" s="56" t="s">
        <v>25369</v>
      </c>
      <c r="B12295" s="55"/>
      <c r="C12295" s="31"/>
    </row>
    <row r="12296">
      <c r="A12296" s="56" t="s">
        <v>25370</v>
      </c>
      <c r="B12296" s="55"/>
      <c r="C12296" s="31"/>
    </row>
    <row r="12297">
      <c r="A12297" s="56" t="s">
        <v>25372</v>
      </c>
      <c r="B12297" s="82"/>
      <c r="C12297" s="33" t="s">
        <v>25373</v>
      </c>
    </row>
    <row r="12298">
      <c r="A12298" s="56" t="s">
        <v>25374</v>
      </c>
      <c r="B12298" s="55"/>
      <c r="C12298" s="31"/>
    </row>
    <row r="12299">
      <c r="A12299" s="56" t="s">
        <v>25375</v>
      </c>
      <c r="B12299" s="55"/>
      <c r="C12299" s="31"/>
    </row>
    <row r="12300">
      <c r="A12300" s="56" t="s">
        <v>25377</v>
      </c>
      <c r="B12300" s="55"/>
      <c r="C12300" s="31"/>
    </row>
    <row r="12301">
      <c r="A12301" s="56" t="s">
        <v>25378</v>
      </c>
      <c r="B12301" s="55"/>
      <c r="C12301" s="31"/>
    </row>
    <row r="12302">
      <c r="A12302" s="56" t="s">
        <v>25379</v>
      </c>
      <c r="B12302" s="55"/>
      <c r="C12302" s="31"/>
    </row>
    <row r="12303">
      <c r="A12303" s="56" t="s">
        <v>25381</v>
      </c>
      <c r="B12303" s="55"/>
      <c r="C12303" s="31"/>
    </row>
    <row r="12304">
      <c r="A12304" s="56" t="s">
        <v>25382</v>
      </c>
      <c r="B12304" s="55"/>
      <c r="C12304" s="31"/>
    </row>
    <row r="12305">
      <c r="A12305" s="56" t="s">
        <v>25383</v>
      </c>
      <c r="B12305" s="55"/>
      <c r="C12305" s="31"/>
    </row>
    <row r="12306">
      <c r="A12306" s="56" t="s">
        <v>25385</v>
      </c>
      <c r="B12306" s="55"/>
      <c r="C12306" s="31"/>
    </row>
    <row r="12307">
      <c r="A12307" s="56" t="s">
        <v>25386</v>
      </c>
      <c r="B12307" s="55"/>
      <c r="C12307" s="31"/>
    </row>
    <row r="12308">
      <c r="A12308" s="56" t="s">
        <v>25387</v>
      </c>
      <c r="B12308" s="55"/>
      <c r="C12308" s="31"/>
    </row>
    <row r="12309">
      <c r="A12309" s="56" t="s">
        <v>25388</v>
      </c>
      <c r="B12309" s="55"/>
      <c r="C12309" s="31"/>
    </row>
    <row r="12310">
      <c r="A12310" s="56" t="s">
        <v>25390</v>
      </c>
      <c r="B12310" s="55"/>
      <c r="C12310" s="31"/>
    </row>
    <row r="12311">
      <c r="A12311" s="56" t="s">
        <v>25392</v>
      </c>
      <c r="B12311" s="55"/>
      <c r="C12311" s="31"/>
    </row>
    <row r="12312">
      <c r="A12312" s="56" t="s">
        <v>25393</v>
      </c>
      <c r="B12312" s="55"/>
      <c r="C12312" s="31"/>
    </row>
    <row r="12313">
      <c r="A12313" s="56" t="s">
        <v>25394</v>
      </c>
      <c r="B12313" s="55"/>
      <c r="C12313" s="31"/>
    </row>
    <row r="12314">
      <c r="A12314" s="56" t="s">
        <v>25396</v>
      </c>
      <c r="B12314" s="55"/>
      <c r="C12314" s="31"/>
    </row>
    <row r="12315">
      <c r="A12315" s="56" t="s">
        <v>25398</v>
      </c>
      <c r="B12315" s="55"/>
      <c r="C12315" s="31"/>
    </row>
    <row r="12316">
      <c r="A12316" s="56" t="s">
        <v>25399</v>
      </c>
      <c r="B12316" s="55"/>
      <c r="C12316" s="31"/>
    </row>
    <row r="12317">
      <c r="A12317" s="56" t="s">
        <v>25400</v>
      </c>
      <c r="B12317" s="55"/>
      <c r="C12317" s="31"/>
    </row>
    <row r="12318">
      <c r="A12318" s="56" t="s">
        <v>25402</v>
      </c>
      <c r="B12318" s="55"/>
      <c r="C12318" s="31"/>
    </row>
    <row r="12319">
      <c r="A12319" s="56" t="s">
        <v>25403</v>
      </c>
      <c r="B12319" s="55"/>
      <c r="C12319" s="31"/>
    </row>
    <row r="12320">
      <c r="A12320" s="56" t="s">
        <v>25405</v>
      </c>
      <c r="B12320" s="55"/>
      <c r="C12320" s="31"/>
    </row>
    <row r="12321">
      <c r="A12321" s="56" t="s">
        <v>25406</v>
      </c>
      <c r="B12321" s="55"/>
      <c r="C12321" s="31"/>
    </row>
    <row r="12322">
      <c r="A12322" s="56" t="s">
        <v>25407</v>
      </c>
      <c r="B12322" s="55"/>
      <c r="C12322" s="31"/>
    </row>
    <row r="12323">
      <c r="A12323" s="56" t="s">
        <v>25409</v>
      </c>
      <c r="B12323" s="55"/>
      <c r="C12323" s="31"/>
    </row>
    <row r="12324">
      <c r="A12324" s="56" t="s">
        <v>25410</v>
      </c>
      <c r="B12324" s="55"/>
      <c r="C12324" s="31"/>
    </row>
    <row r="12325">
      <c r="A12325" s="56" t="s">
        <v>25412</v>
      </c>
      <c r="B12325" s="55"/>
      <c r="C12325" s="31"/>
    </row>
    <row r="12326">
      <c r="A12326" s="56" t="s">
        <v>25413</v>
      </c>
      <c r="B12326" s="55"/>
      <c r="C12326" s="31"/>
    </row>
    <row r="12327">
      <c r="A12327" s="56" t="s">
        <v>25415</v>
      </c>
      <c r="B12327" s="55"/>
      <c r="C12327" s="31"/>
    </row>
    <row r="12328">
      <c r="A12328" s="56" t="s">
        <v>25416</v>
      </c>
      <c r="B12328" s="55"/>
      <c r="C12328" s="31"/>
    </row>
    <row r="12329">
      <c r="A12329" s="56" t="s">
        <v>25418</v>
      </c>
      <c r="B12329" s="55"/>
      <c r="C12329" s="31"/>
    </row>
    <row r="12330">
      <c r="A12330" s="56" t="s">
        <v>25419</v>
      </c>
      <c r="B12330" s="55"/>
      <c r="C12330" s="31"/>
    </row>
    <row r="12331">
      <c r="A12331" s="56" t="s">
        <v>25421</v>
      </c>
      <c r="B12331" s="55"/>
      <c r="C12331" s="31"/>
    </row>
    <row r="12332">
      <c r="A12332" s="56" t="s">
        <v>25422</v>
      </c>
      <c r="B12332" s="55"/>
      <c r="C12332" s="31"/>
    </row>
    <row r="12333">
      <c r="A12333" s="56" t="s">
        <v>25425</v>
      </c>
      <c r="B12333" s="55"/>
      <c r="C12333" s="31"/>
    </row>
    <row r="12334">
      <c r="A12334" s="56" t="s">
        <v>25426</v>
      </c>
      <c r="B12334" s="55"/>
      <c r="C12334" s="31"/>
    </row>
    <row r="12335">
      <c r="A12335" s="56" t="s">
        <v>25427</v>
      </c>
      <c r="B12335" s="55"/>
      <c r="C12335" s="31"/>
    </row>
    <row r="12336">
      <c r="A12336" s="56" t="s">
        <v>25428</v>
      </c>
      <c r="B12336" s="55"/>
      <c r="C12336" s="31"/>
    </row>
    <row r="12337">
      <c r="A12337" s="56" t="s">
        <v>25429</v>
      </c>
      <c r="B12337" s="55"/>
      <c r="C12337" s="31"/>
    </row>
    <row r="12338">
      <c r="A12338" s="56" t="s">
        <v>25430</v>
      </c>
      <c r="B12338" s="55"/>
      <c r="C12338" s="31"/>
    </row>
    <row r="12339">
      <c r="A12339" s="56" t="s">
        <v>25431</v>
      </c>
      <c r="B12339" s="82"/>
      <c r="C12339" s="33" t="s">
        <v>25433</v>
      </c>
    </row>
    <row r="12340">
      <c r="A12340" s="56" t="s">
        <v>25434</v>
      </c>
      <c r="B12340" s="55"/>
      <c r="C12340" s="31"/>
    </row>
    <row r="12341">
      <c r="A12341" s="56" t="s">
        <v>25436</v>
      </c>
      <c r="B12341" s="55"/>
      <c r="C12341" s="31"/>
    </row>
    <row r="12342">
      <c r="A12342" s="56" t="s">
        <v>25437</v>
      </c>
      <c r="B12342" s="55"/>
      <c r="C12342" s="31"/>
    </row>
    <row r="12343">
      <c r="A12343" s="56" t="s">
        <v>25438</v>
      </c>
      <c r="B12343" s="55"/>
      <c r="C12343" s="31"/>
    </row>
    <row r="12344">
      <c r="A12344" s="56" t="s">
        <v>25439</v>
      </c>
      <c r="B12344" s="55"/>
      <c r="C12344" s="31"/>
    </row>
    <row r="12345">
      <c r="A12345" s="56" t="s">
        <v>25440</v>
      </c>
      <c r="B12345" s="55"/>
      <c r="C12345" s="31"/>
    </row>
    <row r="12346">
      <c r="A12346" s="56" t="s">
        <v>25441</v>
      </c>
      <c r="B12346" s="55"/>
      <c r="C12346" s="31"/>
    </row>
    <row r="12347">
      <c r="A12347" s="56" t="s">
        <v>25443</v>
      </c>
      <c r="B12347" s="55"/>
      <c r="C12347" s="31"/>
    </row>
    <row r="12348">
      <c r="A12348" s="56" t="s">
        <v>25445</v>
      </c>
      <c r="B12348" s="55"/>
      <c r="C12348" s="31"/>
    </row>
    <row r="12349">
      <c r="A12349" s="56" t="s">
        <v>25446</v>
      </c>
      <c r="B12349" s="55"/>
      <c r="C12349" s="31"/>
    </row>
    <row r="12350">
      <c r="A12350" s="56" t="s">
        <v>25447</v>
      </c>
      <c r="B12350" s="55"/>
      <c r="C12350" s="31"/>
    </row>
    <row r="12351">
      <c r="A12351" s="56" t="s">
        <v>25448</v>
      </c>
      <c r="B12351" s="55"/>
      <c r="C12351" s="31"/>
    </row>
    <row r="12352">
      <c r="A12352" s="56" t="s">
        <v>25449</v>
      </c>
      <c r="B12352" s="55"/>
      <c r="C12352" s="31"/>
    </row>
    <row r="12353">
      <c r="A12353" s="56" t="s">
        <v>25451</v>
      </c>
      <c r="B12353" s="55"/>
      <c r="C12353" s="31"/>
    </row>
    <row r="12354">
      <c r="A12354" s="56" t="s">
        <v>25452</v>
      </c>
      <c r="B12354" s="55"/>
      <c r="C12354" s="31"/>
    </row>
    <row r="12355">
      <c r="A12355" s="56" t="s">
        <v>25454</v>
      </c>
      <c r="B12355" s="55"/>
      <c r="C12355" s="31"/>
    </row>
    <row r="12356">
      <c r="A12356" s="56" t="s">
        <v>25455</v>
      </c>
      <c r="B12356" s="55"/>
      <c r="C12356" s="31"/>
    </row>
    <row r="12357">
      <c r="A12357" s="56" t="s">
        <v>25456</v>
      </c>
      <c r="B12357" s="55"/>
      <c r="C12357" s="31"/>
    </row>
    <row r="12358">
      <c r="A12358" s="56" t="s">
        <v>25457</v>
      </c>
      <c r="B12358" s="55"/>
      <c r="C12358" s="31"/>
    </row>
    <row r="12359">
      <c r="A12359" s="56" t="s">
        <v>25458</v>
      </c>
      <c r="B12359" s="55"/>
      <c r="C12359" s="31"/>
    </row>
    <row r="12360">
      <c r="A12360" s="56" t="s">
        <v>25460</v>
      </c>
      <c r="B12360" s="55"/>
      <c r="C12360" s="31"/>
    </row>
    <row r="12361">
      <c r="A12361" s="56" t="s">
        <v>25461</v>
      </c>
      <c r="B12361" s="55"/>
      <c r="C12361" s="31"/>
    </row>
    <row r="12362">
      <c r="A12362" s="56" t="s">
        <v>25462</v>
      </c>
      <c r="B12362" s="55"/>
      <c r="C12362" s="31"/>
    </row>
    <row r="12363">
      <c r="A12363" s="56" t="s">
        <v>25464</v>
      </c>
      <c r="B12363" s="55"/>
      <c r="C12363" s="31"/>
    </row>
    <row r="12364">
      <c r="A12364" s="56" t="s">
        <v>25465</v>
      </c>
      <c r="B12364" s="55"/>
      <c r="C12364" s="31"/>
    </row>
    <row r="12365">
      <c r="A12365" s="56" t="s">
        <v>25466</v>
      </c>
      <c r="B12365" s="55"/>
      <c r="C12365" s="31"/>
    </row>
    <row r="12366">
      <c r="A12366" s="56" t="s">
        <v>25467</v>
      </c>
      <c r="B12366" s="55"/>
      <c r="C12366" s="31"/>
    </row>
    <row r="12367">
      <c r="A12367" s="56" t="s">
        <v>25468</v>
      </c>
      <c r="B12367" s="55"/>
      <c r="C12367" s="31"/>
    </row>
    <row r="12368">
      <c r="A12368" s="56" t="s">
        <v>25470</v>
      </c>
      <c r="B12368" s="55"/>
      <c r="C12368" s="31"/>
    </row>
    <row r="12369">
      <c r="A12369" s="56" t="s">
        <v>25471</v>
      </c>
      <c r="B12369" s="55"/>
      <c r="C12369" s="31"/>
    </row>
    <row r="12370">
      <c r="A12370" s="56" t="s">
        <v>25472</v>
      </c>
      <c r="B12370" s="55"/>
      <c r="C12370" s="31"/>
    </row>
    <row r="12371">
      <c r="A12371" s="56" t="s">
        <v>25474</v>
      </c>
      <c r="B12371" s="55"/>
      <c r="C12371" s="31"/>
    </row>
    <row r="12372">
      <c r="A12372" s="56" t="s">
        <v>25475</v>
      </c>
      <c r="B12372" s="55"/>
      <c r="C12372" s="31"/>
    </row>
    <row r="12373">
      <c r="A12373" s="56" t="s">
        <v>25476</v>
      </c>
      <c r="B12373" s="55"/>
      <c r="C12373" s="31"/>
    </row>
    <row r="12374">
      <c r="A12374" s="56" t="s">
        <v>25477</v>
      </c>
      <c r="B12374" s="55"/>
      <c r="C12374" s="31"/>
    </row>
    <row r="12375">
      <c r="A12375" s="56" t="s">
        <v>25479</v>
      </c>
      <c r="B12375" s="55"/>
      <c r="C12375" s="31"/>
    </row>
    <row r="12376">
      <c r="A12376" s="56" t="s">
        <v>25480</v>
      </c>
      <c r="B12376" s="55"/>
      <c r="C12376" s="31"/>
    </row>
    <row r="12377">
      <c r="A12377" s="56" t="s">
        <v>25481</v>
      </c>
      <c r="B12377" s="55"/>
      <c r="C12377" s="31"/>
    </row>
    <row r="12378">
      <c r="A12378" s="56" t="s">
        <v>25482</v>
      </c>
      <c r="B12378" s="55"/>
      <c r="C12378" s="31"/>
    </row>
    <row r="12379">
      <c r="A12379" s="56" t="s">
        <v>25484</v>
      </c>
      <c r="B12379" s="55"/>
      <c r="C12379" s="31"/>
    </row>
    <row r="12380">
      <c r="A12380" s="56" t="s">
        <v>25485</v>
      </c>
      <c r="B12380" s="55"/>
      <c r="C12380" s="31"/>
    </row>
    <row r="12381">
      <c r="A12381" s="56" t="s">
        <v>25486</v>
      </c>
      <c r="B12381" s="55"/>
      <c r="C12381" s="31"/>
    </row>
    <row r="12382">
      <c r="A12382" s="56" t="s">
        <v>25488</v>
      </c>
      <c r="B12382" s="55"/>
      <c r="C12382" s="31"/>
    </row>
    <row r="12383">
      <c r="A12383" s="56" t="s">
        <v>25489</v>
      </c>
      <c r="B12383" s="55"/>
      <c r="C12383" s="31"/>
    </row>
    <row r="12384">
      <c r="A12384" s="56" t="s">
        <v>25490</v>
      </c>
      <c r="B12384" s="55"/>
      <c r="C12384" s="31"/>
    </row>
    <row r="12385">
      <c r="A12385" s="56" t="s">
        <v>25491</v>
      </c>
      <c r="B12385" s="55"/>
      <c r="C12385" s="31"/>
    </row>
    <row r="12386">
      <c r="A12386" s="56" t="s">
        <v>25492</v>
      </c>
      <c r="B12386" s="55"/>
      <c r="C12386" s="31"/>
    </row>
    <row r="12387">
      <c r="A12387" s="56" t="s">
        <v>25493</v>
      </c>
      <c r="B12387" s="55"/>
      <c r="C12387" s="31"/>
    </row>
    <row r="12388">
      <c r="A12388" s="56" t="s">
        <v>25494</v>
      </c>
      <c r="B12388" s="55"/>
      <c r="C12388" s="31"/>
    </row>
    <row r="12389">
      <c r="A12389" s="56" t="s">
        <v>25496</v>
      </c>
      <c r="B12389" s="82"/>
      <c r="C12389" s="33" t="s">
        <v>25498</v>
      </c>
    </row>
    <row r="12390">
      <c r="A12390" s="56" t="s">
        <v>25499</v>
      </c>
      <c r="B12390" s="55"/>
      <c r="C12390" s="31"/>
    </row>
    <row r="12391">
      <c r="A12391" s="56" t="s">
        <v>25500</v>
      </c>
      <c r="B12391" s="55"/>
      <c r="C12391" s="31"/>
    </row>
    <row r="12392">
      <c r="A12392" s="56" t="s">
        <v>25501</v>
      </c>
      <c r="B12392" s="55"/>
      <c r="C12392" s="31"/>
    </row>
    <row r="12393">
      <c r="A12393" s="56" t="s">
        <v>25502</v>
      </c>
      <c r="B12393" s="55"/>
      <c r="C12393" s="31"/>
    </row>
    <row r="12394">
      <c r="A12394" s="56" t="s">
        <v>25503</v>
      </c>
      <c r="B12394" s="55"/>
      <c r="C12394" s="31"/>
    </row>
    <row r="12395">
      <c r="A12395" s="56" t="s">
        <v>25504</v>
      </c>
      <c r="B12395" s="55"/>
      <c r="C12395" s="31"/>
    </row>
    <row r="12396">
      <c r="A12396" s="56" t="s">
        <v>25506</v>
      </c>
      <c r="B12396" s="55"/>
      <c r="C12396" s="31"/>
    </row>
    <row r="12397">
      <c r="A12397" s="56" t="s">
        <v>25508</v>
      </c>
      <c r="B12397" s="55"/>
      <c r="C12397" s="31"/>
    </row>
    <row r="12398">
      <c r="A12398" s="56" t="s">
        <v>25509</v>
      </c>
      <c r="B12398" s="55"/>
      <c r="C12398" s="31"/>
    </row>
    <row r="12399">
      <c r="A12399" s="56" t="s">
        <v>25510</v>
      </c>
      <c r="B12399" s="55"/>
      <c r="C12399" s="31"/>
    </row>
    <row r="12400">
      <c r="A12400" s="56" t="s">
        <v>25511</v>
      </c>
      <c r="B12400" s="55"/>
      <c r="C12400" s="31"/>
    </row>
    <row r="12401">
      <c r="A12401" s="56" t="s">
        <v>25512</v>
      </c>
      <c r="B12401" s="55"/>
      <c r="C12401" s="31"/>
    </row>
    <row r="12402">
      <c r="A12402" s="56" t="s">
        <v>25514</v>
      </c>
      <c r="B12402" s="55"/>
      <c r="C12402" s="31"/>
    </row>
    <row r="12403">
      <c r="A12403" s="56" t="s">
        <v>25516</v>
      </c>
      <c r="B12403" s="55"/>
      <c r="C12403" s="31"/>
    </row>
    <row r="12404">
      <c r="A12404" s="56" t="s">
        <v>25517</v>
      </c>
      <c r="B12404" s="55"/>
      <c r="C12404" s="31"/>
    </row>
    <row r="12405">
      <c r="A12405" s="56" t="s">
        <v>25519</v>
      </c>
      <c r="B12405" s="55"/>
      <c r="C12405" s="31"/>
    </row>
    <row r="12406">
      <c r="A12406" s="56" t="s">
        <v>25521</v>
      </c>
      <c r="B12406" s="55"/>
      <c r="C12406" s="31"/>
    </row>
    <row r="12407">
      <c r="A12407" s="56" t="s">
        <v>25523</v>
      </c>
      <c r="B12407" s="55"/>
      <c r="C12407" s="31"/>
    </row>
    <row r="12408">
      <c r="A12408" s="56" t="s">
        <v>25524</v>
      </c>
      <c r="B12408" s="82"/>
      <c r="C12408" s="33" t="s">
        <v>25525</v>
      </c>
    </row>
    <row r="12409">
      <c r="A12409" s="56" t="s">
        <v>25526</v>
      </c>
      <c r="B12409" s="55"/>
      <c r="C12409" s="31"/>
    </row>
    <row r="12410">
      <c r="A12410" s="56" t="s">
        <v>25528</v>
      </c>
      <c r="B12410" s="55"/>
      <c r="C12410" s="31"/>
    </row>
    <row r="12411">
      <c r="A12411" s="56" t="s">
        <v>25531</v>
      </c>
      <c r="B12411" s="55"/>
      <c r="C12411" s="31"/>
    </row>
    <row r="12412">
      <c r="A12412" s="56" t="s">
        <v>25533</v>
      </c>
      <c r="B12412" s="55"/>
      <c r="C12412" s="31"/>
    </row>
    <row r="12413">
      <c r="A12413" s="56" t="s">
        <v>25534</v>
      </c>
      <c r="B12413" s="55"/>
      <c r="C12413" s="31"/>
    </row>
    <row r="12414">
      <c r="A12414" s="56" t="s">
        <v>25535</v>
      </c>
      <c r="B12414" s="55"/>
      <c r="C12414" s="31"/>
    </row>
    <row r="12415">
      <c r="A12415" s="56" t="s">
        <v>25536</v>
      </c>
      <c r="B12415" s="55"/>
      <c r="C12415" s="31"/>
    </row>
    <row r="12416">
      <c r="A12416" s="56" t="s">
        <v>25538</v>
      </c>
      <c r="B12416" s="55"/>
      <c r="C12416" s="31"/>
    </row>
    <row r="12417">
      <c r="A12417" s="56" t="s">
        <v>25539</v>
      </c>
      <c r="B12417" s="55"/>
      <c r="C12417" s="31"/>
    </row>
    <row r="12418">
      <c r="A12418" s="56" t="s">
        <v>25541</v>
      </c>
      <c r="B12418" s="55"/>
      <c r="C12418" s="31"/>
    </row>
    <row r="12419">
      <c r="A12419" s="56" t="s">
        <v>25542</v>
      </c>
      <c r="B12419" s="55"/>
      <c r="C12419" s="31"/>
    </row>
    <row r="12420">
      <c r="A12420" s="56" t="s">
        <v>25544</v>
      </c>
      <c r="B12420" s="55"/>
      <c r="C12420" s="31"/>
    </row>
    <row r="12421">
      <c r="A12421" s="56" t="s">
        <v>25545</v>
      </c>
      <c r="B12421" s="55"/>
      <c r="C12421" s="31"/>
    </row>
    <row r="12422">
      <c r="A12422" s="56" t="s">
        <v>25546</v>
      </c>
      <c r="B12422" s="55"/>
      <c r="C12422" s="31"/>
    </row>
    <row r="12423">
      <c r="A12423" s="56" t="s">
        <v>25548</v>
      </c>
      <c r="B12423" s="55"/>
      <c r="C12423" s="31"/>
    </row>
    <row r="12424">
      <c r="A12424" s="56" t="s">
        <v>25550</v>
      </c>
      <c r="B12424" s="55"/>
      <c r="C12424" s="31"/>
    </row>
    <row r="12425">
      <c r="A12425" s="56" t="s">
        <v>25551</v>
      </c>
      <c r="B12425" s="55"/>
      <c r="C12425" s="31"/>
    </row>
    <row r="12426">
      <c r="A12426" s="56" t="s">
        <v>25552</v>
      </c>
      <c r="B12426" s="55"/>
      <c r="C12426" s="31"/>
    </row>
    <row r="12427">
      <c r="A12427" s="56" t="s">
        <v>25553</v>
      </c>
      <c r="B12427" s="55"/>
      <c r="C12427" s="31"/>
    </row>
    <row r="12428">
      <c r="A12428" s="56" t="s">
        <v>25555</v>
      </c>
      <c r="B12428" s="55"/>
      <c r="C12428" s="31"/>
    </row>
    <row r="12429">
      <c r="A12429" s="56" t="s">
        <v>25557</v>
      </c>
      <c r="B12429" s="55"/>
      <c r="C12429" s="31"/>
    </row>
    <row r="12430">
      <c r="A12430" s="56" t="s">
        <v>25558</v>
      </c>
      <c r="B12430" s="55"/>
      <c r="C12430" s="31"/>
    </row>
    <row r="12431">
      <c r="A12431" s="56" t="s">
        <v>25559</v>
      </c>
      <c r="B12431" s="55"/>
      <c r="C12431" s="31"/>
    </row>
    <row r="12432">
      <c r="A12432" s="56" t="s">
        <v>25562</v>
      </c>
      <c r="B12432" s="55"/>
      <c r="C12432" s="31"/>
    </row>
    <row r="12433">
      <c r="A12433" s="56" t="s">
        <v>25563</v>
      </c>
      <c r="B12433" s="55"/>
      <c r="C12433" s="31"/>
    </row>
    <row r="12434">
      <c r="A12434" s="56" t="s">
        <v>25564</v>
      </c>
      <c r="B12434" s="55"/>
      <c r="C12434" s="31"/>
    </row>
    <row r="12435">
      <c r="A12435" s="56" t="s">
        <v>25565</v>
      </c>
      <c r="B12435" s="55"/>
      <c r="C12435" s="31"/>
    </row>
    <row r="12436">
      <c r="A12436" s="56" t="s">
        <v>25567</v>
      </c>
      <c r="B12436" s="55"/>
      <c r="C12436" s="31"/>
    </row>
    <row r="12437">
      <c r="A12437" s="56" t="s">
        <v>25569</v>
      </c>
      <c r="B12437" s="55"/>
      <c r="C12437" s="31"/>
    </row>
    <row r="12438">
      <c r="A12438" s="56" t="s">
        <v>25570</v>
      </c>
      <c r="B12438" s="55"/>
      <c r="C12438" s="31"/>
    </row>
    <row r="12439">
      <c r="A12439" s="56" t="s">
        <v>25571</v>
      </c>
      <c r="B12439" s="55"/>
      <c r="C12439" s="31"/>
    </row>
    <row r="12440">
      <c r="A12440" s="56" t="s">
        <v>25572</v>
      </c>
      <c r="B12440" s="55"/>
      <c r="C12440" s="31"/>
    </row>
    <row r="12441">
      <c r="A12441" s="56" t="s">
        <v>25574</v>
      </c>
      <c r="B12441" s="55"/>
      <c r="C12441" s="31"/>
    </row>
    <row r="12442">
      <c r="A12442" s="56" t="s">
        <v>25576</v>
      </c>
      <c r="B12442" s="55"/>
      <c r="C12442" s="31"/>
    </row>
    <row r="12443">
      <c r="A12443" s="56" t="s">
        <v>25578</v>
      </c>
      <c r="B12443" s="55"/>
      <c r="C12443" s="31"/>
    </row>
    <row r="12444">
      <c r="A12444" s="56" t="s">
        <v>25579</v>
      </c>
      <c r="B12444" s="55"/>
      <c r="C12444" s="31"/>
    </row>
    <row r="12445">
      <c r="A12445" s="56" t="s">
        <v>25581</v>
      </c>
      <c r="B12445" s="55"/>
      <c r="C12445" s="31"/>
    </row>
    <row r="12446">
      <c r="A12446" s="56" t="s">
        <v>25583</v>
      </c>
      <c r="B12446" s="55"/>
      <c r="C12446" s="31"/>
    </row>
    <row r="12447">
      <c r="A12447" s="56" t="s">
        <v>25584</v>
      </c>
      <c r="B12447" s="55"/>
      <c r="C12447" s="31"/>
    </row>
    <row r="12448">
      <c r="A12448" s="56" t="s">
        <v>25585</v>
      </c>
      <c r="B12448" s="55"/>
      <c r="C12448" s="31"/>
    </row>
    <row r="12449">
      <c r="A12449" s="56" t="s">
        <v>25586</v>
      </c>
      <c r="B12449" s="55"/>
      <c r="C12449" s="31"/>
    </row>
    <row r="12450">
      <c r="A12450" s="56" t="s">
        <v>25587</v>
      </c>
      <c r="B12450" s="55"/>
      <c r="C12450" s="31"/>
    </row>
    <row r="12451">
      <c r="A12451" s="56" t="s">
        <v>25590</v>
      </c>
      <c r="B12451" s="55"/>
      <c r="C12451" s="31"/>
    </row>
    <row r="12452">
      <c r="A12452" s="56" t="s">
        <v>25591</v>
      </c>
      <c r="B12452" s="55"/>
      <c r="C12452" s="31"/>
    </row>
    <row r="12453">
      <c r="A12453" s="56" t="s">
        <v>25592</v>
      </c>
      <c r="B12453" s="55"/>
      <c r="C12453" s="31"/>
    </row>
    <row r="12454">
      <c r="A12454" s="56" t="s">
        <v>25593</v>
      </c>
      <c r="B12454" s="55"/>
      <c r="C12454" s="31"/>
    </row>
    <row r="12455">
      <c r="A12455" s="56" t="s">
        <v>25595</v>
      </c>
      <c r="B12455" s="55"/>
      <c r="C12455" s="31"/>
    </row>
    <row r="12456">
      <c r="A12456" s="56" t="s">
        <v>25596</v>
      </c>
      <c r="B12456" s="55"/>
      <c r="C12456" s="31"/>
    </row>
    <row r="12457">
      <c r="A12457" s="56" t="s">
        <v>25597</v>
      </c>
      <c r="B12457" s="55"/>
      <c r="C12457" s="31"/>
    </row>
    <row r="12458">
      <c r="A12458" s="56" t="s">
        <v>25599</v>
      </c>
      <c r="B12458" s="55"/>
      <c r="C12458" s="31"/>
    </row>
    <row r="12459">
      <c r="A12459" s="56" t="s">
        <v>25600</v>
      </c>
      <c r="B12459" s="55"/>
      <c r="C12459" s="31"/>
    </row>
    <row r="12460">
      <c r="A12460" s="56" t="s">
        <v>25602</v>
      </c>
      <c r="B12460" s="55"/>
      <c r="C12460" s="31"/>
    </row>
    <row r="12461">
      <c r="A12461" s="56" t="s">
        <v>25603</v>
      </c>
      <c r="B12461" s="55"/>
      <c r="C12461" s="31"/>
    </row>
    <row r="12462">
      <c r="A12462" s="56" t="s">
        <v>25605</v>
      </c>
      <c r="B12462" s="55"/>
      <c r="C12462" s="31"/>
    </row>
    <row r="12463">
      <c r="A12463" s="56" t="s">
        <v>25606</v>
      </c>
      <c r="B12463" s="55"/>
      <c r="C12463" s="31"/>
    </row>
    <row r="12464">
      <c r="A12464" s="56" t="s">
        <v>25607</v>
      </c>
      <c r="B12464" s="55"/>
      <c r="C12464" s="31"/>
    </row>
    <row r="12465">
      <c r="A12465" s="56" t="s">
        <v>25608</v>
      </c>
      <c r="B12465" s="55"/>
      <c r="C12465" s="31"/>
    </row>
    <row r="12466">
      <c r="A12466" s="56" t="s">
        <v>25609</v>
      </c>
      <c r="B12466" s="55"/>
      <c r="C12466" s="31"/>
    </row>
    <row r="12467">
      <c r="A12467" s="56" t="s">
        <v>25612</v>
      </c>
      <c r="B12467" s="55"/>
      <c r="C12467" s="31"/>
    </row>
    <row r="12468">
      <c r="A12468" s="56" t="s">
        <v>25613</v>
      </c>
      <c r="B12468" s="55"/>
      <c r="C12468" s="31"/>
    </row>
    <row r="12469">
      <c r="A12469" s="56" t="s">
        <v>25614</v>
      </c>
      <c r="B12469" s="55"/>
      <c r="C12469" s="31"/>
    </row>
    <row r="12470">
      <c r="A12470" s="56" t="s">
        <v>25615</v>
      </c>
      <c r="B12470" s="55"/>
      <c r="C12470" s="31"/>
    </row>
    <row r="12471">
      <c r="A12471" s="56" t="s">
        <v>25617</v>
      </c>
      <c r="B12471" s="55"/>
      <c r="C12471" s="31"/>
    </row>
    <row r="12472">
      <c r="A12472" s="56" t="s">
        <v>25618</v>
      </c>
      <c r="B12472" s="55"/>
      <c r="C12472" s="31"/>
    </row>
    <row r="12473">
      <c r="A12473" s="56" t="s">
        <v>25619</v>
      </c>
      <c r="B12473" s="55"/>
      <c r="C12473" s="31"/>
    </row>
    <row r="12474">
      <c r="A12474" s="56" t="s">
        <v>25621</v>
      </c>
      <c r="B12474" s="55"/>
      <c r="C12474" s="31"/>
    </row>
    <row r="12475">
      <c r="A12475" s="56" t="s">
        <v>25622</v>
      </c>
      <c r="B12475" s="55"/>
      <c r="C12475" s="31"/>
    </row>
    <row r="12476">
      <c r="A12476" s="56" t="s">
        <v>25624</v>
      </c>
      <c r="B12476" s="55"/>
      <c r="C12476" s="31"/>
    </row>
    <row r="12477">
      <c r="A12477" s="56" t="s">
        <v>25625</v>
      </c>
      <c r="B12477" s="55"/>
      <c r="C12477" s="31"/>
    </row>
    <row r="12478">
      <c r="A12478" s="56" t="s">
        <v>25626</v>
      </c>
      <c r="B12478" s="55"/>
      <c r="C12478" s="31"/>
    </row>
    <row r="12479">
      <c r="A12479" s="56" t="s">
        <v>25628</v>
      </c>
      <c r="B12479" s="55"/>
      <c r="C12479" s="31"/>
    </row>
    <row r="12480">
      <c r="A12480" s="56" t="s">
        <v>25630</v>
      </c>
      <c r="B12480" s="55"/>
      <c r="C12480" s="31"/>
    </row>
    <row r="12481">
      <c r="A12481" s="56" t="s">
        <v>25631</v>
      </c>
      <c r="B12481" s="55"/>
      <c r="C12481" s="31"/>
    </row>
    <row r="12482">
      <c r="A12482" s="56" t="s">
        <v>25632</v>
      </c>
      <c r="B12482" s="55"/>
      <c r="C12482" s="31"/>
    </row>
    <row r="12483">
      <c r="A12483" s="56" t="s">
        <v>25633</v>
      </c>
      <c r="B12483" s="55"/>
      <c r="C12483" s="31"/>
    </row>
    <row r="12484">
      <c r="A12484" s="56" t="s">
        <v>25634</v>
      </c>
      <c r="B12484" s="55"/>
      <c r="C12484" s="31"/>
    </row>
    <row r="12485">
      <c r="A12485" s="56" t="s">
        <v>25637</v>
      </c>
      <c r="B12485" s="55"/>
      <c r="C12485" s="31"/>
    </row>
    <row r="12486">
      <c r="A12486" s="56" t="s">
        <v>25638</v>
      </c>
      <c r="B12486" s="55"/>
      <c r="C12486" s="31"/>
    </row>
    <row r="12487">
      <c r="A12487" s="56" t="s">
        <v>25639</v>
      </c>
      <c r="B12487" s="55"/>
      <c r="C12487" s="31"/>
    </row>
    <row r="12488">
      <c r="A12488" s="56" t="s">
        <v>25640</v>
      </c>
      <c r="B12488" s="55"/>
      <c r="C12488" s="31"/>
    </row>
    <row r="12489">
      <c r="A12489" s="56" t="s">
        <v>25643</v>
      </c>
      <c r="B12489" s="55"/>
      <c r="C12489" s="31"/>
    </row>
    <row r="12490">
      <c r="A12490" s="56" t="s">
        <v>25644</v>
      </c>
      <c r="B12490" s="55"/>
      <c r="C12490" s="31"/>
    </row>
    <row r="12491">
      <c r="A12491" s="56" t="s">
        <v>25645</v>
      </c>
      <c r="B12491" s="55"/>
      <c r="C12491" s="31"/>
    </row>
    <row r="12492">
      <c r="A12492" s="56" t="s">
        <v>25646</v>
      </c>
      <c r="B12492" s="55"/>
      <c r="C12492" s="31"/>
    </row>
    <row r="12493">
      <c r="A12493" s="56" t="s">
        <v>25647</v>
      </c>
      <c r="B12493" s="82"/>
      <c r="C12493" s="33" t="s">
        <v>25649</v>
      </c>
    </row>
    <row r="12494">
      <c r="A12494" s="56" t="s">
        <v>25650</v>
      </c>
      <c r="B12494" s="55"/>
      <c r="C12494" s="31"/>
    </row>
    <row r="12495">
      <c r="A12495" s="56" t="s">
        <v>25652</v>
      </c>
      <c r="B12495" s="55"/>
      <c r="C12495" s="31"/>
    </row>
    <row r="12496">
      <c r="A12496" s="56" t="s">
        <v>25653</v>
      </c>
      <c r="B12496" s="55"/>
      <c r="C12496" s="31"/>
    </row>
    <row r="12497">
      <c r="A12497" s="56" t="s">
        <v>25654</v>
      </c>
      <c r="B12497" s="55"/>
      <c r="C12497" s="31"/>
    </row>
    <row r="12498">
      <c r="A12498" s="56" t="s">
        <v>25656</v>
      </c>
      <c r="B12498" s="55"/>
      <c r="C12498" s="31"/>
    </row>
    <row r="12499">
      <c r="A12499" s="56" t="s">
        <v>25657</v>
      </c>
      <c r="B12499" s="55"/>
      <c r="C12499" s="31"/>
    </row>
    <row r="12500">
      <c r="A12500" s="56" t="s">
        <v>25659</v>
      </c>
      <c r="B12500" s="55"/>
      <c r="C12500" s="31"/>
    </row>
    <row r="12501">
      <c r="A12501" s="56" t="s">
        <v>25660</v>
      </c>
      <c r="B12501" s="55"/>
      <c r="C12501" s="31"/>
    </row>
    <row r="12502">
      <c r="A12502" s="56" t="s">
        <v>25661</v>
      </c>
      <c r="B12502" s="55"/>
      <c r="C12502" s="31"/>
    </row>
    <row r="12503">
      <c r="A12503" s="56" t="s">
        <v>25664</v>
      </c>
      <c r="B12503" s="55"/>
      <c r="C12503" s="31"/>
    </row>
    <row r="12504">
      <c r="A12504" s="56" t="s">
        <v>25666</v>
      </c>
      <c r="B12504" s="55"/>
      <c r="C12504" s="31"/>
    </row>
    <row r="12505">
      <c r="A12505" s="56" t="s">
        <v>25667</v>
      </c>
      <c r="B12505" s="55"/>
      <c r="C12505" s="31"/>
    </row>
    <row r="12506">
      <c r="A12506" s="56" t="s">
        <v>25669</v>
      </c>
      <c r="B12506" s="55"/>
      <c r="C12506" s="31"/>
    </row>
    <row r="12507">
      <c r="A12507" s="56" t="s">
        <v>25672</v>
      </c>
      <c r="B12507" s="55"/>
      <c r="C12507" s="31"/>
    </row>
    <row r="12508">
      <c r="A12508" s="56" t="s">
        <v>25673</v>
      </c>
      <c r="B12508" s="55"/>
      <c r="C12508" s="31"/>
    </row>
    <row r="12509">
      <c r="A12509" s="56" t="s">
        <v>25674</v>
      </c>
      <c r="B12509" s="55"/>
      <c r="C12509" s="31"/>
    </row>
    <row r="12510">
      <c r="A12510" s="56" t="s">
        <v>25675</v>
      </c>
      <c r="B12510" s="55"/>
      <c r="C12510" s="31"/>
    </row>
    <row r="12511">
      <c r="A12511" s="56" t="s">
        <v>25677</v>
      </c>
      <c r="B12511" s="55"/>
      <c r="C12511" s="31"/>
    </row>
    <row r="12512">
      <c r="A12512" s="56" t="s">
        <v>25680</v>
      </c>
      <c r="B12512" s="55"/>
      <c r="C12512" s="31"/>
    </row>
    <row r="12513">
      <c r="A12513" s="56" t="s">
        <v>25682</v>
      </c>
      <c r="B12513" s="55"/>
      <c r="C12513" s="31"/>
    </row>
    <row r="12514">
      <c r="A12514" s="56" t="s">
        <v>25683</v>
      </c>
      <c r="B12514" s="55"/>
      <c r="C12514" s="31"/>
    </row>
    <row r="12515">
      <c r="A12515" s="56" t="s">
        <v>25684</v>
      </c>
      <c r="B12515" s="55"/>
      <c r="C12515" s="31"/>
    </row>
    <row r="12516">
      <c r="A12516" s="56" t="s">
        <v>25686</v>
      </c>
      <c r="B12516" s="55"/>
      <c r="C12516" s="31"/>
    </row>
    <row r="12517">
      <c r="A12517" s="56" t="s">
        <v>25687</v>
      </c>
      <c r="B12517" s="55"/>
      <c r="C12517" s="31"/>
    </row>
    <row r="12518">
      <c r="A12518" s="56" t="s">
        <v>25689</v>
      </c>
      <c r="B12518" s="55"/>
      <c r="C12518" s="31"/>
    </row>
    <row r="12519">
      <c r="A12519" s="56" t="s">
        <v>25690</v>
      </c>
      <c r="B12519" s="55"/>
      <c r="C12519" s="31"/>
    </row>
    <row r="12520">
      <c r="A12520" s="56" t="s">
        <v>25692</v>
      </c>
      <c r="B12520" s="55"/>
      <c r="C12520" s="31"/>
    </row>
    <row r="12521">
      <c r="A12521" s="56" t="s">
        <v>25693</v>
      </c>
      <c r="B12521" s="55"/>
      <c r="C12521" s="31"/>
    </row>
    <row r="12522">
      <c r="A12522" s="56" t="s">
        <v>25695</v>
      </c>
      <c r="B12522" s="55"/>
      <c r="C12522" s="31"/>
    </row>
    <row r="12523">
      <c r="A12523" s="56" t="s">
        <v>25697</v>
      </c>
      <c r="B12523" s="55"/>
      <c r="C12523" s="31"/>
    </row>
    <row r="12524">
      <c r="A12524" s="56" t="s">
        <v>25698</v>
      </c>
      <c r="B12524" s="55"/>
      <c r="C12524" s="31"/>
    </row>
    <row r="12525">
      <c r="A12525" s="56" t="s">
        <v>25700</v>
      </c>
      <c r="B12525" s="55"/>
      <c r="C12525" s="31"/>
    </row>
    <row r="12526">
      <c r="A12526" s="56" t="s">
        <v>25701</v>
      </c>
      <c r="B12526" s="55"/>
      <c r="C12526" s="31"/>
    </row>
    <row r="12527">
      <c r="A12527" s="56" t="s">
        <v>25703</v>
      </c>
      <c r="B12527" s="55"/>
      <c r="C12527" s="31"/>
    </row>
    <row r="12528">
      <c r="A12528" s="56" t="s">
        <v>25706</v>
      </c>
      <c r="B12528" s="55"/>
      <c r="C12528" s="31"/>
    </row>
    <row r="12529">
      <c r="A12529" s="56" t="s">
        <v>25707</v>
      </c>
      <c r="B12529" s="55"/>
      <c r="C12529" s="31"/>
    </row>
    <row r="12530">
      <c r="A12530" s="56" t="s">
        <v>25709</v>
      </c>
      <c r="B12530" s="55"/>
      <c r="C12530" s="31"/>
    </row>
    <row r="12531">
      <c r="A12531" s="56" t="s">
        <v>25710</v>
      </c>
      <c r="B12531" s="55"/>
      <c r="C12531" s="31"/>
    </row>
    <row r="12532">
      <c r="A12532" s="56" t="s">
        <v>25712</v>
      </c>
      <c r="B12532" s="55"/>
      <c r="C12532" s="31"/>
    </row>
    <row r="12533">
      <c r="A12533" s="56" t="s">
        <v>25713</v>
      </c>
      <c r="B12533" s="55"/>
      <c r="C12533" s="31"/>
    </row>
    <row r="12534">
      <c r="A12534" s="56" t="s">
        <v>25716</v>
      </c>
      <c r="B12534" s="55"/>
      <c r="C12534" s="31"/>
    </row>
    <row r="12535">
      <c r="A12535" s="56" t="s">
        <v>25718</v>
      </c>
      <c r="B12535" s="55"/>
      <c r="C12535" s="31"/>
    </row>
    <row r="12536">
      <c r="A12536" s="56" t="s">
        <v>25719</v>
      </c>
      <c r="B12536" s="55"/>
      <c r="C12536" s="31"/>
    </row>
    <row r="12537">
      <c r="A12537" s="56" t="s">
        <v>25720</v>
      </c>
      <c r="B12537" s="55"/>
      <c r="C12537" s="31"/>
    </row>
    <row r="12538">
      <c r="A12538" s="56" t="s">
        <v>25721</v>
      </c>
      <c r="B12538" s="55"/>
      <c r="C12538" s="31"/>
    </row>
    <row r="12539">
      <c r="A12539" s="56" t="s">
        <v>25724</v>
      </c>
      <c r="B12539" s="55"/>
      <c r="C12539" s="31"/>
    </row>
    <row r="12540">
      <c r="A12540" s="56" t="s">
        <v>25725</v>
      </c>
      <c r="B12540" s="55"/>
      <c r="C12540" s="31"/>
    </row>
    <row r="12541">
      <c r="A12541" s="56" t="s">
        <v>25726</v>
      </c>
      <c r="B12541" s="55"/>
      <c r="C12541" s="31"/>
    </row>
    <row r="12542">
      <c r="A12542" s="56" t="s">
        <v>25727</v>
      </c>
      <c r="B12542" s="55"/>
      <c r="C12542" s="31"/>
    </row>
    <row r="12543">
      <c r="A12543" s="56" t="s">
        <v>25730</v>
      </c>
      <c r="B12543" s="55"/>
      <c r="C12543" s="31"/>
    </row>
    <row r="12544">
      <c r="A12544" s="56" t="s">
        <v>25731</v>
      </c>
      <c r="B12544" s="55"/>
      <c r="C12544" s="31"/>
    </row>
    <row r="12545">
      <c r="A12545" s="56" t="s">
        <v>25732</v>
      </c>
      <c r="B12545" s="55"/>
      <c r="C12545" s="31"/>
    </row>
    <row r="12546">
      <c r="A12546" s="56" t="s">
        <v>25733</v>
      </c>
      <c r="B12546" s="55"/>
      <c r="C12546" s="31"/>
    </row>
    <row r="12547">
      <c r="A12547" s="56" t="s">
        <v>25735</v>
      </c>
      <c r="B12547" s="55"/>
      <c r="C12547" s="31"/>
    </row>
    <row r="12548">
      <c r="A12548" s="56" t="s">
        <v>25737</v>
      </c>
      <c r="B12548" s="55"/>
      <c r="C12548" s="31"/>
    </row>
    <row r="12549">
      <c r="A12549" s="56" t="s">
        <v>25738</v>
      </c>
      <c r="B12549" s="55"/>
      <c r="C12549" s="31"/>
    </row>
    <row r="12550">
      <c r="A12550" s="56" t="s">
        <v>25739</v>
      </c>
      <c r="B12550" s="55"/>
      <c r="C12550" s="31"/>
    </row>
    <row r="12551">
      <c r="A12551" s="56" t="s">
        <v>25741</v>
      </c>
      <c r="B12551" s="55"/>
      <c r="C12551" s="31"/>
    </row>
    <row r="12552">
      <c r="A12552" s="56" t="s">
        <v>25743</v>
      </c>
      <c r="B12552" s="55"/>
      <c r="C12552" s="31"/>
    </row>
    <row r="12553">
      <c r="A12553" s="56" t="s">
        <v>25744</v>
      </c>
      <c r="B12553" s="55"/>
      <c r="C12553" s="31"/>
    </row>
    <row r="12554">
      <c r="A12554" s="56" t="s">
        <v>25745</v>
      </c>
      <c r="B12554" s="55"/>
      <c r="C12554" s="31"/>
    </row>
    <row r="12555">
      <c r="A12555" s="56" t="s">
        <v>25746</v>
      </c>
      <c r="B12555" s="55"/>
      <c r="C12555" s="31"/>
    </row>
    <row r="12556">
      <c r="A12556" s="56" t="s">
        <v>25749</v>
      </c>
      <c r="B12556" s="55"/>
      <c r="C12556" s="31"/>
    </row>
    <row r="12557">
      <c r="A12557" s="56" t="s">
        <v>25750</v>
      </c>
      <c r="B12557" s="55"/>
      <c r="C12557" s="31"/>
    </row>
    <row r="12558">
      <c r="A12558" s="56" t="s">
        <v>25751</v>
      </c>
      <c r="B12558" s="55"/>
      <c r="C12558" s="31"/>
    </row>
    <row r="12559">
      <c r="A12559" s="56" t="s">
        <v>25752</v>
      </c>
      <c r="B12559" s="55"/>
      <c r="C12559" s="31"/>
    </row>
    <row r="12560">
      <c r="A12560" s="56" t="s">
        <v>25755</v>
      </c>
      <c r="B12560" s="55"/>
      <c r="C12560" s="31"/>
    </row>
    <row r="12561">
      <c r="A12561" s="56" t="s">
        <v>25756</v>
      </c>
      <c r="B12561" s="55"/>
      <c r="C12561" s="31"/>
    </row>
    <row r="12562">
      <c r="A12562" s="56" t="s">
        <v>25757</v>
      </c>
      <c r="B12562" s="55"/>
      <c r="C12562" s="31"/>
    </row>
    <row r="12563">
      <c r="A12563" s="56" t="s">
        <v>25758</v>
      </c>
      <c r="B12563" s="55"/>
      <c r="C12563" s="31"/>
    </row>
    <row r="12564">
      <c r="A12564" s="56" t="s">
        <v>25761</v>
      </c>
      <c r="B12564" s="55"/>
      <c r="C12564" s="31"/>
    </row>
    <row r="12565">
      <c r="A12565" s="56" t="s">
        <v>25762</v>
      </c>
      <c r="B12565" s="55"/>
      <c r="C12565" s="31"/>
    </row>
    <row r="12566">
      <c r="A12566" s="56" t="s">
        <v>25763</v>
      </c>
      <c r="B12566" s="55"/>
      <c r="C12566" s="31"/>
    </row>
    <row r="12567">
      <c r="A12567" s="56" t="s">
        <v>25764</v>
      </c>
      <c r="B12567" s="55"/>
      <c r="C12567" s="31"/>
    </row>
    <row r="12568">
      <c r="A12568" s="56" t="s">
        <v>25766</v>
      </c>
      <c r="B12568" s="55"/>
      <c r="C12568" s="31"/>
    </row>
    <row r="12569">
      <c r="A12569" s="56" t="s">
        <v>25767</v>
      </c>
      <c r="B12569" s="55"/>
      <c r="C12569" s="31"/>
    </row>
    <row r="12570">
      <c r="A12570" s="56" t="s">
        <v>25769</v>
      </c>
      <c r="B12570" s="55"/>
      <c r="C12570" s="31"/>
    </row>
    <row r="12571">
      <c r="A12571" s="56" t="s">
        <v>25770</v>
      </c>
      <c r="B12571" s="55"/>
      <c r="C12571" s="31"/>
    </row>
    <row r="12572">
      <c r="A12572" s="56" t="s">
        <v>25771</v>
      </c>
      <c r="B12572" s="55"/>
      <c r="C12572" s="31"/>
    </row>
    <row r="12573">
      <c r="A12573" s="56" t="s">
        <v>25773</v>
      </c>
      <c r="B12573" s="55"/>
      <c r="C12573" s="31"/>
    </row>
    <row r="12574">
      <c r="A12574" s="56" t="s">
        <v>25774</v>
      </c>
      <c r="B12574" s="55"/>
      <c r="C12574" s="31"/>
    </row>
    <row r="12575">
      <c r="A12575" s="56" t="s">
        <v>25775</v>
      </c>
      <c r="B12575" s="55"/>
      <c r="C12575" s="31"/>
    </row>
    <row r="12576">
      <c r="A12576" s="56" t="s">
        <v>25776</v>
      </c>
      <c r="B12576" s="55"/>
      <c r="C12576" s="31"/>
    </row>
    <row r="12577">
      <c r="A12577" s="56" t="s">
        <v>25778</v>
      </c>
      <c r="B12577" s="55"/>
      <c r="C12577" s="31"/>
    </row>
    <row r="12578">
      <c r="A12578" s="56" t="s">
        <v>25780</v>
      </c>
      <c r="B12578" s="55"/>
      <c r="C12578" s="31"/>
    </row>
    <row r="12579">
      <c r="A12579" s="56" t="s">
        <v>25781</v>
      </c>
      <c r="B12579" s="55"/>
      <c r="C12579" s="31"/>
    </row>
    <row r="12580">
      <c r="A12580" s="56" t="s">
        <v>25782</v>
      </c>
      <c r="B12580" s="55"/>
      <c r="C12580" s="31"/>
    </row>
    <row r="12581">
      <c r="A12581" s="56" t="s">
        <v>25783</v>
      </c>
      <c r="B12581" s="55"/>
      <c r="C12581" s="31"/>
    </row>
    <row r="12582">
      <c r="A12582" s="56" t="s">
        <v>25785</v>
      </c>
      <c r="B12582" s="55"/>
      <c r="C12582" s="31"/>
    </row>
    <row r="12583">
      <c r="A12583" s="56" t="s">
        <v>25786</v>
      </c>
      <c r="B12583" s="55"/>
      <c r="C12583" s="31"/>
    </row>
    <row r="12584">
      <c r="A12584" s="56" t="s">
        <v>25787</v>
      </c>
      <c r="B12584" s="55"/>
      <c r="C12584" s="31"/>
    </row>
    <row r="12585">
      <c r="A12585" s="56" t="s">
        <v>25789</v>
      </c>
      <c r="B12585" s="55"/>
      <c r="C12585" s="31"/>
    </row>
    <row r="12586">
      <c r="A12586" s="56" t="s">
        <v>25791</v>
      </c>
      <c r="B12586" s="55"/>
      <c r="C12586" s="31"/>
    </row>
    <row r="12587">
      <c r="A12587" s="56" t="s">
        <v>25792</v>
      </c>
      <c r="B12587" s="55"/>
      <c r="C12587" s="31"/>
    </row>
    <row r="12588">
      <c r="A12588" s="56" t="s">
        <v>25793</v>
      </c>
      <c r="B12588" s="55"/>
      <c r="C12588" s="31"/>
    </row>
    <row r="12589">
      <c r="A12589" s="56" t="s">
        <v>25794</v>
      </c>
      <c r="B12589" s="55"/>
      <c r="C12589" s="31"/>
    </row>
    <row r="12590">
      <c r="A12590" s="56" t="s">
        <v>25795</v>
      </c>
      <c r="B12590" s="55"/>
      <c r="C12590" s="31"/>
    </row>
    <row r="12591">
      <c r="A12591" s="56" t="s">
        <v>25797</v>
      </c>
      <c r="B12591" s="55"/>
      <c r="C12591" s="31"/>
    </row>
    <row r="12592">
      <c r="A12592" s="56" t="s">
        <v>25800</v>
      </c>
      <c r="B12592" s="55"/>
      <c r="C12592" s="31"/>
    </row>
    <row r="12593">
      <c r="A12593" s="56" t="s">
        <v>25801</v>
      </c>
      <c r="B12593" s="55"/>
      <c r="C12593" s="31"/>
    </row>
    <row r="12594">
      <c r="A12594" s="56" t="s">
        <v>25802</v>
      </c>
      <c r="B12594" s="55"/>
      <c r="C12594" s="31"/>
    </row>
    <row r="12595">
      <c r="A12595" s="56" t="s">
        <v>25803</v>
      </c>
      <c r="B12595" s="55"/>
      <c r="C12595" s="31"/>
    </row>
    <row r="12596">
      <c r="A12596" s="56" t="s">
        <v>25804</v>
      </c>
      <c r="B12596" s="55"/>
      <c r="C12596" s="31"/>
    </row>
    <row r="12597">
      <c r="A12597" s="56" t="s">
        <v>25807</v>
      </c>
      <c r="B12597" s="55"/>
      <c r="C12597" s="31"/>
    </row>
    <row r="12598">
      <c r="A12598" s="56" t="s">
        <v>25808</v>
      </c>
      <c r="B12598" s="55"/>
      <c r="C12598" s="31"/>
    </row>
    <row r="12599">
      <c r="A12599" s="56" t="s">
        <v>25809</v>
      </c>
      <c r="B12599" s="55"/>
      <c r="C12599" s="31"/>
    </row>
    <row r="12600">
      <c r="A12600" s="56" t="s">
        <v>25811</v>
      </c>
      <c r="B12600" s="55"/>
      <c r="C12600" s="31"/>
    </row>
    <row r="12601">
      <c r="A12601" s="56" t="s">
        <v>25813</v>
      </c>
      <c r="B12601" s="55"/>
      <c r="C12601" s="31"/>
    </row>
    <row r="12602">
      <c r="A12602" s="56" t="s">
        <v>25814</v>
      </c>
      <c r="B12602" s="55"/>
      <c r="C12602" s="31"/>
    </row>
    <row r="12603">
      <c r="A12603" s="56" t="s">
        <v>25815</v>
      </c>
      <c r="B12603" s="55"/>
      <c r="C12603" s="31"/>
    </row>
    <row r="12604">
      <c r="A12604" s="56" t="s">
        <v>25816</v>
      </c>
      <c r="B12604" s="55"/>
      <c r="C12604" s="31"/>
    </row>
    <row r="12605">
      <c r="A12605" s="56" t="s">
        <v>25817</v>
      </c>
      <c r="B12605" s="55"/>
      <c r="C12605" s="31"/>
    </row>
    <row r="12606">
      <c r="A12606" s="56" t="s">
        <v>25819</v>
      </c>
      <c r="B12606" s="55"/>
      <c r="C12606" s="31"/>
    </row>
    <row r="12607">
      <c r="A12607" s="56" t="s">
        <v>25821</v>
      </c>
      <c r="B12607" s="55"/>
      <c r="C12607" s="31"/>
    </row>
    <row r="12608">
      <c r="A12608" s="56" t="s">
        <v>25822</v>
      </c>
      <c r="B12608" s="55"/>
      <c r="C12608" s="31"/>
    </row>
    <row r="12609">
      <c r="A12609" s="56" t="s">
        <v>25823</v>
      </c>
      <c r="B12609" s="55"/>
      <c r="C12609" s="31"/>
    </row>
    <row r="12610">
      <c r="A12610" s="56" t="s">
        <v>25825</v>
      </c>
      <c r="B12610" s="55"/>
      <c r="C12610" s="31"/>
    </row>
    <row r="12611">
      <c r="A12611" s="56" t="s">
        <v>25826</v>
      </c>
      <c r="B12611" s="55"/>
      <c r="C12611" s="31"/>
    </row>
    <row r="12612">
      <c r="A12612" s="56" t="s">
        <v>25827</v>
      </c>
      <c r="B12612" s="55"/>
      <c r="C12612" s="31"/>
    </row>
    <row r="12613">
      <c r="A12613" s="56" t="s">
        <v>25828</v>
      </c>
      <c r="B12613" s="55"/>
      <c r="C12613" s="31"/>
    </row>
    <row r="12614">
      <c r="A12614" s="56" t="s">
        <v>25830</v>
      </c>
      <c r="B12614" s="55"/>
      <c r="C12614" s="31"/>
    </row>
    <row r="12615">
      <c r="A12615" s="56" t="s">
        <v>25831</v>
      </c>
      <c r="B12615" s="55"/>
      <c r="C12615" s="31"/>
    </row>
    <row r="12616">
      <c r="A12616" s="56" t="s">
        <v>25833</v>
      </c>
      <c r="B12616" s="55"/>
      <c r="C12616" s="31"/>
    </row>
    <row r="12617">
      <c r="A12617" s="56" t="s">
        <v>25835</v>
      </c>
      <c r="B12617" s="55"/>
      <c r="C12617" s="31"/>
    </row>
    <row r="12618">
      <c r="A12618" s="56" t="s">
        <v>25837</v>
      </c>
      <c r="B12618" s="55"/>
      <c r="C12618" s="31"/>
    </row>
    <row r="12619">
      <c r="A12619" s="56" t="s">
        <v>25838</v>
      </c>
      <c r="B12619" s="55"/>
      <c r="C12619" s="31"/>
    </row>
    <row r="12620">
      <c r="A12620" s="56" t="s">
        <v>25839</v>
      </c>
      <c r="B12620" s="55"/>
      <c r="C12620" s="31"/>
    </row>
    <row r="12621">
      <c r="A12621" s="56" t="s">
        <v>25841</v>
      </c>
      <c r="B12621" s="55"/>
      <c r="C12621" s="31"/>
    </row>
    <row r="12622">
      <c r="A12622" s="56" t="s">
        <v>25842</v>
      </c>
      <c r="B12622" s="55"/>
      <c r="C12622" s="31"/>
    </row>
    <row r="12623">
      <c r="A12623" s="56" t="s">
        <v>25844</v>
      </c>
      <c r="B12623" s="55"/>
      <c r="C12623" s="31"/>
    </row>
    <row r="12624">
      <c r="A12624" s="56" t="s">
        <v>25845</v>
      </c>
      <c r="B12624" s="55"/>
      <c r="C12624" s="31"/>
    </row>
    <row r="12625">
      <c r="A12625" s="56" t="s">
        <v>25846</v>
      </c>
      <c r="B12625" s="55"/>
      <c r="C12625" s="31"/>
    </row>
    <row r="12626">
      <c r="A12626" s="56" t="s">
        <v>25847</v>
      </c>
      <c r="B12626" s="55"/>
      <c r="C12626" s="31"/>
    </row>
    <row r="12627">
      <c r="A12627" s="56" t="s">
        <v>25848</v>
      </c>
      <c r="B12627" s="55"/>
      <c r="C12627" s="31"/>
    </row>
    <row r="12628">
      <c r="A12628" s="56" t="s">
        <v>25851</v>
      </c>
      <c r="B12628" s="55"/>
      <c r="C12628" s="31"/>
    </row>
    <row r="12629">
      <c r="A12629" s="56" t="s">
        <v>25852</v>
      </c>
      <c r="B12629" s="55"/>
      <c r="C12629" s="31"/>
    </row>
    <row r="12630">
      <c r="A12630" s="56" t="s">
        <v>25853</v>
      </c>
      <c r="B12630" s="55"/>
      <c r="C12630" s="31"/>
    </row>
    <row r="12631">
      <c r="A12631" s="56" t="s">
        <v>25854</v>
      </c>
      <c r="B12631" s="55"/>
      <c r="C12631" s="31"/>
    </row>
    <row r="12632">
      <c r="A12632" s="56" t="s">
        <v>25855</v>
      </c>
      <c r="B12632" s="55"/>
      <c r="C12632" s="31"/>
    </row>
    <row r="12633">
      <c r="A12633" s="56" t="s">
        <v>25856</v>
      </c>
      <c r="B12633" s="55"/>
      <c r="C12633" s="31"/>
    </row>
    <row r="12634">
      <c r="A12634" s="56" t="s">
        <v>25859</v>
      </c>
      <c r="B12634" s="55"/>
      <c r="C12634" s="31"/>
    </row>
    <row r="12635">
      <c r="A12635" s="56" t="s">
        <v>25860</v>
      </c>
      <c r="B12635" s="55"/>
      <c r="C12635" s="31"/>
    </row>
    <row r="12636">
      <c r="A12636" s="56" t="s">
        <v>25861</v>
      </c>
      <c r="B12636" s="55"/>
      <c r="C12636" s="31"/>
    </row>
    <row r="12637">
      <c r="A12637" s="56" t="s">
        <v>25862</v>
      </c>
      <c r="B12637" s="82"/>
      <c r="C12637" s="33" t="s">
        <v>25863</v>
      </c>
    </row>
    <row r="12638">
      <c r="A12638" s="56" t="s">
        <v>25864</v>
      </c>
      <c r="B12638" s="55"/>
      <c r="C12638" s="31"/>
    </row>
    <row r="12639">
      <c r="A12639" s="56" t="s">
        <v>25865</v>
      </c>
      <c r="B12639" s="55"/>
      <c r="C12639" s="31"/>
    </row>
    <row r="12640">
      <c r="A12640" s="56" t="s">
        <v>25867</v>
      </c>
      <c r="B12640" s="55"/>
      <c r="C12640" s="31"/>
    </row>
    <row r="12641">
      <c r="A12641" s="56" t="s">
        <v>25868</v>
      </c>
      <c r="B12641" s="55"/>
      <c r="C12641" s="31"/>
    </row>
    <row r="12642">
      <c r="A12642" s="56" t="s">
        <v>25870</v>
      </c>
      <c r="B12642" s="55"/>
      <c r="C12642" s="31"/>
    </row>
    <row r="12643">
      <c r="A12643" s="56" t="s">
        <v>25871</v>
      </c>
      <c r="B12643" s="82"/>
      <c r="C12643" s="33" t="s">
        <v>25872</v>
      </c>
    </row>
    <row r="12644">
      <c r="A12644" s="56" t="s">
        <v>25873</v>
      </c>
      <c r="B12644" s="82"/>
      <c r="C12644" s="33" t="s">
        <v>11373</v>
      </c>
      <c r="E12644" s="46" t="s">
        <v>7616</v>
      </c>
    </row>
    <row r="12645">
      <c r="A12645" s="56" t="s">
        <v>25874</v>
      </c>
      <c r="B12645" s="82"/>
      <c r="C12645" s="33" t="s">
        <v>11373</v>
      </c>
      <c r="E12645" s="46" t="s">
        <v>7618</v>
      </c>
    </row>
    <row r="12646">
      <c r="A12646" s="56" t="s">
        <v>25876</v>
      </c>
      <c r="B12646" s="82"/>
      <c r="C12646" s="33" t="s">
        <v>11376</v>
      </c>
      <c r="E12646" s="46" t="s">
        <v>7616</v>
      </c>
    </row>
    <row r="12647">
      <c r="A12647" s="56" t="s">
        <v>25878</v>
      </c>
      <c r="B12647" s="82"/>
      <c r="C12647" s="33" t="s">
        <v>11376</v>
      </c>
      <c r="E12647" s="46" t="s">
        <v>7618</v>
      </c>
    </row>
    <row r="12648">
      <c r="A12648" s="56" t="s">
        <v>25879</v>
      </c>
      <c r="B12648" s="82"/>
      <c r="C12648" s="33" t="s">
        <v>11380</v>
      </c>
      <c r="E12648" s="46" t="s">
        <v>7616</v>
      </c>
    </row>
    <row r="12649">
      <c r="A12649" s="56" t="s">
        <v>25880</v>
      </c>
      <c r="B12649" s="82"/>
      <c r="C12649" s="33" t="s">
        <v>11380</v>
      </c>
      <c r="E12649" s="46" t="s">
        <v>7618</v>
      </c>
    </row>
    <row r="12650">
      <c r="A12650" s="56" t="s">
        <v>25882</v>
      </c>
      <c r="B12650" s="79"/>
      <c r="C12650" s="33" t="s">
        <v>11384</v>
      </c>
      <c r="E12650" s="46" t="s">
        <v>1348</v>
      </c>
    </row>
    <row r="12651">
      <c r="A12651" s="56" t="s">
        <v>25883</v>
      </c>
      <c r="B12651" s="79"/>
      <c r="C12651" s="33" t="s">
        <v>11384</v>
      </c>
      <c r="E12651" s="46" t="s">
        <v>1348</v>
      </c>
    </row>
    <row r="12652">
      <c r="A12652" s="56" t="s">
        <v>25885</v>
      </c>
      <c r="B12652" s="79"/>
      <c r="C12652" s="33" t="s">
        <v>11389</v>
      </c>
      <c r="E12652" s="46" t="s">
        <v>1348</v>
      </c>
    </row>
    <row r="12653">
      <c r="A12653" s="56" t="s">
        <v>25886</v>
      </c>
      <c r="B12653" s="21"/>
      <c r="C12653" s="33" t="s">
        <v>11391</v>
      </c>
      <c r="E12653" s="46" t="s">
        <v>7616</v>
      </c>
    </row>
    <row r="12654">
      <c r="A12654" s="56" t="s">
        <v>25887</v>
      </c>
      <c r="B12654" s="21"/>
      <c r="C12654" s="33" t="s">
        <v>11391</v>
      </c>
      <c r="E12654" s="46" t="s">
        <v>7618</v>
      </c>
    </row>
    <row r="12655">
      <c r="A12655" s="56" t="s">
        <v>25889</v>
      </c>
      <c r="B12655" s="21"/>
      <c r="C12655" s="33" t="s">
        <v>11394</v>
      </c>
      <c r="E12655" s="46" t="s">
        <v>7616</v>
      </c>
    </row>
    <row r="12656">
      <c r="A12656" s="56" t="s">
        <v>25890</v>
      </c>
      <c r="B12656" s="21"/>
      <c r="C12656" s="33" t="s">
        <v>11394</v>
      </c>
      <c r="E12656" s="46" t="s">
        <v>7618</v>
      </c>
    </row>
    <row r="12657">
      <c r="A12657" s="56" t="s">
        <v>25891</v>
      </c>
      <c r="B12657" s="21"/>
      <c r="C12657" s="33" t="s">
        <v>11398</v>
      </c>
      <c r="E12657" s="46" t="s">
        <v>7616</v>
      </c>
    </row>
    <row r="12658">
      <c r="A12658" s="56" t="s">
        <v>25893</v>
      </c>
      <c r="B12658" s="21"/>
      <c r="C12658" s="33" t="s">
        <v>11398</v>
      </c>
      <c r="E12658" s="46" t="s">
        <v>7618</v>
      </c>
    </row>
    <row r="12659">
      <c r="A12659" s="56" t="s">
        <v>25895</v>
      </c>
      <c r="B12659" s="21"/>
      <c r="C12659" s="33" t="s">
        <v>11391</v>
      </c>
      <c r="E12659" s="46" t="s">
        <v>7616</v>
      </c>
    </row>
    <row r="12660">
      <c r="A12660" s="56" t="s">
        <v>25897</v>
      </c>
      <c r="B12660" s="21"/>
      <c r="C12660" s="33" t="s">
        <v>11391</v>
      </c>
      <c r="E12660" s="46" t="s">
        <v>7618</v>
      </c>
    </row>
    <row r="12661">
      <c r="A12661" s="56" t="s">
        <v>25899</v>
      </c>
      <c r="B12661" s="21"/>
      <c r="C12661" s="33" t="s">
        <v>11394</v>
      </c>
      <c r="E12661" s="46" t="s">
        <v>7616</v>
      </c>
    </row>
    <row r="12662">
      <c r="A12662" s="56" t="s">
        <v>25900</v>
      </c>
      <c r="B12662" s="21"/>
      <c r="C12662" s="33" t="s">
        <v>11394</v>
      </c>
      <c r="E12662" s="46" t="s">
        <v>7618</v>
      </c>
    </row>
    <row r="12663">
      <c r="A12663" s="56" t="s">
        <v>25902</v>
      </c>
      <c r="B12663" s="21"/>
      <c r="C12663" s="33" t="s">
        <v>11398</v>
      </c>
      <c r="E12663" s="46" t="s">
        <v>7616</v>
      </c>
    </row>
    <row r="12664">
      <c r="A12664" s="56" t="s">
        <v>25903</v>
      </c>
      <c r="B12664" s="21"/>
      <c r="C12664" s="33" t="s">
        <v>11398</v>
      </c>
      <c r="E12664" s="46" t="s">
        <v>7618</v>
      </c>
    </row>
    <row r="12665">
      <c r="A12665" s="56" t="s">
        <v>25908</v>
      </c>
      <c r="B12665" s="21"/>
      <c r="C12665" s="33" t="s">
        <v>11411</v>
      </c>
      <c r="E12665" s="46" t="s">
        <v>7616</v>
      </c>
    </row>
    <row r="12666">
      <c r="A12666" s="56" t="s">
        <v>25909</v>
      </c>
      <c r="B12666" s="21"/>
      <c r="C12666" s="33" t="s">
        <v>11411</v>
      </c>
      <c r="E12666" s="46" t="s">
        <v>7618</v>
      </c>
    </row>
    <row r="12667">
      <c r="A12667" s="56" t="s">
        <v>25910</v>
      </c>
      <c r="B12667" s="21"/>
      <c r="C12667" s="33" t="s">
        <v>11416</v>
      </c>
      <c r="E12667" s="46" t="s">
        <v>7616</v>
      </c>
    </row>
    <row r="12668">
      <c r="A12668" s="56" t="s">
        <v>25913</v>
      </c>
      <c r="B12668" s="21"/>
      <c r="C12668" s="33" t="s">
        <v>11416</v>
      </c>
      <c r="E12668" s="46" t="s">
        <v>7618</v>
      </c>
    </row>
    <row r="12669">
      <c r="A12669" s="56" t="s">
        <v>25914</v>
      </c>
      <c r="B12669" s="21"/>
      <c r="C12669" s="33" t="s">
        <v>11419</v>
      </c>
      <c r="E12669" s="46" t="s">
        <v>7616</v>
      </c>
    </row>
    <row r="12670">
      <c r="A12670" s="56" t="s">
        <v>25915</v>
      </c>
      <c r="B12670" s="21"/>
      <c r="C12670" s="33" t="s">
        <v>11419</v>
      </c>
      <c r="E12670" s="46" t="s">
        <v>7618</v>
      </c>
    </row>
    <row r="12671">
      <c r="A12671" s="56" t="s">
        <v>25916</v>
      </c>
      <c r="B12671" s="21"/>
      <c r="C12671" s="33" t="s">
        <v>11411</v>
      </c>
      <c r="E12671" s="46" t="s">
        <v>7616</v>
      </c>
    </row>
    <row r="12672">
      <c r="A12672" s="56" t="s">
        <v>25918</v>
      </c>
      <c r="B12672" s="21"/>
      <c r="C12672" s="33" t="s">
        <v>11411</v>
      </c>
      <c r="E12672" s="46" t="s">
        <v>7618</v>
      </c>
    </row>
    <row r="12673">
      <c r="A12673" s="56" t="s">
        <v>25920</v>
      </c>
      <c r="B12673" s="21"/>
      <c r="C12673" s="33" t="s">
        <v>11416</v>
      </c>
      <c r="E12673" s="46" t="s">
        <v>7616</v>
      </c>
    </row>
    <row r="12674">
      <c r="A12674" s="56" t="s">
        <v>25921</v>
      </c>
      <c r="B12674" s="21"/>
      <c r="C12674" s="33" t="s">
        <v>11416</v>
      </c>
      <c r="E12674" s="46" t="s">
        <v>7618</v>
      </c>
    </row>
    <row r="12675">
      <c r="A12675" s="56" t="s">
        <v>25922</v>
      </c>
      <c r="B12675" s="21"/>
      <c r="C12675" s="33" t="s">
        <v>11419</v>
      </c>
      <c r="E12675" s="46" t="s">
        <v>7616</v>
      </c>
    </row>
    <row r="12676">
      <c r="A12676" s="56" t="s">
        <v>25924</v>
      </c>
      <c r="B12676" s="21"/>
      <c r="C12676" s="33" t="s">
        <v>11419</v>
      </c>
      <c r="E12676" s="46" t="s">
        <v>7618</v>
      </c>
    </row>
    <row r="12677">
      <c r="A12677" s="56" t="s">
        <v>25925</v>
      </c>
      <c r="B12677" s="55"/>
      <c r="C12677" s="31"/>
    </row>
    <row r="12678">
      <c r="A12678" s="56" t="s">
        <v>25926</v>
      </c>
      <c r="B12678" s="55"/>
      <c r="C12678" s="31"/>
    </row>
    <row r="12679">
      <c r="A12679" s="56" t="s">
        <v>25927</v>
      </c>
      <c r="B12679" s="82"/>
      <c r="C12679" s="33" t="s">
        <v>25929</v>
      </c>
    </row>
    <row r="12680">
      <c r="A12680" s="56" t="s">
        <v>25930</v>
      </c>
      <c r="B12680" s="55"/>
      <c r="C12680" s="31"/>
    </row>
    <row r="12681">
      <c r="A12681" s="56" t="s">
        <v>25931</v>
      </c>
      <c r="B12681" s="55"/>
      <c r="C12681" s="31"/>
    </row>
    <row r="12682">
      <c r="A12682" s="56" t="s">
        <v>25933</v>
      </c>
      <c r="B12682" s="55"/>
      <c r="C12682" s="31"/>
    </row>
    <row r="12683">
      <c r="A12683" s="56" t="s">
        <v>25934</v>
      </c>
      <c r="B12683" s="55"/>
      <c r="C12683" s="31"/>
    </row>
    <row r="12684">
      <c r="A12684" s="56" t="s">
        <v>25935</v>
      </c>
      <c r="B12684" s="55"/>
      <c r="C12684" s="31"/>
    </row>
    <row r="12685">
      <c r="A12685" s="56" t="s">
        <v>25936</v>
      </c>
      <c r="B12685" s="55"/>
      <c r="C12685" s="31"/>
    </row>
    <row r="12686">
      <c r="A12686" s="56" t="s">
        <v>25938</v>
      </c>
      <c r="B12686" s="55"/>
      <c r="C12686" s="31"/>
    </row>
    <row r="12687">
      <c r="A12687" s="56" t="s">
        <v>25939</v>
      </c>
      <c r="B12687" s="55"/>
      <c r="C12687" s="31"/>
    </row>
    <row r="12688">
      <c r="A12688" s="56" t="s">
        <v>25941</v>
      </c>
      <c r="B12688" s="55"/>
      <c r="C12688" s="31"/>
    </row>
    <row r="12689">
      <c r="A12689" s="56" t="s">
        <v>25942</v>
      </c>
      <c r="B12689" s="55"/>
      <c r="C12689" s="31"/>
    </row>
    <row r="12690">
      <c r="A12690" s="56" t="s">
        <v>25943</v>
      </c>
      <c r="B12690" s="55"/>
      <c r="C12690" s="31"/>
    </row>
    <row r="12691">
      <c r="A12691" s="56" t="s">
        <v>25944</v>
      </c>
      <c r="B12691" s="55"/>
      <c r="C12691" s="31"/>
    </row>
    <row r="12692">
      <c r="A12692" s="56" t="s">
        <v>25945</v>
      </c>
      <c r="B12692" s="55"/>
      <c r="C12692" s="31"/>
    </row>
    <row r="12693">
      <c r="A12693" s="56" t="s">
        <v>25947</v>
      </c>
      <c r="B12693" s="55"/>
      <c r="C12693" s="31"/>
    </row>
    <row r="12694">
      <c r="A12694" s="56" t="s">
        <v>25948</v>
      </c>
      <c r="B12694" s="55"/>
      <c r="C12694" s="31"/>
    </row>
    <row r="12695">
      <c r="A12695" s="56" t="s">
        <v>25949</v>
      </c>
      <c r="B12695" s="55"/>
      <c r="C12695" s="31"/>
    </row>
    <row r="12696">
      <c r="A12696" s="56" t="s">
        <v>25951</v>
      </c>
      <c r="B12696" s="55"/>
      <c r="C12696" s="31"/>
    </row>
    <row r="12697">
      <c r="A12697" s="56" t="s">
        <v>25952</v>
      </c>
      <c r="B12697" s="55"/>
      <c r="C12697" s="31"/>
    </row>
    <row r="12698">
      <c r="A12698" s="56" t="s">
        <v>25953</v>
      </c>
      <c r="B12698" s="55"/>
      <c r="C12698" s="31"/>
    </row>
    <row r="12699">
      <c r="A12699" s="56" t="s">
        <v>25954</v>
      </c>
      <c r="B12699" s="55"/>
      <c r="C12699" s="31"/>
    </row>
    <row r="12700">
      <c r="A12700" s="56" t="s">
        <v>25955</v>
      </c>
      <c r="B12700" s="55"/>
      <c r="C12700" s="31"/>
    </row>
    <row r="12701">
      <c r="A12701" s="56" t="s">
        <v>25957</v>
      </c>
      <c r="B12701" s="55"/>
      <c r="C12701" s="31"/>
    </row>
    <row r="12702">
      <c r="A12702" s="56" t="s">
        <v>25958</v>
      </c>
      <c r="B12702" s="55"/>
      <c r="C12702" s="31"/>
    </row>
    <row r="12703">
      <c r="A12703" s="56" t="s">
        <v>25960</v>
      </c>
      <c r="B12703" s="55"/>
      <c r="C12703" s="31"/>
    </row>
    <row r="12704">
      <c r="A12704" s="56" t="s">
        <v>25961</v>
      </c>
      <c r="B12704" s="55"/>
      <c r="C12704" s="31"/>
    </row>
    <row r="12705">
      <c r="A12705" s="56" t="s">
        <v>25962</v>
      </c>
      <c r="B12705" s="55"/>
      <c r="C12705" s="31"/>
    </row>
    <row r="12706">
      <c r="A12706" s="56" t="s">
        <v>25963</v>
      </c>
      <c r="B12706" s="55"/>
      <c r="C12706" s="31"/>
    </row>
    <row r="12707">
      <c r="A12707" s="56" t="s">
        <v>25965</v>
      </c>
      <c r="B12707" s="55"/>
      <c r="C12707" s="31"/>
    </row>
    <row r="12708">
      <c r="A12708" s="56" t="s">
        <v>25966</v>
      </c>
      <c r="B12708" s="55"/>
      <c r="C12708" s="31"/>
    </row>
    <row r="12709">
      <c r="A12709" s="56" t="s">
        <v>25967</v>
      </c>
      <c r="B12709" s="55"/>
      <c r="C12709" s="31"/>
    </row>
    <row r="12710">
      <c r="A12710" s="56" t="s">
        <v>25968</v>
      </c>
      <c r="B12710" s="55"/>
      <c r="C12710" s="31"/>
    </row>
    <row r="12711">
      <c r="A12711" s="56" t="s">
        <v>25969</v>
      </c>
      <c r="B12711" s="55"/>
      <c r="C12711" s="31"/>
    </row>
    <row r="12712">
      <c r="A12712" s="56" t="s">
        <v>25971</v>
      </c>
      <c r="B12712" s="55"/>
      <c r="C12712" s="31"/>
    </row>
    <row r="12713">
      <c r="A12713" s="56" t="s">
        <v>25972</v>
      </c>
      <c r="B12713" s="55"/>
      <c r="C12713" s="31"/>
    </row>
    <row r="12714">
      <c r="A12714" s="56" t="s">
        <v>25974</v>
      </c>
      <c r="B12714" s="55"/>
      <c r="C12714" s="31"/>
    </row>
    <row r="12715">
      <c r="A12715" s="56" t="s">
        <v>25975</v>
      </c>
      <c r="B12715" s="55"/>
      <c r="C12715" s="31"/>
    </row>
    <row r="12716">
      <c r="A12716" s="56" t="s">
        <v>25977</v>
      </c>
      <c r="B12716" s="55"/>
      <c r="C12716" s="31"/>
    </row>
    <row r="12717">
      <c r="A12717" s="56" t="s">
        <v>25955</v>
      </c>
      <c r="B12717" s="55"/>
      <c r="C12717" s="31"/>
    </row>
    <row r="12718">
      <c r="A12718" s="56" t="s">
        <v>25957</v>
      </c>
      <c r="B12718" s="55"/>
      <c r="C12718" s="31"/>
    </row>
    <row r="12719">
      <c r="A12719" s="56" t="s">
        <v>25958</v>
      </c>
      <c r="B12719" s="55"/>
      <c r="C12719" s="31"/>
    </row>
    <row r="12720">
      <c r="A12720" s="56" t="s">
        <v>25960</v>
      </c>
      <c r="B12720" s="55"/>
      <c r="C12720" s="31"/>
    </row>
    <row r="12721">
      <c r="A12721" s="56" t="s">
        <v>25961</v>
      </c>
      <c r="B12721" s="55"/>
      <c r="C12721" s="31"/>
    </row>
    <row r="12722">
      <c r="A12722" s="56" t="s">
        <v>25962</v>
      </c>
      <c r="B12722" s="55"/>
      <c r="C12722" s="31"/>
    </row>
    <row r="12723">
      <c r="A12723" s="56" t="s">
        <v>25963</v>
      </c>
      <c r="B12723" s="55"/>
      <c r="C12723" s="31"/>
    </row>
    <row r="12724">
      <c r="A12724" s="56" t="s">
        <v>25965</v>
      </c>
      <c r="B12724" s="55"/>
      <c r="C12724" s="31"/>
    </row>
    <row r="12725">
      <c r="A12725" s="56" t="s">
        <v>25966</v>
      </c>
      <c r="B12725" s="55"/>
      <c r="C12725" s="31"/>
    </row>
    <row r="12726">
      <c r="A12726" s="56" t="s">
        <v>25967</v>
      </c>
      <c r="B12726" s="55"/>
      <c r="C12726" s="31"/>
    </row>
    <row r="12727">
      <c r="A12727" s="56" t="s">
        <v>25968</v>
      </c>
      <c r="B12727" s="55"/>
      <c r="C12727" s="31"/>
    </row>
    <row r="12728">
      <c r="A12728" s="56" t="s">
        <v>25969</v>
      </c>
      <c r="B12728" s="55"/>
      <c r="C12728" s="31"/>
    </row>
    <row r="12729">
      <c r="A12729" s="56" t="s">
        <v>25971</v>
      </c>
      <c r="B12729" s="55"/>
      <c r="C12729" s="31"/>
    </row>
    <row r="12730">
      <c r="A12730" s="56" t="s">
        <v>25972</v>
      </c>
      <c r="B12730" s="55"/>
      <c r="C12730" s="31"/>
    </row>
    <row r="12731">
      <c r="A12731" s="56" t="s">
        <v>25974</v>
      </c>
      <c r="B12731" s="55"/>
      <c r="C12731" s="31"/>
    </row>
    <row r="12732">
      <c r="A12732" s="56" t="s">
        <v>25975</v>
      </c>
      <c r="B12732" s="55"/>
      <c r="C12732" s="31"/>
    </row>
    <row r="12733">
      <c r="A12733" s="56" t="s">
        <v>25977</v>
      </c>
      <c r="B12733" s="55"/>
      <c r="C12733" s="31"/>
    </row>
    <row r="12734">
      <c r="A12734" s="56" t="s">
        <v>25983</v>
      </c>
      <c r="B12734" s="55"/>
      <c r="C12734" s="31"/>
    </row>
    <row r="12735">
      <c r="A12735" s="56" t="s">
        <v>25984</v>
      </c>
      <c r="B12735" s="55"/>
      <c r="C12735" s="31"/>
    </row>
    <row r="12736">
      <c r="A12736" s="56" t="s">
        <v>25985</v>
      </c>
      <c r="B12736" s="55"/>
      <c r="C12736" s="31"/>
    </row>
    <row r="12737">
      <c r="A12737" s="56" t="s">
        <v>25987</v>
      </c>
      <c r="B12737" s="55"/>
      <c r="C12737" s="31"/>
    </row>
    <row r="12738">
      <c r="A12738" s="56" t="s">
        <v>25988</v>
      </c>
      <c r="B12738" s="55"/>
      <c r="C12738" s="31"/>
    </row>
    <row r="12739">
      <c r="A12739" s="56" t="s">
        <v>25989</v>
      </c>
      <c r="B12739" s="55"/>
      <c r="C12739" s="31"/>
    </row>
    <row r="12740">
      <c r="A12740" s="56" t="s">
        <v>25991</v>
      </c>
      <c r="B12740" s="55"/>
      <c r="C12740" s="31"/>
    </row>
    <row r="12741">
      <c r="A12741" s="56" t="s">
        <v>25992</v>
      </c>
      <c r="B12741" s="55"/>
      <c r="C12741" s="31"/>
    </row>
    <row r="12742">
      <c r="A12742" s="56" t="s">
        <v>25993</v>
      </c>
      <c r="B12742" s="55"/>
      <c r="C12742" s="31"/>
    </row>
    <row r="12743">
      <c r="A12743" s="56" t="s">
        <v>25994</v>
      </c>
      <c r="B12743" s="55"/>
      <c r="C12743" s="31"/>
    </row>
    <row r="12744">
      <c r="A12744" s="56" t="s">
        <v>25995</v>
      </c>
      <c r="B12744" s="55"/>
      <c r="C12744" s="31"/>
    </row>
    <row r="12745">
      <c r="A12745" s="56" t="s">
        <v>25997</v>
      </c>
      <c r="B12745" s="55"/>
      <c r="C12745" s="31"/>
    </row>
    <row r="12746">
      <c r="A12746" s="56" t="s">
        <v>25998</v>
      </c>
      <c r="B12746" s="55"/>
      <c r="C12746" s="31"/>
    </row>
    <row r="12747">
      <c r="A12747" s="56" t="s">
        <v>26000</v>
      </c>
      <c r="B12747" s="55"/>
      <c r="C12747" s="31"/>
    </row>
    <row r="12748">
      <c r="A12748" s="56" t="s">
        <v>26001</v>
      </c>
      <c r="B12748" s="55"/>
      <c r="C12748" s="31"/>
    </row>
    <row r="12749">
      <c r="A12749" s="56" t="s">
        <v>26002</v>
      </c>
      <c r="B12749" s="55"/>
      <c r="C12749" s="31"/>
    </row>
    <row r="12750">
      <c r="A12750" s="56" t="s">
        <v>26003</v>
      </c>
      <c r="B12750" s="55"/>
      <c r="C12750" s="31"/>
    </row>
    <row r="12751">
      <c r="A12751" s="56" t="s">
        <v>26005</v>
      </c>
      <c r="B12751" s="55"/>
      <c r="C12751" s="31"/>
    </row>
    <row r="12752">
      <c r="A12752" s="56" t="s">
        <v>26006</v>
      </c>
      <c r="B12752" s="55"/>
      <c r="C12752" s="31"/>
    </row>
    <row r="12753">
      <c r="A12753" s="56" t="s">
        <v>26008</v>
      </c>
      <c r="B12753" s="55"/>
      <c r="C12753" s="31"/>
    </row>
    <row r="12754">
      <c r="A12754" s="56" t="s">
        <v>26009</v>
      </c>
      <c r="B12754" s="55"/>
      <c r="C12754" s="31"/>
    </row>
    <row r="12755">
      <c r="A12755" s="56" t="s">
        <v>26010</v>
      </c>
      <c r="B12755" s="55"/>
      <c r="C12755" s="31"/>
    </row>
    <row r="12756">
      <c r="A12756" s="56" t="s">
        <v>26011</v>
      </c>
      <c r="B12756" s="55"/>
      <c r="C12756" s="31"/>
    </row>
    <row r="12757">
      <c r="A12757" s="56" t="s">
        <v>26012</v>
      </c>
      <c r="B12757" s="55"/>
      <c r="C12757" s="31"/>
    </row>
    <row r="12758">
      <c r="A12758" s="56" t="s">
        <v>26014</v>
      </c>
      <c r="B12758" s="55"/>
      <c r="C12758" s="31"/>
    </row>
    <row r="12759">
      <c r="A12759" s="56" t="s">
        <v>26016</v>
      </c>
      <c r="B12759" s="55"/>
      <c r="C12759" s="31"/>
    </row>
    <row r="12760">
      <c r="A12760" s="56" t="s">
        <v>26019</v>
      </c>
      <c r="B12760" s="55"/>
      <c r="C12760" s="31"/>
    </row>
    <row r="12761">
      <c r="A12761" s="56" t="s">
        <v>26020</v>
      </c>
      <c r="B12761" s="55"/>
      <c r="C12761" s="31"/>
    </row>
    <row r="12762">
      <c r="A12762" s="56" t="s">
        <v>26021</v>
      </c>
      <c r="B12762" s="55"/>
      <c r="C12762" s="31"/>
    </row>
    <row r="12763">
      <c r="A12763" s="56" t="s">
        <v>26022</v>
      </c>
      <c r="B12763" s="55"/>
      <c r="C12763" s="31"/>
    </row>
    <row r="12764">
      <c r="A12764" s="56" t="s">
        <v>26023</v>
      </c>
      <c r="B12764" s="55"/>
      <c r="C12764" s="31"/>
    </row>
    <row r="12765">
      <c r="A12765" s="56" t="s">
        <v>26024</v>
      </c>
      <c r="B12765" s="82"/>
      <c r="C12765" s="33" t="s">
        <v>9100</v>
      </c>
    </row>
  </sheetData>
  <mergeCells count="7">
    <mergeCell ref="B3:J3"/>
    <mergeCell ref="B4:J4"/>
    <mergeCell ref="B5:J5"/>
    <mergeCell ref="B6:J6"/>
    <mergeCell ref="B7:J7"/>
    <mergeCell ref="B8:J8"/>
    <mergeCell ref="B9:J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28.0"/>
    <col customWidth="1" min="2" max="3" width="9.57"/>
    <col customWidth="1" min="4" max="4" width="43.86"/>
    <col customWidth="1" min="5" max="5" width="18.57"/>
    <col customWidth="1" min="6" max="6" width="16.0"/>
    <col customWidth="1" min="7" max="7" width="24.43"/>
    <col customWidth="1" min="8" max="10" width="2.14"/>
    <col customWidth="1" min="11" max="11" width="16.0"/>
  </cols>
  <sheetData>
    <row r="1">
      <c r="A1" s="4" t="s">
        <v>0</v>
      </c>
      <c r="B1" s="4" t="s">
        <v>8</v>
      </c>
      <c r="C1" s="4" t="s">
        <v>4</v>
      </c>
      <c r="D1" s="4" t="s">
        <v>5</v>
      </c>
      <c r="E1" s="4" t="s">
        <v>11</v>
      </c>
      <c r="F1" s="4" t="s">
        <v>12</v>
      </c>
      <c r="G1" s="4" t="s">
        <v>7</v>
      </c>
      <c r="H1" s="81"/>
      <c r="I1" s="81"/>
      <c r="J1" s="81"/>
      <c r="K1" s="4" t="s">
        <v>9</v>
      </c>
    </row>
    <row r="2">
      <c r="A2" s="34"/>
      <c r="B2" s="149"/>
      <c r="C2" s="34"/>
      <c r="D2" s="27" t="s">
        <v>26079</v>
      </c>
      <c r="E2" s="34"/>
      <c r="F2" s="67"/>
      <c r="G2" s="67"/>
      <c r="H2" s="34"/>
      <c r="I2" s="34"/>
      <c r="J2" s="34"/>
      <c r="K2" s="34"/>
    </row>
    <row r="3">
      <c r="A3" s="150" t="s">
        <v>26081</v>
      </c>
    </row>
    <row r="4">
      <c r="C4" s="19"/>
    </row>
    <row r="5">
      <c r="A5" s="151" t="s">
        <v>167</v>
      </c>
      <c r="B5" s="152"/>
      <c r="C5" s="68"/>
      <c r="D5" s="31"/>
    </row>
    <row r="6">
      <c r="A6" s="51" t="s">
        <v>26088</v>
      </c>
      <c r="B6" s="152"/>
      <c r="C6" s="55"/>
      <c r="D6" s="33" t="s">
        <v>26093</v>
      </c>
    </row>
    <row r="7">
      <c r="A7" s="51" t="s">
        <v>26094</v>
      </c>
      <c r="B7" s="153" t="s">
        <v>26095</v>
      </c>
      <c r="C7" s="55"/>
      <c r="D7" s="31"/>
    </row>
    <row r="8">
      <c r="A8" s="51" t="s">
        <v>26099</v>
      </c>
      <c r="B8" s="153" t="s">
        <v>26100</v>
      </c>
      <c r="C8" s="55"/>
      <c r="D8" s="31"/>
    </row>
    <row r="9">
      <c r="A9" s="51" t="s">
        <v>26101</v>
      </c>
      <c r="B9" s="153" t="s">
        <v>26102</v>
      </c>
      <c r="C9" s="55"/>
      <c r="D9" s="31"/>
    </row>
    <row r="10">
      <c r="A10" s="51" t="s">
        <v>26103</v>
      </c>
      <c r="B10" s="153" t="s">
        <v>26104</v>
      </c>
      <c r="C10" s="55"/>
      <c r="D10" s="31"/>
    </row>
    <row r="11">
      <c r="A11" s="51" t="s">
        <v>26105</v>
      </c>
      <c r="B11" s="153" t="s">
        <v>26106</v>
      </c>
      <c r="C11" s="55"/>
      <c r="D11" s="31"/>
    </row>
    <row r="12">
      <c r="A12" s="51" t="s">
        <v>26107</v>
      </c>
      <c r="B12" s="153" t="s">
        <v>26109</v>
      </c>
      <c r="C12" s="55"/>
      <c r="D12" s="31"/>
    </row>
    <row r="13">
      <c r="A13" s="51" t="s">
        <v>26111</v>
      </c>
      <c r="B13" s="153" t="s">
        <v>26112</v>
      </c>
      <c r="C13" s="55"/>
      <c r="D13" s="31"/>
    </row>
    <row r="14">
      <c r="A14" s="51" t="s">
        <v>26113</v>
      </c>
      <c r="B14" s="153" t="s">
        <v>4191</v>
      </c>
      <c r="C14" s="55"/>
      <c r="D14" s="31"/>
    </row>
    <row r="15">
      <c r="A15" s="51" t="s">
        <v>26114</v>
      </c>
      <c r="B15" s="153" t="s">
        <v>6611</v>
      </c>
      <c r="C15" s="55"/>
      <c r="D15" s="33" t="s">
        <v>26115</v>
      </c>
    </row>
    <row r="16">
      <c r="A16" s="51" t="s">
        <v>26116</v>
      </c>
      <c r="B16" s="153" t="s">
        <v>16501</v>
      </c>
      <c r="C16" s="55"/>
      <c r="D16" s="33" t="s">
        <v>26115</v>
      </c>
    </row>
    <row r="17">
      <c r="A17" s="51" t="s">
        <v>26117</v>
      </c>
      <c r="B17" s="153" t="s">
        <v>2959</v>
      </c>
      <c r="C17" s="79"/>
      <c r="D17" s="33" t="s">
        <v>26115</v>
      </c>
      <c r="F17" s="46" t="s">
        <v>2756</v>
      </c>
    </row>
    <row r="18">
      <c r="A18" s="51" t="s">
        <v>26119</v>
      </c>
      <c r="B18" s="153" t="s">
        <v>26120</v>
      </c>
      <c r="C18" s="55"/>
      <c r="D18" s="33" t="s">
        <v>26115</v>
      </c>
    </row>
    <row r="19">
      <c r="A19" s="51" t="s">
        <v>26122</v>
      </c>
      <c r="B19" s="153" t="s">
        <v>4156</v>
      </c>
      <c r="C19" s="55"/>
      <c r="D19" s="33" t="s">
        <v>26115</v>
      </c>
    </row>
    <row r="20">
      <c r="A20" s="51" t="s">
        <v>26123</v>
      </c>
      <c r="B20" s="153" t="s">
        <v>4191</v>
      </c>
      <c r="C20" s="55"/>
      <c r="D20" s="33" t="s">
        <v>26115</v>
      </c>
    </row>
    <row r="21">
      <c r="A21" s="51" t="s">
        <v>26125</v>
      </c>
      <c r="B21" s="153" t="s">
        <v>26126</v>
      </c>
      <c r="C21" s="55"/>
      <c r="D21" s="31"/>
    </row>
    <row r="22">
      <c r="A22" s="51" t="s">
        <v>26127</v>
      </c>
      <c r="B22" s="153" t="s">
        <v>4191</v>
      </c>
      <c r="C22" s="55"/>
      <c r="D22" s="31"/>
    </row>
    <row r="23">
      <c r="A23" s="51" t="s">
        <v>26128</v>
      </c>
      <c r="B23" s="153" t="s">
        <v>4191</v>
      </c>
      <c r="C23" s="55"/>
      <c r="D23" s="31"/>
    </row>
    <row r="24">
      <c r="A24" s="51" t="s">
        <v>26129</v>
      </c>
      <c r="B24" s="153" t="s">
        <v>4191</v>
      </c>
      <c r="C24" s="55"/>
      <c r="D24" s="31"/>
    </row>
    <row r="25">
      <c r="A25" s="51" t="s">
        <v>26130</v>
      </c>
      <c r="B25" s="153" t="s">
        <v>4191</v>
      </c>
      <c r="C25" s="55"/>
      <c r="D25" s="31"/>
    </row>
    <row r="26">
      <c r="A26" s="51" t="s">
        <v>26132</v>
      </c>
      <c r="B26" s="153" t="s">
        <v>4191</v>
      </c>
      <c r="C26" s="55"/>
      <c r="D26" s="31"/>
    </row>
    <row r="27">
      <c r="A27" s="51" t="s">
        <v>26133</v>
      </c>
      <c r="B27" s="153" t="s">
        <v>4191</v>
      </c>
      <c r="C27" s="55"/>
      <c r="D27" s="31"/>
    </row>
    <row r="28">
      <c r="A28" s="51" t="s">
        <v>26136</v>
      </c>
      <c r="B28" s="153" t="s">
        <v>4191</v>
      </c>
      <c r="C28" s="55"/>
      <c r="D28" s="31"/>
    </row>
    <row r="29">
      <c r="A29" s="51" t="s">
        <v>26139</v>
      </c>
      <c r="B29" s="153" t="s">
        <v>4191</v>
      </c>
      <c r="C29" s="55"/>
      <c r="D29" s="31"/>
    </row>
    <row r="30">
      <c r="A30" s="51" t="s">
        <v>26140</v>
      </c>
      <c r="B30" s="153" t="s">
        <v>4476</v>
      </c>
      <c r="C30" s="55"/>
      <c r="D30" s="31"/>
    </row>
    <row r="31">
      <c r="A31" s="51" t="s">
        <v>26141</v>
      </c>
      <c r="B31" s="153" t="s">
        <v>4240</v>
      </c>
      <c r="C31" s="55"/>
      <c r="D31" s="31"/>
    </row>
    <row r="32">
      <c r="A32" s="51" t="s">
        <v>26142</v>
      </c>
      <c r="B32" s="153" t="s">
        <v>26143</v>
      </c>
      <c r="C32" s="55"/>
      <c r="D32" s="31"/>
    </row>
    <row r="33">
      <c r="A33" s="51" t="s">
        <v>26144</v>
      </c>
      <c r="B33" s="153" t="s">
        <v>3997</v>
      </c>
      <c r="C33" s="82"/>
      <c r="D33" s="33" t="s">
        <v>26145</v>
      </c>
      <c r="F33" s="46" t="s">
        <v>1348</v>
      </c>
    </row>
    <row r="34">
      <c r="A34" s="51" t="s">
        <v>26147</v>
      </c>
      <c r="B34" s="153" t="s">
        <v>3997</v>
      </c>
      <c r="C34" s="82"/>
      <c r="D34" s="33" t="s">
        <v>26150</v>
      </c>
      <c r="F34" s="46" t="s">
        <v>1348</v>
      </c>
      <c r="G34" s="46" t="s">
        <v>26151</v>
      </c>
    </row>
    <row r="35">
      <c r="A35" s="51" t="s">
        <v>26152</v>
      </c>
      <c r="B35" s="153" t="s">
        <v>3997</v>
      </c>
      <c r="C35" s="82"/>
      <c r="D35" s="33" t="s">
        <v>26153</v>
      </c>
      <c r="F35" s="46" t="s">
        <v>1348</v>
      </c>
      <c r="G35" s="46" t="s">
        <v>26151</v>
      </c>
    </row>
    <row r="36">
      <c r="A36" s="51" t="s">
        <v>26154</v>
      </c>
      <c r="B36" s="153" t="s">
        <v>3997</v>
      </c>
      <c r="C36" s="82"/>
      <c r="D36" s="33" t="s">
        <v>26155</v>
      </c>
      <c r="F36" s="46" t="s">
        <v>1348</v>
      </c>
      <c r="G36" s="46" t="s">
        <v>26151</v>
      </c>
    </row>
    <row r="37">
      <c r="A37" s="51" t="s">
        <v>26156</v>
      </c>
      <c r="B37" s="153" t="s">
        <v>5891</v>
      </c>
      <c r="C37" s="21"/>
      <c r="D37" s="33" t="s">
        <v>26158</v>
      </c>
    </row>
    <row r="38">
      <c r="A38" s="51" t="s">
        <v>26159</v>
      </c>
      <c r="B38" s="153" t="s">
        <v>26160</v>
      </c>
      <c r="C38" s="21"/>
      <c r="D38" s="33" t="s">
        <v>26161</v>
      </c>
    </row>
    <row r="39">
      <c r="A39" s="51" t="s">
        <v>26162</v>
      </c>
      <c r="B39" s="153" t="s">
        <v>9973</v>
      </c>
      <c r="C39" s="79"/>
      <c r="D39" s="33" t="s">
        <v>26161</v>
      </c>
      <c r="F39" s="46" t="s">
        <v>2756</v>
      </c>
    </row>
    <row r="40">
      <c r="A40" s="51" t="s">
        <v>26164</v>
      </c>
      <c r="B40" s="153" t="s">
        <v>3573</v>
      </c>
      <c r="C40" s="82"/>
      <c r="D40" s="33" t="s">
        <v>26165</v>
      </c>
      <c r="F40" s="46" t="s">
        <v>2775</v>
      </c>
    </row>
    <row r="41">
      <c r="A41" s="51" t="s">
        <v>26166</v>
      </c>
      <c r="B41" s="153" t="s">
        <v>3355</v>
      </c>
      <c r="C41" s="82"/>
      <c r="D41" s="33" t="s">
        <v>26167</v>
      </c>
      <c r="F41" s="46" t="s">
        <v>2775</v>
      </c>
    </row>
    <row r="42">
      <c r="A42" s="51" t="s">
        <v>26168</v>
      </c>
      <c r="B42" s="153" t="s">
        <v>3648</v>
      </c>
      <c r="C42" s="82"/>
      <c r="D42" s="33" t="s">
        <v>26169</v>
      </c>
      <c r="F42" s="46" t="s">
        <v>2775</v>
      </c>
    </row>
    <row r="43">
      <c r="A43" s="51" t="s">
        <v>26170</v>
      </c>
      <c r="B43" s="153" t="s">
        <v>4217</v>
      </c>
      <c r="C43" s="82"/>
      <c r="D43" s="33" t="s">
        <v>26171</v>
      </c>
      <c r="F43" s="46" t="s">
        <v>2775</v>
      </c>
    </row>
    <row r="44">
      <c r="A44" s="51" t="s">
        <v>26172</v>
      </c>
      <c r="B44" s="153" t="s">
        <v>3412</v>
      </c>
      <c r="C44" s="82"/>
      <c r="D44" s="33" t="s">
        <v>26174</v>
      </c>
      <c r="F44" s="46" t="s">
        <v>2775</v>
      </c>
    </row>
    <row r="45">
      <c r="A45" s="51" t="s">
        <v>26175</v>
      </c>
      <c r="B45" s="153" t="s">
        <v>5925</v>
      </c>
      <c r="C45" s="82"/>
      <c r="D45" s="33" t="s">
        <v>26176</v>
      </c>
      <c r="F45" s="46" t="s">
        <v>2775</v>
      </c>
    </row>
    <row r="46">
      <c r="A46" s="51" t="s">
        <v>26177</v>
      </c>
      <c r="B46" s="153" t="s">
        <v>26179</v>
      </c>
      <c r="C46" s="82"/>
      <c r="D46" s="33" t="s">
        <v>26180</v>
      </c>
      <c r="F46" s="46" t="s">
        <v>2775</v>
      </c>
    </row>
    <row r="47">
      <c r="A47" s="51" t="s">
        <v>26182</v>
      </c>
      <c r="B47" s="153" t="s">
        <v>9571</v>
      </c>
      <c r="C47" s="82"/>
      <c r="D47" s="33" t="s">
        <v>26183</v>
      </c>
      <c r="F47" s="46" t="s">
        <v>2775</v>
      </c>
    </row>
    <row r="48">
      <c r="A48" s="51" t="s">
        <v>26184</v>
      </c>
      <c r="B48" s="153" t="s">
        <v>7270</v>
      </c>
      <c r="C48" s="82"/>
      <c r="D48" s="33" t="s">
        <v>26186</v>
      </c>
      <c r="F48" s="46" t="s">
        <v>2775</v>
      </c>
    </row>
    <row r="49">
      <c r="A49" s="51" t="s">
        <v>26187</v>
      </c>
      <c r="B49" s="153" t="s">
        <v>5891</v>
      </c>
      <c r="C49" s="21"/>
      <c r="D49" s="33" t="s">
        <v>26188</v>
      </c>
      <c r="F49" s="46" t="s">
        <v>2775</v>
      </c>
    </row>
    <row r="50">
      <c r="A50" s="51" t="s">
        <v>26189</v>
      </c>
      <c r="B50" s="153" t="s">
        <v>3355</v>
      </c>
      <c r="C50" s="21"/>
      <c r="D50" s="33" t="s">
        <v>26188</v>
      </c>
      <c r="F50" s="46" t="s">
        <v>2775</v>
      </c>
    </row>
    <row r="51">
      <c r="A51" s="51" t="s">
        <v>26190</v>
      </c>
      <c r="B51" s="153" t="s">
        <v>5904</v>
      </c>
      <c r="C51" s="82"/>
      <c r="D51" s="33" t="s">
        <v>26191</v>
      </c>
      <c r="F51" s="46" t="s">
        <v>2775</v>
      </c>
    </row>
    <row r="52">
      <c r="A52" s="51" t="s">
        <v>26192</v>
      </c>
      <c r="B52" s="153" t="s">
        <v>26193</v>
      </c>
      <c r="C52" s="82"/>
      <c r="D52" s="33" t="s">
        <v>26194</v>
      </c>
      <c r="F52" s="46" t="s">
        <v>2775</v>
      </c>
    </row>
    <row r="53">
      <c r="A53" s="51" t="s">
        <v>26196</v>
      </c>
      <c r="B53" s="153" t="s">
        <v>3842</v>
      </c>
      <c r="C53" s="21"/>
      <c r="D53" s="33" t="s">
        <v>26188</v>
      </c>
      <c r="F53" s="46" t="s">
        <v>2775</v>
      </c>
    </row>
    <row r="54">
      <c r="A54" s="51" t="s">
        <v>26198</v>
      </c>
      <c r="B54" s="153" t="s">
        <v>3519</v>
      </c>
      <c r="C54" s="21"/>
      <c r="D54" s="33" t="s">
        <v>26188</v>
      </c>
      <c r="F54" s="46" t="s">
        <v>2775</v>
      </c>
    </row>
    <row r="55">
      <c r="A55" s="51" t="s">
        <v>26201</v>
      </c>
      <c r="B55" s="153" t="s">
        <v>3519</v>
      </c>
      <c r="C55" s="21"/>
      <c r="D55" s="33" t="s">
        <v>26188</v>
      </c>
      <c r="F55" s="46" t="s">
        <v>2775</v>
      </c>
    </row>
    <row r="56">
      <c r="A56" s="51" t="s">
        <v>26202</v>
      </c>
      <c r="B56" s="153" t="s">
        <v>3614</v>
      </c>
      <c r="C56" s="21"/>
      <c r="D56" s="33" t="s">
        <v>26188</v>
      </c>
      <c r="F56" s="46" t="s">
        <v>2775</v>
      </c>
    </row>
    <row r="57">
      <c r="A57" s="51" t="s">
        <v>26203</v>
      </c>
      <c r="B57" s="153" t="s">
        <v>3412</v>
      </c>
      <c r="C57" s="21"/>
      <c r="D57" s="33" t="s">
        <v>26188</v>
      </c>
      <c r="F57" s="46" t="s">
        <v>2775</v>
      </c>
    </row>
    <row r="58">
      <c r="A58" s="51" t="s">
        <v>26205</v>
      </c>
      <c r="B58" s="153" t="s">
        <v>3853</v>
      </c>
      <c r="C58" s="21"/>
      <c r="D58" s="33" t="s">
        <v>26188</v>
      </c>
      <c r="F58" s="46" t="s">
        <v>2775</v>
      </c>
    </row>
    <row r="59">
      <c r="A59" s="51" t="s">
        <v>26206</v>
      </c>
      <c r="B59" s="153" t="s">
        <v>3853</v>
      </c>
      <c r="C59" s="21"/>
      <c r="D59" s="33" t="s">
        <v>26188</v>
      </c>
      <c r="F59" s="46" t="s">
        <v>2775</v>
      </c>
    </row>
    <row r="60">
      <c r="A60" s="51" t="s">
        <v>26207</v>
      </c>
      <c r="B60" s="153" t="s">
        <v>4357</v>
      </c>
      <c r="C60" s="82"/>
      <c r="D60" s="33" t="s">
        <v>26208</v>
      </c>
      <c r="F60" s="46" t="s">
        <v>2775</v>
      </c>
    </row>
    <row r="61">
      <c r="A61" s="51" t="s">
        <v>26210</v>
      </c>
      <c r="B61" s="153" t="s">
        <v>4841</v>
      </c>
      <c r="C61" s="82"/>
      <c r="D61" s="33" t="s">
        <v>26211</v>
      </c>
      <c r="F61" s="46" t="s">
        <v>2775</v>
      </c>
    </row>
    <row r="62">
      <c r="A62" s="51" t="s">
        <v>26212</v>
      </c>
      <c r="B62" s="153" t="s">
        <v>6018</v>
      </c>
      <c r="C62" s="82"/>
      <c r="D62" s="33" t="s">
        <v>26213</v>
      </c>
      <c r="F62" s="46" t="s">
        <v>2775</v>
      </c>
    </row>
    <row r="63">
      <c r="A63" s="51" t="s">
        <v>26214</v>
      </c>
      <c r="B63" s="153" t="s">
        <v>4841</v>
      </c>
      <c r="C63" s="82"/>
      <c r="D63" s="33" t="s">
        <v>26211</v>
      </c>
      <c r="F63" s="46" t="s">
        <v>2775</v>
      </c>
    </row>
    <row r="64">
      <c r="A64" s="51" t="s">
        <v>26215</v>
      </c>
      <c r="B64" s="153" t="s">
        <v>6018</v>
      </c>
      <c r="C64" s="82"/>
      <c r="D64" s="33" t="s">
        <v>26213</v>
      </c>
      <c r="F64" s="46" t="s">
        <v>2775</v>
      </c>
    </row>
    <row r="65">
      <c r="A65" s="51" t="s">
        <v>26217</v>
      </c>
      <c r="B65" s="153" t="s">
        <v>13619</v>
      </c>
      <c r="C65" s="82"/>
      <c r="D65" s="33" t="s">
        <v>26218</v>
      </c>
      <c r="F65" s="46" t="s">
        <v>2775</v>
      </c>
    </row>
    <row r="66">
      <c r="A66" s="51" t="s">
        <v>26219</v>
      </c>
      <c r="B66" s="153" t="s">
        <v>10955</v>
      </c>
      <c r="C66" s="55"/>
      <c r="D66" s="31"/>
    </row>
    <row r="67">
      <c r="A67" s="51" t="s">
        <v>26220</v>
      </c>
      <c r="B67" s="153" t="s">
        <v>26221</v>
      </c>
      <c r="C67" s="55"/>
      <c r="D67" s="31"/>
    </row>
    <row r="68">
      <c r="A68" s="51" t="s">
        <v>26222</v>
      </c>
      <c r="B68" s="153" t="s">
        <v>26223</v>
      </c>
      <c r="C68" s="21"/>
      <c r="D68" s="33" t="s">
        <v>26224</v>
      </c>
    </row>
    <row r="69">
      <c r="A69" s="51" t="s">
        <v>26225</v>
      </c>
      <c r="B69" s="153" t="s">
        <v>16501</v>
      </c>
      <c r="C69" s="21"/>
      <c r="D69" s="33" t="s">
        <v>26224</v>
      </c>
    </row>
    <row r="70">
      <c r="A70" s="51" t="s">
        <v>26226</v>
      </c>
      <c r="B70" s="153" t="s">
        <v>3893</v>
      </c>
      <c r="C70" s="79"/>
      <c r="D70" s="33" t="s">
        <v>26224</v>
      </c>
      <c r="F70" s="46" t="s">
        <v>2756</v>
      </c>
    </row>
    <row r="71">
      <c r="A71" s="51" t="s">
        <v>26227</v>
      </c>
      <c r="B71" s="153" t="s">
        <v>3318</v>
      </c>
      <c r="C71" s="82"/>
      <c r="D71" s="33" t="s">
        <v>26228</v>
      </c>
      <c r="F71" s="46" t="s">
        <v>2775</v>
      </c>
    </row>
    <row r="72">
      <c r="A72" s="51" t="s">
        <v>26229</v>
      </c>
      <c r="B72" s="153" t="s">
        <v>3481</v>
      </c>
      <c r="C72" s="82"/>
      <c r="D72" s="33" t="s">
        <v>26231</v>
      </c>
      <c r="F72" s="46" t="s">
        <v>2775</v>
      </c>
    </row>
    <row r="73">
      <c r="A73" s="51" t="s">
        <v>26232</v>
      </c>
      <c r="B73" s="153" t="s">
        <v>4841</v>
      </c>
      <c r="C73" s="82"/>
      <c r="D73" s="33" t="s">
        <v>26233</v>
      </c>
      <c r="F73" s="46" t="s">
        <v>2775</v>
      </c>
    </row>
    <row r="74">
      <c r="A74" s="51" t="s">
        <v>26234</v>
      </c>
      <c r="B74" s="153" t="s">
        <v>3723</v>
      </c>
      <c r="C74" s="82"/>
      <c r="D74" s="33" t="s">
        <v>26231</v>
      </c>
      <c r="F74" s="46" t="s">
        <v>2775</v>
      </c>
    </row>
    <row r="75">
      <c r="A75" s="51" t="s">
        <v>26236</v>
      </c>
      <c r="B75" s="153" t="s">
        <v>26095</v>
      </c>
      <c r="C75" s="82"/>
      <c r="D75" s="33" t="s">
        <v>26237</v>
      </c>
      <c r="F75" s="46" t="s">
        <v>1348</v>
      </c>
    </row>
    <row r="76">
      <c r="A76" s="51" t="s">
        <v>26238</v>
      </c>
      <c r="B76" s="153" t="s">
        <v>3997</v>
      </c>
      <c r="C76" s="55"/>
      <c r="D76" s="31"/>
    </row>
    <row r="77">
      <c r="A77" s="51" t="s">
        <v>26239</v>
      </c>
      <c r="B77" s="153" t="s">
        <v>13844</v>
      </c>
      <c r="C77" s="55"/>
      <c r="D77" s="31"/>
    </row>
    <row r="78">
      <c r="A78" s="51" t="s">
        <v>26240</v>
      </c>
      <c r="B78" s="153" t="s">
        <v>26104</v>
      </c>
      <c r="C78" s="55"/>
      <c r="D78" s="31"/>
    </row>
    <row r="79">
      <c r="A79" s="51" t="s">
        <v>26241</v>
      </c>
      <c r="B79" s="153" t="s">
        <v>26242</v>
      </c>
      <c r="C79" s="55"/>
      <c r="D79" s="31"/>
    </row>
    <row r="80">
      <c r="A80" s="51" t="s">
        <v>26244</v>
      </c>
      <c r="B80" s="153" t="s">
        <v>26104</v>
      </c>
      <c r="C80" s="82"/>
      <c r="D80" s="33" t="s">
        <v>26245</v>
      </c>
      <c r="F80" s="46" t="s">
        <v>1348</v>
      </c>
    </row>
    <row r="81">
      <c r="A81" s="51" t="s">
        <v>26246</v>
      </c>
      <c r="B81" s="153" t="s">
        <v>3997</v>
      </c>
      <c r="C81" s="55"/>
      <c r="D81" s="31"/>
    </row>
    <row r="82">
      <c r="A82" s="51" t="s">
        <v>26247</v>
      </c>
      <c r="B82" s="153" t="s">
        <v>3997</v>
      </c>
      <c r="C82" s="55"/>
      <c r="D82" s="31"/>
    </row>
    <row r="83">
      <c r="A83" s="51" t="s">
        <v>26249</v>
      </c>
      <c r="B83" s="153" t="s">
        <v>3997</v>
      </c>
      <c r="C83" s="55"/>
      <c r="D83" s="31"/>
    </row>
    <row r="84">
      <c r="A84" s="51" t="s">
        <v>26250</v>
      </c>
      <c r="B84" s="153" t="s">
        <v>3997</v>
      </c>
      <c r="C84" s="55"/>
      <c r="D84" s="31"/>
    </row>
    <row r="85">
      <c r="A85" s="51" t="s">
        <v>26251</v>
      </c>
      <c r="B85" s="153" t="s">
        <v>4396</v>
      </c>
      <c r="C85" s="55"/>
      <c r="D85" s="31"/>
    </row>
    <row r="86">
      <c r="A86" s="51" t="s">
        <v>26252</v>
      </c>
      <c r="B86" s="153" t="s">
        <v>26253</v>
      </c>
      <c r="C86" s="55"/>
      <c r="D86" s="31"/>
    </row>
    <row r="87">
      <c r="A87" s="51" t="s">
        <v>26254</v>
      </c>
      <c r="B87" s="153" t="s">
        <v>3997</v>
      </c>
      <c r="C87" s="55"/>
      <c r="D87" s="31"/>
    </row>
    <row r="88">
      <c r="A88" s="51" t="s">
        <v>26255</v>
      </c>
      <c r="B88" s="153" t="s">
        <v>26256</v>
      </c>
      <c r="C88" s="55"/>
      <c r="D88" s="31"/>
    </row>
    <row r="89">
      <c r="A89" s="51" t="s">
        <v>26258</v>
      </c>
      <c r="B89" s="153" t="s">
        <v>3997</v>
      </c>
      <c r="C89" s="55"/>
      <c r="D89" s="31"/>
    </row>
    <row r="90">
      <c r="A90" s="51" t="s">
        <v>26259</v>
      </c>
      <c r="B90" s="153" t="s">
        <v>3723</v>
      </c>
      <c r="C90" s="55"/>
      <c r="D90" s="31"/>
    </row>
    <row r="91">
      <c r="A91" s="51" t="s">
        <v>26261</v>
      </c>
      <c r="B91" s="153" t="s">
        <v>26262</v>
      </c>
      <c r="C91" s="55"/>
      <c r="D91" s="31"/>
    </row>
    <row r="92">
      <c r="A92" s="51" t="s">
        <v>26263</v>
      </c>
      <c r="B92" s="153" t="s">
        <v>26126</v>
      </c>
      <c r="C92" s="55"/>
      <c r="D92" s="31"/>
    </row>
    <row r="93">
      <c r="A93" s="51" t="s">
        <v>26264</v>
      </c>
      <c r="B93" s="153" t="s">
        <v>3552</v>
      </c>
      <c r="C93" s="55"/>
      <c r="D93" s="31"/>
    </row>
    <row r="94">
      <c r="A94" s="51" t="s">
        <v>26265</v>
      </c>
      <c r="B94" s="153" t="s">
        <v>3573</v>
      </c>
      <c r="C94" s="21"/>
      <c r="D94" s="33" t="s">
        <v>26266</v>
      </c>
    </row>
    <row r="95">
      <c r="A95" s="51" t="s">
        <v>26267</v>
      </c>
      <c r="B95" s="153" t="s">
        <v>26268</v>
      </c>
      <c r="C95" s="21"/>
      <c r="D95" s="33" t="s">
        <v>26266</v>
      </c>
    </row>
    <row r="96">
      <c r="A96" s="51" t="s">
        <v>26270</v>
      </c>
      <c r="B96" s="153" t="s">
        <v>3007</v>
      </c>
      <c r="C96" s="79"/>
      <c r="D96" s="33" t="s">
        <v>26266</v>
      </c>
      <c r="F96" s="46" t="s">
        <v>2756</v>
      </c>
    </row>
    <row r="97">
      <c r="A97" s="51" t="s">
        <v>26271</v>
      </c>
      <c r="B97" s="153" t="s">
        <v>4122</v>
      </c>
      <c r="C97" s="82"/>
      <c r="D97" s="33" t="s">
        <v>26272</v>
      </c>
      <c r="F97" s="46" t="s">
        <v>2775</v>
      </c>
    </row>
    <row r="98">
      <c r="A98" s="51" t="s">
        <v>26274</v>
      </c>
      <c r="B98" s="153" t="s">
        <v>4396</v>
      </c>
      <c r="C98" s="82"/>
      <c r="D98" s="33" t="s">
        <v>26275</v>
      </c>
      <c r="F98" s="46" t="s">
        <v>2775</v>
      </c>
    </row>
    <row r="99">
      <c r="A99" s="51" t="s">
        <v>26276</v>
      </c>
      <c r="B99" s="153" t="s">
        <v>6029</v>
      </c>
      <c r="C99" s="82"/>
      <c r="D99" s="33" t="s">
        <v>26277</v>
      </c>
      <c r="F99" s="46" t="s">
        <v>2775</v>
      </c>
    </row>
    <row r="100">
      <c r="A100" s="51" t="s">
        <v>26279</v>
      </c>
      <c r="B100" s="153" t="s">
        <v>3434</v>
      </c>
      <c r="C100" s="82"/>
      <c r="D100" s="33" t="s">
        <v>26280</v>
      </c>
      <c r="F100" s="46" t="s">
        <v>2775</v>
      </c>
    </row>
    <row r="101">
      <c r="A101" s="51" t="s">
        <v>26281</v>
      </c>
      <c r="B101" s="153" t="s">
        <v>4372</v>
      </c>
      <c r="C101" s="82"/>
      <c r="D101" s="33" t="s">
        <v>26282</v>
      </c>
      <c r="F101" s="46" t="s">
        <v>2775</v>
      </c>
    </row>
    <row r="102">
      <c r="A102" s="51" t="s">
        <v>26283</v>
      </c>
      <c r="B102" s="153" t="s">
        <v>7301</v>
      </c>
      <c r="C102" s="82"/>
      <c r="D102" s="33" t="s">
        <v>26282</v>
      </c>
      <c r="F102" s="46" t="s">
        <v>2775</v>
      </c>
    </row>
    <row r="103">
      <c r="A103" s="51" t="s">
        <v>26285</v>
      </c>
      <c r="B103" s="153" t="s">
        <v>4185</v>
      </c>
      <c r="C103" s="82"/>
      <c r="D103" s="33" t="s">
        <v>26282</v>
      </c>
      <c r="F103" s="46" t="s">
        <v>2775</v>
      </c>
    </row>
    <row r="104">
      <c r="A104" s="51" t="s">
        <v>26286</v>
      </c>
      <c r="B104" s="153" t="s">
        <v>4357</v>
      </c>
      <c r="C104" s="82"/>
      <c r="D104" s="33" t="s">
        <v>26282</v>
      </c>
      <c r="F104" s="46" t="s">
        <v>2775</v>
      </c>
    </row>
    <row r="105">
      <c r="A105" s="51" t="s">
        <v>26288</v>
      </c>
      <c r="B105" s="153" t="s">
        <v>3519</v>
      </c>
      <c r="C105" s="82"/>
      <c r="D105" s="33" t="s">
        <v>26289</v>
      </c>
      <c r="F105" s="46" t="s">
        <v>2775</v>
      </c>
    </row>
    <row r="106">
      <c r="A106" s="51" t="s">
        <v>26290</v>
      </c>
      <c r="B106" s="153" t="s">
        <v>7165</v>
      </c>
      <c r="C106" s="82"/>
      <c r="D106" s="33" t="s">
        <v>26291</v>
      </c>
      <c r="F106" s="46" t="s">
        <v>2775</v>
      </c>
    </row>
    <row r="107">
      <c r="A107" s="51" t="s">
        <v>26292</v>
      </c>
      <c r="B107" s="153" t="s">
        <v>4719</v>
      </c>
      <c r="C107" s="82"/>
      <c r="D107" s="33" t="s">
        <v>26291</v>
      </c>
      <c r="F107" s="46" t="s">
        <v>2775</v>
      </c>
    </row>
    <row r="108">
      <c r="A108" s="51" t="s">
        <v>26293</v>
      </c>
      <c r="B108" s="153" t="s">
        <v>4372</v>
      </c>
      <c r="C108" s="82"/>
      <c r="D108" s="33" t="s">
        <v>26291</v>
      </c>
      <c r="F108" s="46" t="s">
        <v>2775</v>
      </c>
    </row>
    <row r="109">
      <c r="A109" s="51" t="s">
        <v>26294</v>
      </c>
      <c r="B109" s="153" t="s">
        <v>3573</v>
      </c>
      <c r="C109" s="82"/>
      <c r="D109" s="33" t="s">
        <v>26296</v>
      </c>
      <c r="F109" s="46" t="s">
        <v>2775</v>
      </c>
    </row>
    <row r="110">
      <c r="A110" s="51" t="s">
        <v>26298</v>
      </c>
      <c r="B110" s="153" t="s">
        <v>3723</v>
      </c>
      <c r="C110" s="82"/>
      <c r="D110" s="33" t="s">
        <v>26299</v>
      </c>
      <c r="F110" s="46" t="s">
        <v>2775</v>
      </c>
    </row>
    <row r="111">
      <c r="A111" s="51" t="s">
        <v>26300</v>
      </c>
      <c r="B111" s="153" t="s">
        <v>4396</v>
      </c>
      <c r="C111" s="82"/>
      <c r="D111" s="33" t="s">
        <v>26275</v>
      </c>
      <c r="F111" s="46" t="s">
        <v>2775</v>
      </c>
    </row>
    <row r="112">
      <c r="A112" s="51" t="s">
        <v>26301</v>
      </c>
      <c r="B112" s="153" t="s">
        <v>6029</v>
      </c>
      <c r="C112" s="82"/>
      <c r="D112" s="33" t="s">
        <v>26277</v>
      </c>
      <c r="F112" s="46" t="s">
        <v>2775</v>
      </c>
    </row>
    <row r="113">
      <c r="A113" s="51" t="s">
        <v>26302</v>
      </c>
      <c r="B113" s="153" t="s">
        <v>3465</v>
      </c>
      <c r="C113" s="82"/>
      <c r="D113" s="33" t="s">
        <v>26280</v>
      </c>
      <c r="F113" s="46" t="s">
        <v>2775</v>
      </c>
    </row>
    <row r="114">
      <c r="A114" s="51" t="s">
        <v>26304</v>
      </c>
      <c r="B114" s="153" t="s">
        <v>4372</v>
      </c>
      <c r="C114" s="82"/>
      <c r="D114" s="33" t="s">
        <v>26282</v>
      </c>
      <c r="F114" s="46" t="s">
        <v>2775</v>
      </c>
    </row>
    <row r="115">
      <c r="A115" s="51" t="s">
        <v>26306</v>
      </c>
      <c r="B115" s="153" t="s">
        <v>7301</v>
      </c>
      <c r="C115" s="82"/>
      <c r="D115" s="33" t="s">
        <v>26282</v>
      </c>
      <c r="F115" s="46" t="s">
        <v>2775</v>
      </c>
    </row>
    <row r="116">
      <c r="A116" s="51" t="s">
        <v>26307</v>
      </c>
      <c r="B116" s="153" t="s">
        <v>4185</v>
      </c>
      <c r="C116" s="82"/>
      <c r="D116" s="33" t="s">
        <v>26282</v>
      </c>
      <c r="F116" s="46" t="s">
        <v>2775</v>
      </c>
    </row>
    <row r="117">
      <c r="A117" s="51" t="s">
        <v>26308</v>
      </c>
      <c r="B117" s="153" t="s">
        <v>4357</v>
      </c>
      <c r="C117" s="82"/>
      <c r="D117" s="33" t="s">
        <v>26282</v>
      </c>
      <c r="F117" s="46" t="s">
        <v>2775</v>
      </c>
    </row>
    <row r="118">
      <c r="A118" s="51" t="s">
        <v>26309</v>
      </c>
      <c r="B118" s="153" t="s">
        <v>3519</v>
      </c>
      <c r="C118" s="82"/>
      <c r="D118" s="33" t="s">
        <v>26289</v>
      </c>
      <c r="F118" s="46" t="s">
        <v>2775</v>
      </c>
    </row>
    <row r="119">
      <c r="A119" s="51" t="s">
        <v>26311</v>
      </c>
      <c r="B119" s="153" t="s">
        <v>10195</v>
      </c>
      <c r="C119" s="82"/>
      <c r="D119" s="33" t="s">
        <v>26313</v>
      </c>
      <c r="F119" s="46" t="s">
        <v>2775</v>
      </c>
    </row>
    <row r="120">
      <c r="A120" s="51" t="s">
        <v>26314</v>
      </c>
      <c r="B120" s="153" t="s">
        <v>4732</v>
      </c>
      <c r="C120" s="82"/>
      <c r="D120" s="33" t="s">
        <v>26315</v>
      </c>
      <c r="F120" s="46" t="s">
        <v>2775</v>
      </c>
    </row>
    <row r="121">
      <c r="A121" s="51" t="s">
        <v>26316</v>
      </c>
      <c r="B121" s="153" t="s">
        <v>7301</v>
      </c>
      <c r="C121" s="82"/>
      <c r="D121" s="33" t="s">
        <v>26317</v>
      </c>
      <c r="F121" s="46" t="s">
        <v>2775</v>
      </c>
    </row>
    <row r="122">
      <c r="A122" s="51" t="s">
        <v>26318</v>
      </c>
      <c r="B122" s="153" t="s">
        <v>3658</v>
      </c>
      <c r="C122" s="82"/>
      <c r="D122" s="33" t="s">
        <v>26319</v>
      </c>
      <c r="F122" s="46" t="s">
        <v>2775</v>
      </c>
    </row>
    <row r="123">
      <c r="A123" s="51" t="s">
        <v>26320</v>
      </c>
      <c r="B123" s="153" t="s">
        <v>14980</v>
      </c>
      <c r="C123" s="82"/>
      <c r="D123" s="33" t="s">
        <v>26313</v>
      </c>
      <c r="F123" s="46" t="s">
        <v>2775</v>
      </c>
    </row>
    <row r="124">
      <c r="A124" s="51" t="s">
        <v>26323</v>
      </c>
      <c r="B124" s="153" t="s">
        <v>4439</v>
      </c>
      <c r="C124" s="82"/>
      <c r="D124" s="33" t="s">
        <v>26315</v>
      </c>
      <c r="F124" s="46" t="s">
        <v>2775</v>
      </c>
    </row>
    <row r="125">
      <c r="A125" s="51" t="s">
        <v>26324</v>
      </c>
      <c r="B125" s="153" t="s">
        <v>3412</v>
      </c>
      <c r="C125" s="82"/>
      <c r="D125" s="33" t="s">
        <v>26317</v>
      </c>
      <c r="F125" s="46" t="s">
        <v>2775</v>
      </c>
    </row>
    <row r="126">
      <c r="A126" s="51" t="s">
        <v>26326</v>
      </c>
      <c r="B126" s="153" t="s">
        <v>3658</v>
      </c>
      <c r="C126" s="82"/>
      <c r="D126" s="33" t="s">
        <v>26319</v>
      </c>
      <c r="F126" s="46" t="s">
        <v>2775</v>
      </c>
    </row>
    <row r="127">
      <c r="A127" s="51" t="s">
        <v>26328</v>
      </c>
      <c r="B127" s="153" t="s">
        <v>3343</v>
      </c>
      <c r="C127" s="82"/>
      <c r="D127" s="33" t="s">
        <v>26330</v>
      </c>
      <c r="F127" s="46" t="s">
        <v>2775</v>
      </c>
    </row>
    <row r="128">
      <c r="A128" s="51" t="s">
        <v>26332</v>
      </c>
      <c r="B128" s="153" t="s">
        <v>3343</v>
      </c>
      <c r="C128" s="82"/>
      <c r="D128" s="33" t="s">
        <v>26330</v>
      </c>
      <c r="F128" s="46" t="s">
        <v>2775</v>
      </c>
    </row>
    <row r="129">
      <c r="A129" s="51" t="s">
        <v>26334</v>
      </c>
      <c r="B129" s="153" t="s">
        <v>3343</v>
      </c>
      <c r="C129" s="82"/>
      <c r="D129" s="33" t="s">
        <v>26330</v>
      </c>
      <c r="F129" s="46" t="s">
        <v>2775</v>
      </c>
    </row>
    <row r="130">
      <c r="A130" s="51" t="s">
        <v>26337</v>
      </c>
      <c r="B130" s="153" t="s">
        <v>3355</v>
      </c>
      <c r="C130" s="82"/>
      <c r="D130" s="33" t="s">
        <v>26330</v>
      </c>
      <c r="F130" s="46" t="s">
        <v>2775</v>
      </c>
    </row>
    <row r="131">
      <c r="A131" s="51" t="s">
        <v>26341</v>
      </c>
      <c r="B131" s="153" t="s">
        <v>3343</v>
      </c>
      <c r="C131" s="82"/>
      <c r="D131" s="33" t="s">
        <v>26330</v>
      </c>
      <c r="F131" s="46" t="s">
        <v>2775</v>
      </c>
    </row>
    <row r="132">
      <c r="A132" s="51" t="s">
        <v>26344</v>
      </c>
      <c r="B132" s="153" t="s">
        <v>3412</v>
      </c>
      <c r="C132" s="82"/>
      <c r="D132" s="33" t="s">
        <v>26330</v>
      </c>
      <c r="F132" s="46" t="s">
        <v>2775</v>
      </c>
    </row>
    <row r="133">
      <c r="A133" s="51" t="s">
        <v>26346</v>
      </c>
      <c r="B133" s="153" t="s">
        <v>4264</v>
      </c>
      <c r="C133" s="82"/>
      <c r="D133" s="33" t="s">
        <v>26347</v>
      </c>
      <c r="F133" s="46" t="s">
        <v>2775</v>
      </c>
    </row>
    <row r="134">
      <c r="A134" s="51" t="s">
        <v>26349</v>
      </c>
      <c r="B134" s="153" t="s">
        <v>4167</v>
      </c>
      <c r="C134" s="21"/>
      <c r="D134" s="33" t="s">
        <v>26350</v>
      </c>
    </row>
    <row r="135">
      <c r="A135" s="51" t="s">
        <v>26351</v>
      </c>
      <c r="B135" s="153" t="s">
        <v>26268</v>
      </c>
      <c r="C135" s="21"/>
      <c r="D135" s="33" t="s">
        <v>26350</v>
      </c>
    </row>
    <row r="136">
      <c r="A136" s="51" t="s">
        <v>26352</v>
      </c>
      <c r="B136" s="153" t="s">
        <v>6789</v>
      </c>
      <c r="C136" s="40"/>
      <c r="D136" s="33" t="s">
        <v>26350</v>
      </c>
      <c r="F136" s="46" t="s">
        <v>2756</v>
      </c>
    </row>
    <row r="137">
      <c r="A137" s="51" t="s">
        <v>26354</v>
      </c>
      <c r="B137" s="153" t="s">
        <v>26120</v>
      </c>
      <c r="C137" s="82"/>
      <c r="D137" s="33" t="s">
        <v>26355</v>
      </c>
      <c r="F137" s="46" t="s">
        <v>2775</v>
      </c>
    </row>
    <row r="138">
      <c r="A138" s="51" t="s">
        <v>26357</v>
      </c>
      <c r="B138" s="153" t="s">
        <v>3318</v>
      </c>
      <c r="C138" s="82"/>
      <c r="D138" s="33" t="s">
        <v>26358</v>
      </c>
      <c r="F138" s="46" t="s">
        <v>2775</v>
      </c>
    </row>
    <row r="139">
      <c r="A139" s="51" t="s">
        <v>26359</v>
      </c>
      <c r="B139" s="153" t="s">
        <v>4396</v>
      </c>
      <c r="C139" s="82"/>
      <c r="D139" s="33" t="s">
        <v>26360</v>
      </c>
      <c r="F139" s="46" t="s">
        <v>2775</v>
      </c>
    </row>
    <row r="140">
      <c r="A140" s="51" t="s">
        <v>26362</v>
      </c>
      <c r="B140" s="153" t="s">
        <v>9600</v>
      </c>
      <c r="C140" s="82"/>
      <c r="D140" s="33" t="s">
        <v>26363</v>
      </c>
      <c r="F140" s="46" t="s">
        <v>2775</v>
      </c>
    </row>
    <row r="141">
      <c r="A141" s="51" t="s">
        <v>26364</v>
      </c>
      <c r="B141" s="153" t="s">
        <v>4396</v>
      </c>
      <c r="C141" s="82"/>
      <c r="D141" s="33" t="s">
        <v>26360</v>
      </c>
      <c r="F141" s="46" t="s">
        <v>2775</v>
      </c>
    </row>
    <row r="142">
      <c r="A142" s="51" t="s">
        <v>26366</v>
      </c>
      <c r="B142" s="153" t="s">
        <v>9600</v>
      </c>
      <c r="C142" s="82"/>
      <c r="D142" s="33" t="s">
        <v>26363</v>
      </c>
      <c r="F142" s="46" t="s">
        <v>2775</v>
      </c>
    </row>
    <row r="143">
      <c r="A143" s="51" t="s">
        <v>26367</v>
      </c>
      <c r="B143" s="153" t="s">
        <v>12399</v>
      </c>
      <c r="C143" s="82"/>
      <c r="D143" s="33" t="s">
        <v>26369</v>
      </c>
      <c r="F143" s="46" t="s">
        <v>2775</v>
      </c>
    </row>
    <row r="144">
      <c r="A144" s="51" t="s">
        <v>26370</v>
      </c>
      <c r="B144" s="153" t="s">
        <v>3494</v>
      </c>
      <c r="C144" s="82"/>
      <c r="D144" s="33" t="s">
        <v>26369</v>
      </c>
      <c r="F144" s="46" t="s">
        <v>2775</v>
      </c>
    </row>
    <row r="145">
      <c r="A145" s="51" t="s">
        <v>26371</v>
      </c>
      <c r="B145" s="153" t="s">
        <v>4228</v>
      </c>
      <c r="C145" s="82"/>
      <c r="D145" s="33" t="s">
        <v>26358</v>
      </c>
      <c r="F145" s="46" t="s">
        <v>2775</v>
      </c>
    </row>
    <row r="146">
      <c r="A146" s="51" t="s">
        <v>26373</v>
      </c>
      <c r="B146" s="153" t="s">
        <v>13957</v>
      </c>
      <c r="C146" s="82"/>
      <c r="D146" s="33" t="s">
        <v>26374</v>
      </c>
      <c r="F146" s="46" t="s">
        <v>2775</v>
      </c>
    </row>
    <row r="147">
      <c r="A147" s="51" t="s">
        <v>26375</v>
      </c>
      <c r="B147" s="153" t="s">
        <v>8649</v>
      </c>
      <c r="C147" s="82"/>
      <c r="D147" s="33" t="s">
        <v>26374</v>
      </c>
      <c r="F147" s="46" t="s">
        <v>2775</v>
      </c>
    </row>
    <row r="148">
      <c r="A148" s="51" t="s">
        <v>26377</v>
      </c>
      <c r="B148" s="153" t="s">
        <v>3749</v>
      </c>
      <c r="C148" s="82"/>
      <c r="D148" s="33" t="s">
        <v>26378</v>
      </c>
      <c r="F148" s="46" t="s">
        <v>2775</v>
      </c>
    </row>
    <row r="149">
      <c r="A149" s="51" t="s">
        <v>26379</v>
      </c>
      <c r="B149" s="153" t="s">
        <v>5419</v>
      </c>
      <c r="C149" s="82"/>
      <c r="D149" s="33" t="s">
        <v>26378</v>
      </c>
      <c r="F149" s="46" t="s">
        <v>2775</v>
      </c>
    </row>
    <row r="150">
      <c r="A150" s="51" t="s">
        <v>26382</v>
      </c>
      <c r="B150" s="153" t="s">
        <v>26383</v>
      </c>
      <c r="C150" s="82"/>
      <c r="D150" s="33" t="s">
        <v>26378</v>
      </c>
      <c r="F150" s="46" t="s">
        <v>2775</v>
      </c>
    </row>
    <row r="151">
      <c r="A151" s="51" t="s">
        <v>26384</v>
      </c>
      <c r="B151" s="153" t="s">
        <v>26385</v>
      </c>
      <c r="C151" s="82"/>
      <c r="D151" s="33" t="s">
        <v>26378</v>
      </c>
      <c r="F151" s="46" t="s">
        <v>2775</v>
      </c>
    </row>
    <row r="152">
      <c r="A152" s="51" t="s">
        <v>26386</v>
      </c>
      <c r="B152" s="153" t="s">
        <v>4357</v>
      </c>
      <c r="C152" s="82"/>
      <c r="D152" s="33" t="s">
        <v>26378</v>
      </c>
      <c r="F152" s="46" t="s">
        <v>2775</v>
      </c>
    </row>
    <row r="153">
      <c r="A153" s="51" t="s">
        <v>26388</v>
      </c>
      <c r="B153" s="153" t="s">
        <v>4357</v>
      </c>
      <c r="C153" s="82"/>
      <c r="D153" s="33" t="s">
        <v>26378</v>
      </c>
      <c r="F153" s="46" t="s">
        <v>2775</v>
      </c>
    </row>
    <row r="154">
      <c r="A154" s="51" t="s">
        <v>26390</v>
      </c>
      <c r="B154" s="153" t="s">
        <v>5419</v>
      </c>
      <c r="C154" s="82"/>
      <c r="D154" s="33" t="s">
        <v>26378</v>
      </c>
      <c r="F154" s="46" t="s">
        <v>2775</v>
      </c>
    </row>
    <row r="155">
      <c r="A155" s="51" t="s">
        <v>26391</v>
      </c>
      <c r="B155" s="153" t="s">
        <v>7115</v>
      </c>
      <c r="C155" s="82"/>
      <c r="D155" s="33" t="s">
        <v>26392</v>
      </c>
      <c r="F155" s="46" t="s">
        <v>2775</v>
      </c>
    </row>
    <row r="156">
      <c r="A156" s="51" t="s">
        <v>26393</v>
      </c>
      <c r="B156" s="153" t="s">
        <v>3505</v>
      </c>
      <c r="C156" s="82"/>
      <c r="D156" s="33" t="s">
        <v>26394</v>
      </c>
      <c r="F156" s="46" t="s">
        <v>2775</v>
      </c>
    </row>
    <row r="157">
      <c r="A157" s="51" t="s">
        <v>26396</v>
      </c>
      <c r="B157" s="153" t="s">
        <v>4732</v>
      </c>
      <c r="C157" s="82"/>
      <c r="D157" s="33" t="s">
        <v>26397</v>
      </c>
      <c r="F157" s="46" t="s">
        <v>2775</v>
      </c>
    </row>
    <row r="158">
      <c r="A158" s="51" t="s">
        <v>26398</v>
      </c>
      <c r="B158" s="153" t="s">
        <v>4732</v>
      </c>
      <c r="C158" s="82"/>
      <c r="D158" s="33" t="s">
        <v>26397</v>
      </c>
      <c r="F158" s="46" t="s">
        <v>2775</v>
      </c>
    </row>
    <row r="159">
      <c r="A159" s="51" t="s">
        <v>26401</v>
      </c>
      <c r="B159" s="153" t="s">
        <v>4185</v>
      </c>
      <c r="C159" s="82"/>
      <c r="D159" s="33" t="s">
        <v>26402</v>
      </c>
      <c r="F159" s="46" t="s">
        <v>2775</v>
      </c>
    </row>
    <row r="160">
      <c r="A160" s="51" t="s">
        <v>26403</v>
      </c>
      <c r="B160" s="153" t="s">
        <v>3648</v>
      </c>
      <c r="C160" s="82"/>
      <c r="D160" s="33" t="s">
        <v>26404</v>
      </c>
      <c r="F160" s="46" t="s">
        <v>2775</v>
      </c>
    </row>
    <row r="161">
      <c r="A161" s="51" t="s">
        <v>26405</v>
      </c>
      <c r="B161" s="153" t="s">
        <v>5891</v>
      </c>
      <c r="C161" s="82"/>
      <c r="D161" s="33" t="s">
        <v>26407</v>
      </c>
      <c r="F161" s="46" t="s">
        <v>2775</v>
      </c>
    </row>
    <row r="162">
      <c r="A162" s="51" t="s">
        <v>26408</v>
      </c>
      <c r="B162" s="153" t="s">
        <v>5891</v>
      </c>
      <c r="C162" s="82"/>
      <c r="D162" s="33" t="s">
        <v>26407</v>
      </c>
      <c r="F162" s="46" t="s">
        <v>2775</v>
      </c>
    </row>
    <row r="163">
      <c r="A163" s="51" t="s">
        <v>26409</v>
      </c>
      <c r="B163" s="153" t="s">
        <v>4357</v>
      </c>
      <c r="C163" s="82"/>
      <c r="D163" s="33" t="s">
        <v>26407</v>
      </c>
      <c r="F163" s="46" t="s">
        <v>2775</v>
      </c>
    </row>
    <row r="164">
      <c r="A164" s="51" t="s">
        <v>26411</v>
      </c>
      <c r="B164" s="153" t="s">
        <v>3481</v>
      </c>
      <c r="C164" s="82"/>
      <c r="D164" s="33" t="s">
        <v>26412</v>
      </c>
      <c r="F164" s="46" t="s">
        <v>2775</v>
      </c>
    </row>
    <row r="165">
      <c r="A165" s="51" t="s">
        <v>26413</v>
      </c>
      <c r="B165" s="153" t="s">
        <v>5967</v>
      </c>
      <c r="C165" s="82"/>
      <c r="D165" s="33" t="s">
        <v>26414</v>
      </c>
      <c r="F165" s="46" t="s">
        <v>2775</v>
      </c>
    </row>
    <row r="166">
      <c r="A166" s="51" t="s">
        <v>26416</v>
      </c>
      <c r="B166" s="153" t="s">
        <v>3842</v>
      </c>
      <c r="C166" s="82"/>
      <c r="D166" s="33" t="s">
        <v>26417</v>
      </c>
      <c r="F166" s="46" t="s">
        <v>2775</v>
      </c>
    </row>
    <row r="167">
      <c r="A167" s="51" t="s">
        <v>26418</v>
      </c>
      <c r="B167" s="153" t="s">
        <v>5925</v>
      </c>
      <c r="C167" s="82"/>
      <c r="D167" s="33" t="s">
        <v>26419</v>
      </c>
      <c r="F167" s="46" t="s">
        <v>2775</v>
      </c>
    </row>
    <row r="168">
      <c r="A168" s="51" t="s">
        <v>26420</v>
      </c>
      <c r="B168" s="153" t="s">
        <v>5203</v>
      </c>
      <c r="C168" s="82"/>
      <c r="D168" s="33" t="s">
        <v>26414</v>
      </c>
      <c r="F168" s="46" t="s">
        <v>2775</v>
      </c>
    </row>
    <row r="169">
      <c r="A169" s="51" t="s">
        <v>26421</v>
      </c>
      <c r="B169" s="153" t="s">
        <v>3842</v>
      </c>
      <c r="C169" s="82"/>
      <c r="D169" s="33" t="s">
        <v>26417</v>
      </c>
      <c r="F169" s="46" t="s">
        <v>2775</v>
      </c>
    </row>
    <row r="170">
      <c r="A170" s="51" t="s">
        <v>26423</v>
      </c>
      <c r="B170" s="153" t="s">
        <v>19628</v>
      </c>
      <c r="C170" s="82"/>
      <c r="D170" s="33" t="s">
        <v>26419</v>
      </c>
      <c r="F170" s="46" t="s">
        <v>2775</v>
      </c>
    </row>
    <row r="171">
      <c r="A171" s="51" t="s">
        <v>26425</v>
      </c>
      <c r="B171" s="153" t="s">
        <v>8550</v>
      </c>
      <c r="C171" s="21"/>
      <c r="D171" s="33" t="s">
        <v>26426</v>
      </c>
    </row>
    <row r="172">
      <c r="A172" s="51" t="s">
        <v>26427</v>
      </c>
      <c r="B172" s="153" t="s">
        <v>26268</v>
      </c>
      <c r="C172" s="21"/>
      <c r="D172" s="33" t="s">
        <v>26426</v>
      </c>
    </row>
    <row r="173">
      <c r="A173" s="51" t="s">
        <v>26428</v>
      </c>
      <c r="B173" s="153" t="s">
        <v>6789</v>
      </c>
      <c r="C173" s="79"/>
      <c r="D173" s="33" t="s">
        <v>26426</v>
      </c>
      <c r="F173" s="46" t="s">
        <v>2756</v>
      </c>
    </row>
    <row r="174">
      <c r="A174" s="51" t="s">
        <v>26429</v>
      </c>
      <c r="B174" s="153" t="s">
        <v>26430</v>
      </c>
      <c r="C174" s="82"/>
      <c r="D174" s="33" t="s">
        <v>26432</v>
      </c>
      <c r="F174" s="46" t="s">
        <v>2775</v>
      </c>
    </row>
    <row r="175">
      <c r="A175" s="51" t="s">
        <v>26434</v>
      </c>
      <c r="B175" s="153" t="s">
        <v>26435</v>
      </c>
      <c r="C175" s="82"/>
      <c r="D175" s="33" t="s">
        <v>26437</v>
      </c>
      <c r="F175" s="46" t="s">
        <v>2775</v>
      </c>
    </row>
    <row r="176">
      <c r="A176" s="51" t="s">
        <v>26439</v>
      </c>
      <c r="B176" s="153" t="s">
        <v>26435</v>
      </c>
      <c r="C176" s="82"/>
      <c r="D176" s="33" t="s">
        <v>26437</v>
      </c>
      <c r="F176" s="46" t="s">
        <v>2775</v>
      </c>
    </row>
    <row r="177">
      <c r="A177" s="51" t="s">
        <v>26441</v>
      </c>
      <c r="B177" s="153" t="s">
        <v>26435</v>
      </c>
      <c r="C177" s="82"/>
      <c r="D177" s="33" t="s">
        <v>26437</v>
      </c>
      <c r="F177" s="46" t="s">
        <v>2775</v>
      </c>
    </row>
    <row r="178">
      <c r="A178" s="51" t="s">
        <v>26442</v>
      </c>
      <c r="B178" s="153" t="s">
        <v>26443</v>
      </c>
      <c r="C178" s="82"/>
      <c r="D178" s="33" t="s">
        <v>26437</v>
      </c>
      <c r="F178" s="46" t="s">
        <v>2775</v>
      </c>
    </row>
    <row r="179">
      <c r="A179" s="51" t="s">
        <v>26444</v>
      </c>
      <c r="B179" s="153" t="s">
        <v>26445</v>
      </c>
      <c r="C179" s="82"/>
      <c r="D179" s="33" t="s">
        <v>26446</v>
      </c>
      <c r="F179" s="46" t="s">
        <v>2775</v>
      </c>
    </row>
    <row r="180">
      <c r="A180" s="51" t="s">
        <v>26448</v>
      </c>
      <c r="B180" s="153" t="s">
        <v>26449</v>
      </c>
      <c r="C180" s="82"/>
      <c r="D180" s="33" t="s">
        <v>26450</v>
      </c>
      <c r="F180" s="46" t="s">
        <v>2775</v>
      </c>
    </row>
    <row r="181">
      <c r="A181" s="51" t="s">
        <v>26453</v>
      </c>
      <c r="B181" s="153" t="s">
        <v>26454</v>
      </c>
      <c r="C181" s="82"/>
      <c r="D181" s="33" t="s">
        <v>26455</v>
      </c>
      <c r="F181" s="46" t="s">
        <v>2775</v>
      </c>
    </row>
    <row r="182">
      <c r="A182" s="51" t="s">
        <v>26456</v>
      </c>
      <c r="B182" s="153" t="s">
        <v>26454</v>
      </c>
      <c r="C182" s="82"/>
      <c r="D182" s="33" t="s">
        <v>26455</v>
      </c>
      <c r="F182" s="46" t="s">
        <v>2775</v>
      </c>
    </row>
    <row r="183">
      <c r="A183" s="51" t="s">
        <v>26459</v>
      </c>
      <c r="B183" s="153" t="s">
        <v>26460</v>
      </c>
      <c r="C183" s="82"/>
      <c r="D183" s="33" t="s">
        <v>26461</v>
      </c>
      <c r="F183" s="46" t="s">
        <v>2775</v>
      </c>
    </row>
    <row r="184">
      <c r="A184" s="51" t="s">
        <v>26463</v>
      </c>
      <c r="B184" s="153" t="s">
        <v>26454</v>
      </c>
      <c r="C184" s="82"/>
      <c r="D184" s="33" t="s">
        <v>26455</v>
      </c>
      <c r="F184" s="46" t="s">
        <v>2775</v>
      </c>
    </row>
    <row r="185">
      <c r="A185" s="51" t="s">
        <v>26464</v>
      </c>
      <c r="B185" s="153" t="s">
        <v>26454</v>
      </c>
      <c r="C185" s="82"/>
      <c r="D185" s="33" t="s">
        <v>26455</v>
      </c>
      <c r="F185" s="46" t="s">
        <v>2775</v>
      </c>
    </row>
    <row r="186">
      <c r="A186" s="51" t="s">
        <v>26465</v>
      </c>
      <c r="B186" s="153" t="s">
        <v>26460</v>
      </c>
      <c r="C186" s="82"/>
      <c r="D186" s="33" t="s">
        <v>26461</v>
      </c>
      <c r="F186" s="46" t="s">
        <v>2775</v>
      </c>
    </row>
    <row r="187">
      <c r="A187" s="51" t="s">
        <v>26467</v>
      </c>
      <c r="B187" s="153" t="s">
        <v>26469</v>
      </c>
      <c r="C187" s="82"/>
      <c r="D187" s="33" t="s">
        <v>26470</v>
      </c>
      <c r="F187" s="46" t="s">
        <v>2775</v>
      </c>
    </row>
    <row r="188">
      <c r="A188" s="51" t="s">
        <v>26471</v>
      </c>
      <c r="B188" s="153" t="s">
        <v>26460</v>
      </c>
      <c r="C188" s="82"/>
      <c r="D188" s="33" t="s">
        <v>26473</v>
      </c>
      <c r="F188" s="46" t="s">
        <v>2775</v>
      </c>
    </row>
    <row r="189">
      <c r="A189" s="51" t="s">
        <v>26474</v>
      </c>
      <c r="B189" s="153" t="s">
        <v>26475</v>
      </c>
      <c r="C189" s="82"/>
      <c r="D189" s="33" t="s">
        <v>26473</v>
      </c>
      <c r="F189" s="46" t="s">
        <v>2775</v>
      </c>
    </row>
    <row r="190">
      <c r="A190" s="51" t="s">
        <v>26476</v>
      </c>
      <c r="B190" s="153" t="s">
        <v>26477</v>
      </c>
      <c r="C190" s="82"/>
      <c r="D190" s="33" t="s">
        <v>26473</v>
      </c>
      <c r="F190" s="46" t="s">
        <v>2775</v>
      </c>
    </row>
    <row r="191">
      <c r="A191" s="51" t="s">
        <v>26478</v>
      </c>
      <c r="B191" s="153" t="s">
        <v>26454</v>
      </c>
      <c r="C191" s="82"/>
      <c r="D191" s="33" t="s">
        <v>26473</v>
      </c>
      <c r="F191" s="46" t="s">
        <v>2775</v>
      </c>
    </row>
    <row r="192">
      <c r="A192" s="51" t="s">
        <v>26480</v>
      </c>
      <c r="B192" s="153" t="s">
        <v>26482</v>
      </c>
      <c r="C192" s="82"/>
      <c r="D192" s="33" t="s">
        <v>26473</v>
      </c>
      <c r="F192" s="46" t="s">
        <v>2775</v>
      </c>
    </row>
    <row r="193">
      <c r="A193" s="51" t="s">
        <v>26483</v>
      </c>
      <c r="B193" s="153" t="s">
        <v>26484</v>
      </c>
      <c r="C193" s="82"/>
      <c r="D193" s="33" t="s">
        <v>26473</v>
      </c>
      <c r="F193" s="46" t="s">
        <v>2775</v>
      </c>
    </row>
    <row r="194">
      <c r="A194" s="51" t="s">
        <v>26486</v>
      </c>
      <c r="B194" s="153" t="s">
        <v>26454</v>
      </c>
      <c r="C194" s="82"/>
      <c r="D194" s="33" t="s">
        <v>26473</v>
      </c>
      <c r="F194" s="46" t="s">
        <v>2775</v>
      </c>
    </row>
    <row r="195">
      <c r="A195" s="51" t="s">
        <v>26488</v>
      </c>
      <c r="B195" s="153" t="s">
        <v>26449</v>
      </c>
      <c r="C195" s="82"/>
      <c r="D195" s="33" t="s">
        <v>26473</v>
      </c>
      <c r="F195" s="46" t="s">
        <v>2775</v>
      </c>
    </row>
    <row r="196">
      <c r="A196" s="51" t="s">
        <v>26489</v>
      </c>
      <c r="B196" s="153" t="s">
        <v>26477</v>
      </c>
      <c r="C196" s="82"/>
      <c r="D196" s="33" t="s">
        <v>26473</v>
      </c>
      <c r="F196" s="46" t="s">
        <v>2775</v>
      </c>
    </row>
    <row r="197">
      <c r="A197" s="51" t="s">
        <v>26490</v>
      </c>
      <c r="B197" s="153" t="s">
        <v>26491</v>
      </c>
      <c r="C197" s="82"/>
      <c r="D197" s="33" t="s">
        <v>26470</v>
      </c>
      <c r="F197" s="46" t="s">
        <v>2775</v>
      </c>
    </row>
    <row r="198">
      <c r="A198" s="51" t="s">
        <v>26492</v>
      </c>
      <c r="B198" s="153" t="s">
        <v>26454</v>
      </c>
      <c r="C198" s="82"/>
      <c r="D198" s="33" t="s">
        <v>26473</v>
      </c>
      <c r="F198" s="46" t="s">
        <v>2775</v>
      </c>
    </row>
    <row r="199">
      <c r="A199" s="51" t="s">
        <v>26493</v>
      </c>
      <c r="B199" s="153" t="s">
        <v>26482</v>
      </c>
      <c r="C199" s="82"/>
      <c r="D199" s="33" t="s">
        <v>26473</v>
      </c>
      <c r="F199" s="46" t="s">
        <v>2775</v>
      </c>
    </row>
    <row r="200">
      <c r="A200" s="51" t="s">
        <v>26495</v>
      </c>
      <c r="B200" s="153" t="s">
        <v>26477</v>
      </c>
      <c r="C200" s="82"/>
      <c r="D200" s="33" t="s">
        <v>26473</v>
      </c>
      <c r="F200" s="46" t="s">
        <v>2775</v>
      </c>
    </row>
    <row r="201">
      <c r="A201" s="51" t="s">
        <v>26497</v>
      </c>
      <c r="B201" s="153" t="s">
        <v>26454</v>
      </c>
      <c r="C201" s="82"/>
      <c r="D201" s="33" t="s">
        <v>26473</v>
      </c>
      <c r="F201" s="46" t="s">
        <v>2775</v>
      </c>
    </row>
    <row r="202">
      <c r="A202" s="51" t="s">
        <v>26498</v>
      </c>
      <c r="B202" s="153" t="s">
        <v>26449</v>
      </c>
      <c r="C202" s="82"/>
      <c r="D202" s="33" t="s">
        <v>26473</v>
      </c>
      <c r="F202" s="46" t="s">
        <v>2775</v>
      </c>
    </row>
    <row r="203">
      <c r="A203" s="51" t="s">
        <v>26499</v>
      </c>
      <c r="B203" s="153" t="s">
        <v>26477</v>
      </c>
      <c r="C203" s="82"/>
      <c r="D203" s="33" t="s">
        <v>26473</v>
      </c>
      <c r="F203" s="46" t="s">
        <v>2775</v>
      </c>
    </row>
    <row r="204">
      <c r="A204" s="51" t="s">
        <v>26500</v>
      </c>
      <c r="B204" s="153" t="s">
        <v>26454</v>
      </c>
      <c r="C204" s="82"/>
      <c r="D204" s="33" t="s">
        <v>26473</v>
      </c>
      <c r="F204" s="46" t="s">
        <v>2775</v>
      </c>
    </row>
    <row r="205">
      <c r="A205" s="51" t="s">
        <v>26502</v>
      </c>
      <c r="B205" s="153" t="s">
        <v>26449</v>
      </c>
      <c r="C205" s="82"/>
      <c r="D205" s="33" t="s">
        <v>26473</v>
      </c>
      <c r="F205" s="46" t="s">
        <v>2775</v>
      </c>
    </row>
    <row r="206">
      <c r="A206" s="51" t="s">
        <v>26504</v>
      </c>
      <c r="B206" s="153" t="s">
        <v>26477</v>
      </c>
      <c r="C206" s="82"/>
      <c r="D206" s="33" t="s">
        <v>26473</v>
      </c>
      <c r="F206" s="46" t="s">
        <v>2775</v>
      </c>
    </row>
    <row r="207">
      <c r="A207" s="51" t="s">
        <v>26506</v>
      </c>
      <c r="B207" s="153" t="s">
        <v>26507</v>
      </c>
      <c r="C207" s="82"/>
      <c r="D207" s="33" t="s">
        <v>26508</v>
      </c>
      <c r="F207" s="46" t="s">
        <v>2775</v>
      </c>
    </row>
    <row r="208">
      <c r="A208" s="51" t="s">
        <v>26509</v>
      </c>
      <c r="B208" s="153" t="s">
        <v>26510</v>
      </c>
      <c r="C208" s="82"/>
      <c r="D208" s="33" t="s">
        <v>26508</v>
      </c>
      <c r="F208" s="46" t="s">
        <v>2775</v>
      </c>
    </row>
    <row r="209">
      <c r="A209" s="51" t="s">
        <v>26511</v>
      </c>
      <c r="B209" s="153" t="s">
        <v>26507</v>
      </c>
      <c r="C209" s="82"/>
      <c r="D209" s="33" t="s">
        <v>26508</v>
      </c>
      <c r="F209" s="46" t="s">
        <v>2775</v>
      </c>
    </row>
    <row r="210">
      <c r="A210" s="51" t="s">
        <v>26512</v>
      </c>
      <c r="B210" s="153" t="s">
        <v>26513</v>
      </c>
      <c r="C210" s="82"/>
      <c r="D210" s="33" t="s">
        <v>26515</v>
      </c>
      <c r="F210" s="46" t="s">
        <v>2775</v>
      </c>
    </row>
    <row r="211">
      <c r="A211" s="51" t="s">
        <v>26516</v>
      </c>
      <c r="B211" s="153" t="s">
        <v>26517</v>
      </c>
      <c r="C211" s="82"/>
      <c r="D211" s="33" t="s">
        <v>26518</v>
      </c>
      <c r="F211" s="46" t="s">
        <v>2775</v>
      </c>
    </row>
    <row r="212">
      <c r="A212" s="51" t="s">
        <v>26519</v>
      </c>
      <c r="B212" s="153" t="s">
        <v>26517</v>
      </c>
      <c r="C212" s="82"/>
      <c r="D212" s="33" t="s">
        <v>26518</v>
      </c>
      <c r="F212" s="46" t="s">
        <v>2775</v>
      </c>
    </row>
    <row r="213">
      <c r="A213" s="51" t="s">
        <v>26521</v>
      </c>
      <c r="B213" s="153" t="s">
        <v>12399</v>
      </c>
      <c r="C213" s="55"/>
      <c r="D213" s="31"/>
    </row>
    <row r="214">
      <c r="A214" s="51" t="s">
        <v>26522</v>
      </c>
      <c r="B214" s="153" t="s">
        <v>26523</v>
      </c>
      <c r="C214" s="55"/>
      <c r="D214" s="31"/>
    </row>
    <row r="215">
      <c r="A215" s="51" t="s">
        <v>26525</v>
      </c>
      <c r="B215" s="153" t="s">
        <v>12399</v>
      </c>
      <c r="C215" s="55"/>
      <c r="D215" s="31"/>
    </row>
    <row r="216">
      <c r="A216" s="51" t="s">
        <v>26526</v>
      </c>
      <c r="B216" s="153" t="s">
        <v>26523</v>
      </c>
      <c r="C216" s="55"/>
      <c r="D216" s="31"/>
    </row>
    <row r="217">
      <c r="A217" s="51" t="s">
        <v>26527</v>
      </c>
      <c r="B217" s="153" t="s">
        <v>12399</v>
      </c>
      <c r="C217" s="55"/>
      <c r="D217" s="31"/>
    </row>
    <row r="218">
      <c r="A218" s="51" t="s">
        <v>26528</v>
      </c>
      <c r="B218" s="153" t="s">
        <v>26523</v>
      </c>
      <c r="C218" s="55"/>
      <c r="D218" s="31"/>
    </row>
    <row r="219">
      <c r="A219" s="51" t="s">
        <v>26529</v>
      </c>
      <c r="B219" s="153" t="s">
        <v>26530</v>
      </c>
      <c r="C219" s="55"/>
      <c r="D219" s="31"/>
    </row>
    <row r="220">
      <c r="A220" s="51" t="s">
        <v>26533</v>
      </c>
      <c r="B220" s="153" t="s">
        <v>12399</v>
      </c>
      <c r="C220" s="55"/>
      <c r="D220" s="31"/>
    </row>
    <row r="221">
      <c r="A221" s="51" t="s">
        <v>26534</v>
      </c>
      <c r="B221" s="153" t="s">
        <v>26523</v>
      </c>
      <c r="C221" s="55"/>
      <c r="D221" s="31"/>
    </row>
    <row r="222">
      <c r="A222" s="51" t="s">
        <v>26535</v>
      </c>
      <c r="B222" s="153" t="s">
        <v>26530</v>
      </c>
      <c r="C222" s="55"/>
      <c r="D222" s="31"/>
    </row>
    <row r="223">
      <c r="A223" s="51" t="s">
        <v>26536</v>
      </c>
      <c r="B223" s="153" t="s">
        <v>12399</v>
      </c>
      <c r="C223" s="55"/>
      <c r="D223" s="31"/>
    </row>
    <row r="224">
      <c r="A224" s="51" t="s">
        <v>26537</v>
      </c>
      <c r="B224" s="153" t="s">
        <v>26523</v>
      </c>
      <c r="C224" s="55"/>
      <c r="D224" s="31"/>
    </row>
    <row r="225">
      <c r="A225" s="51" t="s">
        <v>26538</v>
      </c>
      <c r="B225" s="153" t="s">
        <v>26530</v>
      </c>
      <c r="C225" s="55"/>
      <c r="D225" s="31"/>
    </row>
    <row r="226">
      <c r="A226" s="51" t="s">
        <v>26541</v>
      </c>
      <c r="B226" s="153" t="s">
        <v>12399</v>
      </c>
      <c r="C226" s="55"/>
      <c r="D226" s="31"/>
    </row>
    <row r="227">
      <c r="A227" s="51" t="s">
        <v>26542</v>
      </c>
      <c r="B227" s="153" t="s">
        <v>26523</v>
      </c>
      <c r="C227" s="55"/>
      <c r="D227" s="31"/>
    </row>
    <row r="228">
      <c r="A228" s="51" t="s">
        <v>26543</v>
      </c>
      <c r="B228" s="153" t="s">
        <v>26530</v>
      </c>
      <c r="C228" s="55"/>
      <c r="D228" s="31"/>
    </row>
    <row r="229">
      <c r="A229" s="51" t="s">
        <v>26544</v>
      </c>
      <c r="B229" s="153" t="s">
        <v>12399</v>
      </c>
      <c r="C229" s="55"/>
      <c r="D229" s="31"/>
    </row>
    <row r="230">
      <c r="A230" s="51" t="s">
        <v>26545</v>
      </c>
      <c r="B230" s="153" t="s">
        <v>26523</v>
      </c>
      <c r="C230" s="55"/>
      <c r="D230" s="31"/>
    </row>
    <row r="231">
      <c r="A231" s="51" t="s">
        <v>26546</v>
      </c>
      <c r="B231" s="153" t="s">
        <v>3723</v>
      </c>
      <c r="C231" s="55"/>
      <c r="D231" s="31"/>
    </row>
    <row r="232">
      <c r="A232" s="51" t="s">
        <v>26548</v>
      </c>
      <c r="B232" s="153" t="s">
        <v>26549</v>
      </c>
      <c r="C232" s="55"/>
      <c r="D232" s="31"/>
    </row>
    <row r="233">
      <c r="A233" s="51" t="s">
        <v>26550</v>
      </c>
      <c r="B233" s="153" t="s">
        <v>26530</v>
      </c>
      <c r="C233" s="55"/>
      <c r="D233" s="31"/>
    </row>
    <row r="234">
      <c r="A234" s="51" t="s">
        <v>26551</v>
      </c>
      <c r="B234" s="153" t="s">
        <v>6018</v>
      </c>
      <c r="C234" s="55"/>
      <c r="D234" s="31"/>
    </row>
    <row r="235">
      <c r="A235" s="51" t="s">
        <v>26552</v>
      </c>
      <c r="B235" s="153" t="s">
        <v>3318</v>
      </c>
      <c r="C235" s="55"/>
      <c r="D235" s="31"/>
    </row>
    <row r="236">
      <c r="A236" s="51" t="s">
        <v>26554</v>
      </c>
      <c r="B236" s="153" t="s">
        <v>26555</v>
      </c>
      <c r="C236" s="55"/>
      <c r="D236" s="31"/>
    </row>
    <row r="237">
      <c r="A237" s="51" t="s">
        <v>26557</v>
      </c>
      <c r="B237" s="153" t="s">
        <v>26041</v>
      </c>
      <c r="C237" s="82"/>
      <c r="D237" s="33" t="s">
        <v>26558</v>
      </c>
      <c r="F237" s="46" t="s">
        <v>2775</v>
      </c>
    </row>
    <row r="238">
      <c r="A238" s="51" t="s">
        <v>26559</v>
      </c>
      <c r="B238" s="153" t="s">
        <v>26560</v>
      </c>
      <c r="C238" s="82"/>
      <c r="D238" s="33" t="s">
        <v>26558</v>
      </c>
      <c r="F238" s="46" t="s">
        <v>2793</v>
      </c>
    </row>
    <row r="239">
      <c r="A239" s="51" t="s">
        <v>26561</v>
      </c>
      <c r="B239" s="153" t="s">
        <v>3007</v>
      </c>
      <c r="C239" s="82"/>
      <c r="D239" s="33" t="s">
        <v>26562</v>
      </c>
      <c r="F239" s="46" t="s">
        <v>2775</v>
      </c>
    </row>
    <row r="240">
      <c r="A240" s="51" t="s">
        <v>26563</v>
      </c>
      <c r="B240" s="153" t="s">
        <v>26560</v>
      </c>
      <c r="C240" s="82"/>
      <c r="D240" s="33" t="s">
        <v>26562</v>
      </c>
      <c r="F240" s="46" t="s">
        <v>2793</v>
      </c>
    </row>
    <row r="241">
      <c r="A241" s="51" t="s">
        <v>26565</v>
      </c>
      <c r="B241" s="153" t="s">
        <v>5925</v>
      </c>
      <c r="C241" s="82"/>
      <c r="D241" s="33" t="s">
        <v>26566</v>
      </c>
      <c r="F241" s="46" t="s">
        <v>2775</v>
      </c>
    </row>
    <row r="242">
      <c r="A242" s="51" t="s">
        <v>26567</v>
      </c>
      <c r="B242" s="153" t="s">
        <v>26560</v>
      </c>
      <c r="C242" s="82"/>
      <c r="D242" s="33" t="s">
        <v>26566</v>
      </c>
      <c r="F242" s="46" t="s">
        <v>2793</v>
      </c>
    </row>
    <row r="243">
      <c r="A243" s="51" t="s">
        <v>26569</v>
      </c>
      <c r="B243" s="152"/>
      <c r="C243" s="55"/>
      <c r="D243" s="31"/>
    </row>
    <row r="244">
      <c r="A244" s="51" t="s">
        <v>26570</v>
      </c>
      <c r="B244" s="152"/>
      <c r="C244" s="55"/>
      <c r="D244" s="31"/>
    </row>
    <row r="245">
      <c r="A245" s="51" t="s">
        <v>26571</v>
      </c>
      <c r="B245" s="152"/>
      <c r="C245" s="55"/>
      <c r="D245" s="31"/>
    </row>
    <row r="246">
      <c r="A246" s="51" t="s">
        <v>26573</v>
      </c>
      <c r="B246" s="152"/>
      <c r="C246" s="55"/>
      <c r="D246" s="31"/>
    </row>
    <row r="247">
      <c r="A247" s="51" t="s">
        <v>26574</v>
      </c>
      <c r="B247" s="152"/>
      <c r="C247" s="55"/>
      <c r="D247" s="31"/>
    </row>
    <row r="248">
      <c r="A248" s="51" t="s">
        <v>26575</v>
      </c>
      <c r="B248" s="152"/>
      <c r="C248" s="55"/>
      <c r="D248" s="31"/>
    </row>
    <row r="249">
      <c r="A249" s="51" t="s">
        <v>26576</v>
      </c>
      <c r="B249" s="152"/>
      <c r="C249" s="55"/>
      <c r="D249" s="31"/>
    </row>
    <row r="250">
      <c r="A250" s="51" t="s">
        <v>26577</v>
      </c>
      <c r="B250" s="152"/>
      <c r="C250" s="55"/>
      <c r="D250" s="31"/>
    </row>
    <row r="251">
      <c r="A251" s="51" t="s">
        <v>26578</v>
      </c>
      <c r="B251" s="152"/>
      <c r="C251" s="55"/>
      <c r="D251" s="31"/>
    </row>
    <row r="252">
      <c r="A252" s="51" t="s">
        <v>26581</v>
      </c>
      <c r="B252" s="152"/>
      <c r="C252" s="55"/>
      <c r="D252" s="31"/>
    </row>
    <row r="253">
      <c r="A253" s="51" t="s">
        <v>26582</v>
      </c>
      <c r="B253" s="152"/>
      <c r="C253" s="55"/>
      <c r="D253" s="31"/>
    </row>
    <row r="254">
      <c r="A254" s="51" t="s">
        <v>26583</v>
      </c>
      <c r="B254" s="152"/>
      <c r="C254" s="55"/>
      <c r="D254" s="31"/>
    </row>
    <row r="255">
      <c r="A255" s="51" t="s">
        <v>26584</v>
      </c>
      <c r="B255" s="152"/>
      <c r="C255" s="82"/>
      <c r="D255" s="33" t="s">
        <v>26585</v>
      </c>
      <c r="F255" s="46" t="s">
        <v>2775</v>
      </c>
    </row>
    <row r="256">
      <c r="A256" s="51" t="s">
        <v>26586</v>
      </c>
      <c r="B256" s="152"/>
      <c r="C256" s="82"/>
      <c r="D256" s="33" t="s">
        <v>26585</v>
      </c>
      <c r="F256" s="46" t="s">
        <v>2793</v>
      </c>
    </row>
    <row r="257">
      <c r="A257" s="51" t="s">
        <v>26588</v>
      </c>
      <c r="B257" s="152"/>
      <c r="C257" s="82"/>
      <c r="D257" s="33" t="s">
        <v>26589</v>
      </c>
      <c r="F257" s="46" t="s">
        <v>2775</v>
      </c>
    </row>
    <row r="258">
      <c r="A258" s="51" t="s">
        <v>26590</v>
      </c>
      <c r="B258" s="152"/>
      <c r="C258" s="82"/>
      <c r="D258" s="33" t="s">
        <v>26589</v>
      </c>
      <c r="F258" s="46" t="s">
        <v>2793</v>
      </c>
    </row>
    <row r="259">
      <c r="A259" s="51" t="s">
        <v>26592</v>
      </c>
      <c r="B259" s="152"/>
      <c r="C259" s="82"/>
      <c r="D259" s="33" t="s">
        <v>26593</v>
      </c>
      <c r="F259" s="46" t="s">
        <v>2793</v>
      </c>
    </row>
    <row r="260">
      <c r="A260" s="51" t="s">
        <v>26594</v>
      </c>
      <c r="B260" s="152"/>
      <c r="C260" s="82"/>
      <c r="D260" s="33" t="s">
        <v>26593</v>
      </c>
      <c r="F260" s="46" t="s">
        <v>1348</v>
      </c>
    </row>
    <row r="261" ht="25.5" customHeight="1">
      <c r="A261" s="51" t="s">
        <v>26596</v>
      </c>
      <c r="B261" s="152"/>
      <c r="C261" s="82"/>
      <c r="D261" s="33" t="s">
        <v>26597</v>
      </c>
      <c r="F261" s="46" t="s">
        <v>2793</v>
      </c>
    </row>
    <row r="262" ht="25.5" customHeight="1">
      <c r="A262" s="51" t="s">
        <v>26598</v>
      </c>
      <c r="B262" s="152"/>
      <c r="C262" s="82"/>
      <c r="D262" s="33" t="s">
        <v>26597</v>
      </c>
      <c r="F262" s="46" t="s">
        <v>1348</v>
      </c>
    </row>
    <row r="263">
      <c r="A263" s="51" t="s">
        <v>26599</v>
      </c>
      <c r="B263" s="152"/>
      <c r="C263" s="55"/>
      <c r="D263" s="31"/>
    </row>
    <row r="264">
      <c r="A264" s="51" t="s">
        <v>26600</v>
      </c>
      <c r="B264" s="152"/>
      <c r="C264" s="55"/>
      <c r="D264" s="31"/>
    </row>
    <row r="265">
      <c r="A265" s="51" t="s">
        <v>26603</v>
      </c>
      <c r="B265" s="152"/>
      <c r="C265" s="55"/>
      <c r="D265" s="31"/>
    </row>
    <row r="266">
      <c r="A266" s="51" t="s">
        <v>26604</v>
      </c>
      <c r="B266" s="152"/>
      <c r="C266" s="55"/>
      <c r="D266" s="31"/>
    </row>
    <row r="267">
      <c r="A267" s="51" t="s">
        <v>26605</v>
      </c>
      <c r="B267" s="152"/>
      <c r="C267" s="82"/>
      <c r="D267" s="33" t="s">
        <v>26606</v>
      </c>
      <c r="F267" s="46" t="s">
        <v>1348</v>
      </c>
    </row>
    <row r="268">
      <c r="A268" s="51" t="s">
        <v>26607</v>
      </c>
      <c r="B268" s="152"/>
      <c r="C268" s="82"/>
      <c r="D268" s="33" t="s">
        <v>26608</v>
      </c>
      <c r="F268" s="46" t="s">
        <v>1348</v>
      </c>
    </row>
    <row r="269">
      <c r="A269" s="51" t="s">
        <v>26609</v>
      </c>
      <c r="B269" s="152"/>
      <c r="C269" s="82"/>
      <c r="D269" s="33" t="s">
        <v>26608</v>
      </c>
      <c r="F269" s="46" t="s">
        <v>1348</v>
      </c>
    </row>
    <row r="270">
      <c r="A270" s="51" t="s">
        <v>26611</v>
      </c>
      <c r="B270" s="152"/>
      <c r="C270" s="82"/>
      <c r="D270" s="33" t="s">
        <v>26608</v>
      </c>
      <c r="F270" s="46" t="s">
        <v>1348</v>
      </c>
    </row>
    <row r="271">
      <c r="A271" s="51" t="s">
        <v>26613</v>
      </c>
      <c r="B271" s="152"/>
      <c r="C271" s="82"/>
      <c r="D271" s="33" t="s">
        <v>26614</v>
      </c>
      <c r="F271" s="46" t="s">
        <v>1348</v>
      </c>
    </row>
    <row r="272">
      <c r="A272" s="51" t="s">
        <v>26615</v>
      </c>
      <c r="B272" s="152"/>
      <c r="C272" s="82"/>
      <c r="D272" s="33" t="s">
        <v>26616</v>
      </c>
      <c r="F272" s="46" t="s">
        <v>1348</v>
      </c>
    </row>
    <row r="273">
      <c r="A273" s="51" t="s">
        <v>26617</v>
      </c>
      <c r="B273" s="152"/>
      <c r="C273" s="82"/>
      <c r="D273" s="33" t="s">
        <v>26616</v>
      </c>
      <c r="F273" s="46" t="s">
        <v>1348</v>
      </c>
    </row>
    <row r="274">
      <c r="A274" s="51" t="s">
        <v>26618</v>
      </c>
      <c r="B274" s="152"/>
      <c r="C274" s="82"/>
      <c r="D274" s="33" t="s">
        <v>26616</v>
      </c>
      <c r="F274" s="46" t="s">
        <v>1348</v>
      </c>
    </row>
    <row r="275">
      <c r="A275" s="51" t="s">
        <v>26620</v>
      </c>
      <c r="B275" s="152"/>
      <c r="C275" s="82"/>
      <c r="D275" s="33" t="s">
        <v>26621</v>
      </c>
      <c r="F275" s="46" t="s">
        <v>1348</v>
      </c>
    </row>
    <row r="276">
      <c r="A276" s="51" t="s">
        <v>26622</v>
      </c>
      <c r="B276" s="152"/>
      <c r="C276" s="82"/>
      <c r="D276" s="33" t="s">
        <v>26623</v>
      </c>
      <c r="F276" s="46" t="s">
        <v>1348</v>
      </c>
    </row>
    <row r="277">
      <c r="A277" s="51" t="s">
        <v>26624</v>
      </c>
      <c r="B277" s="152"/>
      <c r="C277" s="55"/>
      <c r="D277" s="31"/>
    </row>
    <row r="278">
      <c r="A278" s="51" t="s">
        <v>26626</v>
      </c>
      <c r="B278" s="152"/>
      <c r="C278" s="55"/>
      <c r="D278" s="31"/>
    </row>
    <row r="279">
      <c r="A279" s="51" t="s">
        <v>26627</v>
      </c>
      <c r="B279" s="152"/>
      <c r="C279" s="55"/>
      <c r="D279" s="31"/>
    </row>
    <row r="280">
      <c r="A280" s="51" t="s">
        <v>26629</v>
      </c>
      <c r="B280" s="152"/>
      <c r="C280" s="55"/>
      <c r="D280" s="31"/>
    </row>
    <row r="281">
      <c r="A281" s="51" t="s">
        <v>26630</v>
      </c>
      <c r="B281" s="152"/>
      <c r="C281" s="21"/>
      <c r="D281" s="33" t="s">
        <v>26631</v>
      </c>
    </row>
    <row r="282">
      <c r="A282" s="51" t="s">
        <v>26632</v>
      </c>
      <c r="B282" s="152"/>
      <c r="C282" s="21"/>
      <c r="D282" s="33" t="s">
        <v>26631</v>
      </c>
    </row>
    <row r="283">
      <c r="A283" s="51" t="s">
        <v>26633</v>
      </c>
      <c r="B283" s="152"/>
      <c r="C283" s="82"/>
      <c r="D283" s="33" t="s">
        <v>26634</v>
      </c>
      <c r="F283" s="46" t="s">
        <v>1348</v>
      </c>
    </row>
    <row r="284">
      <c r="A284" s="51" t="s">
        <v>26635</v>
      </c>
      <c r="B284" s="152"/>
      <c r="C284" s="82"/>
      <c r="D284" s="33" t="s">
        <v>26637</v>
      </c>
      <c r="F284" s="46" t="s">
        <v>1348</v>
      </c>
    </row>
    <row r="285">
      <c r="A285" s="51" t="s">
        <v>26639</v>
      </c>
      <c r="B285" s="152"/>
      <c r="C285" s="55"/>
      <c r="D285" s="31"/>
    </row>
    <row r="286">
      <c r="A286" s="51" t="s">
        <v>26640</v>
      </c>
      <c r="B286" s="152"/>
      <c r="C286" s="55"/>
      <c r="D286" s="31"/>
    </row>
    <row r="287">
      <c r="A287" s="51" t="s">
        <v>26641</v>
      </c>
      <c r="B287" s="152"/>
      <c r="C287" s="55"/>
      <c r="D287" s="31"/>
    </row>
    <row r="288">
      <c r="A288" s="51" t="s">
        <v>26642</v>
      </c>
      <c r="B288" s="152"/>
      <c r="C288" s="55"/>
      <c r="D288" s="31"/>
    </row>
    <row r="289">
      <c r="A289" s="51" t="s">
        <v>26643</v>
      </c>
      <c r="B289" s="152"/>
      <c r="C289" s="55"/>
      <c r="D289" s="31"/>
    </row>
    <row r="290">
      <c r="A290" s="51" t="s">
        <v>26644</v>
      </c>
      <c r="B290" s="152"/>
      <c r="C290" s="82"/>
      <c r="D290" s="33" t="s">
        <v>26646</v>
      </c>
    </row>
    <row r="291">
      <c r="A291" s="51" t="s">
        <v>26648</v>
      </c>
      <c r="B291" s="152"/>
      <c r="C291" s="82"/>
      <c r="D291" s="33" t="s">
        <v>26646</v>
      </c>
      <c r="F291" s="46" t="s">
        <v>1348</v>
      </c>
    </row>
    <row r="292">
      <c r="A292" s="51" t="s">
        <v>26650</v>
      </c>
      <c r="B292" s="152"/>
      <c r="C292" s="82"/>
      <c r="D292" s="33" t="s">
        <v>26646</v>
      </c>
    </row>
    <row r="293">
      <c r="A293" s="51" t="s">
        <v>26651</v>
      </c>
      <c r="B293" s="152"/>
      <c r="C293" s="82"/>
      <c r="D293" s="33" t="s">
        <v>26646</v>
      </c>
      <c r="F293" s="46" t="s">
        <v>1348</v>
      </c>
    </row>
    <row r="294">
      <c r="A294" s="51" t="s">
        <v>26652</v>
      </c>
      <c r="B294" s="152"/>
      <c r="C294" s="82"/>
      <c r="D294" s="33" t="s">
        <v>26646</v>
      </c>
    </row>
    <row r="295">
      <c r="A295" s="51" t="s">
        <v>26654</v>
      </c>
      <c r="B295" s="152"/>
      <c r="C295" s="82"/>
      <c r="D295" s="33" t="s">
        <v>26646</v>
      </c>
      <c r="F295" s="46" t="s">
        <v>1348</v>
      </c>
    </row>
    <row r="296">
      <c r="A296" s="51" t="s">
        <v>26655</v>
      </c>
      <c r="B296" s="152"/>
      <c r="C296" s="82"/>
      <c r="D296" s="33" t="s">
        <v>26646</v>
      </c>
    </row>
    <row r="297">
      <c r="A297" s="51" t="s">
        <v>26657</v>
      </c>
      <c r="B297" s="152"/>
      <c r="C297" s="82"/>
      <c r="D297" s="33" t="s">
        <v>26646</v>
      </c>
      <c r="F297" s="46" t="s">
        <v>1348</v>
      </c>
    </row>
    <row r="298">
      <c r="A298" s="51" t="s">
        <v>26658</v>
      </c>
      <c r="B298" s="152"/>
      <c r="C298" s="82"/>
      <c r="D298" s="33" t="s">
        <v>26646</v>
      </c>
    </row>
    <row r="299">
      <c r="A299" s="51" t="s">
        <v>26659</v>
      </c>
      <c r="B299" s="152"/>
      <c r="C299" s="82"/>
      <c r="D299" s="33" t="s">
        <v>26646</v>
      </c>
      <c r="F299" s="46" t="s">
        <v>1348</v>
      </c>
    </row>
    <row r="300">
      <c r="A300" s="51" t="s">
        <v>26660</v>
      </c>
      <c r="B300" s="152"/>
      <c r="C300" s="82"/>
      <c r="D300" s="33" t="s">
        <v>26646</v>
      </c>
    </row>
    <row r="301">
      <c r="A301" s="51" t="s">
        <v>26661</v>
      </c>
      <c r="B301" s="152"/>
      <c r="C301" s="82"/>
      <c r="D301" s="33" t="s">
        <v>26646</v>
      </c>
      <c r="F301" s="46" t="s">
        <v>1348</v>
      </c>
    </row>
    <row r="302">
      <c r="A302" s="51" t="s">
        <v>26664</v>
      </c>
      <c r="B302" s="152"/>
      <c r="C302" s="82"/>
      <c r="D302" s="33" t="s">
        <v>26646</v>
      </c>
    </row>
    <row r="303">
      <c r="A303" s="51" t="s">
        <v>26665</v>
      </c>
      <c r="B303" s="152"/>
      <c r="C303" s="82"/>
      <c r="D303" s="33" t="s">
        <v>26646</v>
      </c>
      <c r="F303" s="46" t="s">
        <v>1348</v>
      </c>
    </row>
    <row r="304">
      <c r="A304" s="51" t="s">
        <v>26667</v>
      </c>
      <c r="B304" s="152"/>
      <c r="C304" s="82"/>
      <c r="D304" s="33" t="s">
        <v>26646</v>
      </c>
    </row>
    <row r="305">
      <c r="A305" s="51" t="s">
        <v>26668</v>
      </c>
      <c r="B305" s="152"/>
      <c r="C305" s="82"/>
      <c r="D305" s="33" t="s">
        <v>26646</v>
      </c>
      <c r="F305" s="46" t="s">
        <v>1348</v>
      </c>
    </row>
    <row r="306">
      <c r="A306" s="51" t="s">
        <v>26670</v>
      </c>
      <c r="B306" s="152"/>
      <c r="C306" s="82"/>
      <c r="D306" s="33" t="s">
        <v>26646</v>
      </c>
    </row>
    <row r="307">
      <c r="A307" s="51" t="s">
        <v>26671</v>
      </c>
      <c r="B307" s="152"/>
      <c r="C307" s="82"/>
      <c r="D307" s="33" t="s">
        <v>26646</v>
      </c>
      <c r="F307" s="46" t="s">
        <v>1348</v>
      </c>
    </row>
    <row r="308">
      <c r="A308" s="51" t="s">
        <v>26673</v>
      </c>
      <c r="B308" s="152"/>
      <c r="C308" s="82"/>
      <c r="D308" s="33" t="s">
        <v>26646</v>
      </c>
    </row>
    <row r="309">
      <c r="A309" s="51" t="s">
        <v>26674</v>
      </c>
      <c r="B309" s="152"/>
      <c r="C309" s="82"/>
      <c r="D309" s="33" t="s">
        <v>26646</v>
      </c>
      <c r="F309" s="46" t="s">
        <v>1348</v>
      </c>
    </row>
    <row r="310">
      <c r="A310" s="51" t="s">
        <v>26675</v>
      </c>
      <c r="B310" s="152"/>
      <c r="C310" s="82"/>
      <c r="D310" s="33" t="s">
        <v>26646</v>
      </c>
    </row>
    <row r="311">
      <c r="A311" s="51" t="s">
        <v>26676</v>
      </c>
      <c r="B311" s="152"/>
      <c r="C311" s="82"/>
      <c r="D311" s="33" t="s">
        <v>26646</v>
      </c>
      <c r="F311" s="46" t="s">
        <v>1348</v>
      </c>
    </row>
    <row r="312">
      <c r="A312" s="51" t="s">
        <v>26678</v>
      </c>
      <c r="B312" s="152"/>
      <c r="C312" s="82"/>
      <c r="D312" s="33" t="s">
        <v>26646</v>
      </c>
    </row>
    <row r="313">
      <c r="A313" s="51" t="s">
        <v>26680</v>
      </c>
      <c r="B313" s="152"/>
      <c r="C313" s="82"/>
      <c r="D313" s="33" t="s">
        <v>26646</v>
      </c>
      <c r="F313" s="46" t="s">
        <v>1348</v>
      </c>
    </row>
    <row r="314">
      <c r="A314" s="51" t="s">
        <v>26681</v>
      </c>
      <c r="B314" s="152"/>
      <c r="C314" s="82"/>
      <c r="D314" s="33" t="s">
        <v>26646</v>
      </c>
    </row>
    <row r="315">
      <c r="A315" s="51" t="s">
        <v>26682</v>
      </c>
      <c r="B315" s="152"/>
      <c r="C315" s="82"/>
      <c r="D315" s="33" t="s">
        <v>26646</v>
      </c>
      <c r="F315" s="46" t="s">
        <v>1348</v>
      </c>
    </row>
    <row r="316">
      <c r="A316" s="51" t="s">
        <v>26683</v>
      </c>
      <c r="B316" s="152"/>
      <c r="C316" s="82"/>
      <c r="D316" s="33" t="s">
        <v>26646</v>
      </c>
    </row>
    <row r="317">
      <c r="A317" s="51" t="s">
        <v>26684</v>
      </c>
      <c r="B317" s="152"/>
      <c r="C317" s="82"/>
      <c r="D317" s="33" t="s">
        <v>26646</v>
      </c>
      <c r="F317" s="46" t="s">
        <v>1348</v>
      </c>
    </row>
    <row r="318">
      <c r="A318" s="51" t="s">
        <v>26686</v>
      </c>
      <c r="B318" s="152"/>
      <c r="C318" s="82"/>
      <c r="D318" s="33" t="s">
        <v>26646</v>
      </c>
    </row>
    <row r="319">
      <c r="A319" s="51" t="s">
        <v>26687</v>
      </c>
      <c r="B319" s="152"/>
      <c r="C319" s="82"/>
      <c r="D319" s="33" t="s">
        <v>26646</v>
      </c>
      <c r="F319" s="46" t="s">
        <v>1348</v>
      </c>
    </row>
    <row r="320">
      <c r="A320" s="51" t="s">
        <v>26689</v>
      </c>
      <c r="B320" s="152"/>
      <c r="C320" s="55"/>
      <c r="D320" s="31"/>
    </row>
    <row r="321">
      <c r="A321" s="51" t="s">
        <v>26690</v>
      </c>
      <c r="B321" s="152"/>
      <c r="C321" s="82"/>
      <c r="D321" s="33" t="s">
        <v>26691</v>
      </c>
      <c r="F321" s="46" t="s">
        <v>1348</v>
      </c>
    </row>
    <row r="322">
      <c r="A322" s="51" t="s">
        <v>26693</v>
      </c>
      <c r="B322" s="152"/>
      <c r="C322" s="55"/>
      <c r="D322" s="31"/>
    </row>
    <row r="323">
      <c r="A323" s="51" t="s">
        <v>26694</v>
      </c>
      <c r="B323" s="152"/>
      <c r="C323" s="55"/>
      <c r="D323" s="31"/>
    </row>
    <row r="324">
      <c r="A324" s="51" t="s">
        <v>26695</v>
      </c>
      <c r="B324" s="152"/>
      <c r="C324" s="82"/>
      <c r="D324" s="33" t="s">
        <v>26696</v>
      </c>
      <c r="F324" s="46" t="s">
        <v>2775</v>
      </c>
    </row>
    <row r="325">
      <c r="A325" s="51" t="s">
        <v>26697</v>
      </c>
      <c r="B325" s="152"/>
      <c r="C325" s="82"/>
      <c r="D325" s="33" t="s">
        <v>26696</v>
      </c>
      <c r="F325" s="46" t="s">
        <v>2793</v>
      </c>
    </row>
    <row r="326">
      <c r="A326" s="51" t="s">
        <v>26698</v>
      </c>
      <c r="B326" s="152"/>
      <c r="C326" s="82"/>
      <c r="D326" s="33" t="s">
        <v>26700</v>
      </c>
      <c r="F326" s="46" t="s">
        <v>1348</v>
      </c>
    </row>
    <row r="327">
      <c r="A327" s="51" t="s">
        <v>26702</v>
      </c>
      <c r="B327" s="152"/>
      <c r="C327" s="55"/>
      <c r="D327" s="31"/>
    </row>
    <row r="328">
      <c r="A328" s="51" t="s">
        <v>26703</v>
      </c>
      <c r="B328" s="152"/>
      <c r="C328" s="55"/>
      <c r="D328" s="31"/>
    </row>
    <row r="329">
      <c r="A329" s="51" t="s">
        <v>26704</v>
      </c>
      <c r="B329" s="152"/>
      <c r="C329" s="82"/>
      <c r="D329" s="33" t="s">
        <v>26705</v>
      </c>
      <c r="F329" s="46" t="s">
        <v>1348</v>
      </c>
    </row>
    <row r="330">
      <c r="A330" s="51" t="s">
        <v>26706</v>
      </c>
      <c r="B330" s="152"/>
      <c r="C330" s="55"/>
      <c r="D330" s="31"/>
    </row>
    <row r="331">
      <c r="A331" s="51" t="s">
        <v>26707</v>
      </c>
      <c r="B331" s="152"/>
      <c r="C331" s="55"/>
      <c r="D331" s="31"/>
    </row>
    <row r="332">
      <c r="A332" s="51" t="s">
        <v>26708</v>
      </c>
      <c r="B332" s="152"/>
      <c r="C332" s="55"/>
      <c r="D332" s="31"/>
    </row>
    <row r="333">
      <c r="A333" s="51" t="s">
        <v>26710</v>
      </c>
      <c r="B333" s="152"/>
      <c r="C333" s="55"/>
      <c r="D333" s="31"/>
    </row>
    <row r="334">
      <c r="A334" s="51" t="s">
        <v>26711</v>
      </c>
      <c r="B334" s="152"/>
      <c r="C334" s="55"/>
      <c r="D334" s="31"/>
    </row>
    <row r="335">
      <c r="A335" s="51" t="s">
        <v>26713</v>
      </c>
      <c r="B335" s="152"/>
      <c r="C335" s="55"/>
      <c r="D335" s="31"/>
    </row>
    <row r="336">
      <c r="A336" s="51" t="s">
        <v>26714</v>
      </c>
      <c r="B336" s="152"/>
      <c r="C336" s="55"/>
      <c r="D336" s="31"/>
    </row>
    <row r="337">
      <c r="A337" s="51" t="s">
        <v>26715</v>
      </c>
      <c r="B337" s="152"/>
      <c r="C337" s="55"/>
      <c r="D337" s="31"/>
    </row>
    <row r="338">
      <c r="A338" s="51" t="s">
        <v>26716</v>
      </c>
      <c r="B338" s="152"/>
      <c r="C338" s="55"/>
      <c r="D338" s="31"/>
    </row>
    <row r="339">
      <c r="A339" s="51" t="s">
        <v>26718</v>
      </c>
      <c r="B339" s="152"/>
      <c r="C339" s="55"/>
      <c r="D339" s="31"/>
    </row>
    <row r="340">
      <c r="A340" s="51" t="s">
        <v>26719</v>
      </c>
      <c r="B340" s="152"/>
      <c r="C340" s="55"/>
      <c r="D340" s="31"/>
    </row>
    <row r="341">
      <c r="A341" s="51" t="s">
        <v>26720</v>
      </c>
      <c r="B341" s="152"/>
      <c r="C341" s="55"/>
      <c r="D341" s="31"/>
    </row>
    <row r="342">
      <c r="A342" s="51" t="s">
        <v>26721</v>
      </c>
      <c r="B342" s="152"/>
      <c r="C342" s="82"/>
      <c r="D342" s="33" t="s">
        <v>26722</v>
      </c>
      <c r="F342" s="46" t="s">
        <v>2775</v>
      </c>
    </row>
    <row r="343">
      <c r="A343" s="51" t="s">
        <v>26725</v>
      </c>
      <c r="B343" s="152"/>
      <c r="C343" s="82"/>
      <c r="D343" s="31"/>
      <c r="F343" s="46" t="s">
        <v>2793</v>
      </c>
    </row>
    <row r="344">
      <c r="A344" s="51" t="s">
        <v>26726</v>
      </c>
      <c r="B344" s="152"/>
      <c r="C344" s="82"/>
      <c r="D344" s="33" t="s">
        <v>26727</v>
      </c>
      <c r="F344" s="46" t="s">
        <v>2775</v>
      </c>
    </row>
    <row r="345">
      <c r="A345" s="51" t="s">
        <v>26728</v>
      </c>
      <c r="B345" s="152"/>
      <c r="C345" s="82"/>
      <c r="D345" s="33" t="s">
        <v>26727</v>
      </c>
      <c r="F345" s="46" t="s">
        <v>2793</v>
      </c>
    </row>
    <row r="346">
      <c r="A346" s="51" t="s">
        <v>26729</v>
      </c>
      <c r="B346" s="152"/>
      <c r="C346" s="82"/>
      <c r="D346" s="31"/>
      <c r="F346" s="46" t="s">
        <v>2775</v>
      </c>
    </row>
    <row r="347">
      <c r="A347" s="51" t="s">
        <v>26731</v>
      </c>
      <c r="B347" s="152"/>
      <c r="C347" s="82"/>
      <c r="D347" s="33" t="s">
        <v>26733</v>
      </c>
      <c r="F347" s="46" t="s">
        <v>2793</v>
      </c>
    </row>
    <row r="348">
      <c r="A348" s="51" t="s">
        <v>26734</v>
      </c>
      <c r="B348" s="152"/>
      <c r="C348" s="82"/>
      <c r="D348" s="33" t="s">
        <v>26735</v>
      </c>
      <c r="F348" s="46" t="s">
        <v>2775</v>
      </c>
    </row>
    <row r="349">
      <c r="A349" s="51" t="s">
        <v>26737</v>
      </c>
      <c r="B349" s="152"/>
      <c r="C349" s="82"/>
      <c r="D349" s="31"/>
      <c r="F349" s="46" t="s">
        <v>2793</v>
      </c>
    </row>
    <row r="350">
      <c r="A350" s="51" t="s">
        <v>26738</v>
      </c>
      <c r="B350" s="152"/>
      <c r="C350" s="82"/>
      <c r="D350" s="33" t="s">
        <v>26739</v>
      </c>
      <c r="F350" s="46" t="s">
        <v>2775</v>
      </c>
    </row>
    <row r="351">
      <c r="A351" s="51" t="s">
        <v>26740</v>
      </c>
      <c r="B351" s="152"/>
      <c r="C351" s="82"/>
      <c r="D351" s="33" t="s">
        <v>26739</v>
      </c>
      <c r="F351" s="46" t="s">
        <v>2793</v>
      </c>
    </row>
    <row r="352">
      <c r="A352" s="51" t="s">
        <v>26742</v>
      </c>
      <c r="B352" s="152"/>
      <c r="C352" s="82"/>
      <c r="D352" s="33" t="s">
        <v>26744</v>
      </c>
      <c r="F352" s="46" t="s">
        <v>2775</v>
      </c>
    </row>
    <row r="353">
      <c r="A353" s="51" t="s">
        <v>26745</v>
      </c>
      <c r="B353" s="152"/>
      <c r="C353" s="82"/>
      <c r="D353" s="33" t="s">
        <v>26744</v>
      </c>
      <c r="F353" s="46" t="s">
        <v>2793</v>
      </c>
    </row>
    <row r="354">
      <c r="A354" s="51" t="s">
        <v>26746</v>
      </c>
      <c r="B354" s="152"/>
      <c r="C354" s="82"/>
      <c r="D354" s="33" t="s">
        <v>26747</v>
      </c>
      <c r="F354" s="46" t="s">
        <v>2775</v>
      </c>
    </row>
    <row r="355">
      <c r="A355" s="51" t="s">
        <v>26748</v>
      </c>
      <c r="B355" s="152"/>
      <c r="C355" s="82"/>
      <c r="D355" s="31"/>
      <c r="F355" s="46" t="s">
        <v>2793</v>
      </c>
    </row>
    <row r="356">
      <c r="A356" s="51" t="s">
        <v>26750</v>
      </c>
      <c r="B356" s="152"/>
      <c r="C356" s="82"/>
      <c r="D356" s="31"/>
      <c r="F356" s="46" t="s">
        <v>2775</v>
      </c>
    </row>
    <row r="357">
      <c r="A357" s="51" t="s">
        <v>26752</v>
      </c>
      <c r="B357" s="152"/>
      <c r="C357" s="82"/>
      <c r="D357" s="33" t="s">
        <v>26753</v>
      </c>
      <c r="F357" s="46" t="s">
        <v>2793</v>
      </c>
    </row>
    <row r="358">
      <c r="A358" s="51" t="s">
        <v>26754</v>
      </c>
      <c r="B358" s="152"/>
      <c r="C358" s="82"/>
      <c r="D358" s="33" t="s">
        <v>26756</v>
      </c>
      <c r="F358" s="46" t="s">
        <v>2775</v>
      </c>
    </row>
    <row r="359">
      <c r="A359" s="51" t="s">
        <v>26757</v>
      </c>
      <c r="B359" s="152"/>
      <c r="C359" s="82"/>
      <c r="D359" s="31"/>
      <c r="F359" s="46" t="s">
        <v>2793</v>
      </c>
    </row>
    <row r="360">
      <c r="A360" s="51" t="s">
        <v>26758</v>
      </c>
      <c r="B360" s="152"/>
      <c r="C360" s="82"/>
      <c r="D360" s="33" t="s">
        <v>26759</v>
      </c>
      <c r="F360" s="46" t="s">
        <v>2775</v>
      </c>
    </row>
    <row r="361">
      <c r="A361" s="51" t="s">
        <v>26760</v>
      </c>
      <c r="B361" s="152"/>
      <c r="C361" s="82"/>
      <c r="D361" s="31"/>
      <c r="F361" s="46" t="s">
        <v>2793</v>
      </c>
    </row>
    <row r="362">
      <c r="A362" s="51" t="s">
        <v>26762</v>
      </c>
      <c r="B362" s="152"/>
      <c r="C362" s="82"/>
      <c r="D362" s="33" t="s">
        <v>26765</v>
      </c>
      <c r="F362" s="46" t="s">
        <v>2775</v>
      </c>
    </row>
    <row r="363">
      <c r="A363" s="51" t="s">
        <v>26766</v>
      </c>
      <c r="B363" s="152"/>
      <c r="C363" s="82"/>
      <c r="D363" s="33" t="s">
        <v>26765</v>
      </c>
      <c r="F363" s="46" t="s">
        <v>2793</v>
      </c>
    </row>
    <row r="364">
      <c r="A364" s="51" t="s">
        <v>26767</v>
      </c>
      <c r="B364" s="152"/>
      <c r="C364" s="82"/>
      <c r="D364" s="33" t="s">
        <v>26768</v>
      </c>
      <c r="F364" s="46" t="s">
        <v>2775</v>
      </c>
    </row>
    <row r="365">
      <c r="A365" s="51" t="s">
        <v>26769</v>
      </c>
      <c r="B365" s="152"/>
      <c r="C365" s="82"/>
      <c r="D365" s="33" t="s">
        <v>26768</v>
      </c>
      <c r="F365" s="46" t="s">
        <v>2793</v>
      </c>
    </row>
    <row r="366">
      <c r="A366" s="51" t="s">
        <v>26771</v>
      </c>
      <c r="B366" s="152"/>
      <c r="C366" s="82"/>
      <c r="D366" s="33" t="s">
        <v>26773</v>
      </c>
      <c r="F366" s="46" t="s">
        <v>2775</v>
      </c>
    </row>
    <row r="367">
      <c r="A367" s="51" t="s">
        <v>26774</v>
      </c>
      <c r="B367" s="152"/>
      <c r="C367" s="82"/>
      <c r="D367" s="33" t="s">
        <v>26773</v>
      </c>
      <c r="F367" s="46" t="s">
        <v>2793</v>
      </c>
    </row>
    <row r="368">
      <c r="A368" s="51" t="s">
        <v>26775</v>
      </c>
      <c r="B368" s="152"/>
      <c r="C368" s="82"/>
      <c r="D368" s="31"/>
      <c r="F368" s="46" t="s">
        <v>2775</v>
      </c>
    </row>
    <row r="369">
      <c r="A369" s="51" t="s">
        <v>26777</v>
      </c>
      <c r="B369" s="152"/>
      <c r="C369" s="82"/>
      <c r="D369" s="33" t="s">
        <v>26778</v>
      </c>
      <c r="F369" s="46" t="s">
        <v>2793</v>
      </c>
    </row>
    <row r="370">
      <c r="A370" s="51" t="s">
        <v>26779</v>
      </c>
      <c r="B370" s="152"/>
      <c r="C370" s="82"/>
      <c r="D370" s="31"/>
      <c r="F370" s="46" t="s">
        <v>2775</v>
      </c>
    </row>
    <row r="371">
      <c r="A371" s="51" t="s">
        <v>26780</v>
      </c>
      <c r="B371" s="152"/>
      <c r="C371" s="82"/>
      <c r="D371" s="33" t="s">
        <v>26783</v>
      </c>
      <c r="F371" s="46" t="s">
        <v>2793</v>
      </c>
    </row>
    <row r="372">
      <c r="A372" s="51" t="s">
        <v>26784</v>
      </c>
      <c r="B372" s="152"/>
      <c r="C372" s="82"/>
      <c r="D372" s="33" t="s">
        <v>26785</v>
      </c>
      <c r="F372" s="46" t="s">
        <v>2775</v>
      </c>
    </row>
    <row r="373">
      <c r="A373" s="51" t="s">
        <v>26786</v>
      </c>
      <c r="B373" s="152"/>
      <c r="C373" s="82"/>
      <c r="D373" s="33" t="s">
        <v>26785</v>
      </c>
      <c r="F373" s="46" t="s">
        <v>2793</v>
      </c>
    </row>
    <row r="374">
      <c r="A374" s="51" t="s">
        <v>26790</v>
      </c>
      <c r="B374" s="152"/>
      <c r="C374" s="82"/>
      <c r="D374" s="33" t="s">
        <v>26791</v>
      </c>
      <c r="F374" s="46" t="s">
        <v>1348</v>
      </c>
    </row>
    <row r="375">
      <c r="A375" s="51" t="s">
        <v>26792</v>
      </c>
      <c r="B375" s="152"/>
      <c r="C375" s="82"/>
      <c r="D375" s="33" t="s">
        <v>26791</v>
      </c>
      <c r="F375" s="46" t="s">
        <v>1348</v>
      </c>
    </row>
    <row r="376">
      <c r="A376" s="51" t="s">
        <v>26796</v>
      </c>
      <c r="B376" s="152"/>
      <c r="C376" s="21"/>
      <c r="D376" s="33" t="s">
        <v>26798</v>
      </c>
      <c r="F376" s="46" t="s">
        <v>2793</v>
      </c>
    </row>
    <row r="377">
      <c r="A377" s="51" t="s">
        <v>26799</v>
      </c>
      <c r="B377" s="152"/>
      <c r="C377" s="21"/>
      <c r="D377" s="33" t="s">
        <v>26798</v>
      </c>
      <c r="F377" s="46" t="s">
        <v>2775</v>
      </c>
    </row>
    <row r="378">
      <c r="A378" s="51" t="s">
        <v>26800</v>
      </c>
      <c r="B378" s="152"/>
      <c r="C378" s="82"/>
      <c r="D378" s="33" t="s">
        <v>26801</v>
      </c>
      <c r="F378" s="46" t="s">
        <v>2775</v>
      </c>
    </row>
    <row r="379">
      <c r="A379" s="51" t="s">
        <v>26803</v>
      </c>
      <c r="B379" s="152"/>
      <c r="C379" s="82"/>
      <c r="D379" s="33" t="s">
        <v>26801</v>
      </c>
      <c r="F379" s="46" t="s">
        <v>2793</v>
      </c>
    </row>
    <row r="380">
      <c r="A380" s="51" t="s">
        <v>26804</v>
      </c>
      <c r="B380" s="152"/>
      <c r="C380" s="55"/>
      <c r="D380" s="31"/>
    </row>
    <row r="381">
      <c r="A381" s="51" t="s">
        <v>26805</v>
      </c>
      <c r="B381" s="152"/>
      <c r="C381" s="55"/>
      <c r="D381" s="31"/>
    </row>
    <row r="382">
      <c r="A382" s="51" t="s">
        <v>26809</v>
      </c>
      <c r="B382" s="152"/>
      <c r="C382" s="55"/>
      <c r="D382" s="31"/>
    </row>
    <row r="383">
      <c r="A383" s="51" t="s">
        <v>26811</v>
      </c>
      <c r="B383" s="152"/>
      <c r="C383" s="55"/>
      <c r="D383" s="31"/>
    </row>
    <row r="384">
      <c r="A384" s="51" t="s">
        <v>26812</v>
      </c>
      <c r="B384" s="152"/>
      <c r="C384" s="21"/>
      <c r="D384" s="33" t="s">
        <v>26813</v>
      </c>
      <c r="F384" s="46" t="s">
        <v>1348</v>
      </c>
    </row>
    <row r="385">
      <c r="A385" s="51" t="s">
        <v>26815</v>
      </c>
      <c r="B385" s="152"/>
      <c r="C385" s="21"/>
      <c r="D385" s="33" t="s">
        <v>26813</v>
      </c>
      <c r="F385" s="46" t="s">
        <v>1348</v>
      </c>
    </row>
    <row r="386">
      <c r="A386" s="51" t="s">
        <v>26816</v>
      </c>
      <c r="B386" s="152"/>
      <c r="C386" s="21"/>
      <c r="D386" s="33" t="s">
        <v>26813</v>
      </c>
      <c r="F386" s="46" t="s">
        <v>1348</v>
      </c>
    </row>
    <row r="387">
      <c r="A387" s="51" t="s">
        <v>26817</v>
      </c>
      <c r="B387" s="152"/>
      <c r="C387" s="21"/>
      <c r="D387" s="33" t="s">
        <v>26813</v>
      </c>
      <c r="F387" s="46" t="s">
        <v>1348</v>
      </c>
    </row>
    <row r="388">
      <c r="A388" s="51" t="s">
        <v>26820</v>
      </c>
      <c r="B388" s="152"/>
      <c r="C388" s="55"/>
      <c r="D388" s="31"/>
    </row>
    <row r="389">
      <c r="A389" s="51" t="s">
        <v>26821</v>
      </c>
      <c r="B389" s="152"/>
      <c r="C389" s="55"/>
      <c r="D389" s="31"/>
    </row>
    <row r="390">
      <c r="A390" s="51" t="s">
        <v>26822</v>
      </c>
      <c r="B390" s="152"/>
      <c r="C390" s="55"/>
      <c r="D390" s="31"/>
    </row>
    <row r="391">
      <c r="A391" s="51" t="s">
        <v>26824</v>
      </c>
      <c r="B391" s="152"/>
      <c r="C391" s="55"/>
      <c r="D391" s="31"/>
    </row>
    <row r="392">
      <c r="A392" s="51" t="s">
        <v>26825</v>
      </c>
      <c r="B392" s="152"/>
      <c r="C392" s="55"/>
      <c r="D392" s="31"/>
    </row>
    <row r="393">
      <c r="A393" s="51" t="s">
        <v>26827</v>
      </c>
      <c r="B393" s="152"/>
      <c r="C393" s="55"/>
      <c r="D393" s="31"/>
    </row>
    <row r="394">
      <c r="A394" s="51" t="s">
        <v>26828</v>
      </c>
      <c r="B394" s="152"/>
      <c r="C394" s="55"/>
      <c r="D394" s="31"/>
    </row>
    <row r="395">
      <c r="A395" s="51" t="s">
        <v>26829</v>
      </c>
      <c r="B395" s="152"/>
      <c r="C395" s="55"/>
      <c r="D395" s="31"/>
    </row>
    <row r="396">
      <c r="A396" s="51" t="s">
        <v>26831</v>
      </c>
      <c r="B396" s="152"/>
      <c r="C396" s="55"/>
      <c r="D396" s="31"/>
    </row>
    <row r="397">
      <c r="A397" s="51" t="s">
        <v>26832</v>
      </c>
      <c r="B397" s="152"/>
      <c r="C397" s="82"/>
      <c r="D397" s="33" t="s">
        <v>26833</v>
      </c>
      <c r="F397" s="46" t="s">
        <v>1348</v>
      </c>
    </row>
    <row r="398">
      <c r="A398" s="51" t="s">
        <v>26834</v>
      </c>
      <c r="B398" s="152"/>
      <c r="C398" s="82"/>
      <c r="D398" s="33" t="s">
        <v>26833</v>
      </c>
      <c r="F398" s="46" t="s">
        <v>1348</v>
      </c>
    </row>
    <row r="399">
      <c r="A399" s="51" t="s">
        <v>26837</v>
      </c>
      <c r="B399" s="152"/>
      <c r="C399" s="55"/>
      <c r="D399" s="31"/>
    </row>
    <row r="400">
      <c r="A400" s="51" t="s">
        <v>26838</v>
      </c>
      <c r="B400" s="152"/>
      <c r="C400" s="55"/>
      <c r="D400" s="31"/>
    </row>
    <row r="401">
      <c r="A401" s="51" t="s">
        <v>26839</v>
      </c>
      <c r="B401" s="152"/>
      <c r="C401" s="55"/>
      <c r="D401" s="31"/>
    </row>
    <row r="402">
      <c r="A402" s="51" t="s">
        <v>26840</v>
      </c>
      <c r="B402" s="152"/>
      <c r="C402" s="55"/>
      <c r="D402" s="31"/>
    </row>
    <row r="403">
      <c r="A403" s="51" t="s">
        <v>26843</v>
      </c>
      <c r="B403" s="152"/>
      <c r="C403" s="55"/>
      <c r="D403" s="31"/>
    </row>
    <row r="404">
      <c r="A404" s="51" t="s">
        <v>26844</v>
      </c>
      <c r="B404" s="152"/>
      <c r="C404" s="55"/>
      <c r="D404" s="31"/>
    </row>
    <row r="405">
      <c r="A405" s="51" t="s">
        <v>26845</v>
      </c>
      <c r="B405" s="152"/>
      <c r="C405" s="55"/>
      <c r="D405" s="31"/>
    </row>
    <row r="406">
      <c r="A406" s="51" t="s">
        <v>26847</v>
      </c>
      <c r="B406" s="152"/>
      <c r="C406" s="55"/>
      <c r="D406" s="31"/>
    </row>
    <row r="407">
      <c r="A407" s="51" t="s">
        <v>26848</v>
      </c>
      <c r="B407" s="152"/>
      <c r="C407" s="55"/>
      <c r="D407" s="31"/>
    </row>
    <row r="408">
      <c r="A408" s="51" t="s">
        <v>26849</v>
      </c>
      <c r="B408" s="152"/>
      <c r="C408" s="55"/>
      <c r="D408" s="31"/>
    </row>
    <row r="409">
      <c r="A409" s="51" t="s">
        <v>26850</v>
      </c>
      <c r="B409" s="152"/>
      <c r="C409" s="55"/>
      <c r="D409" s="31"/>
    </row>
    <row r="410">
      <c r="A410" s="51" t="s">
        <v>26851</v>
      </c>
      <c r="B410" s="152"/>
      <c r="C410" s="55"/>
      <c r="D410" s="31"/>
    </row>
    <row r="411">
      <c r="A411" s="51" t="s">
        <v>26854</v>
      </c>
      <c r="B411" s="152"/>
      <c r="C411" s="55"/>
      <c r="D411" s="31"/>
    </row>
    <row r="412">
      <c r="A412" s="51" t="s">
        <v>26855</v>
      </c>
      <c r="B412" s="152"/>
      <c r="C412" s="55"/>
      <c r="D412" s="31"/>
    </row>
    <row r="413">
      <c r="A413" s="51" t="s">
        <v>26856</v>
      </c>
      <c r="B413" s="152"/>
      <c r="C413" s="55"/>
      <c r="D413" s="31"/>
    </row>
    <row r="414">
      <c r="A414" s="51" t="s">
        <v>26857</v>
      </c>
      <c r="B414" s="152"/>
      <c r="C414" s="55"/>
      <c r="D414" s="31"/>
    </row>
    <row r="415">
      <c r="A415" s="51" t="s">
        <v>26858</v>
      </c>
      <c r="B415" s="152"/>
      <c r="C415" s="55"/>
      <c r="D415" s="31"/>
    </row>
    <row r="416">
      <c r="A416" s="51" t="s">
        <v>26859</v>
      </c>
      <c r="B416" s="152"/>
      <c r="C416" s="82"/>
      <c r="D416" s="33" t="s">
        <v>26860</v>
      </c>
      <c r="F416" s="46" t="s">
        <v>1348</v>
      </c>
    </row>
    <row r="417">
      <c r="A417" s="51" t="s">
        <v>26862</v>
      </c>
      <c r="B417" s="152"/>
      <c r="C417" s="82"/>
      <c r="D417" s="33" t="s">
        <v>26863</v>
      </c>
      <c r="F417" s="46" t="s">
        <v>1348</v>
      </c>
      <c r="G417" s="46" t="s">
        <v>26864</v>
      </c>
    </row>
    <row r="418">
      <c r="A418" s="51" t="s">
        <v>26865</v>
      </c>
      <c r="B418" s="152"/>
      <c r="C418" s="82"/>
      <c r="D418" s="33" t="s">
        <v>26866</v>
      </c>
      <c r="F418" s="46" t="s">
        <v>1348</v>
      </c>
    </row>
    <row r="419">
      <c r="A419" s="51" t="s">
        <v>26868</v>
      </c>
      <c r="B419" s="152"/>
      <c r="C419" s="55"/>
      <c r="D419" s="31"/>
    </row>
    <row r="420">
      <c r="A420" s="51" t="s">
        <v>26869</v>
      </c>
      <c r="B420" s="152"/>
      <c r="C420" s="55"/>
      <c r="D420" s="31"/>
    </row>
    <row r="421">
      <c r="A421" s="51" t="s">
        <v>26870</v>
      </c>
      <c r="B421" s="152"/>
      <c r="C421" s="55"/>
      <c r="D421" s="31"/>
    </row>
    <row r="422">
      <c r="A422" s="51" t="s">
        <v>26872</v>
      </c>
      <c r="B422" s="152"/>
      <c r="C422" s="55"/>
      <c r="D422" s="31"/>
    </row>
    <row r="423">
      <c r="A423" s="51" t="s">
        <v>26873</v>
      </c>
      <c r="B423" s="152"/>
      <c r="C423" s="55"/>
      <c r="D423" s="31"/>
    </row>
    <row r="424">
      <c r="A424" s="51" t="s">
        <v>26874</v>
      </c>
      <c r="B424" s="152"/>
      <c r="C424" s="55"/>
      <c r="D424" s="31"/>
    </row>
    <row r="425">
      <c r="A425" s="51" t="s">
        <v>26875</v>
      </c>
      <c r="B425" s="152"/>
      <c r="C425" s="55"/>
      <c r="D425" s="31"/>
    </row>
    <row r="426">
      <c r="A426" s="51" t="s">
        <v>26876</v>
      </c>
      <c r="B426" s="152"/>
      <c r="C426" s="55"/>
      <c r="D426" s="31"/>
    </row>
    <row r="427">
      <c r="A427" s="51" t="s">
        <v>26877</v>
      </c>
      <c r="B427" s="152"/>
      <c r="C427" s="55"/>
      <c r="D427" s="31"/>
    </row>
    <row r="428">
      <c r="A428" s="51" t="s">
        <v>26879</v>
      </c>
      <c r="B428" s="152"/>
      <c r="C428" s="55"/>
      <c r="D428" s="31"/>
    </row>
    <row r="429">
      <c r="A429" s="51" t="s">
        <v>26882</v>
      </c>
      <c r="B429" s="152"/>
      <c r="C429" s="55"/>
      <c r="D429" s="31"/>
    </row>
    <row r="430">
      <c r="A430" s="51" t="s">
        <v>26883</v>
      </c>
      <c r="B430" s="152"/>
      <c r="C430" s="55"/>
      <c r="D430" s="31"/>
    </row>
    <row r="431">
      <c r="A431" s="51" t="s">
        <v>26884</v>
      </c>
      <c r="B431" s="152"/>
      <c r="C431" s="21"/>
      <c r="D431" s="33" t="s">
        <v>26885</v>
      </c>
    </row>
    <row r="432">
      <c r="A432" s="51" t="s">
        <v>26886</v>
      </c>
      <c r="B432" s="152"/>
      <c r="C432" s="21"/>
      <c r="D432" s="33" t="s">
        <v>26885</v>
      </c>
    </row>
    <row r="433">
      <c r="A433" s="51" t="s">
        <v>26887</v>
      </c>
      <c r="B433" s="152"/>
      <c r="C433" s="40"/>
      <c r="D433" s="33" t="s">
        <v>26885</v>
      </c>
      <c r="F433" s="46" t="s">
        <v>2756</v>
      </c>
    </row>
    <row r="434">
      <c r="A434" s="51" t="s">
        <v>26889</v>
      </c>
      <c r="B434" s="152"/>
      <c r="C434" s="82"/>
      <c r="D434" s="33" t="s">
        <v>26890</v>
      </c>
      <c r="F434" s="46" t="s">
        <v>2775</v>
      </c>
    </row>
    <row r="435">
      <c r="A435" s="51" t="s">
        <v>26891</v>
      </c>
      <c r="B435" s="152"/>
      <c r="C435" s="82"/>
      <c r="D435" s="33" t="s">
        <v>26892</v>
      </c>
      <c r="F435" s="46" t="s">
        <v>2775</v>
      </c>
    </row>
    <row r="436">
      <c r="A436" s="51" t="s">
        <v>26893</v>
      </c>
      <c r="B436" s="152"/>
      <c r="C436" s="82"/>
      <c r="D436" s="33" t="s">
        <v>26892</v>
      </c>
      <c r="F436" s="46" t="s">
        <v>2775</v>
      </c>
    </row>
    <row r="437">
      <c r="A437" s="51" t="s">
        <v>26896</v>
      </c>
      <c r="B437" s="152"/>
      <c r="C437" s="82"/>
      <c r="D437" s="33" t="s">
        <v>26897</v>
      </c>
      <c r="F437" s="46" t="s">
        <v>1348</v>
      </c>
    </row>
    <row r="438">
      <c r="A438" s="51" t="s">
        <v>26898</v>
      </c>
      <c r="B438" s="152"/>
      <c r="C438" s="55"/>
      <c r="D438" s="31"/>
    </row>
    <row r="439">
      <c r="A439" s="51" t="s">
        <v>26899</v>
      </c>
      <c r="B439" s="152"/>
      <c r="C439" s="55"/>
      <c r="D439" s="31"/>
    </row>
    <row r="440">
      <c r="A440" s="51" t="s">
        <v>26900</v>
      </c>
      <c r="B440" s="152"/>
      <c r="C440" s="55"/>
      <c r="D440" s="31"/>
    </row>
    <row r="441">
      <c r="A441" s="51" t="s">
        <v>26902</v>
      </c>
      <c r="B441" s="152"/>
      <c r="C441" s="55"/>
      <c r="D441" s="31"/>
    </row>
    <row r="442">
      <c r="A442" s="51" t="s">
        <v>26903</v>
      </c>
      <c r="B442" s="152"/>
      <c r="C442" s="55"/>
      <c r="D442" s="31"/>
    </row>
    <row r="443">
      <c r="A443" s="51" t="s">
        <v>26905</v>
      </c>
      <c r="B443" s="152"/>
      <c r="C443" s="55"/>
      <c r="D443" s="31"/>
    </row>
    <row r="444">
      <c r="A444" s="51" t="s">
        <v>26906</v>
      </c>
      <c r="B444" s="152"/>
      <c r="C444" s="55"/>
      <c r="D444" s="31"/>
    </row>
    <row r="445">
      <c r="A445" s="51" t="s">
        <v>26908</v>
      </c>
      <c r="B445" s="152"/>
      <c r="C445" s="55"/>
      <c r="D445" s="31"/>
    </row>
    <row r="446">
      <c r="A446" s="51" t="s">
        <v>26909</v>
      </c>
      <c r="B446" s="152"/>
      <c r="C446" s="55"/>
      <c r="D446" s="31"/>
    </row>
    <row r="447">
      <c r="A447" s="51" t="s">
        <v>26910</v>
      </c>
      <c r="B447" s="152"/>
      <c r="C447" s="55"/>
      <c r="D447" s="31"/>
    </row>
    <row r="448">
      <c r="A448" s="51" t="s">
        <v>26911</v>
      </c>
      <c r="B448" s="152"/>
      <c r="C448" s="55"/>
      <c r="D448" s="31"/>
    </row>
    <row r="449">
      <c r="A449" s="51" t="s">
        <v>26913</v>
      </c>
      <c r="B449" s="152"/>
      <c r="C449" s="55"/>
      <c r="D449" s="31"/>
    </row>
    <row r="450">
      <c r="A450" s="51" t="s">
        <v>26915</v>
      </c>
      <c r="B450" s="152"/>
      <c r="C450" s="55"/>
      <c r="D450" s="31"/>
    </row>
    <row r="451">
      <c r="A451" s="51" t="s">
        <v>26916</v>
      </c>
      <c r="B451" s="152"/>
      <c r="C451" s="82"/>
      <c r="D451" s="33" t="s">
        <v>26917</v>
      </c>
      <c r="F451" s="46" t="s">
        <v>1348</v>
      </c>
    </row>
    <row r="452">
      <c r="A452" s="51" t="s">
        <v>26918</v>
      </c>
      <c r="B452" s="152"/>
      <c r="C452" s="55"/>
      <c r="D452" s="31"/>
    </row>
    <row r="453">
      <c r="A453" s="51" t="s">
        <v>26919</v>
      </c>
      <c r="B453" s="152"/>
      <c r="C453" s="55"/>
      <c r="D453" s="31"/>
    </row>
    <row r="454">
      <c r="A454" s="51" t="s">
        <v>26921</v>
      </c>
      <c r="B454" s="152"/>
      <c r="C454" s="55"/>
      <c r="D454" s="31"/>
    </row>
    <row r="455">
      <c r="A455" s="51" t="s">
        <v>26923</v>
      </c>
      <c r="B455" s="152"/>
      <c r="C455" s="55"/>
      <c r="D455" s="31"/>
    </row>
    <row r="456">
      <c r="A456" s="51" t="s">
        <v>26925</v>
      </c>
      <c r="B456" s="152"/>
      <c r="C456" s="55"/>
      <c r="D456" s="31"/>
    </row>
    <row r="457">
      <c r="A457" s="51" t="s">
        <v>26926</v>
      </c>
      <c r="B457" s="152"/>
      <c r="C457" s="55"/>
      <c r="D457" s="31"/>
    </row>
    <row r="458">
      <c r="A458" s="51" t="s">
        <v>26927</v>
      </c>
      <c r="B458" s="152"/>
      <c r="C458" s="55"/>
      <c r="D458" s="31"/>
    </row>
    <row r="459">
      <c r="A459" s="51" t="s">
        <v>26928</v>
      </c>
      <c r="B459" s="152"/>
      <c r="C459" s="55"/>
      <c r="D459" s="31"/>
    </row>
    <row r="460">
      <c r="A460" s="51" t="s">
        <v>26930</v>
      </c>
      <c r="B460" s="152"/>
      <c r="C460" s="55"/>
      <c r="D460" s="31"/>
    </row>
    <row r="461">
      <c r="A461" s="51" t="s">
        <v>26931</v>
      </c>
      <c r="B461" s="152"/>
      <c r="C461" s="55"/>
      <c r="D461" s="31"/>
    </row>
    <row r="462">
      <c r="A462" s="51" t="s">
        <v>26932</v>
      </c>
      <c r="B462" s="152"/>
      <c r="C462" s="21"/>
      <c r="D462" s="33" t="s">
        <v>26933</v>
      </c>
    </row>
    <row r="463">
      <c r="A463" s="51" t="s">
        <v>26934</v>
      </c>
      <c r="B463" s="152"/>
      <c r="C463" s="21"/>
      <c r="D463" s="33" t="s">
        <v>26933</v>
      </c>
    </row>
    <row r="464">
      <c r="A464" s="51" t="s">
        <v>26937</v>
      </c>
      <c r="B464" s="152"/>
      <c r="C464" s="79"/>
      <c r="D464" s="33" t="s">
        <v>26933</v>
      </c>
      <c r="F464" s="46" t="s">
        <v>2756</v>
      </c>
    </row>
    <row r="465">
      <c r="A465" s="51" t="s">
        <v>26938</v>
      </c>
      <c r="B465" s="152"/>
      <c r="C465" s="82"/>
      <c r="D465" s="33" t="s">
        <v>26939</v>
      </c>
      <c r="F465" s="46" t="s">
        <v>2775</v>
      </c>
    </row>
    <row r="466">
      <c r="A466" s="51" t="s">
        <v>26940</v>
      </c>
      <c r="B466" s="152"/>
      <c r="C466" s="82"/>
      <c r="D466" s="33" t="s">
        <v>26941</v>
      </c>
      <c r="F466" s="46" t="s">
        <v>2775</v>
      </c>
    </row>
    <row r="467">
      <c r="A467" s="51" t="s">
        <v>26943</v>
      </c>
      <c r="B467" s="152"/>
      <c r="C467" s="82"/>
      <c r="D467" s="33" t="s">
        <v>26944</v>
      </c>
      <c r="F467" s="46" t="s">
        <v>2775</v>
      </c>
    </row>
    <row r="468">
      <c r="A468" s="51" t="s">
        <v>26945</v>
      </c>
      <c r="B468" s="152"/>
      <c r="C468" s="82"/>
      <c r="D468" s="33" t="s">
        <v>26946</v>
      </c>
      <c r="F468" s="46" t="s">
        <v>2775</v>
      </c>
    </row>
    <row r="469">
      <c r="A469" s="51" t="s">
        <v>26948</v>
      </c>
      <c r="B469" s="152"/>
      <c r="C469" s="82"/>
      <c r="D469" s="33" t="s">
        <v>26946</v>
      </c>
      <c r="F469" s="46" t="s">
        <v>2775</v>
      </c>
    </row>
    <row r="470">
      <c r="A470" s="51" t="s">
        <v>26949</v>
      </c>
      <c r="B470" s="152"/>
      <c r="C470" s="82"/>
      <c r="D470" s="33" t="s">
        <v>26946</v>
      </c>
      <c r="F470" s="46" t="s">
        <v>2775</v>
      </c>
    </row>
    <row r="471">
      <c r="A471" s="51" t="s">
        <v>26951</v>
      </c>
      <c r="B471" s="152"/>
      <c r="C471" s="82"/>
      <c r="D471" s="33" t="s">
        <v>26946</v>
      </c>
      <c r="F471" s="46" t="s">
        <v>2775</v>
      </c>
    </row>
    <row r="472">
      <c r="A472" s="51" t="s">
        <v>26952</v>
      </c>
      <c r="B472" s="152"/>
      <c r="C472" s="82"/>
      <c r="D472" s="33" t="s">
        <v>26946</v>
      </c>
      <c r="F472" s="46" t="s">
        <v>2775</v>
      </c>
    </row>
    <row r="473">
      <c r="A473" s="51" t="s">
        <v>26953</v>
      </c>
      <c r="B473" s="152"/>
      <c r="C473" s="82"/>
      <c r="D473" s="33" t="s">
        <v>26946</v>
      </c>
      <c r="F473" s="46" t="s">
        <v>2775</v>
      </c>
    </row>
    <row r="474">
      <c r="A474" s="51" t="s">
        <v>26954</v>
      </c>
      <c r="B474" s="152"/>
      <c r="C474" s="82"/>
      <c r="D474" s="33" t="s">
        <v>26946</v>
      </c>
      <c r="F474" s="46" t="s">
        <v>2775</v>
      </c>
    </row>
    <row r="475">
      <c r="A475" s="51" t="s">
        <v>26956</v>
      </c>
      <c r="B475" s="152"/>
      <c r="C475" s="82"/>
      <c r="D475" s="33" t="s">
        <v>26946</v>
      </c>
      <c r="F475" s="46" t="s">
        <v>2775</v>
      </c>
    </row>
    <row r="476">
      <c r="A476" s="51" t="s">
        <v>26958</v>
      </c>
      <c r="B476" s="152"/>
      <c r="C476" s="82"/>
      <c r="D476" s="33" t="s">
        <v>26946</v>
      </c>
      <c r="F476" s="46" t="s">
        <v>2775</v>
      </c>
    </row>
    <row r="477">
      <c r="A477" s="51" t="s">
        <v>26959</v>
      </c>
      <c r="B477" s="152"/>
      <c r="C477" s="82"/>
      <c r="D477" s="33" t="s">
        <v>26946</v>
      </c>
      <c r="F477" s="46" t="s">
        <v>2775</v>
      </c>
    </row>
    <row r="478">
      <c r="A478" s="51" t="s">
        <v>26961</v>
      </c>
      <c r="B478" s="152"/>
      <c r="C478" s="82"/>
      <c r="D478" s="33" t="s">
        <v>26946</v>
      </c>
      <c r="F478" s="46" t="s">
        <v>2775</v>
      </c>
    </row>
    <row r="479">
      <c r="A479" s="51" t="s">
        <v>26962</v>
      </c>
      <c r="B479" s="152"/>
      <c r="C479" s="82"/>
      <c r="D479" s="33" t="s">
        <v>26946</v>
      </c>
      <c r="F479" s="46" t="s">
        <v>2775</v>
      </c>
    </row>
    <row r="480">
      <c r="A480" s="51" t="s">
        <v>26963</v>
      </c>
      <c r="B480" s="152"/>
      <c r="C480" s="82"/>
      <c r="D480" s="33" t="s">
        <v>26946</v>
      </c>
      <c r="F480" s="46" t="s">
        <v>2775</v>
      </c>
    </row>
    <row r="481">
      <c r="A481" s="51" t="s">
        <v>26966</v>
      </c>
      <c r="B481" s="152"/>
      <c r="C481" s="82"/>
      <c r="D481" s="33" t="s">
        <v>26946</v>
      </c>
      <c r="F481" s="46" t="s">
        <v>2775</v>
      </c>
    </row>
    <row r="482">
      <c r="A482" s="51" t="s">
        <v>26967</v>
      </c>
      <c r="B482" s="152"/>
      <c r="C482" s="82"/>
      <c r="D482" s="33" t="s">
        <v>26946</v>
      </c>
      <c r="F482" s="46" t="s">
        <v>2775</v>
      </c>
    </row>
    <row r="483">
      <c r="A483" s="51" t="s">
        <v>26968</v>
      </c>
      <c r="B483" s="152"/>
      <c r="C483" s="82"/>
      <c r="D483" s="33" t="s">
        <v>26946</v>
      </c>
      <c r="F483" s="46" t="s">
        <v>2775</v>
      </c>
    </row>
    <row r="484">
      <c r="A484" s="51" t="s">
        <v>26970</v>
      </c>
      <c r="B484" s="152"/>
      <c r="C484" s="82"/>
      <c r="D484" s="33" t="s">
        <v>26946</v>
      </c>
      <c r="F484" s="46" t="s">
        <v>2775</v>
      </c>
    </row>
    <row r="485">
      <c r="A485" s="51" t="s">
        <v>26972</v>
      </c>
      <c r="B485" s="152"/>
      <c r="C485" s="82"/>
      <c r="D485" s="33" t="s">
        <v>26946</v>
      </c>
      <c r="F485" s="46" t="s">
        <v>2775</v>
      </c>
    </row>
    <row r="486">
      <c r="A486" s="51" t="s">
        <v>26973</v>
      </c>
      <c r="B486" s="152"/>
      <c r="C486" s="82"/>
      <c r="D486" s="33" t="s">
        <v>26974</v>
      </c>
      <c r="F486" s="46" t="s">
        <v>2775</v>
      </c>
    </row>
    <row r="487">
      <c r="A487" s="51" t="s">
        <v>26975</v>
      </c>
      <c r="B487" s="152"/>
      <c r="C487" s="82"/>
      <c r="D487" s="33" t="s">
        <v>26977</v>
      </c>
      <c r="F487" s="46" t="s">
        <v>2775</v>
      </c>
    </row>
    <row r="488">
      <c r="A488" s="51" t="s">
        <v>26978</v>
      </c>
      <c r="B488" s="152"/>
      <c r="C488" s="82"/>
      <c r="D488" s="33" t="s">
        <v>26979</v>
      </c>
      <c r="F488" s="46" t="s">
        <v>2775</v>
      </c>
    </row>
    <row r="489">
      <c r="A489" s="51" t="s">
        <v>26980</v>
      </c>
      <c r="B489" s="152"/>
      <c r="C489" s="82"/>
      <c r="D489" s="33" t="s">
        <v>26981</v>
      </c>
      <c r="F489" s="46" t="s">
        <v>2775</v>
      </c>
    </row>
    <row r="490">
      <c r="A490" s="51" t="s">
        <v>26982</v>
      </c>
      <c r="B490" s="152"/>
      <c r="C490" s="82"/>
      <c r="D490" s="33" t="s">
        <v>26977</v>
      </c>
      <c r="F490" s="46" t="s">
        <v>2775</v>
      </c>
    </row>
    <row r="491">
      <c r="A491" s="51" t="s">
        <v>26983</v>
      </c>
      <c r="B491" s="152"/>
      <c r="C491" s="82"/>
      <c r="D491" s="33" t="s">
        <v>26979</v>
      </c>
      <c r="F491" s="46" t="s">
        <v>2775</v>
      </c>
    </row>
    <row r="492">
      <c r="A492" s="51" t="s">
        <v>26986</v>
      </c>
      <c r="B492" s="152"/>
      <c r="C492" s="82"/>
      <c r="D492" s="33" t="s">
        <v>26981</v>
      </c>
      <c r="F492" s="46" t="s">
        <v>2775</v>
      </c>
    </row>
    <row r="493">
      <c r="A493" s="51" t="s">
        <v>26987</v>
      </c>
      <c r="B493" s="152"/>
      <c r="C493" s="82"/>
      <c r="D493" s="33" t="s">
        <v>26988</v>
      </c>
      <c r="F493" s="46" t="s">
        <v>2775</v>
      </c>
    </row>
    <row r="494">
      <c r="A494" s="51" t="s">
        <v>26989</v>
      </c>
      <c r="B494" s="152"/>
      <c r="C494" s="82"/>
      <c r="D494" s="33" t="s">
        <v>26990</v>
      </c>
      <c r="F494" s="46" t="s">
        <v>2775</v>
      </c>
    </row>
    <row r="495">
      <c r="A495" s="51" t="s">
        <v>26991</v>
      </c>
      <c r="B495" s="152"/>
      <c r="C495" s="82"/>
      <c r="D495" s="33" t="s">
        <v>26992</v>
      </c>
      <c r="F495" s="46" t="s">
        <v>2775</v>
      </c>
    </row>
    <row r="496">
      <c r="A496" s="51" t="s">
        <v>26993</v>
      </c>
      <c r="B496" s="152"/>
      <c r="C496" s="82"/>
      <c r="D496" s="33" t="s">
        <v>26994</v>
      </c>
      <c r="F496" s="46" t="s">
        <v>2775</v>
      </c>
    </row>
    <row r="497">
      <c r="A497" s="51" t="s">
        <v>26995</v>
      </c>
      <c r="B497" s="152"/>
      <c r="C497" s="82"/>
      <c r="D497" s="33" t="s">
        <v>26994</v>
      </c>
      <c r="F497" s="46" t="s">
        <v>2775</v>
      </c>
    </row>
    <row r="498">
      <c r="A498" s="51" t="s">
        <v>26997</v>
      </c>
      <c r="B498" s="152"/>
      <c r="C498" s="82"/>
      <c r="D498" s="33" t="s">
        <v>26999</v>
      </c>
      <c r="F498" s="46" t="s">
        <v>2775</v>
      </c>
    </row>
    <row r="499">
      <c r="A499" s="51" t="s">
        <v>27000</v>
      </c>
      <c r="B499" s="152"/>
      <c r="C499" s="82"/>
      <c r="D499" s="33" t="s">
        <v>26999</v>
      </c>
      <c r="F499" s="46" t="s">
        <v>2775</v>
      </c>
    </row>
    <row r="500">
      <c r="A500" s="51" t="s">
        <v>27001</v>
      </c>
      <c r="B500" s="152"/>
      <c r="C500" s="82"/>
      <c r="D500" s="33" t="s">
        <v>26988</v>
      </c>
      <c r="F500" s="46" t="s">
        <v>2775</v>
      </c>
    </row>
    <row r="501">
      <c r="A501" s="51" t="s">
        <v>27002</v>
      </c>
      <c r="B501" s="152"/>
      <c r="C501" s="82"/>
      <c r="D501" s="33" t="s">
        <v>26990</v>
      </c>
      <c r="F501" s="46" t="s">
        <v>2775</v>
      </c>
    </row>
    <row r="502">
      <c r="A502" s="51" t="s">
        <v>27003</v>
      </c>
      <c r="B502" s="152"/>
      <c r="C502" s="82"/>
      <c r="D502" s="33" t="s">
        <v>26992</v>
      </c>
      <c r="F502" s="46" t="s">
        <v>2775</v>
      </c>
    </row>
    <row r="503">
      <c r="A503" s="51" t="s">
        <v>27004</v>
      </c>
      <c r="B503" s="152"/>
      <c r="C503" s="82"/>
      <c r="D503" s="33" t="s">
        <v>27005</v>
      </c>
      <c r="F503" s="46" t="s">
        <v>1348</v>
      </c>
    </row>
    <row r="504">
      <c r="A504" s="51" t="s">
        <v>27006</v>
      </c>
      <c r="B504" s="152"/>
      <c r="C504" s="55"/>
      <c r="D504" s="31"/>
    </row>
    <row r="505">
      <c r="A505" s="51" t="s">
        <v>27007</v>
      </c>
      <c r="B505" s="152"/>
      <c r="C505" s="55"/>
      <c r="D505" s="31"/>
    </row>
    <row r="506">
      <c r="A506" s="51" t="s">
        <v>27010</v>
      </c>
      <c r="B506" s="152"/>
      <c r="C506" s="55"/>
      <c r="D506" s="31"/>
    </row>
    <row r="507">
      <c r="A507" s="51" t="s">
        <v>27011</v>
      </c>
      <c r="B507" s="152"/>
      <c r="C507" s="55"/>
      <c r="D507" s="31"/>
    </row>
    <row r="508">
      <c r="A508" s="51" t="s">
        <v>27012</v>
      </c>
      <c r="B508" s="152"/>
      <c r="C508" s="154"/>
      <c r="D508" s="33" t="s">
        <v>27021</v>
      </c>
    </row>
    <row r="509">
      <c r="A509" s="51" t="s">
        <v>27022</v>
      </c>
      <c r="B509" s="152"/>
      <c r="C509" s="154"/>
      <c r="D509" s="33" t="s">
        <v>27021</v>
      </c>
    </row>
    <row r="510">
      <c r="A510" s="51" t="s">
        <v>27025</v>
      </c>
      <c r="B510" s="152"/>
      <c r="C510" s="40"/>
      <c r="D510" s="33" t="s">
        <v>27021</v>
      </c>
      <c r="F510" s="46" t="s">
        <v>2756</v>
      </c>
    </row>
    <row r="511">
      <c r="A511" s="51" t="s">
        <v>27027</v>
      </c>
      <c r="B511" s="152"/>
      <c r="C511" s="82"/>
      <c r="D511" s="33" t="s">
        <v>27028</v>
      </c>
      <c r="F511" s="46" t="s">
        <v>2775</v>
      </c>
    </row>
    <row r="512">
      <c r="A512" s="51" t="s">
        <v>27030</v>
      </c>
      <c r="B512" s="152"/>
      <c r="C512" s="82"/>
      <c r="D512" s="33" t="s">
        <v>27031</v>
      </c>
      <c r="F512" s="46" t="s">
        <v>2775</v>
      </c>
    </row>
    <row r="513">
      <c r="A513" s="51" t="s">
        <v>27032</v>
      </c>
      <c r="B513" s="152"/>
      <c r="C513" s="82"/>
      <c r="D513" s="33" t="s">
        <v>27033</v>
      </c>
      <c r="F513" s="46" t="s">
        <v>2775</v>
      </c>
    </row>
    <row r="514">
      <c r="A514" s="51" t="s">
        <v>27034</v>
      </c>
      <c r="B514" s="152"/>
      <c r="C514" s="82"/>
      <c r="D514" s="33" t="s">
        <v>27035</v>
      </c>
      <c r="F514" s="46" t="s">
        <v>2775</v>
      </c>
    </row>
    <row r="515">
      <c r="A515" s="51" t="s">
        <v>27036</v>
      </c>
      <c r="B515" s="152"/>
      <c r="C515" s="82"/>
      <c r="D515" s="33" t="s">
        <v>27037</v>
      </c>
      <c r="F515" s="46" t="s">
        <v>2775</v>
      </c>
    </row>
    <row r="516">
      <c r="A516" s="51" t="s">
        <v>27038</v>
      </c>
      <c r="B516" s="152"/>
      <c r="C516" s="82"/>
      <c r="D516" s="33" t="s">
        <v>27040</v>
      </c>
      <c r="F516" s="46" t="s">
        <v>2775</v>
      </c>
    </row>
    <row r="517">
      <c r="A517" s="51" t="s">
        <v>27041</v>
      </c>
      <c r="B517" s="152"/>
      <c r="C517" s="82"/>
      <c r="D517" s="33" t="s">
        <v>27033</v>
      </c>
      <c r="F517" s="46" t="s">
        <v>2775</v>
      </c>
    </row>
    <row r="518">
      <c r="A518" s="51" t="s">
        <v>27042</v>
      </c>
      <c r="B518" s="152"/>
      <c r="C518" s="82"/>
      <c r="D518" s="33" t="s">
        <v>27043</v>
      </c>
      <c r="F518" s="46" t="s">
        <v>2775</v>
      </c>
    </row>
    <row r="519">
      <c r="A519" s="51" t="s">
        <v>27044</v>
      </c>
      <c r="B519" s="152"/>
      <c r="C519" s="82"/>
      <c r="D519" s="33" t="s">
        <v>27046</v>
      </c>
      <c r="F519" s="46" t="s">
        <v>2775</v>
      </c>
    </row>
    <row r="520">
      <c r="A520" s="51" t="s">
        <v>27048</v>
      </c>
      <c r="B520" s="152"/>
      <c r="C520" s="82"/>
      <c r="D520" s="33" t="s">
        <v>27049</v>
      </c>
      <c r="F520" s="46" t="s">
        <v>2775</v>
      </c>
    </row>
    <row r="521">
      <c r="A521" s="51" t="s">
        <v>27050</v>
      </c>
      <c r="B521" s="152"/>
      <c r="C521" s="82"/>
      <c r="D521" s="33" t="s">
        <v>27051</v>
      </c>
      <c r="F521" s="46" t="s">
        <v>2775</v>
      </c>
    </row>
    <row r="522">
      <c r="A522" s="51" t="s">
        <v>27052</v>
      </c>
      <c r="B522" s="152"/>
      <c r="C522" s="82"/>
      <c r="D522" s="33" t="s">
        <v>27051</v>
      </c>
      <c r="F522" s="46" t="s">
        <v>2775</v>
      </c>
    </row>
    <row r="523">
      <c r="A523" s="51" t="s">
        <v>27054</v>
      </c>
      <c r="B523" s="152"/>
      <c r="C523" s="82"/>
      <c r="D523" s="33" t="s">
        <v>27051</v>
      </c>
      <c r="F523" s="46" t="s">
        <v>2775</v>
      </c>
    </row>
    <row r="524">
      <c r="A524" s="51" t="s">
        <v>27055</v>
      </c>
      <c r="B524" s="152"/>
      <c r="C524" s="82"/>
      <c r="D524" s="33" t="s">
        <v>27051</v>
      </c>
      <c r="F524" s="46" t="s">
        <v>2775</v>
      </c>
    </row>
    <row r="525">
      <c r="A525" s="51" t="s">
        <v>27056</v>
      </c>
      <c r="B525" s="152"/>
      <c r="C525" s="82"/>
      <c r="D525" s="33" t="s">
        <v>27057</v>
      </c>
      <c r="F525" s="46" t="s">
        <v>1348</v>
      </c>
    </row>
    <row r="526">
      <c r="A526" s="51" t="s">
        <v>27058</v>
      </c>
      <c r="B526" s="152"/>
      <c r="C526" s="55"/>
      <c r="D526" s="31"/>
    </row>
    <row r="527">
      <c r="A527" s="51" t="s">
        <v>27059</v>
      </c>
      <c r="B527" s="152"/>
      <c r="C527" s="55"/>
      <c r="D527" s="31"/>
    </row>
    <row r="528">
      <c r="A528" s="51" t="s">
        <v>27060</v>
      </c>
      <c r="B528" s="152"/>
      <c r="C528" s="55"/>
      <c r="D528" s="31"/>
    </row>
    <row r="529">
      <c r="A529" s="51" t="s">
        <v>27062</v>
      </c>
      <c r="B529" s="152"/>
      <c r="C529" s="55"/>
      <c r="D529" s="31"/>
    </row>
    <row r="530">
      <c r="A530" s="51" t="s">
        <v>27063</v>
      </c>
      <c r="B530" s="152"/>
      <c r="C530" s="21"/>
      <c r="D530" s="33" t="s">
        <v>27064</v>
      </c>
    </row>
    <row r="531">
      <c r="A531" s="51" t="s">
        <v>27065</v>
      </c>
      <c r="B531" s="152"/>
      <c r="C531" s="21"/>
      <c r="D531" s="33" t="s">
        <v>27064</v>
      </c>
    </row>
    <row r="532">
      <c r="A532" s="51" t="s">
        <v>27066</v>
      </c>
      <c r="B532" s="152"/>
      <c r="C532" s="40"/>
      <c r="D532" s="33" t="s">
        <v>27064</v>
      </c>
      <c r="F532" s="46" t="s">
        <v>2756</v>
      </c>
    </row>
    <row r="533">
      <c r="A533" s="51" t="s">
        <v>27067</v>
      </c>
      <c r="B533" s="152"/>
      <c r="C533" s="82"/>
      <c r="D533" s="33" t="s">
        <v>27068</v>
      </c>
      <c r="F533" s="46" t="s">
        <v>2775</v>
      </c>
    </row>
    <row r="534">
      <c r="A534" s="51" t="s">
        <v>27069</v>
      </c>
      <c r="B534" s="152"/>
      <c r="C534" s="82"/>
      <c r="D534" s="33" t="s">
        <v>27071</v>
      </c>
      <c r="F534" s="46" t="s">
        <v>2775</v>
      </c>
    </row>
    <row r="535">
      <c r="A535" s="51" t="s">
        <v>27072</v>
      </c>
      <c r="B535" s="152"/>
      <c r="C535" s="82"/>
      <c r="D535" s="33" t="s">
        <v>27073</v>
      </c>
      <c r="F535" s="46" t="s">
        <v>2775</v>
      </c>
    </row>
    <row r="536">
      <c r="A536" s="51" t="s">
        <v>27074</v>
      </c>
      <c r="B536" s="152"/>
      <c r="C536" s="82"/>
      <c r="D536" s="33" t="s">
        <v>27076</v>
      </c>
      <c r="F536" s="46" t="s">
        <v>2775</v>
      </c>
    </row>
    <row r="537">
      <c r="A537" s="51" t="s">
        <v>27077</v>
      </c>
      <c r="B537" s="152"/>
      <c r="C537" s="82"/>
      <c r="D537" s="33" t="s">
        <v>27078</v>
      </c>
      <c r="F537" s="46" t="s">
        <v>2775</v>
      </c>
    </row>
    <row r="538">
      <c r="A538" s="51" t="s">
        <v>27079</v>
      </c>
      <c r="B538" s="152"/>
      <c r="C538" s="82"/>
      <c r="D538" s="33" t="s">
        <v>27078</v>
      </c>
      <c r="F538" s="46" t="s">
        <v>2775</v>
      </c>
    </row>
    <row r="539">
      <c r="A539" s="51" t="s">
        <v>27081</v>
      </c>
      <c r="B539" s="152"/>
      <c r="C539" s="82"/>
      <c r="D539" s="33" t="s">
        <v>27082</v>
      </c>
      <c r="F539" s="46" t="s">
        <v>2775</v>
      </c>
    </row>
    <row r="540">
      <c r="A540" s="51" t="s">
        <v>27083</v>
      </c>
      <c r="B540" s="152"/>
      <c r="C540" s="82"/>
      <c r="D540" s="33" t="s">
        <v>27084</v>
      </c>
      <c r="F540" s="46" t="s">
        <v>2775</v>
      </c>
    </row>
    <row r="541">
      <c r="A541" s="51" t="s">
        <v>27085</v>
      </c>
      <c r="B541" s="152"/>
      <c r="C541" s="82"/>
      <c r="D541" s="33" t="s">
        <v>27086</v>
      </c>
      <c r="F541" s="46" t="s">
        <v>2775</v>
      </c>
    </row>
    <row r="542">
      <c r="A542" s="51" t="s">
        <v>27087</v>
      </c>
      <c r="B542" s="152"/>
      <c r="C542" s="82"/>
      <c r="D542" s="33" t="s">
        <v>27088</v>
      </c>
      <c r="F542" s="46" t="s">
        <v>2775</v>
      </c>
    </row>
    <row r="543">
      <c r="A543" s="51" t="s">
        <v>27089</v>
      </c>
      <c r="B543" s="152"/>
      <c r="C543" s="82"/>
      <c r="D543" s="33" t="s">
        <v>27088</v>
      </c>
      <c r="F543" s="46" t="s">
        <v>2775</v>
      </c>
    </row>
    <row r="544">
      <c r="A544" s="51" t="s">
        <v>27091</v>
      </c>
      <c r="B544" s="152"/>
      <c r="C544" s="82"/>
      <c r="D544" s="33" t="s">
        <v>27088</v>
      </c>
      <c r="F544" s="46" t="s">
        <v>2775</v>
      </c>
    </row>
    <row r="545">
      <c r="A545" s="51" t="s">
        <v>27092</v>
      </c>
      <c r="B545" s="152"/>
      <c r="C545" s="82"/>
      <c r="D545" s="33" t="s">
        <v>27084</v>
      </c>
      <c r="F545" s="46" t="s">
        <v>2775</v>
      </c>
    </row>
    <row r="546">
      <c r="A546" s="51" t="s">
        <v>27094</v>
      </c>
      <c r="B546" s="152"/>
      <c r="C546" s="82"/>
      <c r="D546" s="33" t="s">
        <v>27086</v>
      </c>
      <c r="F546" s="46" t="s">
        <v>2775</v>
      </c>
    </row>
    <row r="547">
      <c r="A547" s="51" t="s">
        <v>27095</v>
      </c>
      <c r="B547" s="152"/>
      <c r="C547" s="82"/>
      <c r="D547" s="33" t="s">
        <v>27088</v>
      </c>
      <c r="F547" s="46" t="s">
        <v>2775</v>
      </c>
    </row>
    <row r="548">
      <c r="A548" s="51" t="s">
        <v>27097</v>
      </c>
      <c r="B548" s="152"/>
      <c r="C548" s="82"/>
      <c r="D548" s="33" t="s">
        <v>27088</v>
      </c>
      <c r="F548" s="46" t="s">
        <v>2775</v>
      </c>
    </row>
    <row r="549">
      <c r="A549" s="51" t="s">
        <v>27098</v>
      </c>
      <c r="B549" s="152"/>
      <c r="C549" s="82"/>
      <c r="D549" s="33" t="s">
        <v>27088</v>
      </c>
      <c r="F549" s="46" t="s">
        <v>2775</v>
      </c>
    </row>
    <row r="550">
      <c r="A550" s="51" t="s">
        <v>27099</v>
      </c>
      <c r="B550" s="152"/>
      <c r="C550" s="82"/>
      <c r="D550" s="33" t="s">
        <v>27100</v>
      </c>
      <c r="F550" s="46" t="s">
        <v>2775</v>
      </c>
    </row>
    <row r="551">
      <c r="A551" s="51" t="s">
        <v>27101</v>
      </c>
      <c r="B551" s="152"/>
      <c r="C551" s="82"/>
      <c r="D551" s="33" t="s">
        <v>27100</v>
      </c>
      <c r="F551" s="46" t="s">
        <v>2793</v>
      </c>
    </row>
    <row r="552">
      <c r="A552" s="51" t="s">
        <v>27103</v>
      </c>
      <c r="B552" s="152"/>
      <c r="C552" s="55"/>
      <c r="D552" s="31"/>
    </row>
    <row r="553">
      <c r="A553" s="51" t="s">
        <v>27104</v>
      </c>
      <c r="B553" s="152"/>
      <c r="C553" s="55"/>
      <c r="D553" s="33" t="s">
        <v>27105</v>
      </c>
    </row>
    <row r="554">
      <c r="A554" s="51" t="s">
        <v>27106</v>
      </c>
      <c r="B554" s="152"/>
      <c r="C554" s="55"/>
      <c r="D554" s="31"/>
    </row>
    <row r="555">
      <c r="A555" s="51" t="s">
        <v>27107</v>
      </c>
      <c r="B555" s="152"/>
      <c r="C555" s="55"/>
      <c r="D555" s="31"/>
    </row>
    <row r="556">
      <c r="A556" s="51" t="s">
        <v>27108</v>
      </c>
      <c r="B556" s="152"/>
      <c r="C556" s="55"/>
      <c r="D556" s="31"/>
    </row>
    <row r="557">
      <c r="A557" s="51" t="s">
        <v>27110</v>
      </c>
      <c r="B557" s="152"/>
      <c r="C557" s="55"/>
      <c r="D557" s="31"/>
    </row>
    <row r="558">
      <c r="A558" s="51" t="s">
        <v>27111</v>
      </c>
      <c r="B558" s="152"/>
      <c r="C558" s="55"/>
      <c r="D558" s="31"/>
    </row>
    <row r="559">
      <c r="A559" s="51" t="s">
        <v>27113</v>
      </c>
      <c r="B559" s="152"/>
      <c r="C559" s="55"/>
      <c r="D559" s="31"/>
    </row>
    <row r="560">
      <c r="A560" s="51" t="s">
        <v>27114</v>
      </c>
      <c r="B560" s="152"/>
      <c r="C560" s="55"/>
      <c r="D560" s="31"/>
    </row>
    <row r="561">
      <c r="A561" s="51" t="s">
        <v>27115</v>
      </c>
      <c r="B561" s="152"/>
      <c r="C561" s="82"/>
      <c r="D561" s="33" t="s">
        <v>27116</v>
      </c>
      <c r="F561" s="46" t="s">
        <v>1348</v>
      </c>
    </row>
    <row r="562">
      <c r="A562" s="51" t="s">
        <v>27117</v>
      </c>
      <c r="B562" s="152"/>
      <c r="C562" s="82"/>
      <c r="D562" s="33" t="s">
        <v>27119</v>
      </c>
      <c r="F562" s="46" t="s">
        <v>1348</v>
      </c>
    </row>
    <row r="563">
      <c r="A563" s="51" t="s">
        <v>27120</v>
      </c>
      <c r="B563" s="152"/>
      <c r="C563" s="82"/>
      <c r="D563" s="33" t="s">
        <v>27121</v>
      </c>
      <c r="F563" s="46" t="s">
        <v>2775</v>
      </c>
    </row>
    <row r="564">
      <c r="A564" s="51" t="s">
        <v>27123</v>
      </c>
      <c r="B564" s="152"/>
      <c r="C564" s="82"/>
      <c r="D564" s="33" t="s">
        <v>27121</v>
      </c>
      <c r="F564" s="46" t="s">
        <v>2793</v>
      </c>
    </row>
    <row r="565">
      <c r="A565" s="51" t="s">
        <v>27124</v>
      </c>
      <c r="B565" s="152"/>
      <c r="C565" s="82"/>
      <c r="D565" s="33" t="s">
        <v>27121</v>
      </c>
      <c r="F565" s="46" t="s">
        <v>2775</v>
      </c>
    </row>
    <row r="566">
      <c r="A566" s="51" t="s">
        <v>27125</v>
      </c>
      <c r="B566" s="152"/>
      <c r="C566" s="82"/>
      <c r="D566" s="33" t="s">
        <v>27121</v>
      </c>
      <c r="F566" s="46" t="s">
        <v>2793</v>
      </c>
    </row>
    <row r="567">
      <c r="A567" s="51" t="s">
        <v>27127</v>
      </c>
      <c r="B567" s="152"/>
      <c r="C567" s="21"/>
      <c r="D567" s="33" t="s">
        <v>27128</v>
      </c>
    </row>
    <row r="568">
      <c r="A568" s="51" t="s">
        <v>27129</v>
      </c>
      <c r="B568" s="152"/>
      <c r="C568" s="82"/>
      <c r="D568" s="33" t="s">
        <v>27128</v>
      </c>
      <c r="F568" s="46" t="s">
        <v>2775</v>
      </c>
    </row>
    <row r="569">
      <c r="A569" s="51" t="s">
        <v>27130</v>
      </c>
      <c r="B569" s="152"/>
      <c r="C569" s="82"/>
      <c r="D569" s="33" t="s">
        <v>27128</v>
      </c>
      <c r="F569" s="46" t="s">
        <v>2793</v>
      </c>
    </row>
    <row r="570">
      <c r="A570" s="51" t="s">
        <v>27132</v>
      </c>
      <c r="B570" s="152"/>
      <c r="C570" s="82"/>
      <c r="D570" s="33" t="s">
        <v>27133</v>
      </c>
      <c r="F570" s="46" t="s">
        <v>1348</v>
      </c>
    </row>
    <row r="571">
      <c r="A571" s="51" t="s">
        <v>27134</v>
      </c>
      <c r="B571" s="152"/>
      <c r="C571" s="82"/>
      <c r="D571" s="33" t="s">
        <v>27136</v>
      </c>
      <c r="F571" s="46" t="s">
        <v>1348</v>
      </c>
    </row>
    <row r="572">
      <c r="A572" s="51" t="s">
        <v>27137</v>
      </c>
      <c r="B572" s="152"/>
      <c r="C572" s="82"/>
      <c r="D572" s="33" t="s">
        <v>27138</v>
      </c>
      <c r="F572" s="46" t="s">
        <v>1348</v>
      </c>
    </row>
    <row r="573">
      <c r="A573" s="51" t="s">
        <v>27140</v>
      </c>
      <c r="B573" s="152"/>
      <c r="C573" s="82"/>
      <c r="D573" s="33" t="s">
        <v>27141</v>
      </c>
      <c r="F573" s="46" t="s">
        <v>1348</v>
      </c>
    </row>
    <row r="574">
      <c r="A574" s="51" t="s">
        <v>27142</v>
      </c>
      <c r="B574" s="152"/>
      <c r="C574" s="82"/>
      <c r="D574" s="33" t="s">
        <v>27143</v>
      </c>
      <c r="F574" s="46" t="s">
        <v>1348</v>
      </c>
    </row>
    <row r="575">
      <c r="A575" s="51" t="s">
        <v>27144</v>
      </c>
      <c r="B575" s="152"/>
      <c r="C575" s="82"/>
      <c r="D575" s="33" t="s">
        <v>27145</v>
      </c>
      <c r="F575" s="46" t="s">
        <v>1348</v>
      </c>
    </row>
    <row r="576">
      <c r="A576" s="51" t="s">
        <v>27146</v>
      </c>
      <c r="B576" s="152"/>
      <c r="C576" s="55"/>
      <c r="D576" s="31"/>
    </row>
    <row r="577">
      <c r="A577" s="51" t="s">
        <v>27149</v>
      </c>
      <c r="B577" s="152"/>
      <c r="C577" s="55"/>
      <c r="D577" s="31"/>
    </row>
    <row r="578">
      <c r="A578" s="51" t="s">
        <v>27150</v>
      </c>
      <c r="B578" s="152"/>
      <c r="C578" s="55"/>
      <c r="D578" s="31"/>
    </row>
    <row r="579">
      <c r="A579" s="51" t="s">
        <v>27151</v>
      </c>
      <c r="B579" s="152"/>
      <c r="C579" s="55"/>
      <c r="D579" s="31"/>
    </row>
    <row r="580">
      <c r="A580" s="51" t="s">
        <v>27152</v>
      </c>
      <c r="B580" s="152"/>
      <c r="C580" s="55"/>
      <c r="D580" s="31"/>
    </row>
    <row r="581">
      <c r="A581" s="51" t="s">
        <v>27154</v>
      </c>
      <c r="B581" s="152"/>
      <c r="C581" s="55"/>
      <c r="D581" s="31"/>
    </row>
    <row r="582">
      <c r="A582" s="51" t="s">
        <v>27155</v>
      </c>
      <c r="B582" s="152"/>
      <c r="C582" s="55"/>
      <c r="D582" s="31"/>
    </row>
    <row r="583">
      <c r="A583" s="51" t="s">
        <v>27157</v>
      </c>
      <c r="B583" s="152"/>
      <c r="C583" s="55"/>
      <c r="D583" s="31"/>
    </row>
    <row r="584">
      <c r="A584" s="51" t="s">
        <v>27158</v>
      </c>
      <c r="B584" s="152"/>
      <c r="C584" s="55"/>
      <c r="D584" s="31"/>
    </row>
    <row r="585">
      <c r="A585" s="51" t="s">
        <v>27160</v>
      </c>
      <c r="B585" s="152"/>
      <c r="C585" s="21"/>
      <c r="D585" s="33" t="s">
        <v>27161</v>
      </c>
    </row>
    <row r="586">
      <c r="A586" s="51" t="s">
        <v>27162</v>
      </c>
      <c r="B586" s="152"/>
      <c r="C586" s="82"/>
      <c r="D586" s="33" t="s">
        <v>27163</v>
      </c>
      <c r="F586" s="46" t="s">
        <v>1348</v>
      </c>
    </row>
    <row r="587">
      <c r="A587" s="51" t="s">
        <v>27164</v>
      </c>
      <c r="B587" s="152"/>
      <c r="C587" s="82"/>
      <c r="D587" s="33" t="s">
        <v>27165</v>
      </c>
      <c r="F587" s="46" t="s">
        <v>2775</v>
      </c>
    </row>
    <row r="588">
      <c r="A588" s="51" t="s">
        <v>27168</v>
      </c>
      <c r="B588" s="152"/>
      <c r="C588" s="82"/>
      <c r="D588" s="33" t="s">
        <v>27165</v>
      </c>
      <c r="F588" s="46" t="s">
        <v>2793</v>
      </c>
    </row>
    <row r="589">
      <c r="A589" s="51" t="s">
        <v>27169</v>
      </c>
      <c r="B589" s="152"/>
      <c r="C589" s="82"/>
      <c r="D589" s="33" t="s">
        <v>27165</v>
      </c>
      <c r="F589" s="46" t="s">
        <v>2775</v>
      </c>
    </row>
    <row r="590">
      <c r="A590" s="51" t="s">
        <v>27170</v>
      </c>
      <c r="B590" s="152"/>
      <c r="C590" s="82"/>
      <c r="D590" s="33" t="s">
        <v>27165</v>
      </c>
      <c r="F590" s="46" t="s">
        <v>2793</v>
      </c>
    </row>
    <row r="591">
      <c r="A591" s="51" t="s">
        <v>27171</v>
      </c>
      <c r="B591" s="152"/>
      <c r="C591" s="82"/>
      <c r="D591" s="33" t="s">
        <v>27165</v>
      </c>
      <c r="F591" s="46" t="s">
        <v>2775</v>
      </c>
    </row>
    <row r="592">
      <c r="A592" s="51" t="s">
        <v>27173</v>
      </c>
      <c r="B592" s="152"/>
      <c r="C592" s="82"/>
      <c r="D592" s="33" t="s">
        <v>27165</v>
      </c>
      <c r="F592" s="46" t="s">
        <v>2793</v>
      </c>
    </row>
    <row r="593">
      <c r="A593" s="51" t="s">
        <v>27175</v>
      </c>
      <c r="B593" s="152"/>
      <c r="C593" s="82"/>
      <c r="D593" s="33" t="s">
        <v>27165</v>
      </c>
      <c r="F593" s="46" t="s">
        <v>2775</v>
      </c>
    </row>
    <row r="594">
      <c r="A594" s="51" t="s">
        <v>27176</v>
      </c>
      <c r="B594" s="152"/>
      <c r="C594" s="82"/>
      <c r="D594" s="33" t="s">
        <v>27165</v>
      </c>
      <c r="F594" s="46" t="s">
        <v>2793</v>
      </c>
    </row>
    <row r="595">
      <c r="A595" s="51" t="s">
        <v>27178</v>
      </c>
      <c r="B595" s="152"/>
      <c r="C595" s="82"/>
      <c r="D595" s="33" t="s">
        <v>27179</v>
      </c>
      <c r="F595" s="46" t="s">
        <v>2775</v>
      </c>
    </row>
    <row r="596">
      <c r="A596" s="51" t="s">
        <v>27180</v>
      </c>
      <c r="B596" s="152"/>
      <c r="C596" s="82"/>
      <c r="D596" s="33" t="s">
        <v>27179</v>
      </c>
      <c r="F596" s="46" t="s">
        <v>2793</v>
      </c>
    </row>
    <row r="597">
      <c r="A597" s="51" t="s">
        <v>27182</v>
      </c>
      <c r="B597" s="152"/>
      <c r="C597" s="55"/>
      <c r="D597" s="31"/>
    </row>
    <row r="598">
      <c r="A598" s="51" t="s">
        <v>27184</v>
      </c>
      <c r="B598" s="152"/>
      <c r="C598" s="55"/>
      <c r="D598" s="31"/>
    </row>
    <row r="599">
      <c r="A599" s="51" t="s">
        <v>27185</v>
      </c>
      <c r="B599" s="152"/>
      <c r="C599" s="55"/>
      <c r="D599" s="31"/>
    </row>
    <row r="600">
      <c r="A600" s="51" t="s">
        <v>27186</v>
      </c>
      <c r="B600" s="152"/>
      <c r="C600" s="55"/>
      <c r="D600" s="31"/>
    </row>
    <row r="601">
      <c r="A601" s="51" t="s">
        <v>27187</v>
      </c>
      <c r="B601" s="152"/>
      <c r="C601" s="55"/>
      <c r="D601" s="31"/>
    </row>
    <row r="602">
      <c r="A602" s="51" t="s">
        <v>27188</v>
      </c>
      <c r="B602" s="152"/>
      <c r="C602" s="55"/>
      <c r="D602" s="31"/>
    </row>
    <row r="603">
      <c r="A603" s="51" t="s">
        <v>27190</v>
      </c>
      <c r="B603" s="152"/>
      <c r="C603" s="55"/>
      <c r="D603" s="31"/>
    </row>
    <row r="604">
      <c r="A604" s="51" t="s">
        <v>27192</v>
      </c>
      <c r="B604" s="152"/>
      <c r="C604" s="55"/>
      <c r="D604" s="31"/>
    </row>
    <row r="605">
      <c r="A605" s="51" t="s">
        <v>27193</v>
      </c>
      <c r="B605" s="152"/>
      <c r="C605" s="55"/>
      <c r="D605" s="31"/>
    </row>
    <row r="606">
      <c r="A606" s="51" t="s">
        <v>27194</v>
      </c>
      <c r="B606" s="152"/>
      <c r="C606" s="55"/>
      <c r="D606" s="31"/>
    </row>
    <row r="607">
      <c r="A607" s="51" t="s">
        <v>27195</v>
      </c>
      <c r="B607" s="152"/>
      <c r="C607" s="55"/>
      <c r="D607" s="31"/>
    </row>
    <row r="608">
      <c r="A608" s="51" t="s">
        <v>27196</v>
      </c>
      <c r="B608" s="152"/>
      <c r="C608" s="55"/>
      <c r="D608" s="31"/>
    </row>
    <row r="609">
      <c r="A609" s="51" t="s">
        <v>27197</v>
      </c>
      <c r="B609" s="152"/>
      <c r="C609" s="55"/>
      <c r="D609" s="31"/>
    </row>
    <row r="610">
      <c r="A610" s="51" t="s">
        <v>27199</v>
      </c>
      <c r="B610" s="152"/>
      <c r="C610" s="55"/>
      <c r="D610" s="31"/>
    </row>
    <row r="611">
      <c r="A611" s="51" t="s">
        <v>27201</v>
      </c>
      <c r="B611" s="152"/>
      <c r="C611" s="55"/>
      <c r="D611" s="31"/>
    </row>
    <row r="612">
      <c r="A612" s="51" t="s">
        <v>27202</v>
      </c>
      <c r="B612" s="152"/>
      <c r="C612" s="55"/>
      <c r="D612" s="31"/>
    </row>
    <row r="613">
      <c r="A613" s="51" t="s">
        <v>27203</v>
      </c>
      <c r="B613" s="152"/>
      <c r="C613" s="55"/>
      <c r="D613" s="31"/>
    </row>
    <row r="614">
      <c r="A614" s="51" t="s">
        <v>27204</v>
      </c>
      <c r="B614" s="152"/>
      <c r="C614" s="55"/>
      <c r="D614" s="31"/>
    </row>
    <row r="615">
      <c r="A615" s="51" t="s">
        <v>27206</v>
      </c>
      <c r="B615" s="152"/>
      <c r="C615" s="55"/>
      <c r="D615" s="31"/>
    </row>
    <row r="616">
      <c r="A616" s="51" t="s">
        <v>27208</v>
      </c>
      <c r="B616" s="152"/>
      <c r="C616" s="55"/>
      <c r="D616" s="31"/>
    </row>
    <row r="617">
      <c r="A617" s="51" t="s">
        <v>27209</v>
      </c>
      <c r="B617" s="152"/>
      <c r="C617" s="55"/>
      <c r="D617" s="31"/>
    </row>
    <row r="618">
      <c r="A618" s="51" t="s">
        <v>27210</v>
      </c>
      <c r="B618" s="152"/>
      <c r="C618" s="55"/>
      <c r="D618" s="31"/>
    </row>
    <row r="619">
      <c r="A619" s="51" t="s">
        <v>27211</v>
      </c>
      <c r="B619" s="152"/>
      <c r="C619" s="55"/>
      <c r="D619" s="31"/>
    </row>
    <row r="620">
      <c r="A620" s="51" t="s">
        <v>27212</v>
      </c>
      <c r="B620" s="152"/>
      <c r="C620" s="55"/>
      <c r="D620" s="31"/>
    </row>
    <row r="621">
      <c r="A621" s="51" t="s">
        <v>27214</v>
      </c>
      <c r="B621" s="152"/>
      <c r="C621" s="55"/>
      <c r="D621" s="31"/>
    </row>
    <row r="622">
      <c r="A622" s="51" t="s">
        <v>27215</v>
      </c>
      <c r="B622" s="152"/>
      <c r="C622" s="55"/>
      <c r="D622" s="31"/>
    </row>
    <row r="623">
      <c r="A623" s="51" t="s">
        <v>27217</v>
      </c>
      <c r="B623" s="152"/>
      <c r="C623" s="55"/>
      <c r="D623" s="31"/>
    </row>
    <row r="624">
      <c r="A624" s="51" t="s">
        <v>27218</v>
      </c>
      <c r="B624" s="152"/>
      <c r="C624" s="55"/>
      <c r="D624" s="31"/>
    </row>
    <row r="625">
      <c r="A625" s="51" t="s">
        <v>27219</v>
      </c>
      <c r="B625" s="152"/>
      <c r="C625" s="55"/>
      <c r="D625" s="31"/>
    </row>
    <row r="626">
      <c r="A626" s="51" t="s">
        <v>27220</v>
      </c>
      <c r="B626" s="152"/>
      <c r="C626" s="55"/>
      <c r="D626" s="31"/>
    </row>
    <row r="627">
      <c r="A627" s="51" t="s">
        <v>27223</v>
      </c>
      <c r="B627" s="152"/>
      <c r="C627" s="55"/>
      <c r="D627" s="31"/>
    </row>
    <row r="628">
      <c r="A628" s="51" t="s">
        <v>27224</v>
      </c>
      <c r="B628" s="152"/>
      <c r="C628" s="55"/>
      <c r="D628" s="31"/>
    </row>
    <row r="629">
      <c r="A629" s="51" t="s">
        <v>27225</v>
      </c>
      <c r="B629" s="152"/>
      <c r="C629" s="55"/>
      <c r="D629" s="31"/>
    </row>
    <row r="630">
      <c r="A630" s="51" t="s">
        <v>27226</v>
      </c>
      <c r="B630" s="152"/>
      <c r="C630" s="55"/>
      <c r="D630" s="31"/>
    </row>
    <row r="631">
      <c r="A631" s="51" t="s">
        <v>27228</v>
      </c>
      <c r="B631" s="152"/>
      <c r="C631" s="55"/>
      <c r="D631" s="31"/>
    </row>
    <row r="632">
      <c r="A632" s="51" t="s">
        <v>27229</v>
      </c>
      <c r="B632" s="152"/>
      <c r="C632" s="55"/>
      <c r="D632" s="31"/>
    </row>
    <row r="633">
      <c r="A633" s="51" t="s">
        <v>27230</v>
      </c>
      <c r="B633" s="152"/>
      <c r="C633" s="55"/>
      <c r="D633" s="31"/>
    </row>
    <row r="634">
      <c r="A634" s="51" t="s">
        <v>27233</v>
      </c>
      <c r="B634" s="152"/>
      <c r="C634" s="55"/>
      <c r="D634" s="31"/>
    </row>
    <row r="635">
      <c r="A635" s="51" t="s">
        <v>27235</v>
      </c>
      <c r="B635" s="152"/>
      <c r="C635" s="55"/>
      <c r="D635" s="31"/>
    </row>
    <row r="636">
      <c r="A636" s="51" t="s">
        <v>27236</v>
      </c>
      <c r="B636" s="152"/>
      <c r="C636" s="55"/>
      <c r="D636" s="31"/>
    </row>
    <row r="637">
      <c r="A637" s="51" t="s">
        <v>27237</v>
      </c>
      <c r="B637" s="152"/>
      <c r="C637" s="55"/>
      <c r="D637" s="31"/>
    </row>
    <row r="638">
      <c r="A638" s="51" t="s">
        <v>27238</v>
      </c>
      <c r="B638" s="152"/>
      <c r="C638" s="55"/>
      <c r="D638" s="31"/>
    </row>
    <row r="639">
      <c r="A639" s="51" t="s">
        <v>27239</v>
      </c>
      <c r="B639" s="152"/>
      <c r="C639" s="55"/>
      <c r="D639" s="31"/>
    </row>
    <row r="640">
      <c r="A640" s="51" t="s">
        <v>27240</v>
      </c>
      <c r="B640" s="152"/>
      <c r="C640" s="55"/>
      <c r="D640" s="31"/>
    </row>
    <row r="641">
      <c r="A641" s="51" t="s">
        <v>27243</v>
      </c>
      <c r="B641" s="152"/>
      <c r="C641" s="55"/>
      <c r="D641" s="31"/>
    </row>
    <row r="642">
      <c r="A642" s="51" t="s">
        <v>27244</v>
      </c>
      <c r="B642" s="152"/>
      <c r="C642" s="55"/>
      <c r="D642" s="31"/>
    </row>
    <row r="643">
      <c r="A643" s="51" t="s">
        <v>27245</v>
      </c>
      <c r="B643" s="152"/>
      <c r="C643" s="55"/>
      <c r="D643" s="31"/>
    </row>
    <row r="644">
      <c r="A644" s="51" t="s">
        <v>27246</v>
      </c>
      <c r="B644" s="152"/>
      <c r="C644" s="55"/>
      <c r="D644" s="31"/>
    </row>
    <row r="645">
      <c r="A645" s="51" t="s">
        <v>27247</v>
      </c>
      <c r="B645" s="152"/>
      <c r="C645" s="55"/>
      <c r="D645" s="31"/>
    </row>
    <row r="646">
      <c r="A646" s="51" t="s">
        <v>27248</v>
      </c>
      <c r="B646" s="152"/>
      <c r="C646" s="55"/>
      <c r="D646" s="31"/>
    </row>
    <row r="647">
      <c r="A647" s="51" t="s">
        <v>27249</v>
      </c>
      <c r="B647" s="152"/>
      <c r="C647" s="55"/>
      <c r="D647" s="31"/>
    </row>
    <row r="648">
      <c r="A648" s="51" t="s">
        <v>27250</v>
      </c>
      <c r="B648" s="152"/>
      <c r="C648" s="55"/>
      <c r="D648" s="31"/>
    </row>
    <row r="649">
      <c r="A649" s="51" t="s">
        <v>27252</v>
      </c>
      <c r="B649" s="152"/>
      <c r="C649" s="55"/>
      <c r="D649" s="31"/>
    </row>
    <row r="650">
      <c r="A650" s="51" t="s">
        <v>27253</v>
      </c>
      <c r="B650" s="152"/>
      <c r="C650" s="55"/>
      <c r="D650" s="31"/>
    </row>
    <row r="651">
      <c r="A651" s="51" t="s">
        <v>27255</v>
      </c>
      <c r="B651" s="152"/>
      <c r="C651" s="55"/>
      <c r="D651" s="31"/>
    </row>
    <row r="652">
      <c r="A652" s="51" t="s">
        <v>27256</v>
      </c>
      <c r="B652" s="152"/>
      <c r="C652" s="55"/>
      <c r="D652" s="31"/>
    </row>
    <row r="653">
      <c r="A653" s="51" t="s">
        <v>27257</v>
      </c>
      <c r="B653" s="152"/>
      <c r="C653" s="55"/>
      <c r="D653" s="31"/>
    </row>
    <row r="654">
      <c r="A654" s="51" t="s">
        <v>27258</v>
      </c>
      <c r="B654" s="152"/>
      <c r="C654" s="55"/>
      <c r="D654" s="31"/>
    </row>
    <row r="655">
      <c r="A655" s="51" t="s">
        <v>27259</v>
      </c>
      <c r="B655" s="152"/>
      <c r="C655" s="55"/>
      <c r="D655" s="31"/>
    </row>
    <row r="656">
      <c r="A656" s="51" t="s">
        <v>27261</v>
      </c>
      <c r="B656" s="152"/>
      <c r="C656" s="55"/>
      <c r="D656" s="31"/>
    </row>
    <row r="657">
      <c r="A657" s="51" t="s">
        <v>27262</v>
      </c>
      <c r="B657" s="152"/>
      <c r="C657" s="55"/>
      <c r="D657" s="31"/>
    </row>
    <row r="658">
      <c r="A658" s="51" t="s">
        <v>27264</v>
      </c>
      <c r="B658" s="152"/>
      <c r="C658" s="55"/>
      <c r="D658" s="31"/>
    </row>
    <row r="659">
      <c r="A659" s="51" t="s">
        <v>27265</v>
      </c>
      <c r="B659" s="152"/>
      <c r="C659" s="55"/>
      <c r="D659" s="31"/>
    </row>
    <row r="660">
      <c r="A660" s="51" t="s">
        <v>27266</v>
      </c>
      <c r="B660" s="152"/>
      <c r="C660" s="55"/>
      <c r="D660" s="31"/>
    </row>
    <row r="661">
      <c r="A661" s="51" t="s">
        <v>27267</v>
      </c>
      <c r="B661" s="152"/>
      <c r="C661" s="55"/>
      <c r="D661" s="31"/>
    </row>
    <row r="662">
      <c r="A662" s="51" t="s">
        <v>27269</v>
      </c>
      <c r="B662" s="152"/>
      <c r="C662" s="55"/>
      <c r="D662" s="31"/>
    </row>
    <row r="663">
      <c r="A663" s="51" t="s">
        <v>27270</v>
      </c>
      <c r="B663" s="152"/>
      <c r="C663" s="55"/>
      <c r="D663" s="31"/>
    </row>
    <row r="664">
      <c r="A664" s="51" t="s">
        <v>27272</v>
      </c>
      <c r="B664" s="152"/>
      <c r="C664" s="55"/>
      <c r="D664" s="31"/>
    </row>
    <row r="665">
      <c r="A665" s="51" t="s">
        <v>27274</v>
      </c>
      <c r="B665" s="152"/>
      <c r="C665" s="55"/>
      <c r="D665" s="31"/>
    </row>
    <row r="666">
      <c r="A666" s="51" t="s">
        <v>27275</v>
      </c>
      <c r="B666" s="152"/>
      <c r="C666" s="55"/>
      <c r="D666" s="31"/>
    </row>
    <row r="667">
      <c r="A667" s="51" t="s">
        <v>27276</v>
      </c>
      <c r="B667" s="152"/>
      <c r="C667" s="55"/>
      <c r="D667" s="31"/>
    </row>
    <row r="668">
      <c r="A668" s="51" t="s">
        <v>27277</v>
      </c>
      <c r="B668" s="152"/>
      <c r="C668" s="55"/>
      <c r="D668" s="31"/>
    </row>
    <row r="669">
      <c r="A669" s="51" t="s">
        <v>27278</v>
      </c>
      <c r="B669" s="152"/>
      <c r="C669" s="55"/>
      <c r="D669" s="31"/>
    </row>
    <row r="670">
      <c r="A670" s="51" t="s">
        <v>27280</v>
      </c>
      <c r="B670" s="152"/>
      <c r="C670" s="55"/>
      <c r="D670" s="31"/>
    </row>
    <row r="671">
      <c r="A671" s="51" t="s">
        <v>27281</v>
      </c>
      <c r="B671" s="152"/>
      <c r="C671" s="55"/>
      <c r="D671" s="31"/>
    </row>
    <row r="672">
      <c r="A672" s="51" t="s">
        <v>27283</v>
      </c>
      <c r="B672" s="152"/>
      <c r="C672" s="55"/>
      <c r="D672" s="31"/>
    </row>
    <row r="673">
      <c r="A673" s="51" t="s">
        <v>27284</v>
      </c>
      <c r="B673" s="152"/>
      <c r="C673" s="55"/>
      <c r="D673" s="31"/>
    </row>
    <row r="674">
      <c r="A674" s="51" t="s">
        <v>27285</v>
      </c>
      <c r="B674" s="152"/>
      <c r="C674" s="55"/>
      <c r="D674" s="31"/>
    </row>
    <row r="675">
      <c r="A675" s="51" t="s">
        <v>27286</v>
      </c>
      <c r="B675" s="152"/>
      <c r="C675" s="55"/>
      <c r="D675" s="31"/>
    </row>
    <row r="676">
      <c r="A676" s="51" t="s">
        <v>27288</v>
      </c>
      <c r="B676" s="152"/>
      <c r="C676" s="55"/>
      <c r="D676" s="31"/>
    </row>
    <row r="677">
      <c r="A677" s="51" t="s">
        <v>27289</v>
      </c>
      <c r="B677" s="152"/>
      <c r="C677" s="55"/>
      <c r="D677" s="31"/>
    </row>
    <row r="678">
      <c r="A678" s="51" t="s">
        <v>27290</v>
      </c>
      <c r="B678" s="152"/>
      <c r="C678" s="55"/>
      <c r="D678" s="31"/>
    </row>
    <row r="679">
      <c r="A679" s="51" t="s">
        <v>27292</v>
      </c>
      <c r="B679" s="152"/>
      <c r="C679" s="55"/>
      <c r="D679" s="31"/>
    </row>
    <row r="680">
      <c r="A680" s="51" t="s">
        <v>27293</v>
      </c>
      <c r="B680" s="152"/>
      <c r="C680" s="55"/>
      <c r="D680" s="31"/>
    </row>
    <row r="681">
      <c r="A681" s="51" t="s">
        <v>27294</v>
      </c>
      <c r="B681" s="152"/>
      <c r="C681" s="82"/>
      <c r="D681" s="33" t="s">
        <v>27295</v>
      </c>
      <c r="F681" s="46" t="s">
        <v>2793</v>
      </c>
    </row>
    <row r="682" ht="22.5" customHeight="1">
      <c r="A682" s="51" t="s">
        <v>27296</v>
      </c>
      <c r="B682" s="152"/>
      <c r="C682" s="82"/>
      <c r="D682" s="33" t="s">
        <v>27295</v>
      </c>
      <c r="F682" s="46" t="s">
        <v>1348</v>
      </c>
      <c r="G682" s="46" t="s">
        <v>27298</v>
      </c>
    </row>
    <row r="683">
      <c r="A683" s="51" t="s">
        <v>27299</v>
      </c>
      <c r="B683" s="152"/>
      <c r="C683" s="21"/>
      <c r="D683" s="33" t="s">
        <v>27295</v>
      </c>
    </row>
    <row r="684">
      <c r="A684" s="51" t="s">
        <v>27300</v>
      </c>
      <c r="B684" s="152"/>
      <c r="C684" s="82"/>
      <c r="D684" s="33" t="s">
        <v>27295</v>
      </c>
      <c r="F684" s="46" t="s">
        <v>2775</v>
      </c>
    </row>
    <row r="685">
      <c r="A685" s="51" t="s">
        <v>27302</v>
      </c>
      <c r="B685" s="152"/>
      <c r="C685" s="82"/>
      <c r="D685" s="33" t="s">
        <v>27295</v>
      </c>
      <c r="F685" s="46" t="s">
        <v>2793</v>
      </c>
    </row>
    <row r="686">
      <c r="A686" s="51" t="s">
        <v>27304</v>
      </c>
      <c r="B686" s="152"/>
      <c r="C686" s="55"/>
      <c r="D686" s="31"/>
    </row>
    <row r="687">
      <c r="A687" s="51" t="s">
        <v>27307</v>
      </c>
      <c r="B687" s="152"/>
      <c r="C687" s="55"/>
      <c r="D687" s="31"/>
    </row>
    <row r="688">
      <c r="A688" s="51" t="s">
        <v>27308</v>
      </c>
      <c r="B688" s="152"/>
      <c r="C688" s="55"/>
      <c r="D688" s="31"/>
    </row>
    <row r="689">
      <c r="A689" s="51" t="s">
        <v>27309</v>
      </c>
      <c r="B689" s="152"/>
      <c r="C689" s="55"/>
      <c r="D689" s="31"/>
    </row>
    <row r="690">
      <c r="A690" s="51" t="s">
        <v>27310</v>
      </c>
      <c r="B690" s="152"/>
      <c r="C690" s="55"/>
      <c r="D690" s="31"/>
    </row>
    <row r="691">
      <c r="A691" s="51" t="s">
        <v>27314</v>
      </c>
      <c r="B691" s="152"/>
      <c r="C691" s="55"/>
      <c r="D691" s="31"/>
    </row>
    <row r="692">
      <c r="A692" s="51" t="s">
        <v>27315</v>
      </c>
      <c r="B692" s="152"/>
      <c r="C692" s="55"/>
      <c r="D692" s="31"/>
    </row>
    <row r="693">
      <c r="A693" s="51" t="s">
        <v>27317</v>
      </c>
      <c r="B693" s="152"/>
      <c r="C693" s="55"/>
      <c r="D693" s="31"/>
    </row>
    <row r="694">
      <c r="A694" s="51" t="s">
        <v>27318</v>
      </c>
      <c r="B694" s="152"/>
      <c r="C694" s="55"/>
      <c r="D694" s="31"/>
    </row>
    <row r="695">
      <c r="A695" s="51" t="s">
        <v>27319</v>
      </c>
      <c r="B695" s="152"/>
      <c r="C695" s="21"/>
      <c r="D695" s="33" t="s">
        <v>27320</v>
      </c>
    </row>
    <row r="696">
      <c r="A696" s="51" t="s">
        <v>27321</v>
      </c>
      <c r="B696" s="152"/>
      <c r="C696" s="82"/>
      <c r="D696" s="33" t="s">
        <v>27320</v>
      </c>
      <c r="F696" s="46" t="s">
        <v>1348</v>
      </c>
    </row>
    <row r="697">
      <c r="A697" s="51" t="s">
        <v>27323</v>
      </c>
      <c r="B697" s="152"/>
      <c r="C697" s="55"/>
      <c r="D697" s="31"/>
    </row>
    <row r="698">
      <c r="A698" s="51" t="s">
        <v>27324</v>
      </c>
      <c r="B698" s="152"/>
      <c r="C698" s="55"/>
      <c r="D698" s="31"/>
    </row>
    <row r="699">
      <c r="A699" s="51" t="s">
        <v>27325</v>
      </c>
      <c r="B699" s="152"/>
      <c r="C699" s="55"/>
      <c r="D699" s="31"/>
    </row>
    <row r="700">
      <c r="A700" s="51" t="s">
        <v>27327</v>
      </c>
      <c r="B700" s="152"/>
      <c r="C700" s="55"/>
      <c r="D700" s="31"/>
    </row>
    <row r="701">
      <c r="A701" s="51" t="s">
        <v>27328</v>
      </c>
      <c r="B701" s="152"/>
      <c r="C701" s="55"/>
      <c r="D701" s="31"/>
    </row>
    <row r="702">
      <c r="A702" s="51" t="s">
        <v>27329</v>
      </c>
      <c r="B702" s="152"/>
      <c r="C702" s="55"/>
      <c r="D702" s="31"/>
    </row>
    <row r="703">
      <c r="A703" s="51" t="s">
        <v>27331</v>
      </c>
      <c r="B703" s="152"/>
      <c r="C703" s="55"/>
      <c r="D703" s="31"/>
    </row>
    <row r="704">
      <c r="A704" s="51" t="s">
        <v>27332</v>
      </c>
      <c r="B704" s="152"/>
      <c r="C704" s="55"/>
      <c r="D704" s="31"/>
    </row>
    <row r="705">
      <c r="A705" s="51" t="s">
        <v>27333</v>
      </c>
      <c r="B705" s="152"/>
      <c r="C705" s="55"/>
      <c r="D705" s="31"/>
    </row>
    <row r="706">
      <c r="A706" s="51" t="s">
        <v>27334</v>
      </c>
      <c r="B706" s="152"/>
      <c r="C706" s="55"/>
      <c r="D706" s="31"/>
    </row>
    <row r="707">
      <c r="A707" s="51" t="s">
        <v>27336</v>
      </c>
      <c r="B707" s="152"/>
      <c r="C707" s="55"/>
      <c r="D707" s="31"/>
    </row>
    <row r="708">
      <c r="A708" s="51" t="s">
        <v>27337</v>
      </c>
      <c r="B708" s="152"/>
      <c r="C708" s="154"/>
      <c r="D708" s="33" t="s">
        <v>27338</v>
      </c>
    </row>
    <row r="709">
      <c r="A709" s="51" t="s">
        <v>27340</v>
      </c>
      <c r="B709" s="152"/>
      <c r="C709" s="82"/>
      <c r="D709" s="33" t="s">
        <v>27338</v>
      </c>
      <c r="F709" s="46" t="s">
        <v>1348</v>
      </c>
    </row>
    <row r="710">
      <c r="A710" s="51" t="s">
        <v>27341</v>
      </c>
      <c r="B710" s="152"/>
      <c r="C710" s="55"/>
      <c r="D710" s="31"/>
    </row>
    <row r="711">
      <c r="A711" s="51" t="s">
        <v>27342</v>
      </c>
      <c r="B711" s="152"/>
      <c r="C711" s="55"/>
      <c r="D711" s="31"/>
    </row>
    <row r="712">
      <c r="A712" s="51" t="s">
        <v>27343</v>
      </c>
      <c r="B712" s="152"/>
      <c r="C712" s="55"/>
      <c r="D712" s="31"/>
    </row>
    <row r="713">
      <c r="A713" s="51" t="s">
        <v>27345</v>
      </c>
      <c r="B713" s="152"/>
      <c r="C713" s="55"/>
      <c r="D713" s="31"/>
    </row>
    <row r="714">
      <c r="A714" s="51" t="s">
        <v>27347</v>
      </c>
      <c r="B714" s="152"/>
      <c r="C714" s="55"/>
      <c r="D714" s="31"/>
    </row>
    <row r="715">
      <c r="A715" s="51" t="s">
        <v>27348</v>
      </c>
      <c r="B715" s="152"/>
      <c r="C715" s="55"/>
      <c r="D715" s="31"/>
    </row>
    <row r="716">
      <c r="A716" s="51" t="s">
        <v>27349</v>
      </c>
      <c r="B716" s="152"/>
      <c r="C716" s="55"/>
      <c r="D716" s="31"/>
    </row>
    <row r="717">
      <c r="A717" s="51" t="s">
        <v>27350</v>
      </c>
      <c r="B717" s="152"/>
      <c r="C717" s="55"/>
      <c r="D717" s="31"/>
    </row>
    <row r="718">
      <c r="A718" s="51" t="s">
        <v>27351</v>
      </c>
      <c r="B718" s="152"/>
      <c r="C718" s="55"/>
      <c r="D718" s="31"/>
    </row>
    <row r="719">
      <c r="A719" s="51" t="s">
        <v>27354</v>
      </c>
      <c r="B719" s="152"/>
      <c r="C719" s="55"/>
      <c r="D719" s="31"/>
    </row>
    <row r="720">
      <c r="A720" s="51" t="s">
        <v>27355</v>
      </c>
      <c r="B720" s="152"/>
      <c r="C720" s="55"/>
      <c r="D720" s="31"/>
    </row>
    <row r="721">
      <c r="A721" s="51" t="s">
        <v>27356</v>
      </c>
      <c r="B721" s="152"/>
      <c r="C721" s="55"/>
      <c r="D721" s="31"/>
    </row>
    <row r="722">
      <c r="A722" s="51" t="s">
        <v>27357</v>
      </c>
      <c r="B722" s="152"/>
      <c r="C722" s="82"/>
      <c r="D722" s="33" t="s">
        <v>26833</v>
      </c>
      <c r="F722" s="46" t="s">
        <v>1348</v>
      </c>
    </row>
    <row r="723">
      <c r="A723" s="51" t="s">
        <v>27359</v>
      </c>
      <c r="B723" s="152"/>
      <c r="C723" s="55"/>
      <c r="D723" s="31"/>
    </row>
    <row r="724">
      <c r="A724" s="51" t="s">
        <v>27360</v>
      </c>
      <c r="B724" s="152"/>
      <c r="C724" s="55"/>
      <c r="D724" s="31"/>
    </row>
    <row r="725">
      <c r="A725" s="51" t="s">
        <v>27361</v>
      </c>
      <c r="B725" s="152"/>
      <c r="C725" s="55"/>
      <c r="D725" s="31"/>
    </row>
    <row r="726">
      <c r="A726" s="51" t="s">
        <v>27363</v>
      </c>
      <c r="B726" s="152"/>
      <c r="C726" s="21"/>
      <c r="D726" s="33" t="s">
        <v>27364</v>
      </c>
      <c r="F726" s="46" t="s">
        <v>2793</v>
      </c>
    </row>
    <row r="727">
      <c r="A727" s="51" t="s">
        <v>27365</v>
      </c>
      <c r="B727" s="152"/>
      <c r="C727" s="82"/>
      <c r="D727" s="33" t="s">
        <v>27366</v>
      </c>
      <c r="F727" s="46" t="s">
        <v>2775</v>
      </c>
    </row>
    <row r="728">
      <c r="A728" s="51" t="s">
        <v>27368</v>
      </c>
      <c r="B728" s="152"/>
      <c r="C728" s="21"/>
      <c r="D728" s="33" t="s">
        <v>27364</v>
      </c>
    </row>
    <row r="729">
      <c r="A729" s="51" t="s">
        <v>27369</v>
      </c>
      <c r="B729" s="152"/>
      <c r="C729" s="82"/>
      <c r="D729" s="33" t="s">
        <v>27370</v>
      </c>
      <c r="F729" s="46" t="s">
        <v>1348</v>
      </c>
    </row>
    <row r="730">
      <c r="A730" s="51" t="s">
        <v>27371</v>
      </c>
      <c r="B730" s="152"/>
      <c r="C730" s="82"/>
      <c r="D730" s="33" t="s">
        <v>27366</v>
      </c>
      <c r="F730" s="46" t="s">
        <v>2775</v>
      </c>
    </row>
    <row r="731">
      <c r="A731" s="51" t="s">
        <v>27373</v>
      </c>
      <c r="B731" s="152"/>
      <c r="C731" s="82"/>
      <c r="D731" s="33" t="s">
        <v>27366</v>
      </c>
      <c r="F731" s="46" t="s">
        <v>2793</v>
      </c>
    </row>
    <row r="732">
      <c r="A732" s="51" t="s">
        <v>27374</v>
      </c>
      <c r="B732" s="152"/>
      <c r="C732" s="82"/>
      <c r="D732" s="33" t="s">
        <v>27375</v>
      </c>
      <c r="F732" s="46" t="s">
        <v>1348</v>
      </c>
    </row>
    <row r="733">
      <c r="A733" s="51" t="s">
        <v>27376</v>
      </c>
      <c r="B733" s="152"/>
      <c r="C733" s="21"/>
      <c r="D733" s="33" t="s">
        <v>27364</v>
      </c>
    </row>
    <row r="734">
      <c r="A734" s="51" t="s">
        <v>27377</v>
      </c>
      <c r="B734" s="152"/>
      <c r="C734" s="82"/>
      <c r="D734" s="33" t="s">
        <v>27378</v>
      </c>
      <c r="F734" s="46" t="s">
        <v>1348</v>
      </c>
    </row>
    <row r="735">
      <c r="A735" s="51" t="s">
        <v>27379</v>
      </c>
      <c r="B735" s="152"/>
      <c r="C735" s="82"/>
      <c r="D735" s="33" t="s">
        <v>27380</v>
      </c>
      <c r="F735" s="46" t="s">
        <v>1348</v>
      </c>
    </row>
    <row r="736">
      <c r="A736" s="51" t="s">
        <v>27382</v>
      </c>
      <c r="B736" s="152"/>
      <c r="C736" s="82"/>
      <c r="D736" s="33" t="s">
        <v>27383</v>
      </c>
      <c r="F736" s="46" t="s">
        <v>1348</v>
      </c>
    </row>
    <row r="737">
      <c r="A737" s="51" t="s">
        <v>27384</v>
      </c>
      <c r="B737" s="152"/>
      <c r="C737" s="82"/>
      <c r="D737" s="33" t="s">
        <v>27383</v>
      </c>
      <c r="F737" s="46" t="s">
        <v>1348</v>
      </c>
    </row>
    <row r="738">
      <c r="A738" s="51" t="s">
        <v>27385</v>
      </c>
      <c r="B738" s="152"/>
      <c r="C738" s="82"/>
      <c r="D738" s="33" t="s">
        <v>27386</v>
      </c>
      <c r="F738" s="46" t="s">
        <v>1348</v>
      </c>
    </row>
    <row r="739">
      <c r="A739" s="51" t="s">
        <v>27387</v>
      </c>
      <c r="B739" s="152"/>
      <c r="C739" s="82"/>
      <c r="D739" s="33" t="s">
        <v>27389</v>
      </c>
      <c r="F739" s="46" t="s">
        <v>1348</v>
      </c>
    </row>
    <row r="740">
      <c r="A740" s="51" t="s">
        <v>27390</v>
      </c>
      <c r="B740" s="152"/>
      <c r="C740" s="55"/>
      <c r="D740" s="31"/>
    </row>
    <row r="741">
      <c r="A741" s="51" t="s">
        <v>27391</v>
      </c>
      <c r="B741" s="152"/>
      <c r="C741" s="55"/>
      <c r="D741" s="31"/>
    </row>
    <row r="742">
      <c r="A742" s="51" t="s">
        <v>27392</v>
      </c>
      <c r="B742" s="152"/>
      <c r="C742" s="82"/>
      <c r="D742" s="33" t="s">
        <v>27393</v>
      </c>
      <c r="F742" s="46" t="s">
        <v>1348</v>
      </c>
    </row>
    <row r="743">
      <c r="A743" s="51" t="s">
        <v>27394</v>
      </c>
      <c r="B743" s="152"/>
      <c r="C743" s="55"/>
      <c r="D743" s="31"/>
    </row>
    <row r="744">
      <c r="A744" s="51" t="s">
        <v>27395</v>
      </c>
      <c r="B744" s="152"/>
      <c r="C744" s="82"/>
      <c r="D744" s="33" t="s">
        <v>27396</v>
      </c>
      <c r="F744" s="46" t="s">
        <v>1348</v>
      </c>
    </row>
    <row r="745">
      <c r="A745" s="51" t="s">
        <v>27397</v>
      </c>
      <c r="B745" s="152"/>
      <c r="C745" s="55"/>
      <c r="D745" s="31"/>
    </row>
    <row r="746">
      <c r="A746" s="51" t="s">
        <v>27398</v>
      </c>
      <c r="B746" s="152"/>
      <c r="C746" s="55"/>
      <c r="D746" s="31"/>
    </row>
    <row r="747">
      <c r="A747" s="51" t="s">
        <v>27399</v>
      </c>
      <c r="B747" s="152"/>
      <c r="C747" s="82"/>
      <c r="D747" s="33" t="s">
        <v>27400</v>
      </c>
      <c r="F747" s="46" t="s">
        <v>1348</v>
      </c>
    </row>
    <row r="748">
      <c r="A748" s="51" t="s">
        <v>27401</v>
      </c>
      <c r="B748" s="152"/>
      <c r="C748" s="82"/>
      <c r="D748" s="33" t="s">
        <v>27402</v>
      </c>
      <c r="F748" s="46" t="s">
        <v>1348</v>
      </c>
    </row>
    <row r="749">
      <c r="A749" s="51" t="s">
        <v>27404</v>
      </c>
      <c r="B749" s="152"/>
      <c r="C749" s="55"/>
      <c r="D749" s="31"/>
    </row>
    <row r="750">
      <c r="A750" s="51" t="s">
        <v>27405</v>
      </c>
      <c r="B750" s="152"/>
      <c r="C750" s="55"/>
      <c r="D750" s="31"/>
    </row>
    <row r="751">
      <c r="A751" s="51" t="s">
        <v>27406</v>
      </c>
      <c r="B751" s="152"/>
      <c r="C751" s="55"/>
      <c r="D751" s="31"/>
    </row>
    <row r="752">
      <c r="A752" s="51" t="s">
        <v>27407</v>
      </c>
      <c r="B752" s="152"/>
      <c r="C752" s="55"/>
      <c r="D752" s="31"/>
    </row>
    <row r="753">
      <c r="A753" s="51" t="s">
        <v>27408</v>
      </c>
      <c r="B753" s="152"/>
      <c r="C753" s="82"/>
      <c r="D753" s="33" t="s">
        <v>27409</v>
      </c>
      <c r="F753" s="46" t="s">
        <v>2775</v>
      </c>
    </row>
    <row r="754">
      <c r="A754" s="51" t="s">
        <v>27410</v>
      </c>
      <c r="B754" s="152"/>
      <c r="C754" s="82"/>
      <c r="D754" s="33" t="s">
        <v>27409</v>
      </c>
      <c r="F754" s="46" t="s">
        <v>2793</v>
      </c>
    </row>
    <row r="755">
      <c r="A755" s="51" t="s">
        <v>27411</v>
      </c>
      <c r="B755" s="152"/>
      <c r="C755" s="82"/>
      <c r="D755" s="33" t="s">
        <v>27412</v>
      </c>
      <c r="F755" s="46" t="s">
        <v>2775</v>
      </c>
    </row>
    <row r="756">
      <c r="A756" s="51" t="s">
        <v>27413</v>
      </c>
      <c r="B756" s="152"/>
      <c r="C756" s="82"/>
      <c r="D756" s="33" t="s">
        <v>27412</v>
      </c>
      <c r="F756" s="46" t="s">
        <v>2793</v>
      </c>
    </row>
    <row r="757">
      <c r="A757" s="51" t="s">
        <v>27415</v>
      </c>
      <c r="B757" s="152"/>
      <c r="C757" s="82"/>
      <c r="D757" s="33" t="s">
        <v>27412</v>
      </c>
      <c r="F757" s="46" t="s">
        <v>1348</v>
      </c>
    </row>
    <row r="758">
      <c r="A758" s="51" t="s">
        <v>27418</v>
      </c>
      <c r="B758" s="152"/>
      <c r="C758" s="55"/>
      <c r="D758" s="31"/>
    </row>
    <row r="759">
      <c r="A759" s="51" t="s">
        <v>27419</v>
      </c>
      <c r="B759" s="152"/>
      <c r="C759" s="55"/>
      <c r="D759" s="31"/>
    </row>
    <row r="760">
      <c r="A760" s="51" t="s">
        <v>27421</v>
      </c>
      <c r="B760" s="152"/>
      <c r="C760" s="55"/>
      <c r="D760" s="31"/>
    </row>
    <row r="761">
      <c r="A761" s="51" t="s">
        <v>27422</v>
      </c>
      <c r="B761" s="152"/>
      <c r="C761" s="55"/>
      <c r="D761" s="31"/>
    </row>
    <row r="762">
      <c r="A762" s="51" t="s">
        <v>27423</v>
      </c>
      <c r="B762" s="152"/>
      <c r="C762" s="55"/>
      <c r="D762" s="31"/>
    </row>
    <row r="763">
      <c r="A763" s="51" t="s">
        <v>27424</v>
      </c>
      <c r="B763" s="152"/>
      <c r="C763" s="55"/>
      <c r="D763" s="31"/>
    </row>
    <row r="764">
      <c r="A764" s="51" t="s">
        <v>27425</v>
      </c>
      <c r="B764" s="152"/>
      <c r="C764" s="55"/>
      <c r="D764" s="31"/>
    </row>
    <row r="765">
      <c r="A765" s="51" t="s">
        <v>27426</v>
      </c>
      <c r="B765" s="152"/>
      <c r="C765" s="55"/>
      <c r="D765" s="31"/>
    </row>
    <row r="766">
      <c r="A766" s="51" t="s">
        <v>27427</v>
      </c>
      <c r="B766" s="152"/>
      <c r="C766" s="55"/>
      <c r="D766" s="31"/>
    </row>
    <row r="767">
      <c r="A767" s="51" t="s">
        <v>27428</v>
      </c>
      <c r="B767" s="152"/>
      <c r="C767" s="55"/>
      <c r="D767" s="31"/>
    </row>
    <row r="768">
      <c r="A768" s="51" t="s">
        <v>27429</v>
      </c>
      <c r="B768" s="152"/>
      <c r="C768" s="21"/>
      <c r="D768" s="33" t="s">
        <v>27430</v>
      </c>
    </row>
    <row r="769">
      <c r="A769" s="51" t="s">
        <v>27432</v>
      </c>
      <c r="B769" s="152"/>
      <c r="C769" s="21"/>
      <c r="D769" s="33" t="s">
        <v>27430</v>
      </c>
    </row>
    <row r="770">
      <c r="A770" s="51" t="s">
        <v>27433</v>
      </c>
      <c r="B770" s="152"/>
      <c r="C770" s="82"/>
      <c r="D770" s="33" t="s">
        <v>27430</v>
      </c>
      <c r="F770" s="46" t="s">
        <v>1348</v>
      </c>
    </row>
    <row r="771">
      <c r="A771" s="51" t="s">
        <v>27434</v>
      </c>
      <c r="B771" s="152"/>
      <c r="C771" s="21"/>
      <c r="D771" s="33" t="s">
        <v>27430</v>
      </c>
    </row>
    <row r="772">
      <c r="A772" s="51" t="s">
        <v>27435</v>
      </c>
      <c r="B772" s="152"/>
      <c r="C772" s="82"/>
      <c r="D772" s="33" t="s">
        <v>27430</v>
      </c>
      <c r="F772" s="46" t="s">
        <v>1348</v>
      </c>
    </row>
    <row r="773">
      <c r="A773" s="51" t="s">
        <v>27436</v>
      </c>
      <c r="B773" s="152"/>
      <c r="C773" s="55"/>
      <c r="D773" s="31"/>
    </row>
    <row r="774">
      <c r="A774" s="51" t="s">
        <v>27439</v>
      </c>
      <c r="B774" s="152"/>
      <c r="C774" s="55"/>
      <c r="D774" s="31"/>
    </row>
    <row r="775">
      <c r="A775" s="51" t="s">
        <v>27440</v>
      </c>
      <c r="B775" s="152"/>
      <c r="C775" s="55"/>
      <c r="D775" s="31"/>
    </row>
    <row r="776">
      <c r="A776" s="51" t="s">
        <v>27442</v>
      </c>
      <c r="B776" s="152"/>
      <c r="C776" s="55"/>
      <c r="D776" s="31"/>
    </row>
    <row r="777">
      <c r="A777" s="51" t="s">
        <v>27443</v>
      </c>
      <c r="B777" s="152"/>
      <c r="C777" s="55"/>
      <c r="D777" s="31"/>
    </row>
    <row r="778">
      <c r="A778" s="51" t="s">
        <v>27444</v>
      </c>
      <c r="B778" s="152"/>
      <c r="C778" s="55"/>
      <c r="D778" s="31"/>
    </row>
    <row r="779">
      <c r="A779" s="51" t="s">
        <v>27445</v>
      </c>
      <c r="B779" s="152"/>
      <c r="C779" s="55"/>
      <c r="D779" s="31"/>
    </row>
    <row r="780">
      <c r="A780" s="51" t="s">
        <v>27446</v>
      </c>
      <c r="B780" s="152"/>
      <c r="C780" s="55"/>
      <c r="D780" s="31"/>
    </row>
    <row r="781">
      <c r="A781" s="51" t="s">
        <v>27447</v>
      </c>
      <c r="B781" s="152"/>
      <c r="C781" s="55"/>
      <c r="D781" s="31"/>
    </row>
    <row r="782">
      <c r="A782" s="51" t="s">
        <v>27448</v>
      </c>
      <c r="B782" s="152"/>
      <c r="C782" s="55"/>
      <c r="D782" s="31"/>
    </row>
    <row r="783">
      <c r="A783" s="51" t="s">
        <v>27451</v>
      </c>
      <c r="B783" s="152"/>
      <c r="C783" s="55"/>
      <c r="D783" s="31"/>
    </row>
    <row r="784">
      <c r="A784" s="51" t="s">
        <v>27452</v>
      </c>
      <c r="B784" s="152"/>
      <c r="C784" s="55"/>
      <c r="D784" s="31"/>
    </row>
    <row r="785">
      <c r="A785" s="51" t="s">
        <v>27454</v>
      </c>
      <c r="B785" s="152"/>
      <c r="C785" s="55"/>
      <c r="D785" s="31"/>
    </row>
    <row r="786">
      <c r="A786" s="51" t="s">
        <v>27455</v>
      </c>
      <c r="B786" s="152"/>
      <c r="C786" s="55"/>
      <c r="D786" s="31"/>
    </row>
    <row r="787">
      <c r="A787" s="51" t="s">
        <v>27456</v>
      </c>
      <c r="B787" s="152"/>
      <c r="C787" s="55"/>
      <c r="D787" s="31"/>
    </row>
    <row r="788">
      <c r="A788" s="51" t="s">
        <v>27457</v>
      </c>
      <c r="B788" s="152"/>
      <c r="C788" s="55"/>
      <c r="D788" s="31"/>
    </row>
    <row r="789">
      <c r="A789" s="51" t="s">
        <v>27458</v>
      </c>
      <c r="B789" s="152"/>
      <c r="C789" s="55"/>
      <c r="D789" s="31"/>
    </row>
    <row r="790">
      <c r="A790" s="51" t="s">
        <v>27460</v>
      </c>
      <c r="B790" s="152"/>
      <c r="C790" s="55"/>
      <c r="D790" s="31"/>
    </row>
    <row r="791">
      <c r="A791" s="51" t="s">
        <v>27462</v>
      </c>
      <c r="B791" s="152"/>
      <c r="C791" s="55"/>
      <c r="D791" s="31"/>
    </row>
    <row r="792">
      <c r="A792" s="51" t="s">
        <v>27463</v>
      </c>
      <c r="B792" s="152"/>
      <c r="C792" s="55"/>
      <c r="D792" s="31"/>
    </row>
    <row r="793">
      <c r="A793" s="51" t="s">
        <v>27464</v>
      </c>
      <c r="B793" s="152"/>
      <c r="C793" s="55"/>
      <c r="D793" s="31"/>
    </row>
    <row r="794">
      <c r="A794" s="51" t="s">
        <v>27466</v>
      </c>
      <c r="B794" s="152"/>
      <c r="C794" s="55"/>
      <c r="D794" s="31"/>
    </row>
    <row r="795">
      <c r="A795" s="51" t="s">
        <v>27468</v>
      </c>
      <c r="B795" s="152"/>
      <c r="C795" s="55"/>
      <c r="D795" s="31"/>
    </row>
    <row r="796">
      <c r="A796" s="51" t="s">
        <v>27470</v>
      </c>
      <c r="B796" s="152"/>
      <c r="C796" s="55"/>
      <c r="D796" s="31"/>
    </row>
    <row r="797">
      <c r="A797" s="51" t="s">
        <v>27472</v>
      </c>
      <c r="B797" s="152"/>
      <c r="C797" s="55"/>
      <c r="D797" s="31"/>
    </row>
    <row r="798">
      <c r="A798" s="51" t="s">
        <v>27473</v>
      </c>
      <c r="B798" s="152"/>
      <c r="C798" s="55"/>
      <c r="D798" s="31"/>
    </row>
    <row r="799">
      <c r="A799" s="51" t="s">
        <v>27474</v>
      </c>
      <c r="B799" s="152"/>
      <c r="C799" s="55"/>
      <c r="D799" s="31"/>
    </row>
    <row r="800">
      <c r="A800" s="51" t="s">
        <v>27475</v>
      </c>
      <c r="B800" s="152"/>
      <c r="C800" s="55"/>
      <c r="D800" s="31"/>
    </row>
    <row r="801">
      <c r="A801" s="51" t="s">
        <v>27476</v>
      </c>
      <c r="B801" s="152"/>
      <c r="C801" s="55"/>
      <c r="D801" s="31"/>
    </row>
    <row r="802">
      <c r="A802" s="51" t="s">
        <v>27477</v>
      </c>
      <c r="B802" s="152"/>
      <c r="C802" s="55"/>
      <c r="D802" s="31"/>
    </row>
    <row r="803">
      <c r="A803" s="51" t="s">
        <v>27478</v>
      </c>
      <c r="B803" s="152"/>
      <c r="C803" s="55"/>
      <c r="D803" s="31"/>
    </row>
    <row r="804">
      <c r="A804" s="51" t="s">
        <v>27479</v>
      </c>
      <c r="B804" s="152"/>
      <c r="C804" s="55"/>
      <c r="D804" s="31"/>
    </row>
    <row r="805">
      <c r="A805" s="51" t="s">
        <v>27481</v>
      </c>
      <c r="B805" s="152"/>
      <c r="C805" s="55"/>
      <c r="D805" s="31"/>
    </row>
    <row r="806">
      <c r="A806" s="51" t="s">
        <v>27482</v>
      </c>
      <c r="B806" s="152"/>
      <c r="C806" s="55"/>
      <c r="D806" s="31"/>
    </row>
    <row r="807">
      <c r="A807" s="51" t="s">
        <v>27484</v>
      </c>
      <c r="B807" s="152"/>
      <c r="C807" s="55"/>
      <c r="D807" s="31"/>
    </row>
    <row r="808">
      <c r="A808" s="51" t="s">
        <v>27485</v>
      </c>
      <c r="B808" s="152"/>
      <c r="C808" s="55"/>
      <c r="D808" s="31"/>
    </row>
    <row r="809">
      <c r="A809" s="51" t="s">
        <v>27487</v>
      </c>
      <c r="B809" s="152"/>
      <c r="C809" s="55"/>
      <c r="D809" s="31"/>
    </row>
    <row r="810">
      <c r="A810" s="51" t="s">
        <v>27488</v>
      </c>
      <c r="B810" s="152"/>
      <c r="C810" s="55"/>
      <c r="D810" s="31"/>
    </row>
    <row r="811">
      <c r="A811" s="51" t="s">
        <v>27489</v>
      </c>
      <c r="B811" s="152"/>
      <c r="C811" s="55"/>
      <c r="D811" s="31"/>
    </row>
    <row r="812">
      <c r="A812" s="51" t="s">
        <v>27490</v>
      </c>
      <c r="B812" s="152"/>
      <c r="C812" s="55"/>
      <c r="D812" s="31"/>
    </row>
    <row r="813">
      <c r="A813" s="51" t="s">
        <v>27491</v>
      </c>
      <c r="B813" s="152"/>
      <c r="C813" s="55"/>
      <c r="D813" s="31"/>
    </row>
    <row r="814">
      <c r="A814" s="51" t="s">
        <v>27493</v>
      </c>
      <c r="B814" s="152"/>
      <c r="C814" s="55"/>
      <c r="D814" s="31"/>
    </row>
    <row r="815">
      <c r="A815" s="51" t="s">
        <v>27494</v>
      </c>
      <c r="B815" s="152"/>
      <c r="C815" s="55"/>
      <c r="D815" s="31"/>
    </row>
    <row r="816">
      <c r="A816" s="51" t="s">
        <v>27495</v>
      </c>
      <c r="B816" s="152"/>
      <c r="C816" s="55"/>
      <c r="D816" s="31"/>
    </row>
    <row r="817">
      <c r="A817" s="51" t="s">
        <v>27496</v>
      </c>
      <c r="B817" s="152"/>
      <c r="C817" s="55"/>
      <c r="D817" s="31"/>
    </row>
    <row r="818">
      <c r="A818" s="51" t="s">
        <v>27497</v>
      </c>
      <c r="B818" s="152"/>
      <c r="C818" s="55"/>
      <c r="D818" s="31"/>
    </row>
    <row r="819">
      <c r="A819" s="51" t="s">
        <v>27498</v>
      </c>
      <c r="B819" s="152"/>
      <c r="C819" s="55"/>
      <c r="D819" s="31"/>
    </row>
    <row r="820">
      <c r="A820" s="51" t="s">
        <v>27499</v>
      </c>
      <c r="B820" s="152"/>
      <c r="C820" s="55"/>
      <c r="D820" s="31"/>
    </row>
    <row r="821">
      <c r="A821" s="51" t="s">
        <v>27503</v>
      </c>
      <c r="B821" s="152"/>
      <c r="C821" s="55"/>
      <c r="D821" s="31"/>
    </row>
    <row r="822">
      <c r="A822" s="51" t="s">
        <v>27505</v>
      </c>
      <c r="B822" s="152"/>
      <c r="C822" s="55"/>
      <c r="D822" s="31"/>
    </row>
    <row r="823">
      <c r="A823" s="51" t="s">
        <v>27506</v>
      </c>
      <c r="B823" s="152"/>
      <c r="C823" s="55"/>
      <c r="D823" s="31"/>
    </row>
    <row r="824">
      <c r="A824" s="51" t="s">
        <v>27507</v>
      </c>
      <c r="B824" s="152"/>
      <c r="C824" s="55"/>
      <c r="D824" s="31"/>
    </row>
    <row r="825">
      <c r="A825" s="51" t="s">
        <v>27509</v>
      </c>
      <c r="B825" s="152"/>
      <c r="C825" s="55"/>
      <c r="D825" s="31"/>
    </row>
    <row r="826">
      <c r="A826" s="51" t="s">
        <v>27510</v>
      </c>
      <c r="B826" s="152"/>
      <c r="C826" s="55"/>
      <c r="D826" s="31"/>
    </row>
    <row r="827">
      <c r="A827" s="51" t="s">
        <v>27511</v>
      </c>
      <c r="B827" s="152"/>
      <c r="C827" s="55"/>
      <c r="D827" s="31"/>
    </row>
    <row r="828">
      <c r="A828" s="51" t="s">
        <v>27512</v>
      </c>
      <c r="B828" s="152"/>
      <c r="C828" s="55"/>
      <c r="D828" s="31"/>
    </row>
    <row r="829">
      <c r="A829" s="51" t="s">
        <v>27513</v>
      </c>
      <c r="B829" s="152"/>
      <c r="C829" s="55"/>
      <c r="D829" s="31"/>
    </row>
    <row r="830">
      <c r="A830" s="51" t="s">
        <v>27515</v>
      </c>
      <c r="B830" s="152"/>
      <c r="C830" s="55"/>
      <c r="D830" s="31"/>
    </row>
    <row r="831">
      <c r="A831" s="51" t="s">
        <v>27517</v>
      </c>
      <c r="B831" s="152"/>
      <c r="C831" s="55"/>
      <c r="D831" s="31"/>
    </row>
    <row r="832">
      <c r="A832" s="51" t="s">
        <v>27519</v>
      </c>
      <c r="B832" s="152"/>
      <c r="C832" s="55"/>
      <c r="D832" s="31"/>
    </row>
    <row r="833">
      <c r="A833" s="51" t="s">
        <v>27520</v>
      </c>
      <c r="B833" s="152"/>
      <c r="C833" s="55"/>
      <c r="D833" s="31"/>
    </row>
    <row r="834">
      <c r="A834" s="51" t="s">
        <v>27521</v>
      </c>
      <c r="B834" s="152"/>
      <c r="C834" s="82"/>
      <c r="D834" s="33" t="s">
        <v>27522</v>
      </c>
      <c r="F834" s="46" t="s">
        <v>1348</v>
      </c>
    </row>
    <row r="835">
      <c r="A835" s="51" t="s">
        <v>27523</v>
      </c>
      <c r="B835" s="152"/>
      <c r="C835" s="55"/>
      <c r="D835" s="31"/>
    </row>
    <row r="836">
      <c r="A836" s="51" t="s">
        <v>27524</v>
      </c>
      <c r="B836" s="152"/>
      <c r="C836" s="55"/>
      <c r="D836" s="31"/>
    </row>
    <row r="837">
      <c r="A837" s="51" t="s">
        <v>27525</v>
      </c>
      <c r="B837" s="152"/>
      <c r="C837" s="55"/>
      <c r="D837" s="31"/>
    </row>
    <row r="838">
      <c r="A838" s="51" t="s">
        <v>27526</v>
      </c>
      <c r="B838" s="152"/>
      <c r="C838" s="55"/>
      <c r="D838" s="31"/>
    </row>
    <row r="839">
      <c r="A839" s="51" t="s">
        <v>27527</v>
      </c>
      <c r="B839" s="152"/>
      <c r="C839" s="55"/>
      <c r="D839" s="31"/>
    </row>
    <row r="840">
      <c r="A840" s="51" t="s">
        <v>27529</v>
      </c>
      <c r="B840" s="152"/>
      <c r="C840" s="55"/>
      <c r="D840" s="31"/>
    </row>
    <row r="841">
      <c r="A841" s="51" t="s">
        <v>27530</v>
      </c>
      <c r="B841" s="152"/>
      <c r="C841" s="55"/>
      <c r="D841" s="31"/>
    </row>
    <row r="842">
      <c r="A842" s="51" t="s">
        <v>27533</v>
      </c>
      <c r="B842" s="152"/>
      <c r="C842" s="55"/>
      <c r="D842" s="31"/>
    </row>
    <row r="843">
      <c r="A843" s="51" t="s">
        <v>27535</v>
      </c>
      <c r="B843" s="152"/>
      <c r="C843" s="55"/>
      <c r="D843" s="31"/>
    </row>
    <row r="844">
      <c r="A844" s="51" t="s">
        <v>27536</v>
      </c>
      <c r="B844" s="152"/>
      <c r="C844" s="21"/>
      <c r="D844" s="33" t="s">
        <v>27538</v>
      </c>
    </row>
    <row r="845">
      <c r="A845" s="51" t="s">
        <v>27539</v>
      </c>
      <c r="B845" s="152"/>
      <c r="C845" s="21"/>
      <c r="D845" s="33" t="s">
        <v>27538</v>
      </c>
    </row>
    <row r="846">
      <c r="A846" s="51" t="s">
        <v>27540</v>
      </c>
      <c r="B846" s="152"/>
      <c r="C846" s="79"/>
      <c r="D846" s="33" t="s">
        <v>27538</v>
      </c>
      <c r="F846" s="46" t="s">
        <v>2756</v>
      </c>
    </row>
    <row r="847">
      <c r="A847" s="51" t="s">
        <v>27541</v>
      </c>
      <c r="B847" s="152"/>
      <c r="C847" s="82"/>
      <c r="D847" s="33" t="s">
        <v>27542</v>
      </c>
      <c r="F847" s="46" t="s">
        <v>2775</v>
      </c>
    </row>
    <row r="848">
      <c r="A848" s="51" t="s">
        <v>27543</v>
      </c>
      <c r="B848" s="152"/>
      <c r="C848" s="82"/>
      <c r="D848" s="33" t="s">
        <v>27545</v>
      </c>
      <c r="F848" s="46" t="s">
        <v>2775</v>
      </c>
    </row>
    <row r="849">
      <c r="A849" s="51" t="s">
        <v>27547</v>
      </c>
      <c r="B849" s="152"/>
      <c r="C849" s="82"/>
      <c r="D849" s="33" t="s">
        <v>27548</v>
      </c>
      <c r="F849" s="46" t="s">
        <v>2775</v>
      </c>
    </row>
    <row r="850">
      <c r="A850" s="51" t="s">
        <v>27549</v>
      </c>
      <c r="B850" s="152"/>
      <c r="C850" s="82"/>
      <c r="D850" s="33" t="s">
        <v>27550</v>
      </c>
      <c r="F850" s="46" t="s">
        <v>2775</v>
      </c>
    </row>
    <row r="851">
      <c r="A851" s="51" t="s">
        <v>27552</v>
      </c>
      <c r="B851" s="152"/>
      <c r="C851" s="82"/>
      <c r="D851" s="33" t="s">
        <v>27553</v>
      </c>
      <c r="F851" s="46" t="s">
        <v>2775</v>
      </c>
    </row>
    <row r="852">
      <c r="A852" s="51" t="s">
        <v>27554</v>
      </c>
      <c r="B852" s="152"/>
      <c r="C852" s="82"/>
      <c r="D852" s="33" t="s">
        <v>27556</v>
      </c>
      <c r="F852" s="46" t="s">
        <v>2775</v>
      </c>
    </row>
    <row r="853">
      <c r="A853" s="51" t="s">
        <v>27558</v>
      </c>
      <c r="B853" s="152"/>
      <c r="C853" s="82"/>
      <c r="D853" s="33" t="s">
        <v>27559</v>
      </c>
      <c r="F853" s="46" t="s">
        <v>2775</v>
      </c>
    </row>
    <row r="854">
      <c r="A854" s="51" t="s">
        <v>27561</v>
      </c>
      <c r="B854" s="152"/>
      <c r="C854" s="82"/>
      <c r="D854" s="33" t="s">
        <v>27562</v>
      </c>
      <c r="F854" s="46" t="s">
        <v>2775</v>
      </c>
    </row>
    <row r="855">
      <c r="A855" s="51" t="s">
        <v>27563</v>
      </c>
      <c r="B855" s="152"/>
      <c r="C855" s="82"/>
      <c r="D855" s="33" t="s">
        <v>27564</v>
      </c>
      <c r="F855" s="46" t="s">
        <v>2775</v>
      </c>
    </row>
    <row r="856">
      <c r="A856" s="51" t="s">
        <v>27565</v>
      </c>
      <c r="B856" s="152"/>
      <c r="C856" s="82"/>
      <c r="D856" s="33" t="s">
        <v>27566</v>
      </c>
      <c r="F856" s="46" t="s">
        <v>2775</v>
      </c>
    </row>
    <row r="857">
      <c r="A857" s="51" t="s">
        <v>27568</v>
      </c>
      <c r="B857" s="152"/>
      <c r="C857" s="82"/>
      <c r="D857" s="33" t="s">
        <v>27569</v>
      </c>
      <c r="F857" s="46" t="s">
        <v>2775</v>
      </c>
    </row>
    <row r="858">
      <c r="A858" s="51" t="s">
        <v>27570</v>
      </c>
      <c r="B858" s="152"/>
      <c r="C858" s="82"/>
      <c r="D858" s="33" t="s">
        <v>27569</v>
      </c>
      <c r="F858" s="46" t="s">
        <v>2775</v>
      </c>
    </row>
    <row r="859">
      <c r="A859" s="51" t="s">
        <v>27571</v>
      </c>
      <c r="B859" s="152"/>
      <c r="C859" s="82"/>
      <c r="D859" s="33" t="s">
        <v>27569</v>
      </c>
      <c r="F859" s="46" t="s">
        <v>2775</v>
      </c>
    </row>
    <row r="860">
      <c r="A860" s="51" t="s">
        <v>27572</v>
      </c>
      <c r="B860" s="152"/>
      <c r="C860" s="82"/>
      <c r="D860" s="33" t="s">
        <v>27569</v>
      </c>
      <c r="F860" s="46" t="s">
        <v>2775</v>
      </c>
    </row>
    <row r="861">
      <c r="A861" s="51" t="s">
        <v>27573</v>
      </c>
      <c r="B861" s="152"/>
      <c r="C861" s="82"/>
      <c r="D861" s="33" t="s">
        <v>27569</v>
      </c>
      <c r="F861" s="46" t="s">
        <v>2775</v>
      </c>
    </row>
    <row r="862">
      <c r="A862" s="51" t="s">
        <v>27577</v>
      </c>
      <c r="B862" s="152"/>
      <c r="C862" s="82"/>
      <c r="D862" s="33" t="s">
        <v>27579</v>
      </c>
      <c r="F862" s="46" t="s">
        <v>2775</v>
      </c>
    </row>
    <row r="863">
      <c r="A863" s="51" t="s">
        <v>27580</v>
      </c>
      <c r="B863" s="152"/>
      <c r="C863" s="82"/>
      <c r="D863" s="33" t="s">
        <v>27579</v>
      </c>
      <c r="F863" s="46" t="s">
        <v>2775</v>
      </c>
    </row>
    <row r="864">
      <c r="A864" s="51" t="s">
        <v>27581</v>
      </c>
      <c r="B864" s="152"/>
      <c r="C864" s="82"/>
      <c r="D864" s="33" t="s">
        <v>27559</v>
      </c>
      <c r="F864" s="46" t="s">
        <v>2775</v>
      </c>
    </row>
    <row r="865">
      <c r="A865" s="51" t="s">
        <v>27582</v>
      </c>
      <c r="B865" s="152"/>
      <c r="C865" s="82"/>
      <c r="D865" s="33" t="s">
        <v>27562</v>
      </c>
      <c r="F865" s="46" t="s">
        <v>2775</v>
      </c>
    </row>
    <row r="866">
      <c r="A866" s="51" t="s">
        <v>27583</v>
      </c>
      <c r="B866" s="152"/>
      <c r="C866" s="82"/>
      <c r="D866" s="33" t="s">
        <v>27564</v>
      </c>
      <c r="F866" s="46" t="s">
        <v>2775</v>
      </c>
    </row>
    <row r="867">
      <c r="A867" s="51" t="s">
        <v>27584</v>
      </c>
      <c r="B867" s="152"/>
      <c r="C867" s="82"/>
      <c r="D867" s="33" t="s">
        <v>27566</v>
      </c>
      <c r="F867" s="46" t="s">
        <v>2775</v>
      </c>
    </row>
    <row r="868">
      <c r="A868" s="51" t="s">
        <v>27586</v>
      </c>
      <c r="B868" s="152"/>
      <c r="C868" s="82"/>
      <c r="D868" s="33" t="s">
        <v>27569</v>
      </c>
      <c r="F868" s="46" t="s">
        <v>2775</v>
      </c>
    </row>
    <row r="869">
      <c r="A869" s="51" t="s">
        <v>27587</v>
      </c>
      <c r="B869" s="152"/>
      <c r="C869" s="82"/>
      <c r="D869" s="33" t="s">
        <v>27569</v>
      </c>
      <c r="F869" s="46" t="s">
        <v>2775</v>
      </c>
    </row>
    <row r="870">
      <c r="A870" s="51" t="s">
        <v>27588</v>
      </c>
      <c r="B870" s="152"/>
      <c r="C870" s="82"/>
      <c r="D870" s="33" t="s">
        <v>27569</v>
      </c>
      <c r="F870" s="46" t="s">
        <v>2775</v>
      </c>
    </row>
    <row r="871">
      <c r="A871" s="51" t="s">
        <v>27590</v>
      </c>
      <c r="B871" s="152"/>
      <c r="C871" s="82"/>
      <c r="D871" s="33" t="s">
        <v>27569</v>
      </c>
      <c r="F871" s="46" t="s">
        <v>2775</v>
      </c>
    </row>
    <row r="872">
      <c r="A872" s="51" t="s">
        <v>27592</v>
      </c>
      <c r="B872" s="152"/>
      <c r="C872" s="82"/>
      <c r="D872" s="33" t="s">
        <v>27569</v>
      </c>
      <c r="F872" s="46" t="s">
        <v>2775</v>
      </c>
    </row>
    <row r="873">
      <c r="A873" s="51" t="s">
        <v>27594</v>
      </c>
      <c r="B873" s="152"/>
      <c r="C873" s="82"/>
      <c r="D873" s="33" t="s">
        <v>27579</v>
      </c>
      <c r="F873" s="46" t="s">
        <v>2775</v>
      </c>
    </row>
    <row r="874">
      <c r="A874" s="51" t="s">
        <v>27595</v>
      </c>
      <c r="B874" s="152"/>
      <c r="C874" s="82"/>
      <c r="D874" s="33" t="s">
        <v>27579</v>
      </c>
      <c r="F874" s="46" t="s">
        <v>2775</v>
      </c>
    </row>
    <row r="875">
      <c r="A875" s="51" t="s">
        <v>27596</v>
      </c>
      <c r="B875" s="152"/>
      <c r="C875" s="82"/>
      <c r="D875" s="33" t="s">
        <v>27597</v>
      </c>
      <c r="F875" s="46" t="s">
        <v>2775</v>
      </c>
    </row>
    <row r="876">
      <c r="A876" s="51" t="s">
        <v>27598</v>
      </c>
      <c r="B876" s="152"/>
      <c r="C876" s="21"/>
      <c r="D876" s="33" t="s">
        <v>27599</v>
      </c>
      <c r="F876" s="46" t="s">
        <v>1348</v>
      </c>
    </row>
    <row r="877">
      <c r="A877" s="51" t="s">
        <v>27600</v>
      </c>
      <c r="B877" s="152"/>
      <c r="C877" s="55"/>
      <c r="D877" s="31"/>
    </row>
    <row r="878">
      <c r="A878" s="51" t="s">
        <v>27601</v>
      </c>
      <c r="B878" s="152"/>
      <c r="C878" s="55"/>
      <c r="D878" s="31"/>
    </row>
    <row r="879">
      <c r="A879" s="51" t="s">
        <v>27603</v>
      </c>
      <c r="B879" s="152"/>
      <c r="C879" s="55"/>
      <c r="D879" s="31"/>
    </row>
    <row r="880">
      <c r="A880" s="51" t="s">
        <v>27605</v>
      </c>
      <c r="B880" s="152"/>
      <c r="C880" s="55"/>
      <c r="D880" s="31"/>
    </row>
    <row r="881">
      <c r="A881" s="51" t="s">
        <v>27607</v>
      </c>
      <c r="B881" s="152"/>
      <c r="C881" s="55"/>
      <c r="D881" s="31"/>
    </row>
    <row r="882">
      <c r="A882" s="51" t="s">
        <v>27609</v>
      </c>
      <c r="B882" s="152"/>
      <c r="C882" s="55"/>
      <c r="D882" s="31"/>
    </row>
    <row r="883">
      <c r="A883" s="51" t="s">
        <v>27610</v>
      </c>
      <c r="B883" s="152"/>
      <c r="C883" s="55"/>
      <c r="D883" s="31"/>
    </row>
    <row r="884">
      <c r="A884" s="51" t="s">
        <v>27611</v>
      </c>
      <c r="B884" s="152"/>
      <c r="C884" s="55"/>
      <c r="D884" s="31"/>
    </row>
    <row r="885">
      <c r="A885" s="51" t="s">
        <v>27612</v>
      </c>
      <c r="B885" s="152"/>
      <c r="C885" s="55"/>
      <c r="D885" s="31"/>
    </row>
    <row r="886">
      <c r="A886" s="51" t="s">
        <v>27613</v>
      </c>
      <c r="B886" s="152"/>
      <c r="C886" s="55"/>
      <c r="D886" s="31"/>
    </row>
    <row r="887">
      <c r="A887" s="51" t="s">
        <v>27615</v>
      </c>
      <c r="B887" s="152"/>
      <c r="C887" s="55"/>
      <c r="D887" s="31"/>
    </row>
    <row r="888">
      <c r="A888" s="51" t="s">
        <v>27616</v>
      </c>
      <c r="B888" s="152"/>
      <c r="C888" s="55"/>
      <c r="D888" s="31"/>
    </row>
    <row r="889">
      <c r="A889" s="51" t="s">
        <v>27617</v>
      </c>
      <c r="B889" s="152"/>
      <c r="C889" s="55"/>
      <c r="D889" s="31"/>
    </row>
    <row r="890">
      <c r="A890" s="51" t="s">
        <v>27618</v>
      </c>
      <c r="B890" s="152"/>
      <c r="C890" s="55"/>
      <c r="D890" s="31"/>
    </row>
    <row r="891">
      <c r="A891" s="51" t="s">
        <v>27619</v>
      </c>
      <c r="B891" s="152"/>
      <c r="C891" s="55"/>
      <c r="D891" s="31"/>
    </row>
    <row r="892">
      <c r="A892" s="51" t="s">
        <v>27620</v>
      </c>
      <c r="B892" s="152"/>
      <c r="C892" s="55"/>
      <c r="D892" s="31"/>
    </row>
    <row r="893">
      <c r="A893" s="51" t="s">
        <v>27623</v>
      </c>
      <c r="B893" s="152"/>
      <c r="C893" s="55"/>
      <c r="D893" s="31"/>
    </row>
    <row r="894">
      <c r="A894" s="51" t="s">
        <v>27625</v>
      </c>
      <c r="B894" s="152"/>
      <c r="C894" s="55"/>
      <c r="D894" s="31"/>
    </row>
    <row r="895">
      <c r="A895" s="51" t="s">
        <v>27627</v>
      </c>
      <c r="B895" s="152"/>
      <c r="C895" s="82"/>
      <c r="D895" s="33" t="s">
        <v>27628</v>
      </c>
      <c r="F895" s="46" t="s">
        <v>1348</v>
      </c>
    </row>
    <row r="896">
      <c r="A896" s="51" t="s">
        <v>27629</v>
      </c>
      <c r="B896" s="152"/>
      <c r="C896" s="55"/>
      <c r="D896" s="31"/>
    </row>
    <row r="897">
      <c r="A897" s="51" t="s">
        <v>27630</v>
      </c>
      <c r="B897" s="152"/>
      <c r="C897" s="55"/>
      <c r="D897" s="31"/>
    </row>
    <row r="898">
      <c r="A898" s="51" t="s">
        <v>27631</v>
      </c>
      <c r="B898" s="152"/>
      <c r="C898" s="55"/>
      <c r="D898" s="31"/>
    </row>
    <row r="899">
      <c r="A899" s="51" t="s">
        <v>27632</v>
      </c>
      <c r="B899" s="152"/>
      <c r="C899" s="55"/>
      <c r="D899" s="31"/>
    </row>
    <row r="900">
      <c r="A900" s="51" t="s">
        <v>27633</v>
      </c>
      <c r="B900" s="152"/>
      <c r="C900" s="55"/>
      <c r="D900" s="31"/>
    </row>
    <row r="901">
      <c r="A901" s="51" t="s">
        <v>27634</v>
      </c>
      <c r="B901" s="152"/>
      <c r="C901" s="55"/>
      <c r="D901" s="31"/>
    </row>
    <row r="902">
      <c r="A902" s="51" t="s">
        <v>27636</v>
      </c>
      <c r="B902" s="152"/>
      <c r="C902" s="55"/>
      <c r="D902" s="31"/>
    </row>
    <row r="903">
      <c r="A903" s="51" t="s">
        <v>27637</v>
      </c>
      <c r="B903" s="152"/>
      <c r="C903" s="55"/>
      <c r="D903" s="31"/>
    </row>
    <row r="904">
      <c r="A904" s="51" t="s">
        <v>27639</v>
      </c>
      <c r="B904" s="152"/>
      <c r="C904" s="55"/>
      <c r="D904" s="31"/>
    </row>
    <row r="905">
      <c r="A905" s="51" t="s">
        <v>27641</v>
      </c>
      <c r="B905" s="152"/>
      <c r="C905" s="55"/>
      <c r="D905" s="31"/>
    </row>
    <row r="906">
      <c r="A906" s="51" t="s">
        <v>27642</v>
      </c>
      <c r="B906" s="152"/>
      <c r="C906" s="55"/>
      <c r="D906" s="31"/>
    </row>
    <row r="907">
      <c r="A907" s="51" t="s">
        <v>27643</v>
      </c>
      <c r="B907" s="152"/>
      <c r="C907" s="21"/>
      <c r="D907" s="33" t="s">
        <v>27644</v>
      </c>
    </row>
    <row r="908">
      <c r="A908" s="51" t="s">
        <v>27645</v>
      </c>
      <c r="B908" s="152"/>
      <c r="C908" s="21"/>
      <c r="D908" s="33" t="s">
        <v>27644</v>
      </c>
    </row>
    <row r="909">
      <c r="A909" s="51" t="s">
        <v>27648</v>
      </c>
      <c r="B909" s="152"/>
      <c r="C909" s="21"/>
      <c r="D909" s="33" t="s">
        <v>27644</v>
      </c>
    </row>
    <row r="910">
      <c r="A910" s="51" t="s">
        <v>27650</v>
      </c>
      <c r="B910" s="152"/>
      <c r="C910" s="21"/>
      <c r="D910" s="33" t="s">
        <v>27651</v>
      </c>
    </row>
    <row r="911">
      <c r="A911" s="51" t="s">
        <v>27652</v>
      </c>
      <c r="B911" s="152"/>
      <c r="C911" s="21"/>
      <c r="D911" s="33" t="s">
        <v>27651</v>
      </c>
    </row>
    <row r="912">
      <c r="A912" s="51" t="s">
        <v>27653</v>
      </c>
      <c r="B912" s="152"/>
      <c r="C912" s="21"/>
      <c r="D912" s="33" t="s">
        <v>27651</v>
      </c>
    </row>
    <row r="913">
      <c r="A913" s="51" t="s">
        <v>27655</v>
      </c>
      <c r="B913" s="152"/>
      <c r="C913" s="21"/>
      <c r="D913" s="33" t="s">
        <v>27657</v>
      </c>
    </row>
    <row r="914">
      <c r="A914" s="51" t="s">
        <v>27658</v>
      </c>
      <c r="B914" s="152"/>
      <c r="C914" s="21"/>
      <c r="D914" s="33" t="s">
        <v>27657</v>
      </c>
    </row>
    <row r="915">
      <c r="A915" s="51" t="s">
        <v>27660</v>
      </c>
      <c r="B915" s="152"/>
      <c r="C915" s="21"/>
      <c r="D915" s="33" t="s">
        <v>27657</v>
      </c>
    </row>
    <row r="916">
      <c r="A916" s="51" t="s">
        <v>27661</v>
      </c>
      <c r="B916" s="152"/>
      <c r="C916" s="21"/>
      <c r="D916" s="33" t="s">
        <v>27663</v>
      </c>
    </row>
    <row r="917">
      <c r="A917" s="51" t="s">
        <v>27665</v>
      </c>
      <c r="B917" s="152"/>
      <c r="C917" s="21"/>
      <c r="D917" s="33" t="s">
        <v>27663</v>
      </c>
    </row>
    <row r="918">
      <c r="A918" s="51" t="s">
        <v>27666</v>
      </c>
      <c r="B918" s="152"/>
      <c r="C918" s="21"/>
      <c r="D918" s="33" t="s">
        <v>27663</v>
      </c>
    </row>
    <row r="919">
      <c r="A919" s="51" t="s">
        <v>27667</v>
      </c>
      <c r="B919" s="152"/>
      <c r="C919" s="21"/>
      <c r="D919" s="33" t="s">
        <v>27668</v>
      </c>
    </row>
    <row r="920">
      <c r="A920" s="51" t="s">
        <v>27669</v>
      </c>
      <c r="B920" s="152"/>
      <c r="C920" s="21"/>
      <c r="D920" s="33" t="s">
        <v>27668</v>
      </c>
    </row>
    <row r="921">
      <c r="A921" s="51" t="s">
        <v>27673</v>
      </c>
      <c r="B921" s="152"/>
      <c r="C921" s="21"/>
      <c r="D921" s="33" t="s">
        <v>27668</v>
      </c>
    </row>
    <row r="922">
      <c r="A922" s="51" t="s">
        <v>27674</v>
      </c>
      <c r="B922" s="152"/>
      <c r="C922" s="21"/>
      <c r="D922" s="33" t="s">
        <v>27675</v>
      </c>
    </row>
    <row r="923">
      <c r="A923" s="51" t="s">
        <v>27676</v>
      </c>
      <c r="B923" s="152"/>
      <c r="C923" s="21"/>
      <c r="D923" s="33" t="s">
        <v>27675</v>
      </c>
    </row>
    <row r="924">
      <c r="A924" s="51" t="s">
        <v>27677</v>
      </c>
      <c r="B924" s="152"/>
      <c r="C924" s="21"/>
      <c r="D924" s="33" t="s">
        <v>27675</v>
      </c>
    </row>
    <row r="925">
      <c r="A925" s="51" t="s">
        <v>27680</v>
      </c>
      <c r="B925" s="152"/>
      <c r="C925" s="21"/>
      <c r="D925" s="33" t="s">
        <v>27681</v>
      </c>
    </row>
    <row r="926">
      <c r="A926" s="51" t="s">
        <v>27682</v>
      </c>
      <c r="B926" s="152"/>
      <c r="C926" s="21"/>
      <c r="D926" s="33" t="s">
        <v>27681</v>
      </c>
    </row>
    <row r="927">
      <c r="A927" s="51" t="s">
        <v>27684</v>
      </c>
      <c r="B927" s="152"/>
      <c r="C927" s="21"/>
      <c r="D927" s="33" t="s">
        <v>27681</v>
      </c>
    </row>
    <row r="928">
      <c r="A928" s="51" t="s">
        <v>27685</v>
      </c>
      <c r="B928" s="152"/>
      <c r="C928" s="55"/>
      <c r="D928" s="31"/>
    </row>
    <row r="929">
      <c r="A929" s="51" t="s">
        <v>27688</v>
      </c>
      <c r="B929" s="152"/>
      <c r="C929" s="82"/>
      <c r="D929" s="33" t="s">
        <v>27689</v>
      </c>
      <c r="F929" s="46" t="s">
        <v>2775</v>
      </c>
    </row>
    <row r="930">
      <c r="A930" s="51" t="s">
        <v>27690</v>
      </c>
      <c r="B930" s="152"/>
      <c r="C930" s="82"/>
      <c r="D930" s="33" t="s">
        <v>27689</v>
      </c>
      <c r="F930" s="46" t="s">
        <v>2793</v>
      </c>
    </row>
    <row r="931">
      <c r="A931" s="51" t="s">
        <v>27691</v>
      </c>
      <c r="B931" s="152"/>
      <c r="C931" s="21"/>
      <c r="D931" s="141" t="s">
        <v>27692</v>
      </c>
      <c r="F931" s="46" t="s">
        <v>2775</v>
      </c>
      <c r="G931" s="46" t="s">
        <v>27695</v>
      </c>
    </row>
    <row r="932">
      <c r="A932" s="51" t="s">
        <v>27697</v>
      </c>
      <c r="B932" s="152"/>
      <c r="C932" s="55"/>
      <c r="D932" s="31"/>
    </row>
    <row r="933">
      <c r="A933" s="51" t="s">
        <v>27698</v>
      </c>
      <c r="B933" s="152"/>
      <c r="C933" s="55"/>
      <c r="D933" s="31"/>
    </row>
    <row r="934">
      <c r="A934" s="51" t="s">
        <v>27699</v>
      </c>
      <c r="B934" s="152"/>
      <c r="C934" s="55"/>
      <c r="D934" s="31"/>
    </row>
    <row r="935">
      <c r="A935" s="51" t="s">
        <v>27701</v>
      </c>
      <c r="B935" s="152"/>
      <c r="C935" s="55"/>
      <c r="D935" s="31"/>
    </row>
    <row r="936">
      <c r="A936" s="51" t="s">
        <v>27703</v>
      </c>
      <c r="B936" s="152"/>
      <c r="C936" s="55"/>
      <c r="D936" s="31"/>
    </row>
    <row r="937">
      <c r="A937" s="51" t="s">
        <v>27705</v>
      </c>
      <c r="B937" s="152"/>
      <c r="C937" s="82"/>
      <c r="D937" s="33" t="s">
        <v>27706</v>
      </c>
      <c r="F937" s="46" t="s">
        <v>1348</v>
      </c>
    </row>
    <row r="938">
      <c r="A938" s="51" t="s">
        <v>27707</v>
      </c>
      <c r="B938" s="152"/>
      <c r="C938" s="82"/>
      <c r="D938" s="33" t="s">
        <v>27708</v>
      </c>
      <c r="F938" s="46" t="s">
        <v>2775</v>
      </c>
    </row>
    <row r="939">
      <c r="A939" s="51" t="s">
        <v>27709</v>
      </c>
      <c r="B939" s="152"/>
      <c r="C939" s="82"/>
      <c r="D939" s="33" t="s">
        <v>27708</v>
      </c>
      <c r="F939" s="46" t="s">
        <v>2793</v>
      </c>
    </row>
    <row r="940">
      <c r="A940" s="51" t="s">
        <v>27710</v>
      </c>
      <c r="B940" s="152"/>
      <c r="C940" s="82"/>
      <c r="D940" s="33" t="s">
        <v>27711</v>
      </c>
      <c r="F940" s="46" t="s">
        <v>1348</v>
      </c>
    </row>
    <row r="941">
      <c r="A941" s="51" t="s">
        <v>27712</v>
      </c>
      <c r="B941" s="152"/>
      <c r="C941" s="82"/>
      <c r="D941" s="33" t="s">
        <v>27711</v>
      </c>
      <c r="F941" s="46" t="s">
        <v>1348</v>
      </c>
    </row>
    <row r="942">
      <c r="A942" s="51" t="s">
        <v>27713</v>
      </c>
      <c r="B942" s="152"/>
      <c r="C942" s="82"/>
      <c r="D942" s="33" t="s">
        <v>27715</v>
      </c>
      <c r="F942" s="46" t="s">
        <v>2775</v>
      </c>
    </row>
    <row r="943">
      <c r="A943" s="51" t="s">
        <v>27716</v>
      </c>
      <c r="B943" s="152"/>
      <c r="C943" s="82"/>
      <c r="D943" s="33" t="s">
        <v>27715</v>
      </c>
      <c r="F943" s="46" t="s">
        <v>2793</v>
      </c>
    </row>
    <row r="944">
      <c r="A944" s="51" t="s">
        <v>27717</v>
      </c>
      <c r="B944" s="152"/>
      <c r="C944" s="55"/>
      <c r="D944" s="31"/>
    </row>
    <row r="945">
      <c r="A945" s="51" t="s">
        <v>27718</v>
      </c>
      <c r="B945" s="152"/>
      <c r="C945" s="55"/>
      <c r="D945" s="31"/>
    </row>
    <row r="946">
      <c r="A946" s="51" t="s">
        <v>27720</v>
      </c>
      <c r="B946" s="152"/>
      <c r="C946" s="55"/>
      <c r="D946" s="31"/>
    </row>
    <row r="947">
      <c r="A947" s="51" t="s">
        <v>27722</v>
      </c>
      <c r="B947" s="152"/>
      <c r="C947" s="55"/>
      <c r="D947" s="31"/>
    </row>
    <row r="948">
      <c r="A948" s="51" t="s">
        <v>27723</v>
      </c>
      <c r="B948" s="152"/>
      <c r="C948" s="55"/>
      <c r="D948" s="31"/>
    </row>
    <row r="949">
      <c r="A949" s="51" t="s">
        <v>27724</v>
      </c>
      <c r="B949" s="152"/>
      <c r="C949" s="55"/>
      <c r="D949" s="31"/>
    </row>
    <row r="950">
      <c r="A950" s="51" t="s">
        <v>27725</v>
      </c>
      <c r="B950" s="152"/>
      <c r="C950" s="55"/>
      <c r="D950" s="31"/>
    </row>
    <row r="951">
      <c r="A951" s="51" t="s">
        <v>27726</v>
      </c>
      <c r="B951" s="152"/>
      <c r="C951" s="55"/>
      <c r="D951" s="31"/>
    </row>
    <row r="952">
      <c r="A952" s="51" t="s">
        <v>27727</v>
      </c>
      <c r="B952" s="152"/>
      <c r="C952" s="55"/>
      <c r="D952" s="31"/>
    </row>
    <row r="953">
      <c r="A953" s="51" t="s">
        <v>27729</v>
      </c>
      <c r="B953" s="152"/>
      <c r="C953" s="55"/>
      <c r="D953" s="31"/>
    </row>
    <row r="954">
      <c r="A954" s="51" t="s">
        <v>27730</v>
      </c>
      <c r="B954" s="152"/>
      <c r="C954" s="55"/>
      <c r="D954" s="31"/>
    </row>
    <row r="955">
      <c r="A955" s="51" t="s">
        <v>27731</v>
      </c>
      <c r="B955" s="152"/>
      <c r="C955" s="55"/>
      <c r="D955" s="31"/>
    </row>
    <row r="956">
      <c r="A956" s="51" t="s">
        <v>27732</v>
      </c>
      <c r="B956" s="152"/>
      <c r="C956" s="55"/>
      <c r="D956" s="31"/>
    </row>
    <row r="957">
      <c r="A957" s="51" t="s">
        <v>27733</v>
      </c>
      <c r="B957" s="152"/>
      <c r="C957" s="55"/>
      <c r="D957" s="31"/>
    </row>
    <row r="958">
      <c r="A958" s="51" t="s">
        <v>27734</v>
      </c>
      <c r="B958" s="152"/>
      <c r="C958" s="55"/>
      <c r="D958" s="31"/>
    </row>
    <row r="959">
      <c r="A959" s="51" t="s">
        <v>27735</v>
      </c>
      <c r="B959" s="152"/>
      <c r="C959" s="55"/>
      <c r="D959" s="31"/>
    </row>
    <row r="960">
      <c r="A960" s="51" t="s">
        <v>27736</v>
      </c>
      <c r="B960" s="152"/>
      <c r="C960" s="55"/>
      <c r="D960" s="31"/>
    </row>
    <row r="961">
      <c r="A961" s="51" t="s">
        <v>27737</v>
      </c>
      <c r="B961" s="152"/>
      <c r="C961" s="55"/>
      <c r="D961" s="31"/>
    </row>
    <row r="962">
      <c r="A962" s="51" t="s">
        <v>27740</v>
      </c>
      <c r="B962" s="152"/>
      <c r="C962" s="55"/>
      <c r="D962" s="31"/>
    </row>
    <row r="963">
      <c r="A963" s="51" t="s">
        <v>27742</v>
      </c>
      <c r="B963" s="152"/>
      <c r="C963" s="55"/>
      <c r="D963" s="31"/>
    </row>
    <row r="964">
      <c r="A964" s="51" t="s">
        <v>27743</v>
      </c>
      <c r="B964" s="152"/>
      <c r="C964" s="55"/>
      <c r="D964" s="31"/>
    </row>
    <row r="965">
      <c r="A965" s="51" t="s">
        <v>27744</v>
      </c>
      <c r="B965" s="152"/>
      <c r="C965" s="55"/>
      <c r="D965" s="31"/>
    </row>
    <row r="966">
      <c r="A966" s="51" t="s">
        <v>27745</v>
      </c>
      <c r="B966" s="152"/>
      <c r="C966" s="55"/>
      <c r="D966" s="31"/>
    </row>
    <row r="967">
      <c r="A967" s="51" t="s">
        <v>27746</v>
      </c>
      <c r="B967" s="152"/>
      <c r="C967" s="55"/>
      <c r="D967" s="31"/>
    </row>
    <row r="968">
      <c r="A968" s="51" t="s">
        <v>27747</v>
      </c>
      <c r="B968" s="152"/>
      <c r="C968" s="55"/>
      <c r="D968" s="31"/>
    </row>
    <row r="969">
      <c r="A969" s="51" t="s">
        <v>27748</v>
      </c>
      <c r="B969" s="152"/>
      <c r="C969" s="55"/>
      <c r="D969" s="31"/>
    </row>
    <row r="970">
      <c r="A970" s="51" t="s">
        <v>27749</v>
      </c>
      <c r="B970" s="152"/>
      <c r="C970" s="55"/>
      <c r="D970" s="31"/>
    </row>
    <row r="971">
      <c r="A971" s="51" t="s">
        <v>27750</v>
      </c>
      <c r="B971" s="152"/>
      <c r="C971" s="55"/>
      <c r="D971" s="31"/>
    </row>
    <row r="972">
      <c r="A972" s="51" t="s">
        <v>27751</v>
      </c>
      <c r="B972" s="152"/>
      <c r="C972" s="55"/>
      <c r="D972" s="31"/>
    </row>
    <row r="973">
      <c r="A973" s="51" t="s">
        <v>27753</v>
      </c>
      <c r="B973" s="152"/>
      <c r="C973" s="55"/>
      <c r="D973" s="31"/>
    </row>
    <row r="974">
      <c r="A974" s="51" t="s">
        <v>27754</v>
      </c>
      <c r="B974" s="152"/>
      <c r="C974" s="55"/>
      <c r="D974" s="31"/>
    </row>
    <row r="975">
      <c r="A975" s="51" t="s">
        <v>27755</v>
      </c>
      <c r="B975" s="152"/>
      <c r="C975" s="55"/>
      <c r="D975" s="31"/>
    </row>
    <row r="976">
      <c r="A976" s="51" t="s">
        <v>27756</v>
      </c>
      <c r="B976" s="152"/>
      <c r="C976" s="55"/>
      <c r="D976" s="31"/>
    </row>
    <row r="977">
      <c r="A977" s="51" t="s">
        <v>27757</v>
      </c>
      <c r="B977" s="152"/>
      <c r="C977" s="55"/>
      <c r="D977" s="31"/>
    </row>
    <row r="978">
      <c r="A978" s="51" t="s">
        <v>27758</v>
      </c>
      <c r="B978" s="152"/>
      <c r="C978" s="55"/>
      <c r="D978" s="31"/>
    </row>
    <row r="979">
      <c r="A979" s="51" t="s">
        <v>27759</v>
      </c>
      <c r="B979" s="152"/>
      <c r="C979" s="55"/>
      <c r="D979" s="31"/>
    </row>
    <row r="980">
      <c r="A980" s="51" t="s">
        <v>27760</v>
      </c>
      <c r="B980" s="152"/>
      <c r="C980" s="55"/>
      <c r="D980" s="31"/>
    </row>
    <row r="981">
      <c r="A981" s="51" t="s">
        <v>27762</v>
      </c>
      <c r="B981" s="152"/>
      <c r="C981" s="55"/>
      <c r="D981" s="31"/>
    </row>
    <row r="982">
      <c r="A982" s="51" t="s">
        <v>27764</v>
      </c>
      <c r="B982" s="152"/>
      <c r="C982" s="55"/>
      <c r="D982" s="31"/>
    </row>
    <row r="983">
      <c r="A983" s="51" t="s">
        <v>27766</v>
      </c>
      <c r="B983" s="152"/>
      <c r="C983" s="55"/>
      <c r="D983" s="31"/>
    </row>
    <row r="984">
      <c r="A984" s="51" t="s">
        <v>27767</v>
      </c>
      <c r="B984" s="152"/>
      <c r="C984" s="55"/>
      <c r="D984" s="31"/>
    </row>
    <row r="985">
      <c r="A985" s="51" t="s">
        <v>27768</v>
      </c>
      <c r="B985" s="152"/>
      <c r="C985" s="55"/>
      <c r="D985" s="31"/>
    </row>
    <row r="986">
      <c r="A986" s="51" t="s">
        <v>27769</v>
      </c>
      <c r="B986" s="152"/>
      <c r="C986" s="55"/>
      <c r="D986" s="31"/>
    </row>
    <row r="987">
      <c r="A987" s="51" t="s">
        <v>27770</v>
      </c>
      <c r="B987" s="152"/>
      <c r="C987" s="55"/>
      <c r="D987" s="31"/>
    </row>
    <row r="988">
      <c r="A988" s="51" t="s">
        <v>27771</v>
      </c>
      <c r="B988" s="152"/>
      <c r="C988" s="55"/>
      <c r="D988" s="31"/>
    </row>
    <row r="989">
      <c r="A989" s="51" t="s">
        <v>27772</v>
      </c>
      <c r="B989" s="152"/>
      <c r="C989" s="55"/>
      <c r="D989" s="31"/>
    </row>
    <row r="990">
      <c r="A990" s="51" t="s">
        <v>27773</v>
      </c>
      <c r="B990" s="152"/>
      <c r="C990" s="55"/>
      <c r="D990" s="31"/>
    </row>
    <row r="991">
      <c r="A991" s="51" t="s">
        <v>27775</v>
      </c>
      <c r="B991" s="152"/>
      <c r="C991" s="55"/>
      <c r="D991" s="31"/>
    </row>
    <row r="992">
      <c r="A992" s="51" t="s">
        <v>27778</v>
      </c>
      <c r="B992" s="152"/>
      <c r="C992" s="55"/>
      <c r="D992" s="31"/>
    </row>
    <row r="993">
      <c r="A993" s="51" t="s">
        <v>27779</v>
      </c>
      <c r="B993" s="152"/>
      <c r="C993" s="55"/>
      <c r="D993" s="31"/>
    </row>
    <row r="994">
      <c r="A994" s="51" t="s">
        <v>5422</v>
      </c>
      <c r="B994" s="152"/>
      <c r="C994" s="55"/>
      <c r="D994" s="31"/>
    </row>
    <row r="995">
      <c r="A995" s="51" t="s">
        <v>5432</v>
      </c>
      <c r="B995" s="152"/>
      <c r="C995" s="55"/>
      <c r="D995" s="31"/>
    </row>
    <row r="996">
      <c r="A996" s="51" t="s">
        <v>27780</v>
      </c>
      <c r="B996" s="152"/>
      <c r="C996" s="55"/>
      <c r="D996" s="31"/>
    </row>
    <row r="997">
      <c r="A997" s="51" t="s">
        <v>27781</v>
      </c>
      <c r="B997" s="152"/>
      <c r="C997" s="55"/>
      <c r="D997" s="31"/>
    </row>
    <row r="998">
      <c r="A998" s="51" t="s">
        <v>27782</v>
      </c>
      <c r="B998" s="152"/>
      <c r="C998" s="55"/>
      <c r="D998" s="31"/>
    </row>
    <row r="999">
      <c r="A999" s="51" t="s">
        <v>27783</v>
      </c>
      <c r="B999" s="152"/>
      <c r="C999" s="55"/>
      <c r="D999" s="31"/>
    </row>
    <row r="1000">
      <c r="A1000" s="51" t="s">
        <v>27784</v>
      </c>
      <c r="B1000" s="152"/>
      <c r="C1000" s="55"/>
      <c r="D1000" s="31"/>
    </row>
    <row r="1001">
      <c r="A1001" s="51" t="s">
        <v>27787</v>
      </c>
      <c r="B1001" s="152"/>
      <c r="C1001" s="55"/>
      <c r="D1001" s="31"/>
    </row>
    <row r="1002">
      <c r="A1002" s="51" t="s">
        <v>27788</v>
      </c>
      <c r="B1002" s="152"/>
      <c r="C1002" s="82"/>
      <c r="D1002" s="33" t="s">
        <v>27789</v>
      </c>
      <c r="F1002" s="46" t="s">
        <v>2775</v>
      </c>
    </row>
    <row r="1003">
      <c r="A1003" s="51" t="s">
        <v>27791</v>
      </c>
      <c r="B1003" s="152"/>
      <c r="C1003" s="82"/>
      <c r="D1003" s="33" t="s">
        <v>27789</v>
      </c>
      <c r="F1003" s="46" t="s">
        <v>2793</v>
      </c>
    </row>
    <row r="1004">
      <c r="A1004" s="51" t="s">
        <v>27792</v>
      </c>
      <c r="B1004" s="152"/>
      <c r="C1004" s="82"/>
      <c r="D1004" s="33" t="s">
        <v>27793</v>
      </c>
      <c r="F1004" s="46" t="s">
        <v>2775</v>
      </c>
    </row>
    <row r="1005">
      <c r="A1005" s="51" t="s">
        <v>27794</v>
      </c>
      <c r="B1005" s="152"/>
      <c r="C1005" s="82"/>
      <c r="D1005" s="33" t="s">
        <v>27793</v>
      </c>
      <c r="F1005" s="46" t="s">
        <v>2793</v>
      </c>
    </row>
    <row r="1006">
      <c r="A1006" s="51" t="s">
        <v>27795</v>
      </c>
      <c r="B1006" s="152"/>
      <c r="C1006" s="82"/>
      <c r="D1006" s="33" t="s">
        <v>27796</v>
      </c>
      <c r="F1006" s="46" t="s">
        <v>2775</v>
      </c>
    </row>
    <row r="1007">
      <c r="A1007" s="51" t="s">
        <v>27797</v>
      </c>
      <c r="B1007" s="152"/>
      <c r="C1007" s="82"/>
      <c r="D1007" s="33" t="s">
        <v>27796</v>
      </c>
      <c r="F1007" s="46" t="s">
        <v>2793</v>
      </c>
    </row>
    <row r="1008">
      <c r="A1008" s="51" t="s">
        <v>27799</v>
      </c>
      <c r="B1008" s="152"/>
      <c r="C1008" s="82"/>
      <c r="D1008" s="33" t="s">
        <v>27801</v>
      </c>
      <c r="F1008" s="46" t="s">
        <v>2775</v>
      </c>
    </row>
    <row r="1009">
      <c r="A1009" s="51" t="s">
        <v>27802</v>
      </c>
      <c r="B1009" s="152"/>
      <c r="C1009" s="82"/>
      <c r="D1009" s="33" t="s">
        <v>27801</v>
      </c>
      <c r="F1009" s="46" t="s">
        <v>2793</v>
      </c>
    </row>
    <row r="1010">
      <c r="A1010" s="51" t="s">
        <v>27803</v>
      </c>
      <c r="B1010" s="152"/>
      <c r="C1010" s="82"/>
      <c r="D1010" s="33" t="s">
        <v>27805</v>
      </c>
      <c r="F1010" s="46" t="s">
        <v>2775</v>
      </c>
    </row>
    <row r="1011">
      <c r="A1011" s="51" t="s">
        <v>27806</v>
      </c>
      <c r="B1011" s="152"/>
      <c r="C1011" s="82"/>
      <c r="D1011" s="33" t="s">
        <v>27805</v>
      </c>
      <c r="F1011" s="46" t="s">
        <v>2793</v>
      </c>
    </row>
    <row r="1012">
      <c r="A1012" s="51" t="s">
        <v>27807</v>
      </c>
      <c r="B1012" s="152"/>
      <c r="C1012" s="82"/>
      <c r="D1012" s="33" t="s">
        <v>27809</v>
      </c>
      <c r="F1012" s="46" t="s">
        <v>2775</v>
      </c>
    </row>
    <row r="1013">
      <c r="A1013" s="51" t="s">
        <v>27811</v>
      </c>
      <c r="B1013" s="152"/>
      <c r="C1013" s="82"/>
      <c r="D1013" s="33" t="s">
        <v>27809</v>
      </c>
      <c r="F1013" s="46" t="s">
        <v>2793</v>
      </c>
    </row>
    <row r="1014">
      <c r="A1014" s="51" t="s">
        <v>27813</v>
      </c>
      <c r="B1014" s="152"/>
      <c r="C1014" s="82"/>
      <c r="D1014" s="33" t="s">
        <v>27815</v>
      </c>
      <c r="F1014" s="46" t="s">
        <v>2775</v>
      </c>
    </row>
    <row r="1015">
      <c r="A1015" s="51" t="s">
        <v>27816</v>
      </c>
      <c r="B1015" s="152"/>
      <c r="C1015" s="82"/>
      <c r="D1015" s="33" t="s">
        <v>27815</v>
      </c>
      <c r="F1015" s="46" t="s">
        <v>2793</v>
      </c>
    </row>
    <row r="1016">
      <c r="A1016" s="51" t="s">
        <v>27817</v>
      </c>
      <c r="B1016" s="152"/>
      <c r="C1016" s="82"/>
      <c r="D1016" s="33" t="s">
        <v>27818</v>
      </c>
      <c r="F1016" s="46" t="s">
        <v>2775</v>
      </c>
    </row>
    <row r="1017">
      <c r="A1017" s="51" t="s">
        <v>27819</v>
      </c>
      <c r="B1017" s="152"/>
      <c r="C1017" s="82"/>
      <c r="D1017" s="33" t="s">
        <v>27818</v>
      </c>
      <c r="F1017" s="46" t="s">
        <v>2793</v>
      </c>
    </row>
    <row r="1018">
      <c r="A1018" s="51" t="s">
        <v>27822</v>
      </c>
      <c r="B1018" s="152"/>
      <c r="C1018" s="82"/>
      <c r="D1018" s="33" t="s">
        <v>27824</v>
      </c>
      <c r="F1018" s="46" t="s">
        <v>2775</v>
      </c>
    </row>
    <row r="1019">
      <c r="A1019" s="51" t="s">
        <v>27825</v>
      </c>
      <c r="B1019" s="152"/>
      <c r="C1019" s="82"/>
      <c r="D1019" s="33" t="s">
        <v>27824</v>
      </c>
      <c r="F1019" s="46" t="s">
        <v>2793</v>
      </c>
    </row>
    <row r="1020">
      <c r="A1020" s="51" t="s">
        <v>27828</v>
      </c>
      <c r="B1020" s="152"/>
      <c r="C1020" s="82"/>
      <c r="D1020" s="33" t="s">
        <v>27829</v>
      </c>
      <c r="F1020" s="46" t="s">
        <v>2775</v>
      </c>
    </row>
    <row r="1021">
      <c r="A1021" s="51" t="s">
        <v>27832</v>
      </c>
      <c r="B1021" s="152"/>
      <c r="C1021" s="82"/>
      <c r="D1021" s="33" t="s">
        <v>27829</v>
      </c>
      <c r="F1021" s="46" t="s">
        <v>2793</v>
      </c>
    </row>
    <row r="1022">
      <c r="A1022" s="51" t="s">
        <v>27833</v>
      </c>
      <c r="B1022" s="152"/>
      <c r="C1022" s="82"/>
      <c r="D1022" s="33" t="s">
        <v>27834</v>
      </c>
      <c r="F1022" s="46" t="s">
        <v>2775</v>
      </c>
    </row>
    <row r="1023">
      <c r="A1023" s="51" t="s">
        <v>27835</v>
      </c>
      <c r="B1023" s="152"/>
      <c r="C1023" s="82"/>
      <c r="D1023" s="33" t="s">
        <v>27834</v>
      </c>
      <c r="F1023" s="46" t="s">
        <v>2793</v>
      </c>
    </row>
    <row r="1024">
      <c r="A1024" s="51" t="s">
        <v>27836</v>
      </c>
      <c r="B1024" s="152"/>
      <c r="C1024" s="82"/>
      <c r="D1024" s="33" t="s">
        <v>27837</v>
      </c>
      <c r="F1024" s="46" t="s">
        <v>2775</v>
      </c>
    </row>
    <row r="1025">
      <c r="A1025" s="51" t="s">
        <v>27838</v>
      </c>
      <c r="B1025" s="152"/>
      <c r="C1025" s="82"/>
      <c r="D1025" s="33" t="s">
        <v>27837</v>
      </c>
      <c r="F1025" s="46" t="s">
        <v>2793</v>
      </c>
    </row>
    <row r="1026">
      <c r="A1026" s="51" t="s">
        <v>27839</v>
      </c>
      <c r="B1026" s="152"/>
      <c r="C1026" s="82"/>
      <c r="D1026" s="33" t="s">
        <v>27842</v>
      </c>
      <c r="F1026" s="46" t="s">
        <v>2775</v>
      </c>
    </row>
    <row r="1027">
      <c r="A1027" s="51" t="s">
        <v>27845</v>
      </c>
      <c r="B1027" s="152"/>
      <c r="C1027" s="82"/>
      <c r="D1027" s="33" t="s">
        <v>27842</v>
      </c>
      <c r="F1027" s="46" t="s">
        <v>2793</v>
      </c>
    </row>
    <row r="1028">
      <c r="A1028" s="51" t="s">
        <v>27846</v>
      </c>
      <c r="B1028" s="152"/>
      <c r="C1028" s="82"/>
      <c r="D1028" s="33" t="s">
        <v>27847</v>
      </c>
      <c r="F1028" s="46" t="s">
        <v>2775</v>
      </c>
    </row>
    <row r="1029">
      <c r="A1029" s="51" t="s">
        <v>27848</v>
      </c>
      <c r="B1029" s="152"/>
      <c r="C1029" s="82"/>
      <c r="D1029" s="33" t="s">
        <v>27847</v>
      </c>
      <c r="F1029" s="46" t="s">
        <v>2793</v>
      </c>
    </row>
    <row r="1030">
      <c r="A1030" s="51" t="s">
        <v>27849</v>
      </c>
      <c r="B1030" s="152"/>
      <c r="C1030" s="82"/>
      <c r="D1030" s="33" t="s">
        <v>27850</v>
      </c>
      <c r="F1030" s="46" t="s">
        <v>2775</v>
      </c>
    </row>
    <row r="1031">
      <c r="A1031" s="51" t="s">
        <v>27851</v>
      </c>
      <c r="B1031" s="152"/>
      <c r="C1031" s="82"/>
      <c r="D1031" s="33" t="s">
        <v>27850</v>
      </c>
      <c r="F1031" s="46" t="s">
        <v>2793</v>
      </c>
    </row>
    <row r="1032">
      <c r="A1032" s="51" t="s">
        <v>27852</v>
      </c>
      <c r="B1032" s="152"/>
      <c r="C1032" s="55"/>
      <c r="D1032" s="31"/>
    </row>
    <row r="1033">
      <c r="A1033" s="51" t="s">
        <v>27853</v>
      </c>
      <c r="B1033" s="152"/>
      <c r="C1033" s="55"/>
      <c r="D1033" s="31"/>
    </row>
    <row r="1034">
      <c r="A1034" s="51" t="s">
        <v>27854</v>
      </c>
      <c r="B1034" s="152"/>
      <c r="C1034" s="55"/>
      <c r="D1034" s="31"/>
    </row>
    <row r="1035">
      <c r="A1035" s="51" t="s">
        <v>27855</v>
      </c>
      <c r="B1035" s="152"/>
      <c r="C1035" s="82"/>
      <c r="D1035" s="33" t="s">
        <v>27856</v>
      </c>
      <c r="F1035" s="46" t="s">
        <v>2775</v>
      </c>
    </row>
    <row r="1036">
      <c r="A1036" s="51" t="s">
        <v>27857</v>
      </c>
      <c r="B1036" s="152"/>
      <c r="C1036" s="82"/>
      <c r="D1036" s="33" t="s">
        <v>27856</v>
      </c>
      <c r="F1036" s="46" t="s">
        <v>2793</v>
      </c>
    </row>
    <row r="1037">
      <c r="A1037" s="51" t="s">
        <v>27858</v>
      </c>
      <c r="B1037" s="152"/>
      <c r="C1037" s="55"/>
      <c r="D1037" s="31"/>
    </row>
    <row r="1038">
      <c r="A1038" s="51" t="s">
        <v>27860</v>
      </c>
      <c r="B1038" s="152"/>
      <c r="C1038" s="82"/>
      <c r="D1038" s="33" t="s">
        <v>27862</v>
      </c>
      <c r="F1038" s="46" t="s">
        <v>1348</v>
      </c>
    </row>
    <row r="1039">
      <c r="A1039" s="51" t="s">
        <v>27863</v>
      </c>
      <c r="B1039" s="152"/>
      <c r="C1039" s="82"/>
      <c r="D1039" s="33" t="s">
        <v>27864</v>
      </c>
      <c r="F1039" s="46" t="s">
        <v>27866</v>
      </c>
    </row>
    <row r="1040">
      <c r="A1040" s="51" t="s">
        <v>27867</v>
      </c>
      <c r="B1040" s="152"/>
      <c r="C1040" s="82"/>
      <c r="D1040" s="33" t="s">
        <v>27864</v>
      </c>
      <c r="F1040" s="46" t="s">
        <v>27866</v>
      </c>
    </row>
    <row r="1041">
      <c r="A1041" s="51" t="s">
        <v>27869</v>
      </c>
      <c r="B1041" s="152"/>
      <c r="C1041" s="82"/>
      <c r="D1041" s="33" t="s">
        <v>27870</v>
      </c>
      <c r="F1041" s="46" t="s">
        <v>27866</v>
      </c>
    </row>
    <row r="1042">
      <c r="A1042" s="51" t="s">
        <v>27871</v>
      </c>
      <c r="B1042" s="152"/>
      <c r="C1042" s="21"/>
      <c r="D1042" s="33" t="s">
        <v>27872</v>
      </c>
    </row>
    <row r="1043">
      <c r="A1043" s="51" t="s">
        <v>27873</v>
      </c>
      <c r="B1043" s="152"/>
      <c r="C1043" s="21"/>
      <c r="D1043" s="33" t="s">
        <v>27872</v>
      </c>
    </row>
    <row r="1044">
      <c r="A1044" s="51" t="s">
        <v>27876</v>
      </c>
      <c r="B1044" s="152"/>
      <c r="C1044" s="79"/>
      <c r="D1044" s="33" t="s">
        <v>27872</v>
      </c>
      <c r="F1044" s="46" t="s">
        <v>2756</v>
      </c>
    </row>
    <row r="1045">
      <c r="A1045" s="51" t="s">
        <v>27877</v>
      </c>
      <c r="B1045" s="152"/>
      <c r="C1045" s="82"/>
      <c r="D1045" s="33" t="s">
        <v>27878</v>
      </c>
      <c r="F1045" s="46" t="s">
        <v>2775</v>
      </c>
    </row>
    <row r="1046">
      <c r="A1046" s="51" t="s">
        <v>27879</v>
      </c>
      <c r="B1046" s="152"/>
      <c r="C1046" s="82"/>
      <c r="D1046" s="33" t="s">
        <v>27880</v>
      </c>
      <c r="F1046" s="46" t="s">
        <v>2775</v>
      </c>
    </row>
    <row r="1047">
      <c r="A1047" s="51" t="s">
        <v>27881</v>
      </c>
      <c r="B1047" s="152"/>
      <c r="C1047" s="82"/>
      <c r="D1047" s="33" t="s">
        <v>27882</v>
      </c>
      <c r="F1047" s="46" t="s">
        <v>2775</v>
      </c>
    </row>
    <row r="1048">
      <c r="A1048" s="51" t="s">
        <v>27883</v>
      </c>
      <c r="B1048" s="152"/>
      <c r="C1048" s="82"/>
      <c r="D1048" s="33" t="s">
        <v>27885</v>
      </c>
      <c r="F1048" s="46" t="s">
        <v>2775</v>
      </c>
    </row>
    <row r="1049">
      <c r="A1049" s="51" t="s">
        <v>27888</v>
      </c>
      <c r="B1049" s="152"/>
      <c r="C1049" s="82"/>
      <c r="D1049" s="33" t="s">
        <v>27890</v>
      </c>
      <c r="F1049" s="46" t="s">
        <v>2775</v>
      </c>
    </row>
    <row r="1050">
      <c r="A1050" s="51" t="s">
        <v>27891</v>
      </c>
      <c r="B1050" s="152"/>
      <c r="C1050" s="82"/>
      <c r="D1050" s="33" t="s">
        <v>27892</v>
      </c>
      <c r="F1050" s="46" t="s">
        <v>2775</v>
      </c>
    </row>
    <row r="1051">
      <c r="A1051" s="51" t="s">
        <v>27893</v>
      </c>
      <c r="B1051" s="152"/>
      <c r="C1051" s="82"/>
      <c r="D1051" s="33" t="s">
        <v>27894</v>
      </c>
      <c r="F1051" s="46" t="s">
        <v>2775</v>
      </c>
    </row>
    <row r="1052">
      <c r="A1052" s="51" t="s">
        <v>27896</v>
      </c>
      <c r="B1052" s="152"/>
      <c r="C1052" s="82"/>
      <c r="D1052" s="33" t="s">
        <v>27898</v>
      </c>
      <c r="F1052" s="46" t="s">
        <v>2775</v>
      </c>
    </row>
    <row r="1053">
      <c r="A1053" s="51" t="s">
        <v>27899</v>
      </c>
      <c r="B1053" s="152"/>
      <c r="C1053" s="82"/>
      <c r="D1053" s="33" t="s">
        <v>27900</v>
      </c>
      <c r="F1053" s="46" t="s">
        <v>2775</v>
      </c>
    </row>
    <row r="1054">
      <c r="A1054" s="51" t="s">
        <v>27901</v>
      </c>
      <c r="B1054" s="152"/>
      <c r="C1054" s="82"/>
      <c r="D1054" s="33" t="s">
        <v>27890</v>
      </c>
      <c r="F1054" s="46" t="s">
        <v>2775</v>
      </c>
    </row>
    <row r="1055">
      <c r="A1055" s="51" t="s">
        <v>27902</v>
      </c>
      <c r="B1055" s="152"/>
      <c r="C1055" s="82"/>
      <c r="D1055" s="33" t="s">
        <v>27892</v>
      </c>
      <c r="F1055" s="46" t="s">
        <v>2775</v>
      </c>
    </row>
    <row r="1056">
      <c r="A1056" s="51" t="s">
        <v>27904</v>
      </c>
      <c r="B1056" s="152"/>
      <c r="C1056" s="82"/>
      <c r="D1056" s="33" t="s">
        <v>27894</v>
      </c>
      <c r="F1056" s="46" t="s">
        <v>2775</v>
      </c>
    </row>
    <row r="1057">
      <c r="A1057" s="51" t="s">
        <v>27908</v>
      </c>
      <c r="B1057" s="152"/>
      <c r="C1057" s="82"/>
      <c r="D1057" s="33" t="s">
        <v>27898</v>
      </c>
      <c r="F1057" s="46" t="s">
        <v>2775</v>
      </c>
    </row>
    <row r="1058">
      <c r="A1058" s="51" t="s">
        <v>27909</v>
      </c>
      <c r="B1058" s="152"/>
      <c r="C1058" s="82"/>
      <c r="D1058" s="33" t="s">
        <v>27900</v>
      </c>
      <c r="F1058" s="46" t="s">
        <v>2775</v>
      </c>
    </row>
    <row r="1059">
      <c r="A1059" s="51" t="s">
        <v>27910</v>
      </c>
      <c r="B1059" s="152"/>
      <c r="C1059" s="82"/>
      <c r="D1059" s="33" t="s">
        <v>27911</v>
      </c>
      <c r="F1059" s="46" t="s">
        <v>2775</v>
      </c>
    </row>
    <row r="1060">
      <c r="A1060" s="51" t="s">
        <v>27912</v>
      </c>
      <c r="B1060" s="152"/>
      <c r="C1060" s="82"/>
      <c r="D1060" s="33" t="s">
        <v>27913</v>
      </c>
      <c r="F1060" s="46" t="s">
        <v>2775</v>
      </c>
    </row>
    <row r="1061">
      <c r="A1061" s="51" t="s">
        <v>27914</v>
      </c>
      <c r="B1061" s="152"/>
      <c r="C1061" s="82"/>
      <c r="D1061" s="33" t="s">
        <v>27911</v>
      </c>
      <c r="F1061" s="46" t="s">
        <v>2775</v>
      </c>
    </row>
    <row r="1062">
      <c r="A1062" s="51" t="s">
        <v>27916</v>
      </c>
      <c r="B1062" s="152"/>
      <c r="C1062" s="82"/>
      <c r="D1062" s="33" t="s">
        <v>27918</v>
      </c>
      <c r="F1062" s="46" t="s">
        <v>2775</v>
      </c>
    </row>
    <row r="1063">
      <c r="A1063" s="51" t="s">
        <v>27919</v>
      </c>
      <c r="B1063" s="152"/>
      <c r="C1063" s="82"/>
      <c r="D1063" s="33" t="s">
        <v>27920</v>
      </c>
      <c r="F1063" s="46" t="s">
        <v>2775</v>
      </c>
    </row>
    <row r="1064">
      <c r="A1064" s="51" t="s">
        <v>27922</v>
      </c>
      <c r="B1064" s="152"/>
      <c r="C1064" s="82"/>
      <c r="D1064" s="33" t="s">
        <v>27924</v>
      </c>
      <c r="F1064" s="46" t="s">
        <v>2775</v>
      </c>
    </row>
    <row r="1065">
      <c r="A1065" s="51" t="s">
        <v>27925</v>
      </c>
      <c r="B1065" s="152"/>
      <c r="C1065" s="82"/>
      <c r="D1065" s="33" t="s">
        <v>27926</v>
      </c>
      <c r="F1065" s="46" t="s">
        <v>2775</v>
      </c>
    </row>
    <row r="1066">
      <c r="A1066" s="51" t="s">
        <v>27927</v>
      </c>
      <c r="B1066" s="152"/>
      <c r="C1066" s="82"/>
      <c r="D1066" s="33" t="s">
        <v>27929</v>
      </c>
      <c r="F1066" s="46" t="s">
        <v>2775</v>
      </c>
    </row>
    <row r="1067">
      <c r="A1067" s="51" t="s">
        <v>27931</v>
      </c>
      <c r="B1067" s="152"/>
      <c r="C1067" s="82"/>
      <c r="D1067" s="33" t="s">
        <v>27932</v>
      </c>
      <c r="F1067" s="46" t="s">
        <v>2775</v>
      </c>
    </row>
    <row r="1068">
      <c r="A1068" s="51" t="s">
        <v>27933</v>
      </c>
      <c r="B1068" s="152"/>
      <c r="C1068" s="82"/>
      <c r="D1068" s="33" t="s">
        <v>27934</v>
      </c>
      <c r="F1068" s="46" t="s">
        <v>2775</v>
      </c>
    </row>
    <row r="1069">
      <c r="A1069" s="51" t="s">
        <v>27935</v>
      </c>
      <c r="B1069" s="152"/>
      <c r="C1069" s="82"/>
      <c r="D1069" s="33" t="s">
        <v>27920</v>
      </c>
      <c r="F1069" s="46" t="s">
        <v>2775</v>
      </c>
    </row>
    <row r="1070">
      <c r="A1070" s="51" t="s">
        <v>27936</v>
      </c>
      <c r="B1070" s="152"/>
      <c r="C1070" s="82"/>
      <c r="D1070" s="33" t="s">
        <v>27924</v>
      </c>
      <c r="F1070" s="46" t="s">
        <v>2775</v>
      </c>
    </row>
    <row r="1071">
      <c r="A1071" s="51" t="s">
        <v>27938</v>
      </c>
      <c r="B1071" s="152"/>
      <c r="C1071" s="82"/>
      <c r="D1071" s="33" t="s">
        <v>27929</v>
      </c>
      <c r="F1071" s="46" t="s">
        <v>2775</v>
      </c>
    </row>
    <row r="1072">
      <c r="A1072" s="51" t="s">
        <v>27942</v>
      </c>
      <c r="B1072" s="152"/>
      <c r="C1072" s="82"/>
      <c r="D1072" s="33" t="s">
        <v>27943</v>
      </c>
      <c r="F1072" s="46" t="s">
        <v>2775</v>
      </c>
    </row>
    <row r="1073">
      <c r="A1073" s="51" t="s">
        <v>27944</v>
      </c>
      <c r="B1073" s="152"/>
      <c r="C1073" s="82"/>
      <c r="D1073" s="33" t="s">
        <v>27934</v>
      </c>
      <c r="F1073" s="46" t="s">
        <v>2775</v>
      </c>
    </row>
    <row r="1074">
      <c r="A1074" s="51" t="s">
        <v>27945</v>
      </c>
      <c r="B1074" s="152"/>
      <c r="C1074" s="82"/>
      <c r="D1074" s="33" t="s">
        <v>27926</v>
      </c>
      <c r="F1074" s="46" t="s">
        <v>2775</v>
      </c>
    </row>
    <row r="1075">
      <c r="A1075" s="51" t="s">
        <v>27946</v>
      </c>
      <c r="B1075" s="152"/>
      <c r="C1075" s="55"/>
      <c r="D1075" s="31"/>
    </row>
    <row r="1076">
      <c r="A1076" s="51" t="s">
        <v>27949</v>
      </c>
      <c r="B1076" s="152"/>
      <c r="C1076" s="55"/>
      <c r="D1076" s="31"/>
    </row>
    <row r="1077">
      <c r="A1077" s="51" t="s">
        <v>27950</v>
      </c>
      <c r="B1077" s="152"/>
      <c r="C1077" s="55"/>
      <c r="D1077" s="31"/>
    </row>
    <row r="1078">
      <c r="A1078" s="51" t="s">
        <v>27951</v>
      </c>
      <c r="B1078" s="152"/>
      <c r="C1078" s="55"/>
      <c r="D1078" s="31"/>
    </row>
    <row r="1079">
      <c r="A1079" s="51" t="s">
        <v>27952</v>
      </c>
      <c r="B1079" s="152"/>
      <c r="C1079" s="55"/>
      <c r="D1079" s="31"/>
    </row>
    <row r="1080">
      <c r="A1080" s="51" t="s">
        <v>27953</v>
      </c>
      <c r="B1080" s="152"/>
      <c r="C1080" s="55"/>
      <c r="D1080" s="31"/>
    </row>
    <row r="1081">
      <c r="A1081" s="51" t="s">
        <v>27955</v>
      </c>
      <c r="B1081" s="152"/>
      <c r="C1081" s="55"/>
      <c r="D1081" s="31"/>
    </row>
    <row r="1082">
      <c r="A1082" s="51" t="s">
        <v>27957</v>
      </c>
      <c r="B1082" s="152"/>
      <c r="C1082" s="55"/>
      <c r="D1082" s="31"/>
    </row>
    <row r="1083">
      <c r="A1083" s="51" t="s">
        <v>27958</v>
      </c>
      <c r="B1083" s="152"/>
      <c r="C1083" s="55"/>
      <c r="D1083" s="31"/>
    </row>
    <row r="1084">
      <c r="A1084" s="51" t="s">
        <v>27959</v>
      </c>
      <c r="B1084" s="152"/>
      <c r="C1084" s="55"/>
      <c r="D1084" s="31"/>
    </row>
    <row r="1085">
      <c r="A1085" s="51" t="s">
        <v>27960</v>
      </c>
      <c r="B1085" s="152"/>
      <c r="C1085" s="55"/>
      <c r="D1085" s="31"/>
    </row>
    <row r="1086">
      <c r="A1086" s="51" t="s">
        <v>27961</v>
      </c>
      <c r="B1086" s="152"/>
      <c r="C1086" s="55"/>
      <c r="D1086" s="31"/>
    </row>
    <row r="1087">
      <c r="A1087" s="51" t="s">
        <v>27963</v>
      </c>
      <c r="B1087" s="152"/>
      <c r="C1087" s="55"/>
      <c r="D1087" s="31"/>
    </row>
    <row r="1088">
      <c r="A1088" s="51" t="s">
        <v>27965</v>
      </c>
      <c r="B1088" s="152"/>
      <c r="C1088" s="55"/>
      <c r="D1088" s="31"/>
    </row>
    <row r="1089">
      <c r="A1089" s="51" t="s">
        <v>27966</v>
      </c>
      <c r="B1089" s="152"/>
      <c r="C1089" s="55"/>
      <c r="D1089" s="31"/>
    </row>
    <row r="1090">
      <c r="A1090" s="51" t="s">
        <v>27967</v>
      </c>
      <c r="B1090" s="152"/>
      <c r="C1090" s="55"/>
      <c r="D1090" s="31"/>
    </row>
    <row r="1091">
      <c r="A1091" s="51" t="s">
        <v>27968</v>
      </c>
      <c r="B1091" s="152"/>
      <c r="C1091" s="55"/>
      <c r="D1091" s="31"/>
    </row>
    <row r="1092">
      <c r="A1092" s="51" t="s">
        <v>27969</v>
      </c>
      <c r="B1092" s="152"/>
      <c r="C1092" s="55"/>
      <c r="D1092" s="31"/>
    </row>
    <row r="1093">
      <c r="A1093" s="51" t="s">
        <v>27970</v>
      </c>
      <c r="B1093" s="152"/>
      <c r="C1093" s="55"/>
      <c r="D1093" s="31"/>
    </row>
    <row r="1094">
      <c r="A1094" s="51" t="s">
        <v>27972</v>
      </c>
      <c r="B1094" s="152"/>
      <c r="C1094" s="55"/>
      <c r="D1094" s="31"/>
    </row>
    <row r="1095">
      <c r="A1095" s="51" t="s">
        <v>27973</v>
      </c>
      <c r="B1095" s="152"/>
      <c r="C1095" s="55"/>
      <c r="D1095" s="31"/>
    </row>
    <row r="1096">
      <c r="A1096" s="51" t="s">
        <v>27974</v>
      </c>
      <c r="B1096" s="152"/>
      <c r="C1096" s="55"/>
      <c r="D1096" s="31"/>
    </row>
    <row r="1097">
      <c r="A1097" s="51" t="s">
        <v>27975</v>
      </c>
      <c r="B1097" s="152"/>
      <c r="C1097" s="55"/>
      <c r="D1097" s="31"/>
    </row>
    <row r="1098">
      <c r="A1098" s="51" t="s">
        <v>27976</v>
      </c>
      <c r="B1098" s="152"/>
      <c r="C1098" s="55"/>
      <c r="D1098" s="31"/>
    </row>
    <row r="1099">
      <c r="A1099" s="51" t="s">
        <v>27977</v>
      </c>
      <c r="B1099" s="152"/>
      <c r="C1099" s="55"/>
      <c r="D1099" s="31"/>
    </row>
    <row r="1100">
      <c r="A1100" s="51" t="s">
        <v>27979</v>
      </c>
      <c r="B1100" s="152"/>
      <c r="C1100" s="55"/>
      <c r="D1100" s="31"/>
    </row>
    <row r="1101">
      <c r="A1101" s="51" t="s">
        <v>27981</v>
      </c>
      <c r="B1101" s="152"/>
      <c r="C1101" s="55"/>
      <c r="D1101" s="31"/>
    </row>
    <row r="1102">
      <c r="A1102" s="51" t="s">
        <v>27982</v>
      </c>
      <c r="B1102" s="152"/>
      <c r="C1102" s="55"/>
      <c r="D1102" s="31"/>
    </row>
    <row r="1103">
      <c r="A1103" s="51" t="s">
        <v>27984</v>
      </c>
      <c r="B1103" s="152"/>
      <c r="C1103" s="55"/>
      <c r="D1103" s="31"/>
    </row>
    <row r="1104">
      <c r="A1104" s="51" t="s">
        <v>27985</v>
      </c>
      <c r="B1104" s="152"/>
      <c r="C1104" s="55"/>
      <c r="D1104" s="31"/>
    </row>
    <row r="1105">
      <c r="A1105" s="51" t="s">
        <v>27986</v>
      </c>
      <c r="B1105" s="152"/>
      <c r="C1105" s="55"/>
      <c r="D1105" s="31"/>
    </row>
    <row r="1106">
      <c r="A1106" s="51" t="s">
        <v>27987</v>
      </c>
      <c r="B1106" s="152"/>
      <c r="C1106" s="55"/>
      <c r="D1106" s="31"/>
    </row>
    <row r="1107">
      <c r="A1107" s="51" t="s">
        <v>27988</v>
      </c>
      <c r="B1107" s="152"/>
      <c r="C1107" s="55"/>
      <c r="D1107" s="31"/>
    </row>
    <row r="1108">
      <c r="A1108" s="51" t="s">
        <v>27989</v>
      </c>
      <c r="B1108" s="152"/>
      <c r="C1108" s="55"/>
      <c r="D1108" s="31"/>
    </row>
    <row r="1109">
      <c r="A1109" s="51" t="s">
        <v>27990</v>
      </c>
      <c r="B1109" s="152"/>
      <c r="C1109" s="55"/>
      <c r="D1109" s="31"/>
    </row>
    <row r="1110">
      <c r="A1110" s="51" t="s">
        <v>27991</v>
      </c>
      <c r="B1110" s="152"/>
      <c r="C1110" s="55"/>
      <c r="D1110" s="31"/>
    </row>
    <row r="1111">
      <c r="A1111" s="51" t="s">
        <v>27992</v>
      </c>
      <c r="B1111" s="152"/>
      <c r="C1111" s="55"/>
      <c r="D1111" s="31"/>
    </row>
    <row r="1112">
      <c r="A1112" s="51" t="s">
        <v>27995</v>
      </c>
      <c r="B1112" s="152"/>
      <c r="C1112" s="55"/>
      <c r="D1112" s="31"/>
    </row>
    <row r="1113">
      <c r="A1113" s="51" t="s">
        <v>27996</v>
      </c>
      <c r="B1113" s="152"/>
      <c r="C1113" s="55"/>
      <c r="D1113" s="31"/>
    </row>
    <row r="1114">
      <c r="A1114" s="51" t="s">
        <v>27998</v>
      </c>
      <c r="B1114" s="152"/>
      <c r="C1114" s="55"/>
      <c r="D1114" s="31"/>
    </row>
    <row r="1115">
      <c r="A1115" s="51" t="s">
        <v>27999</v>
      </c>
      <c r="B1115" s="152"/>
      <c r="C1115" s="55"/>
      <c r="D1115" s="31"/>
    </row>
    <row r="1116">
      <c r="A1116" s="51" t="s">
        <v>28000</v>
      </c>
      <c r="B1116" s="152"/>
      <c r="C1116" s="55"/>
      <c r="D1116" s="31"/>
    </row>
    <row r="1117">
      <c r="A1117" s="51" t="s">
        <v>28001</v>
      </c>
      <c r="B1117" s="152"/>
      <c r="C1117" s="55"/>
      <c r="D1117" s="31"/>
    </row>
    <row r="1118">
      <c r="A1118" s="51" t="s">
        <v>28002</v>
      </c>
      <c r="B1118" s="152"/>
      <c r="C1118" s="55"/>
      <c r="D1118" s="31"/>
    </row>
    <row r="1119">
      <c r="A1119" s="51" t="s">
        <v>28003</v>
      </c>
      <c r="B1119" s="152"/>
      <c r="C1119" s="55"/>
      <c r="D1119" s="31"/>
    </row>
    <row r="1120">
      <c r="A1120" s="51" t="s">
        <v>28004</v>
      </c>
      <c r="B1120" s="152"/>
      <c r="C1120" s="82"/>
      <c r="D1120" s="33" t="s">
        <v>28006</v>
      </c>
      <c r="F1120" s="46" t="s">
        <v>1348</v>
      </c>
    </row>
    <row r="1121">
      <c r="A1121" s="51" t="s">
        <v>28007</v>
      </c>
      <c r="B1121" s="152"/>
      <c r="C1121" s="55"/>
      <c r="D1121" s="31"/>
    </row>
    <row r="1122">
      <c r="A1122" s="51" t="s">
        <v>28008</v>
      </c>
      <c r="B1122" s="152"/>
      <c r="C1122" s="55"/>
      <c r="D1122" s="31"/>
    </row>
    <row r="1123">
      <c r="A1123" s="51" t="s">
        <v>28009</v>
      </c>
      <c r="B1123" s="152"/>
      <c r="C1123" s="55"/>
      <c r="D1123" s="31"/>
    </row>
    <row r="1124">
      <c r="A1124" s="51" t="s">
        <v>28011</v>
      </c>
      <c r="B1124" s="152"/>
      <c r="C1124" s="55"/>
      <c r="D1124" s="31"/>
    </row>
    <row r="1125">
      <c r="A1125" s="51" t="s">
        <v>28013</v>
      </c>
      <c r="B1125" s="152"/>
      <c r="C1125" s="55"/>
      <c r="D1125" s="31"/>
    </row>
    <row r="1126">
      <c r="A1126" s="51" t="s">
        <v>28016</v>
      </c>
      <c r="B1126" s="152"/>
      <c r="C1126" s="55"/>
      <c r="D1126" s="31"/>
    </row>
    <row r="1127">
      <c r="A1127" s="51" t="s">
        <v>28017</v>
      </c>
      <c r="B1127" s="152"/>
      <c r="C1127" s="55"/>
      <c r="D1127" s="31"/>
    </row>
    <row r="1128">
      <c r="A1128" s="51" t="s">
        <v>28018</v>
      </c>
      <c r="B1128" s="152"/>
      <c r="C1128" s="55"/>
      <c r="D1128" s="31"/>
    </row>
    <row r="1129">
      <c r="A1129" s="51" t="s">
        <v>28019</v>
      </c>
      <c r="B1129" s="152"/>
      <c r="C1129" s="55"/>
      <c r="D1129" s="31"/>
    </row>
    <row r="1130">
      <c r="A1130" s="51" t="s">
        <v>28020</v>
      </c>
      <c r="B1130" s="152"/>
      <c r="C1130" s="55"/>
      <c r="D1130" s="31"/>
    </row>
    <row r="1131">
      <c r="A1131" s="51" t="s">
        <v>28021</v>
      </c>
      <c r="B1131" s="152"/>
      <c r="C1131" s="55"/>
      <c r="D1131" s="31"/>
    </row>
    <row r="1132">
      <c r="A1132" s="51" t="s">
        <v>28023</v>
      </c>
      <c r="B1132" s="152"/>
      <c r="C1132" s="55"/>
      <c r="D1132" s="31"/>
    </row>
    <row r="1133">
      <c r="A1133" s="51" t="s">
        <v>28025</v>
      </c>
      <c r="B1133" s="152"/>
      <c r="C1133" s="55"/>
      <c r="D1133" s="31"/>
    </row>
    <row r="1134">
      <c r="A1134" s="51" t="s">
        <v>28026</v>
      </c>
      <c r="B1134" s="152"/>
      <c r="C1134" s="55"/>
      <c r="D1134" s="31"/>
    </row>
    <row r="1135">
      <c r="A1135" s="51" t="s">
        <v>28027</v>
      </c>
      <c r="B1135" s="152"/>
      <c r="C1135" s="55"/>
      <c r="D1135" s="31"/>
    </row>
    <row r="1136">
      <c r="A1136" s="51" t="s">
        <v>28029</v>
      </c>
      <c r="B1136" s="152"/>
      <c r="C1136" s="55"/>
      <c r="D1136" s="31"/>
    </row>
    <row r="1137">
      <c r="A1137" s="51" t="s">
        <v>28031</v>
      </c>
      <c r="B1137" s="152"/>
      <c r="C1137" s="55"/>
      <c r="D1137" s="31"/>
    </row>
    <row r="1138">
      <c r="A1138" s="51" t="s">
        <v>28032</v>
      </c>
      <c r="B1138" s="152"/>
      <c r="C1138" s="55"/>
      <c r="D1138" s="31"/>
    </row>
    <row r="1139">
      <c r="A1139" s="51" t="s">
        <v>28033</v>
      </c>
      <c r="B1139" s="152"/>
      <c r="C1139" s="55"/>
      <c r="D1139" s="31"/>
    </row>
    <row r="1140">
      <c r="A1140" s="51" t="s">
        <v>28036</v>
      </c>
      <c r="B1140" s="152"/>
      <c r="C1140" s="55"/>
      <c r="D1140" s="31"/>
    </row>
    <row r="1141">
      <c r="A1141" s="51" t="s">
        <v>28037</v>
      </c>
      <c r="B1141" s="152"/>
      <c r="C1141" s="55"/>
      <c r="D1141" s="31"/>
    </row>
    <row r="1142">
      <c r="A1142" s="51" t="s">
        <v>28038</v>
      </c>
      <c r="B1142" s="152"/>
      <c r="C1142" s="55"/>
      <c r="D1142" s="31"/>
    </row>
    <row r="1143">
      <c r="A1143" s="51" t="s">
        <v>28039</v>
      </c>
      <c r="B1143" s="152"/>
      <c r="C1143" s="55"/>
      <c r="D1143" s="31"/>
    </row>
    <row r="1144">
      <c r="A1144" s="51" t="s">
        <v>28040</v>
      </c>
      <c r="B1144" s="152"/>
      <c r="C1144" s="55"/>
      <c r="D1144" s="31"/>
    </row>
    <row r="1145">
      <c r="A1145" s="51" t="s">
        <v>28041</v>
      </c>
      <c r="B1145" s="152"/>
      <c r="C1145" s="55"/>
      <c r="D1145" s="31"/>
    </row>
    <row r="1146">
      <c r="A1146" s="51" t="s">
        <v>28042</v>
      </c>
      <c r="B1146" s="152"/>
      <c r="C1146" s="55"/>
      <c r="D1146" s="31"/>
    </row>
    <row r="1147">
      <c r="A1147" s="51" t="s">
        <v>28043</v>
      </c>
      <c r="B1147" s="152"/>
      <c r="C1147" s="55"/>
      <c r="D1147" s="31"/>
    </row>
    <row r="1148">
      <c r="A1148" s="51" t="s">
        <v>28046</v>
      </c>
      <c r="B1148" s="152"/>
      <c r="C1148" s="55"/>
      <c r="D1148" s="31"/>
    </row>
    <row r="1149">
      <c r="A1149" s="51" t="s">
        <v>28048</v>
      </c>
      <c r="B1149" s="152"/>
      <c r="C1149" s="55"/>
      <c r="D1149" s="31"/>
    </row>
    <row r="1150">
      <c r="A1150" s="51" t="s">
        <v>28049</v>
      </c>
      <c r="B1150" s="152"/>
      <c r="C1150" s="55"/>
      <c r="D1150" s="31"/>
    </row>
    <row r="1151">
      <c r="A1151" s="51" t="s">
        <v>28050</v>
      </c>
      <c r="B1151" s="152"/>
      <c r="C1151" s="55"/>
      <c r="D1151" s="31"/>
    </row>
    <row r="1152">
      <c r="A1152" s="51" t="s">
        <v>28051</v>
      </c>
      <c r="B1152" s="152"/>
      <c r="C1152" s="55"/>
      <c r="D1152" s="31"/>
    </row>
    <row r="1153">
      <c r="A1153" s="51" t="s">
        <v>28052</v>
      </c>
      <c r="B1153" s="152"/>
      <c r="C1153" s="55"/>
      <c r="D1153" s="31"/>
    </row>
    <row r="1154">
      <c r="A1154" s="51" t="s">
        <v>28053</v>
      </c>
      <c r="B1154" s="152"/>
      <c r="C1154" s="55"/>
      <c r="D1154" s="31"/>
    </row>
    <row r="1155">
      <c r="A1155" s="51" t="s">
        <v>28054</v>
      </c>
      <c r="B1155" s="152"/>
      <c r="C1155" s="55"/>
      <c r="D1155" s="31"/>
    </row>
    <row r="1156">
      <c r="A1156" s="51" t="s">
        <v>28056</v>
      </c>
      <c r="B1156" s="152"/>
      <c r="C1156" s="55"/>
      <c r="D1156" s="31"/>
    </row>
    <row r="1157">
      <c r="A1157" s="51" t="s">
        <v>28059</v>
      </c>
      <c r="B1157" s="152"/>
      <c r="C1157" s="55"/>
      <c r="D1157" s="31"/>
    </row>
    <row r="1158">
      <c r="A1158" s="51" t="s">
        <v>28060</v>
      </c>
      <c r="B1158" s="152"/>
      <c r="C1158" s="55"/>
      <c r="D1158" s="31"/>
    </row>
    <row r="1159">
      <c r="A1159" s="51" t="s">
        <v>28061</v>
      </c>
      <c r="B1159" s="152"/>
      <c r="C1159" s="55"/>
      <c r="D1159" s="31"/>
    </row>
    <row r="1160">
      <c r="A1160" s="51" t="s">
        <v>28062</v>
      </c>
      <c r="B1160" s="152"/>
      <c r="C1160" s="55"/>
      <c r="D1160" s="31"/>
    </row>
    <row r="1161">
      <c r="A1161" s="51" t="s">
        <v>28063</v>
      </c>
      <c r="B1161" s="152"/>
      <c r="C1161" s="55"/>
      <c r="D1161" s="31"/>
    </row>
    <row r="1162">
      <c r="A1162" s="51" t="s">
        <v>28065</v>
      </c>
      <c r="B1162" s="152"/>
      <c r="C1162" s="55"/>
      <c r="D1162" s="31"/>
    </row>
    <row r="1163">
      <c r="A1163" s="51" t="s">
        <v>28067</v>
      </c>
      <c r="B1163" s="152"/>
      <c r="C1163" s="55"/>
      <c r="D1163" s="31"/>
    </row>
    <row r="1164">
      <c r="A1164" s="51" t="s">
        <v>28069</v>
      </c>
      <c r="B1164" s="152"/>
      <c r="C1164" s="55"/>
      <c r="D1164" s="31"/>
    </row>
    <row r="1165">
      <c r="A1165" s="51" t="s">
        <v>28070</v>
      </c>
      <c r="B1165" s="152"/>
      <c r="C1165" s="55"/>
      <c r="D1165" s="31"/>
    </row>
    <row r="1166">
      <c r="A1166" s="51" t="s">
        <v>28071</v>
      </c>
      <c r="B1166" s="152"/>
      <c r="C1166" s="55"/>
      <c r="D1166" s="31"/>
    </row>
    <row r="1167">
      <c r="A1167" s="51" t="s">
        <v>28072</v>
      </c>
      <c r="B1167" s="152"/>
      <c r="C1167" s="55"/>
      <c r="D1167" s="31"/>
    </row>
    <row r="1168">
      <c r="A1168" s="51" t="s">
        <v>28073</v>
      </c>
      <c r="B1168" s="152"/>
      <c r="C1168" s="55"/>
      <c r="D1168" s="31"/>
    </row>
    <row r="1169">
      <c r="A1169" s="51" t="s">
        <v>28074</v>
      </c>
      <c r="B1169" s="152"/>
      <c r="C1169" s="55"/>
      <c r="D1169" s="31"/>
    </row>
    <row r="1170">
      <c r="A1170" s="51" t="s">
        <v>28075</v>
      </c>
      <c r="B1170" s="152"/>
      <c r="C1170" s="55"/>
      <c r="D1170" s="31"/>
    </row>
    <row r="1171">
      <c r="A1171" s="51" t="s">
        <v>28076</v>
      </c>
      <c r="B1171" s="152"/>
      <c r="C1171" s="55"/>
      <c r="D1171" s="31"/>
    </row>
    <row r="1172">
      <c r="A1172" s="51" t="s">
        <v>28078</v>
      </c>
      <c r="B1172" s="152"/>
      <c r="C1172" s="55"/>
      <c r="D1172" s="31"/>
    </row>
    <row r="1173">
      <c r="A1173" s="51" t="s">
        <v>28079</v>
      </c>
      <c r="B1173" s="152"/>
      <c r="C1173" s="55"/>
      <c r="D1173" s="31"/>
    </row>
    <row r="1174">
      <c r="A1174" s="51" t="s">
        <v>28080</v>
      </c>
      <c r="B1174" s="152"/>
      <c r="C1174" s="55"/>
      <c r="D1174" s="31"/>
    </row>
    <row r="1175">
      <c r="A1175" s="51" t="s">
        <v>28083</v>
      </c>
      <c r="B1175" s="152"/>
      <c r="C1175" s="55"/>
      <c r="D1175" s="31"/>
    </row>
    <row r="1176">
      <c r="A1176" s="51" t="s">
        <v>28085</v>
      </c>
      <c r="B1176" s="152"/>
      <c r="C1176" s="55"/>
      <c r="D1176" s="31"/>
    </row>
    <row r="1177">
      <c r="A1177" s="51" t="s">
        <v>28086</v>
      </c>
      <c r="B1177" s="152"/>
      <c r="C1177" s="55"/>
      <c r="D1177" s="31"/>
    </row>
    <row r="1178">
      <c r="A1178" s="51" t="s">
        <v>28087</v>
      </c>
      <c r="B1178" s="152"/>
      <c r="C1178" s="55"/>
      <c r="D1178" s="31"/>
    </row>
    <row r="1179">
      <c r="A1179" s="51" t="s">
        <v>28088</v>
      </c>
      <c r="B1179" s="152"/>
      <c r="C1179" s="55"/>
      <c r="D1179" s="31"/>
    </row>
    <row r="1180">
      <c r="A1180" s="51" t="s">
        <v>28089</v>
      </c>
      <c r="B1180" s="152"/>
      <c r="C1180" s="55"/>
      <c r="D1180" s="31"/>
    </row>
    <row r="1181">
      <c r="A1181" s="51" t="s">
        <v>28090</v>
      </c>
      <c r="B1181" s="152"/>
      <c r="C1181" s="55"/>
      <c r="D1181" s="31"/>
    </row>
    <row r="1182">
      <c r="A1182" s="51" t="s">
        <v>28091</v>
      </c>
      <c r="B1182" s="152"/>
      <c r="C1182" s="55"/>
      <c r="D1182" s="31"/>
    </row>
    <row r="1183">
      <c r="A1183" s="51" t="s">
        <v>28093</v>
      </c>
      <c r="B1183" s="152"/>
      <c r="C1183" s="55"/>
      <c r="D1183" s="31"/>
    </row>
    <row r="1184">
      <c r="A1184" s="51" t="s">
        <v>28095</v>
      </c>
      <c r="B1184" s="152"/>
      <c r="C1184" s="55"/>
      <c r="D1184" s="31"/>
    </row>
    <row r="1185">
      <c r="A1185" s="51" t="s">
        <v>28096</v>
      </c>
      <c r="B1185" s="152"/>
      <c r="C1185" s="82"/>
      <c r="D1185" s="33" t="s">
        <v>28097</v>
      </c>
      <c r="F1185" s="46" t="s">
        <v>2775</v>
      </c>
    </row>
    <row r="1186">
      <c r="A1186" s="51" t="s">
        <v>28099</v>
      </c>
      <c r="B1186" s="152"/>
      <c r="C1186" s="82"/>
      <c r="D1186" s="33" t="s">
        <v>28097</v>
      </c>
      <c r="F1186" s="46" t="s">
        <v>28101</v>
      </c>
    </row>
    <row r="1187">
      <c r="A1187" s="51" t="s">
        <v>28102</v>
      </c>
      <c r="B1187" s="152"/>
      <c r="C1187" s="55"/>
      <c r="D1187" s="31"/>
    </row>
    <row r="1188">
      <c r="A1188" s="51" t="s">
        <v>28103</v>
      </c>
      <c r="B1188" s="152"/>
      <c r="C1188" s="55"/>
      <c r="D1188" s="31"/>
    </row>
    <row r="1189">
      <c r="A1189" s="51" t="s">
        <v>28104</v>
      </c>
      <c r="B1189" s="152"/>
      <c r="C1189" s="55"/>
      <c r="D1189" s="31"/>
    </row>
    <row r="1190">
      <c r="A1190" s="51" t="s">
        <v>28105</v>
      </c>
      <c r="B1190" s="152"/>
      <c r="C1190" s="82"/>
      <c r="D1190" s="33" t="s">
        <v>28106</v>
      </c>
      <c r="F1190" s="46" t="s">
        <v>2775</v>
      </c>
    </row>
    <row r="1191">
      <c r="A1191" s="51" t="s">
        <v>28107</v>
      </c>
      <c r="B1191" s="152"/>
      <c r="C1191" s="82"/>
      <c r="D1191" s="33" t="s">
        <v>28106</v>
      </c>
      <c r="F1191" s="46" t="s">
        <v>28101</v>
      </c>
    </row>
    <row r="1192">
      <c r="A1192" s="51" t="s">
        <v>28108</v>
      </c>
      <c r="B1192" s="152"/>
      <c r="C1192" s="82"/>
      <c r="D1192" s="33" t="s">
        <v>28109</v>
      </c>
      <c r="F1192" s="46" t="s">
        <v>1348</v>
      </c>
    </row>
    <row r="1193">
      <c r="A1193" s="51" t="s">
        <v>28111</v>
      </c>
      <c r="B1193" s="152"/>
      <c r="C1193" s="82"/>
      <c r="D1193" s="33" t="s">
        <v>28109</v>
      </c>
      <c r="F1193" s="46" t="s">
        <v>1348</v>
      </c>
    </row>
    <row r="1194">
      <c r="A1194" s="51" t="s">
        <v>28112</v>
      </c>
      <c r="B1194" s="152"/>
      <c r="C1194" s="55"/>
      <c r="D1194" s="31"/>
    </row>
    <row r="1195">
      <c r="A1195" s="51" t="s">
        <v>28113</v>
      </c>
      <c r="B1195" s="152"/>
      <c r="C1195" s="55"/>
      <c r="D1195" s="31"/>
    </row>
    <row r="1196">
      <c r="A1196" s="51" t="s">
        <v>28114</v>
      </c>
      <c r="B1196" s="152"/>
      <c r="C1196" s="55"/>
      <c r="D1196" s="31"/>
    </row>
    <row r="1197">
      <c r="A1197" s="51" t="s">
        <v>28115</v>
      </c>
      <c r="B1197" s="152"/>
      <c r="C1197" s="82"/>
      <c r="D1197" s="33" t="s">
        <v>28116</v>
      </c>
      <c r="F1197" s="46" t="s">
        <v>1348</v>
      </c>
    </row>
    <row r="1198">
      <c r="A1198" s="51" t="s">
        <v>28117</v>
      </c>
      <c r="B1198" s="152"/>
      <c r="C1198" s="55"/>
      <c r="D1198" s="31"/>
    </row>
    <row r="1199">
      <c r="A1199" s="51" t="s">
        <v>28118</v>
      </c>
      <c r="B1199" s="152"/>
      <c r="C1199" s="55"/>
      <c r="D1199" s="31"/>
    </row>
    <row r="1200">
      <c r="A1200" s="51" t="s">
        <v>28120</v>
      </c>
      <c r="B1200" s="152"/>
      <c r="C1200" s="21"/>
      <c r="D1200" s="33" t="s">
        <v>28121</v>
      </c>
    </row>
    <row r="1201">
      <c r="A1201" s="51" t="s">
        <v>28122</v>
      </c>
      <c r="B1201" s="152"/>
      <c r="C1201" s="40"/>
      <c r="D1201" s="33" t="s">
        <v>28121</v>
      </c>
      <c r="F1201" s="46" t="s">
        <v>2756</v>
      </c>
    </row>
    <row r="1202">
      <c r="A1202" s="51" t="s">
        <v>28123</v>
      </c>
      <c r="B1202" s="152"/>
      <c r="C1202" s="82"/>
      <c r="D1202" s="33" t="s">
        <v>28124</v>
      </c>
      <c r="F1202" s="46" t="s">
        <v>2775</v>
      </c>
    </row>
    <row r="1203">
      <c r="A1203" s="51" t="s">
        <v>28125</v>
      </c>
      <c r="B1203" s="152"/>
      <c r="C1203" s="82"/>
      <c r="D1203" s="33" t="s">
        <v>28126</v>
      </c>
      <c r="F1203" s="46" t="s">
        <v>2775</v>
      </c>
    </row>
    <row r="1204">
      <c r="A1204" s="51" t="s">
        <v>28127</v>
      </c>
      <c r="B1204" s="152"/>
      <c r="C1204" s="82"/>
      <c r="D1204" s="33" t="s">
        <v>28128</v>
      </c>
      <c r="F1204" s="46" t="s">
        <v>2775</v>
      </c>
    </row>
    <row r="1205">
      <c r="A1205" s="51" t="s">
        <v>28129</v>
      </c>
      <c r="B1205" s="152"/>
      <c r="C1205" s="82"/>
      <c r="D1205" s="33" t="s">
        <v>28130</v>
      </c>
      <c r="F1205" s="46" t="s">
        <v>2775</v>
      </c>
    </row>
    <row r="1206">
      <c r="A1206" s="51" t="s">
        <v>28131</v>
      </c>
      <c r="B1206" s="152"/>
      <c r="C1206" s="82"/>
      <c r="D1206" s="33" t="s">
        <v>28130</v>
      </c>
      <c r="F1206" s="46" t="s">
        <v>2775</v>
      </c>
    </row>
    <row r="1207">
      <c r="A1207" s="51" t="s">
        <v>28133</v>
      </c>
      <c r="B1207" s="152"/>
      <c r="C1207" s="82"/>
      <c r="D1207" s="33" t="s">
        <v>28130</v>
      </c>
      <c r="F1207" s="46" t="s">
        <v>2775</v>
      </c>
    </row>
    <row r="1208">
      <c r="A1208" s="51" t="s">
        <v>28134</v>
      </c>
      <c r="B1208" s="152"/>
      <c r="C1208" s="82"/>
      <c r="D1208" s="33" t="s">
        <v>28130</v>
      </c>
      <c r="F1208" s="46" t="s">
        <v>2775</v>
      </c>
    </row>
    <row r="1209">
      <c r="A1209" s="51" t="s">
        <v>28135</v>
      </c>
      <c r="B1209" s="152"/>
      <c r="C1209" s="82"/>
      <c r="D1209" s="33" t="s">
        <v>28130</v>
      </c>
      <c r="F1209" s="46" t="s">
        <v>2775</v>
      </c>
    </row>
    <row r="1210">
      <c r="A1210" s="51" t="s">
        <v>28136</v>
      </c>
      <c r="B1210" s="152"/>
      <c r="C1210" s="82"/>
      <c r="D1210" s="33" t="s">
        <v>28130</v>
      </c>
      <c r="F1210" s="46" t="s">
        <v>2775</v>
      </c>
    </row>
    <row r="1211">
      <c r="A1211" s="51" t="s">
        <v>28137</v>
      </c>
      <c r="B1211" s="152"/>
      <c r="C1211" s="82"/>
      <c r="D1211" s="33" t="s">
        <v>28130</v>
      </c>
      <c r="F1211" s="46" t="s">
        <v>2775</v>
      </c>
    </row>
    <row r="1212">
      <c r="A1212" s="51" t="s">
        <v>28138</v>
      </c>
      <c r="B1212" s="152"/>
      <c r="C1212" s="82"/>
      <c r="D1212" s="33" t="s">
        <v>28140</v>
      </c>
      <c r="F1212" s="46" t="s">
        <v>2775</v>
      </c>
    </row>
    <row r="1213">
      <c r="A1213" s="51" t="s">
        <v>28141</v>
      </c>
      <c r="B1213" s="152"/>
      <c r="C1213" s="82"/>
      <c r="D1213" s="33" t="s">
        <v>28140</v>
      </c>
      <c r="F1213" s="46" t="s">
        <v>2775</v>
      </c>
    </row>
    <row r="1214">
      <c r="A1214" s="51" t="s">
        <v>28142</v>
      </c>
      <c r="B1214" s="152"/>
      <c r="C1214" s="82"/>
      <c r="D1214" s="33" t="s">
        <v>28140</v>
      </c>
      <c r="F1214" s="46" t="s">
        <v>2775</v>
      </c>
    </row>
    <row r="1215">
      <c r="A1215" s="51" t="s">
        <v>28143</v>
      </c>
      <c r="B1215" s="152"/>
      <c r="C1215" s="82"/>
      <c r="D1215" s="33" t="s">
        <v>28140</v>
      </c>
      <c r="F1215" s="46" t="s">
        <v>2775</v>
      </c>
    </row>
    <row r="1216">
      <c r="A1216" s="51" t="s">
        <v>28145</v>
      </c>
      <c r="B1216" s="152"/>
      <c r="C1216" s="82"/>
      <c r="D1216" s="33" t="s">
        <v>28140</v>
      </c>
      <c r="F1216" s="46" t="s">
        <v>2775</v>
      </c>
    </row>
    <row r="1217">
      <c r="A1217" s="51" t="s">
        <v>28146</v>
      </c>
      <c r="B1217" s="152"/>
      <c r="C1217" s="82"/>
      <c r="D1217" s="33" t="s">
        <v>28140</v>
      </c>
      <c r="F1217" s="46" t="s">
        <v>2775</v>
      </c>
    </row>
    <row r="1218">
      <c r="A1218" s="51" t="s">
        <v>28147</v>
      </c>
      <c r="B1218" s="152"/>
      <c r="C1218" s="82"/>
      <c r="D1218" s="33" t="s">
        <v>28140</v>
      </c>
      <c r="F1218" s="46" t="s">
        <v>2775</v>
      </c>
    </row>
    <row r="1219">
      <c r="A1219" s="51" t="s">
        <v>28148</v>
      </c>
      <c r="B1219" s="152"/>
      <c r="C1219" s="82"/>
      <c r="D1219" s="33" t="s">
        <v>28140</v>
      </c>
      <c r="F1219" s="46" t="s">
        <v>2775</v>
      </c>
    </row>
    <row r="1220">
      <c r="A1220" s="51" t="s">
        <v>28149</v>
      </c>
      <c r="B1220" s="152"/>
      <c r="C1220" s="82"/>
      <c r="D1220" s="33" t="s">
        <v>28140</v>
      </c>
      <c r="F1220" s="46" t="s">
        <v>2775</v>
      </c>
    </row>
    <row r="1221">
      <c r="A1221" s="51" t="s">
        <v>28150</v>
      </c>
      <c r="B1221" s="152"/>
      <c r="C1221" s="82"/>
      <c r="D1221" s="33" t="s">
        <v>28151</v>
      </c>
      <c r="F1221" s="46" t="s">
        <v>2775</v>
      </c>
    </row>
    <row r="1222">
      <c r="A1222" s="51" t="s">
        <v>28152</v>
      </c>
      <c r="B1222" s="152"/>
      <c r="C1222" s="82"/>
      <c r="D1222" s="33" t="s">
        <v>28153</v>
      </c>
      <c r="F1222" s="46" t="s">
        <v>2775</v>
      </c>
    </row>
    <row r="1223">
      <c r="A1223" s="51" t="s">
        <v>28155</v>
      </c>
      <c r="B1223" s="152"/>
      <c r="C1223" s="82"/>
      <c r="D1223" s="33" t="s">
        <v>28157</v>
      </c>
      <c r="F1223" s="46" t="s">
        <v>2775</v>
      </c>
    </row>
    <row r="1224">
      <c r="A1224" s="51" t="s">
        <v>28158</v>
      </c>
      <c r="B1224" s="152"/>
      <c r="C1224" s="82"/>
      <c r="D1224" s="33" t="s">
        <v>28151</v>
      </c>
      <c r="F1224" s="46" t="s">
        <v>2775</v>
      </c>
    </row>
    <row r="1225">
      <c r="A1225" s="51" t="s">
        <v>28159</v>
      </c>
      <c r="B1225" s="152"/>
      <c r="C1225" s="82"/>
      <c r="D1225" s="33" t="s">
        <v>28153</v>
      </c>
      <c r="F1225" s="46" t="s">
        <v>2775</v>
      </c>
    </row>
    <row r="1226">
      <c r="A1226" s="51" t="s">
        <v>28160</v>
      </c>
      <c r="B1226" s="152"/>
      <c r="C1226" s="82"/>
      <c r="D1226" s="33" t="s">
        <v>28157</v>
      </c>
      <c r="F1226" s="46" t="s">
        <v>2775</v>
      </c>
    </row>
    <row r="1227">
      <c r="A1227" s="51" t="s">
        <v>28161</v>
      </c>
      <c r="B1227" s="152"/>
      <c r="C1227" s="82"/>
      <c r="D1227" s="33" t="s">
        <v>28162</v>
      </c>
      <c r="F1227" s="46" t="s">
        <v>2775</v>
      </c>
    </row>
    <row r="1228">
      <c r="A1228" s="51" t="s">
        <v>28163</v>
      </c>
      <c r="B1228" s="152"/>
      <c r="C1228" s="82"/>
      <c r="D1228" s="33" t="s">
        <v>28164</v>
      </c>
      <c r="F1228" s="46" t="s">
        <v>2775</v>
      </c>
    </row>
    <row r="1229">
      <c r="A1229" s="51" t="s">
        <v>28165</v>
      </c>
      <c r="B1229" s="152"/>
      <c r="C1229" s="82"/>
      <c r="D1229" s="33" t="s">
        <v>28166</v>
      </c>
      <c r="F1229" s="46" t="s">
        <v>2775</v>
      </c>
    </row>
    <row r="1230">
      <c r="A1230" s="51" t="s">
        <v>28167</v>
      </c>
      <c r="B1230" s="152"/>
      <c r="C1230" s="82"/>
      <c r="D1230" s="33" t="s">
        <v>28168</v>
      </c>
      <c r="F1230" s="46" t="s">
        <v>2775</v>
      </c>
    </row>
    <row r="1231">
      <c r="A1231" s="51" t="s">
        <v>28170</v>
      </c>
      <c r="B1231" s="152"/>
      <c r="C1231" s="82"/>
      <c r="D1231" s="33" t="s">
        <v>28171</v>
      </c>
      <c r="F1231" s="46" t="s">
        <v>2775</v>
      </c>
    </row>
    <row r="1232">
      <c r="A1232" s="51" t="s">
        <v>28172</v>
      </c>
      <c r="B1232" s="152"/>
      <c r="C1232" s="82"/>
      <c r="D1232" s="33" t="s">
        <v>28171</v>
      </c>
      <c r="F1232" s="46" t="s">
        <v>2775</v>
      </c>
    </row>
    <row r="1233">
      <c r="A1233" s="51" t="s">
        <v>28173</v>
      </c>
      <c r="B1233" s="152"/>
      <c r="C1233" s="82"/>
      <c r="D1233" s="33" t="s">
        <v>28171</v>
      </c>
      <c r="F1233" s="46" t="s">
        <v>2775</v>
      </c>
    </row>
    <row r="1234">
      <c r="A1234" s="51" t="s">
        <v>28174</v>
      </c>
      <c r="B1234" s="152"/>
      <c r="C1234" s="82"/>
      <c r="D1234" s="33" t="s">
        <v>28171</v>
      </c>
      <c r="F1234" s="46" t="s">
        <v>2775</v>
      </c>
    </row>
    <row r="1235">
      <c r="A1235" s="51" t="s">
        <v>28175</v>
      </c>
      <c r="B1235" s="152"/>
      <c r="C1235" s="82"/>
      <c r="D1235" s="33" t="s">
        <v>28176</v>
      </c>
      <c r="F1235" s="46" t="s">
        <v>2775</v>
      </c>
    </row>
    <row r="1236">
      <c r="A1236" s="51" t="s">
        <v>28177</v>
      </c>
      <c r="B1236" s="152"/>
      <c r="C1236" s="82"/>
      <c r="D1236" s="33" t="s">
        <v>28166</v>
      </c>
      <c r="F1236" s="46" t="s">
        <v>2775</v>
      </c>
    </row>
    <row r="1237">
      <c r="A1237" s="51" t="s">
        <v>28178</v>
      </c>
      <c r="B1237" s="152"/>
      <c r="C1237" s="82"/>
      <c r="D1237" s="33" t="s">
        <v>28168</v>
      </c>
      <c r="F1237" s="46" t="s">
        <v>2775</v>
      </c>
    </row>
    <row r="1238">
      <c r="A1238" s="51" t="s">
        <v>28179</v>
      </c>
      <c r="B1238" s="152"/>
      <c r="C1238" s="21"/>
      <c r="D1238" s="33" t="s">
        <v>28121</v>
      </c>
    </row>
    <row r="1239">
      <c r="A1239" s="51" t="s">
        <v>28181</v>
      </c>
      <c r="B1239" s="152"/>
      <c r="C1239" s="40"/>
      <c r="D1239" s="33" t="s">
        <v>28121</v>
      </c>
      <c r="F1239" s="46" t="s">
        <v>2756</v>
      </c>
    </row>
    <row r="1240">
      <c r="A1240" s="51" t="s">
        <v>28182</v>
      </c>
      <c r="B1240" s="152"/>
      <c r="C1240" s="82"/>
      <c r="D1240" s="33" t="s">
        <v>28126</v>
      </c>
      <c r="F1240" s="46" t="s">
        <v>2775</v>
      </c>
    </row>
    <row r="1241">
      <c r="A1241" s="51" t="s">
        <v>28183</v>
      </c>
      <c r="B1241" s="152"/>
      <c r="C1241" s="82"/>
      <c r="D1241" s="33" t="s">
        <v>28184</v>
      </c>
      <c r="F1241" s="46" t="s">
        <v>2775</v>
      </c>
    </row>
    <row r="1242">
      <c r="A1242" s="51" t="s">
        <v>28185</v>
      </c>
      <c r="B1242" s="152"/>
      <c r="C1242" s="82"/>
      <c r="D1242" s="33" t="s">
        <v>28128</v>
      </c>
      <c r="F1242" s="46" t="s">
        <v>2775</v>
      </c>
    </row>
    <row r="1243">
      <c r="A1243" s="51" t="s">
        <v>28186</v>
      </c>
      <c r="B1243" s="152"/>
      <c r="C1243" s="82"/>
      <c r="D1243" s="33" t="s">
        <v>28187</v>
      </c>
      <c r="F1243" s="46" t="s">
        <v>2775</v>
      </c>
    </row>
    <row r="1244">
      <c r="A1244" s="51" t="s">
        <v>28188</v>
      </c>
      <c r="B1244" s="152"/>
      <c r="C1244" s="82"/>
      <c r="D1244" s="33" t="s">
        <v>28187</v>
      </c>
      <c r="F1244" s="46" t="s">
        <v>2775</v>
      </c>
    </row>
    <row r="1245">
      <c r="A1245" s="51" t="s">
        <v>28190</v>
      </c>
      <c r="B1245" s="152"/>
      <c r="C1245" s="82"/>
      <c r="D1245" s="33" t="s">
        <v>28187</v>
      </c>
      <c r="F1245" s="46" t="s">
        <v>2775</v>
      </c>
    </row>
    <row r="1246">
      <c r="A1246" s="51" t="s">
        <v>28191</v>
      </c>
      <c r="B1246" s="152"/>
      <c r="C1246" s="82"/>
      <c r="D1246" s="33" t="s">
        <v>28187</v>
      </c>
      <c r="F1246" s="46" t="s">
        <v>2775</v>
      </c>
    </row>
    <row r="1247">
      <c r="A1247" s="51" t="s">
        <v>28192</v>
      </c>
      <c r="B1247" s="152"/>
      <c r="C1247" s="82"/>
      <c r="D1247" s="33" t="s">
        <v>28187</v>
      </c>
      <c r="F1247" s="46" t="s">
        <v>2775</v>
      </c>
    </row>
    <row r="1248">
      <c r="A1248" s="51" t="s">
        <v>28193</v>
      </c>
      <c r="B1248" s="152"/>
      <c r="C1248" s="82"/>
      <c r="D1248" s="33" t="s">
        <v>28187</v>
      </c>
      <c r="F1248" s="46" t="s">
        <v>2775</v>
      </c>
    </row>
    <row r="1249">
      <c r="A1249" s="51" t="s">
        <v>28194</v>
      </c>
      <c r="B1249" s="152"/>
      <c r="C1249" s="82"/>
      <c r="D1249" s="33" t="s">
        <v>28187</v>
      </c>
      <c r="F1249" s="46" t="s">
        <v>2775</v>
      </c>
    </row>
    <row r="1250">
      <c r="A1250" s="51" t="s">
        <v>28196</v>
      </c>
      <c r="B1250" s="152"/>
      <c r="C1250" s="82"/>
      <c r="D1250" s="33" t="s">
        <v>28187</v>
      </c>
      <c r="F1250" s="46" t="s">
        <v>2775</v>
      </c>
    </row>
    <row r="1251">
      <c r="A1251" s="51" t="s">
        <v>28197</v>
      </c>
      <c r="B1251" s="152"/>
      <c r="C1251" s="82"/>
      <c r="D1251" s="33" t="s">
        <v>28140</v>
      </c>
      <c r="F1251" s="46" t="s">
        <v>2775</v>
      </c>
    </row>
    <row r="1252">
      <c r="A1252" s="51" t="s">
        <v>28198</v>
      </c>
      <c r="B1252" s="152"/>
      <c r="C1252" s="82"/>
      <c r="D1252" s="33" t="s">
        <v>28140</v>
      </c>
      <c r="F1252" s="46" t="s">
        <v>2775</v>
      </c>
    </row>
    <row r="1253">
      <c r="A1253" s="51" t="s">
        <v>28199</v>
      </c>
      <c r="B1253" s="152"/>
      <c r="C1253" s="82"/>
      <c r="D1253" s="33" t="s">
        <v>28140</v>
      </c>
      <c r="F1253" s="46" t="s">
        <v>2775</v>
      </c>
    </row>
    <row r="1254">
      <c r="A1254" s="51" t="s">
        <v>28201</v>
      </c>
      <c r="B1254" s="152"/>
      <c r="C1254" s="82"/>
      <c r="D1254" s="33" t="s">
        <v>28140</v>
      </c>
      <c r="F1254" s="46" t="s">
        <v>2775</v>
      </c>
    </row>
    <row r="1255">
      <c r="A1255" s="51" t="s">
        <v>28202</v>
      </c>
      <c r="B1255" s="152"/>
      <c r="C1255" s="82"/>
      <c r="D1255" s="33" t="s">
        <v>28124</v>
      </c>
      <c r="F1255" s="46" t="s">
        <v>2775</v>
      </c>
    </row>
    <row r="1256">
      <c r="A1256" s="51" t="s">
        <v>28203</v>
      </c>
      <c r="B1256" s="152"/>
      <c r="C1256" s="82"/>
      <c r="D1256" s="33" t="s">
        <v>28204</v>
      </c>
      <c r="F1256" s="46" t="s">
        <v>2775</v>
      </c>
    </row>
    <row r="1257">
      <c r="A1257" s="51" t="s">
        <v>28205</v>
      </c>
      <c r="B1257" s="152"/>
      <c r="C1257" s="82"/>
      <c r="D1257" s="33" t="s">
        <v>28204</v>
      </c>
      <c r="F1257" s="46" t="s">
        <v>2775</v>
      </c>
    </row>
    <row r="1258">
      <c r="A1258" s="51" t="s">
        <v>28206</v>
      </c>
      <c r="B1258" s="152"/>
      <c r="C1258" s="82"/>
      <c r="D1258" s="33" t="s">
        <v>28176</v>
      </c>
      <c r="F1258" s="46" t="s">
        <v>2775</v>
      </c>
    </row>
    <row r="1259">
      <c r="A1259" s="51" t="s">
        <v>28207</v>
      </c>
      <c r="B1259" s="152"/>
      <c r="C1259" s="82"/>
      <c r="D1259" s="33" t="s">
        <v>28166</v>
      </c>
      <c r="F1259" s="46" t="s">
        <v>2775</v>
      </c>
    </row>
    <row r="1260">
      <c r="A1260" s="51" t="s">
        <v>28208</v>
      </c>
      <c r="B1260" s="152"/>
      <c r="C1260" s="82"/>
      <c r="D1260" s="33" t="s">
        <v>28168</v>
      </c>
      <c r="F1260" s="46" t="s">
        <v>2775</v>
      </c>
    </row>
    <row r="1261">
      <c r="A1261" s="51" t="s">
        <v>28210</v>
      </c>
      <c r="B1261" s="152"/>
      <c r="C1261" s="82"/>
      <c r="D1261" s="33" t="s">
        <v>28211</v>
      </c>
      <c r="F1261" s="46" t="s">
        <v>2775</v>
      </c>
    </row>
    <row r="1262">
      <c r="A1262" s="51" t="s">
        <v>28212</v>
      </c>
      <c r="B1262" s="152"/>
      <c r="C1262" s="82"/>
      <c r="D1262" s="33" t="s">
        <v>28213</v>
      </c>
      <c r="F1262" s="46" t="s">
        <v>2775</v>
      </c>
    </row>
    <row r="1263">
      <c r="A1263" s="51" t="s">
        <v>28214</v>
      </c>
      <c r="B1263" s="152"/>
      <c r="C1263" s="82"/>
      <c r="D1263" s="33" t="s">
        <v>28213</v>
      </c>
      <c r="F1263" s="46" t="s">
        <v>2775</v>
      </c>
    </row>
    <row r="1264">
      <c r="A1264" s="51" t="s">
        <v>28216</v>
      </c>
      <c r="B1264" s="152"/>
      <c r="C1264" s="82"/>
      <c r="D1264" s="33" t="s">
        <v>28217</v>
      </c>
      <c r="F1264" s="46" t="s">
        <v>2775</v>
      </c>
    </row>
    <row r="1265">
      <c r="A1265" s="51" t="s">
        <v>28218</v>
      </c>
      <c r="B1265" s="152"/>
      <c r="C1265" s="82"/>
      <c r="D1265" s="33" t="s">
        <v>28166</v>
      </c>
      <c r="F1265" s="46" t="s">
        <v>2775</v>
      </c>
    </row>
    <row r="1266">
      <c r="A1266" s="51" t="s">
        <v>28219</v>
      </c>
      <c r="B1266" s="152"/>
      <c r="C1266" s="82"/>
      <c r="D1266" s="33" t="s">
        <v>28168</v>
      </c>
      <c r="F1266" s="46" t="s">
        <v>2775</v>
      </c>
    </row>
    <row r="1267">
      <c r="A1267" s="51" t="s">
        <v>28220</v>
      </c>
      <c r="B1267" s="152"/>
      <c r="C1267" s="82"/>
      <c r="D1267" s="33" t="s">
        <v>28211</v>
      </c>
      <c r="F1267" s="46" t="s">
        <v>2775</v>
      </c>
    </row>
    <row r="1268">
      <c r="A1268" s="51" t="s">
        <v>28222</v>
      </c>
      <c r="B1268" s="152"/>
      <c r="C1268" s="82"/>
      <c r="D1268" s="33" t="s">
        <v>28223</v>
      </c>
      <c r="F1268" s="46" t="s">
        <v>2775</v>
      </c>
    </row>
    <row r="1269">
      <c r="A1269" s="51" t="s">
        <v>28224</v>
      </c>
      <c r="B1269" s="152"/>
      <c r="C1269" s="82"/>
      <c r="D1269" s="33" t="s">
        <v>28151</v>
      </c>
      <c r="F1269" s="46" t="s">
        <v>2775</v>
      </c>
    </row>
    <row r="1270">
      <c r="A1270" s="51" t="s">
        <v>28225</v>
      </c>
      <c r="B1270" s="152"/>
      <c r="C1270" s="82"/>
      <c r="D1270" s="33" t="s">
        <v>28153</v>
      </c>
      <c r="F1270" s="46" t="s">
        <v>2775</v>
      </c>
    </row>
    <row r="1271">
      <c r="A1271" s="51" t="s">
        <v>28226</v>
      </c>
      <c r="B1271" s="152"/>
      <c r="C1271" s="82"/>
      <c r="D1271" s="33" t="s">
        <v>28157</v>
      </c>
      <c r="F1271" s="46" t="s">
        <v>2775</v>
      </c>
    </row>
    <row r="1272">
      <c r="A1272" s="51" t="s">
        <v>28227</v>
      </c>
      <c r="B1272" s="152"/>
      <c r="C1272" s="82"/>
      <c r="D1272" s="33" t="s">
        <v>28223</v>
      </c>
      <c r="F1272" s="46" t="s">
        <v>2775</v>
      </c>
    </row>
    <row r="1273">
      <c r="A1273" s="51" t="s">
        <v>28228</v>
      </c>
      <c r="B1273" s="152"/>
      <c r="C1273" s="82"/>
      <c r="D1273" s="33" t="s">
        <v>28151</v>
      </c>
      <c r="F1273" s="46" t="s">
        <v>2775</v>
      </c>
    </row>
    <row r="1274">
      <c r="A1274" s="51" t="s">
        <v>28229</v>
      </c>
      <c r="B1274" s="152"/>
      <c r="C1274" s="82"/>
      <c r="D1274" s="33" t="s">
        <v>28153</v>
      </c>
      <c r="F1274" s="46" t="s">
        <v>2775</v>
      </c>
    </row>
    <row r="1275">
      <c r="A1275" s="51" t="s">
        <v>28231</v>
      </c>
      <c r="B1275" s="152"/>
      <c r="C1275" s="82"/>
      <c r="D1275" s="33" t="s">
        <v>28157</v>
      </c>
      <c r="F1275" s="46" t="s">
        <v>2775</v>
      </c>
    </row>
    <row r="1276">
      <c r="A1276" s="51" t="s">
        <v>28232</v>
      </c>
      <c r="B1276" s="152"/>
      <c r="C1276" s="82"/>
      <c r="D1276" s="33" t="s">
        <v>28233</v>
      </c>
      <c r="F1276" s="46" t="s">
        <v>2775</v>
      </c>
    </row>
    <row r="1277">
      <c r="A1277" s="51" t="s">
        <v>28234</v>
      </c>
      <c r="B1277" s="152"/>
      <c r="C1277" s="21"/>
      <c r="D1277" s="33" t="s">
        <v>28121</v>
      </c>
    </row>
    <row r="1278">
      <c r="A1278" s="51" t="s">
        <v>28235</v>
      </c>
      <c r="B1278" s="152"/>
      <c r="C1278" s="40"/>
      <c r="D1278" s="33" t="s">
        <v>28121</v>
      </c>
      <c r="F1278" s="46" t="s">
        <v>2756</v>
      </c>
    </row>
    <row r="1279">
      <c r="A1279" s="51" t="s">
        <v>28236</v>
      </c>
      <c r="B1279" s="152"/>
      <c r="C1279" s="82"/>
      <c r="D1279" s="33" t="s">
        <v>28124</v>
      </c>
      <c r="F1279" s="46" t="s">
        <v>2775</v>
      </c>
    </row>
    <row r="1280">
      <c r="A1280" s="51" t="s">
        <v>28237</v>
      </c>
      <c r="B1280" s="152"/>
      <c r="C1280" s="82"/>
      <c r="D1280" s="33" t="s">
        <v>28126</v>
      </c>
      <c r="F1280" s="46" t="s">
        <v>2775</v>
      </c>
    </row>
    <row r="1281">
      <c r="A1281" s="51" t="s">
        <v>28238</v>
      </c>
      <c r="B1281" s="152"/>
      <c r="C1281" s="82"/>
      <c r="D1281" s="33" t="s">
        <v>28128</v>
      </c>
      <c r="F1281" s="46" t="s">
        <v>2775</v>
      </c>
    </row>
    <row r="1282">
      <c r="A1282" s="51" t="s">
        <v>28240</v>
      </c>
      <c r="B1282" s="152"/>
      <c r="C1282" s="82"/>
      <c r="D1282" s="33" t="s">
        <v>28140</v>
      </c>
      <c r="F1282" s="46" t="s">
        <v>2775</v>
      </c>
    </row>
    <row r="1283">
      <c r="A1283" s="51" t="s">
        <v>28241</v>
      </c>
      <c r="B1283" s="152"/>
      <c r="C1283" s="82"/>
      <c r="D1283" s="33" t="s">
        <v>28140</v>
      </c>
      <c r="F1283" s="46" t="s">
        <v>2775</v>
      </c>
    </row>
    <row r="1284">
      <c r="A1284" s="51" t="s">
        <v>28242</v>
      </c>
      <c r="B1284" s="152"/>
      <c r="C1284" s="82"/>
      <c r="D1284" s="33" t="s">
        <v>28140</v>
      </c>
      <c r="F1284" s="46" t="s">
        <v>2775</v>
      </c>
    </row>
    <row r="1285">
      <c r="A1285" s="51" t="s">
        <v>28243</v>
      </c>
      <c r="B1285" s="152"/>
      <c r="C1285" s="82"/>
      <c r="D1285" s="33" t="s">
        <v>28140</v>
      </c>
      <c r="F1285" s="46" t="s">
        <v>2775</v>
      </c>
    </row>
    <row r="1286">
      <c r="A1286" s="51" t="s">
        <v>28244</v>
      </c>
      <c r="B1286" s="152"/>
      <c r="C1286" s="82"/>
      <c r="D1286" s="33" t="s">
        <v>28140</v>
      </c>
      <c r="F1286" s="46" t="s">
        <v>2775</v>
      </c>
    </row>
    <row r="1287">
      <c r="A1287" s="51" t="s">
        <v>28245</v>
      </c>
      <c r="B1287" s="152"/>
      <c r="C1287" s="82"/>
      <c r="D1287" s="33" t="s">
        <v>28140</v>
      </c>
      <c r="F1287" s="46" t="s">
        <v>2775</v>
      </c>
    </row>
    <row r="1288">
      <c r="A1288" s="51" t="s">
        <v>28247</v>
      </c>
      <c r="B1288" s="152"/>
      <c r="C1288" s="82"/>
      <c r="D1288" s="33" t="s">
        <v>28140</v>
      </c>
      <c r="F1288" s="46" t="s">
        <v>2775</v>
      </c>
    </row>
    <row r="1289">
      <c r="A1289" s="51" t="s">
        <v>28248</v>
      </c>
      <c r="B1289" s="152"/>
      <c r="C1289" s="82"/>
      <c r="D1289" s="33" t="s">
        <v>28140</v>
      </c>
      <c r="F1289" s="46" t="s">
        <v>2775</v>
      </c>
    </row>
    <row r="1290">
      <c r="A1290" s="51" t="s">
        <v>28249</v>
      </c>
      <c r="B1290" s="152"/>
      <c r="C1290" s="82"/>
      <c r="D1290" s="33" t="s">
        <v>28140</v>
      </c>
      <c r="F1290" s="46" t="s">
        <v>2775</v>
      </c>
    </row>
    <row r="1291">
      <c r="A1291" s="51" t="s">
        <v>28250</v>
      </c>
      <c r="B1291" s="152"/>
      <c r="C1291" s="82"/>
      <c r="D1291" s="33" t="s">
        <v>28140</v>
      </c>
      <c r="F1291" s="46" t="s">
        <v>2775</v>
      </c>
    </row>
    <row r="1292">
      <c r="A1292" s="51" t="s">
        <v>28251</v>
      </c>
      <c r="B1292" s="152"/>
      <c r="C1292" s="82"/>
      <c r="D1292" s="33" t="s">
        <v>28140</v>
      </c>
      <c r="F1292" s="46" t="s">
        <v>2775</v>
      </c>
    </row>
    <row r="1293">
      <c r="A1293" s="51" t="s">
        <v>28252</v>
      </c>
      <c r="B1293" s="152"/>
      <c r="C1293" s="82"/>
      <c r="D1293" s="33" t="s">
        <v>28140</v>
      </c>
      <c r="F1293" s="46" t="s">
        <v>2775</v>
      </c>
    </row>
    <row r="1294">
      <c r="A1294" s="51" t="s">
        <v>28254</v>
      </c>
      <c r="B1294" s="152"/>
      <c r="C1294" s="82"/>
      <c r="D1294" s="33" t="s">
        <v>28151</v>
      </c>
      <c r="F1294" s="46" t="s">
        <v>2775</v>
      </c>
    </row>
    <row r="1295">
      <c r="A1295" s="51" t="s">
        <v>28255</v>
      </c>
      <c r="B1295" s="152"/>
      <c r="C1295" s="82"/>
      <c r="D1295" s="33" t="s">
        <v>28153</v>
      </c>
      <c r="F1295" s="46" t="s">
        <v>2775</v>
      </c>
    </row>
    <row r="1296">
      <c r="A1296" s="51" t="s">
        <v>28256</v>
      </c>
      <c r="B1296" s="152"/>
      <c r="C1296" s="82"/>
      <c r="D1296" s="33" t="s">
        <v>28157</v>
      </c>
      <c r="F1296" s="46" t="s">
        <v>2775</v>
      </c>
    </row>
    <row r="1297">
      <c r="A1297" s="51" t="s">
        <v>28257</v>
      </c>
      <c r="B1297" s="152"/>
      <c r="C1297" s="82"/>
      <c r="D1297" s="33" t="s">
        <v>28151</v>
      </c>
      <c r="F1297" s="46" t="s">
        <v>2775</v>
      </c>
    </row>
    <row r="1298">
      <c r="A1298" s="51" t="s">
        <v>28258</v>
      </c>
      <c r="B1298" s="152"/>
      <c r="C1298" s="82"/>
      <c r="D1298" s="33" t="s">
        <v>28153</v>
      </c>
      <c r="F1298" s="46" t="s">
        <v>2775</v>
      </c>
    </row>
    <row r="1299">
      <c r="A1299" s="51" t="s">
        <v>28259</v>
      </c>
      <c r="B1299" s="152"/>
      <c r="C1299" s="82"/>
      <c r="D1299" s="33" t="s">
        <v>28157</v>
      </c>
      <c r="F1299" s="46" t="s">
        <v>2775</v>
      </c>
    </row>
    <row r="1300">
      <c r="A1300" s="51" t="s">
        <v>28260</v>
      </c>
      <c r="B1300" s="152"/>
      <c r="C1300" s="82"/>
      <c r="D1300" s="33" t="s">
        <v>28261</v>
      </c>
      <c r="F1300" s="46" t="s">
        <v>2775</v>
      </c>
    </row>
    <row r="1301">
      <c r="A1301" s="51" t="s">
        <v>28263</v>
      </c>
      <c r="B1301" s="152"/>
      <c r="C1301" s="82"/>
      <c r="D1301" s="33" t="s">
        <v>28264</v>
      </c>
      <c r="F1301" s="46" t="s">
        <v>2775</v>
      </c>
    </row>
    <row r="1302">
      <c r="A1302" s="51" t="s">
        <v>28265</v>
      </c>
      <c r="B1302" s="152"/>
      <c r="C1302" s="82"/>
      <c r="D1302" s="33" t="s">
        <v>28266</v>
      </c>
      <c r="F1302" s="46" t="s">
        <v>2775</v>
      </c>
    </row>
    <row r="1303">
      <c r="A1303" s="51" t="s">
        <v>28267</v>
      </c>
      <c r="B1303" s="152"/>
      <c r="C1303" s="82"/>
      <c r="D1303" s="33" t="s">
        <v>28168</v>
      </c>
      <c r="F1303" s="46" t="s">
        <v>2775</v>
      </c>
    </row>
    <row r="1304">
      <c r="A1304" s="51" t="s">
        <v>28268</v>
      </c>
      <c r="B1304" s="152"/>
      <c r="C1304" s="82"/>
      <c r="D1304" s="33" t="s">
        <v>28264</v>
      </c>
      <c r="F1304" s="46" t="s">
        <v>2775</v>
      </c>
    </row>
    <row r="1305">
      <c r="A1305" s="51" t="s">
        <v>28269</v>
      </c>
      <c r="B1305" s="152"/>
      <c r="C1305" s="82"/>
      <c r="D1305" s="33" t="s">
        <v>28266</v>
      </c>
      <c r="F1305" s="46" t="s">
        <v>2775</v>
      </c>
    </row>
    <row r="1306">
      <c r="A1306" s="51" t="s">
        <v>28270</v>
      </c>
      <c r="B1306" s="152"/>
      <c r="C1306" s="82"/>
      <c r="D1306" s="33" t="s">
        <v>28168</v>
      </c>
      <c r="F1306" s="46" t="s">
        <v>2775</v>
      </c>
    </row>
    <row r="1307">
      <c r="A1307" s="51" t="s">
        <v>28271</v>
      </c>
      <c r="B1307" s="152"/>
      <c r="C1307" s="82"/>
      <c r="D1307" s="33" t="s">
        <v>28272</v>
      </c>
      <c r="F1307" s="46" t="s">
        <v>2775</v>
      </c>
    </row>
    <row r="1308">
      <c r="A1308" s="51" t="s">
        <v>28274</v>
      </c>
      <c r="B1308" s="152"/>
      <c r="C1308" s="82"/>
      <c r="D1308" s="33" t="s">
        <v>28272</v>
      </c>
      <c r="F1308" s="46" t="s">
        <v>2775</v>
      </c>
    </row>
    <row r="1309">
      <c r="A1309" s="51" t="s">
        <v>28275</v>
      </c>
      <c r="B1309" s="152"/>
      <c r="C1309" s="21"/>
      <c r="D1309" s="33" t="s">
        <v>28121</v>
      </c>
    </row>
    <row r="1310">
      <c r="A1310" s="51" t="s">
        <v>28276</v>
      </c>
      <c r="B1310" s="152"/>
      <c r="C1310" s="40"/>
      <c r="D1310" s="33" t="s">
        <v>28121</v>
      </c>
      <c r="F1310" s="46" t="s">
        <v>2756</v>
      </c>
    </row>
    <row r="1311">
      <c r="A1311" s="51" t="s">
        <v>28277</v>
      </c>
      <c r="B1311" s="152"/>
      <c r="C1311" s="82"/>
      <c r="D1311" s="33" t="s">
        <v>28126</v>
      </c>
      <c r="F1311" s="46" t="s">
        <v>2775</v>
      </c>
    </row>
    <row r="1312">
      <c r="A1312" s="51" t="s">
        <v>28278</v>
      </c>
      <c r="B1312" s="152"/>
      <c r="C1312" s="82"/>
      <c r="D1312" s="33" t="s">
        <v>28128</v>
      </c>
      <c r="F1312" s="46" t="s">
        <v>2775</v>
      </c>
    </row>
    <row r="1313">
      <c r="A1313" s="51" t="s">
        <v>28279</v>
      </c>
      <c r="B1313" s="152"/>
      <c r="C1313" s="82"/>
      <c r="D1313" s="33" t="s">
        <v>28140</v>
      </c>
      <c r="F1313" s="46" t="s">
        <v>2775</v>
      </c>
    </row>
    <row r="1314">
      <c r="A1314" s="51" t="s">
        <v>28281</v>
      </c>
      <c r="B1314" s="152"/>
      <c r="C1314" s="82"/>
      <c r="D1314" s="33" t="s">
        <v>28140</v>
      </c>
      <c r="F1314" s="46" t="s">
        <v>2775</v>
      </c>
    </row>
    <row r="1315">
      <c r="A1315" s="51" t="s">
        <v>28282</v>
      </c>
      <c r="B1315" s="152"/>
      <c r="C1315" s="82"/>
      <c r="D1315" s="33" t="s">
        <v>28140</v>
      </c>
      <c r="F1315" s="46" t="s">
        <v>2775</v>
      </c>
    </row>
    <row r="1316">
      <c r="A1316" s="51" t="s">
        <v>28283</v>
      </c>
      <c r="B1316" s="152"/>
      <c r="C1316" s="82"/>
      <c r="D1316" s="33" t="s">
        <v>28140</v>
      </c>
      <c r="F1316" s="46" t="s">
        <v>2775</v>
      </c>
    </row>
    <row r="1317">
      <c r="A1317" s="51" t="s">
        <v>28284</v>
      </c>
      <c r="B1317" s="152"/>
      <c r="C1317" s="82"/>
      <c r="D1317" s="33" t="s">
        <v>28124</v>
      </c>
      <c r="F1317" s="46" t="s">
        <v>2775</v>
      </c>
    </row>
    <row r="1318">
      <c r="A1318" s="51" t="s">
        <v>28285</v>
      </c>
      <c r="B1318" s="152"/>
      <c r="C1318" s="82"/>
      <c r="D1318" s="33" t="s">
        <v>28204</v>
      </c>
      <c r="F1318" s="46" t="s">
        <v>2775</v>
      </c>
    </row>
    <row r="1319">
      <c r="A1319" s="51" t="s">
        <v>28286</v>
      </c>
      <c r="B1319" s="152"/>
      <c r="C1319" s="82"/>
      <c r="D1319" s="33" t="s">
        <v>28204</v>
      </c>
      <c r="F1319" s="46" t="s">
        <v>2775</v>
      </c>
    </row>
    <row r="1320">
      <c r="A1320" s="51" t="s">
        <v>28288</v>
      </c>
      <c r="B1320" s="152"/>
      <c r="C1320" s="82"/>
      <c r="D1320" s="33" t="s">
        <v>28204</v>
      </c>
      <c r="F1320" s="46" t="s">
        <v>2775</v>
      </c>
    </row>
    <row r="1321">
      <c r="A1321" s="51" t="s">
        <v>28289</v>
      </c>
      <c r="B1321" s="152"/>
      <c r="C1321" s="82"/>
      <c r="D1321" s="33" t="s">
        <v>28164</v>
      </c>
      <c r="F1321" s="46" t="s">
        <v>2775</v>
      </c>
    </row>
    <row r="1322">
      <c r="A1322" s="51" t="s">
        <v>28290</v>
      </c>
      <c r="B1322" s="152"/>
      <c r="C1322" s="82"/>
      <c r="D1322" s="33" t="s">
        <v>28166</v>
      </c>
      <c r="F1322" s="46" t="s">
        <v>2775</v>
      </c>
    </row>
    <row r="1323">
      <c r="A1323" s="51" t="s">
        <v>28291</v>
      </c>
      <c r="B1323" s="152"/>
      <c r="C1323" s="82"/>
      <c r="D1323" s="33" t="s">
        <v>28168</v>
      </c>
      <c r="F1323" s="46" t="s">
        <v>2775</v>
      </c>
    </row>
    <row r="1324">
      <c r="A1324" s="51" t="s">
        <v>28292</v>
      </c>
      <c r="B1324" s="152"/>
      <c r="C1324" s="82"/>
      <c r="D1324" s="33" t="s">
        <v>28211</v>
      </c>
      <c r="F1324" s="46" t="s">
        <v>2775</v>
      </c>
    </row>
    <row r="1325">
      <c r="A1325" s="51" t="s">
        <v>28294</v>
      </c>
      <c r="B1325" s="152"/>
      <c r="C1325" s="82"/>
      <c r="D1325" s="33" t="s">
        <v>28164</v>
      </c>
      <c r="F1325" s="46" t="s">
        <v>2775</v>
      </c>
    </row>
    <row r="1326">
      <c r="A1326" s="51" t="s">
        <v>28295</v>
      </c>
      <c r="B1326" s="152"/>
      <c r="C1326" s="82"/>
      <c r="D1326" s="33" t="s">
        <v>28166</v>
      </c>
      <c r="F1326" s="46" t="s">
        <v>2775</v>
      </c>
    </row>
    <row r="1327">
      <c r="A1327" s="51" t="s">
        <v>28296</v>
      </c>
      <c r="B1327" s="152"/>
      <c r="C1327" s="82"/>
      <c r="D1327" s="33" t="s">
        <v>28168</v>
      </c>
      <c r="F1327" s="46" t="s">
        <v>2775</v>
      </c>
    </row>
    <row r="1328">
      <c r="A1328" s="51" t="s">
        <v>28297</v>
      </c>
      <c r="B1328" s="152"/>
      <c r="C1328" s="82"/>
      <c r="D1328" s="33" t="s">
        <v>28211</v>
      </c>
      <c r="F1328" s="46" t="s">
        <v>2775</v>
      </c>
    </row>
    <row r="1329">
      <c r="A1329" s="51" t="s">
        <v>28298</v>
      </c>
      <c r="B1329" s="152"/>
      <c r="C1329" s="82"/>
      <c r="D1329" s="33" t="s">
        <v>28213</v>
      </c>
      <c r="F1329" s="46" t="s">
        <v>2775</v>
      </c>
    </row>
    <row r="1330">
      <c r="A1330" s="51" t="s">
        <v>28300</v>
      </c>
      <c r="B1330" s="152"/>
      <c r="C1330" s="82"/>
      <c r="D1330" s="33" t="s">
        <v>28213</v>
      </c>
      <c r="F1330" s="46" t="s">
        <v>2775</v>
      </c>
    </row>
    <row r="1331">
      <c r="A1331" s="51" t="s">
        <v>28301</v>
      </c>
      <c r="B1331" s="152"/>
      <c r="C1331" s="82"/>
      <c r="D1331" s="33" t="s">
        <v>28223</v>
      </c>
      <c r="F1331" s="46" t="s">
        <v>2775</v>
      </c>
    </row>
    <row r="1332">
      <c r="A1332" s="51" t="s">
        <v>28302</v>
      </c>
      <c r="B1332" s="152"/>
      <c r="C1332" s="82"/>
      <c r="D1332" s="33" t="s">
        <v>28151</v>
      </c>
      <c r="F1332" s="46" t="s">
        <v>2775</v>
      </c>
    </row>
    <row r="1333">
      <c r="A1333" s="51" t="s">
        <v>28303</v>
      </c>
      <c r="B1333" s="152"/>
      <c r="C1333" s="82"/>
      <c r="D1333" s="33" t="s">
        <v>28153</v>
      </c>
      <c r="F1333" s="46" t="s">
        <v>2775</v>
      </c>
    </row>
    <row r="1334">
      <c r="A1334" s="51" t="s">
        <v>28304</v>
      </c>
      <c r="B1334" s="152"/>
      <c r="C1334" s="82"/>
      <c r="D1334" s="33" t="s">
        <v>28157</v>
      </c>
      <c r="F1334" s="46" t="s">
        <v>2775</v>
      </c>
    </row>
    <row r="1335">
      <c r="A1335" s="51" t="s">
        <v>28305</v>
      </c>
      <c r="B1335" s="152"/>
      <c r="C1335" s="82"/>
      <c r="D1335" s="33" t="s">
        <v>28223</v>
      </c>
      <c r="F1335" s="46" t="s">
        <v>2775</v>
      </c>
    </row>
    <row r="1336">
      <c r="A1336" s="51" t="s">
        <v>28306</v>
      </c>
      <c r="B1336" s="152"/>
      <c r="C1336" s="82"/>
      <c r="D1336" s="33" t="s">
        <v>28151</v>
      </c>
      <c r="F1336" s="46" t="s">
        <v>2775</v>
      </c>
    </row>
    <row r="1337">
      <c r="A1337" s="51" t="s">
        <v>28307</v>
      </c>
      <c r="B1337" s="152"/>
      <c r="C1337" s="82"/>
      <c r="D1337" s="33" t="s">
        <v>28153</v>
      </c>
      <c r="F1337" s="46" t="s">
        <v>2775</v>
      </c>
    </row>
    <row r="1338">
      <c r="A1338" s="51" t="s">
        <v>28309</v>
      </c>
      <c r="B1338" s="152"/>
      <c r="C1338" s="82"/>
      <c r="D1338" s="33" t="s">
        <v>28157</v>
      </c>
      <c r="F1338" s="46" t="s">
        <v>2775</v>
      </c>
    </row>
    <row r="1339">
      <c r="A1339" s="51" t="s">
        <v>28310</v>
      </c>
      <c r="B1339" s="152"/>
      <c r="C1339" s="82"/>
      <c r="D1339" s="33" t="s">
        <v>28311</v>
      </c>
      <c r="F1339" s="46" t="s">
        <v>2775</v>
      </c>
    </row>
    <row r="1340">
      <c r="A1340" s="51" t="s">
        <v>28312</v>
      </c>
      <c r="B1340" s="152"/>
      <c r="C1340" s="21"/>
      <c r="D1340" s="33" t="s">
        <v>28121</v>
      </c>
    </row>
    <row r="1341">
      <c r="A1341" s="51" t="s">
        <v>28313</v>
      </c>
      <c r="B1341" s="152"/>
      <c r="C1341" s="40"/>
      <c r="D1341" s="33" t="s">
        <v>28121</v>
      </c>
      <c r="F1341" s="46" t="s">
        <v>2756</v>
      </c>
      <c r="G1341" s="46" t="s">
        <v>28314</v>
      </c>
    </row>
    <row r="1342">
      <c r="A1342" s="51" t="s">
        <v>28315</v>
      </c>
      <c r="B1342" s="152"/>
      <c r="C1342" s="82"/>
      <c r="D1342" s="33" t="s">
        <v>28124</v>
      </c>
      <c r="F1342" s="46" t="s">
        <v>2775</v>
      </c>
    </row>
    <row r="1343">
      <c r="A1343" s="51" t="s">
        <v>28316</v>
      </c>
      <c r="B1343" s="152"/>
      <c r="C1343" s="82"/>
      <c r="D1343" s="33" t="s">
        <v>28126</v>
      </c>
      <c r="F1343" s="46" t="s">
        <v>2775</v>
      </c>
    </row>
    <row r="1344">
      <c r="A1344" s="51" t="s">
        <v>28317</v>
      </c>
      <c r="B1344" s="152"/>
      <c r="C1344" s="82"/>
      <c r="D1344" s="33" t="s">
        <v>28128</v>
      </c>
      <c r="F1344" s="46" t="s">
        <v>2775</v>
      </c>
    </row>
    <row r="1345">
      <c r="A1345" s="51" t="s">
        <v>28318</v>
      </c>
      <c r="B1345" s="152"/>
      <c r="C1345" s="82"/>
      <c r="D1345" s="33" t="s">
        <v>28130</v>
      </c>
      <c r="F1345" s="46" t="s">
        <v>2775</v>
      </c>
    </row>
    <row r="1346">
      <c r="A1346" s="51" t="s">
        <v>28320</v>
      </c>
      <c r="B1346" s="152"/>
      <c r="C1346" s="82"/>
      <c r="D1346" s="33" t="s">
        <v>28130</v>
      </c>
      <c r="F1346" s="46" t="s">
        <v>2775</v>
      </c>
    </row>
    <row r="1347">
      <c r="A1347" s="51" t="s">
        <v>28321</v>
      </c>
      <c r="B1347" s="152"/>
      <c r="C1347" s="82"/>
      <c r="D1347" s="33" t="s">
        <v>28130</v>
      </c>
      <c r="F1347" s="46" t="s">
        <v>2775</v>
      </c>
    </row>
    <row r="1348">
      <c r="A1348" s="51" t="s">
        <v>28322</v>
      </c>
      <c r="B1348" s="152"/>
      <c r="C1348" s="82"/>
      <c r="D1348" s="33" t="s">
        <v>28130</v>
      </c>
      <c r="F1348" s="46" t="s">
        <v>2775</v>
      </c>
    </row>
    <row r="1349">
      <c r="A1349" s="51" t="s">
        <v>28323</v>
      </c>
      <c r="B1349" s="152"/>
      <c r="C1349" s="82"/>
      <c r="D1349" s="33" t="s">
        <v>28130</v>
      </c>
      <c r="F1349" s="46" t="s">
        <v>2775</v>
      </c>
    </row>
    <row r="1350">
      <c r="A1350" s="51" t="s">
        <v>28324</v>
      </c>
      <c r="B1350" s="152"/>
      <c r="C1350" s="82"/>
      <c r="D1350" s="33" t="s">
        <v>28130</v>
      </c>
      <c r="F1350" s="46" t="s">
        <v>2775</v>
      </c>
    </row>
    <row r="1351">
      <c r="A1351" s="51" t="s">
        <v>28325</v>
      </c>
      <c r="B1351" s="152"/>
      <c r="C1351" s="82"/>
      <c r="D1351" s="33" t="s">
        <v>28130</v>
      </c>
      <c r="F1351" s="46" t="s">
        <v>2775</v>
      </c>
    </row>
    <row r="1352">
      <c r="A1352" s="51" t="s">
        <v>28326</v>
      </c>
      <c r="B1352" s="152"/>
      <c r="C1352" s="82"/>
      <c r="D1352" s="33" t="s">
        <v>28140</v>
      </c>
      <c r="F1352" s="46" t="s">
        <v>2775</v>
      </c>
    </row>
    <row r="1353">
      <c r="A1353" s="51" t="s">
        <v>28327</v>
      </c>
      <c r="B1353" s="152"/>
      <c r="C1353" s="82"/>
      <c r="D1353" s="33" t="s">
        <v>28140</v>
      </c>
      <c r="F1353" s="46" t="s">
        <v>2775</v>
      </c>
    </row>
    <row r="1354">
      <c r="A1354" s="51" t="s">
        <v>28329</v>
      </c>
      <c r="B1354" s="152"/>
      <c r="C1354" s="82"/>
      <c r="D1354" s="33" t="s">
        <v>28140</v>
      </c>
      <c r="F1354" s="46" t="s">
        <v>2775</v>
      </c>
    </row>
    <row r="1355">
      <c r="A1355" s="51" t="s">
        <v>28330</v>
      </c>
      <c r="B1355" s="152"/>
      <c r="C1355" s="82"/>
      <c r="D1355" s="33" t="s">
        <v>28140</v>
      </c>
      <c r="F1355" s="46" t="s">
        <v>2775</v>
      </c>
    </row>
    <row r="1356">
      <c r="A1356" s="51" t="s">
        <v>28333</v>
      </c>
      <c r="B1356" s="152"/>
      <c r="C1356" s="82"/>
      <c r="D1356" s="33" t="s">
        <v>28140</v>
      </c>
      <c r="F1356" s="46" t="s">
        <v>2775</v>
      </c>
    </row>
    <row r="1357">
      <c r="A1357" s="51" t="s">
        <v>28334</v>
      </c>
      <c r="B1357" s="152"/>
      <c r="C1357" s="82"/>
      <c r="D1357" s="33" t="s">
        <v>28140</v>
      </c>
      <c r="F1357" s="46" t="s">
        <v>2775</v>
      </c>
    </row>
    <row r="1358">
      <c r="A1358" s="51" t="s">
        <v>28335</v>
      </c>
      <c r="B1358" s="152"/>
      <c r="C1358" s="82"/>
      <c r="D1358" s="33" t="s">
        <v>28140</v>
      </c>
      <c r="F1358" s="46" t="s">
        <v>2775</v>
      </c>
    </row>
    <row r="1359">
      <c r="A1359" s="51" t="s">
        <v>28336</v>
      </c>
      <c r="B1359" s="152"/>
      <c r="C1359" s="82"/>
      <c r="D1359" s="33" t="s">
        <v>28140</v>
      </c>
      <c r="F1359" s="46" t="s">
        <v>2775</v>
      </c>
    </row>
    <row r="1360">
      <c r="A1360" s="51" t="s">
        <v>28337</v>
      </c>
      <c r="B1360" s="152"/>
      <c r="C1360" s="82"/>
      <c r="D1360" s="33" t="s">
        <v>28140</v>
      </c>
      <c r="F1360" s="46" t="s">
        <v>2775</v>
      </c>
    </row>
    <row r="1361">
      <c r="A1361" s="51" t="s">
        <v>28338</v>
      </c>
      <c r="B1361" s="152"/>
      <c r="C1361" s="82"/>
      <c r="D1361" s="33" t="s">
        <v>28151</v>
      </c>
      <c r="F1361" s="46" t="s">
        <v>2775</v>
      </c>
    </row>
    <row r="1362">
      <c r="A1362" s="51" t="s">
        <v>28339</v>
      </c>
      <c r="B1362" s="152"/>
      <c r="C1362" s="82"/>
      <c r="D1362" s="33" t="s">
        <v>28153</v>
      </c>
      <c r="F1362" s="46" t="s">
        <v>2775</v>
      </c>
    </row>
    <row r="1363">
      <c r="A1363" s="51" t="s">
        <v>28342</v>
      </c>
      <c r="B1363" s="152"/>
      <c r="C1363" s="82"/>
      <c r="D1363" s="33" t="s">
        <v>28157</v>
      </c>
      <c r="F1363" s="46" t="s">
        <v>2775</v>
      </c>
    </row>
    <row r="1364">
      <c r="A1364" s="51" t="s">
        <v>28343</v>
      </c>
      <c r="B1364" s="152"/>
      <c r="C1364" s="82"/>
      <c r="D1364" s="33" t="s">
        <v>28151</v>
      </c>
      <c r="F1364" s="46" t="s">
        <v>2775</v>
      </c>
    </row>
    <row r="1365">
      <c r="A1365" s="51" t="s">
        <v>28346</v>
      </c>
      <c r="B1365" s="152"/>
      <c r="C1365" s="82"/>
      <c r="D1365" s="33" t="s">
        <v>28153</v>
      </c>
      <c r="F1365" s="46" t="s">
        <v>2775</v>
      </c>
    </row>
    <row r="1366">
      <c r="A1366" s="51" t="s">
        <v>28347</v>
      </c>
      <c r="B1366" s="152"/>
      <c r="C1366" s="82"/>
      <c r="D1366" s="33" t="s">
        <v>28157</v>
      </c>
      <c r="F1366" s="46" t="s">
        <v>2775</v>
      </c>
    </row>
    <row r="1367">
      <c r="A1367" s="51" t="s">
        <v>28350</v>
      </c>
      <c r="B1367" s="152"/>
      <c r="C1367" s="82"/>
      <c r="D1367" s="33" t="s">
        <v>28162</v>
      </c>
      <c r="F1367" s="46" t="s">
        <v>2775</v>
      </c>
    </row>
    <row r="1368">
      <c r="A1368" s="51" t="s">
        <v>28352</v>
      </c>
      <c r="B1368" s="152"/>
      <c r="C1368" s="82"/>
      <c r="D1368" s="33" t="s">
        <v>28164</v>
      </c>
      <c r="F1368" s="46" t="s">
        <v>2775</v>
      </c>
    </row>
    <row r="1369">
      <c r="A1369" s="51" t="s">
        <v>28353</v>
      </c>
      <c r="B1369" s="152"/>
      <c r="C1369" s="82"/>
      <c r="D1369" s="33" t="s">
        <v>28166</v>
      </c>
      <c r="F1369" s="46" t="s">
        <v>2775</v>
      </c>
    </row>
    <row r="1370">
      <c r="A1370" s="51" t="s">
        <v>28355</v>
      </c>
      <c r="B1370" s="152"/>
      <c r="C1370" s="82"/>
      <c r="D1370" s="33" t="s">
        <v>28168</v>
      </c>
      <c r="F1370" s="46" t="s">
        <v>2775</v>
      </c>
    </row>
    <row r="1371">
      <c r="A1371" s="51" t="s">
        <v>28358</v>
      </c>
      <c r="B1371" s="152"/>
      <c r="C1371" s="82"/>
      <c r="D1371" s="33" t="s">
        <v>28171</v>
      </c>
      <c r="F1371" s="46" t="s">
        <v>2775</v>
      </c>
    </row>
    <row r="1372">
      <c r="A1372" s="51" t="s">
        <v>28360</v>
      </c>
      <c r="B1372" s="152"/>
      <c r="C1372" s="82"/>
      <c r="D1372" s="33" t="s">
        <v>28171</v>
      </c>
      <c r="F1372" s="46" t="s">
        <v>2775</v>
      </c>
    </row>
    <row r="1373">
      <c r="A1373" s="51" t="s">
        <v>28361</v>
      </c>
      <c r="B1373" s="152"/>
      <c r="C1373" s="82"/>
      <c r="D1373" s="33" t="s">
        <v>28171</v>
      </c>
      <c r="F1373" s="46" t="s">
        <v>2775</v>
      </c>
    </row>
    <row r="1374">
      <c r="A1374" s="51" t="s">
        <v>28363</v>
      </c>
      <c r="B1374" s="152"/>
      <c r="C1374" s="82"/>
      <c r="D1374" s="33" t="s">
        <v>28171</v>
      </c>
      <c r="F1374" s="46" t="s">
        <v>2775</v>
      </c>
    </row>
    <row r="1375">
      <c r="A1375" s="51" t="s">
        <v>28365</v>
      </c>
      <c r="B1375" s="152"/>
      <c r="C1375" s="82"/>
      <c r="D1375" s="33" t="s">
        <v>28176</v>
      </c>
      <c r="F1375" s="46" t="s">
        <v>2775</v>
      </c>
    </row>
    <row r="1376">
      <c r="A1376" s="51" t="s">
        <v>28367</v>
      </c>
      <c r="B1376" s="152"/>
      <c r="C1376" s="82"/>
      <c r="D1376" s="33" t="s">
        <v>28166</v>
      </c>
      <c r="F1376" s="46" t="s">
        <v>2775</v>
      </c>
    </row>
    <row r="1377">
      <c r="A1377" s="51" t="s">
        <v>28369</v>
      </c>
      <c r="B1377" s="152"/>
      <c r="C1377" s="82"/>
      <c r="D1377" s="33" t="s">
        <v>28168</v>
      </c>
      <c r="F1377" s="46" t="s">
        <v>2775</v>
      </c>
    </row>
    <row r="1378">
      <c r="A1378" s="51" t="s">
        <v>28371</v>
      </c>
      <c r="B1378" s="152"/>
      <c r="C1378" s="21"/>
      <c r="D1378" s="33" t="s">
        <v>28121</v>
      </c>
    </row>
    <row r="1379">
      <c r="A1379" s="51" t="s">
        <v>28373</v>
      </c>
      <c r="B1379" s="152"/>
      <c r="C1379" s="40"/>
      <c r="D1379" s="33" t="s">
        <v>28121</v>
      </c>
      <c r="F1379" s="46" t="s">
        <v>2756</v>
      </c>
      <c r="G1379" s="46" t="s">
        <v>28375</v>
      </c>
    </row>
    <row r="1380">
      <c r="A1380" s="51" t="s">
        <v>28376</v>
      </c>
      <c r="B1380" s="152"/>
      <c r="C1380" s="82"/>
      <c r="D1380" s="33" t="s">
        <v>28126</v>
      </c>
      <c r="F1380" s="46" t="s">
        <v>2775</v>
      </c>
    </row>
    <row r="1381">
      <c r="A1381" s="51" t="s">
        <v>28377</v>
      </c>
      <c r="B1381" s="152"/>
      <c r="C1381" s="82"/>
      <c r="D1381" s="33" t="s">
        <v>28128</v>
      </c>
      <c r="F1381" s="46" t="s">
        <v>2775</v>
      </c>
    </row>
    <row r="1382">
      <c r="A1382" s="51" t="s">
        <v>28379</v>
      </c>
      <c r="B1382" s="152"/>
      <c r="C1382" s="82"/>
      <c r="D1382" s="33" t="s">
        <v>28140</v>
      </c>
      <c r="F1382" s="46" t="s">
        <v>2775</v>
      </c>
    </row>
    <row r="1383">
      <c r="A1383" s="51" t="s">
        <v>28380</v>
      </c>
      <c r="B1383" s="152"/>
      <c r="C1383" s="82"/>
      <c r="D1383" s="33" t="s">
        <v>28140</v>
      </c>
      <c r="F1383" s="46" t="s">
        <v>2775</v>
      </c>
    </row>
    <row r="1384">
      <c r="A1384" s="51" t="s">
        <v>28381</v>
      </c>
      <c r="B1384" s="152"/>
      <c r="C1384" s="82"/>
      <c r="D1384" s="33" t="s">
        <v>28140</v>
      </c>
      <c r="F1384" s="46" t="s">
        <v>2775</v>
      </c>
    </row>
    <row r="1385">
      <c r="A1385" s="51" t="s">
        <v>28383</v>
      </c>
      <c r="B1385" s="152"/>
      <c r="C1385" s="82"/>
      <c r="D1385" s="33" t="s">
        <v>28140</v>
      </c>
      <c r="F1385" s="46" t="s">
        <v>2775</v>
      </c>
    </row>
    <row r="1386">
      <c r="A1386" s="51" t="s">
        <v>28385</v>
      </c>
      <c r="B1386" s="152"/>
      <c r="C1386" s="82"/>
      <c r="D1386" s="33" t="s">
        <v>28124</v>
      </c>
      <c r="F1386" s="46" t="s">
        <v>2775</v>
      </c>
    </row>
    <row r="1387">
      <c r="A1387" s="51" t="s">
        <v>28387</v>
      </c>
      <c r="B1387" s="152"/>
      <c r="C1387" s="82"/>
      <c r="D1387" s="33" t="s">
        <v>28204</v>
      </c>
      <c r="F1387" s="46" t="s">
        <v>2775</v>
      </c>
    </row>
    <row r="1388">
      <c r="A1388" s="51" t="s">
        <v>28389</v>
      </c>
      <c r="B1388" s="152"/>
      <c r="C1388" s="82"/>
      <c r="D1388" s="33" t="s">
        <v>28204</v>
      </c>
      <c r="F1388" s="46" t="s">
        <v>2775</v>
      </c>
    </row>
    <row r="1389">
      <c r="A1389" s="51" t="s">
        <v>28391</v>
      </c>
      <c r="B1389" s="152"/>
      <c r="C1389" s="82"/>
      <c r="D1389" s="33" t="s">
        <v>28204</v>
      </c>
      <c r="F1389" s="46" t="s">
        <v>2775</v>
      </c>
    </row>
    <row r="1390">
      <c r="A1390" s="51" t="s">
        <v>28393</v>
      </c>
      <c r="B1390" s="152"/>
      <c r="C1390" s="82"/>
      <c r="D1390" s="33" t="s">
        <v>28164</v>
      </c>
      <c r="F1390" s="46" t="s">
        <v>2775</v>
      </c>
    </row>
    <row r="1391">
      <c r="A1391" s="51" t="s">
        <v>28394</v>
      </c>
      <c r="B1391" s="152"/>
      <c r="C1391" s="82"/>
      <c r="D1391" s="33" t="s">
        <v>28166</v>
      </c>
      <c r="F1391" s="46" t="s">
        <v>2775</v>
      </c>
    </row>
    <row r="1392">
      <c r="A1392" s="51" t="s">
        <v>28397</v>
      </c>
      <c r="B1392" s="152"/>
      <c r="C1392" s="82"/>
      <c r="D1392" s="33" t="s">
        <v>28168</v>
      </c>
      <c r="F1392" s="46" t="s">
        <v>2775</v>
      </c>
    </row>
    <row r="1393">
      <c r="A1393" s="51" t="s">
        <v>28400</v>
      </c>
      <c r="B1393" s="152"/>
      <c r="C1393" s="82"/>
      <c r="D1393" s="33" t="s">
        <v>28211</v>
      </c>
      <c r="F1393" s="46" t="s">
        <v>2775</v>
      </c>
    </row>
    <row r="1394">
      <c r="A1394" s="51" t="s">
        <v>28401</v>
      </c>
      <c r="B1394" s="152"/>
      <c r="C1394" s="82"/>
      <c r="D1394" s="33" t="s">
        <v>28164</v>
      </c>
      <c r="F1394" s="46" t="s">
        <v>2775</v>
      </c>
    </row>
    <row r="1395">
      <c r="A1395" s="51" t="s">
        <v>28403</v>
      </c>
      <c r="B1395" s="152"/>
      <c r="C1395" s="82"/>
      <c r="D1395" s="33" t="s">
        <v>28166</v>
      </c>
      <c r="F1395" s="46" t="s">
        <v>2775</v>
      </c>
    </row>
    <row r="1396">
      <c r="A1396" s="51" t="s">
        <v>28405</v>
      </c>
      <c r="B1396" s="152"/>
      <c r="C1396" s="82"/>
      <c r="D1396" s="33" t="s">
        <v>28168</v>
      </c>
      <c r="F1396" s="46" t="s">
        <v>2775</v>
      </c>
    </row>
    <row r="1397">
      <c r="A1397" s="51" t="s">
        <v>28406</v>
      </c>
      <c r="B1397" s="152"/>
      <c r="C1397" s="82"/>
      <c r="D1397" s="33" t="s">
        <v>28211</v>
      </c>
      <c r="F1397" s="46" t="s">
        <v>2775</v>
      </c>
    </row>
    <row r="1398">
      <c r="A1398" s="51" t="s">
        <v>28408</v>
      </c>
      <c r="B1398" s="152"/>
      <c r="C1398" s="82"/>
      <c r="D1398" s="33" t="s">
        <v>28213</v>
      </c>
      <c r="F1398" s="46" t="s">
        <v>2775</v>
      </c>
    </row>
    <row r="1399">
      <c r="A1399" s="51" t="s">
        <v>28411</v>
      </c>
      <c r="B1399" s="152"/>
      <c r="C1399" s="82"/>
      <c r="D1399" s="33" t="s">
        <v>28213</v>
      </c>
      <c r="F1399" s="46" t="s">
        <v>2775</v>
      </c>
    </row>
    <row r="1400">
      <c r="A1400" s="51" t="s">
        <v>28413</v>
      </c>
      <c r="B1400" s="152"/>
      <c r="C1400" s="82"/>
      <c r="D1400" s="33" t="s">
        <v>28223</v>
      </c>
      <c r="F1400" s="46" t="s">
        <v>2775</v>
      </c>
    </row>
    <row r="1401">
      <c r="A1401" s="51" t="s">
        <v>28414</v>
      </c>
      <c r="B1401" s="152"/>
      <c r="C1401" s="82"/>
      <c r="D1401" s="33" t="s">
        <v>28151</v>
      </c>
      <c r="F1401" s="46" t="s">
        <v>2775</v>
      </c>
    </row>
    <row r="1402">
      <c r="A1402" s="51" t="s">
        <v>28416</v>
      </c>
      <c r="B1402" s="152"/>
      <c r="C1402" s="82"/>
      <c r="D1402" s="33" t="s">
        <v>28153</v>
      </c>
      <c r="F1402" s="46" t="s">
        <v>2775</v>
      </c>
    </row>
    <row r="1403">
      <c r="A1403" s="51" t="s">
        <v>28419</v>
      </c>
      <c r="B1403" s="152"/>
      <c r="C1403" s="82"/>
      <c r="D1403" s="33" t="s">
        <v>28157</v>
      </c>
      <c r="F1403" s="46" t="s">
        <v>2775</v>
      </c>
    </row>
    <row r="1404">
      <c r="A1404" s="51" t="s">
        <v>28420</v>
      </c>
      <c r="B1404" s="152"/>
      <c r="C1404" s="82"/>
      <c r="D1404" s="33" t="s">
        <v>28223</v>
      </c>
      <c r="F1404" s="46" t="s">
        <v>2775</v>
      </c>
    </row>
    <row r="1405">
      <c r="A1405" s="51" t="s">
        <v>28422</v>
      </c>
      <c r="B1405" s="152"/>
      <c r="C1405" s="82"/>
      <c r="D1405" s="33" t="s">
        <v>28151</v>
      </c>
      <c r="F1405" s="46" t="s">
        <v>2775</v>
      </c>
    </row>
    <row r="1406">
      <c r="A1406" s="51" t="s">
        <v>28424</v>
      </c>
      <c r="B1406" s="152"/>
      <c r="C1406" s="82"/>
      <c r="D1406" s="33" t="s">
        <v>28153</v>
      </c>
      <c r="F1406" s="46" t="s">
        <v>2775</v>
      </c>
    </row>
    <row r="1407">
      <c r="A1407" s="51" t="s">
        <v>28428</v>
      </c>
      <c r="B1407" s="152"/>
      <c r="C1407" s="82"/>
      <c r="D1407" s="33" t="s">
        <v>28157</v>
      </c>
      <c r="F1407" s="46" t="s">
        <v>2775</v>
      </c>
    </row>
    <row r="1408">
      <c r="A1408" s="51" t="s">
        <v>28430</v>
      </c>
      <c r="B1408" s="152"/>
      <c r="C1408" s="82"/>
      <c r="D1408" s="33" t="s">
        <v>28431</v>
      </c>
      <c r="F1408" s="46" t="s">
        <v>2775</v>
      </c>
    </row>
    <row r="1409">
      <c r="A1409" s="51" t="s">
        <v>28433</v>
      </c>
      <c r="B1409" s="152"/>
      <c r="C1409" s="21"/>
      <c r="D1409" s="33" t="s">
        <v>28121</v>
      </c>
    </row>
    <row r="1410">
      <c r="A1410" s="51" t="s">
        <v>28434</v>
      </c>
      <c r="B1410" s="152"/>
      <c r="C1410" s="40"/>
      <c r="D1410" s="33" t="s">
        <v>28121</v>
      </c>
      <c r="F1410" s="46" t="s">
        <v>2756</v>
      </c>
      <c r="G1410" s="46" t="s">
        <v>28436</v>
      </c>
    </row>
    <row r="1411">
      <c r="A1411" s="51" t="s">
        <v>28437</v>
      </c>
      <c r="B1411" s="152"/>
      <c r="C1411" s="82"/>
      <c r="D1411" s="33" t="s">
        <v>28124</v>
      </c>
      <c r="F1411" s="46" t="s">
        <v>2775</v>
      </c>
    </row>
    <row r="1412">
      <c r="A1412" s="51" t="s">
        <v>28440</v>
      </c>
      <c r="B1412" s="152"/>
      <c r="C1412" s="82"/>
      <c r="D1412" s="33" t="s">
        <v>28126</v>
      </c>
      <c r="F1412" s="46" t="s">
        <v>2775</v>
      </c>
    </row>
    <row r="1413">
      <c r="A1413" s="51" t="s">
        <v>28442</v>
      </c>
      <c r="B1413" s="152"/>
      <c r="C1413" s="82"/>
      <c r="D1413" s="33" t="s">
        <v>28128</v>
      </c>
      <c r="F1413" s="46" t="s">
        <v>2775</v>
      </c>
    </row>
    <row r="1414">
      <c r="A1414" s="51" t="s">
        <v>28443</v>
      </c>
      <c r="B1414" s="152"/>
      <c r="C1414" s="82"/>
      <c r="D1414" s="33" t="s">
        <v>28140</v>
      </c>
      <c r="F1414" s="46" t="s">
        <v>2775</v>
      </c>
    </row>
    <row r="1415">
      <c r="A1415" s="51" t="s">
        <v>28447</v>
      </c>
      <c r="B1415" s="152"/>
      <c r="C1415" s="82"/>
      <c r="D1415" s="33" t="s">
        <v>28140</v>
      </c>
      <c r="F1415" s="46" t="s">
        <v>2775</v>
      </c>
    </row>
    <row r="1416">
      <c r="A1416" s="51" t="s">
        <v>28450</v>
      </c>
      <c r="B1416" s="152"/>
      <c r="C1416" s="82"/>
      <c r="D1416" s="33" t="s">
        <v>28140</v>
      </c>
      <c r="F1416" s="46" t="s">
        <v>2775</v>
      </c>
    </row>
    <row r="1417">
      <c r="A1417" s="51" t="s">
        <v>28451</v>
      </c>
      <c r="B1417" s="152"/>
      <c r="C1417" s="82"/>
      <c r="D1417" s="33" t="s">
        <v>28140</v>
      </c>
      <c r="F1417" s="46" t="s">
        <v>2775</v>
      </c>
    </row>
    <row r="1418">
      <c r="A1418" s="51" t="s">
        <v>28453</v>
      </c>
      <c r="B1418" s="152"/>
      <c r="C1418" s="82"/>
      <c r="D1418" s="33" t="s">
        <v>28140</v>
      </c>
      <c r="F1418" s="46" t="s">
        <v>2775</v>
      </c>
    </row>
    <row r="1419">
      <c r="A1419" s="51" t="s">
        <v>28455</v>
      </c>
      <c r="B1419" s="152"/>
      <c r="C1419" s="82"/>
      <c r="D1419" s="33" t="s">
        <v>28140</v>
      </c>
      <c r="F1419" s="46" t="s">
        <v>2775</v>
      </c>
    </row>
    <row r="1420">
      <c r="A1420" s="51" t="s">
        <v>28457</v>
      </c>
      <c r="B1420" s="152"/>
      <c r="C1420" s="82"/>
      <c r="D1420" s="33" t="s">
        <v>28140</v>
      </c>
      <c r="F1420" s="46" t="s">
        <v>2775</v>
      </c>
    </row>
    <row r="1421">
      <c r="A1421" s="51" t="s">
        <v>28458</v>
      </c>
      <c r="B1421" s="152"/>
      <c r="C1421" s="82"/>
      <c r="D1421" s="33" t="s">
        <v>28140</v>
      </c>
      <c r="F1421" s="46" t="s">
        <v>2775</v>
      </c>
    </row>
    <row r="1422">
      <c r="A1422" s="51" t="s">
        <v>28462</v>
      </c>
      <c r="B1422" s="152"/>
      <c r="C1422" s="82"/>
      <c r="D1422" s="33" t="s">
        <v>28140</v>
      </c>
      <c r="F1422" s="46" t="s">
        <v>2775</v>
      </c>
    </row>
    <row r="1423">
      <c r="A1423" s="51" t="s">
        <v>28463</v>
      </c>
      <c r="B1423" s="152"/>
      <c r="C1423" s="82"/>
      <c r="D1423" s="33" t="s">
        <v>28140</v>
      </c>
      <c r="F1423" s="46" t="s">
        <v>2775</v>
      </c>
    </row>
    <row r="1424">
      <c r="A1424" s="51" t="s">
        <v>28465</v>
      </c>
      <c r="B1424" s="152"/>
      <c r="C1424" s="82"/>
      <c r="D1424" s="33" t="s">
        <v>28140</v>
      </c>
      <c r="F1424" s="46" t="s">
        <v>2775</v>
      </c>
    </row>
    <row r="1425">
      <c r="A1425" s="51" t="s">
        <v>28466</v>
      </c>
      <c r="B1425" s="152"/>
      <c r="C1425" s="82"/>
      <c r="D1425" s="33" t="s">
        <v>28140</v>
      </c>
      <c r="F1425" s="46" t="s">
        <v>2775</v>
      </c>
    </row>
    <row r="1426">
      <c r="A1426" s="51" t="s">
        <v>28468</v>
      </c>
      <c r="B1426" s="152"/>
      <c r="C1426" s="82"/>
      <c r="D1426" s="33" t="s">
        <v>28151</v>
      </c>
      <c r="F1426" s="46" t="s">
        <v>2775</v>
      </c>
    </row>
    <row r="1427">
      <c r="A1427" s="51" t="s">
        <v>28469</v>
      </c>
      <c r="B1427" s="152"/>
      <c r="C1427" s="82"/>
      <c r="D1427" s="33" t="s">
        <v>28153</v>
      </c>
      <c r="F1427" s="46" t="s">
        <v>2775</v>
      </c>
    </row>
    <row r="1428">
      <c r="A1428" s="51" t="s">
        <v>28471</v>
      </c>
      <c r="B1428" s="152"/>
      <c r="C1428" s="82"/>
      <c r="D1428" s="33" t="s">
        <v>28157</v>
      </c>
      <c r="F1428" s="46" t="s">
        <v>2775</v>
      </c>
    </row>
    <row r="1429">
      <c r="A1429" s="51" t="s">
        <v>28473</v>
      </c>
      <c r="B1429" s="152"/>
      <c r="C1429" s="82"/>
      <c r="D1429" s="33" t="s">
        <v>28151</v>
      </c>
      <c r="F1429" s="46" t="s">
        <v>2775</v>
      </c>
    </row>
    <row r="1430">
      <c r="A1430" s="51" t="s">
        <v>28475</v>
      </c>
      <c r="B1430" s="152"/>
      <c r="C1430" s="82"/>
      <c r="D1430" s="33" t="s">
        <v>28153</v>
      </c>
      <c r="F1430" s="46" t="s">
        <v>2775</v>
      </c>
    </row>
    <row r="1431">
      <c r="A1431" s="51" t="s">
        <v>28476</v>
      </c>
      <c r="B1431" s="152"/>
      <c r="C1431" s="82"/>
      <c r="D1431" s="33" t="s">
        <v>28157</v>
      </c>
      <c r="F1431" s="46" t="s">
        <v>2775</v>
      </c>
    </row>
    <row r="1432">
      <c r="A1432" s="51" t="s">
        <v>28478</v>
      </c>
      <c r="B1432" s="152"/>
      <c r="C1432" s="82"/>
      <c r="D1432" s="33" t="s">
        <v>28479</v>
      </c>
      <c r="F1432" s="46" t="s">
        <v>2775</v>
      </c>
    </row>
    <row r="1433">
      <c r="A1433" s="51" t="s">
        <v>28480</v>
      </c>
      <c r="B1433" s="152"/>
      <c r="C1433" s="82"/>
      <c r="D1433" s="33" t="s">
        <v>28264</v>
      </c>
      <c r="F1433" s="46" t="s">
        <v>2775</v>
      </c>
    </row>
    <row r="1434">
      <c r="A1434" s="51" t="s">
        <v>28482</v>
      </c>
      <c r="B1434" s="152"/>
      <c r="C1434" s="82"/>
      <c r="D1434" s="33" t="s">
        <v>28266</v>
      </c>
      <c r="F1434" s="46" t="s">
        <v>2775</v>
      </c>
    </row>
    <row r="1435">
      <c r="A1435" s="51" t="s">
        <v>28483</v>
      </c>
      <c r="B1435" s="152"/>
      <c r="C1435" s="82"/>
      <c r="D1435" s="33" t="s">
        <v>28168</v>
      </c>
      <c r="F1435" s="46" t="s">
        <v>2775</v>
      </c>
    </row>
    <row r="1436">
      <c r="A1436" s="51" t="s">
        <v>28486</v>
      </c>
      <c r="B1436" s="152"/>
      <c r="C1436" s="82"/>
      <c r="D1436" s="33" t="s">
        <v>28264</v>
      </c>
      <c r="F1436" s="46" t="s">
        <v>2775</v>
      </c>
    </row>
    <row r="1437">
      <c r="A1437" s="51" t="s">
        <v>28487</v>
      </c>
      <c r="B1437" s="152"/>
      <c r="C1437" s="82"/>
      <c r="D1437" s="33" t="s">
        <v>28266</v>
      </c>
      <c r="F1437" s="46" t="s">
        <v>2775</v>
      </c>
    </row>
    <row r="1438">
      <c r="A1438" s="51" t="s">
        <v>28489</v>
      </c>
      <c r="B1438" s="152"/>
      <c r="C1438" s="82"/>
      <c r="D1438" s="33" t="s">
        <v>28168</v>
      </c>
      <c r="F1438" s="46" t="s">
        <v>2775</v>
      </c>
    </row>
    <row r="1439">
      <c r="A1439" s="51" t="s">
        <v>28490</v>
      </c>
      <c r="B1439" s="152"/>
      <c r="C1439" s="82"/>
      <c r="D1439" s="33" t="s">
        <v>28272</v>
      </c>
      <c r="F1439" s="46" t="s">
        <v>2775</v>
      </c>
    </row>
    <row r="1440">
      <c r="A1440" s="51" t="s">
        <v>28492</v>
      </c>
      <c r="B1440" s="152"/>
      <c r="C1440" s="82"/>
      <c r="D1440" s="33" t="s">
        <v>28272</v>
      </c>
      <c r="F1440" s="46" t="s">
        <v>2775</v>
      </c>
    </row>
    <row r="1441">
      <c r="A1441" s="51" t="s">
        <v>28493</v>
      </c>
      <c r="B1441" s="152"/>
      <c r="C1441" s="21"/>
      <c r="D1441" s="33" t="s">
        <v>28121</v>
      </c>
    </row>
    <row r="1442">
      <c r="A1442" s="51" t="s">
        <v>28495</v>
      </c>
      <c r="B1442" s="152"/>
      <c r="C1442" s="40"/>
      <c r="D1442" s="33" t="s">
        <v>28121</v>
      </c>
      <c r="F1442" s="46" t="s">
        <v>2756</v>
      </c>
      <c r="G1442" s="46" t="s">
        <v>28496</v>
      </c>
    </row>
    <row r="1443">
      <c r="A1443" s="51" t="s">
        <v>28497</v>
      </c>
      <c r="B1443" s="152"/>
      <c r="C1443" s="82"/>
      <c r="D1443" s="33" t="s">
        <v>28126</v>
      </c>
      <c r="F1443" s="46" t="s">
        <v>2775</v>
      </c>
    </row>
    <row r="1444">
      <c r="A1444" s="51" t="s">
        <v>28500</v>
      </c>
      <c r="B1444" s="152"/>
      <c r="C1444" s="82"/>
      <c r="D1444" s="33" t="s">
        <v>28184</v>
      </c>
      <c r="F1444" s="46" t="s">
        <v>2775</v>
      </c>
    </row>
    <row r="1445">
      <c r="A1445" s="51" t="s">
        <v>28502</v>
      </c>
      <c r="B1445" s="152"/>
      <c r="C1445" s="82"/>
      <c r="D1445" s="33" t="s">
        <v>28128</v>
      </c>
      <c r="F1445" s="46" t="s">
        <v>2775</v>
      </c>
    </row>
    <row r="1446">
      <c r="A1446" s="51" t="s">
        <v>28503</v>
      </c>
      <c r="B1446" s="152"/>
      <c r="C1446" s="82"/>
      <c r="D1446" s="33" t="s">
        <v>28187</v>
      </c>
      <c r="F1446" s="46" t="s">
        <v>2775</v>
      </c>
    </row>
    <row r="1447">
      <c r="A1447" s="51" t="s">
        <v>28505</v>
      </c>
      <c r="B1447" s="152"/>
      <c r="C1447" s="82"/>
      <c r="D1447" s="33" t="s">
        <v>28187</v>
      </c>
      <c r="F1447" s="46" t="s">
        <v>2775</v>
      </c>
    </row>
    <row r="1448">
      <c r="A1448" s="51" t="s">
        <v>28506</v>
      </c>
      <c r="B1448" s="152"/>
      <c r="C1448" s="82"/>
      <c r="D1448" s="33" t="s">
        <v>28187</v>
      </c>
      <c r="F1448" s="46" t="s">
        <v>2775</v>
      </c>
    </row>
    <row r="1449">
      <c r="A1449" s="51" t="s">
        <v>28508</v>
      </c>
      <c r="B1449" s="152"/>
      <c r="C1449" s="82"/>
      <c r="D1449" s="33" t="s">
        <v>28187</v>
      </c>
      <c r="F1449" s="46" t="s">
        <v>2775</v>
      </c>
    </row>
    <row r="1450">
      <c r="A1450" s="51" t="s">
        <v>28509</v>
      </c>
      <c r="B1450" s="152"/>
      <c r="C1450" s="82"/>
      <c r="D1450" s="33" t="s">
        <v>28187</v>
      </c>
      <c r="F1450" s="46" t="s">
        <v>2775</v>
      </c>
    </row>
    <row r="1451">
      <c r="A1451" s="51" t="s">
        <v>28512</v>
      </c>
      <c r="B1451" s="152"/>
      <c r="C1451" s="82"/>
      <c r="D1451" s="33" t="s">
        <v>28187</v>
      </c>
      <c r="F1451" s="46" t="s">
        <v>2775</v>
      </c>
    </row>
    <row r="1452">
      <c r="A1452" s="51" t="s">
        <v>28513</v>
      </c>
      <c r="B1452" s="152"/>
      <c r="C1452" s="82"/>
      <c r="D1452" s="33" t="s">
        <v>28187</v>
      </c>
      <c r="F1452" s="46" t="s">
        <v>2775</v>
      </c>
    </row>
    <row r="1453">
      <c r="A1453" s="51" t="s">
        <v>28515</v>
      </c>
      <c r="B1453" s="152"/>
      <c r="C1453" s="82"/>
      <c r="D1453" s="33" t="s">
        <v>28187</v>
      </c>
      <c r="F1453" s="46" t="s">
        <v>2775</v>
      </c>
    </row>
    <row r="1454">
      <c r="A1454" s="51" t="s">
        <v>28516</v>
      </c>
      <c r="B1454" s="152"/>
      <c r="C1454" s="82"/>
      <c r="D1454" s="33" t="s">
        <v>28140</v>
      </c>
      <c r="F1454" s="46" t="s">
        <v>2775</v>
      </c>
    </row>
    <row r="1455">
      <c r="A1455" s="51" t="s">
        <v>28518</v>
      </c>
      <c r="B1455" s="152"/>
      <c r="C1455" s="82"/>
      <c r="D1455" s="33" t="s">
        <v>28140</v>
      </c>
      <c r="F1455" s="46" t="s">
        <v>2775</v>
      </c>
    </row>
    <row r="1456">
      <c r="A1456" s="51" t="s">
        <v>28519</v>
      </c>
      <c r="B1456" s="152"/>
      <c r="C1456" s="82"/>
      <c r="D1456" s="33" t="s">
        <v>28140</v>
      </c>
      <c r="F1456" s="46" t="s">
        <v>2775</v>
      </c>
    </row>
    <row r="1457">
      <c r="A1457" s="51" t="s">
        <v>28521</v>
      </c>
      <c r="B1457" s="152"/>
      <c r="C1457" s="82"/>
      <c r="D1457" s="33" t="s">
        <v>28140</v>
      </c>
      <c r="F1457" s="46" t="s">
        <v>2775</v>
      </c>
    </row>
    <row r="1458">
      <c r="A1458" s="51" t="s">
        <v>28523</v>
      </c>
      <c r="B1458" s="152"/>
      <c r="C1458" s="82"/>
      <c r="D1458" s="33" t="s">
        <v>28124</v>
      </c>
      <c r="F1458" s="46" t="s">
        <v>2775</v>
      </c>
    </row>
    <row r="1459">
      <c r="A1459" s="51" t="s">
        <v>28525</v>
      </c>
      <c r="B1459" s="152"/>
      <c r="C1459" s="82"/>
      <c r="D1459" s="33" t="s">
        <v>28204</v>
      </c>
      <c r="F1459" s="46" t="s">
        <v>2775</v>
      </c>
    </row>
    <row r="1460">
      <c r="A1460" s="51" t="s">
        <v>28526</v>
      </c>
      <c r="B1460" s="152"/>
      <c r="C1460" s="82"/>
      <c r="D1460" s="33" t="s">
        <v>28204</v>
      </c>
      <c r="F1460" s="46" t="s">
        <v>2775</v>
      </c>
    </row>
    <row r="1461">
      <c r="A1461" s="51" t="s">
        <v>28528</v>
      </c>
      <c r="B1461" s="152"/>
      <c r="C1461" s="82"/>
      <c r="D1461" s="33" t="s">
        <v>28176</v>
      </c>
      <c r="F1461" s="46" t="s">
        <v>2775</v>
      </c>
    </row>
    <row r="1462">
      <c r="A1462" s="51" t="s">
        <v>28529</v>
      </c>
      <c r="B1462" s="152"/>
      <c r="C1462" s="82"/>
      <c r="D1462" s="33" t="s">
        <v>28166</v>
      </c>
      <c r="F1462" s="46" t="s">
        <v>2775</v>
      </c>
    </row>
    <row r="1463">
      <c r="A1463" s="51" t="s">
        <v>28531</v>
      </c>
      <c r="B1463" s="152"/>
      <c r="C1463" s="82"/>
      <c r="D1463" s="33" t="s">
        <v>28168</v>
      </c>
      <c r="F1463" s="46" t="s">
        <v>2775</v>
      </c>
    </row>
    <row r="1464">
      <c r="A1464" s="51" t="s">
        <v>28532</v>
      </c>
      <c r="B1464" s="152"/>
      <c r="C1464" s="82"/>
      <c r="D1464" s="33" t="s">
        <v>28211</v>
      </c>
      <c r="F1464" s="46" t="s">
        <v>2775</v>
      </c>
    </row>
    <row r="1465">
      <c r="A1465" s="51" t="s">
        <v>28534</v>
      </c>
      <c r="B1465" s="152"/>
      <c r="C1465" s="82"/>
      <c r="D1465" s="33" t="s">
        <v>28213</v>
      </c>
      <c r="F1465" s="46" t="s">
        <v>2775</v>
      </c>
    </row>
    <row r="1466">
      <c r="A1466" s="51" t="s">
        <v>28536</v>
      </c>
      <c r="B1466" s="152"/>
      <c r="C1466" s="82"/>
      <c r="D1466" s="33" t="s">
        <v>28213</v>
      </c>
      <c r="F1466" s="46" t="s">
        <v>2775</v>
      </c>
    </row>
    <row r="1467">
      <c r="A1467" s="51" t="s">
        <v>28538</v>
      </c>
      <c r="B1467" s="152"/>
      <c r="C1467" s="82"/>
      <c r="D1467" s="33" t="s">
        <v>28217</v>
      </c>
      <c r="F1467" s="46" t="s">
        <v>2775</v>
      </c>
    </row>
    <row r="1468">
      <c r="A1468" s="51" t="s">
        <v>28539</v>
      </c>
      <c r="B1468" s="152"/>
      <c r="C1468" s="82"/>
      <c r="D1468" s="33" t="s">
        <v>28166</v>
      </c>
      <c r="F1468" s="46" t="s">
        <v>2775</v>
      </c>
    </row>
    <row r="1469">
      <c r="A1469" s="51" t="s">
        <v>28541</v>
      </c>
      <c r="B1469" s="152"/>
      <c r="C1469" s="82"/>
      <c r="D1469" s="33" t="s">
        <v>28168</v>
      </c>
      <c r="F1469" s="46" t="s">
        <v>2775</v>
      </c>
    </row>
    <row r="1470">
      <c r="A1470" s="51" t="s">
        <v>28543</v>
      </c>
      <c r="B1470" s="152"/>
      <c r="C1470" s="82"/>
      <c r="D1470" s="33" t="s">
        <v>28211</v>
      </c>
      <c r="F1470" s="46" t="s">
        <v>2775</v>
      </c>
    </row>
    <row r="1471">
      <c r="A1471" s="51" t="s">
        <v>28544</v>
      </c>
      <c r="B1471" s="152"/>
      <c r="C1471" s="82"/>
      <c r="D1471" s="33" t="s">
        <v>28223</v>
      </c>
      <c r="F1471" s="46" t="s">
        <v>2775</v>
      </c>
    </row>
    <row r="1472">
      <c r="A1472" s="51" t="s">
        <v>28547</v>
      </c>
      <c r="B1472" s="152"/>
      <c r="C1472" s="82"/>
      <c r="D1472" s="33" t="s">
        <v>28151</v>
      </c>
      <c r="F1472" s="46" t="s">
        <v>2775</v>
      </c>
    </row>
    <row r="1473">
      <c r="A1473" s="51" t="s">
        <v>28548</v>
      </c>
      <c r="B1473" s="152"/>
      <c r="C1473" s="82"/>
      <c r="D1473" s="33" t="s">
        <v>28153</v>
      </c>
      <c r="F1473" s="46" t="s">
        <v>2775</v>
      </c>
    </row>
    <row r="1474">
      <c r="A1474" s="51" t="s">
        <v>28550</v>
      </c>
      <c r="B1474" s="152"/>
      <c r="C1474" s="82"/>
      <c r="D1474" s="33" t="s">
        <v>28157</v>
      </c>
      <c r="F1474" s="46" t="s">
        <v>2775</v>
      </c>
    </row>
    <row r="1475">
      <c r="A1475" s="51" t="s">
        <v>28551</v>
      </c>
      <c r="B1475" s="152"/>
      <c r="C1475" s="82"/>
      <c r="D1475" s="33" t="s">
        <v>28223</v>
      </c>
      <c r="F1475" s="46" t="s">
        <v>2775</v>
      </c>
    </row>
    <row r="1476">
      <c r="A1476" s="51" t="s">
        <v>28553</v>
      </c>
      <c r="B1476" s="152"/>
      <c r="C1476" s="82"/>
      <c r="D1476" s="33" t="s">
        <v>28151</v>
      </c>
      <c r="F1476" s="46" t="s">
        <v>2775</v>
      </c>
    </row>
    <row r="1477">
      <c r="A1477" s="51" t="s">
        <v>28554</v>
      </c>
      <c r="B1477" s="152"/>
      <c r="C1477" s="82"/>
      <c r="D1477" s="33" t="s">
        <v>28153</v>
      </c>
      <c r="F1477" s="46" t="s">
        <v>2775</v>
      </c>
    </row>
    <row r="1478">
      <c r="A1478" s="51" t="s">
        <v>28557</v>
      </c>
      <c r="B1478" s="152"/>
      <c r="C1478" s="82"/>
      <c r="D1478" s="33" t="s">
        <v>28157</v>
      </c>
      <c r="F1478" s="46" t="s">
        <v>2775</v>
      </c>
    </row>
    <row r="1479">
      <c r="A1479" s="51" t="s">
        <v>28558</v>
      </c>
      <c r="B1479" s="152"/>
      <c r="C1479" s="82"/>
      <c r="D1479" s="33" t="s">
        <v>28559</v>
      </c>
      <c r="F1479" s="46" t="s">
        <v>2775</v>
      </c>
    </row>
    <row r="1480">
      <c r="A1480" s="51" t="s">
        <v>28560</v>
      </c>
      <c r="B1480" s="152"/>
      <c r="C1480" s="21"/>
      <c r="D1480" s="33" t="s">
        <v>28121</v>
      </c>
    </row>
    <row r="1481">
      <c r="A1481" s="51" t="s">
        <v>28561</v>
      </c>
      <c r="B1481" s="152"/>
      <c r="C1481" s="40"/>
      <c r="D1481" s="33" t="s">
        <v>28121</v>
      </c>
      <c r="F1481" s="46" t="s">
        <v>2756</v>
      </c>
      <c r="G1481" s="46" t="s">
        <v>28436</v>
      </c>
    </row>
    <row r="1482">
      <c r="A1482" s="51" t="s">
        <v>28563</v>
      </c>
      <c r="B1482" s="152"/>
      <c r="C1482" s="82"/>
      <c r="D1482" s="33" t="s">
        <v>28124</v>
      </c>
      <c r="F1482" s="46" t="s">
        <v>2775</v>
      </c>
    </row>
    <row r="1483">
      <c r="A1483" s="51" t="s">
        <v>28564</v>
      </c>
      <c r="B1483" s="152"/>
      <c r="C1483" s="82"/>
      <c r="D1483" s="33" t="s">
        <v>28126</v>
      </c>
      <c r="F1483" s="46" t="s">
        <v>2775</v>
      </c>
    </row>
    <row r="1484">
      <c r="A1484" s="51" t="s">
        <v>28566</v>
      </c>
      <c r="B1484" s="152"/>
      <c r="C1484" s="82"/>
      <c r="D1484" s="33" t="s">
        <v>28128</v>
      </c>
      <c r="F1484" s="46" t="s">
        <v>2775</v>
      </c>
    </row>
    <row r="1485">
      <c r="A1485" s="51" t="s">
        <v>28567</v>
      </c>
      <c r="B1485" s="152"/>
      <c r="C1485" s="82"/>
      <c r="D1485" s="33" t="s">
        <v>28140</v>
      </c>
      <c r="F1485" s="46" t="s">
        <v>2775</v>
      </c>
    </row>
    <row r="1486">
      <c r="A1486" s="51" t="s">
        <v>28570</v>
      </c>
      <c r="B1486" s="152"/>
      <c r="C1486" s="82"/>
      <c r="D1486" s="33" t="s">
        <v>28140</v>
      </c>
      <c r="F1486" s="46" t="s">
        <v>2775</v>
      </c>
    </row>
    <row r="1487">
      <c r="A1487" s="51" t="s">
        <v>28571</v>
      </c>
      <c r="B1487" s="152"/>
      <c r="C1487" s="82"/>
      <c r="D1487" s="33" t="s">
        <v>28140</v>
      </c>
      <c r="F1487" s="46" t="s">
        <v>2775</v>
      </c>
    </row>
    <row r="1488">
      <c r="A1488" s="51" t="s">
        <v>28573</v>
      </c>
      <c r="B1488" s="152"/>
      <c r="C1488" s="82"/>
      <c r="D1488" s="33" t="s">
        <v>28140</v>
      </c>
      <c r="F1488" s="46" t="s">
        <v>2775</v>
      </c>
    </row>
    <row r="1489">
      <c r="A1489" s="51" t="s">
        <v>28574</v>
      </c>
      <c r="B1489" s="152"/>
      <c r="C1489" s="82"/>
      <c r="D1489" s="33" t="s">
        <v>28140</v>
      </c>
      <c r="F1489" s="46" t="s">
        <v>2775</v>
      </c>
    </row>
    <row r="1490">
      <c r="A1490" s="51" t="s">
        <v>28575</v>
      </c>
      <c r="B1490" s="152"/>
      <c r="C1490" s="82"/>
      <c r="D1490" s="33" t="s">
        <v>28140</v>
      </c>
      <c r="F1490" s="46" t="s">
        <v>2775</v>
      </c>
    </row>
    <row r="1491">
      <c r="A1491" s="51" t="s">
        <v>28577</v>
      </c>
      <c r="B1491" s="152"/>
      <c r="C1491" s="82"/>
      <c r="D1491" s="33" t="s">
        <v>28140</v>
      </c>
      <c r="F1491" s="46" t="s">
        <v>2775</v>
      </c>
    </row>
    <row r="1492">
      <c r="A1492" s="51" t="s">
        <v>28578</v>
      </c>
      <c r="B1492" s="152"/>
      <c r="C1492" s="82"/>
      <c r="D1492" s="33" t="s">
        <v>28140</v>
      </c>
      <c r="F1492" s="46" t="s">
        <v>2775</v>
      </c>
    </row>
    <row r="1493">
      <c r="A1493" s="51" t="s">
        <v>28580</v>
      </c>
      <c r="B1493" s="152"/>
      <c r="C1493" s="82"/>
      <c r="D1493" s="33" t="s">
        <v>28140</v>
      </c>
      <c r="F1493" s="46" t="s">
        <v>2775</v>
      </c>
    </row>
    <row r="1494">
      <c r="A1494" s="51" t="s">
        <v>28581</v>
      </c>
      <c r="B1494" s="152"/>
      <c r="C1494" s="82"/>
      <c r="D1494" s="33" t="s">
        <v>28140</v>
      </c>
      <c r="F1494" s="46" t="s">
        <v>2775</v>
      </c>
    </row>
    <row r="1495">
      <c r="A1495" s="51" t="s">
        <v>28583</v>
      </c>
      <c r="B1495" s="152"/>
      <c r="C1495" s="82"/>
      <c r="D1495" s="33" t="s">
        <v>28140</v>
      </c>
      <c r="F1495" s="46" t="s">
        <v>2775</v>
      </c>
    </row>
    <row r="1496">
      <c r="A1496" s="51" t="s">
        <v>28585</v>
      </c>
      <c r="B1496" s="152"/>
      <c r="C1496" s="82"/>
      <c r="D1496" s="33" t="s">
        <v>28140</v>
      </c>
      <c r="F1496" s="46" t="s">
        <v>2775</v>
      </c>
    </row>
    <row r="1497">
      <c r="A1497" s="51" t="s">
        <v>28587</v>
      </c>
      <c r="B1497" s="152"/>
      <c r="C1497" s="82"/>
      <c r="D1497" s="33" t="s">
        <v>28151</v>
      </c>
      <c r="F1497" s="46" t="s">
        <v>2775</v>
      </c>
    </row>
    <row r="1498">
      <c r="A1498" s="51" t="s">
        <v>28588</v>
      </c>
      <c r="B1498" s="152"/>
      <c r="C1498" s="82"/>
      <c r="D1498" s="33" t="s">
        <v>28153</v>
      </c>
      <c r="F1498" s="46" t="s">
        <v>2775</v>
      </c>
    </row>
    <row r="1499">
      <c r="A1499" s="51" t="s">
        <v>28590</v>
      </c>
      <c r="B1499" s="152"/>
      <c r="C1499" s="82"/>
      <c r="D1499" s="33" t="s">
        <v>28157</v>
      </c>
      <c r="F1499" s="46" t="s">
        <v>2775</v>
      </c>
    </row>
    <row r="1500">
      <c r="A1500" s="51" t="s">
        <v>28591</v>
      </c>
      <c r="B1500" s="152"/>
      <c r="C1500" s="82"/>
      <c r="D1500" s="33" t="s">
        <v>28151</v>
      </c>
      <c r="F1500" s="46" t="s">
        <v>2775</v>
      </c>
    </row>
    <row r="1501">
      <c r="A1501" s="51" t="s">
        <v>28593</v>
      </c>
      <c r="B1501" s="152"/>
      <c r="C1501" s="82"/>
      <c r="D1501" s="33" t="s">
        <v>28153</v>
      </c>
      <c r="F1501" s="46" t="s">
        <v>2775</v>
      </c>
    </row>
    <row r="1502">
      <c r="A1502" s="51" t="s">
        <v>28594</v>
      </c>
      <c r="B1502" s="152"/>
      <c r="C1502" s="82"/>
      <c r="D1502" s="33" t="s">
        <v>28157</v>
      </c>
      <c r="F1502" s="46" t="s">
        <v>2775</v>
      </c>
    </row>
    <row r="1503">
      <c r="A1503" s="51" t="s">
        <v>28595</v>
      </c>
      <c r="B1503" s="152"/>
      <c r="C1503" s="82"/>
      <c r="D1503" s="33" t="s">
        <v>28597</v>
      </c>
      <c r="F1503" s="46" t="s">
        <v>2775</v>
      </c>
    </row>
    <row r="1504">
      <c r="A1504" s="51" t="s">
        <v>28598</v>
      </c>
      <c r="B1504" s="152"/>
      <c r="C1504" s="82"/>
      <c r="D1504" s="33" t="s">
        <v>28264</v>
      </c>
      <c r="F1504" s="46" t="s">
        <v>2775</v>
      </c>
    </row>
    <row r="1505">
      <c r="A1505" s="51" t="s">
        <v>28600</v>
      </c>
      <c r="B1505" s="152"/>
      <c r="C1505" s="82"/>
      <c r="D1505" s="33" t="s">
        <v>28266</v>
      </c>
      <c r="F1505" s="46" t="s">
        <v>2775</v>
      </c>
    </row>
    <row r="1506">
      <c r="A1506" s="51" t="s">
        <v>28602</v>
      </c>
      <c r="B1506" s="152"/>
      <c r="C1506" s="82"/>
      <c r="D1506" s="33" t="s">
        <v>28168</v>
      </c>
      <c r="F1506" s="46" t="s">
        <v>2775</v>
      </c>
    </row>
    <row r="1507">
      <c r="A1507" s="51" t="s">
        <v>28603</v>
      </c>
      <c r="B1507" s="152"/>
      <c r="C1507" s="82"/>
      <c r="D1507" s="33" t="s">
        <v>28264</v>
      </c>
      <c r="F1507" s="46" t="s">
        <v>2775</v>
      </c>
    </row>
    <row r="1508">
      <c r="A1508" s="51" t="s">
        <v>28605</v>
      </c>
      <c r="B1508" s="152"/>
      <c r="C1508" s="82"/>
      <c r="D1508" s="33" t="s">
        <v>28266</v>
      </c>
      <c r="F1508" s="46" t="s">
        <v>2775</v>
      </c>
    </row>
    <row r="1509">
      <c r="A1509" s="51" t="s">
        <v>28606</v>
      </c>
      <c r="B1509" s="152"/>
      <c r="C1509" s="82"/>
      <c r="D1509" s="33" t="s">
        <v>28168</v>
      </c>
      <c r="F1509" s="46" t="s">
        <v>2775</v>
      </c>
    </row>
    <row r="1510">
      <c r="A1510" s="51" t="s">
        <v>28608</v>
      </c>
      <c r="B1510" s="152"/>
      <c r="C1510" s="82"/>
      <c r="D1510" s="33" t="s">
        <v>28272</v>
      </c>
      <c r="F1510" s="46" t="s">
        <v>2775</v>
      </c>
    </row>
    <row r="1511">
      <c r="A1511" s="51" t="s">
        <v>28609</v>
      </c>
      <c r="B1511" s="152"/>
      <c r="C1511" s="82"/>
      <c r="D1511" s="33" t="s">
        <v>28272</v>
      </c>
      <c r="F1511" s="46" t="s">
        <v>2775</v>
      </c>
    </row>
    <row r="1512">
      <c r="A1512" s="51" t="s">
        <v>28610</v>
      </c>
      <c r="B1512" s="152"/>
      <c r="C1512" s="21"/>
      <c r="D1512" s="33" t="s">
        <v>28121</v>
      </c>
    </row>
    <row r="1513">
      <c r="A1513" s="51" t="s">
        <v>28613</v>
      </c>
      <c r="B1513" s="152"/>
      <c r="C1513" s="40"/>
      <c r="D1513" s="33" t="s">
        <v>28121</v>
      </c>
      <c r="F1513" s="46" t="s">
        <v>2756</v>
      </c>
      <c r="G1513" s="46" t="s">
        <v>28496</v>
      </c>
    </row>
    <row r="1514">
      <c r="A1514" s="51" t="s">
        <v>28614</v>
      </c>
      <c r="B1514" s="152"/>
      <c r="C1514" s="82"/>
      <c r="D1514" s="33" t="s">
        <v>28126</v>
      </c>
      <c r="F1514" s="46" t="s">
        <v>2775</v>
      </c>
    </row>
    <row r="1515">
      <c r="A1515" s="51" t="s">
        <v>28616</v>
      </c>
      <c r="B1515" s="152"/>
      <c r="C1515" s="82"/>
      <c r="D1515" s="33" t="s">
        <v>28184</v>
      </c>
      <c r="F1515" s="46" t="s">
        <v>2775</v>
      </c>
    </row>
    <row r="1516">
      <c r="A1516" s="51" t="s">
        <v>28617</v>
      </c>
      <c r="B1516" s="152"/>
      <c r="C1516" s="82"/>
      <c r="D1516" s="33" t="s">
        <v>28128</v>
      </c>
      <c r="F1516" s="46" t="s">
        <v>2775</v>
      </c>
    </row>
    <row r="1517">
      <c r="A1517" s="51" t="s">
        <v>28619</v>
      </c>
      <c r="B1517" s="152"/>
      <c r="C1517" s="82"/>
      <c r="D1517" s="33" t="s">
        <v>28187</v>
      </c>
      <c r="F1517" s="46" t="s">
        <v>2775</v>
      </c>
    </row>
    <row r="1518">
      <c r="A1518" s="51" t="s">
        <v>28621</v>
      </c>
      <c r="B1518" s="152"/>
      <c r="C1518" s="82"/>
      <c r="D1518" s="33" t="s">
        <v>28187</v>
      </c>
      <c r="F1518" s="46" t="s">
        <v>2775</v>
      </c>
    </row>
    <row r="1519">
      <c r="A1519" s="51" t="s">
        <v>28622</v>
      </c>
      <c r="B1519" s="152"/>
      <c r="C1519" s="82"/>
      <c r="D1519" s="33" t="s">
        <v>28187</v>
      </c>
      <c r="F1519" s="46" t="s">
        <v>2775</v>
      </c>
    </row>
    <row r="1520">
      <c r="A1520" s="51" t="s">
        <v>28625</v>
      </c>
      <c r="B1520" s="152"/>
      <c r="C1520" s="82"/>
      <c r="D1520" s="33" t="s">
        <v>28187</v>
      </c>
      <c r="F1520" s="46" t="s">
        <v>2775</v>
      </c>
    </row>
    <row r="1521">
      <c r="A1521" s="51" t="s">
        <v>28626</v>
      </c>
      <c r="B1521" s="152"/>
      <c r="C1521" s="82"/>
      <c r="D1521" s="33" t="s">
        <v>28187</v>
      </c>
      <c r="F1521" s="46" t="s">
        <v>2775</v>
      </c>
    </row>
    <row r="1522">
      <c r="A1522" s="51" t="s">
        <v>28628</v>
      </c>
      <c r="B1522" s="152"/>
      <c r="C1522" s="82"/>
      <c r="D1522" s="33" t="s">
        <v>28187</v>
      </c>
      <c r="F1522" s="46" t="s">
        <v>2775</v>
      </c>
    </row>
    <row r="1523">
      <c r="A1523" s="51" t="s">
        <v>28629</v>
      </c>
      <c r="B1523" s="152"/>
      <c r="C1523" s="82"/>
      <c r="D1523" s="33" t="s">
        <v>28187</v>
      </c>
      <c r="F1523" s="46" t="s">
        <v>2775</v>
      </c>
    </row>
    <row r="1524">
      <c r="A1524" s="51" t="s">
        <v>28631</v>
      </c>
      <c r="B1524" s="152"/>
      <c r="C1524" s="82"/>
      <c r="D1524" s="33" t="s">
        <v>28187</v>
      </c>
      <c r="F1524" s="46" t="s">
        <v>2775</v>
      </c>
    </row>
    <row r="1525">
      <c r="A1525" s="51" t="s">
        <v>28632</v>
      </c>
      <c r="B1525" s="152"/>
      <c r="C1525" s="82"/>
      <c r="D1525" s="33" t="s">
        <v>28140</v>
      </c>
      <c r="F1525" s="46" t="s">
        <v>2775</v>
      </c>
    </row>
    <row r="1526">
      <c r="A1526" s="51" t="s">
        <v>28633</v>
      </c>
      <c r="B1526" s="152"/>
      <c r="C1526" s="82"/>
      <c r="D1526" s="33" t="s">
        <v>28140</v>
      </c>
      <c r="F1526" s="46" t="s">
        <v>2775</v>
      </c>
    </row>
    <row r="1527">
      <c r="A1527" s="51" t="s">
        <v>28635</v>
      </c>
      <c r="B1527" s="152"/>
      <c r="C1527" s="82"/>
      <c r="D1527" s="33" t="s">
        <v>28140</v>
      </c>
      <c r="F1527" s="46" t="s">
        <v>2775</v>
      </c>
    </row>
    <row r="1528">
      <c r="A1528" s="51" t="s">
        <v>28637</v>
      </c>
      <c r="B1528" s="152"/>
      <c r="C1528" s="82"/>
      <c r="D1528" s="33" t="s">
        <v>28140</v>
      </c>
      <c r="F1528" s="46" t="s">
        <v>2775</v>
      </c>
    </row>
    <row r="1529">
      <c r="A1529" s="51" t="s">
        <v>28638</v>
      </c>
      <c r="B1529" s="152"/>
      <c r="C1529" s="82"/>
      <c r="D1529" s="33" t="s">
        <v>28124</v>
      </c>
      <c r="F1529" s="46" t="s">
        <v>2775</v>
      </c>
    </row>
    <row r="1530">
      <c r="A1530" s="51" t="s">
        <v>28640</v>
      </c>
      <c r="B1530" s="152"/>
      <c r="C1530" s="82"/>
      <c r="D1530" s="33" t="s">
        <v>28204</v>
      </c>
      <c r="F1530" s="46" t="s">
        <v>2775</v>
      </c>
    </row>
    <row r="1531">
      <c r="A1531" s="51" t="s">
        <v>28641</v>
      </c>
      <c r="B1531" s="152"/>
      <c r="C1531" s="82"/>
      <c r="D1531" s="33" t="s">
        <v>28204</v>
      </c>
      <c r="F1531" s="46" t="s">
        <v>2775</v>
      </c>
    </row>
    <row r="1532">
      <c r="A1532" s="51" t="s">
        <v>28643</v>
      </c>
      <c r="B1532" s="152"/>
      <c r="C1532" s="82"/>
      <c r="D1532" s="33" t="s">
        <v>28176</v>
      </c>
      <c r="F1532" s="46" t="s">
        <v>2775</v>
      </c>
    </row>
    <row r="1533">
      <c r="A1533" s="51" t="s">
        <v>28645</v>
      </c>
      <c r="B1533" s="152"/>
      <c r="C1533" s="82"/>
      <c r="D1533" s="33" t="s">
        <v>28166</v>
      </c>
      <c r="F1533" s="46" t="s">
        <v>2775</v>
      </c>
    </row>
    <row r="1534">
      <c r="A1534" s="51" t="s">
        <v>28646</v>
      </c>
      <c r="B1534" s="152"/>
      <c r="C1534" s="82"/>
      <c r="D1534" s="33" t="s">
        <v>28168</v>
      </c>
      <c r="F1534" s="46" t="s">
        <v>2775</v>
      </c>
    </row>
    <row r="1535">
      <c r="A1535" s="51" t="s">
        <v>28648</v>
      </c>
      <c r="B1535" s="152"/>
      <c r="C1535" s="82"/>
      <c r="D1535" s="33" t="s">
        <v>28211</v>
      </c>
      <c r="F1535" s="46" t="s">
        <v>2775</v>
      </c>
    </row>
    <row r="1536">
      <c r="A1536" s="51" t="s">
        <v>28649</v>
      </c>
      <c r="B1536" s="152"/>
      <c r="C1536" s="82"/>
      <c r="D1536" s="33" t="s">
        <v>28213</v>
      </c>
      <c r="F1536" s="46" t="s">
        <v>2775</v>
      </c>
    </row>
    <row r="1537">
      <c r="A1537" s="51" t="s">
        <v>28651</v>
      </c>
      <c r="B1537" s="152"/>
      <c r="C1537" s="82"/>
      <c r="D1537" s="33" t="s">
        <v>28213</v>
      </c>
      <c r="F1537" s="46" t="s">
        <v>2775</v>
      </c>
    </row>
    <row r="1538">
      <c r="A1538" s="51" t="s">
        <v>28652</v>
      </c>
      <c r="B1538" s="152"/>
      <c r="C1538" s="82"/>
      <c r="D1538" s="33" t="s">
        <v>28217</v>
      </c>
      <c r="F1538" s="46" t="s">
        <v>2775</v>
      </c>
    </row>
    <row r="1539">
      <c r="A1539" s="51" t="s">
        <v>28655</v>
      </c>
      <c r="B1539" s="152"/>
      <c r="C1539" s="82"/>
      <c r="D1539" s="33" t="s">
        <v>28166</v>
      </c>
      <c r="F1539" s="46" t="s">
        <v>2775</v>
      </c>
    </row>
    <row r="1540">
      <c r="A1540" s="51" t="s">
        <v>28657</v>
      </c>
      <c r="B1540" s="152"/>
      <c r="C1540" s="82"/>
      <c r="D1540" s="33" t="s">
        <v>28168</v>
      </c>
      <c r="F1540" s="46" t="s">
        <v>2775</v>
      </c>
    </row>
    <row r="1541">
      <c r="A1541" s="51" t="s">
        <v>28658</v>
      </c>
      <c r="B1541" s="152"/>
      <c r="C1541" s="82"/>
      <c r="D1541" s="33" t="s">
        <v>28211</v>
      </c>
      <c r="F1541" s="46" t="s">
        <v>2775</v>
      </c>
    </row>
    <row r="1542">
      <c r="A1542" s="51" t="s">
        <v>28660</v>
      </c>
      <c r="B1542" s="152"/>
      <c r="C1542" s="82"/>
      <c r="D1542" s="33" t="s">
        <v>28223</v>
      </c>
      <c r="F1542" s="46" t="s">
        <v>2775</v>
      </c>
    </row>
    <row r="1543">
      <c r="A1543" s="51" t="s">
        <v>28661</v>
      </c>
      <c r="B1543" s="152"/>
      <c r="C1543" s="82"/>
      <c r="D1543" s="33" t="s">
        <v>28151</v>
      </c>
      <c r="F1543" s="46" t="s">
        <v>2775</v>
      </c>
    </row>
    <row r="1544">
      <c r="A1544" s="51" t="s">
        <v>28663</v>
      </c>
      <c r="B1544" s="152"/>
      <c r="C1544" s="82"/>
      <c r="D1544" s="33" t="s">
        <v>28153</v>
      </c>
      <c r="F1544" s="46" t="s">
        <v>2775</v>
      </c>
    </row>
    <row r="1545">
      <c r="A1545" s="51" t="s">
        <v>28664</v>
      </c>
      <c r="B1545" s="152"/>
      <c r="C1545" s="82"/>
      <c r="D1545" s="33" t="s">
        <v>28157</v>
      </c>
      <c r="F1545" s="46" t="s">
        <v>2775</v>
      </c>
    </row>
    <row r="1546">
      <c r="A1546" s="51" t="s">
        <v>28666</v>
      </c>
      <c r="B1546" s="152"/>
      <c r="C1546" s="82"/>
      <c r="D1546" s="33" t="s">
        <v>28223</v>
      </c>
      <c r="F1546" s="46" t="s">
        <v>2775</v>
      </c>
    </row>
    <row r="1547">
      <c r="A1547" s="51" t="s">
        <v>28667</v>
      </c>
      <c r="B1547" s="152"/>
      <c r="C1547" s="82"/>
      <c r="D1547" s="33" t="s">
        <v>28151</v>
      </c>
      <c r="F1547" s="46" t="s">
        <v>2775</v>
      </c>
    </row>
    <row r="1548">
      <c r="A1548" s="51" t="s">
        <v>28669</v>
      </c>
      <c r="B1548" s="152"/>
      <c r="C1548" s="82"/>
      <c r="D1548" s="33" t="s">
        <v>28153</v>
      </c>
      <c r="F1548" s="46" t="s">
        <v>2775</v>
      </c>
    </row>
    <row r="1549">
      <c r="A1549" s="51" t="s">
        <v>28671</v>
      </c>
      <c r="B1549" s="152"/>
      <c r="C1549" s="82"/>
      <c r="D1549" s="33" t="s">
        <v>28157</v>
      </c>
      <c r="F1549" s="46" t="s">
        <v>2775</v>
      </c>
    </row>
    <row r="1550">
      <c r="A1550" s="51" t="s">
        <v>28672</v>
      </c>
      <c r="B1550" s="152"/>
      <c r="C1550" s="82"/>
      <c r="D1550" s="33" t="s">
        <v>28233</v>
      </c>
      <c r="F1550" s="46" t="s">
        <v>2775</v>
      </c>
    </row>
    <row r="1551">
      <c r="A1551" s="51" t="s">
        <v>28674</v>
      </c>
      <c r="B1551" s="152"/>
      <c r="C1551" s="21"/>
      <c r="D1551" s="33" t="s">
        <v>28121</v>
      </c>
    </row>
    <row r="1552">
      <c r="A1552" s="51" t="s">
        <v>28675</v>
      </c>
      <c r="B1552" s="152"/>
      <c r="C1552" s="40"/>
      <c r="D1552" s="33" t="s">
        <v>28121</v>
      </c>
      <c r="F1552" s="46" t="s">
        <v>2756</v>
      </c>
      <c r="G1552" s="46" t="s">
        <v>28375</v>
      </c>
    </row>
    <row r="1553">
      <c r="A1553" s="51" t="s">
        <v>28677</v>
      </c>
      <c r="B1553" s="152"/>
      <c r="C1553" s="82"/>
      <c r="D1553" s="33" t="s">
        <v>28126</v>
      </c>
      <c r="F1553" s="46" t="s">
        <v>2775</v>
      </c>
    </row>
    <row r="1554">
      <c r="A1554" s="51" t="s">
        <v>28678</v>
      </c>
      <c r="B1554" s="152"/>
      <c r="C1554" s="82"/>
      <c r="D1554" s="33" t="s">
        <v>28128</v>
      </c>
      <c r="F1554" s="46" t="s">
        <v>2775</v>
      </c>
    </row>
    <row r="1555">
      <c r="A1555" s="51" t="s">
        <v>28680</v>
      </c>
      <c r="B1555" s="152"/>
      <c r="C1555" s="82"/>
      <c r="D1555" s="33" t="s">
        <v>28140</v>
      </c>
      <c r="F1555" s="46" t="s">
        <v>2775</v>
      </c>
    </row>
    <row r="1556">
      <c r="A1556" s="51" t="s">
        <v>28681</v>
      </c>
      <c r="B1556" s="152"/>
      <c r="C1556" s="82"/>
      <c r="D1556" s="33" t="s">
        <v>28140</v>
      </c>
      <c r="F1556" s="46" t="s">
        <v>2775</v>
      </c>
    </row>
    <row r="1557">
      <c r="A1557" s="51" t="s">
        <v>28684</v>
      </c>
      <c r="B1557" s="152"/>
      <c r="C1557" s="82"/>
      <c r="D1557" s="33" t="s">
        <v>28140</v>
      </c>
      <c r="F1557" s="46" t="s">
        <v>2775</v>
      </c>
    </row>
    <row r="1558">
      <c r="A1558" s="51" t="s">
        <v>28686</v>
      </c>
      <c r="B1558" s="152"/>
      <c r="C1558" s="82"/>
      <c r="D1558" s="33" t="s">
        <v>28140</v>
      </c>
      <c r="F1558" s="46" t="s">
        <v>2775</v>
      </c>
    </row>
    <row r="1559">
      <c r="A1559" s="51" t="s">
        <v>28688</v>
      </c>
      <c r="B1559" s="152"/>
      <c r="C1559" s="82"/>
      <c r="D1559" s="33" t="s">
        <v>28124</v>
      </c>
      <c r="F1559" s="46" t="s">
        <v>2775</v>
      </c>
    </row>
    <row r="1560">
      <c r="A1560" s="51" t="s">
        <v>28689</v>
      </c>
      <c r="B1560" s="152"/>
      <c r="C1560" s="82"/>
      <c r="D1560" s="33" t="s">
        <v>28204</v>
      </c>
      <c r="F1560" s="46" t="s">
        <v>2775</v>
      </c>
    </row>
    <row r="1561">
      <c r="A1561" s="51" t="s">
        <v>28691</v>
      </c>
      <c r="B1561" s="152"/>
      <c r="C1561" s="82"/>
      <c r="D1561" s="33" t="s">
        <v>28204</v>
      </c>
      <c r="F1561" s="46" t="s">
        <v>2775</v>
      </c>
    </row>
    <row r="1562">
      <c r="A1562" s="51" t="s">
        <v>28693</v>
      </c>
      <c r="B1562" s="152"/>
      <c r="C1562" s="82"/>
      <c r="D1562" s="33" t="s">
        <v>28204</v>
      </c>
      <c r="F1562" s="46" t="s">
        <v>2775</v>
      </c>
    </row>
    <row r="1563">
      <c r="A1563" s="51" t="s">
        <v>28695</v>
      </c>
      <c r="B1563" s="152"/>
      <c r="C1563" s="82"/>
      <c r="D1563" s="33" t="s">
        <v>28164</v>
      </c>
      <c r="F1563" s="46" t="s">
        <v>2775</v>
      </c>
    </row>
    <row r="1564">
      <c r="A1564" s="51" t="s">
        <v>28696</v>
      </c>
      <c r="B1564" s="152"/>
      <c r="C1564" s="82"/>
      <c r="D1564" s="33" t="s">
        <v>28166</v>
      </c>
      <c r="F1564" s="46" t="s">
        <v>2775</v>
      </c>
    </row>
    <row r="1565">
      <c r="A1565" s="51" t="s">
        <v>28698</v>
      </c>
      <c r="B1565" s="152"/>
      <c r="C1565" s="82"/>
      <c r="D1565" s="33" t="s">
        <v>28168</v>
      </c>
      <c r="F1565" s="46" t="s">
        <v>2775</v>
      </c>
    </row>
    <row r="1566">
      <c r="A1566" s="51" t="s">
        <v>28699</v>
      </c>
      <c r="B1566" s="152"/>
      <c r="C1566" s="82"/>
      <c r="D1566" s="33" t="s">
        <v>28211</v>
      </c>
      <c r="F1566" s="46" t="s">
        <v>2775</v>
      </c>
    </row>
    <row r="1567">
      <c r="A1567" s="51" t="s">
        <v>28701</v>
      </c>
      <c r="B1567" s="152"/>
      <c r="C1567" s="82"/>
      <c r="D1567" s="33" t="s">
        <v>28164</v>
      </c>
      <c r="F1567" s="46" t="s">
        <v>2775</v>
      </c>
    </row>
    <row r="1568">
      <c r="A1568" s="51" t="s">
        <v>28702</v>
      </c>
      <c r="B1568" s="152"/>
      <c r="C1568" s="82"/>
      <c r="D1568" s="33" t="s">
        <v>28166</v>
      </c>
      <c r="F1568" s="46" t="s">
        <v>2775</v>
      </c>
    </row>
    <row r="1569">
      <c r="A1569" s="51" t="s">
        <v>28704</v>
      </c>
      <c r="B1569" s="152"/>
      <c r="C1569" s="82"/>
      <c r="D1569" s="33" t="s">
        <v>28168</v>
      </c>
      <c r="F1569" s="46" t="s">
        <v>2775</v>
      </c>
    </row>
    <row r="1570">
      <c r="A1570" s="51" t="s">
        <v>28705</v>
      </c>
      <c r="B1570" s="152"/>
      <c r="C1570" s="82"/>
      <c r="D1570" s="33" t="s">
        <v>28211</v>
      </c>
      <c r="F1570" s="46" t="s">
        <v>2775</v>
      </c>
    </row>
    <row r="1571">
      <c r="A1571" s="51" t="s">
        <v>28708</v>
      </c>
      <c r="B1571" s="152"/>
      <c r="C1571" s="82"/>
      <c r="D1571" s="33" t="s">
        <v>28213</v>
      </c>
      <c r="F1571" s="46" t="s">
        <v>2775</v>
      </c>
    </row>
    <row r="1572">
      <c r="A1572" s="51" t="s">
        <v>28709</v>
      </c>
      <c r="B1572" s="152"/>
      <c r="C1572" s="82"/>
      <c r="D1572" s="33" t="s">
        <v>28213</v>
      </c>
      <c r="F1572" s="46" t="s">
        <v>2775</v>
      </c>
    </row>
    <row r="1573">
      <c r="A1573" s="51" t="s">
        <v>28711</v>
      </c>
      <c r="B1573" s="152"/>
      <c r="C1573" s="82"/>
      <c r="D1573" s="33" t="s">
        <v>28223</v>
      </c>
      <c r="F1573" s="46" t="s">
        <v>2775</v>
      </c>
    </row>
    <row r="1574">
      <c r="A1574" s="51" t="s">
        <v>28712</v>
      </c>
      <c r="B1574" s="152"/>
      <c r="C1574" s="82"/>
      <c r="D1574" s="33" t="s">
        <v>28151</v>
      </c>
      <c r="F1574" s="46" t="s">
        <v>2775</v>
      </c>
    </row>
    <row r="1575">
      <c r="A1575" s="51" t="s">
        <v>28716</v>
      </c>
      <c r="B1575" s="152"/>
      <c r="C1575" s="82"/>
      <c r="D1575" s="33" t="s">
        <v>28153</v>
      </c>
      <c r="F1575" s="46" t="s">
        <v>2775</v>
      </c>
    </row>
    <row r="1576">
      <c r="A1576" s="51" t="s">
        <v>28718</v>
      </c>
      <c r="B1576" s="152"/>
      <c r="C1576" s="82"/>
      <c r="D1576" s="33" t="s">
        <v>28157</v>
      </c>
      <c r="F1576" s="46" t="s">
        <v>2775</v>
      </c>
    </row>
    <row r="1577">
      <c r="A1577" s="51" t="s">
        <v>28719</v>
      </c>
      <c r="B1577" s="152"/>
      <c r="C1577" s="82"/>
      <c r="D1577" s="33" t="s">
        <v>28223</v>
      </c>
      <c r="F1577" s="46" t="s">
        <v>2775</v>
      </c>
    </row>
    <row r="1578">
      <c r="A1578" s="51" t="s">
        <v>28721</v>
      </c>
      <c r="B1578" s="152"/>
      <c r="C1578" s="82"/>
      <c r="D1578" s="33" t="s">
        <v>28151</v>
      </c>
      <c r="F1578" s="46" t="s">
        <v>2775</v>
      </c>
    </row>
    <row r="1579">
      <c r="A1579" s="51" t="s">
        <v>28722</v>
      </c>
      <c r="B1579" s="152"/>
      <c r="C1579" s="82"/>
      <c r="D1579" s="33" t="s">
        <v>28153</v>
      </c>
      <c r="F1579" s="46" t="s">
        <v>2775</v>
      </c>
    </row>
    <row r="1580">
      <c r="A1580" s="51" t="s">
        <v>28724</v>
      </c>
      <c r="B1580" s="152"/>
      <c r="C1580" s="82"/>
      <c r="D1580" s="33" t="s">
        <v>28157</v>
      </c>
      <c r="F1580" s="46" t="s">
        <v>2775</v>
      </c>
    </row>
    <row r="1581">
      <c r="A1581" s="51" t="s">
        <v>28725</v>
      </c>
      <c r="B1581" s="152"/>
      <c r="C1581" s="82"/>
      <c r="D1581" s="33" t="s">
        <v>28727</v>
      </c>
      <c r="F1581" s="46" t="s">
        <v>2775</v>
      </c>
    </row>
    <row r="1582">
      <c r="A1582" s="51" t="s">
        <v>28728</v>
      </c>
      <c r="B1582" s="152"/>
      <c r="C1582" s="21"/>
      <c r="D1582" s="33" t="s">
        <v>28121</v>
      </c>
    </row>
    <row r="1583">
      <c r="A1583" s="51" t="s">
        <v>28730</v>
      </c>
      <c r="B1583" s="152"/>
      <c r="C1583" s="40"/>
      <c r="D1583" s="33" t="s">
        <v>28121</v>
      </c>
      <c r="F1583" s="46" t="s">
        <v>2756</v>
      </c>
      <c r="G1583" s="46" t="s">
        <v>28314</v>
      </c>
    </row>
    <row r="1584">
      <c r="A1584" s="51" t="s">
        <v>28732</v>
      </c>
      <c r="B1584" s="152"/>
      <c r="C1584" s="82"/>
      <c r="D1584" s="33" t="s">
        <v>28124</v>
      </c>
      <c r="F1584" s="46" t="s">
        <v>2775</v>
      </c>
    </row>
    <row r="1585">
      <c r="A1585" s="51" t="s">
        <v>28733</v>
      </c>
      <c r="B1585" s="152"/>
      <c r="C1585" s="82"/>
      <c r="D1585" s="33" t="s">
        <v>28126</v>
      </c>
      <c r="F1585" s="46" t="s">
        <v>2775</v>
      </c>
    </row>
    <row r="1586">
      <c r="A1586" s="51" t="s">
        <v>28734</v>
      </c>
      <c r="B1586" s="152"/>
      <c r="C1586" s="82"/>
      <c r="D1586" s="33" t="s">
        <v>28128</v>
      </c>
      <c r="F1586" s="46" t="s">
        <v>2775</v>
      </c>
    </row>
    <row r="1587">
      <c r="A1587" s="51" t="s">
        <v>28735</v>
      </c>
      <c r="B1587" s="152"/>
      <c r="C1587" s="82"/>
      <c r="D1587" s="33" t="s">
        <v>28130</v>
      </c>
      <c r="F1587" s="46" t="s">
        <v>2775</v>
      </c>
    </row>
    <row r="1588">
      <c r="A1588" s="51" t="s">
        <v>28736</v>
      </c>
      <c r="B1588" s="152"/>
      <c r="C1588" s="82"/>
      <c r="D1588" s="33" t="s">
        <v>28130</v>
      </c>
      <c r="F1588" s="46" t="s">
        <v>2775</v>
      </c>
    </row>
    <row r="1589">
      <c r="A1589" s="51" t="s">
        <v>28737</v>
      </c>
      <c r="B1589" s="152"/>
      <c r="C1589" s="82"/>
      <c r="D1589" s="33" t="s">
        <v>28130</v>
      </c>
      <c r="F1589" s="46" t="s">
        <v>2775</v>
      </c>
    </row>
    <row r="1590">
      <c r="A1590" s="51" t="s">
        <v>28739</v>
      </c>
      <c r="B1590" s="152"/>
      <c r="C1590" s="82"/>
      <c r="D1590" s="33" t="s">
        <v>28130</v>
      </c>
      <c r="F1590" s="46" t="s">
        <v>2775</v>
      </c>
    </row>
    <row r="1591">
      <c r="A1591" s="51" t="s">
        <v>28740</v>
      </c>
      <c r="B1591" s="152"/>
      <c r="C1591" s="82"/>
      <c r="D1591" s="33" t="s">
        <v>28130</v>
      </c>
      <c r="F1591" s="46" t="s">
        <v>2775</v>
      </c>
    </row>
    <row r="1592">
      <c r="A1592" s="51" t="s">
        <v>28741</v>
      </c>
      <c r="B1592" s="152"/>
      <c r="C1592" s="82"/>
      <c r="D1592" s="33" t="s">
        <v>28130</v>
      </c>
      <c r="F1592" s="46" t="s">
        <v>2775</v>
      </c>
    </row>
    <row r="1593">
      <c r="A1593" s="51" t="s">
        <v>28742</v>
      </c>
      <c r="B1593" s="152"/>
      <c r="C1593" s="82"/>
      <c r="D1593" s="33" t="s">
        <v>28130</v>
      </c>
      <c r="F1593" s="46" t="s">
        <v>2775</v>
      </c>
    </row>
    <row r="1594">
      <c r="A1594" s="51" t="s">
        <v>28743</v>
      </c>
      <c r="B1594" s="152"/>
      <c r="C1594" s="82"/>
      <c r="D1594" s="33" t="s">
        <v>28140</v>
      </c>
      <c r="F1594" s="46" t="s">
        <v>2775</v>
      </c>
    </row>
    <row r="1595">
      <c r="A1595" s="51" t="s">
        <v>28744</v>
      </c>
      <c r="B1595" s="152"/>
      <c r="C1595" s="82"/>
      <c r="D1595" s="33" t="s">
        <v>28140</v>
      </c>
      <c r="F1595" s="46" t="s">
        <v>2775</v>
      </c>
    </row>
    <row r="1596">
      <c r="A1596" s="51" t="s">
        <v>28745</v>
      </c>
      <c r="B1596" s="152"/>
      <c r="C1596" s="82"/>
      <c r="D1596" s="33" t="s">
        <v>28140</v>
      </c>
      <c r="F1596" s="46" t="s">
        <v>2775</v>
      </c>
    </row>
    <row r="1597">
      <c r="A1597" s="51" t="s">
        <v>28747</v>
      </c>
      <c r="B1597" s="152"/>
      <c r="C1597" s="82"/>
      <c r="D1597" s="33" t="s">
        <v>28140</v>
      </c>
      <c r="F1597" s="46" t="s">
        <v>2775</v>
      </c>
    </row>
    <row r="1598">
      <c r="A1598" s="51" t="s">
        <v>28748</v>
      </c>
      <c r="B1598" s="152"/>
      <c r="C1598" s="82"/>
      <c r="D1598" s="33" t="s">
        <v>28140</v>
      </c>
      <c r="F1598" s="46" t="s">
        <v>2775</v>
      </c>
    </row>
    <row r="1599">
      <c r="A1599" s="51" t="s">
        <v>28749</v>
      </c>
      <c r="B1599" s="152"/>
      <c r="C1599" s="82"/>
      <c r="D1599" s="33" t="s">
        <v>28140</v>
      </c>
      <c r="F1599" s="46" t="s">
        <v>2775</v>
      </c>
    </row>
    <row r="1600">
      <c r="A1600" s="51" t="s">
        <v>28750</v>
      </c>
      <c r="B1600" s="152"/>
      <c r="C1600" s="82"/>
      <c r="D1600" s="33" t="s">
        <v>28140</v>
      </c>
      <c r="F1600" s="46" t="s">
        <v>2775</v>
      </c>
    </row>
    <row r="1601">
      <c r="A1601" s="51" t="s">
        <v>28751</v>
      </c>
      <c r="B1601" s="152"/>
      <c r="C1601" s="82"/>
      <c r="D1601" s="33" t="s">
        <v>28140</v>
      </c>
      <c r="F1601" s="46" t="s">
        <v>2775</v>
      </c>
    </row>
    <row r="1602">
      <c r="A1602" s="51" t="s">
        <v>28752</v>
      </c>
      <c r="B1602" s="152"/>
      <c r="C1602" s="82"/>
      <c r="D1602" s="33" t="s">
        <v>28140</v>
      </c>
      <c r="F1602" s="46" t="s">
        <v>2775</v>
      </c>
    </row>
    <row r="1603">
      <c r="A1603" s="51" t="s">
        <v>28753</v>
      </c>
      <c r="B1603" s="152"/>
      <c r="C1603" s="82"/>
      <c r="D1603" s="33" t="s">
        <v>28151</v>
      </c>
      <c r="F1603" s="46" t="s">
        <v>2775</v>
      </c>
    </row>
    <row r="1604">
      <c r="A1604" s="51" t="s">
        <v>28755</v>
      </c>
      <c r="B1604" s="152"/>
      <c r="C1604" s="82"/>
      <c r="D1604" s="33" t="s">
        <v>28153</v>
      </c>
      <c r="F1604" s="46" t="s">
        <v>2775</v>
      </c>
    </row>
    <row r="1605">
      <c r="A1605" s="51" t="s">
        <v>28756</v>
      </c>
      <c r="B1605" s="152"/>
      <c r="C1605" s="82"/>
      <c r="D1605" s="33" t="s">
        <v>28157</v>
      </c>
      <c r="F1605" s="46" t="s">
        <v>2775</v>
      </c>
    </row>
    <row r="1606">
      <c r="A1606" s="51" t="s">
        <v>28757</v>
      </c>
      <c r="B1606" s="152"/>
      <c r="C1606" s="82"/>
      <c r="D1606" s="33" t="s">
        <v>28151</v>
      </c>
      <c r="F1606" s="46" t="s">
        <v>2775</v>
      </c>
    </row>
    <row r="1607">
      <c r="A1607" s="51" t="s">
        <v>28758</v>
      </c>
      <c r="B1607" s="152"/>
      <c r="C1607" s="82"/>
      <c r="D1607" s="33" t="s">
        <v>28153</v>
      </c>
      <c r="F1607" s="46" t="s">
        <v>2775</v>
      </c>
    </row>
    <row r="1608">
      <c r="A1608" s="51" t="s">
        <v>28759</v>
      </c>
      <c r="B1608" s="152"/>
      <c r="C1608" s="82"/>
      <c r="D1608" s="33" t="s">
        <v>28157</v>
      </c>
      <c r="F1608" s="46" t="s">
        <v>2775</v>
      </c>
    </row>
    <row r="1609">
      <c r="A1609" s="51" t="s">
        <v>28761</v>
      </c>
      <c r="B1609" s="152"/>
      <c r="C1609" s="82"/>
      <c r="D1609" s="33" t="s">
        <v>28162</v>
      </c>
      <c r="F1609" s="46" t="s">
        <v>2775</v>
      </c>
    </row>
    <row r="1610">
      <c r="A1610" s="51" t="s">
        <v>28762</v>
      </c>
      <c r="B1610" s="152"/>
      <c r="C1610" s="82"/>
      <c r="D1610" s="33" t="s">
        <v>28164</v>
      </c>
      <c r="F1610" s="46" t="s">
        <v>2775</v>
      </c>
    </row>
    <row r="1611">
      <c r="A1611" s="51" t="s">
        <v>28763</v>
      </c>
      <c r="B1611" s="152"/>
      <c r="C1611" s="82"/>
      <c r="D1611" s="33" t="s">
        <v>28166</v>
      </c>
      <c r="F1611" s="46" t="s">
        <v>2775</v>
      </c>
    </row>
    <row r="1612">
      <c r="A1612" s="51" t="s">
        <v>28764</v>
      </c>
      <c r="B1612" s="152"/>
      <c r="C1612" s="82"/>
      <c r="D1612" s="33" t="s">
        <v>28168</v>
      </c>
      <c r="F1612" s="46" t="s">
        <v>2775</v>
      </c>
    </row>
    <row r="1613">
      <c r="A1613" s="51" t="s">
        <v>28766</v>
      </c>
      <c r="B1613" s="152"/>
      <c r="C1613" s="82"/>
      <c r="D1613" s="33" t="s">
        <v>28171</v>
      </c>
      <c r="F1613" s="46" t="s">
        <v>2775</v>
      </c>
    </row>
    <row r="1614">
      <c r="A1614" s="51" t="s">
        <v>28768</v>
      </c>
      <c r="B1614" s="152"/>
      <c r="C1614" s="82"/>
      <c r="D1614" s="33" t="s">
        <v>28171</v>
      </c>
      <c r="F1614" s="46" t="s">
        <v>2775</v>
      </c>
    </row>
    <row r="1615">
      <c r="A1615" s="51" t="s">
        <v>28769</v>
      </c>
      <c r="B1615" s="152"/>
      <c r="C1615" s="82"/>
      <c r="D1615" s="33" t="s">
        <v>28171</v>
      </c>
      <c r="F1615" s="46" t="s">
        <v>2775</v>
      </c>
    </row>
    <row r="1616">
      <c r="A1616" s="51" t="s">
        <v>28771</v>
      </c>
      <c r="B1616" s="152"/>
      <c r="C1616" s="82"/>
      <c r="D1616" s="33" t="s">
        <v>28171</v>
      </c>
      <c r="F1616" s="46" t="s">
        <v>2775</v>
      </c>
    </row>
    <row r="1617">
      <c r="A1617" s="51" t="s">
        <v>28772</v>
      </c>
      <c r="B1617" s="152"/>
      <c r="C1617" s="82"/>
      <c r="D1617" s="33" t="s">
        <v>28176</v>
      </c>
      <c r="F1617" s="46" t="s">
        <v>2775</v>
      </c>
    </row>
    <row r="1618">
      <c r="A1618" s="51" t="s">
        <v>28773</v>
      </c>
      <c r="B1618" s="152"/>
      <c r="C1618" s="82"/>
      <c r="D1618" s="33" t="s">
        <v>28166</v>
      </c>
      <c r="F1618" s="46" t="s">
        <v>2775</v>
      </c>
    </row>
    <row r="1619">
      <c r="A1619" s="51" t="s">
        <v>28774</v>
      </c>
      <c r="B1619" s="152"/>
      <c r="C1619" s="82"/>
      <c r="D1619" s="33" t="s">
        <v>28168</v>
      </c>
      <c r="F1619" s="46" t="s">
        <v>2775</v>
      </c>
    </row>
    <row r="1620">
      <c r="A1620" s="51" t="s">
        <v>28775</v>
      </c>
      <c r="B1620" s="152"/>
      <c r="C1620" s="21"/>
      <c r="D1620" s="33" t="s">
        <v>28121</v>
      </c>
    </row>
    <row r="1621">
      <c r="A1621" s="51" t="s">
        <v>28776</v>
      </c>
      <c r="B1621" s="152"/>
      <c r="C1621" s="40"/>
      <c r="D1621" s="33" t="s">
        <v>28121</v>
      </c>
      <c r="F1621" s="46" t="s">
        <v>2756</v>
      </c>
    </row>
    <row r="1622">
      <c r="A1622" s="51" t="s">
        <v>28778</v>
      </c>
      <c r="B1622" s="152"/>
      <c r="C1622" s="82"/>
      <c r="D1622" s="33" t="s">
        <v>28128</v>
      </c>
      <c r="F1622" s="46" t="s">
        <v>2775</v>
      </c>
    </row>
    <row r="1623">
      <c r="A1623" s="51" t="s">
        <v>28779</v>
      </c>
      <c r="B1623" s="152"/>
      <c r="C1623" s="82"/>
      <c r="D1623" s="33" t="s">
        <v>28187</v>
      </c>
      <c r="F1623" s="46" t="s">
        <v>2775</v>
      </c>
    </row>
    <row r="1624">
      <c r="A1624" s="51" t="s">
        <v>28780</v>
      </c>
      <c r="B1624" s="152"/>
      <c r="C1624" s="82"/>
      <c r="D1624" s="33" t="s">
        <v>28187</v>
      </c>
      <c r="F1624" s="46" t="s">
        <v>2775</v>
      </c>
    </row>
    <row r="1625">
      <c r="A1625" s="51" t="s">
        <v>28781</v>
      </c>
      <c r="B1625" s="152"/>
      <c r="C1625" s="82"/>
      <c r="D1625" s="33" t="s">
        <v>28187</v>
      </c>
      <c r="F1625" s="46" t="s">
        <v>2775</v>
      </c>
    </row>
    <row r="1626">
      <c r="A1626" s="51" t="s">
        <v>28782</v>
      </c>
      <c r="B1626" s="152"/>
      <c r="C1626" s="82"/>
      <c r="D1626" s="33" t="s">
        <v>28124</v>
      </c>
      <c r="F1626" s="46" t="s">
        <v>2775</v>
      </c>
    </row>
    <row r="1627">
      <c r="A1627" s="51" t="s">
        <v>28785</v>
      </c>
      <c r="B1627" s="152"/>
      <c r="C1627" s="82"/>
      <c r="D1627" s="33" t="s">
        <v>28164</v>
      </c>
      <c r="F1627" s="46" t="s">
        <v>2775</v>
      </c>
    </row>
    <row r="1628">
      <c r="A1628" s="51" t="s">
        <v>28787</v>
      </c>
      <c r="B1628" s="152"/>
      <c r="C1628" s="82"/>
      <c r="D1628" s="33" t="s">
        <v>28166</v>
      </c>
      <c r="F1628" s="46" t="s">
        <v>2775</v>
      </c>
    </row>
    <row r="1629">
      <c r="A1629" s="51" t="s">
        <v>28788</v>
      </c>
      <c r="B1629" s="152"/>
      <c r="C1629" s="82"/>
      <c r="D1629" s="33" t="s">
        <v>28168</v>
      </c>
      <c r="F1629" s="46" t="s">
        <v>2775</v>
      </c>
    </row>
    <row r="1630">
      <c r="A1630" s="51" t="s">
        <v>28790</v>
      </c>
      <c r="B1630" s="152"/>
      <c r="C1630" s="82"/>
      <c r="D1630" s="33" t="s">
        <v>28791</v>
      </c>
      <c r="F1630" s="46" t="s">
        <v>2775</v>
      </c>
    </row>
    <row r="1631">
      <c r="A1631" s="51" t="s">
        <v>28792</v>
      </c>
      <c r="B1631" s="152"/>
      <c r="C1631" s="82"/>
      <c r="D1631" s="33" t="s">
        <v>28793</v>
      </c>
      <c r="F1631" s="46" t="s">
        <v>2775</v>
      </c>
    </row>
    <row r="1632">
      <c r="A1632" s="51" t="s">
        <v>28794</v>
      </c>
      <c r="B1632" s="152"/>
      <c r="C1632" s="82"/>
      <c r="D1632" s="33" t="s">
        <v>28795</v>
      </c>
      <c r="F1632" s="46" t="s">
        <v>2775</v>
      </c>
    </row>
    <row r="1633">
      <c r="A1633" s="51" t="s">
        <v>28797</v>
      </c>
      <c r="B1633" s="152"/>
      <c r="C1633" s="82"/>
      <c r="D1633" s="33" t="s">
        <v>28795</v>
      </c>
      <c r="F1633" s="46" t="s">
        <v>2775</v>
      </c>
    </row>
    <row r="1634">
      <c r="A1634" s="51" t="s">
        <v>28798</v>
      </c>
      <c r="B1634" s="152"/>
      <c r="C1634" s="82"/>
      <c r="D1634" s="33" t="s">
        <v>28164</v>
      </c>
      <c r="F1634" s="46" t="s">
        <v>2775</v>
      </c>
    </row>
    <row r="1635">
      <c r="A1635" s="51" t="s">
        <v>28799</v>
      </c>
      <c r="B1635" s="152"/>
      <c r="C1635" s="82"/>
      <c r="D1635" s="33" t="s">
        <v>28166</v>
      </c>
      <c r="F1635" s="46" t="s">
        <v>2775</v>
      </c>
    </row>
    <row r="1636">
      <c r="A1636" s="51" t="s">
        <v>28800</v>
      </c>
      <c r="B1636" s="152"/>
      <c r="C1636" s="82"/>
      <c r="D1636" s="33" t="s">
        <v>28168</v>
      </c>
      <c r="F1636" s="46" t="s">
        <v>2775</v>
      </c>
    </row>
    <row r="1637">
      <c r="A1637" s="51" t="s">
        <v>28801</v>
      </c>
      <c r="B1637" s="152"/>
      <c r="C1637" s="82"/>
      <c r="D1637" s="33" t="s">
        <v>28223</v>
      </c>
      <c r="F1637" s="46" t="s">
        <v>2775</v>
      </c>
    </row>
    <row r="1638">
      <c r="A1638" s="51" t="s">
        <v>28803</v>
      </c>
      <c r="B1638" s="152"/>
      <c r="C1638" s="82"/>
      <c r="D1638" s="33" t="s">
        <v>28151</v>
      </c>
      <c r="F1638" s="46" t="s">
        <v>2775</v>
      </c>
    </row>
    <row r="1639">
      <c r="A1639" s="51" t="s">
        <v>28806</v>
      </c>
      <c r="B1639" s="152"/>
      <c r="C1639" s="82"/>
      <c r="D1639" s="33" t="s">
        <v>28153</v>
      </c>
      <c r="F1639" s="46" t="s">
        <v>2775</v>
      </c>
    </row>
    <row r="1640">
      <c r="A1640" s="51" t="s">
        <v>28807</v>
      </c>
      <c r="B1640" s="152"/>
      <c r="C1640" s="82"/>
      <c r="D1640" s="33" t="s">
        <v>28157</v>
      </c>
      <c r="F1640" s="46" t="s">
        <v>2775</v>
      </c>
    </row>
    <row r="1641">
      <c r="A1641" s="51" t="s">
        <v>28808</v>
      </c>
      <c r="B1641" s="152"/>
      <c r="C1641" s="82"/>
      <c r="D1641" s="33" t="s">
        <v>28126</v>
      </c>
      <c r="F1641" s="46" t="s">
        <v>2775</v>
      </c>
    </row>
    <row r="1642">
      <c r="A1642" s="51" t="s">
        <v>28810</v>
      </c>
      <c r="B1642" s="152"/>
      <c r="C1642" s="82"/>
      <c r="D1642" s="33" t="s">
        <v>28140</v>
      </c>
      <c r="F1642" s="46" t="s">
        <v>2775</v>
      </c>
    </row>
    <row r="1643">
      <c r="A1643" s="51" t="s">
        <v>28812</v>
      </c>
      <c r="B1643" s="152"/>
      <c r="C1643" s="82"/>
      <c r="D1643" s="33" t="s">
        <v>28140</v>
      </c>
      <c r="F1643" s="46" t="s">
        <v>2775</v>
      </c>
    </row>
    <row r="1644">
      <c r="A1644" s="51" t="s">
        <v>28813</v>
      </c>
      <c r="B1644" s="152"/>
      <c r="C1644" s="82"/>
      <c r="D1644" s="33" t="s">
        <v>28140</v>
      </c>
      <c r="F1644" s="46" t="s">
        <v>2775</v>
      </c>
    </row>
    <row r="1645">
      <c r="A1645" s="51" t="s">
        <v>28814</v>
      </c>
      <c r="B1645" s="152"/>
      <c r="C1645" s="82"/>
      <c r="D1645" s="33" t="s">
        <v>28140</v>
      </c>
      <c r="F1645" s="46" t="s">
        <v>2775</v>
      </c>
    </row>
    <row r="1646">
      <c r="A1646" s="51" t="s">
        <v>28815</v>
      </c>
      <c r="B1646" s="152"/>
      <c r="C1646" s="82"/>
      <c r="D1646" s="33" t="s">
        <v>28140</v>
      </c>
      <c r="F1646" s="46" t="s">
        <v>2775</v>
      </c>
    </row>
    <row r="1647">
      <c r="A1647" s="51" t="s">
        <v>28816</v>
      </c>
      <c r="B1647" s="152"/>
      <c r="C1647" s="82"/>
      <c r="D1647" s="33" t="s">
        <v>28140</v>
      </c>
      <c r="F1647" s="46" t="s">
        <v>2775</v>
      </c>
    </row>
    <row r="1648">
      <c r="A1648" s="51" t="s">
        <v>28818</v>
      </c>
      <c r="B1648" s="152"/>
      <c r="C1648" s="82"/>
      <c r="D1648" s="33" t="s">
        <v>28140</v>
      </c>
      <c r="F1648" s="46" t="s">
        <v>2775</v>
      </c>
    </row>
    <row r="1649">
      <c r="A1649" s="51" t="s">
        <v>28822</v>
      </c>
      <c r="B1649" s="152"/>
      <c r="C1649" s="82"/>
      <c r="D1649" s="33" t="s">
        <v>28223</v>
      </c>
      <c r="F1649" s="46" t="s">
        <v>2775</v>
      </c>
    </row>
    <row r="1650">
      <c r="A1650" s="51" t="s">
        <v>28823</v>
      </c>
      <c r="B1650" s="152"/>
      <c r="C1650" s="82"/>
      <c r="D1650" s="33" t="s">
        <v>28151</v>
      </c>
      <c r="F1650" s="46" t="s">
        <v>2775</v>
      </c>
    </row>
    <row r="1651">
      <c r="A1651" s="51" t="s">
        <v>28826</v>
      </c>
      <c r="B1651" s="152"/>
      <c r="C1651" s="82"/>
      <c r="D1651" s="33" t="s">
        <v>28153</v>
      </c>
      <c r="F1651" s="46" t="s">
        <v>2775</v>
      </c>
    </row>
    <row r="1652">
      <c r="A1652" s="51" t="s">
        <v>28827</v>
      </c>
      <c r="B1652" s="152"/>
      <c r="C1652" s="82"/>
      <c r="D1652" s="33" t="s">
        <v>28157</v>
      </c>
      <c r="F1652" s="46" t="s">
        <v>2775</v>
      </c>
    </row>
    <row r="1653">
      <c r="A1653" s="51" t="s">
        <v>28828</v>
      </c>
      <c r="B1653" s="152"/>
      <c r="C1653" s="82"/>
      <c r="D1653" s="33" t="s">
        <v>28162</v>
      </c>
      <c r="F1653" s="46" t="s">
        <v>2775</v>
      </c>
    </row>
    <row r="1654">
      <c r="A1654" s="51" t="s">
        <v>28830</v>
      </c>
      <c r="B1654" s="152"/>
      <c r="C1654" s="55"/>
      <c r="D1654" s="31"/>
    </row>
    <row r="1655">
      <c r="A1655" s="51" t="s">
        <v>28832</v>
      </c>
      <c r="B1655" s="152"/>
      <c r="C1655" s="55"/>
      <c r="D1655" s="31"/>
    </row>
    <row r="1656">
      <c r="A1656" s="51" t="s">
        <v>28833</v>
      </c>
      <c r="B1656" s="152"/>
      <c r="C1656" s="55"/>
      <c r="D1656" s="31"/>
    </row>
    <row r="1657">
      <c r="A1657" s="51" t="s">
        <v>28834</v>
      </c>
      <c r="B1657" s="152"/>
      <c r="C1657" s="55"/>
      <c r="D1657" s="31"/>
    </row>
    <row r="1658">
      <c r="A1658" s="51" t="s">
        <v>28836</v>
      </c>
      <c r="B1658" s="152"/>
      <c r="C1658" s="55"/>
      <c r="D1658" s="31"/>
    </row>
    <row r="1659">
      <c r="A1659" s="51" t="s">
        <v>28837</v>
      </c>
      <c r="B1659" s="152"/>
      <c r="C1659" s="55"/>
      <c r="D1659" s="31"/>
    </row>
    <row r="1660">
      <c r="A1660" s="51" t="s">
        <v>28841</v>
      </c>
      <c r="B1660" s="152"/>
      <c r="C1660" s="55"/>
      <c r="D1660" s="31"/>
    </row>
    <row r="1661">
      <c r="A1661" s="51" t="s">
        <v>28842</v>
      </c>
      <c r="B1661" s="152"/>
      <c r="C1661" s="55"/>
      <c r="D1661" s="31"/>
    </row>
    <row r="1662">
      <c r="A1662" s="51" t="s">
        <v>28843</v>
      </c>
      <c r="B1662" s="152"/>
      <c r="C1662" s="55"/>
      <c r="D1662" s="31"/>
    </row>
    <row r="1663">
      <c r="A1663" s="51" t="s">
        <v>28846</v>
      </c>
      <c r="B1663" s="152"/>
      <c r="C1663" s="55"/>
      <c r="D1663" s="31"/>
    </row>
    <row r="1664">
      <c r="A1664" s="51" t="s">
        <v>28847</v>
      </c>
      <c r="B1664" s="152"/>
      <c r="C1664" s="55"/>
      <c r="D1664" s="31"/>
    </row>
    <row r="1665">
      <c r="A1665" s="51" t="s">
        <v>28849</v>
      </c>
      <c r="B1665" s="152"/>
      <c r="C1665" s="55"/>
      <c r="D1665" s="31"/>
    </row>
    <row r="1666">
      <c r="A1666" s="51" t="s">
        <v>28850</v>
      </c>
      <c r="B1666" s="152"/>
      <c r="C1666" s="55"/>
      <c r="D1666" s="31"/>
    </row>
    <row r="1667">
      <c r="A1667" s="51" t="s">
        <v>28851</v>
      </c>
      <c r="B1667" s="152"/>
      <c r="C1667" s="55"/>
      <c r="D1667" s="31"/>
    </row>
    <row r="1668">
      <c r="A1668" s="51" t="s">
        <v>28852</v>
      </c>
      <c r="B1668" s="152"/>
      <c r="C1668" s="55"/>
      <c r="D1668" s="31"/>
    </row>
    <row r="1669">
      <c r="A1669" s="51" t="s">
        <v>28853</v>
      </c>
      <c r="B1669" s="152"/>
      <c r="C1669" s="55"/>
      <c r="D1669" s="31"/>
    </row>
    <row r="1670">
      <c r="A1670" s="51" t="s">
        <v>28855</v>
      </c>
      <c r="B1670" s="152"/>
      <c r="C1670" s="55"/>
      <c r="D1670" s="31"/>
    </row>
    <row r="1671">
      <c r="A1671" s="51" t="s">
        <v>28857</v>
      </c>
      <c r="B1671" s="152"/>
      <c r="C1671" s="55"/>
      <c r="D1671" s="31"/>
    </row>
    <row r="1672">
      <c r="A1672" s="51" t="s">
        <v>28858</v>
      </c>
      <c r="B1672" s="152"/>
      <c r="C1672" s="55"/>
      <c r="D1672" s="31"/>
    </row>
    <row r="1673">
      <c r="A1673" s="51" t="s">
        <v>28859</v>
      </c>
      <c r="B1673" s="152"/>
      <c r="C1673" s="55"/>
      <c r="D1673" s="31"/>
    </row>
    <row r="1674">
      <c r="A1674" s="51" t="s">
        <v>28860</v>
      </c>
      <c r="B1674" s="152"/>
      <c r="C1674" s="21"/>
      <c r="D1674" s="33" t="s">
        <v>28862</v>
      </c>
      <c r="F1674" s="46" t="s">
        <v>1348</v>
      </c>
    </row>
    <row r="1675">
      <c r="A1675" s="51" t="s">
        <v>28863</v>
      </c>
      <c r="B1675" s="152"/>
      <c r="C1675" s="21"/>
      <c r="D1675" s="33" t="s">
        <v>28864</v>
      </c>
      <c r="F1675" s="46" t="s">
        <v>1348</v>
      </c>
    </row>
    <row r="1676">
      <c r="A1676" s="51" t="s">
        <v>28865</v>
      </c>
      <c r="B1676" s="152"/>
      <c r="C1676" s="21"/>
      <c r="D1676" s="33" t="s">
        <v>28866</v>
      </c>
    </row>
    <row r="1677">
      <c r="A1677" s="51" t="s">
        <v>28868</v>
      </c>
      <c r="B1677" s="152"/>
      <c r="C1677" s="21"/>
      <c r="D1677" s="33" t="s">
        <v>28866</v>
      </c>
    </row>
    <row r="1678">
      <c r="A1678" s="51" t="s">
        <v>28870</v>
      </c>
      <c r="B1678" s="152"/>
      <c r="C1678" s="40"/>
      <c r="D1678" s="33" t="s">
        <v>28866</v>
      </c>
      <c r="F1678" s="46" t="s">
        <v>2756</v>
      </c>
    </row>
    <row r="1679">
      <c r="A1679" s="51" t="s">
        <v>28871</v>
      </c>
      <c r="B1679" s="152"/>
      <c r="C1679" s="82"/>
      <c r="D1679" s="33" t="s">
        <v>28872</v>
      </c>
      <c r="F1679" s="46" t="s">
        <v>2775</v>
      </c>
    </row>
    <row r="1680">
      <c r="A1680" s="51" t="s">
        <v>28874</v>
      </c>
      <c r="B1680" s="152"/>
      <c r="C1680" s="82"/>
      <c r="D1680" s="33" t="s">
        <v>28875</v>
      </c>
      <c r="F1680" s="46" t="s">
        <v>2775</v>
      </c>
    </row>
    <row r="1681">
      <c r="A1681" s="51" t="s">
        <v>28876</v>
      </c>
      <c r="B1681" s="152"/>
      <c r="C1681" s="82"/>
      <c r="D1681" s="33" t="s">
        <v>28877</v>
      </c>
      <c r="F1681" s="46" t="s">
        <v>2775</v>
      </c>
    </row>
    <row r="1682">
      <c r="A1682" s="51" t="s">
        <v>28878</v>
      </c>
      <c r="B1682" s="152"/>
      <c r="C1682" s="82"/>
      <c r="D1682" s="33" t="s">
        <v>28879</v>
      </c>
      <c r="F1682" s="46" t="s">
        <v>2775</v>
      </c>
    </row>
    <row r="1683">
      <c r="A1683" s="51" t="s">
        <v>28880</v>
      </c>
      <c r="B1683" s="152"/>
      <c r="C1683" s="82"/>
      <c r="D1683" s="33" t="s">
        <v>28881</v>
      </c>
      <c r="F1683" s="46" t="s">
        <v>2775</v>
      </c>
    </row>
    <row r="1684">
      <c r="A1684" s="51" t="s">
        <v>28882</v>
      </c>
      <c r="B1684" s="152"/>
      <c r="C1684" s="82"/>
      <c r="D1684" s="33" t="s">
        <v>28881</v>
      </c>
      <c r="F1684" s="46" t="s">
        <v>2775</v>
      </c>
    </row>
    <row r="1685">
      <c r="A1685" s="51" t="s">
        <v>28883</v>
      </c>
      <c r="B1685" s="152"/>
      <c r="C1685" s="82"/>
      <c r="D1685" s="33" t="s">
        <v>28881</v>
      </c>
      <c r="F1685" s="46" t="s">
        <v>2775</v>
      </c>
    </row>
    <row r="1686">
      <c r="A1686" s="51" t="s">
        <v>28884</v>
      </c>
      <c r="B1686" s="152"/>
      <c r="C1686" s="82"/>
      <c r="D1686" s="33" t="s">
        <v>28885</v>
      </c>
      <c r="F1686" s="46" t="s">
        <v>2775</v>
      </c>
    </row>
    <row r="1687">
      <c r="A1687" s="51" t="s">
        <v>28886</v>
      </c>
      <c r="B1687" s="152"/>
      <c r="C1687" s="82"/>
      <c r="D1687" s="33" t="s">
        <v>28888</v>
      </c>
      <c r="F1687" s="46" t="s">
        <v>2775</v>
      </c>
    </row>
    <row r="1688">
      <c r="A1688" s="51" t="s">
        <v>28891</v>
      </c>
      <c r="B1688" s="152"/>
      <c r="C1688" s="82"/>
      <c r="D1688" s="33" t="s">
        <v>28893</v>
      </c>
      <c r="F1688" s="46" t="s">
        <v>2775</v>
      </c>
    </row>
    <row r="1689">
      <c r="A1689" s="51" t="s">
        <v>28894</v>
      </c>
      <c r="B1689" s="152"/>
      <c r="C1689" s="82"/>
      <c r="D1689" s="33" t="s">
        <v>28885</v>
      </c>
      <c r="F1689" s="46" t="s">
        <v>2775</v>
      </c>
    </row>
    <row r="1690">
      <c r="A1690" s="51" t="s">
        <v>28895</v>
      </c>
      <c r="B1690" s="152"/>
      <c r="C1690" s="82"/>
      <c r="D1690" s="33" t="s">
        <v>28888</v>
      </c>
      <c r="F1690" s="46" t="s">
        <v>2775</v>
      </c>
    </row>
    <row r="1691">
      <c r="A1691" s="51" t="s">
        <v>28896</v>
      </c>
      <c r="B1691" s="152"/>
      <c r="C1691" s="82"/>
      <c r="D1691" s="33" t="s">
        <v>28893</v>
      </c>
      <c r="F1691" s="46" t="s">
        <v>2775</v>
      </c>
    </row>
    <row r="1692">
      <c r="A1692" s="51" t="s">
        <v>28897</v>
      </c>
      <c r="B1692" s="152"/>
      <c r="C1692" s="82"/>
      <c r="D1692" s="33" t="s">
        <v>28898</v>
      </c>
      <c r="F1692" s="46" t="s">
        <v>2775</v>
      </c>
    </row>
    <row r="1693">
      <c r="A1693" s="51" t="s">
        <v>28899</v>
      </c>
      <c r="B1693" s="152"/>
      <c r="C1693" s="82"/>
      <c r="D1693" s="33" t="s">
        <v>28900</v>
      </c>
      <c r="F1693" s="46" t="s">
        <v>2775</v>
      </c>
    </row>
    <row r="1694">
      <c r="A1694" s="51" t="s">
        <v>28902</v>
      </c>
      <c r="B1694" s="152"/>
      <c r="C1694" s="82"/>
      <c r="D1694" s="33" t="s">
        <v>28893</v>
      </c>
      <c r="F1694" s="46" t="s">
        <v>2775</v>
      </c>
    </row>
    <row r="1695">
      <c r="A1695" s="51" t="s">
        <v>28903</v>
      </c>
      <c r="B1695" s="152"/>
      <c r="C1695" s="82"/>
      <c r="D1695" s="33" t="s">
        <v>28904</v>
      </c>
      <c r="F1695" s="46" t="s">
        <v>2775</v>
      </c>
    </row>
    <row r="1696">
      <c r="A1696" s="51" t="s">
        <v>28905</v>
      </c>
      <c r="B1696" s="152"/>
      <c r="C1696" s="82"/>
      <c r="D1696" s="33" t="s">
        <v>28904</v>
      </c>
      <c r="F1696" s="46" t="s">
        <v>2775</v>
      </c>
    </row>
    <row r="1697">
      <c r="A1697" s="51" t="s">
        <v>28907</v>
      </c>
      <c r="B1697" s="152"/>
      <c r="C1697" s="82"/>
      <c r="D1697" s="33" t="s">
        <v>28904</v>
      </c>
      <c r="F1697" s="46" t="s">
        <v>2775</v>
      </c>
    </row>
    <row r="1698">
      <c r="A1698" s="51" t="s">
        <v>28909</v>
      </c>
      <c r="B1698" s="152"/>
      <c r="C1698" s="82"/>
      <c r="D1698" s="33" t="s">
        <v>28904</v>
      </c>
      <c r="F1698" s="46" t="s">
        <v>2775</v>
      </c>
    </row>
    <row r="1699">
      <c r="A1699" s="51" t="s">
        <v>28911</v>
      </c>
      <c r="B1699" s="152"/>
      <c r="C1699" s="82"/>
      <c r="D1699" s="33" t="s">
        <v>28904</v>
      </c>
      <c r="F1699" s="46" t="s">
        <v>2775</v>
      </c>
    </row>
    <row r="1700">
      <c r="A1700" s="51" t="s">
        <v>28912</v>
      </c>
      <c r="B1700" s="152"/>
      <c r="C1700" s="82"/>
      <c r="D1700" s="33" t="s">
        <v>28913</v>
      </c>
      <c r="F1700" s="46" t="s">
        <v>2775</v>
      </c>
    </row>
    <row r="1701">
      <c r="A1701" s="51" t="s">
        <v>28914</v>
      </c>
      <c r="B1701" s="152"/>
      <c r="C1701" s="82"/>
      <c r="D1701" s="33" t="s">
        <v>28898</v>
      </c>
      <c r="F1701" s="46" t="s">
        <v>2775</v>
      </c>
    </row>
    <row r="1702">
      <c r="A1702" s="51" t="s">
        <v>28915</v>
      </c>
      <c r="B1702" s="152"/>
      <c r="C1702" s="82"/>
      <c r="D1702" s="33" t="s">
        <v>28900</v>
      </c>
      <c r="F1702" s="46" t="s">
        <v>2775</v>
      </c>
    </row>
    <row r="1703">
      <c r="A1703" s="51" t="s">
        <v>28916</v>
      </c>
      <c r="B1703" s="152"/>
      <c r="C1703" s="82"/>
      <c r="D1703" s="33" t="s">
        <v>28893</v>
      </c>
      <c r="F1703" s="46" t="s">
        <v>2775</v>
      </c>
    </row>
    <row r="1704">
      <c r="A1704" s="51" t="s">
        <v>28918</v>
      </c>
      <c r="B1704" s="152"/>
      <c r="C1704" s="82"/>
      <c r="D1704" s="33" t="s">
        <v>28919</v>
      </c>
      <c r="F1704" s="46" t="s">
        <v>1348</v>
      </c>
    </row>
    <row r="1705">
      <c r="A1705" s="51" t="s">
        <v>28921</v>
      </c>
      <c r="B1705" s="152"/>
      <c r="C1705" s="55"/>
      <c r="D1705" s="31"/>
    </row>
    <row r="1706">
      <c r="A1706" s="51" t="s">
        <v>28923</v>
      </c>
      <c r="B1706" s="152"/>
      <c r="C1706" s="55"/>
      <c r="D1706" s="31"/>
    </row>
    <row r="1707">
      <c r="A1707" s="51" t="s">
        <v>28924</v>
      </c>
      <c r="B1707" s="152"/>
      <c r="C1707" s="82"/>
      <c r="D1707" s="33" t="s">
        <v>28925</v>
      </c>
      <c r="F1707" s="46" t="s">
        <v>1348</v>
      </c>
    </row>
    <row r="1708">
      <c r="A1708" s="51" t="s">
        <v>28926</v>
      </c>
      <c r="B1708" s="152"/>
      <c r="C1708" s="55"/>
      <c r="D1708" s="31"/>
    </row>
    <row r="1709">
      <c r="A1709" s="51" t="s">
        <v>28928</v>
      </c>
      <c r="B1709" s="152"/>
      <c r="C1709" s="55"/>
      <c r="D1709" s="31"/>
    </row>
    <row r="1710">
      <c r="A1710" s="51" t="s">
        <v>28929</v>
      </c>
      <c r="B1710" s="152"/>
      <c r="C1710" s="55"/>
      <c r="D1710" s="31"/>
    </row>
    <row r="1711">
      <c r="A1711" s="51" t="s">
        <v>28930</v>
      </c>
      <c r="B1711" s="152"/>
      <c r="C1711" s="55"/>
      <c r="D1711" s="31"/>
    </row>
    <row r="1712">
      <c r="A1712" s="51" t="s">
        <v>28931</v>
      </c>
      <c r="B1712" s="152"/>
      <c r="C1712" s="21"/>
      <c r="D1712" s="33" t="s">
        <v>28932</v>
      </c>
    </row>
    <row r="1713">
      <c r="A1713" s="51" t="s">
        <v>28933</v>
      </c>
      <c r="B1713" s="152"/>
      <c r="C1713" s="21"/>
      <c r="D1713" s="33" t="s">
        <v>28932</v>
      </c>
    </row>
    <row r="1714">
      <c r="A1714" s="51" t="s">
        <v>28934</v>
      </c>
      <c r="B1714" s="152"/>
      <c r="C1714" s="40"/>
      <c r="D1714" s="33" t="s">
        <v>28932</v>
      </c>
      <c r="F1714" s="46" t="s">
        <v>2756</v>
      </c>
    </row>
    <row r="1715">
      <c r="A1715" s="51" t="s">
        <v>28935</v>
      </c>
      <c r="B1715" s="152"/>
      <c r="C1715" s="82"/>
      <c r="D1715" s="33" t="s">
        <v>28938</v>
      </c>
      <c r="F1715" s="46" t="s">
        <v>2775</v>
      </c>
    </row>
    <row r="1716">
      <c r="A1716" s="51" t="s">
        <v>28940</v>
      </c>
      <c r="B1716" s="152"/>
      <c r="C1716" s="82"/>
      <c r="D1716" s="33" t="s">
        <v>28941</v>
      </c>
      <c r="F1716" s="46" t="s">
        <v>2775</v>
      </c>
    </row>
    <row r="1717">
      <c r="A1717" s="51" t="s">
        <v>28942</v>
      </c>
      <c r="B1717" s="152"/>
      <c r="C1717" s="82"/>
      <c r="D1717" s="33" t="s">
        <v>28943</v>
      </c>
      <c r="F1717" s="46" t="s">
        <v>2775</v>
      </c>
    </row>
    <row r="1718">
      <c r="A1718" s="51" t="s">
        <v>28944</v>
      </c>
      <c r="B1718" s="152"/>
      <c r="C1718" s="82"/>
      <c r="D1718" s="33" t="s">
        <v>28943</v>
      </c>
      <c r="F1718" s="46" t="s">
        <v>2775</v>
      </c>
    </row>
    <row r="1719">
      <c r="A1719" s="51" t="s">
        <v>28945</v>
      </c>
      <c r="B1719" s="152"/>
      <c r="C1719" s="82"/>
      <c r="D1719" s="33" t="s">
        <v>28946</v>
      </c>
      <c r="F1719" s="46" t="s">
        <v>2775</v>
      </c>
    </row>
    <row r="1720">
      <c r="A1720" s="51" t="s">
        <v>28947</v>
      </c>
      <c r="B1720" s="152"/>
      <c r="C1720" s="82"/>
      <c r="D1720" s="33" t="s">
        <v>28948</v>
      </c>
      <c r="F1720" s="46" t="s">
        <v>2775</v>
      </c>
    </row>
    <row r="1721">
      <c r="A1721" s="51" t="s">
        <v>28950</v>
      </c>
      <c r="B1721" s="152"/>
      <c r="C1721" s="82"/>
      <c r="D1721" s="33" t="s">
        <v>28951</v>
      </c>
      <c r="F1721" s="46" t="s">
        <v>2775</v>
      </c>
    </row>
    <row r="1722">
      <c r="A1722" s="51" t="s">
        <v>28952</v>
      </c>
      <c r="B1722" s="152"/>
      <c r="C1722" s="82"/>
      <c r="D1722" s="33" t="s">
        <v>28943</v>
      </c>
      <c r="F1722" s="46" t="s">
        <v>2775</v>
      </c>
    </row>
    <row r="1723">
      <c r="A1723" s="51" t="s">
        <v>28953</v>
      </c>
      <c r="B1723" s="152"/>
      <c r="C1723" s="82"/>
      <c r="D1723" s="33" t="s">
        <v>28954</v>
      </c>
      <c r="F1723" s="46" t="s">
        <v>2775</v>
      </c>
    </row>
    <row r="1724">
      <c r="A1724" s="51" t="s">
        <v>28956</v>
      </c>
      <c r="B1724" s="152"/>
      <c r="C1724" s="82"/>
      <c r="D1724" s="33" t="s">
        <v>28957</v>
      </c>
      <c r="F1724" s="46" t="s">
        <v>2775</v>
      </c>
    </row>
    <row r="1725">
      <c r="A1725" s="51" t="s">
        <v>28959</v>
      </c>
      <c r="B1725" s="152"/>
      <c r="C1725" s="82"/>
      <c r="D1725" s="33" t="s">
        <v>28957</v>
      </c>
      <c r="F1725" s="46" t="s">
        <v>2775</v>
      </c>
    </row>
    <row r="1726">
      <c r="A1726" s="51" t="s">
        <v>28961</v>
      </c>
      <c r="B1726" s="152"/>
      <c r="C1726" s="82"/>
      <c r="D1726" s="33" t="s">
        <v>28962</v>
      </c>
      <c r="F1726" s="46" t="s">
        <v>2775</v>
      </c>
    </row>
    <row r="1727">
      <c r="A1727" s="51" t="s">
        <v>28963</v>
      </c>
      <c r="B1727" s="152"/>
      <c r="C1727" s="82"/>
      <c r="D1727" s="33" t="s">
        <v>28962</v>
      </c>
      <c r="F1727" s="46" t="s">
        <v>2775</v>
      </c>
    </row>
    <row r="1728">
      <c r="A1728" s="51" t="s">
        <v>28964</v>
      </c>
      <c r="B1728" s="152"/>
      <c r="C1728" s="82"/>
      <c r="D1728" s="33" t="s">
        <v>28962</v>
      </c>
      <c r="F1728" s="46" t="s">
        <v>2775</v>
      </c>
    </row>
    <row r="1729">
      <c r="A1729" s="51" t="s">
        <v>28965</v>
      </c>
      <c r="B1729" s="152"/>
      <c r="C1729" s="82"/>
      <c r="D1729" s="33" t="s">
        <v>28962</v>
      </c>
      <c r="F1729" s="46" t="s">
        <v>2775</v>
      </c>
    </row>
    <row r="1730">
      <c r="A1730" s="51" t="s">
        <v>28966</v>
      </c>
      <c r="B1730" s="152"/>
      <c r="C1730" s="82"/>
      <c r="D1730" s="33" t="s">
        <v>28962</v>
      </c>
      <c r="F1730" s="46" t="s">
        <v>2775</v>
      </c>
    </row>
    <row r="1731">
      <c r="A1731" s="51" t="s">
        <v>28967</v>
      </c>
      <c r="B1731" s="152"/>
      <c r="C1731" s="82"/>
      <c r="D1731" s="33" t="s">
        <v>28962</v>
      </c>
      <c r="F1731" s="46" t="s">
        <v>2775</v>
      </c>
    </row>
    <row r="1732">
      <c r="A1732" s="51" t="s">
        <v>28969</v>
      </c>
      <c r="B1732" s="152"/>
      <c r="C1732" s="82"/>
      <c r="D1732" s="33" t="s">
        <v>28962</v>
      </c>
      <c r="F1732" s="46" t="s">
        <v>2775</v>
      </c>
    </row>
    <row r="1733">
      <c r="A1733" s="51" t="s">
        <v>28970</v>
      </c>
      <c r="B1733" s="152"/>
      <c r="C1733" s="82"/>
      <c r="D1733" s="33" t="s">
        <v>28962</v>
      </c>
      <c r="F1733" s="46" t="s">
        <v>2775</v>
      </c>
    </row>
    <row r="1734">
      <c r="A1734" s="51" t="s">
        <v>28972</v>
      </c>
      <c r="B1734" s="152"/>
      <c r="C1734" s="82"/>
      <c r="D1734" s="33" t="s">
        <v>28962</v>
      </c>
      <c r="F1734" s="46" t="s">
        <v>2775</v>
      </c>
    </row>
    <row r="1735">
      <c r="A1735" s="51" t="s">
        <v>28974</v>
      </c>
      <c r="B1735" s="152"/>
      <c r="C1735" s="82"/>
      <c r="D1735" s="33" t="s">
        <v>28962</v>
      </c>
      <c r="F1735" s="46" t="s">
        <v>2775</v>
      </c>
    </row>
    <row r="1736">
      <c r="A1736" s="51" t="s">
        <v>28975</v>
      </c>
      <c r="B1736" s="152"/>
      <c r="C1736" s="82"/>
      <c r="D1736" s="33" t="s">
        <v>28976</v>
      </c>
      <c r="F1736" s="46" t="s">
        <v>2775</v>
      </c>
    </row>
    <row r="1737">
      <c r="A1737" s="51" t="s">
        <v>28978</v>
      </c>
      <c r="B1737" s="152"/>
      <c r="C1737" s="82"/>
      <c r="D1737" s="33" t="s">
        <v>28976</v>
      </c>
      <c r="F1737" s="46" t="s">
        <v>2775</v>
      </c>
    </row>
    <row r="1738">
      <c r="A1738" s="51" t="s">
        <v>28979</v>
      </c>
      <c r="B1738" s="152"/>
      <c r="C1738" s="82"/>
      <c r="D1738" s="33" t="s">
        <v>28943</v>
      </c>
      <c r="F1738" s="46" t="s">
        <v>2775</v>
      </c>
    </row>
    <row r="1739">
      <c r="A1739" s="51" t="s">
        <v>28980</v>
      </c>
      <c r="B1739" s="152"/>
      <c r="C1739" s="82"/>
      <c r="D1739" s="33" t="s">
        <v>28943</v>
      </c>
      <c r="F1739" s="46" t="s">
        <v>2775</v>
      </c>
    </row>
    <row r="1740">
      <c r="A1740" s="51" t="s">
        <v>28981</v>
      </c>
      <c r="B1740" s="152"/>
      <c r="C1740" s="82"/>
      <c r="D1740" s="33" t="s">
        <v>28946</v>
      </c>
      <c r="F1740" s="46" t="s">
        <v>2775</v>
      </c>
    </row>
    <row r="1741">
      <c r="A1741" s="51" t="s">
        <v>28982</v>
      </c>
      <c r="B1741" s="152"/>
      <c r="C1741" s="82"/>
      <c r="D1741" s="33" t="s">
        <v>28951</v>
      </c>
      <c r="F1741" s="46" t="s">
        <v>2775</v>
      </c>
    </row>
    <row r="1742">
      <c r="A1742" s="51" t="s">
        <v>28985</v>
      </c>
      <c r="B1742" s="152"/>
      <c r="C1742" s="82"/>
      <c r="D1742" s="33" t="s">
        <v>28987</v>
      </c>
      <c r="F1742" s="46" t="s">
        <v>2775</v>
      </c>
    </row>
    <row r="1743">
      <c r="A1743" s="51" t="s">
        <v>28988</v>
      </c>
      <c r="B1743" s="152"/>
      <c r="C1743" s="82"/>
      <c r="D1743" s="33" t="s">
        <v>28948</v>
      </c>
      <c r="F1743" s="46" t="s">
        <v>2775</v>
      </c>
    </row>
    <row r="1744">
      <c r="A1744" s="51" t="s">
        <v>28989</v>
      </c>
      <c r="B1744" s="152"/>
      <c r="C1744" s="82"/>
      <c r="D1744" s="33" t="s">
        <v>28943</v>
      </c>
      <c r="F1744" s="46" t="s">
        <v>2775</v>
      </c>
    </row>
    <row r="1745">
      <c r="A1745" s="51" t="s">
        <v>28990</v>
      </c>
      <c r="B1745" s="152"/>
      <c r="C1745" s="82"/>
      <c r="D1745" s="33" t="s">
        <v>28991</v>
      </c>
      <c r="F1745" s="46" t="s">
        <v>1348</v>
      </c>
    </row>
    <row r="1746">
      <c r="A1746" s="51" t="s">
        <v>28992</v>
      </c>
      <c r="B1746" s="152"/>
      <c r="C1746" s="82"/>
      <c r="D1746" s="33" t="s">
        <v>28991</v>
      </c>
      <c r="F1746" s="46" t="s">
        <v>1348</v>
      </c>
    </row>
    <row r="1747">
      <c r="A1747" s="51" t="s">
        <v>28994</v>
      </c>
      <c r="B1747" s="152"/>
      <c r="C1747" s="82"/>
      <c r="D1747" s="33" t="s">
        <v>28991</v>
      </c>
      <c r="F1747" s="46" t="s">
        <v>1348</v>
      </c>
    </row>
    <row r="1748">
      <c r="A1748" s="51" t="s">
        <v>28995</v>
      </c>
      <c r="B1748" s="152"/>
      <c r="C1748" s="82"/>
      <c r="D1748" s="33" t="s">
        <v>28991</v>
      </c>
      <c r="F1748" s="46" t="s">
        <v>1348</v>
      </c>
    </row>
    <row r="1749">
      <c r="A1749" s="51" t="s">
        <v>28996</v>
      </c>
      <c r="B1749" s="152"/>
      <c r="C1749" s="55"/>
      <c r="D1749" s="31"/>
    </row>
    <row r="1750">
      <c r="A1750" s="51" t="s">
        <v>28997</v>
      </c>
      <c r="B1750" s="152"/>
      <c r="C1750" s="55"/>
      <c r="D1750" s="31"/>
    </row>
    <row r="1751">
      <c r="A1751" s="51" t="s">
        <v>29001</v>
      </c>
      <c r="B1751" s="152"/>
      <c r="C1751" s="55"/>
      <c r="D1751" s="31"/>
    </row>
    <row r="1752">
      <c r="A1752" s="51" t="s">
        <v>29002</v>
      </c>
      <c r="B1752" s="152"/>
      <c r="C1752" s="55"/>
      <c r="D1752" s="31"/>
    </row>
    <row r="1753">
      <c r="A1753" s="51" t="s">
        <v>29003</v>
      </c>
      <c r="B1753" s="152"/>
      <c r="C1753" s="55"/>
      <c r="D1753" s="31"/>
    </row>
    <row r="1754">
      <c r="A1754" s="51" t="s">
        <v>29004</v>
      </c>
      <c r="B1754" s="152"/>
      <c r="C1754" s="82"/>
      <c r="D1754" s="33" t="s">
        <v>29005</v>
      </c>
      <c r="F1754" s="46" t="s">
        <v>1348</v>
      </c>
    </row>
    <row r="1755">
      <c r="A1755" s="51" t="s">
        <v>29007</v>
      </c>
      <c r="B1755" s="152"/>
      <c r="C1755" s="82"/>
      <c r="D1755" s="33" t="s">
        <v>29005</v>
      </c>
      <c r="F1755" s="46" t="s">
        <v>1348</v>
      </c>
    </row>
    <row r="1756">
      <c r="A1756" s="51" t="s">
        <v>29008</v>
      </c>
      <c r="B1756" s="152"/>
      <c r="C1756" s="55"/>
      <c r="D1756" s="31"/>
    </row>
    <row r="1757">
      <c r="A1757" s="51" t="s">
        <v>29010</v>
      </c>
      <c r="B1757" s="152"/>
      <c r="C1757" s="55"/>
      <c r="D1757" s="31"/>
    </row>
    <row r="1758">
      <c r="A1758" s="51" t="s">
        <v>29014</v>
      </c>
      <c r="B1758" s="152"/>
      <c r="C1758" s="55"/>
      <c r="D1758" s="31"/>
    </row>
    <row r="1759">
      <c r="A1759" s="51" t="s">
        <v>29015</v>
      </c>
      <c r="B1759" s="152"/>
      <c r="C1759" s="55"/>
      <c r="D1759" s="31"/>
    </row>
    <row r="1760">
      <c r="A1760" s="51" t="s">
        <v>29016</v>
      </c>
      <c r="B1760" s="152"/>
      <c r="C1760" s="55"/>
      <c r="D1760" s="31"/>
    </row>
    <row r="1761">
      <c r="A1761" s="51" t="s">
        <v>29017</v>
      </c>
      <c r="B1761" s="152"/>
      <c r="C1761" s="55"/>
      <c r="D1761" s="31"/>
    </row>
    <row r="1762">
      <c r="A1762" s="51" t="s">
        <v>29018</v>
      </c>
      <c r="B1762" s="152"/>
      <c r="C1762" s="55"/>
      <c r="D1762" s="31"/>
    </row>
    <row r="1763">
      <c r="A1763" s="51" t="s">
        <v>29019</v>
      </c>
      <c r="B1763" s="152"/>
      <c r="C1763" s="55"/>
      <c r="D1763" s="31"/>
    </row>
    <row r="1764">
      <c r="A1764" s="51" t="s">
        <v>29023</v>
      </c>
      <c r="B1764" s="152"/>
      <c r="C1764" s="55"/>
      <c r="D1764" s="31"/>
    </row>
    <row r="1765">
      <c r="A1765" s="51" t="s">
        <v>29024</v>
      </c>
      <c r="B1765" s="152"/>
      <c r="C1765" s="55"/>
      <c r="D1765" s="31"/>
    </row>
    <row r="1766">
      <c r="A1766" s="51" t="s">
        <v>29025</v>
      </c>
      <c r="B1766" s="152"/>
      <c r="C1766" s="55"/>
      <c r="D1766" s="31"/>
    </row>
    <row r="1767">
      <c r="A1767" s="51" t="s">
        <v>29026</v>
      </c>
      <c r="B1767" s="152"/>
      <c r="C1767" s="55"/>
      <c r="D1767" s="31"/>
    </row>
    <row r="1768">
      <c r="A1768" s="51" t="s">
        <v>29027</v>
      </c>
      <c r="B1768" s="152"/>
      <c r="C1768" s="55"/>
      <c r="D1768" s="31"/>
    </row>
    <row r="1769">
      <c r="A1769" s="51" t="s">
        <v>29028</v>
      </c>
      <c r="B1769" s="152"/>
      <c r="C1769" s="55"/>
      <c r="D1769" s="31"/>
    </row>
    <row r="1770">
      <c r="A1770" s="51" t="s">
        <v>29029</v>
      </c>
      <c r="B1770" s="152"/>
      <c r="C1770" s="55"/>
      <c r="D1770" s="31"/>
    </row>
    <row r="1771">
      <c r="A1771" s="51" t="s">
        <v>29032</v>
      </c>
      <c r="B1771" s="152"/>
      <c r="C1771" s="82"/>
      <c r="D1771" s="33" t="s">
        <v>29034</v>
      </c>
      <c r="F1771" s="46" t="s">
        <v>1348</v>
      </c>
    </row>
    <row r="1772">
      <c r="A1772" s="51" t="s">
        <v>29035</v>
      </c>
      <c r="B1772" s="152"/>
      <c r="C1772" s="55"/>
      <c r="D1772" s="31"/>
    </row>
    <row r="1773">
      <c r="A1773" s="51" t="s">
        <v>29036</v>
      </c>
      <c r="B1773" s="152"/>
      <c r="C1773" s="55"/>
      <c r="D1773" s="33" t="s">
        <v>29037</v>
      </c>
    </row>
    <row r="1774">
      <c r="A1774" s="51" t="s">
        <v>29039</v>
      </c>
      <c r="B1774" s="152"/>
      <c r="C1774" s="55"/>
      <c r="D1774" s="31"/>
    </row>
    <row r="1775">
      <c r="A1775" s="51" t="s">
        <v>29040</v>
      </c>
      <c r="B1775" s="152"/>
      <c r="C1775" s="55"/>
      <c r="D1775" s="31"/>
    </row>
    <row r="1776">
      <c r="A1776" s="51" t="s">
        <v>29041</v>
      </c>
      <c r="B1776" s="152"/>
      <c r="C1776" s="55"/>
      <c r="D1776" s="31"/>
    </row>
    <row r="1777">
      <c r="A1777" s="51" t="s">
        <v>29043</v>
      </c>
      <c r="B1777" s="152"/>
      <c r="C1777" s="55"/>
      <c r="D1777" s="31"/>
    </row>
    <row r="1778">
      <c r="A1778" s="51" t="s">
        <v>29045</v>
      </c>
      <c r="B1778" s="152"/>
      <c r="C1778" s="82"/>
      <c r="D1778" s="33" t="s">
        <v>29047</v>
      </c>
      <c r="F1778" s="46" t="s">
        <v>1348</v>
      </c>
    </row>
    <row r="1779">
      <c r="A1779" s="51" t="s">
        <v>29048</v>
      </c>
      <c r="B1779" s="152"/>
      <c r="C1779" s="55"/>
      <c r="D1779" s="31"/>
    </row>
    <row r="1780">
      <c r="A1780" s="51" t="s">
        <v>29049</v>
      </c>
      <c r="B1780" s="152"/>
      <c r="C1780" s="55"/>
      <c r="D1780" s="31"/>
    </row>
    <row r="1781">
      <c r="A1781" s="51" t="s">
        <v>29050</v>
      </c>
      <c r="B1781" s="152"/>
      <c r="C1781" s="55"/>
      <c r="D1781" s="31"/>
    </row>
    <row r="1782">
      <c r="A1782" s="51" t="s">
        <v>29051</v>
      </c>
      <c r="B1782" s="152"/>
      <c r="C1782" s="55"/>
      <c r="D1782" s="31"/>
    </row>
    <row r="1783">
      <c r="A1783" s="51" t="s">
        <v>29053</v>
      </c>
      <c r="B1783" s="152"/>
      <c r="C1783" s="55"/>
      <c r="D1783" s="31"/>
    </row>
    <row r="1784">
      <c r="A1784" s="51" t="s">
        <v>29055</v>
      </c>
      <c r="B1784" s="152"/>
      <c r="C1784" s="55"/>
      <c r="D1784" s="31"/>
    </row>
    <row r="1785">
      <c r="A1785" s="51" t="s">
        <v>29058</v>
      </c>
      <c r="B1785" s="152"/>
      <c r="C1785" s="55"/>
      <c r="D1785" s="31"/>
    </row>
    <row r="1786">
      <c r="A1786" s="51" t="s">
        <v>29060</v>
      </c>
      <c r="B1786" s="152"/>
      <c r="C1786" s="55"/>
      <c r="D1786" s="31"/>
    </row>
    <row r="1787">
      <c r="A1787" s="51" t="s">
        <v>29062</v>
      </c>
      <c r="B1787" s="152"/>
      <c r="C1787" s="55"/>
      <c r="D1787" s="31"/>
    </row>
    <row r="1788">
      <c r="A1788" s="51" t="s">
        <v>29063</v>
      </c>
      <c r="B1788" s="152"/>
      <c r="C1788" s="55"/>
      <c r="D1788" s="31"/>
    </row>
    <row r="1789">
      <c r="A1789" s="51" t="s">
        <v>29064</v>
      </c>
      <c r="B1789" s="152"/>
      <c r="C1789" s="55"/>
      <c r="D1789" s="31"/>
    </row>
    <row r="1790">
      <c r="A1790" s="51" t="s">
        <v>29065</v>
      </c>
      <c r="B1790" s="152"/>
      <c r="C1790" s="55"/>
      <c r="D1790" s="31"/>
    </row>
    <row r="1791">
      <c r="A1791" s="51" t="s">
        <v>29066</v>
      </c>
      <c r="B1791" s="152"/>
      <c r="C1791" s="55"/>
      <c r="D1791" s="31"/>
    </row>
    <row r="1792">
      <c r="A1792" s="51" t="s">
        <v>29068</v>
      </c>
      <c r="B1792" s="152"/>
      <c r="C1792" s="55"/>
      <c r="D1792" s="31"/>
    </row>
    <row r="1793">
      <c r="A1793" s="51" t="s">
        <v>29071</v>
      </c>
      <c r="B1793" s="152"/>
      <c r="C1793" s="55"/>
      <c r="D1793" s="31"/>
    </row>
    <row r="1794">
      <c r="A1794" s="51" t="s">
        <v>29072</v>
      </c>
      <c r="B1794" s="152"/>
      <c r="C1794" s="55"/>
      <c r="D1794" s="31"/>
    </row>
    <row r="1795">
      <c r="A1795" s="51" t="s">
        <v>29073</v>
      </c>
      <c r="B1795" s="152"/>
      <c r="C1795" s="55"/>
      <c r="D1795" s="31"/>
    </row>
    <row r="1796">
      <c r="A1796" s="51" t="s">
        <v>29074</v>
      </c>
      <c r="B1796" s="152"/>
      <c r="C1796" s="55"/>
      <c r="D1796" s="31"/>
    </row>
    <row r="1797">
      <c r="A1797" s="51" t="s">
        <v>29075</v>
      </c>
      <c r="B1797" s="152"/>
      <c r="C1797" s="55"/>
      <c r="D1797" s="31"/>
    </row>
    <row r="1798">
      <c r="A1798" s="51" t="s">
        <v>29076</v>
      </c>
      <c r="B1798" s="152"/>
      <c r="C1798" s="55"/>
      <c r="D1798" s="31"/>
    </row>
    <row r="1799">
      <c r="A1799" s="51" t="s">
        <v>29077</v>
      </c>
      <c r="B1799" s="152"/>
      <c r="C1799" s="55"/>
      <c r="D1799" s="31"/>
    </row>
    <row r="1800">
      <c r="A1800" s="51" t="s">
        <v>29081</v>
      </c>
      <c r="B1800" s="152"/>
      <c r="C1800" s="55"/>
      <c r="D1800" s="31"/>
    </row>
    <row r="1801">
      <c r="A1801" s="51" t="s">
        <v>29082</v>
      </c>
      <c r="B1801" s="152"/>
      <c r="C1801" s="55"/>
      <c r="D1801" s="31"/>
    </row>
    <row r="1802">
      <c r="A1802" s="51" t="s">
        <v>29083</v>
      </c>
      <c r="B1802" s="152"/>
      <c r="C1802" s="55"/>
      <c r="D1802" s="31"/>
    </row>
    <row r="1803">
      <c r="A1803" s="51" t="s">
        <v>29084</v>
      </c>
      <c r="B1803" s="152"/>
      <c r="C1803" s="55"/>
      <c r="D1803" s="31"/>
    </row>
    <row r="1804">
      <c r="A1804" s="51" t="s">
        <v>29085</v>
      </c>
      <c r="B1804" s="152"/>
      <c r="C1804" s="55"/>
      <c r="D1804" s="31"/>
    </row>
    <row r="1805">
      <c r="A1805" s="51" t="s">
        <v>29086</v>
      </c>
      <c r="B1805" s="152"/>
      <c r="C1805" s="55"/>
      <c r="D1805" s="31"/>
    </row>
    <row r="1806">
      <c r="A1806" s="51" t="s">
        <v>29087</v>
      </c>
      <c r="B1806" s="152"/>
      <c r="C1806" s="55"/>
      <c r="D1806" s="31"/>
    </row>
    <row r="1807">
      <c r="A1807" s="51" t="s">
        <v>29088</v>
      </c>
      <c r="B1807" s="152"/>
      <c r="C1807" s="55"/>
      <c r="D1807" s="31"/>
    </row>
    <row r="1808">
      <c r="A1808" s="51" t="s">
        <v>29091</v>
      </c>
      <c r="B1808" s="152"/>
      <c r="C1808" s="55"/>
      <c r="D1808" s="31"/>
    </row>
    <row r="1809">
      <c r="A1809" s="51" t="s">
        <v>29093</v>
      </c>
      <c r="B1809" s="152"/>
      <c r="C1809" s="55"/>
      <c r="D1809" s="31"/>
    </row>
    <row r="1810">
      <c r="A1810" s="51" t="s">
        <v>29094</v>
      </c>
      <c r="B1810" s="152"/>
      <c r="C1810" s="55"/>
      <c r="D1810" s="31"/>
    </row>
    <row r="1811">
      <c r="A1811" s="51" t="s">
        <v>29095</v>
      </c>
      <c r="B1811" s="152"/>
      <c r="C1811" s="55"/>
      <c r="D1811" s="31"/>
    </row>
    <row r="1812">
      <c r="A1812" s="51" t="s">
        <v>29096</v>
      </c>
      <c r="B1812" s="152"/>
      <c r="C1812" s="55"/>
      <c r="D1812" s="31"/>
    </row>
    <row r="1813">
      <c r="A1813" s="51" t="s">
        <v>29097</v>
      </c>
      <c r="B1813" s="152"/>
      <c r="C1813" s="55"/>
      <c r="D1813" s="31"/>
    </row>
    <row r="1814">
      <c r="A1814" s="51" t="s">
        <v>29100</v>
      </c>
      <c r="B1814" s="152"/>
      <c r="C1814" s="55"/>
      <c r="D1814" s="31"/>
    </row>
    <row r="1815">
      <c r="A1815" s="51" t="s">
        <v>29102</v>
      </c>
      <c r="B1815" s="152"/>
      <c r="C1815" s="55"/>
      <c r="D1815" s="31"/>
    </row>
    <row r="1816">
      <c r="A1816" s="51" t="s">
        <v>29103</v>
      </c>
      <c r="B1816" s="152"/>
      <c r="C1816" s="55"/>
      <c r="D1816" s="31"/>
    </row>
    <row r="1817">
      <c r="A1817" s="51" t="s">
        <v>29104</v>
      </c>
      <c r="B1817" s="152"/>
      <c r="C1817" s="55"/>
      <c r="D1817" s="31"/>
    </row>
    <row r="1818">
      <c r="A1818" s="51" t="s">
        <v>29106</v>
      </c>
      <c r="B1818" s="152"/>
      <c r="C1818" s="55"/>
      <c r="D1818" s="31"/>
    </row>
    <row r="1819">
      <c r="A1819" s="51" t="s">
        <v>29108</v>
      </c>
      <c r="B1819" s="152"/>
      <c r="C1819" s="55"/>
      <c r="D1819" s="31"/>
    </row>
    <row r="1820">
      <c r="A1820" s="51" t="s">
        <v>29109</v>
      </c>
      <c r="B1820" s="152"/>
      <c r="C1820" s="55"/>
      <c r="D1820" s="31"/>
    </row>
    <row r="1821">
      <c r="A1821" s="51" t="s">
        <v>29110</v>
      </c>
      <c r="B1821" s="152"/>
      <c r="C1821" s="55"/>
      <c r="D1821" s="31"/>
    </row>
    <row r="1822">
      <c r="A1822" s="51" t="s">
        <v>29112</v>
      </c>
      <c r="B1822" s="152"/>
      <c r="C1822" s="55"/>
      <c r="D1822" s="31"/>
    </row>
    <row r="1823">
      <c r="A1823" s="51" t="s">
        <v>29113</v>
      </c>
      <c r="B1823" s="152"/>
      <c r="C1823" s="55"/>
      <c r="D1823" s="31"/>
    </row>
    <row r="1824">
      <c r="A1824" s="51" t="s">
        <v>29114</v>
      </c>
      <c r="B1824" s="152"/>
      <c r="C1824" s="21"/>
      <c r="D1824" s="33" t="s">
        <v>29117</v>
      </c>
    </row>
    <row r="1825">
      <c r="A1825" s="51" t="s">
        <v>29118</v>
      </c>
      <c r="B1825" s="152"/>
      <c r="C1825" s="82"/>
      <c r="D1825" s="33" t="s">
        <v>29117</v>
      </c>
      <c r="F1825" s="46" t="s">
        <v>1348</v>
      </c>
    </row>
    <row r="1826">
      <c r="A1826" s="51" t="s">
        <v>29119</v>
      </c>
      <c r="B1826" s="152"/>
      <c r="C1826" s="21"/>
      <c r="D1826" s="33" t="s">
        <v>29120</v>
      </c>
    </row>
    <row r="1827">
      <c r="A1827" s="51" t="s">
        <v>29122</v>
      </c>
      <c r="B1827" s="152"/>
      <c r="C1827" s="82"/>
      <c r="D1827" s="33" t="s">
        <v>29123</v>
      </c>
      <c r="F1827" s="46" t="s">
        <v>1348</v>
      </c>
    </row>
    <row r="1828">
      <c r="A1828" s="51" t="s">
        <v>29124</v>
      </c>
      <c r="B1828" s="152"/>
      <c r="C1828" s="21"/>
      <c r="D1828" s="33" t="s">
        <v>29125</v>
      </c>
    </row>
    <row r="1829">
      <c r="A1829" s="51" t="s">
        <v>29126</v>
      </c>
      <c r="B1829" s="152"/>
      <c r="C1829" s="82"/>
      <c r="D1829" s="33" t="s">
        <v>29127</v>
      </c>
      <c r="F1829" s="46" t="s">
        <v>1348</v>
      </c>
    </row>
    <row r="1830">
      <c r="A1830" s="51" t="s">
        <v>29128</v>
      </c>
      <c r="B1830" s="152"/>
      <c r="C1830" s="55"/>
      <c r="D1830" s="31"/>
    </row>
    <row r="1831">
      <c r="A1831" s="51" t="s">
        <v>29129</v>
      </c>
      <c r="B1831" s="152"/>
      <c r="C1831" s="55"/>
      <c r="D1831" s="31"/>
    </row>
    <row r="1832">
      <c r="A1832" s="51" t="s">
        <v>29130</v>
      </c>
      <c r="B1832" s="152"/>
      <c r="C1832" s="55"/>
      <c r="D1832" s="31"/>
    </row>
    <row r="1833">
      <c r="A1833" s="51" t="s">
        <v>29132</v>
      </c>
      <c r="B1833" s="152"/>
      <c r="C1833" s="55"/>
      <c r="D1833" s="31"/>
    </row>
    <row r="1834">
      <c r="A1834" s="51" t="s">
        <v>29134</v>
      </c>
      <c r="B1834" s="152"/>
      <c r="C1834" s="82"/>
      <c r="D1834" s="33" t="s">
        <v>29136</v>
      </c>
      <c r="F1834" s="46" t="s">
        <v>1348</v>
      </c>
    </row>
    <row r="1835">
      <c r="A1835" s="51" t="s">
        <v>29137</v>
      </c>
      <c r="B1835" s="152"/>
      <c r="C1835" s="82"/>
      <c r="D1835" s="33" t="s">
        <v>29138</v>
      </c>
      <c r="F1835" s="46" t="s">
        <v>1348</v>
      </c>
    </row>
    <row r="1836">
      <c r="A1836" s="51" t="s">
        <v>29139</v>
      </c>
      <c r="B1836" s="152"/>
      <c r="C1836" s="55"/>
      <c r="D1836" s="31"/>
    </row>
    <row r="1837">
      <c r="A1837" s="51" t="s">
        <v>29140</v>
      </c>
      <c r="B1837" s="152"/>
      <c r="C1837" s="55"/>
      <c r="D1837" s="31"/>
    </row>
    <row r="1838">
      <c r="A1838" s="51" t="s">
        <v>29141</v>
      </c>
      <c r="B1838" s="152"/>
      <c r="C1838" s="55"/>
      <c r="D1838" s="31"/>
    </row>
    <row r="1839">
      <c r="A1839" s="51" t="s">
        <v>29142</v>
      </c>
      <c r="B1839" s="152"/>
      <c r="C1839" s="55"/>
      <c r="D1839" s="31"/>
    </row>
    <row r="1840">
      <c r="A1840" s="51" t="s">
        <v>29143</v>
      </c>
      <c r="B1840" s="152"/>
      <c r="C1840" s="55"/>
      <c r="D1840" s="31"/>
    </row>
    <row r="1841">
      <c r="A1841" s="51" t="s">
        <v>29145</v>
      </c>
      <c r="B1841" s="152"/>
      <c r="C1841" s="55"/>
      <c r="D1841" s="31"/>
    </row>
    <row r="1842">
      <c r="A1842" s="51" t="s">
        <v>29146</v>
      </c>
      <c r="B1842" s="152"/>
      <c r="C1842" s="55"/>
      <c r="D1842" s="31"/>
    </row>
    <row r="1843">
      <c r="A1843" s="51" t="s">
        <v>29147</v>
      </c>
      <c r="B1843" s="152"/>
      <c r="C1843" s="55"/>
      <c r="D1843" s="31"/>
    </row>
    <row r="1844">
      <c r="A1844" s="51" t="s">
        <v>29148</v>
      </c>
      <c r="B1844" s="152"/>
      <c r="C1844" s="55"/>
      <c r="D1844" s="31"/>
    </row>
    <row r="1845">
      <c r="A1845" s="51" t="s">
        <v>29149</v>
      </c>
      <c r="B1845" s="152"/>
      <c r="C1845" s="55"/>
      <c r="D1845" s="31"/>
    </row>
    <row r="1846">
      <c r="A1846" s="51" t="s">
        <v>29151</v>
      </c>
      <c r="B1846" s="152"/>
      <c r="C1846" s="55"/>
      <c r="D1846" s="31"/>
    </row>
    <row r="1847">
      <c r="A1847" s="51" t="s">
        <v>29153</v>
      </c>
      <c r="B1847" s="152"/>
      <c r="C1847" s="55"/>
      <c r="D1847" s="31"/>
    </row>
    <row r="1848">
      <c r="A1848" s="51" t="s">
        <v>29155</v>
      </c>
      <c r="B1848" s="152"/>
      <c r="C1848" s="55"/>
      <c r="D1848" s="31"/>
    </row>
    <row r="1849">
      <c r="A1849" s="51" t="s">
        <v>29156</v>
      </c>
      <c r="B1849" s="152"/>
      <c r="C1849" s="82"/>
      <c r="D1849" s="33" t="s">
        <v>29157</v>
      </c>
      <c r="F1849" s="46" t="s">
        <v>2775</v>
      </c>
    </row>
    <row r="1850">
      <c r="A1850" s="51" t="s">
        <v>29158</v>
      </c>
      <c r="B1850" s="152"/>
      <c r="C1850" s="82"/>
      <c r="D1850" s="33" t="s">
        <v>29157</v>
      </c>
      <c r="F1850" s="46" t="s">
        <v>2793</v>
      </c>
    </row>
    <row r="1851">
      <c r="A1851" s="51" t="s">
        <v>29159</v>
      </c>
      <c r="B1851" s="152"/>
      <c r="C1851" s="21"/>
      <c r="D1851" s="33" t="s">
        <v>29160</v>
      </c>
    </row>
    <row r="1852">
      <c r="A1852" s="51" t="s">
        <v>29161</v>
      </c>
      <c r="B1852" s="152"/>
      <c r="C1852" s="82"/>
      <c r="D1852" s="33" t="s">
        <v>29163</v>
      </c>
      <c r="F1852" s="46" t="s">
        <v>1348</v>
      </c>
    </row>
    <row r="1853">
      <c r="A1853" s="51" t="s">
        <v>29164</v>
      </c>
      <c r="B1853" s="152"/>
      <c r="C1853" s="82"/>
      <c r="D1853" s="33" t="s">
        <v>29165</v>
      </c>
      <c r="F1853" s="46" t="s">
        <v>2775</v>
      </c>
    </row>
    <row r="1854">
      <c r="A1854" s="51" t="s">
        <v>29166</v>
      </c>
      <c r="B1854" s="152"/>
      <c r="C1854" s="82"/>
      <c r="D1854" s="33" t="s">
        <v>29165</v>
      </c>
      <c r="F1854" s="46" t="s">
        <v>2793</v>
      </c>
    </row>
    <row r="1855">
      <c r="A1855" s="51" t="s">
        <v>29167</v>
      </c>
      <c r="B1855" s="152"/>
      <c r="C1855" s="82"/>
      <c r="D1855" s="33" t="s">
        <v>29168</v>
      </c>
      <c r="F1855" s="46" t="s">
        <v>2775</v>
      </c>
    </row>
    <row r="1856">
      <c r="A1856" s="51" t="s">
        <v>29170</v>
      </c>
      <c r="B1856" s="152"/>
      <c r="C1856" s="82"/>
      <c r="D1856" s="33" t="s">
        <v>29168</v>
      </c>
      <c r="F1856" s="46" t="s">
        <v>2793</v>
      </c>
    </row>
    <row r="1857">
      <c r="A1857" s="51" t="s">
        <v>29171</v>
      </c>
      <c r="B1857" s="152"/>
      <c r="C1857" s="82"/>
      <c r="D1857" s="33" t="s">
        <v>29172</v>
      </c>
      <c r="F1857" s="46" t="s">
        <v>2775</v>
      </c>
    </row>
    <row r="1858">
      <c r="A1858" s="51" t="s">
        <v>29173</v>
      </c>
      <c r="B1858" s="152"/>
      <c r="C1858" s="82"/>
      <c r="D1858" s="33" t="s">
        <v>29172</v>
      </c>
      <c r="F1858" s="46" t="s">
        <v>2793</v>
      </c>
    </row>
    <row r="1859">
      <c r="A1859" s="51" t="s">
        <v>29175</v>
      </c>
      <c r="B1859" s="152"/>
      <c r="C1859" s="82"/>
      <c r="D1859" s="33" t="s">
        <v>29177</v>
      </c>
      <c r="F1859" s="46" t="s">
        <v>2775</v>
      </c>
    </row>
    <row r="1860">
      <c r="A1860" s="51" t="s">
        <v>29179</v>
      </c>
      <c r="B1860" s="152"/>
      <c r="C1860" s="82"/>
      <c r="D1860" s="33" t="s">
        <v>29177</v>
      </c>
      <c r="F1860" s="46" t="s">
        <v>2793</v>
      </c>
    </row>
    <row r="1861">
      <c r="A1861" s="51" t="s">
        <v>29180</v>
      </c>
      <c r="B1861" s="152"/>
      <c r="C1861" s="82"/>
      <c r="D1861" s="33" t="s">
        <v>29181</v>
      </c>
      <c r="F1861" s="46" t="s">
        <v>2775</v>
      </c>
    </row>
    <row r="1862">
      <c r="A1862" s="51" t="s">
        <v>29182</v>
      </c>
      <c r="B1862" s="152"/>
      <c r="C1862" s="82"/>
      <c r="D1862" s="33" t="s">
        <v>29181</v>
      </c>
      <c r="F1862" s="46" t="s">
        <v>2793</v>
      </c>
    </row>
    <row r="1863">
      <c r="A1863" s="51" t="s">
        <v>29184</v>
      </c>
      <c r="B1863" s="152"/>
      <c r="C1863" s="82"/>
      <c r="D1863" s="33" t="s">
        <v>29185</v>
      </c>
      <c r="F1863" s="46" t="s">
        <v>2775</v>
      </c>
    </row>
    <row r="1864">
      <c r="A1864" s="51" t="s">
        <v>29186</v>
      </c>
      <c r="B1864" s="152"/>
      <c r="C1864" s="82"/>
      <c r="D1864" s="33" t="s">
        <v>29185</v>
      </c>
      <c r="F1864" s="46" t="s">
        <v>2793</v>
      </c>
    </row>
    <row r="1865">
      <c r="A1865" s="51" t="s">
        <v>29187</v>
      </c>
      <c r="B1865" s="152"/>
      <c r="C1865" s="82"/>
      <c r="D1865" s="33" t="s">
        <v>29188</v>
      </c>
      <c r="F1865" s="46" t="s">
        <v>2775</v>
      </c>
    </row>
    <row r="1866">
      <c r="A1866" s="51" t="s">
        <v>29189</v>
      </c>
      <c r="B1866" s="152"/>
      <c r="C1866" s="82"/>
      <c r="D1866" s="33" t="s">
        <v>29188</v>
      </c>
      <c r="F1866" s="46" t="s">
        <v>2793</v>
      </c>
    </row>
    <row r="1867">
      <c r="A1867" s="51" t="s">
        <v>29193</v>
      </c>
      <c r="B1867" s="152"/>
      <c r="C1867" s="82"/>
      <c r="D1867" s="33" t="s">
        <v>29194</v>
      </c>
      <c r="F1867" s="46" t="s">
        <v>2775</v>
      </c>
    </row>
    <row r="1868">
      <c r="A1868" s="51" t="s">
        <v>29195</v>
      </c>
      <c r="B1868" s="152"/>
      <c r="C1868" s="82"/>
      <c r="D1868" s="33" t="s">
        <v>29194</v>
      </c>
      <c r="F1868" s="46" t="s">
        <v>2793</v>
      </c>
    </row>
    <row r="1869">
      <c r="A1869" s="51" t="s">
        <v>29196</v>
      </c>
      <c r="B1869" s="152"/>
      <c r="C1869" s="82"/>
      <c r="D1869" s="33" t="s">
        <v>29197</v>
      </c>
      <c r="F1869" s="46" t="s">
        <v>2775</v>
      </c>
    </row>
    <row r="1870">
      <c r="A1870" s="51" t="s">
        <v>29199</v>
      </c>
      <c r="B1870" s="152"/>
      <c r="C1870" s="82"/>
      <c r="D1870" s="33" t="s">
        <v>29197</v>
      </c>
      <c r="F1870" s="46" t="s">
        <v>2793</v>
      </c>
    </row>
    <row r="1871">
      <c r="A1871" s="51" t="s">
        <v>29200</v>
      </c>
      <c r="B1871" s="152"/>
      <c r="C1871" s="82"/>
      <c r="D1871" s="33" t="s">
        <v>29202</v>
      </c>
      <c r="F1871" s="46" t="s">
        <v>2775</v>
      </c>
    </row>
    <row r="1872">
      <c r="A1872" s="51" t="s">
        <v>29204</v>
      </c>
      <c r="B1872" s="152"/>
      <c r="C1872" s="82"/>
      <c r="D1872" s="33" t="s">
        <v>29202</v>
      </c>
      <c r="F1872" s="46" t="s">
        <v>2793</v>
      </c>
    </row>
    <row r="1873">
      <c r="A1873" s="51" t="s">
        <v>29206</v>
      </c>
      <c r="B1873" s="152"/>
      <c r="C1873" s="82"/>
      <c r="D1873" s="33" t="s">
        <v>29207</v>
      </c>
      <c r="F1873" s="46" t="s">
        <v>2775</v>
      </c>
    </row>
    <row r="1874">
      <c r="A1874" s="51" t="s">
        <v>29208</v>
      </c>
      <c r="B1874" s="152"/>
      <c r="C1874" s="82"/>
      <c r="D1874" s="33" t="s">
        <v>29207</v>
      </c>
      <c r="F1874" s="46" t="s">
        <v>2793</v>
      </c>
    </row>
    <row r="1875">
      <c r="A1875" s="51" t="s">
        <v>29209</v>
      </c>
      <c r="B1875" s="152"/>
      <c r="C1875" s="82"/>
      <c r="D1875" s="33" t="s">
        <v>29210</v>
      </c>
      <c r="F1875" s="46" t="s">
        <v>2775</v>
      </c>
    </row>
    <row r="1876">
      <c r="A1876" s="51" t="s">
        <v>29211</v>
      </c>
      <c r="B1876" s="152"/>
      <c r="C1876" s="82"/>
      <c r="D1876" s="33" t="s">
        <v>29210</v>
      </c>
      <c r="F1876" s="46" t="s">
        <v>2793</v>
      </c>
    </row>
    <row r="1877">
      <c r="A1877" s="51" t="s">
        <v>29213</v>
      </c>
      <c r="B1877" s="152"/>
      <c r="C1877" s="82"/>
      <c r="D1877" s="33" t="s">
        <v>29214</v>
      </c>
      <c r="F1877" s="46" t="s">
        <v>2775</v>
      </c>
    </row>
    <row r="1878">
      <c r="A1878" s="51" t="s">
        <v>29215</v>
      </c>
      <c r="B1878" s="152"/>
      <c r="C1878" s="82"/>
      <c r="D1878" s="33" t="s">
        <v>29214</v>
      </c>
      <c r="F1878" s="46" t="s">
        <v>2793</v>
      </c>
    </row>
    <row r="1879">
      <c r="A1879" s="51" t="s">
        <v>29217</v>
      </c>
      <c r="B1879" s="152"/>
      <c r="C1879" s="55"/>
      <c r="D1879" s="31"/>
    </row>
    <row r="1880">
      <c r="A1880" s="51" t="s">
        <v>29219</v>
      </c>
      <c r="B1880" s="152"/>
      <c r="C1880" s="55"/>
      <c r="D1880" s="31"/>
    </row>
    <row r="1881">
      <c r="A1881" s="51" t="s">
        <v>29221</v>
      </c>
      <c r="B1881" s="152"/>
      <c r="C1881" s="55"/>
      <c r="D1881" s="31"/>
    </row>
    <row r="1882">
      <c r="A1882" s="51" t="s">
        <v>29222</v>
      </c>
      <c r="B1882" s="152"/>
      <c r="C1882" s="55"/>
      <c r="D1882" s="31"/>
    </row>
    <row r="1883">
      <c r="A1883" s="51" t="s">
        <v>29223</v>
      </c>
      <c r="B1883" s="152"/>
      <c r="C1883" s="55"/>
      <c r="D1883" s="31"/>
    </row>
    <row r="1884">
      <c r="A1884" s="51" t="s">
        <v>29224</v>
      </c>
      <c r="B1884" s="152"/>
      <c r="C1884" s="82"/>
      <c r="D1884" s="33" t="s">
        <v>29226</v>
      </c>
      <c r="F1884" s="46" t="s">
        <v>1348</v>
      </c>
    </row>
    <row r="1885">
      <c r="A1885" s="51" t="s">
        <v>29227</v>
      </c>
      <c r="B1885" s="152"/>
      <c r="C1885" s="82"/>
      <c r="D1885" s="33" t="s">
        <v>29228</v>
      </c>
      <c r="F1885" s="46" t="s">
        <v>2775</v>
      </c>
    </row>
    <row r="1886">
      <c r="A1886" s="51" t="s">
        <v>29231</v>
      </c>
      <c r="B1886" s="152"/>
      <c r="C1886" s="82"/>
      <c r="D1886" s="33" t="s">
        <v>29228</v>
      </c>
      <c r="F1886" s="46" t="s">
        <v>2793</v>
      </c>
    </row>
    <row r="1887">
      <c r="A1887" s="51" t="s">
        <v>29233</v>
      </c>
      <c r="B1887" s="152"/>
      <c r="C1887" s="82"/>
      <c r="D1887" s="33" t="s">
        <v>29226</v>
      </c>
      <c r="F1887" s="46" t="s">
        <v>2775</v>
      </c>
    </row>
    <row r="1888">
      <c r="A1888" s="51" t="s">
        <v>29235</v>
      </c>
      <c r="B1888" s="152"/>
      <c r="C1888" s="82"/>
      <c r="D1888" s="33" t="s">
        <v>29226</v>
      </c>
      <c r="F1888" s="46" t="s">
        <v>2793</v>
      </c>
    </row>
    <row r="1889">
      <c r="A1889" s="51" t="s">
        <v>29236</v>
      </c>
      <c r="B1889" s="152"/>
      <c r="C1889" s="55"/>
      <c r="D1889" s="31"/>
    </row>
    <row r="1890">
      <c r="A1890" s="51" t="s">
        <v>29237</v>
      </c>
      <c r="B1890" s="152"/>
      <c r="C1890" s="55"/>
      <c r="D1890" s="31"/>
    </row>
    <row r="1891">
      <c r="A1891" s="51" t="s">
        <v>29238</v>
      </c>
      <c r="B1891" s="152"/>
      <c r="C1891" s="55"/>
      <c r="D1891" s="31"/>
    </row>
    <row r="1892">
      <c r="A1892" s="51" t="s">
        <v>29239</v>
      </c>
      <c r="B1892" s="152"/>
      <c r="C1892" s="55"/>
      <c r="D1892" s="31"/>
    </row>
    <row r="1893">
      <c r="A1893" s="51" t="s">
        <v>29240</v>
      </c>
      <c r="B1893" s="152"/>
      <c r="C1893" s="55"/>
      <c r="D1893" s="31"/>
    </row>
    <row r="1894">
      <c r="A1894" s="51" t="s">
        <v>29242</v>
      </c>
      <c r="B1894" s="152"/>
      <c r="C1894" s="55"/>
      <c r="D1894" s="31"/>
    </row>
    <row r="1895">
      <c r="A1895" s="51" t="s">
        <v>29243</v>
      </c>
      <c r="B1895" s="152"/>
      <c r="C1895" s="55"/>
      <c r="D1895" s="31"/>
    </row>
    <row r="1896">
      <c r="A1896" s="51" t="s">
        <v>29246</v>
      </c>
      <c r="B1896" s="152"/>
      <c r="C1896" s="55"/>
      <c r="D1896" s="31"/>
    </row>
    <row r="1897">
      <c r="A1897" s="51" t="s">
        <v>29247</v>
      </c>
      <c r="B1897" s="152"/>
      <c r="C1897" s="55"/>
      <c r="D1897" s="31"/>
    </row>
    <row r="1898">
      <c r="A1898" s="51" t="s">
        <v>29249</v>
      </c>
      <c r="B1898" s="152"/>
      <c r="C1898" s="55"/>
      <c r="D1898" s="31"/>
    </row>
    <row r="1899">
      <c r="A1899" s="51" t="s">
        <v>29250</v>
      </c>
      <c r="B1899" s="152"/>
      <c r="C1899" s="55"/>
      <c r="D1899" s="31"/>
    </row>
    <row r="1900">
      <c r="A1900" s="51" t="s">
        <v>29253</v>
      </c>
      <c r="B1900" s="152"/>
      <c r="C1900" s="55"/>
      <c r="D1900" s="31"/>
    </row>
    <row r="1901">
      <c r="A1901" s="51" t="s">
        <v>29254</v>
      </c>
      <c r="B1901" s="152"/>
      <c r="C1901" s="55"/>
      <c r="D1901" s="31"/>
    </row>
    <row r="1902">
      <c r="A1902" s="51" t="s">
        <v>29255</v>
      </c>
      <c r="B1902" s="152"/>
      <c r="C1902" s="55"/>
      <c r="D1902" s="31"/>
    </row>
    <row r="1903">
      <c r="A1903" s="51" t="s">
        <v>29256</v>
      </c>
      <c r="B1903" s="152"/>
      <c r="C1903" s="55"/>
      <c r="D1903" s="31"/>
    </row>
    <row r="1904">
      <c r="A1904" s="51" t="s">
        <v>29259</v>
      </c>
      <c r="B1904" s="152"/>
      <c r="C1904" s="55"/>
      <c r="D1904" s="31"/>
    </row>
    <row r="1905">
      <c r="A1905" s="51" t="s">
        <v>29260</v>
      </c>
      <c r="B1905" s="152"/>
      <c r="C1905" s="55"/>
      <c r="D1905" s="31"/>
    </row>
    <row r="1906">
      <c r="A1906" s="51" t="s">
        <v>29261</v>
      </c>
      <c r="B1906" s="152"/>
      <c r="C1906" s="55"/>
      <c r="D1906" s="31"/>
    </row>
    <row r="1907">
      <c r="A1907" s="51" t="s">
        <v>29262</v>
      </c>
      <c r="B1907" s="152"/>
      <c r="C1907" s="55"/>
      <c r="D1907" s="31"/>
    </row>
    <row r="1908">
      <c r="A1908" s="51" t="s">
        <v>29263</v>
      </c>
      <c r="B1908" s="152"/>
      <c r="C1908" s="55"/>
      <c r="D1908" s="31"/>
    </row>
    <row r="1909">
      <c r="A1909" s="51" t="s">
        <v>29264</v>
      </c>
      <c r="B1909" s="152"/>
      <c r="C1909" s="55"/>
      <c r="D1909" s="31"/>
    </row>
    <row r="1910">
      <c r="A1910" s="51" t="s">
        <v>29265</v>
      </c>
      <c r="B1910" s="152"/>
      <c r="C1910" s="55"/>
      <c r="D1910" s="31"/>
    </row>
    <row r="1911">
      <c r="A1911" s="51" t="s">
        <v>29267</v>
      </c>
      <c r="B1911" s="152"/>
      <c r="C1911" s="55"/>
      <c r="D1911" s="31"/>
    </row>
    <row r="1912">
      <c r="A1912" s="51" t="s">
        <v>29269</v>
      </c>
      <c r="B1912" s="152"/>
      <c r="C1912" s="55"/>
      <c r="D1912" s="31"/>
    </row>
    <row r="1913">
      <c r="A1913" s="51" t="s">
        <v>29271</v>
      </c>
      <c r="B1913" s="152"/>
      <c r="C1913" s="55"/>
      <c r="D1913" s="31"/>
    </row>
    <row r="1914">
      <c r="A1914" s="51" t="s">
        <v>29272</v>
      </c>
      <c r="B1914" s="152"/>
      <c r="C1914" s="55"/>
      <c r="D1914" s="31"/>
    </row>
    <row r="1915">
      <c r="A1915" s="51" t="s">
        <v>29273</v>
      </c>
      <c r="B1915" s="152"/>
      <c r="C1915" s="55"/>
      <c r="D1915" s="31"/>
    </row>
    <row r="1916">
      <c r="A1916" s="51" t="s">
        <v>29274</v>
      </c>
      <c r="B1916" s="152"/>
      <c r="C1916" s="55"/>
      <c r="D1916" s="31"/>
    </row>
    <row r="1917">
      <c r="A1917" s="51" t="s">
        <v>29275</v>
      </c>
      <c r="B1917" s="152"/>
      <c r="C1917" s="55"/>
      <c r="D1917" s="31"/>
    </row>
    <row r="1918">
      <c r="A1918" s="51" t="s">
        <v>29276</v>
      </c>
      <c r="B1918" s="152"/>
      <c r="C1918" s="55"/>
      <c r="D1918" s="31"/>
    </row>
    <row r="1919">
      <c r="A1919" s="51" t="s">
        <v>29277</v>
      </c>
      <c r="B1919" s="152"/>
      <c r="C1919" s="55"/>
      <c r="D1919" s="31"/>
    </row>
    <row r="1920">
      <c r="A1920" s="51" t="s">
        <v>29278</v>
      </c>
      <c r="B1920" s="152"/>
      <c r="C1920" s="55"/>
      <c r="D1920" s="31"/>
    </row>
    <row r="1921">
      <c r="A1921" s="51" t="s">
        <v>29280</v>
      </c>
      <c r="B1921" s="152"/>
      <c r="C1921" s="21"/>
      <c r="D1921" s="33" t="s">
        <v>29282</v>
      </c>
    </row>
    <row r="1922">
      <c r="A1922" s="51" t="s">
        <v>29283</v>
      </c>
      <c r="B1922" s="152"/>
      <c r="C1922" s="21"/>
      <c r="D1922" s="33" t="s">
        <v>29282</v>
      </c>
    </row>
    <row r="1923">
      <c r="A1923" s="51" t="s">
        <v>29284</v>
      </c>
      <c r="B1923" s="152"/>
      <c r="C1923" s="40"/>
      <c r="D1923" s="33" t="s">
        <v>29282</v>
      </c>
      <c r="F1923" s="46" t="s">
        <v>2756</v>
      </c>
    </row>
    <row r="1924">
      <c r="A1924" s="51" t="s">
        <v>29285</v>
      </c>
      <c r="B1924" s="152"/>
      <c r="C1924" s="82"/>
      <c r="D1924" s="33" t="s">
        <v>29286</v>
      </c>
      <c r="F1924" s="46" t="s">
        <v>2775</v>
      </c>
    </row>
    <row r="1925">
      <c r="A1925" s="51" t="s">
        <v>29287</v>
      </c>
      <c r="B1925" s="152"/>
      <c r="C1925" s="82"/>
      <c r="D1925" s="33" t="s">
        <v>29288</v>
      </c>
      <c r="F1925" s="46" t="s">
        <v>2775</v>
      </c>
    </row>
    <row r="1926">
      <c r="A1926" s="51" t="s">
        <v>29290</v>
      </c>
      <c r="B1926" s="152"/>
      <c r="C1926" s="82"/>
      <c r="D1926" s="33" t="s">
        <v>29291</v>
      </c>
      <c r="F1926" s="46" t="s">
        <v>2775</v>
      </c>
    </row>
    <row r="1927">
      <c r="A1927" s="51" t="s">
        <v>29292</v>
      </c>
      <c r="B1927" s="152"/>
      <c r="C1927" s="82"/>
      <c r="D1927" s="33" t="s">
        <v>29291</v>
      </c>
      <c r="F1927" s="46" t="s">
        <v>2775</v>
      </c>
    </row>
    <row r="1928">
      <c r="A1928" s="51" t="s">
        <v>29293</v>
      </c>
      <c r="B1928" s="152"/>
      <c r="C1928" s="82"/>
      <c r="D1928" s="33" t="s">
        <v>29294</v>
      </c>
      <c r="F1928" s="46" t="s">
        <v>2775</v>
      </c>
    </row>
    <row r="1929">
      <c r="A1929" s="51" t="s">
        <v>29295</v>
      </c>
      <c r="B1929" s="152"/>
      <c r="C1929" s="82"/>
      <c r="D1929" s="33" t="s">
        <v>29294</v>
      </c>
      <c r="F1929" s="46" t="s">
        <v>2775</v>
      </c>
    </row>
    <row r="1930">
      <c r="A1930" s="51" t="s">
        <v>29296</v>
      </c>
      <c r="B1930" s="152"/>
      <c r="C1930" s="82"/>
      <c r="D1930" s="33" t="s">
        <v>29297</v>
      </c>
      <c r="F1930" s="46" t="s">
        <v>2775</v>
      </c>
    </row>
    <row r="1931">
      <c r="A1931" s="51" t="s">
        <v>29300</v>
      </c>
      <c r="B1931" s="152"/>
      <c r="C1931" s="82"/>
      <c r="D1931" s="33" t="s">
        <v>29297</v>
      </c>
      <c r="F1931" s="46" t="s">
        <v>2775</v>
      </c>
    </row>
    <row r="1932">
      <c r="A1932" s="51" t="s">
        <v>29301</v>
      </c>
      <c r="B1932" s="152"/>
      <c r="C1932" s="82"/>
      <c r="D1932" s="33" t="s">
        <v>29302</v>
      </c>
      <c r="F1932" s="46" t="s">
        <v>2775</v>
      </c>
    </row>
    <row r="1933">
      <c r="A1933" s="51" t="s">
        <v>29304</v>
      </c>
      <c r="B1933" s="152"/>
      <c r="C1933" s="82"/>
      <c r="D1933" s="33" t="s">
        <v>29305</v>
      </c>
      <c r="F1933" s="46" t="s">
        <v>2775</v>
      </c>
    </row>
    <row r="1934">
      <c r="A1934" s="51" t="s">
        <v>29306</v>
      </c>
      <c r="B1934" s="152"/>
      <c r="C1934" s="82"/>
      <c r="D1934" s="33" t="s">
        <v>29307</v>
      </c>
      <c r="F1934" s="46" t="s">
        <v>2775</v>
      </c>
    </row>
    <row r="1935">
      <c r="A1935" s="51" t="s">
        <v>29309</v>
      </c>
      <c r="B1935" s="152"/>
      <c r="C1935" s="82"/>
      <c r="D1935" s="33" t="s">
        <v>29305</v>
      </c>
      <c r="F1935" s="46" t="s">
        <v>2775</v>
      </c>
    </row>
    <row r="1936">
      <c r="A1936" s="51" t="s">
        <v>29312</v>
      </c>
      <c r="B1936" s="152"/>
      <c r="C1936" s="82"/>
      <c r="D1936" s="33" t="s">
        <v>29307</v>
      </c>
      <c r="F1936" s="46" t="s">
        <v>2775</v>
      </c>
    </row>
    <row r="1937">
      <c r="A1937" s="51" t="s">
        <v>29314</v>
      </c>
      <c r="B1937" s="152"/>
      <c r="C1937" s="82"/>
      <c r="D1937" s="33" t="s">
        <v>29302</v>
      </c>
      <c r="F1937" s="46" t="s">
        <v>2775</v>
      </c>
    </row>
    <row r="1938">
      <c r="A1938" s="51" t="s">
        <v>29317</v>
      </c>
      <c r="B1938" s="152"/>
      <c r="C1938" s="82"/>
      <c r="D1938" s="33" t="s">
        <v>29318</v>
      </c>
      <c r="F1938" s="46" t="s">
        <v>1348</v>
      </c>
    </row>
    <row r="1939">
      <c r="A1939" s="51" t="s">
        <v>29319</v>
      </c>
      <c r="B1939" s="152"/>
      <c r="C1939" s="82"/>
      <c r="D1939" s="33" t="s">
        <v>29320</v>
      </c>
      <c r="F1939" s="46" t="s">
        <v>1348</v>
      </c>
    </row>
    <row r="1940">
      <c r="A1940" s="51" t="s">
        <v>29321</v>
      </c>
      <c r="B1940" s="152"/>
      <c r="C1940" s="21"/>
      <c r="D1940" s="33" t="s">
        <v>29322</v>
      </c>
    </row>
    <row r="1941">
      <c r="A1941" s="51" t="s">
        <v>29323</v>
      </c>
      <c r="B1941" s="152"/>
      <c r="C1941" s="21"/>
      <c r="D1941" s="33" t="s">
        <v>29322</v>
      </c>
    </row>
    <row r="1942">
      <c r="A1942" s="51" t="s">
        <v>29324</v>
      </c>
      <c r="B1942" s="152"/>
      <c r="C1942" s="40"/>
      <c r="D1942" s="33" t="s">
        <v>29322</v>
      </c>
      <c r="F1942" s="46" t="s">
        <v>2756</v>
      </c>
    </row>
    <row r="1943">
      <c r="A1943" s="51" t="s">
        <v>29328</v>
      </c>
      <c r="B1943" s="152"/>
      <c r="C1943" s="82"/>
      <c r="D1943" s="33" t="s">
        <v>29330</v>
      </c>
      <c r="F1943" s="46" t="s">
        <v>2775</v>
      </c>
    </row>
    <row r="1944">
      <c r="A1944" s="51" t="s">
        <v>29332</v>
      </c>
      <c r="B1944" s="152"/>
      <c r="C1944" s="82"/>
      <c r="D1944" s="33" t="s">
        <v>29333</v>
      </c>
      <c r="F1944" s="46" t="s">
        <v>2775</v>
      </c>
    </row>
    <row r="1945">
      <c r="A1945" s="51" t="s">
        <v>29334</v>
      </c>
      <c r="B1945" s="152"/>
      <c r="C1945" s="82"/>
      <c r="D1945" s="33" t="s">
        <v>29336</v>
      </c>
      <c r="F1945" s="46" t="s">
        <v>2775</v>
      </c>
    </row>
    <row r="1946">
      <c r="A1946" s="51" t="s">
        <v>29338</v>
      </c>
      <c r="B1946" s="152"/>
      <c r="C1946" s="82"/>
      <c r="D1946" s="33" t="s">
        <v>29339</v>
      </c>
      <c r="F1946" s="46" t="s">
        <v>2775</v>
      </c>
    </row>
    <row r="1947">
      <c r="A1947" s="51" t="s">
        <v>29340</v>
      </c>
      <c r="B1947" s="152"/>
      <c r="C1947" s="82"/>
      <c r="D1947" s="33" t="s">
        <v>29341</v>
      </c>
      <c r="F1947" s="46" t="s">
        <v>2775</v>
      </c>
    </row>
    <row r="1948">
      <c r="A1948" s="51" t="s">
        <v>29342</v>
      </c>
      <c r="B1948" s="152"/>
      <c r="C1948" s="82"/>
      <c r="D1948" s="33" t="s">
        <v>29343</v>
      </c>
      <c r="F1948" s="46" t="s">
        <v>2775</v>
      </c>
    </row>
    <row r="1949">
      <c r="A1949" s="51" t="s">
        <v>29344</v>
      </c>
      <c r="B1949" s="152"/>
      <c r="C1949" s="82"/>
      <c r="D1949" s="33" t="s">
        <v>29343</v>
      </c>
      <c r="F1949" s="46" t="s">
        <v>2775</v>
      </c>
    </row>
    <row r="1950">
      <c r="A1950" s="51" t="s">
        <v>29346</v>
      </c>
      <c r="B1950" s="152"/>
      <c r="C1950" s="82"/>
      <c r="D1950" s="33" t="s">
        <v>29347</v>
      </c>
      <c r="F1950" s="46" t="s">
        <v>2775</v>
      </c>
    </row>
    <row r="1951">
      <c r="A1951" s="51" t="s">
        <v>29348</v>
      </c>
      <c r="B1951" s="152"/>
      <c r="C1951" s="82"/>
      <c r="D1951" s="33" t="s">
        <v>29349</v>
      </c>
      <c r="F1951" s="46" t="s">
        <v>2775</v>
      </c>
    </row>
    <row r="1952">
      <c r="A1952" s="51" t="s">
        <v>29350</v>
      </c>
      <c r="B1952" s="152"/>
      <c r="C1952" s="82"/>
      <c r="D1952" s="33" t="s">
        <v>29351</v>
      </c>
      <c r="F1952" s="46" t="s">
        <v>2775</v>
      </c>
    </row>
    <row r="1953">
      <c r="A1953" s="51" t="s">
        <v>29352</v>
      </c>
      <c r="B1953" s="152"/>
      <c r="C1953" s="82"/>
      <c r="D1953" s="33" t="s">
        <v>29351</v>
      </c>
      <c r="F1953" s="46" t="s">
        <v>2775</v>
      </c>
    </row>
    <row r="1954">
      <c r="A1954" s="51" t="s">
        <v>29353</v>
      </c>
      <c r="B1954" s="152"/>
      <c r="C1954" s="82"/>
      <c r="D1954" s="33" t="s">
        <v>29354</v>
      </c>
      <c r="F1954" s="46" t="s">
        <v>2775</v>
      </c>
    </row>
    <row r="1955">
      <c r="A1955" s="51" t="s">
        <v>29355</v>
      </c>
      <c r="B1955" s="152"/>
      <c r="C1955" s="82"/>
      <c r="D1955" s="33" t="s">
        <v>29354</v>
      </c>
      <c r="F1955" s="46" t="s">
        <v>2775</v>
      </c>
    </row>
    <row r="1956">
      <c r="A1956" s="51" t="s">
        <v>29356</v>
      </c>
      <c r="B1956" s="152"/>
      <c r="C1956" s="82"/>
      <c r="D1956" s="33" t="s">
        <v>29358</v>
      </c>
      <c r="F1956" s="46" t="s">
        <v>2775</v>
      </c>
    </row>
    <row r="1957">
      <c r="A1957" s="51" t="s">
        <v>29360</v>
      </c>
      <c r="B1957" s="152"/>
      <c r="C1957" s="82"/>
      <c r="D1957" s="33" t="s">
        <v>29361</v>
      </c>
      <c r="F1957" s="46" t="s">
        <v>2775</v>
      </c>
    </row>
    <row r="1958">
      <c r="A1958" s="51" t="s">
        <v>29362</v>
      </c>
      <c r="B1958" s="152"/>
      <c r="C1958" s="82"/>
      <c r="D1958" s="33" t="s">
        <v>29363</v>
      </c>
      <c r="F1958" s="46" t="s">
        <v>2775</v>
      </c>
    </row>
    <row r="1959">
      <c r="A1959" s="51" t="s">
        <v>29364</v>
      </c>
      <c r="B1959" s="152"/>
      <c r="C1959" s="82"/>
      <c r="D1959" s="33" t="s">
        <v>29363</v>
      </c>
      <c r="F1959" s="46" t="s">
        <v>2775</v>
      </c>
    </row>
    <row r="1960">
      <c r="A1960" s="51" t="s">
        <v>29365</v>
      </c>
      <c r="B1960" s="152"/>
      <c r="C1960" s="82"/>
      <c r="D1960" s="33" t="s">
        <v>29358</v>
      </c>
      <c r="F1960" s="46" t="s">
        <v>2775</v>
      </c>
    </row>
    <row r="1961">
      <c r="A1961" s="51" t="s">
        <v>29366</v>
      </c>
      <c r="B1961" s="152"/>
      <c r="C1961" s="82"/>
      <c r="D1961" s="33" t="s">
        <v>29361</v>
      </c>
      <c r="F1961" s="46" t="s">
        <v>2775</v>
      </c>
    </row>
    <row r="1962">
      <c r="A1962" s="51" t="s">
        <v>29370</v>
      </c>
      <c r="B1962" s="152"/>
      <c r="C1962" s="82"/>
      <c r="D1962" s="33" t="s">
        <v>29371</v>
      </c>
      <c r="F1962" s="46" t="s">
        <v>2775</v>
      </c>
    </row>
    <row r="1963">
      <c r="A1963" s="51" t="s">
        <v>29372</v>
      </c>
      <c r="B1963" s="152"/>
      <c r="C1963" s="82"/>
      <c r="D1963" s="33" t="s">
        <v>29371</v>
      </c>
      <c r="F1963" s="46" t="s">
        <v>2775</v>
      </c>
    </row>
    <row r="1964">
      <c r="A1964" s="51" t="s">
        <v>29373</v>
      </c>
      <c r="B1964" s="152"/>
      <c r="C1964" s="82"/>
      <c r="D1964" s="33" t="s">
        <v>29374</v>
      </c>
      <c r="F1964" s="46" t="s">
        <v>2775</v>
      </c>
    </row>
    <row r="1965">
      <c r="A1965" s="51" t="s">
        <v>29375</v>
      </c>
      <c r="B1965" s="152"/>
      <c r="C1965" s="82"/>
      <c r="D1965" s="33" t="s">
        <v>29376</v>
      </c>
      <c r="F1965" s="46" t="s">
        <v>2775</v>
      </c>
    </row>
    <row r="1966">
      <c r="A1966" s="51" t="s">
        <v>29377</v>
      </c>
      <c r="B1966" s="152"/>
      <c r="C1966" s="82"/>
      <c r="D1966" s="33" t="s">
        <v>29376</v>
      </c>
      <c r="F1966" s="46" t="s">
        <v>2775</v>
      </c>
    </row>
    <row r="1967">
      <c r="A1967" s="51" t="s">
        <v>29380</v>
      </c>
      <c r="B1967" s="152"/>
      <c r="C1967" s="82"/>
      <c r="D1967" s="33" t="s">
        <v>29382</v>
      </c>
      <c r="F1967" s="46" t="s">
        <v>2775</v>
      </c>
    </row>
    <row r="1968">
      <c r="A1968" s="51" t="s">
        <v>29384</v>
      </c>
      <c r="B1968" s="152"/>
      <c r="C1968" s="82"/>
      <c r="D1968" s="33" t="s">
        <v>29386</v>
      </c>
      <c r="F1968" s="46" t="s">
        <v>2775</v>
      </c>
    </row>
    <row r="1969">
      <c r="A1969" s="51" t="s">
        <v>29387</v>
      </c>
      <c r="B1969" s="152"/>
      <c r="C1969" s="82"/>
      <c r="D1969" s="33" t="s">
        <v>29374</v>
      </c>
      <c r="F1969" s="46" t="s">
        <v>2775</v>
      </c>
    </row>
    <row r="1970">
      <c r="A1970" s="51" t="s">
        <v>29388</v>
      </c>
      <c r="B1970" s="152"/>
      <c r="C1970" s="82"/>
      <c r="D1970" s="33" t="s">
        <v>29376</v>
      </c>
      <c r="F1970" s="46" t="s">
        <v>2775</v>
      </c>
    </row>
    <row r="1971">
      <c r="A1971" s="51" t="s">
        <v>29389</v>
      </c>
      <c r="B1971" s="152"/>
      <c r="C1971" s="82"/>
      <c r="D1971" s="33" t="s">
        <v>29376</v>
      </c>
      <c r="F1971" s="46" t="s">
        <v>2775</v>
      </c>
    </row>
    <row r="1972">
      <c r="A1972" s="51" t="s">
        <v>29390</v>
      </c>
      <c r="B1972" s="152"/>
      <c r="C1972" s="82"/>
      <c r="D1972" s="33" t="s">
        <v>29382</v>
      </c>
      <c r="F1972" s="46" t="s">
        <v>2775</v>
      </c>
    </row>
    <row r="1973">
      <c r="A1973" s="51" t="s">
        <v>29393</v>
      </c>
      <c r="B1973" s="152"/>
      <c r="C1973" s="82"/>
      <c r="D1973" s="33" t="s">
        <v>29386</v>
      </c>
      <c r="F1973" s="46" t="s">
        <v>2775</v>
      </c>
    </row>
    <row r="1974">
      <c r="A1974" s="51" t="s">
        <v>29395</v>
      </c>
      <c r="B1974" s="152"/>
      <c r="C1974" s="82"/>
      <c r="D1974" s="33" t="s">
        <v>29396</v>
      </c>
      <c r="F1974" s="46" t="s">
        <v>1348</v>
      </c>
    </row>
    <row r="1975">
      <c r="A1975" s="51" t="s">
        <v>29397</v>
      </c>
      <c r="B1975" s="152"/>
      <c r="C1975" s="82"/>
      <c r="D1975" s="33" t="s">
        <v>29398</v>
      </c>
      <c r="F1975" s="46" t="s">
        <v>1348</v>
      </c>
    </row>
    <row r="1976">
      <c r="A1976" s="51" t="s">
        <v>29399</v>
      </c>
      <c r="B1976" s="152"/>
      <c r="C1976" s="82"/>
      <c r="D1976" s="33" t="s">
        <v>29400</v>
      </c>
      <c r="F1976" s="46" t="s">
        <v>1348</v>
      </c>
    </row>
    <row r="1977">
      <c r="A1977" s="51" t="s">
        <v>29401</v>
      </c>
      <c r="B1977" s="152"/>
      <c r="C1977" s="82"/>
      <c r="D1977" s="33" t="s">
        <v>29400</v>
      </c>
      <c r="F1977" s="46" t="s">
        <v>1348</v>
      </c>
    </row>
    <row r="1978">
      <c r="A1978" s="51" t="s">
        <v>29403</v>
      </c>
      <c r="B1978" s="152"/>
      <c r="C1978" s="21"/>
      <c r="D1978" s="33" t="s">
        <v>29405</v>
      </c>
    </row>
    <row r="1979">
      <c r="A1979" s="51" t="s">
        <v>29406</v>
      </c>
      <c r="B1979" s="152"/>
      <c r="C1979" s="82"/>
      <c r="D1979" s="33" t="s">
        <v>29405</v>
      </c>
      <c r="F1979" s="46" t="s">
        <v>1348</v>
      </c>
    </row>
    <row r="1980">
      <c r="A1980" s="51" t="s">
        <v>29407</v>
      </c>
      <c r="B1980" s="152"/>
      <c r="C1980" s="21"/>
      <c r="D1980" s="33" t="s">
        <v>29408</v>
      </c>
    </row>
    <row r="1981">
      <c r="A1981" s="51" t="s">
        <v>29410</v>
      </c>
      <c r="B1981" s="152"/>
      <c r="C1981" s="82"/>
      <c r="D1981" s="33" t="s">
        <v>29408</v>
      </c>
      <c r="F1981" s="46" t="s">
        <v>1348</v>
      </c>
    </row>
    <row r="1982">
      <c r="A1982" s="51" t="s">
        <v>29413</v>
      </c>
      <c r="B1982" s="152"/>
      <c r="C1982" s="82"/>
      <c r="D1982" s="33" t="s">
        <v>29414</v>
      </c>
      <c r="F1982" s="46" t="s">
        <v>2775</v>
      </c>
    </row>
    <row r="1983">
      <c r="A1983" s="51" t="s">
        <v>29415</v>
      </c>
      <c r="B1983" s="152"/>
      <c r="C1983" s="82"/>
      <c r="D1983" s="33" t="s">
        <v>29414</v>
      </c>
      <c r="F1983" s="46" t="s">
        <v>2793</v>
      </c>
    </row>
    <row r="1984">
      <c r="A1984" s="51" t="s">
        <v>29416</v>
      </c>
      <c r="B1984" s="152"/>
      <c r="C1984" s="82"/>
      <c r="D1984" s="33" t="s">
        <v>29414</v>
      </c>
      <c r="F1984" s="46" t="s">
        <v>2775</v>
      </c>
    </row>
    <row r="1985">
      <c r="A1985" s="51" t="s">
        <v>29417</v>
      </c>
      <c r="B1985" s="152"/>
      <c r="C1985" s="82"/>
      <c r="D1985" s="33" t="s">
        <v>29414</v>
      </c>
      <c r="F1985" s="46" t="s">
        <v>2793</v>
      </c>
    </row>
    <row r="1986">
      <c r="A1986" s="51" t="s">
        <v>29419</v>
      </c>
      <c r="B1986" s="152"/>
      <c r="C1986" s="82"/>
      <c r="D1986" s="33" t="s">
        <v>29414</v>
      </c>
      <c r="F1986" s="46" t="s">
        <v>2775</v>
      </c>
    </row>
    <row r="1987">
      <c r="A1987" s="51" t="s">
        <v>29421</v>
      </c>
      <c r="B1987" s="152"/>
      <c r="C1987" s="82"/>
      <c r="D1987" s="33" t="s">
        <v>29414</v>
      </c>
      <c r="F1987" s="46" t="s">
        <v>2793</v>
      </c>
    </row>
    <row r="1988">
      <c r="A1988" s="51" t="s">
        <v>29422</v>
      </c>
      <c r="B1988" s="152"/>
      <c r="C1988" s="82"/>
      <c r="D1988" s="33" t="s">
        <v>29414</v>
      </c>
      <c r="F1988" s="46" t="s">
        <v>2775</v>
      </c>
    </row>
    <row r="1989">
      <c r="A1989" s="51" t="s">
        <v>29423</v>
      </c>
      <c r="B1989" s="152"/>
      <c r="C1989" s="82"/>
      <c r="D1989" s="33" t="s">
        <v>29414</v>
      </c>
      <c r="F1989" s="46" t="s">
        <v>2793</v>
      </c>
    </row>
    <row r="1990">
      <c r="A1990" s="51" t="s">
        <v>29425</v>
      </c>
      <c r="B1990" s="152"/>
      <c r="C1990" s="82"/>
      <c r="D1990" s="33" t="s">
        <v>29414</v>
      </c>
      <c r="F1990" s="46" t="s">
        <v>2775</v>
      </c>
    </row>
    <row r="1991">
      <c r="A1991" s="51" t="s">
        <v>29427</v>
      </c>
      <c r="B1991" s="152"/>
      <c r="C1991" s="82"/>
      <c r="D1991" s="33" t="s">
        <v>29414</v>
      </c>
      <c r="F1991" s="46" t="s">
        <v>2793</v>
      </c>
    </row>
    <row r="1992">
      <c r="A1992" s="51" t="s">
        <v>29428</v>
      </c>
      <c r="B1992" s="152"/>
      <c r="C1992" s="55"/>
      <c r="D1992" s="31"/>
    </row>
    <row r="1993">
      <c r="A1993" s="51" t="s">
        <v>29429</v>
      </c>
      <c r="B1993" s="152"/>
      <c r="C1993" s="55"/>
      <c r="D1993" s="31"/>
    </row>
    <row r="1994">
      <c r="A1994" s="51" t="s">
        <v>29431</v>
      </c>
      <c r="B1994" s="152"/>
      <c r="C1994" s="55"/>
      <c r="D1994" s="31"/>
    </row>
    <row r="1995">
      <c r="A1995" s="51" t="s">
        <v>29432</v>
      </c>
      <c r="B1995" s="152"/>
      <c r="C1995" s="55"/>
      <c r="D1995" s="31"/>
    </row>
    <row r="1996">
      <c r="A1996" s="51" t="s">
        <v>29434</v>
      </c>
      <c r="B1996" s="152"/>
      <c r="C1996" s="55"/>
      <c r="D1996" s="31"/>
    </row>
    <row r="1997">
      <c r="A1997" s="51" t="s">
        <v>29435</v>
      </c>
      <c r="B1997" s="152"/>
      <c r="C1997" s="82"/>
      <c r="D1997" s="33" t="s">
        <v>29436</v>
      </c>
      <c r="F1997" s="46" t="s">
        <v>2775</v>
      </c>
    </row>
    <row r="1998">
      <c r="A1998" s="51" t="s">
        <v>29437</v>
      </c>
      <c r="B1998" s="152"/>
      <c r="C1998" s="82"/>
      <c r="D1998" s="33" t="s">
        <v>29436</v>
      </c>
      <c r="F1998" s="46" t="s">
        <v>2793</v>
      </c>
    </row>
    <row r="1999">
      <c r="A1999" s="51" t="s">
        <v>29438</v>
      </c>
      <c r="B1999" s="152"/>
      <c r="C1999" s="55"/>
      <c r="D1999" s="31"/>
    </row>
    <row r="2000">
      <c r="A2000" s="51" t="s">
        <v>29440</v>
      </c>
      <c r="B2000" s="152"/>
      <c r="C2000" s="55"/>
      <c r="D2000" s="31"/>
    </row>
    <row r="2001">
      <c r="A2001" s="51" t="s">
        <v>29441</v>
      </c>
      <c r="B2001" s="152"/>
      <c r="C2001" s="55"/>
      <c r="D2001" s="31"/>
    </row>
    <row r="2002">
      <c r="A2002" s="51" t="s">
        <v>29444</v>
      </c>
      <c r="B2002" s="152"/>
      <c r="C2002" s="55"/>
      <c r="D2002" s="31"/>
    </row>
    <row r="2003">
      <c r="A2003" s="51" t="s">
        <v>29445</v>
      </c>
      <c r="B2003" s="152"/>
      <c r="C2003" s="55"/>
      <c r="D2003" s="31"/>
    </row>
    <row r="2004">
      <c r="A2004" s="51" t="s">
        <v>29446</v>
      </c>
      <c r="B2004" s="152"/>
      <c r="C2004" s="82"/>
      <c r="D2004" s="33" t="s">
        <v>29447</v>
      </c>
      <c r="F2004" s="46" t="s">
        <v>1348</v>
      </c>
    </row>
    <row r="2005">
      <c r="A2005" s="51" t="s">
        <v>29448</v>
      </c>
      <c r="B2005" s="152"/>
      <c r="C2005" s="82"/>
      <c r="D2005" s="33" t="s">
        <v>29447</v>
      </c>
      <c r="F2005" s="46" t="s">
        <v>1348</v>
      </c>
    </row>
    <row r="2006">
      <c r="A2006" s="51" t="s">
        <v>29449</v>
      </c>
      <c r="B2006" s="152"/>
      <c r="C2006" s="82"/>
      <c r="D2006" s="33" t="s">
        <v>29447</v>
      </c>
      <c r="F2006" s="46" t="s">
        <v>1348</v>
      </c>
    </row>
    <row r="2007">
      <c r="A2007" s="51" t="s">
        <v>29452</v>
      </c>
      <c r="B2007" s="152"/>
      <c r="C2007" s="55"/>
      <c r="D2007" s="31"/>
    </row>
    <row r="2008">
      <c r="A2008" s="51" t="s">
        <v>29453</v>
      </c>
      <c r="B2008" s="152"/>
      <c r="C2008" s="55"/>
      <c r="D2008" s="31"/>
    </row>
    <row r="2009">
      <c r="A2009" s="51" t="s">
        <v>29454</v>
      </c>
      <c r="B2009" s="152"/>
      <c r="C2009" s="55"/>
      <c r="D2009" s="31"/>
    </row>
    <row r="2010">
      <c r="A2010" s="51" t="s">
        <v>29455</v>
      </c>
      <c r="B2010" s="152"/>
      <c r="C2010" s="55"/>
      <c r="D2010" s="31"/>
    </row>
    <row r="2011">
      <c r="A2011" s="51" t="s">
        <v>29456</v>
      </c>
      <c r="B2011" s="152"/>
      <c r="C2011" s="55"/>
      <c r="D2011" s="31"/>
    </row>
    <row r="2012">
      <c r="A2012" s="51" t="s">
        <v>29458</v>
      </c>
      <c r="B2012" s="152"/>
      <c r="C2012" s="55"/>
      <c r="D2012" s="31"/>
    </row>
    <row r="2013">
      <c r="A2013" s="51" t="s">
        <v>29461</v>
      </c>
      <c r="B2013" s="152"/>
      <c r="C2013" s="55"/>
      <c r="D2013" s="31"/>
    </row>
    <row r="2014">
      <c r="A2014" s="51" t="s">
        <v>29462</v>
      </c>
      <c r="B2014" s="152"/>
      <c r="C2014" s="55"/>
      <c r="D2014" s="31"/>
    </row>
    <row r="2015">
      <c r="A2015" s="51" t="s">
        <v>29463</v>
      </c>
      <c r="B2015" s="152"/>
      <c r="C2015" s="55"/>
      <c r="D2015" s="31"/>
    </row>
    <row r="2016">
      <c r="A2016" s="51" t="s">
        <v>29464</v>
      </c>
      <c r="B2016" s="152"/>
      <c r="C2016" s="55"/>
      <c r="D2016" s="31"/>
    </row>
    <row r="2017">
      <c r="A2017" s="51" t="s">
        <v>29465</v>
      </c>
      <c r="B2017" s="152"/>
      <c r="C2017" s="55"/>
      <c r="D2017" s="31"/>
    </row>
    <row r="2018">
      <c r="A2018" s="51" t="s">
        <v>29468</v>
      </c>
      <c r="B2018" s="152"/>
      <c r="C2018" s="55"/>
      <c r="D2018" s="31"/>
    </row>
    <row r="2019">
      <c r="A2019" s="51" t="s">
        <v>29469</v>
      </c>
      <c r="B2019" s="152"/>
      <c r="C2019" s="55"/>
      <c r="D2019" s="31"/>
    </row>
    <row r="2020">
      <c r="A2020" s="51" t="s">
        <v>29470</v>
      </c>
      <c r="B2020" s="152"/>
      <c r="C2020" s="55"/>
      <c r="D2020" s="31"/>
    </row>
    <row r="2021">
      <c r="A2021" s="51" t="s">
        <v>29471</v>
      </c>
      <c r="B2021" s="152"/>
      <c r="C2021" s="55"/>
      <c r="D2021" s="31"/>
    </row>
    <row r="2022">
      <c r="A2022" s="51" t="s">
        <v>29472</v>
      </c>
      <c r="B2022" s="152"/>
      <c r="C2022" s="55"/>
      <c r="D2022" s="31"/>
    </row>
    <row r="2023">
      <c r="A2023" s="51" t="s">
        <v>29473</v>
      </c>
      <c r="B2023" s="152"/>
      <c r="C2023" s="55"/>
      <c r="D2023" s="31"/>
    </row>
    <row r="2024">
      <c r="A2024" s="51" t="s">
        <v>29476</v>
      </c>
      <c r="B2024" s="152"/>
      <c r="C2024" s="55"/>
      <c r="D2024" s="31"/>
    </row>
    <row r="2025">
      <c r="A2025" s="51" t="s">
        <v>29478</v>
      </c>
      <c r="B2025" s="152"/>
      <c r="C2025" s="82"/>
      <c r="D2025" s="33" t="s">
        <v>29479</v>
      </c>
      <c r="F2025" s="46" t="s">
        <v>2775</v>
      </c>
    </row>
    <row r="2026">
      <c r="A2026" s="51" t="s">
        <v>29480</v>
      </c>
      <c r="B2026" s="152"/>
      <c r="C2026" s="82"/>
      <c r="D2026" s="33" t="s">
        <v>29479</v>
      </c>
      <c r="F2026" s="46" t="s">
        <v>2793</v>
      </c>
    </row>
    <row r="2027">
      <c r="A2027" s="51" t="s">
        <v>29481</v>
      </c>
      <c r="B2027" s="152"/>
      <c r="C2027" s="21"/>
      <c r="D2027" s="33" t="s">
        <v>29482</v>
      </c>
      <c r="G2027" s="46" t="s">
        <v>29483</v>
      </c>
    </row>
    <row r="2028">
      <c r="A2028" s="51" t="s">
        <v>29484</v>
      </c>
      <c r="B2028" s="152"/>
      <c r="C2028" s="21"/>
      <c r="D2028" s="33" t="s">
        <v>29482</v>
      </c>
      <c r="G2028" s="46" t="s">
        <v>29483</v>
      </c>
    </row>
    <row r="2029">
      <c r="A2029" s="51" t="s">
        <v>29486</v>
      </c>
      <c r="B2029" s="152"/>
      <c r="C2029" s="40"/>
      <c r="D2029" s="33" t="s">
        <v>29482</v>
      </c>
      <c r="F2029" s="46" t="s">
        <v>2756</v>
      </c>
      <c r="G2029" s="46" t="s">
        <v>29483</v>
      </c>
    </row>
    <row r="2030">
      <c r="A2030" s="51" t="s">
        <v>29488</v>
      </c>
      <c r="B2030" s="152"/>
      <c r="C2030" s="82"/>
      <c r="D2030" s="33" t="s">
        <v>29489</v>
      </c>
      <c r="F2030" s="46" t="s">
        <v>2775</v>
      </c>
      <c r="G2030" s="46" t="s">
        <v>29483</v>
      </c>
    </row>
    <row r="2031">
      <c r="A2031" s="51" t="s">
        <v>29490</v>
      </c>
      <c r="B2031" s="152"/>
      <c r="C2031" s="82"/>
      <c r="D2031" s="33" t="s">
        <v>29491</v>
      </c>
      <c r="F2031" s="46" t="s">
        <v>2775</v>
      </c>
      <c r="G2031" s="46" t="s">
        <v>29483</v>
      </c>
    </row>
    <row r="2032">
      <c r="A2032" s="51" t="s">
        <v>29492</v>
      </c>
      <c r="B2032" s="152"/>
      <c r="C2032" s="82"/>
      <c r="D2032" s="33" t="s">
        <v>29494</v>
      </c>
      <c r="F2032" s="46" t="s">
        <v>2775</v>
      </c>
      <c r="G2032" s="46" t="s">
        <v>29483</v>
      </c>
    </row>
    <row r="2033">
      <c r="A2033" s="51" t="s">
        <v>29496</v>
      </c>
      <c r="B2033" s="152"/>
      <c r="C2033" s="82"/>
      <c r="D2033" s="33" t="s">
        <v>29497</v>
      </c>
      <c r="F2033" s="46" t="s">
        <v>2775</v>
      </c>
      <c r="G2033" s="46" t="s">
        <v>29483</v>
      </c>
    </row>
    <row r="2034">
      <c r="A2034" s="51" t="s">
        <v>29499</v>
      </c>
      <c r="B2034" s="152"/>
      <c r="C2034" s="82"/>
      <c r="D2034" s="33" t="s">
        <v>29500</v>
      </c>
      <c r="F2034" s="46" t="s">
        <v>2775</v>
      </c>
      <c r="G2034" s="46" t="s">
        <v>29483</v>
      </c>
    </row>
    <row r="2035">
      <c r="A2035" s="51" t="s">
        <v>29501</v>
      </c>
      <c r="B2035" s="152"/>
      <c r="C2035" s="82"/>
      <c r="D2035" s="33" t="s">
        <v>29502</v>
      </c>
      <c r="F2035" s="46" t="s">
        <v>2775</v>
      </c>
      <c r="G2035" s="46" t="s">
        <v>29483</v>
      </c>
    </row>
    <row r="2036">
      <c r="A2036" s="51" t="s">
        <v>29503</v>
      </c>
      <c r="B2036" s="152"/>
      <c r="C2036" s="82"/>
      <c r="D2036" s="33" t="s">
        <v>29505</v>
      </c>
      <c r="F2036" s="46" t="s">
        <v>2775</v>
      </c>
      <c r="G2036" s="46" t="s">
        <v>29483</v>
      </c>
    </row>
    <row r="2037">
      <c r="A2037" s="51" t="s">
        <v>29506</v>
      </c>
      <c r="B2037" s="152"/>
      <c r="C2037" s="82"/>
      <c r="D2037" s="33" t="s">
        <v>29505</v>
      </c>
      <c r="F2037" s="46" t="s">
        <v>2775</v>
      </c>
      <c r="G2037" s="46" t="s">
        <v>29483</v>
      </c>
    </row>
    <row r="2038">
      <c r="A2038" s="51" t="s">
        <v>29507</v>
      </c>
      <c r="B2038" s="152"/>
      <c r="C2038" s="82"/>
      <c r="D2038" s="33" t="s">
        <v>29505</v>
      </c>
      <c r="F2038" s="46" t="s">
        <v>2775</v>
      </c>
      <c r="G2038" s="46" t="s">
        <v>29483</v>
      </c>
    </row>
    <row r="2039">
      <c r="A2039" s="51" t="s">
        <v>29508</v>
      </c>
      <c r="B2039" s="152"/>
      <c r="C2039" s="82"/>
      <c r="D2039" s="33" t="s">
        <v>29505</v>
      </c>
      <c r="F2039" s="46" t="s">
        <v>2775</v>
      </c>
      <c r="G2039" s="46" t="s">
        <v>29483</v>
      </c>
    </row>
    <row r="2040">
      <c r="A2040" s="51" t="s">
        <v>29510</v>
      </c>
      <c r="B2040" s="152"/>
      <c r="C2040" s="82"/>
      <c r="D2040" s="33" t="s">
        <v>29505</v>
      </c>
      <c r="F2040" s="46" t="s">
        <v>2775</v>
      </c>
      <c r="G2040" s="46" t="s">
        <v>29483</v>
      </c>
    </row>
    <row r="2041">
      <c r="A2041" s="51" t="s">
        <v>29513</v>
      </c>
      <c r="B2041" s="152"/>
      <c r="C2041" s="82"/>
      <c r="D2041" s="33" t="s">
        <v>29505</v>
      </c>
      <c r="F2041" s="46" t="s">
        <v>2775</v>
      </c>
      <c r="G2041" s="46" t="s">
        <v>29483</v>
      </c>
    </row>
    <row r="2042">
      <c r="A2042" s="51" t="s">
        <v>29514</v>
      </c>
      <c r="B2042" s="152"/>
      <c r="C2042" s="82"/>
      <c r="D2042" s="33" t="s">
        <v>29505</v>
      </c>
      <c r="F2042" s="46" t="s">
        <v>2775</v>
      </c>
      <c r="G2042" s="46" t="s">
        <v>29483</v>
      </c>
    </row>
    <row r="2043">
      <c r="A2043" s="51" t="s">
        <v>29515</v>
      </c>
      <c r="B2043" s="152"/>
      <c r="C2043" s="82"/>
      <c r="D2043" s="33" t="s">
        <v>29516</v>
      </c>
      <c r="F2043" s="46" t="s">
        <v>2775</v>
      </c>
      <c r="G2043" s="46" t="s">
        <v>29483</v>
      </c>
    </row>
    <row r="2044">
      <c r="A2044" s="51" t="s">
        <v>29517</v>
      </c>
      <c r="B2044" s="152"/>
      <c r="C2044" s="82"/>
      <c r="D2044" s="33" t="s">
        <v>29519</v>
      </c>
      <c r="F2044" s="46" t="s">
        <v>2775</v>
      </c>
      <c r="G2044" s="46" t="s">
        <v>29483</v>
      </c>
    </row>
    <row r="2045">
      <c r="A2045" s="51" t="s">
        <v>29521</v>
      </c>
      <c r="B2045" s="152"/>
      <c r="C2045" s="82"/>
      <c r="D2045" s="33" t="s">
        <v>29519</v>
      </c>
      <c r="F2045" s="46" t="s">
        <v>2775</v>
      </c>
      <c r="G2045" s="46" t="s">
        <v>29483</v>
      </c>
    </row>
    <row r="2046">
      <c r="A2046" s="51" t="s">
        <v>29522</v>
      </c>
      <c r="B2046" s="152"/>
      <c r="C2046" s="82"/>
      <c r="D2046" s="33" t="s">
        <v>29523</v>
      </c>
      <c r="F2046" s="46" t="s">
        <v>2775</v>
      </c>
      <c r="G2046" s="46" t="s">
        <v>29483</v>
      </c>
    </row>
    <row r="2047">
      <c r="A2047" s="51" t="s">
        <v>29524</v>
      </c>
      <c r="B2047" s="152"/>
      <c r="C2047" s="82"/>
      <c r="D2047" s="33" t="s">
        <v>29519</v>
      </c>
      <c r="F2047" s="46" t="s">
        <v>2775</v>
      </c>
      <c r="G2047" s="46" t="s">
        <v>29483</v>
      </c>
    </row>
    <row r="2048">
      <c r="A2048" s="51" t="s">
        <v>29525</v>
      </c>
      <c r="B2048" s="152"/>
      <c r="C2048" s="82"/>
      <c r="D2048" s="33" t="s">
        <v>29519</v>
      </c>
      <c r="F2048" s="46" t="s">
        <v>2775</v>
      </c>
      <c r="G2048" s="46" t="s">
        <v>29483</v>
      </c>
    </row>
    <row r="2049">
      <c r="A2049" s="51" t="s">
        <v>29528</v>
      </c>
      <c r="B2049" s="152"/>
      <c r="C2049" s="82"/>
      <c r="D2049" s="33" t="s">
        <v>29523</v>
      </c>
      <c r="F2049" s="46" t="s">
        <v>2775</v>
      </c>
      <c r="G2049" s="46" t="s">
        <v>29483</v>
      </c>
    </row>
    <row r="2050">
      <c r="A2050" s="51" t="s">
        <v>29530</v>
      </c>
      <c r="B2050" s="152"/>
      <c r="C2050" s="82"/>
      <c r="D2050" s="33" t="s">
        <v>29519</v>
      </c>
      <c r="F2050" s="46" t="s">
        <v>2775</v>
      </c>
      <c r="G2050" s="46" t="s">
        <v>29483</v>
      </c>
    </row>
    <row r="2051">
      <c r="A2051" s="51" t="s">
        <v>29531</v>
      </c>
      <c r="B2051" s="152"/>
      <c r="C2051" s="82"/>
      <c r="D2051" s="33" t="s">
        <v>29519</v>
      </c>
      <c r="F2051" s="46" t="s">
        <v>2775</v>
      </c>
      <c r="G2051" s="46" t="s">
        <v>29483</v>
      </c>
    </row>
    <row r="2052">
      <c r="A2052" s="51" t="s">
        <v>29532</v>
      </c>
      <c r="B2052" s="152"/>
      <c r="C2052" s="82"/>
      <c r="D2052" s="33" t="s">
        <v>29523</v>
      </c>
      <c r="F2052" s="46" t="s">
        <v>2775</v>
      </c>
      <c r="G2052" s="46" t="s">
        <v>29483</v>
      </c>
    </row>
    <row r="2053">
      <c r="A2053" s="51" t="s">
        <v>29534</v>
      </c>
      <c r="B2053" s="152"/>
      <c r="C2053" s="82"/>
      <c r="D2053" s="33" t="s">
        <v>29519</v>
      </c>
      <c r="F2053" s="46" t="s">
        <v>2775</v>
      </c>
      <c r="G2053" s="46" t="s">
        <v>29483</v>
      </c>
    </row>
    <row r="2054">
      <c r="A2054" s="51" t="s">
        <v>29535</v>
      </c>
      <c r="B2054" s="152"/>
      <c r="C2054" s="82"/>
      <c r="D2054" s="33" t="s">
        <v>29519</v>
      </c>
      <c r="F2054" s="46" t="s">
        <v>2775</v>
      </c>
      <c r="G2054" s="46" t="s">
        <v>29483</v>
      </c>
    </row>
    <row r="2055">
      <c r="A2055" s="51" t="s">
        <v>29537</v>
      </c>
      <c r="B2055" s="152"/>
      <c r="C2055" s="82"/>
      <c r="D2055" s="33" t="s">
        <v>29523</v>
      </c>
      <c r="F2055" s="46" t="s">
        <v>2775</v>
      </c>
      <c r="G2055" s="46" t="s">
        <v>29483</v>
      </c>
    </row>
    <row r="2056">
      <c r="A2056" s="51" t="s">
        <v>29538</v>
      </c>
      <c r="B2056" s="152"/>
      <c r="C2056" s="82"/>
      <c r="D2056" s="33" t="s">
        <v>29539</v>
      </c>
      <c r="F2056" s="46" t="s">
        <v>2775</v>
      </c>
      <c r="G2056" s="46" t="s">
        <v>29483</v>
      </c>
    </row>
    <row r="2057">
      <c r="A2057" s="51" t="s">
        <v>29540</v>
      </c>
      <c r="B2057" s="152"/>
      <c r="C2057" s="82"/>
      <c r="D2057" s="33" t="s">
        <v>29542</v>
      </c>
      <c r="F2057" s="46" t="s">
        <v>2775</v>
      </c>
      <c r="G2057" s="46" t="s">
        <v>29483</v>
      </c>
    </row>
    <row r="2058">
      <c r="A2058" s="51" t="s">
        <v>29543</v>
      </c>
      <c r="B2058" s="152"/>
      <c r="C2058" s="82"/>
      <c r="D2058" s="33" t="s">
        <v>29544</v>
      </c>
      <c r="F2058" s="46" t="s">
        <v>2775</v>
      </c>
      <c r="G2058" s="46" t="s">
        <v>29483</v>
      </c>
    </row>
    <row r="2059">
      <c r="A2059" s="51" t="s">
        <v>29545</v>
      </c>
      <c r="B2059" s="152"/>
      <c r="C2059" s="82"/>
      <c r="D2059" s="33" t="s">
        <v>29546</v>
      </c>
      <c r="F2059" s="46" t="s">
        <v>2775</v>
      </c>
      <c r="G2059" s="46" t="s">
        <v>29483</v>
      </c>
    </row>
    <row r="2060">
      <c r="A2060" s="51" t="s">
        <v>29547</v>
      </c>
      <c r="B2060" s="152"/>
      <c r="C2060" s="82"/>
      <c r="D2060" s="33" t="s">
        <v>29548</v>
      </c>
      <c r="F2060" s="46" t="s">
        <v>2775</v>
      </c>
      <c r="G2060" s="46" t="s">
        <v>29483</v>
      </c>
    </row>
    <row r="2061">
      <c r="A2061" s="51" t="s">
        <v>29549</v>
      </c>
      <c r="B2061" s="152"/>
      <c r="C2061" s="82"/>
      <c r="D2061" s="33" t="s">
        <v>29548</v>
      </c>
      <c r="F2061" s="46" t="s">
        <v>2775</v>
      </c>
      <c r="G2061" s="46" t="s">
        <v>29483</v>
      </c>
    </row>
    <row r="2062">
      <c r="A2062" s="51" t="s">
        <v>29551</v>
      </c>
      <c r="B2062" s="152"/>
      <c r="C2062" s="82"/>
      <c r="D2062" s="33" t="s">
        <v>29523</v>
      </c>
      <c r="F2062" s="46" t="s">
        <v>2775</v>
      </c>
      <c r="G2062" s="46" t="s">
        <v>29483</v>
      </c>
    </row>
    <row r="2063">
      <c r="A2063" s="51" t="s">
        <v>29552</v>
      </c>
      <c r="B2063" s="152"/>
      <c r="C2063" s="82"/>
      <c r="D2063" s="33" t="s">
        <v>29546</v>
      </c>
      <c r="F2063" s="46" t="s">
        <v>2775</v>
      </c>
      <c r="G2063" s="46" t="s">
        <v>29483</v>
      </c>
    </row>
    <row r="2064">
      <c r="A2064" s="51" t="s">
        <v>29553</v>
      </c>
      <c r="B2064" s="152"/>
      <c r="C2064" s="82"/>
      <c r="D2064" s="33" t="s">
        <v>29548</v>
      </c>
      <c r="F2064" s="46" t="s">
        <v>2775</v>
      </c>
      <c r="G2064" s="46" t="s">
        <v>29483</v>
      </c>
    </row>
    <row r="2065">
      <c r="A2065" s="51" t="s">
        <v>29555</v>
      </c>
      <c r="B2065" s="152"/>
      <c r="C2065" s="82"/>
      <c r="D2065" s="33" t="s">
        <v>29548</v>
      </c>
      <c r="F2065" s="46" t="s">
        <v>2775</v>
      </c>
      <c r="G2065" s="46" t="s">
        <v>29483</v>
      </c>
    </row>
    <row r="2066">
      <c r="A2066" s="51" t="s">
        <v>29558</v>
      </c>
      <c r="B2066" s="152"/>
      <c r="C2066" s="82"/>
      <c r="D2066" s="33" t="s">
        <v>29523</v>
      </c>
      <c r="F2066" s="46" t="s">
        <v>2775</v>
      </c>
      <c r="G2066" s="46" t="s">
        <v>29483</v>
      </c>
    </row>
    <row r="2067">
      <c r="A2067" s="51" t="s">
        <v>29560</v>
      </c>
      <c r="B2067" s="152"/>
      <c r="C2067" s="82"/>
      <c r="D2067" s="33" t="s">
        <v>29561</v>
      </c>
      <c r="F2067" s="46" t="s">
        <v>2775</v>
      </c>
      <c r="G2067" s="46" t="s">
        <v>29483</v>
      </c>
    </row>
    <row r="2068">
      <c r="A2068" s="51" t="s">
        <v>29563</v>
      </c>
      <c r="B2068" s="152"/>
      <c r="C2068" s="21"/>
      <c r="D2068" s="33" t="s">
        <v>29482</v>
      </c>
      <c r="G2068" s="46" t="s">
        <v>29564</v>
      </c>
    </row>
    <row r="2069">
      <c r="A2069" s="51" t="s">
        <v>29565</v>
      </c>
      <c r="B2069" s="152"/>
      <c r="C2069" s="21"/>
      <c r="D2069" s="33" t="s">
        <v>29482</v>
      </c>
      <c r="G2069" s="46" t="s">
        <v>29564</v>
      </c>
    </row>
    <row r="2070">
      <c r="A2070" s="51" t="s">
        <v>29567</v>
      </c>
      <c r="B2070" s="152"/>
      <c r="C2070" s="40"/>
      <c r="D2070" s="33" t="s">
        <v>29482</v>
      </c>
      <c r="F2070" s="46" t="s">
        <v>2756</v>
      </c>
      <c r="G2070" s="46" t="s">
        <v>29564</v>
      </c>
    </row>
    <row r="2071">
      <c r="A2071" s="51" t="s">
        <v>29568</v>
      </c>
      <c r="B2071" s="152"/>
      <c r="C2071" s="82"/>
      <c r="D2071" s="33" t="s">
        <v>29489</v>
      </c>
      <c r="F2071" s="46" t="s">
        <v>2775</v>
      </c>
      <c r="G2071" s="46" t="s">
        <v>29564</v>
      </c>
    </row>
    <row r="2072">
      <c r="A2072" s="51" t="s">
        <v>29569</v>
      </c>
      <c r="B2072" s="152"/>
      <c r="C2072" s="82"/>
      <c r="D2072" s="33" t="s">
        <v>29491</v>
      </c>
      <c r="F2072" s="46" t="s">
        <v>2775</v>
      </c>
      <c r="G2072" s="46" t="s">
        <v>29564</v>
      </c>
    </row>
    <row r="2073">
      <c r="A2073" s="51" t="s">
        <v>29572</v>
      </c>
      <c r="B2073" s="152"/>
      <c r="C2073" s="82"/>
      <c r="D2073" s="33" t="s">
        <v>29494</v>
      </c>
      <c r="F2073" s="46" t="s">
        <v>2775</v>
      </c>
      <c r="G2073" s="46" t="s">
        <v>29564</v>
      </c>
    </row>
    <row r="2074">
      <c r="A2074" s="51" t="s">
        <v>29573</v>
      </c>
      <c r="B2074" s="152"/>
      <c r="C2074" s="82"/>
      <c r="D2074" s="33" t="s">
        <v>29516</v>
      </c>
      <c r="F2074" s="46" t="s">
        <v>2775</v>
      </c>
      <c r="G2074" s="46" t="s">
        <v>29564</v>
      </c>
    </row>
    <row r="2075">
      <c r="A2075" s="51" t="s">
        <v>29576</v>
      </c>
      <c r="B2075" s="152"/>
      <c r="C2075" s="82"/>
      <c r="D2075" s="33" t="s">
        <v>29505</v>
      </c>
      <c r="F2075" s="46" t="s">
        <v>2775</v>
      </c>
      <c r="G2075" s="46" t="s">
        <v>29564</v>
      </c>
    </row>
    <row r="2076">
      <c r="A2076" s="51" t="s">
        <v>29579</v>
      </c>
      <c r="B2076" s="152"/>
      <c r="C2076" s="82"/>
      <c r="D2076" s="33" t="s">
        <v>29505</v>
      </c>
      <c r="F2076" s="46" t="s">
        <v>2775</v>
      </c>
      <c r="G2076" s="46" t="s">
        <v>29564</v>
      </c>
    </row>
    <row r="2077">
      <c r="A2077" s="51" t="s">
        <v>29580</v>
      </c>
      <c r="B2077" s="152"/>
      <c r="C2077" s="82"/>
      <c r="D2077" s="33" t="s">
        <v>29505</v>
      </c>
      <c r="F2077" s="46" t="s">
        <v>2775</v>
      </c>
      <c r="G2077" s="46" t="s">
        <v>29564</v>
      </c>
    </row>
    <row r="2078">
      <c r="A2078" s="51" t="s">
        <v>29581</v>
      </c>
      <c r="B2078" s="152"/>
      <c r="C2078" s="82"/>
      <c r="D2078" s="33" t="s">
        <v>29505</v>
      </c>
      <c r="F2078" s="46" t="s">
        <v>2775</v>
      </c>
      <c r="G2078" s="46" t="s">
        <v>29564</v>
      </c>
    </row>
    <row r="2079">
      <c r="A2079" s="51" t="s">
        <v>29583</v>
      </c>
      <c r="B2079" s="152"/>
      <c r="C2079" s="82"/>
      <c r="D2079" s="33" t="s">
        <v>29505</v>
      </c>
      <c r="F2079" s="46" t="s">
        <v>2775</v>
      </c>
      <c r="G2079" s="46" t="s">
        <v>29564</v>
      </c>
    </row>
    <row r="2080">
      <c r="A2080" s="51" t="s">
        <v>29584</v>
      </c>
      <c r="B2080" s="152"/>
      <c r="C2080" s="82"/>
      <c r="D2080" s="33" t="s">
        <v>29505</v>
      </c>
      <c r="F2080" s="46" t="s">
        <v>2775</v>
      </c>
      <c r="G2080" s="46" t="s">
        <v>29564</v>
      </c>
    </row>
    <row r="2081">
      <c r="A2081" s="51" t="s">
        <v>29586</v>
      </c>
      <c r="B2081" s="152"/>
      <c r="C2081" s="82"/>
      <c r="D2081" s="33" t="s">
        <v>29505</v>
      </c>
      <c r="F2081" s="46" t="s">
        <v>2775</v>
      </c>
      <c r="G2081" s="46" t="s">
        <v>29564</v>
      </c>
    </row>
    <row r="2082">
      <c r="A2082" s="51" t="s">
        <v>29587</v>
      </c>
      <c r="B2082" s="152"/>
      <c r="C2082" s="82"/>
      <c r="D2082" s="33" t="s">
        <v>29497</v>
      </c>
      <c r="F2082" s="46" t="s">
        <v>2775</v>
      </c>
      <c r="G2082" s="46" t="s">
        <v>29564</v>
      </c>
    </row>
    <row r="2083">
      <c r="A2083" s="51" t="s">
        <v>29588</v>
      </c>
      <c r="B2083" s="152"/>
      <c r="C2083" s="82"/>
      <c r="D2083" s="33" t="s">
        <v>29500</v>
      </c>
      <c r="F2083" s="46" t="s">
        <v>2775</v>
      </c>
      <c r="G2083" s="46" t="s">
        <v>29564</v>
      </c>
    </row>
    <row r="2084">
      <c r="A2084" s="51" t="s">
        <v>29591</v>
      </c>
      <c r="B2084" s="152"/>
      <c r="C2084" s="82"/>
      <c r="D2084" s="33" t="s">
        <v>29592</v>
      </c>
      <c r="F2084" s="46" t="s">
        <v>2775</v>
      </c>
      <c r="G2084" s="46" t="s">
        <v>29564</v>
      </c>
    </row>
    <row r="2085">
      <c r="A2085" s="51" t="s">
        <v>29593</v>
      </c>
      <c r="B2085" s="152"/>
      <c r="C2085" s="82"/>
      <c r="D2085" s="33" t="s">
        <v>29519</v>
      </c>
      <c r="F2085" s="46" t="s">
        <v>2775</v>
      </c>
      <c r="G2085" s="46" t="s">
        <v>29564</v>
      </c>
    </row>
    <row r="2086">
      <c r="A2086" s="51" t="s">
        <v>29595</v>
      </c>
      <c r="B2086" s="152"/>
      <c r="C2086" s="82"/>
      <c r="D2086" s="33" t="s">
        <v>29519</v>
      </c>
      <c r="F2086" s="46" t="s">
        <v>2775</v>
      </c>
      <c r="G2086" s="46" t="s">
        <v>29564</v>
      </c>
    </row>
    <row r="2087">
      <c r="A2087" s="51" t="s">
        <v>29596</v>
      </c>
      <c r="B2087" s="152"/>
      <c r="C2087" s="82"/>
      <c r="D2087" s="33" t="s">
        <v>29523</v>
      </c>
      <c r="F2087" s="46" t="s">
        <v>2775</v>
      </c>
      <c r="G2087" s="46" t="s">
        <v>29564</v>
      </c>
    </row>
    <row r="2088">
      <c r="A2088" s="51" t="s">
        <v>29598</v>
      </c>
      <c r="B2088" s="152"/>
      <c r="C2088" s="82"/>
      <c r="D2088" s="33" t="s">
        <v>29519</v>
      </c>
      <c r="F2088" s="46" t="s">
        <v>2775</v>
      </c>
      <c r="G2088" s="46" t="s">
        <v>29564</v>
      </c>
    </row>
    <row r="2089">
      <c r="A2089" s="51" t="s">
        <v>29599</v>
      </c>
      <c r="B2089" s="152"/>
      <c r="C2089" s="82"/>
      <c r="D2089" s="33" t="s">
        <v>29519</v>
      </c>
      <c r="F2089" s="46" t="s">
        <v>2775</v>
      </c>
      <c r="G2089" s="46" t="s">
        <v>29564</v>
      </c>
    </row>
    <row r="2090">
      <c r="A2090" s="51" t="s">
        <v>29601</v>
      </c>
      <c r="B2090" s="152"/>
      <c r="C2090" s="82"/>
      <c r="D2090" s="33" t="s">
        <v>29523</v>
      </c>
      <c r="F2090" s="46" t="s">
        <v>2775</v>
      </c>
      <c r="G2090" s="46" t="s">
        <v>29564</v>
      </c>
    </row>
    <row r="2091">
      <c r="A2091" s="51" t="s">
        <v>29602</v>
      </c>
      <c r="B2091" s="152"/>
      <c r="C2091" s="82"/>
      <c r="D2091" s="33" t="s">
        <v>29519</v>
      </c>
      <c r="F2091" s="46" t="s">
        <v>2775</v>
      </c>
      <c r="G2091" s="46" t="s">
        <v>29564</v>
      </c>
    </row>
    <row r="2092">
      <c r="A2092" s="51" t="s">
        <v>29604</v>
      </c>
      <c r="B2092" s="152"/>
      <c r="C2092" s="82"/>
      <c r="D2092" s="33" t="s">
        <v>29519</v>
      </c>
      <c r="F2092" s="46" t="s">
        <v>2775</v>
      </c>
      <c r="G2092" s="46" t="s">
        <v>29564</v>
      </c>
    </row>
    <row r="2093">
      <c r="A2093" s="51" t="s">
        <v>29606</v>
      </c>
      <c r="B2093" s="152"/>
      <c r="C2093" s="82"/>
      <c r="D2093" s="33" t="s">
        <v>29523</v>
      </c>
      <c r="F2093" s="46" t="s">
        <v>2775</v>
      </c>
      <c r="G2093" s="46" t="s">
        <v>29564</v>
      </c>
    </row>
    <row r="2094">
      <c r="A2094" s="51" t="s">
        <v>29607</v>
      </c>
      <c r="B2094" s="152"/>
      <c r="C2094" s="82"/>
      <c r="D2094" s="33" t="s">
        <v>29519</v>
      </c>
      <c r="F2094" s="46" t="s">
        <v>2775</v>
      </c>
      <c r="G2094" s="46" t="s">
        <v>29564</v>
      </c>
    </row>
    <row r="2095">
      <c r="A2095" s="51" t="s">
        <v>29609</v>
      </c>
      <c r="B2095" s="152"/>
      <c r="C2095" s="82"/>
      <c r="D2095" s="33" t="s">
        <v>29519</v>
      </c>
      <c r="F2095" s="46" t="s">
        <v>2775</v>
      </c>
      <c r="G2095" s="46" t="s">
        <v>29564</v>
      </c>
    </row>
    <row r="2096">
      <c r="A2096" s="51" t="s">
        <v>29611</v>
      </c>
      <c r="B2096" s="152"/>
      <c r="C2096" s="82"/>
      <c r="D2096" s="33" t="s">
        <v>29523</v>
      </c>
      <c r="F2096" s="46" t="s">
        <v>2775</v>
      </c>
      <c r="G2096" s="46" t="s">
        <v>29564</v>
      </c>
    </row>
    <row r="2097">
      <c r="A2097" s="51" t="s">
        <v>29612</v>
      </c>
      <c r="B2097" s="152"/>
      <c r="C2097" s="82"/>
      <c r="D2097" s="33" t="s">
        <v>29539</v>
      </c>
      <c r="F2097" s="46" t="s">
        <v>2775</v>
      </c>
      <c r="G2097" s="46" t="s">
        <v>29564</v>
      </c>
    </row>
    <row r="2098">
      <c r="A2098" s="51" t="s">
        <v>29613</v>
      </c>
      <c r="B2098" s="152"/>
      <c r="C2098" s="82"/>
      <c r="D2098" s="33" t="s">
        <v>29542</v>
      </c>
      <c r="F2098" s="46" t="s">
        <v>2775</v>
      </c>
      <c r="G2098" s="46" t="s">
        <v>29564</v>
      </c>
    </row>
    <row r="2099">
      <c r="A2099" s="51" t="s">
        <v>29615</v>
      </c>
      <c r="B2099" s="152"/>
      <c r="C2099" s="82"/>
      <c r="D2099" s="33" t="s">
        <v>29544</v>
      </c>
      <c r="F2099" s="46" t="s">
        <v>2775</v>
      </c>
      <c r="G2099" s="46" t="s">
        <v>29564</v>
      </c>
    </row>
    <row r="2100">
      <c r="A2100" s="51" t="s">
        <v>29617</v>
      </c>
      <c r="B2100" s="152"/>
      <c r="C2100" s="82"/>
      <c r="D2100" s="33" t="s">
        <v>29546</v>
      </c>
      <c r="F2100" s="46" t="s">
        <v>2775</v>
      </c>
      <c r="G2100" s="46" t="s">
        <v>29564</v>
      </c>
    </row>
    <row r="2101">
      <c r="A2101" s="51" t="s">
        <v>29619</v>
      </c>
      <c r="B2101" s="152"/>
      <c r="C2101" s="82"/>
      <c r="D2101" s="33" t="s">
        <v>29548</v>
      </c>
      <c r="F2101" s="46" t="s">
        <v>2775</v>
      </c>
      <c r="G2101" s="46" t="s">
        <v>29564</v>
      </c>
    </row>
    <row r="2102">
      <c r="A2102" s="51" t="s">
        <v>29622</v>
      </c>
      <c r="B2102" s="152"/>
      <c r="C2102" s="82"/>
      <c r="D2102" s="33" t="s">
        <v>29548</v>
      </c>
      <c r="F2102" s="46" t="s">
        <v>2775</v>
      </c>
      <c r="G2102" s="46" t="s">
        <v>29564</v>
      </c>
    </row>
    <row r="2103">
      <c r="A2103" s="51" t="s">
        <v>29625</v>
      </c>
      <c r="B2103" s="152"/>
      <c r="C2103" s="82"/>
      <c r="D2103" s="33" t="s">
        <v>29523</v>
      </c>
      <c r="F2103" s="46" t="s">
        <v>2775</v>
      </c>
      <c r="G2103" s="46" t="s">
        <v>29564</v>
      </c>
    </row>
    <row r="2104">
      <c r="A2104" s="51" t="s">
        <v>29629</v>
      </c>
      <c r="B2104" s="152"/>
      <c r="C2104" s="82"/>
      <c r="D2104" s="33" t="s">
        <v>29546</v>
      </c>
      <c r="F2104" s="46" t="s">
        <v>2775</v>
      </c>
      <c r="G2104" s="46" t="s">
        <v>29564</v>
      </c>
    </row>
    <row r="2105">
      <c r="A2105" s="51" t="s">
        <v>29632</v>
      </c>
      <c r="B2105" s="152"/>
      <c r="C2105" s="82"/>
      <c r="D2105" s="33" t="s">
        <v>29548</v>
      </c>
      <c r="F2105" s="46" t="s">
        <v>2775</v>
      </c>
      <c r="G2105" s="46" t="s">
        <v>29564</v>
      </c>
    </row>
    <row r="2106">
      <c r="A2106" s="51" t="s">
        <v>29635</v>
      </c>
      <c r="B2106" s="152"/>
      <c r="C2106" s="82"/>
      <c r="D2106" s="33" t="s">
        <v>29548</v>
      </c>
      <c r="F2106" s="46" t="s">
        <v>2775</v>
      </c>
      <c r="G2106" s="46" t="s">
        <v>29564</v>
      </c>
    </row>
    <row r="2107">
      <c r="A2107" s="51" t="s">
        <v>29638</v>
      </c>
      <c r="B2107" s="152"/>
      <c r="C2107" s="82"/>
      <c r="D2107" s="33" t="s">
        <v>29523</v>
      </c>
      <c r="F2107" s="46" t="s">
        <v>2775</v>
      </c>
      <c r="G2107" s="46" t="s">
        <v>29564</v>
      </c>
    </row>
    <row r="2108">
      <c r="A2108" s="51" t="s">
        <v>29639</v>
      </c>
      <c r="B2108" s="152"/>
      <c r="C2108" s="82"/>
      <c r="D2108" s="33" t="s">
        <v>29561</v>
      </c>
      <c r="F2108" s="46" t="s">
        <v>2775</v>
      </c>
      <c r="G2108" s="46" t="s">
        <v>29564</v>
      </c>
    </row>
    <row r="2109">
      <c r="A2109" s="51" t="s">
        <v>29641</v>
      </c>
      <c r="B2109" s="152"/>
      <c r="C2109" s="55"/>
      <c r="D2109" s="31"/>
      <c r="F2109" s="46" t="s">
        <v>2775</v>
      </c>
    </row>
    <row r="2110">
      <c r="A2110" s="51" t="s">
        <v>29642</v>
      </c>
      <c r="B2110" s="152"/>
      <c r="C2110" s="55"/>
      <c r="D2110" s="31"/>
    </row>
    <row r="2111">
      <c r="A2111" s="51" t="s">
        <v>29643</v>
      </c>
      <c r="B2111" s="152"/>
      <c r="C2111" s="55"/>
      <c r="D2111" s="31"/>
    </row>
    <row r="2112">
      <c r="A2112" s="51" t="s">
        <v>29644</v>
      </c>
      <c r="B2112" s="152"/>
      <c r="C2112" s="55"/>
      <c r="D2112" s="31"/>
    </row>
    <row r="2113">
      <c r="A2113" s="51" t="s">
        <v>29647</v>
      </c>
      <c r="B2113" s="152"/>
      <c r="C2113" s="55"/>
      <c r="D2113" s="31"/>
    </row>
    <row r="2114">
      <c r="A2114" s="51" t="s">
        <v>29648</v>
      </c>
      <c r="B2114" s="152"/>
      <c r="C2114" s="55"/>
      <c r="D2114" s="31"/>
    </row>
    <row r="2115">
      <c r="A2115" s="51" t="s">
        <v>29649</v>
      </c>
      <c r="B2115" s="152"/>
      <c r="C2115" s="55"/>
      <c r="D2115" s="31"/>
    </row>
    <row r="2116">
      <c r="A2116" s="51" t="s">
        <v>29650</v>
      </c>
      <c r="B2116" s="152"/>
      <c r="C2116" s="55"/>
      <c r="D2116" s="31"/>
    </row>
    <row r="2117">
      <c r="A2117" s="51" t="s">
        <v>29652</v>
      </c>
      <c r="B2117" s="152"/>
      <c r="C2117" s="55"/>
      <c r="D2117" s="31"/>
    </row>
    <row r="2118">
      <c r="A2118" s="51" t="s">
        <v>29653</v>
      </c>
      <c r="B2118" s="152"/>
      <c r="C2118" s="55"/>
      <c r="D2118" s="31"/>
    </row>
    <row r="2119">
      <c r="A2119" s="51" t="s">
        <v>29655</v>
      </c>
      <c r="B2119" s="152"/>
      <c r="C2119" s="55"/>
      <c r="D2119" s="31"/>
    </row>
    <row r="2120">
      <c r="A2120" s="51" t="s">
        <v>29656</v>
      </c>
      <c r="B2120" s="152"/>
      <c r="C2120" s="55"/>
      <c r="D2120" s="31"/>
    </row>
    <row r="2121">
      <c r="A2121" s="51" t="s">
        <v>29657</v>
      </c>
      <c r="B2121" s="152"/>
      <c r="C2121" s="55"/>
      <c r="D2121" s="31"/>
    </row>
    <row r="2122">
      <c r="A2122" s="51" t="s">
        <v>29658</v>
      </c>
      <c r="B2122" s="152"/>
      <c r="C2122" s="55"/>
      <c r="D2122" s="31"/>
    </row>
    <row r="2123">
      <c r="A2123" s="51" t="s">
        <v>29659</v>
      </c>
      <c r="B2123" s="152"/>
      <c r="C2123" s="55"/>
      <c r="D2123" s="31"/>
    </row>
    <row r="2124">
      <c r="A2124" s="51" t="s">
        <v>29660</v>
      </c>
      <c r="B2124" s="152"/>
      <c r="C2124" s="55"/>
      <c r="D2124" s="31"/>
    </row>
    <row r="2125">
      <c r="A2125" s="51" t="s">
        <v>29662</v>
      </c>
      <c r="B2125" s="152"/>
      <c r="C2125" s="55"/>
      <c r="D2125" s="31"/>
    </row>
    <row r="2126">
      <c r="A2126" s="51" t="s">
        <v>29664</v>
      </c>
      <c r="B2126" s="152"/>
      <c r="C2126" s="55"/>
      <c r="D2126" s="31"/>
    </row>
    <row r="2127">
      <c r="A2127" s="51" t="s">
        <v>29666</v>
      </c>
      <c r="B2127" s="152"/>
      <c r="C2127" s="55"/>
      <c r="D2127" s="31"/>
    </row>
    <row r="2128">
      <c r="A2128" s="51" t="s">
        <v>29667</v>
      </c>
      <c r="B2128" s="152"/>
      <c r="C2128" s="55"/>
      <c r="D2128" s="31"/>
    </row>
    <row r="2129">
      <c r="A2129" s="51" t="s">
        <v>29668</v>
      </c>
      <c r="B2129" s="152"/>
      <c r="C2129" s="55"/>
      <c r="D2129" s="31"/>
    </row>
    <row r="2130">
      <c r="A2130" s="51" t="s">
        <v>29669</v>
      </c>
      <c r="B2130" s="152"/>
      <c r="C2130" s="55"/>
      <c r="D2130" s="31"/>
    </row>
    <row r="2131">
      <c r="A2131" s="51" t="s">
        <v>29670</v>
      </c>
      <c r="B2131" s="152"/>
      <c r="C2131" s="55"/>
      <c r="D2131" s="31"/>
    </row>
    <row r="2132">
      <c r="A2132" s="51" t="s">
        <v>29672</v>
      </c>
      <c r="B2132" s="152"/>
      <c r="C2132" s="55"/>
      <c r="D2132" s="31"/>
    </row>
    <row r="2133">
      <c r="A2133" s="51" t="s">
        <v>29675</v>
      </c>
      <c r="B2133" s="152"/>
      <c r="C2133" s="82"/>
      <c r="D2133" s="33" t="s">
        <v>29676</v>
      </c>
      <c r="F2133" s="46" t="s">
        <v>2775</v>
      </c>
    </row>
    <row r="2134">
      <c r="A2134" s="51" t="s">
        <v>29678</v>
      </c>
      <c r="B2134" s="152"/>
      <c r="C2134" s="82"/>
      <c r="D2134" s="33" t="s">
        <v>29676</v>
      </c>
      <c r="F2134" s="46" t="s">
        <v>2793</v>
      </c>
    </row>
    <row r="2135">
      <c r="A2135" s="51" t="s">
        <v>29680</v>
      </c>
      <c r="B2135" s="152"/>
      <c r="C2135" s="82"/>
      <c r="D2135" s="33" t="s">
        <v>29676</v>
      </c>
      <c r="F2135" s="46" t="s">
        <v>2775</v>
      </c>
    </row>
    <row r="2136">
      <c r="A2136" s="51" t="s">
        <v>29681</v>
      </c>
      <c r="B2136" s="152"/>
      <c r="C2136" s="82"/>
      <c r="D2136" s="33" t="s">
        <v>29676</v>
      </c>
      <c r="F2136" s="46" t="s">
        <v>2793</v>
      </c>
    </row>
    <row r="2137">
      <c r="A2137" s="51" t="s">
        <v>29683</v>
      </c>
      <c r="B2137" s="152"/>
      <c r="C2137" s="21"/>
      <c r="D2137" s="33" t="s">
        <v>29684</v>
      </c>
    </row>
    <row r="2138">
      <c r="A2138" s="51" t="s">
        <v>29685</v>
      </c>
      <c r="B2138" s="152"/>
      <c r="C2138" s="21"/>
      <c r="D2138" s="33" t="s">
        <v>29684</v>
      </c>
    </row>
    <row r="2139">
      <c r="A2139" s="51" t="s">
        <v>29687</v>
      </c>
      <c r="B2139" s="152"/>
      <c r="C2139" s="40"/>
      <c r="D2139" s="33" t="s">
        <v>29684</v>
      </c>
      <c r="F2139" s="46" t="s">
        <v>2756</v>
      </c>
    </row>
    <row r="2140">
      <c r="A2140" s="51" t="s">
        <v>29688</v>
      </c>
      <c r="B2140" s="152"/>
      <c r="C2140" s="82"/>
      <c r="D2140" s="33" t="s">
        <v>29689</v>
      </c>
      <c r="F2140" s="46" t="s">
        <v>2775</v>
      </c>
    </row>
    <row r="2141">
      <c r="A2141" s="51" t="s">
        <v>29690</v>
      </c>
      <c r="B2141" s="152"/>
      <c r="C2141" s="82"/>
      <c r="D2141" s="33" t="s">
        <v>29691</v>
      </c>
      <c r="F2141" s="46" t="s">
        <v>2775</v>
      </c>
    </row>
    <row r="2142">
      <c r="A2142" s="51" t="s">
        <v>29692</v>
      </c>
      <c r="B2142" s="152"/>
      <c r="C2142" s="82"/>
      <c r="D2142" s="33" t="s">
        <v>29691</v>
      </c>
      <c r="F2142" s="46" t="s">
        <v>2775</v>
      </c>
    </row>
    <row r="2143">
      <c r="A2143" s="51" t="s">
        <v>29694</v>
      </c>
      <c r="B2143" s="152"/>
      <c r="C2143" s="82"/>
      <c r="D2143" s="33" t="s">
        <v>29691</v>
      </c>
      <c r="F2143" s="46" t="s">
        <v>2775</v>
      </c>
    </row>
    <row r="2144">
      <c r="A2144" s="51" t="s">
        <v>29695</v>
      </c>
      <c r="B2144" s="152"/>
      <c r="C2144" s="82"/>
      <c r="D2144" s="33" t="s">
        <v>29696</v>
      </c>
      <c r="F2144" s="46" t="s">
        <v>2775</v>
      </c>
    </row>
    <row r="2145">
      <c r="A2145" s="51" t="s">
        <v>29697</v>
      </c>
      <c r="B2145" s="152"/>
      <c r="C2145" s="82"/>
      <c r="D2145" s="33" t="s">
        <v>29696</v>
      </c>
      <c r="F2145" s="46" t="s">
        <v>2775</v>
      </c>
    </row>
    <row r="2146">
      <c r="A2146" s="51" t="s">
        <v>29699</v>
      </c>
      <c r="B2146" s="152"/>
      <c r="C2146" s="82"/>
      <c r="D2146" s="33" t="s">
        <v>29696</v>
      </c>
      <c r="F2146" s="46" t="s">
        <v>2775</v>
      </c>
    </row>
    <row r="2147">
      <c r="A2147" s="51" t="s">
        <v>29700</v>
      </c>
      <c r="B2147" s="152"/>
      <c r="C2147" s="82"/>
      <c r="D2147" s="33" t="s">
        <v>29702</v>
      </c>
      <c r="F2147" s="46" t="s">
        <v>2775</v>
      </c>
    </row>
    <row r="2148">
      <c r="A2148" s="51" t="s">
        <v>29704</v>
      </c>
      <c r="B2148" s="152"/>
      <c r="C2148" s="82"/>
      <c r="D2148" s="33" t="s">
        <v>29705</v>
      </c>
      <c r="F2148" s="46" t="s">
        <v>2775</v>
      </c>
    </row>
    <row r="2149">
      <c r="A2149" s="51" t="s">
        <v>29706</v>
      </c>
      <c r="B2149" s="152"/>
      <c r="C2149" s="82"/>
      <c r="D2149" s="33" t="s">
        <v>29691</v>
      </c>
      <c r="F2149" s="46" t="s">
        <v>2775</v>
      </c>
    </row>
    <row r="2150">
      <c r="A2150" s="51" t="s">
        <v>29707</v>
      </c>
      <c r="B2150" s="152"/>
      <c r="C2150" s="82"/>
      <c r="D2150" s="33" t="s">
        <v>29691</v>
      </c>
      <c r="F2150" s="46" t="s">
        <v>2775</v>
      </c>
    </row>
    <row r="2151">
      <c r="A2151" s="51" t="s">
        <v>29709</v>
      </c>
      <c r="B2151" s="152"/>
      <c r="C2151" s="82"/>
      <c r="D2151" s="33" t="s">
        <v>29691</v>
      </c>
      <c r="F2151" s="46" t="s">
        <v>2775</v>
      </c>
    </row>
    <row r="2152">
      <c r="A2152" s="51" t="s">
        <v>29711</v>
      </c>
      <c r="B2152" s="152"/>
      <c r="C2152" s="82"/>
      <c r="D2152" s="33" t="s">
        <v>29696</v>
      </c>
      <c r="F2152" s="46" t="s">
        <v>2775</v>
      </c>
    </row>
    <row r="2153">
      <c r="A2153" s="51" t="s">
        <v>29712</v>
      </c>
      <c r="B2153" s="152"/>
      <c r="C2153" s="82"/>
      <c r="D2153" s="33" t="s">
        <v>29696</v>
      </c>
      <c r="F2153" s="46" t="s">
        <v>2775</v>
      </c>
    </row>
    <row r="2154">
      <c r="A2154" s="51" t="s">
        <v>29713</v>
      </c>
      <c r="B2154" s="152"/>
      <c r="C2154" s="82"/>
      <c r="D2154" s="33" t="s">
        <v>29696</v>
      </c>
      <c r="F2154" s="46" t="s">
        <v>2775</v>
      </c>
    </row>
    <row r="2155">
      <c r="A2155" s="51" t="s">
        <v>29714</v>
      </c>
      <c r="B2155" s="152"/>
      <c r="C2155" s="82"/>
      <c r="D2155" s="33" t="s">
        <v>29715</v>
      </c>
      <c r="F2155" s="46" t="s">
        <v>2775</v>
      </c>
    </row>
    <row r="2156">
      <c r="A2156" s="51" t="s">
        <v>29718</v>
      </c>
      <c r="B2156" s="152"/>
      <c r="C2156" s="82"/>
      <c r="D2156" s="33" t="s">
        <v>29719</v>
      </c>
      <c r="F2156" s="46" t="s">
        <v>2775</v>
      </c>
    </row>
    <row r="2157">
      <c r="A2157" s="51" t="s">
        <v>29720</v>
      </c>
      <c r="B2157" s="152"/>
      <c r="C2157" s="82"/>
      <c r="D2157" s="33" t="s">
        <v>29721</v>
      </c>
      <c r="F2157" s="46" t="s">
        <v>2775</v>
      </c>
    </row>
    <row r="2158">
      <c r="A2158" s="51" t="s">
        <v>29722</v>
      </c>
      <c r="B2158" s="152"/>
      <c r="C2158" s="82"/>
      <c r="D2158" s="33" t="s">
        <v>29723</v>
      </c>
      <c r="F2158" s="46" t="s">
        <v>2775</v>
      </c>
    </row>
    <row r="2159">
      <c r="A2159" s="51" t="s">
        <v>29724</v>
      </c>
      <c r="B2159" s="152"/>
      <c r="C2159" s="82"/>
      <c r="D2159" s="33" t="s">
        <v>29723</v>
      </c>
      <c r="F2159" s="46" t="s">
        <v>2775</v>
      </c>
    </row>
    <row r="2160">
      <c r="A2160" s="51" t="s">
        <v>29725</v>
      </c>
      <c r="B2160" s="152"/>
      <c r="C2160" s="82"/>
      <c r="D2160" s="33" t="s">
        <v>29723</v>
      </c>
      <c r="F2160" s="46" t="s">
        <v>2775</v>
      </c>
    </row>
    <row r="2161">
      <c r="A2161" s="51" t="s">
        <v>29728</v>
      </c>
      <c r="B2161" s="152"/>
      <c r="C2161" s="82"/>
      <c r="D2161" s="33" t="s">
        <v>29723</v>
      </c>
      <c r="F2161" s="46" t="s">
        <v>2775</v>
      </c>
    </row>
    <row r="2162">
      <c r="A2162" s="51" t="s">
        <v>29729</v>
      </c>
      <c r="B2162" s="152"/>
      <c r="C2162" s="82"/>
      <c r="D2162" s="33" t="s">
        <v>29723</v>
      </c>
      <c r="F2162" s="46" t="s">
        <v>2775</v>
      </c>
    </row>
    <row r="2163">
      <c r="A2163" s="51" t="s">
        <v>29730</v>
      </c>
      <c r="B2163" s="152"/>
      <c r="C2163" s="82"/>
      <c r="D2163" s="33" t="s">
        <v>29723</v>
      </c>
      <c r="F2163" s="46" t="s">
        <v>2775</v>
      </c>
    </row>
    <row r="2164">
      <c r="A2164" s="51" t="s">
        <v>29732</v>
      </c>
      <c r="B2164" s="152"/>
      <c r="C2164" s="82"/>
      <c r="D2164" s="33" t="s">
        <v>29733</v>
      </c>
      <c r="F2164" s="46" t="s">
        <v>2775</v>
      </c>
    </row>
    <row r="2165">
      <c r="A2165" s="51" t="s">
        <v>29734</v>
      </c>
      <c r="B2165" s="152"/>
      <c r="C2165" s="82"/>
      <c r="D2165" s="33" t="s">
        <v>29735</v>
      </c>
      <c r="F2165" s="46" t="s">
        <v>2775</v>
      </c>
    </row>
    <row r="2166">
      <c r="A2166" s="51" t="s">
        <v>29736</v>
      </c>
      <c r="B2166" s="152"/>
      <c r="C2166" s="82"/>
      <c r="D2166" s="33" t="s">
        <v>29735</v>
      </c>
      <c r="F2166" s="46" t="s">
        <v>2775</v>
      </c>
    </row>
    <row r="2167">
      <c r="A2167" s="51" t="s">
        <v>29737</v>
      </c>
      <c r="B2167" s="152"/>
      <c r="C2167" s="82"/>
      <c r="D2167" s="33" t="s">
        <v>29739</v>
      </c>
      <c r="F2167" s="46" t="s">
        <v>2775</v>
      </c>
    </row>
    <row r="2168">
      <c r="A2168" s="51" t="s">
        <v>29742</v>
      </c>
      <c r="B2168" s="152"/>
      <c r="C2168" s="82"/>
      <c r="D2168" s="33" t="s">
        <v>29739</v>
      </c>
      <c r="F2168" s="46" t="s">
        <v>2775</v>
      </c>
    </row>
    <row r="2169">
      <c r="A2169" s="51" t="s">
        <v>29743</v>
      </c>
      <c r="B2169" s="152"/>
      <c r="C2169" s="82"/>
      <c r="D2169" s="33" t="s">
        <v>29744</v>
      </c>
      <c r="F2169" s="46" t="s">
        <v>2775</v>
      </c>
    </row>
    <row r="2170">
      <c r="A2170" s="51" t="s">
        <v>29745</v>
      </c>
      <c r="B2170" s="152"/>
      <c r="C2170" s="82"/>
      <c r="D2170" s="33" t="s">
        <v>29744</v>
      </c>
      <c r="F2170" s="46" t="s">
        <v>2775</v>
      </c>
    </row>
    <row r="2171">
      <c r="A2171" s="51" t="s">
        <v>29746</v>
      </c>
      <c r="B2171" s="152"/>
      <c r="C2171" s="82"/>
      <c r="D2171" s="33" t="s">
        <v>29747</v>
      </c>
      <c r="F2171" s="46" t="s">
        <v>2775</v>
      </c>
    </row>
    <row r="2172">
      <c r="A2172" s="51" t="s">
        <v>29749</v>
      </c>
      <c r="B2172" s="152"/>
      <c r="C2172" s="82"/>
      <c r="D2172" s="33" t="s">
        <v>29747</v>
      </c>
      <c r="F2172" s="46" t="s">
        <v>2775</v>
      </c>
    </row>
    <row r="2173">
      <c r="A2173" s="51" t="s">
        <v>29750</v>
      </c>
      <c r="B2173" s="152"/>
      <c r="C2173" s="82"/>
      <c r="D2173" s="33" t="s">
        <v>29733</v>
      </c>
      <c r="F2173" s="46" t="s">
        <v>2775</v>
      </c>
    </row>
    <row r="2174">
      <c r="A2174" s="51" t="s">
        <v>29752</v>
      </c>
      <c r="B2174" s="152"/>
      <c r="C2174" s="82"/>
      <c r="D2174" s="33" t="s">
        <v>29733</v>
      </c>
      <c r="F2174" s="46" t="s">
        <v>2775</v>
      </c>
    </row>
    <row r="2175">
      <c r="A2175" s="51" t="s">
        <v>29753</v>
      </c>
      <c r="B2175" s="152"/>
      <c r="C2175" s="82"/>
      <c r="D2175" s="33" t="s">
        <v>29733</v>
      </c>
      <c r="F2175" s="46" t="s">
        <v>2775</v>
      </c>
    </row>
    <row r="2176">
      <c r="A2176" s="51" t="s">
        <v>29754</v>
      </c>
      <c r="B2176" s="152"/>
      <c r="C2176" s="82"/>
      <c r="D2176" s="33" t="s">
        <v>29733</v>
      </c>
      <c r="F2176" s="46" t="s">
        <v>2775</v>
      </c>
    </row>
    <row r="2177">
      <c r="A2177" s="51" t="s">
        <v>29756</v>
      </c>
      <c r="B2177" s="152"/>
      <c r="C2177" s="82"/>
      <c r="D2177" s="33" t="s">
        <v>29733</v>
      </c>
      <c r="F2177" s="46" t="s">
        <v>2775</v>
      </c>
    </row>
    <row r="2178">
      <c r="A2178" s="51" t="s">
        <v>29757</v>
      </c>
      <c r="B2178" s="152"/>
      <c r="C2178" s="82"/>
      <c r="D2178" s="33" t="s">
        <v>29733</v>
      </c>
      <c r="F2178" s="46" t="s">
        <v>2775</v>
      </c>
    </row>
    <row r="2179">
      <c r="A2179" s="51" t="s">
        <v>29758</v>
      </c>
      <c r="B2179" s="152"/>
      <c r="C2179" s="82"/>
      <c r="D2179" s="33" t="s">
        <v>29715</v>
      </c>
      <c r="F2179" s="46" t="s">
        <v>2775</v>
      </c>
    </row>
    <row r="2180">
      <c r="A2180" s="51" t="s">
        <v>29760</v>
      </c>
      <c r="B2180" s="152"/>
      <c r="C2180" s="82"/>
      <c r="D2180" s="33" t="s">
        <v>29719</v>
      </c>
      <c r="F2180" s="46" t="s">
        <v>2775</v>
      </c>
    </row>
    <row r="2181">
      <c r="A2181" s="51" t="s">
        <v>29761</v>
      </c>
      <c r="B2181" s="152"/>
      <c r="C2181" s="82"/>
      <c r="D2181" s="33" t="s">
        <v>29721</v>
      </c>
      <c r="F2181" s="46" t="s">
        <v>2775</v>
      </c>
    </row>
    <row r="2182">
      <c r="A2182" s="51" t="s">
        <v>29763</v>
      </c>
      <c r="B2182" s="152"/>
      <c r="C2182" s="55"/>
      <c r="D2182" s="31"/>
    </row>
    <row r="2183">
      <c r="A2183" s="51" t="s">
        <v>29764</v>
      </c>
      <c r="B2183" s="152"/>
      <c r="C2183" s="55"/>
      <c r="D2183" s="31"/>
    </row>
    <row r="2184">
      <c r="A2184" s="51" t="s">
        <v>29765</v>
      </c>
      <c r="B2184" s="152"/>
      <c r="C2184" s="55"/>
      <c r="D2184" s="31"/>
    </row>
    <row r="2185">
      <c r="A2185" s="51" t="s">
        <v>29767</v>
      </c>
      <c r="B2185" s="152"/>
      <c r="C2185" s="55"/>
      <c r="D2185" s="31"/>
    </row>
    <row r="2186">
      <c r="A2186" s="51" t="s">
        <v>29768</v>
      </c>
      <c r="B2186" s="152"/>
      <c r="C2186" s="55"/>
      <c r="D2186" s="31"/>
    </row>
    <row r="2187">
      <c r="A2187" s="51" t="s">
        <v>29769</v>
      </c>
      <c r="B2187" s="152"/>
      <c r="C2187" s="55"/>
      <c r="D2187" s="31"/>
    </row>
    <row r="2188">
      <c r="A2188" s="51" t="s">
        <v>29771</v>
      </c>
      <c r="B2188" s="152"/>
      <c r="C2188" s="55"/>
      <c r="D2188" s="31"/>
    </row>
    <row r="2189">
      <c r="A2189" s="51" t="s">
        <v>29772</v>
      </c>
      <c r="B2189" s="152"/>
      <c r="C2189" s="55"/>
      <c r="D2189" s="31"/>
    </row>
    <row r="2190">
      <c r="A2190" s="51" t="s">
        <v>29773</v>
      </c>
      <c r="B2190" s="152"/>
      <c r="C2190" s="55"/>
      <c r="D2190" s="31"/>
    </row>
    <row r="2191">
      <c r="A2191" s="51" t="s">
        <v>29774</v>
      </c>
      <c r="B2191" s="152"/>
      <c r="C2191" s="55"/>
      <c r="D2191" s="31"/>
    </row>
    <row r="2192">
      <c r="A2192" s="51" t="s">
        <v>29776</v>
      </c>
      <c r="B2192" s="152"/>
      <c r="C2192" s="55"/>
      <c r="D2192" s="31"/>
    </row>
    <row r="2193">
      <c r="A2193" s="51" t="s">
        <v>29778</v>
      </c>
      <c r="B2193" s="152"/>
      <c r="C2193" s="55"/>
      <c r="D2193" s="31"/>
    </row>
    <row r="2194">
      <c r="A2194" s="51" t="s">
        <v>29779</v>
      </c>
      <c r="B2194" s="152"/>
      <c r="C2194" s="55"/>
      <c r="D2194" s="31"/>
    </row>
    <row r="2195">
      <c r="A2195" s="51" t="s">
        <v>29781</v>
      </c>
      <c r="B2195" s="152"/>
      <c r="C2195" s="55"/>
      <c r="D2195" s="31"/>
    </row>
    <row r="2196">
      <c r="A2196" s="51" t="s">
        <v>29782</v>
      </c>
      <c r="B2196" s="152"/>
      <c r="C2196" s="55"/>
      <c r="D2196" s="31"/>
    </row>
    <row r="2197">
      <c r="A2197" s="51" t="s">
        <v>29783</v>
      </c>
      <c r="B2197" s="152"/>
      <c r="C2197" s="55"/>
      <c r="D2197" s="31"/>
    </row>
    <row r="2198">
      <c r="A2198" s="51" t="s">
        <v>29784</v>
      </c>
      <c r="B2198" s="152"/>
      <c r="C2198" s="55"/>
      <c r="D2198" s="31"/>
    </row>
    <row r="2199">
      <c r="A2199" s="51" t="s">
        <v>29786</v>
      </c>
      <c r="B2199" s="152"/>
      <c r="C2199" s="55"/>
      <c r="D2199" s="31"/>
    </row>
    <row r="2200">
      <c r="A2200" s="51" t="s">
        <v>29788</v>
      </c>
      <c r="B2200" s="152"/>
      <c r="C2200" s="55"/>
      <c r="D2200" s="31"/>
    </row>
    <row r="2201">
      <c r="A2201" s="51" t="s">
        <v>29789</v>
      </c>
      <c r="B2201" s="152"/>
      <c r="C2201" s="55"/>
      <c r="D2201" s="31"/>
    </row>
    <row r="2202">
      <c r="A2202" s="51" t="s">
        <v>29791</v>
      </c>
      <c r="B2202" s="152"/>
      <c r="C2202" s="55"/>
      <c r="D2202" s="31"/>
    </row>
    <row r="2203">
      <c r="A2203" s="51" t="s">
        <v>29792</v>
      </c>
      <c r="B2203" s="152"/>
      <c r="C2203" s="55"/>
      <c r="D2203" s="31"/>
    </row>
    <row r="2204">
      <c r="A2204" s="51" t="s">
        <v>29793</v>
      </c>
      <c r="B2204" s="152"/>
      <c r="C2204" s="55"/>
      <c r="D2204" s="31"/>
    </row>
    <row r="2205">
      <c r="A2205" s="51" t="s">
        <v>29794</v>
      </c>
      <c r="B2205" s="152"/>
      <c r="C2205" s="55"/>
      <c r="D2205" s="33" t="s">
        <v>29037</v>
      </c>
    </row>
    <row r="2206">
      <c r="A2206" s="51" t="s">
        <v>29795</v>
      </c>
      <c r="B2206" s="152"/>
      <c r="C2206" s="55"/>
      <c r="D2206" s="31"/>
    </row>
    <row r="2207">
      <c r="A2207" s="51" t="s">
        <v>29796</v>
      </c>
      <c r="B2207" s="152"/>
      <c r="C2207" s="55"/>
      <c r="D2207" s="31"/>
    </row>
    <row r="2208">
      <c r="A2208" s="51" t="s">
        <v>29799</v>
      </c>
      <c r="B2208" s="152"/>
      <c r="C2208" s="55"/>
      <c r="D2208" s="31"/>
    </row>
    <row r="2209">
      <c r="A2209" s="51" t="s">
        <v>29800</v>
      </c>
      <c r="B2209" s="152"/>
      <c r="C2209" s="55"/>
      <c r="D2209" s="31"/>
    </row>
    <row r="2210">
      <c r="A2210" s="51" t="s">
        <v>29801</v>
      </c>
      <c r="B2210" s="152"/>
      <c r="C2210" s="55"/>
      <c r="D2210" s="33" t="s">
        <v>29802</v>
      </c>
    </row>
    <row r="2211">
      <c r="A2211" s="51" t="s">
        <v>29803</v>
      </c>
      <c r="B2211" s="152"/>
      <c r="C2211" s="55"/>
      <c r="D2211" s="31"/>
    </row>
    <row r="2212">
      <c r="A2212" s="51" t="s">
        <v>29804</v>
      </c>
      <c r="B2212" s="152"/>
      <c r="C2212" s="55"/>
      <c r="D2212" s="31"/>
    </row>
    <row r="2213">
      <c r="A2213" s="51" t="s">
        <v>29805</v>
      </c>
      <c r="B2213" s="152"/>
      <c r="C2213" s="55"/>
      <c r="D2213" s="31"/>
    </row>
    <row r="2214">
      <c r="A2214" s="51" t="s">
        <v>29806</v>
      </c>
      <c r="B2214" s="152"/>
      <c r="C2214" s="55"/>
      <c r="D2214" s="31"/>
    </row>
    <row r="2215">
      <c r="A2215" s="51" t="s">
        <v>29809</v>
      </c>
      <c r="B2215" s="152"/>
      <c r="C2215" s="55"/>
      <c r="D2215" s="31"/>
    </row>
    <row r="2216">
      <c r="A2216" s="51" t="s">
        <v>29812</v>
      </c>
      <c r="B2216" s="152"/>
      <c r="C2216" s="55"/>
      <c r="D2216" s="31"/>
    </row>
    <row r="2217">
      <c r="A2217" s="51" t="s">
        <v>29813</v>
      </c>
      <c r="B2217" s="152"/>
      <c r="C2217" s="82"/>
      <c r="D2217" s="33" t="s">
        <v>29814</v>
      </c>
      <c r="F2217" s="46" t="s">
        <v>2775</v>
      </c>
    </row>
    <row r="2218">
      <c r="A2218" s="51" t="s">
        <v>29815</v>
      </c>
      <c r="B2218" s="152"/>
      <c r="C2218" s="82"/>
      <c r="D2218" s="33" t="s">
        <v>29814</v>
      </c>
      <c r="F2218" s="46" t="s">
        <v>2793</v>
      </c>
    </row>
    <row r="2219">
      <c r="A2219" s="51" t="s">
        <v>29816</v>
      </c>
      <c r="B2219" s="152"/>
      <c r="C2219" s="55"/>
      <c r="D2219" s="31"/>
    </row>
    <row r="2220">
      <c r="A2220" s="51" t="s">
        <v>29817</v>
      </c>
      <c r="B2220" s="152"/>
      <c r="C2220" s="55"/>
      <c r="D2220" s="31"/>
    </row>
    <row r="2221">
      <c r="A2221" s="51" t="s">
        <v>29820</v>
      </c>
      <c r="B2221" s="152"/>
      <c r="C2221" s="55"/>
      <c r="D2221" s="31"/>
    </row>
    <row r="2222">
      <c r="A2222" s="51" t="s">
        <v>29821</v>
      </c>
      <c r="B2222" s="152"/>
      <c r="C2222" s="55"/>
      <c r="D2222" s="31"/>
    </row>
    <row r="2223">
      <c r="A2223" s="51" t="s">
        <v>29822</v>
      </c>
      <c r="B2223" s="152"/>
      <c r="C2223" s="55"/>
      <c r="D2223" s="31"/>
    </row>
    <row r="2224">
      <c r="A2224" s="51" t="s">
        <v>29823</v>
      </c>
      <c r="B2224" s="152"/>
      <c r="C2224" s="55"/>
      <c r="D2224" s="31"/>
    </row>
    <row r="2225">
      <c r="A2225" s="51" t="s">
        <v>29824</v>
      </c>
      <c r="B2225" s="152"/>
      <c r="C2225" s="55"/>
      <c r="D2225" s="31"/>
    </row>
    <row r="2226">
      <c r="A2226" s="51" t="s">
        <v>29825</v>
      </c>
      <c r="B2226" s="152"/>
      <c r="C2226" s="55"/>
      <c r="D2226" s="31"/>
    </row>
    <row r="2227">
      <c r="A2227" s="51" t="s">
        <v>29827</v>
      </c>
      <c r="B2227" s="152"/>
      <c r="C2227" s="82"/>
      <c r="D2227" s="33" t="s">
        <v>29830</v>
      </c>
      <c r="F2227" s="46" t="s">
        <v>2775</v>
      </c>
    </row>
    <row r="2228">
      <c r="A2228" s="51" t="s">
        <v>29831</v>
      </c>
      <c r="B2228" s="152"/>
      <c r="C2228" s="82"/>
      <c r="D2228" s="33" t="s">
        <v>29830</v>
      </c>
      <c r="F2228" s="46" t="s">
        <v>2793</v>
      </c>
    </row>
    <row r="2229">
      <c r="A2229" s="51" t="s">
        <v>29832</v>
      </c>
      <c r="B2229" s="152"/>
      <c r="C2229" s="55"/>
      <c r="D2229" s="31"/>
    </row>
    <row r="2230">
      <c r="A2230" s="51" t="s">
        <v>29833</v>
      </c>
      <c r="B2230" s="152"/>
      <c r="C2230" s="55"/>
      <c r="D2230" s="31"/>
    </row>
    <row r="2231">
      <c r="A2231" s="51" t="s">
        <v>29834</v>
      </c>
      <c r="B2231" s="152"/>
      <c r="C2231" s="55"/>
      <c r="D2231" s="31"/>
    </row>
    <row r="2232">
      <c r="A2232" s="51" t="s">
        <v>29836</v>
      </c>
      <c r="B2232" s="152"/>
      <c r="C2232" s="55"/>
      <c r="D2232" s="31"/>
    </row>
    <row r="2233">
      <c r="A2233" s="51" t="s">
        <v>29837</v>
      </c>
      <c r="B2233" s="152"/>
      <c r="C2233" s="55"/>
      <c r="D2233" s="31"/>
    </row>
    <row r="2234">
      <c r="A2234" s="51" t="s">
        <v>29838</v>
      </c>
      <c r="B2234" s="152"/>
      <c r="C2234" s="55"/>
      <c r="D2234" s="31"/>
    </row>
    <row r="2235">
      <c r="A2235" s="51" t="s">
        <v>29840</v>
      </c>
      <c r="B2235" s="152"/>
      <c r="C2235" s="82"/>
      <c r="D2235" s="33" t="s">
        <v>26833</v>
      </c>
      <c r="F2235" s="46" t="s">
        <v>1348</v>
      </c>
    </row>
    <row r="2236">
      <c r="A2236" s="51" t="s">
        <v>29841</v>
      </c>
      <c r="B2236" s="152"/>
      <c r="C2236" s="55"/>
      <c r="D2236" s="31"/>
    </row>
    <row r="2237">
      <c r="A2237" s="51" t="s">
        <v>29842</v>
      </c>
      <c r="B2237" s="152"/>
      <c r="C2237" s="21"/>
      <c r="D2237" s="33" t="s">
        <v>29843</v>
      </c>
    </row>
    <row r="2238">
      <c r="A2238" s="51" t="s">
        <v>29845</v>
      </c>
      <c r="B2238" s="152"/>
      <c r="C2238" s="21"/>
      <c r="D2238" s="33" t="s">
        <v>29843</v>
      </c>
    </row>
    <row r="2239">
      <c r="A2239" s="51" t="s">
        <v>29847</v>
      </c>
      <c r="B2239" s="152"/>
      <c r="C2239" s="40"/>
      <c r="D2239" s="33" t="s">
        <v>29843</v>
      </c>
      <c r="F2239" s="46" t="s">
        <v>2756</v>
      </c>
    </row>
    <row r="2240">
      <c r="A2240" s="51" t="s">
        <v>29849</v>
      </c>
      <c r="B2240" s="152"/>
      <c r="C2240" s="82"/>
      <c r="D2240" s="33" t="s">
        <v>29850</v>
      </c>
      <c r="F2240" s="46" t="s">
        <v>2775</v>
      </c>
    </row>
    <row r="2241">
      <c r="A2241" s="51" t="s">
        <v>29851</v>
      </c>
      <c r="B2241" s="152"/>
      <c r="C2241" s="82"/>
      <c r="D2241" s="33" t="s">
        <v>29850</v>
      </c>
      <c r="F2241" s="46" t="s">
        <v>2775</v>
      </c>
    </row>
    <row r="2242">
      <c r="A2242" s="51" t="s">
        <v>29852</v>
      </c>
      <c r="B2242" s="152"/>
      <c r="C2242" s="82"/>
      <c r="D2242" s="33" t="s">
        <v>29850</v>
      </c>
      <c r="F2242" s="46" t="s">
        <v>2775</v>
      </c>
    </row>
    <row r="2243">
      <c r="A2243" s="51" t="s">
        <v>29853</v>
      </c>
      <c r="B2243" s="152"/>
      <c r="C2243" s="82"/>
      <c r="D2243" s="33" t="s">
        <v>29850</v>
      </c>
      <c r="F2243" s="46" t="s">
        <v>2775</v>
      </c>
    </row>
    <row r="2244">
      <c r="A2244" s="51" t="s">
        <v>29855</v>
      </c>
      <c r="B2244" s="152"/>
      <c r="C2244" s="82"/>
      <c r="D2244" s="33" t="s">
        <v>29850</v>
      </c>
      <c r="F2244" s="46" t="s">
        <v>2775</v>
      </c>
    </row>
    <row r="2245">
      <c r="A2245" s="51" t="s">
        <v>29857</v>
      </c>
      <c r="B2245" s="152"/>
      <c r="C2245" s="82"/>
      <c r="D2245" s="33" t="s">
        <v>29850</v>
      </c>
      <c r="F2245" s="46" t="s">
        <v>2775</v>
      </c>
    </row>
    <row r="2246">
      <c r="A2246" s="51" t="s">
        <v>29858</v>
      </c>
      <c r="B2246" s="152"/>
      <c r="C2246" s="82"/>
      <c r="D2246" s="33" t="s">
        <v>29859</v>
      </c>
      <c r="F2246" s="46" t="s">
        <v>2775</v>
      </c>
    </row>
    <row r="2247">
      <c r="A2247" s="51" t="s">
        <v>29860</v>
      </c>
      <c r="B2247" s="152"/>
      <c r="C2247" s="82"/>
      <c r="D2247" s="33" t="s">
        <v>29861</v>
      </c>
      <c r="F2247" s="46" t="s">
        <v>2775</v>
      </c>
    </row>
    <row r="2248">
      <c r="A2248" s="51" t="s">
        <v>29863</v>
      </c>
      <c r="B2248" s="152"/>
      <c r="C2248" s="82"/>
      <c r="D2248" s="33" t="s">
        <v>29865</v>
      </c>
      <c r="F2248" s="46" t="s">
        <v>2775</v>
      </c>
    </row>
    <row r="2249">
      <c r="A2249" s="51" t="s">
        <v>29866</v>
      </c>
      <c r="B2249" s="152"/>
      <c r="C2249" s="82"/>
      <c r="D2249" s="33" t="s">
        <v>29868</v>
      </c>
      <c r="F2249" s="46" t="s">
        <v>2775</v>
      </c>
    </row>
    <row r="2250">
      <c r="A2250" s="51" t="s">
        <v>29869</v>
      </c>
      <c r="B2250" s="152"/>
      <c r="C2250" s="82"/>
      <c r="D2250" s="33" t="s">
        <v>29868</v>
      </c>
      <c r="F2250" s="46" t="s">
        <v>2775</v>
      </c>
    </row>
    <row r="2251">
      <c r="A2251" s="51" t="s">
        <v>29870</v>
      </c>
      <c r="B2251" s="152"/>
      <c r="C2251" s="82"/>
      <c r="D2251" s="33" t="s">
        <v>29868</v>
      </c>
      <c r="F2251" s="46" t="s">
        <v>2775</v>
      </c>
    </row>
    <row r="2252">
      <c r="A2252" s="51" t="s">
        <v>29871</v>
      </c>
      <c r="B2252" s="152"/>
      <c r="C2252" s="82"/>
      <c r="D2252" s="33" t="s">
        <v>29868</v>
      </c>
      <c r="F2252" s="46" t="s">
        <v>2775</v>
      </c>
    </row>
    <row r="2253">
      <c r="A2253" s="51" t="s">
        <v>29873</v>
      </c>
      <c r="B2253" s="152"/>
      <c r="C2253" s="82"/>
      <c r="D2253" s="33" t="s">
        <v>29868</v>
      </c>
      <c r="F2253" s="46" t="s">
        <v>2775</v>
      </c>
    </row>
    <row r="2254">
      <c r="A2254" s="51" t="s">
        <v>29874</v>
      </c>
      <c r="B2254" s="152"/>
      <c r="C2254" s="82"/>
      <c r="D2254" s="33" t="s">
        <v>29868</v>
      </c>
      <c r="F2254" s="46" t="s">
        <v>2775</v>
      </c>
    </row>
    <row r="2255">
      <c r="A2255" s="51" t="s">
        <v>29876</v>
      </c>
      <c r="B2255" s="152"/>
      <c r="C2255" s="82"/>
      <c r="D2255" s="33" t="s">
        <v>29868</v>
      </c>
      <c r="F2255" s="46" t="s">
        <v>2775</v>
      </c>
    </row>
    <row r="2256">
      <c r="A2256" s="51" t="s">
        <v>29877</v>
      </c>
      <c r="B2256" s="152"/>
      <c r="C2256" s="82"/>
      <c r="D2256" s="33" t="s">
        <v>29868</v>
      </c>
      <c r="F2256" s="46" t="s">
        <v>2775</v>
      </c>
    </row>
    <row r="2257">
      <c r="A2257" s="51" t="s">
        <v>29881</v>
      </c>
      <c r="B2257" s="152"/>
      <c r="C2257" s="82"/>
      <c r="D2257" s="33" t="s">
        <v>29868</v>
      </c>
      <c r="F2257" s="46" t="s">
        <v>2775</v>
      </c>
    </row>
    <row r="2258">
      <c r="A2258" s="51" t="s">
        <v>29883</v>
      </c>
      <c r="B2258" s="152"/>
      <c r="C2258" s="82"/>
      <c r="D2258" s="33" t="s">
        <v>29868</v>
      </c>
      <c r="F2258" s="46" t="s">
        <v>2775</v>
      </c>
    </row>
    <row r="2259">
      <c r="A2259" s="51" t="s">
        <v>29884</v>
      </c>
      <c r="B2259" s="152"/>
      <c r="C2259" s="82"/>
      <c r="D2259" s="33" t="s">
        <v>29868</v>
      </c>
      <c r="F2259" s="46" t="s">
        <v>2775</v>
      </c>
    </row>
    <row r="2260">
      <c r="A2260" s="51" t="s">
        <v>29885</v>
      </c>
      <c r="B2260" s="152"/>
      <c r="C2260" s="82"/>
      <c r="D2260" s="33" t="s">
        <v>29868</v>
      </c>
      <c r="F2260" s="46" t="s">
        <v>2775</v>
      </c>
    </row>
    <row r="2261">
      <c r="A2261" s="51" t="s">
        <v>29886</v>
      </c>
      <c r="B2261" s="152"/>
      <c r="C2261" s="82"/>
      <c r="D2261" s="33" t="s">
        <v>29888</v>
      </c>
      <c r="F2261" s="46" t="s">
        <v>2775</v>
      </c>
    </row>
    <row r="2262">
      <c r="A2262" s="51" t="s">
        <v>29890</v>
      </c>
      <c r="B2262" s="152"/>
      <c r="C2262" s="82"/>
      <c r="D2262" s="33" t="s">
        <v>29888</v>
      </c>
      <c r="F2262" s="46" t="s">
        <v>2775</v>
      </c>
    </row>
    <row r="2263">
      <c r="A2263" s="51" t="s">
        <v>29893</v>
      </c>
      <c r="B2263" s="152"/>
      <c r="C2263" s="82"/>
      <c r="D2263" s="33" t="s">
        <v>29894</v>
      </c>
      <c r="F2263" s="46" t="s">
        <v>2775</v>
      </c>
    </row>
    <row r="2264">
      <c r="A2264" s="51" t="s">
        <v>29897</v>
      </c>
      <c r="B2264" s="152"/>
      <c r="C2264" s="82"/>
      <c r="D2264" s="33" t="s">
        <v>29894</v>
      </c>
      <c r="F2264" s="46" t="s">
        <v>2775</v>
      </c>
    </row>
    <row r="2265">
      <c r="A2265" s="51" t="s">
        <v>29899</v>
      </c>
      <c r="B2265" s="152"/>
      <c r="C2265" s="82"/>
      <c r="D2265" s="33" t="s">
        <v>29850</v>
      </c>
      <c r="F2265" s="46" t="s">
        <v>2775</v>
      </c>
    </row>
    <row r="2266">
      <c r="A2266" s="51" t="s">
        <v>29900</v>
      </c>
      <c r="B2266" s="152"/>
      <c r="C2266" s="82"/>
      <c r="D2266" s="33" t="s">
        <v>29850</v>
      </c>
      <c r="F2266" s="46" t="s">
        <v>2775</v>
      </c>
    </row>
    <row r="2267">
      <c r="A2267" s="51" t="s">
        <v>29902</v>
      </c>
      <c r="B2267" s="152"/>
      <c r="C2267" s="82"/>
      <c r="D2267" s="33" t="s">
        <v>29850</v>
      </c>
      <c r="F2267" s="46" t="s">
        <v>2775</v>
      </c>
    </row>
    <row r="2268">
      <c r="A2268" s="51" t="s">
        <v>29904</v>
      </c>
      <c r="B2268" s="152"/>
      <c r="C2268" s="82"/>
      <c r="D2268" s="33" t="s">
        <v>29850</v>
      </c>
      <c r="F2268" s="46" t="s">
        <v>2775</v>
      </c>
    </row>
    <row r="2269">
      <c r="A2269" s="51" t="s">
        <v>29906</v>
      </c>
      <c r="B2269" s="152"/>
      <c r="C2269" s="82"/>
      <c r="D2269" s="33" t="s">
        <v>29850</v>
      </c>
      <c r="F2269" s="46" t="s">
        <v>2775</v>
      </c>
    </row>
    <row r="2270">
      <c r="A2270" s="51" t="s">
        <v>29907</v>
      </c>
      <c r="B2270" s="152"/>
      <c r="C2270" s="82"/>
      <c r="D2270" s="33" t="s">
        <v>29850</v>
      </c>
      <c r="F2270" s="46" t="s">
        <v>2775</v>
      </c>
    </row>
    <row r="2271">
      <c r="A2271" s="51" t="s">
        <v>29909</v>
      </c>
      <c r="B2271" s="152"/>
      <c r="C2271" s="82"/>
      <c r="D2271" s="33" t="s">
        <v>29850</v>
      </c>
      <c r="F2271" s="46" t="s">
        <v>2775</v>
      </c>
    </row>
    <row r="2272">
      <c r="A2272" s="51" t="s">
        <v>29910</v>
      </c>
      <c r="B2272" s="152"/>
      <c r="C2272" s="82"/>
      <c r="D2272" s="33" t="s">
        <v>29850</v>
      </c>
      <c r="F2272" s="46" t="s">
        <v>2775</v>
      </c>
    </row>
    <row r="2273">
      <c r="A2273" s="51" t="s">
        <v>29911</v>
      </c>
      <c r="B2273" s="152"/>
      <c r="C2273" s="82"/>
      <c r="D2273" s="33" t="s">
        <v>29850</v>
      </c>
      <c r="F2273" s="46" t="s">
        <v>2775</v>
      </c>
    </row>
    <row r="2274">
      <c r="A2274" s="51" t="s">
        <v>29913</v>
      </c>
      <c r="B2274" s="152"/>
      <c r="C2274" s="82"/>
      <c r="D2274" s="33" t="s">
        <v>29850</v>
      </c>
      <c r="F2274" s="46" t="s">
        <v>2775</v>
      </c>
    </row>
    <row r="2275">
      <c r="A2275" s="51" t="s">
        <v>29914</v>
      </c>
      <c r="B2275" s="152"/>
      <c r="C2275" s="82"/>
      <c r="D2275" s="33" t="s">
        <v>29915</v>
      </c>
      <c r="F2275" s="46" t="s">
        <v>2775</v>
      </c>
    </row>
    <row r="2276">
      <c r="A2276" s="51" t="s">
        <v>29917</v>
      </c>
      <c r="B2276" s="152"/>
      <c r="C2276" s="82"/>
      <c r="D2276" s="33" t="s">
        <v>29915</v>
      </c>
      <c r="F2276" s="46" t="s">
        <v>2775</v>
      </c>
    </row>
    <row r="2277">
      <c r="A2277" s="51" t="s">
        <v>29919</v>
      </c>
      <c r="B2277" s="152"/>
      <c r="C2277" s="82"/>
      <c r="D2277" s="33" t="s">
        <v>29915</v>
      </c>
      <c r="F2277" s="46" t="s">
        <v>2775</v>
      </c>
    </row>
    <row r="2278">
      <c r="A2278" s="51" t="s">
        <v>29920</v>
      </c>
      <c r="B2278" s="152"/>
      <c r="C2278" s="82"/>
      <c r="D2278" s="33" t="s">
        <v>29915</v>
      </c>
      <c r="F2278" s="46" t="s">
        <v>2775</v>
      </c>
    </row>
    <row r="2279">
      <c r="A2279" s="51" t="s">
        <v>29922</v>
      </c>
      <c r="B2279" s="152"/>
      <c r="C2279" s="82"/>
      <c r="D2279" s="33" t="s">
        <v>29915</v>
      </c>
      <c r="F2279" s="46" t="s">
        <v>2775</v>
      </c>
    </row>
    <row r="2280">
      <c r="A2280" s="51" t="s">
        <v>29923</v>
      </c>
      <c r="B2280" s="152"/>
      <c r="C2280" s="21"/>
      <c r="D2280" s="33" t="s">
        <v>29925</v>
      </c>
      <c r="F2280" s="46" t="s">
        <v>1348</v>
      </c>
    </row>
    <row r="2281">
      <c r="A2281" s="51" t="s">
        <v>29926</v>
      </c>
      <c r="B2281" s="152"/>
      <c r="C2281" s="21"/>
      <c r="D2281" s="33" t="s">
        <v>29925</v>
      </c>
      <c r="F2281" s="46" t="s">
        <v>1348</v>
      </c>
    </row>
    <row r="2282">
      <c r="A2282" s="51" t="s">
        <v>29927</v>
      </c>
      <c r="B2282" s="152"/>
      <c r="C2282" s="21"/>
      <c r="D2282" s="33" t="s">
        <v>29925</v>
      </c>
      <c r="F2282" s="46" t="s">
        <v>1348</v>
      </c>
    </row>
    <row r="2283">
      <c r="A2283" s="51" t="s">
        <v>29928</v>
      </c>
      <c r="B2283" s="152"/>
      <c r="C2283" s="21"/>
      <c r="D2283" s="33" t="s">
        <v>29925</v>
      </c>
      <c r="F2283" s="46" t="s">
        <v>1348</v>
      </c>
    </row>
    <row r="2284">
      <c r="A2284" s="51" t="s">
        <v>29930</v>
      </c>
      <c r="B2284" s="152"/>
      <c r="C2284" s="21"/>
      <c r="D2284" s="33" t="s">
        <v>29925</v>
      </c>
      <c r="F2284" s="46" t="s">
        <v>1348</v>
      </c>
    </row>
    <row r="2285">
      <c r="A2285" s="51" t="s">
        <v>29931</v>
      </c>
      <c r="B2285" s="152"/>
      <c r="C2285" s="21"/>
      <c r="D2285" s="33" t="s">
        <v>29925</v>
      </c>
      <c r="F2285" s="46" t="s">
        <v>1348</v>
      </c>
    </row>
    <row r="2286">
      <c r="A2286" s="51" t="s">
        <v>29934</v>
      </c>
      <c r="B2286" s="152"/>
      <c r="C2286" s="21"/>
      <c r="D2286" s="33" t="s">
        <v>29925</v>
      </c>
      <c r="F2286" s="46" t="s">
        <v>1348</v>
      </c>
    </row>
    <row r="2287">
      <c r="A2287" s="51" t="s">
        <v>29935</v>
      </c>
      <c r="B2287" s="152"/>
      <c r="C2287" s="21"/>
      <c r="D2287" s="33" t="s">
        <v>29925</v>
      </c>
      <c r="F2287" s="46" t="s">
        <v>1348</v>
      </c>
    </row>
    <row r="2288">
      <c r="A2288" s="51" t="s">
        <v>29936</v>
      </c>
      <c r="B2288" s="152"/>
      <c r="C2288" s="21"/>
      <c r="D2288" s="33" t="s">
        <v>29925</v>
      </c>
      <c r="F2288" s="46" t="s">
        <v>1348</v>
      </c>
    </row>
    <row r="2289">
      <c r="A2289" s="51" t="s">
        <v>29937</v>
      </c>
      <c r="B2289" s="152"/>
      <c r="C2289" s="21"/>
      <c r="D2289" s="33" t="s">
        <v>29925</v>
      </c>
      <c r="F2289" s="46" t="s">
        <v>1348</v>
      </c>
    </row>
    <row r="2290">
      <c r="A2290" s="51" t="s">
        <v>29939</v>
      </c>
      <c r="B2290" s="152"/>
      <c r="C2290" s="21"/>
      <c r="D2290" s="33" t="s">
        <v>29925</v>
      </c>
      <c r="F2290" s="46" t="s">
        <v>1348</v>
      </c>
    </row>
    <row r="2291">
      <c r="A2291" s="51" t="s">
        <v>29941</v>
      </c>
      <c r="B2291" s="152"/>
      <c r="C2291" s="21"/>
      <c r="D2291" s="33" t="s">
        <v>29925</v>
      </c>
      <c r="F2291" s="46" t="s">
        <v>1348</v>
      </c>
    </row>
    <row r="2292">
      <c r="A2292" s="51" t="s">
        <v>29942</v>
      </c>
      <c r="B2292" s="152"/>
      <c r="C2292" s="82"/>
      <c r="D2292" s="33" t="s">
        <v>29943</v>
      </c>
      <c r="F2292" s="46" t="s">
        <v>2793</v>
      </c>
    </row>
    <row r="2293">
      <c r="A2293" s="51" t="s">
        <v>29944</v>
      </c>
      <c r="B2293" s="152"/>
      <c r="C2293" s="82"/>
      <c r="D2293" s="33" t="s">
        <v>29943</v>
      </c>
      <c r="F2293" s="46" t="s">
        <v>1348</v>
      </c>
    </row>
    <row r="2294">
      <c r="A2294" s="51" t="s">
        <v>29945</v>
      </c>
      <c r="B2294" s="152"/>
      <c r="C2294" s="55"/>
      <c r="D2294" s="31"/>
    </row>
    <row r="2295">
      <c r="A2295" s="51" t="s">
        <v>29947</v>
      </c>
      <c r="B2295" s="152"/>
      <c r="C2295" s="55"/>
      <c r="D2295" s="31"/>
    </row>
    <row r="2296">
      <c r="A2296" s="51" t="s">
        <v>29950</v>
      </c>
      <c r="B2296" s="152"/>
      <c r="C2296" s="55"/>
      <c r="D2296" s="31"/>
    </row>
    <row r="2297">
      <c r="A2297" s="51" t="s">
        <v>29951</v>
      </c>
      <c r="B2297" s="152"/>
      <c r="C2297" s="55"/>
      <c r="D2297" s="31"/>
    </row>
    <row r="2298">
      <c r="A2298" s="51" t="s">
        <v>29952</v>
      </c>
      <c r="B2298" s="152"/>
      <c r="C2298" s="82"/>
      <c r="D2298" s="33" t="s">
        <v>29943</v>
      </c>
      <c r="F2298" s="46" t="s">
        <v>1348</v>
      </c>
    </row>
    <row r="2299">
      <c r="A2299" s="51" t="s">
        <v>29953</v>
      </c>
      <c r="B2299" s="152"/>
      <c r="C2299" s="82"/>
      <c r="D2299" s="33" t="s">
        <v>29954</v>
      </c>
      <c r="F2299" s="46" t="s">
        <v>2775</v>
      </c>
    </row>
    <row r="2300">
      <c r="A2300" s="51" t="s">
        <v>29955</v>
      </c>
      <c r="B2300" s="152"/>
      <c r="C2300" s="82"/>
      <c r="D2300" s="33" t="s">
        <v>29954</v>
      </c>
      <c r="F2300" s="46" t="s">
        <v>28101</v>
      </c>
    </row>
    <row r="2301">
      <c r="A2301" s="51" t="s">
        <v>29957</v>
      </c>
      <c r="B2301" s="152"/>
      <c r="C2301" s="82"/>
      <c r="D2301" s="33" t="s">
        <v>29959</v>
      </c>
      <c r="F2301" s="46" t="s">
        <v>2775</v>
      </c>
    </row>
    <row r="2302">
      <c r="A2302" s="51" t="s">
        <v>29960</v>
      </c>
      <c r="B2302" s="152"/>
      <c r="C2302" s="82"/>
      <c r="D2302" s="33" t="s">
        <v>29959</v>
      </c>
      <c r="F2302" s="46" t="s">
        <v>28101</v>
      </c>
    </row>
    <row r="2303">
      <c r="A2303" s="51" t="s">
        <v>29961</v>
      </c>
      <c r="B2303" s="152"/>
      <c r="C2303" s="82"/>
      <c r="D2303" s="33" t="s">
        <v>29962</v>
      </c>
      <c r="F2303" s="46" t="s">
        <v>2775</v>
      </c>
    </row>
    <row r="2304">
      <c r="A2304" s="51" t="s">
        <v>29963</v>
      </c>
      <c r="B2304" s="152"/>
      <c r="C2304" s="82"/>
      <c r="D2304" s="33" t="s">
        <v>29962</v>
      </c>
      <c r="F2304" s="46" t="s">
        <v>28101</v>
      </c>
    </row>
    <row r="2305">
      <c r="A2305" s="51" t="s">
        <v>29964</v>
      </c>
      <c r="B2305" s="152"/>
      <c r="C2305" s="82"/>
      <c r="D2305" s="33" t="s">
        <v>29966</v>
      </c>
      <c r="F2305" s="46" t="s">
        <v>2775</v>
      </c>
    </row>
    <row r="2306">
      <c r="A2306" s="51" t="s">
        <v>29968</v>
      </c>
      <c r="B2306" s="152"/>
      <c r="C2306" s="82"/>
      <c r="D2306" s="33" t="s">
        <v>29966</v>
      </c>
      <c r="F2306" s="46" t="s">
        <v>28101</v>
      </c>
    </row>
    <row r="2307">
      <c r="A2307" s="51" t="s">
        <v>29970</v>
      </c>
      <c r="B2307" s="152"/>
      <c r="C2307" s="82"/>
      <c r="D2307" s="33" t="s">
        <v>29971</v>
      </c>
      <c r="F2307" s="46" t="s">
        <v>2775</v>
      </c>
    </row>
    <row r="2308">
      <c r="A2308" s="51" t="s">
        <v>29974</v>
      </c>
      <c r="B2308" s="152"/>
      <c r="C2308" s="82"/>
      <c r="D2308" s="33" t="s">
        <v>29971</v>
      </c>
      <c r="F2308" s="46" t="s">
        <v>28101</v>
      </c>
    </row>
    <row r="2309">
      <c r="A2309" s="51" t="s">
        <v>29976</v>
      </c>
      <c r="B2309" s="152"/>
      <c r="C2309" s="82"/>
      <c r="D2309" s="33" t="s">
        <v>29978</v>
      </c>
      <c r="F2309" s="46" t="s">
        <v>2775</v>
      </c>
    </row>
    <row r="2310">
      <c r="A2310" s="51" t="s">
        <v>29979</v>
      </c>
      <c r="B2310" s="152"/>
      <c r="C2310" s="82"/>
      <c r="D2310" s="33" t="s">
        <v>29978</v>
      </c>
      <c r="F2310" s="46" t="s">
        <v>28101</v>
      </c>
    </row>
    <row r="2311">
      <c r="A2311" s="51" t="s">
        <v>29981</v>
      </c>
      <c r="B2311" s="152"/>
      <c r="C2311" s="82"/>
      <c r="D2311" s="33" t="s">
        <v>29982</v>
      </c>
      <c r="F2311" s="46" t="s">
        <v>2775</v>
      </c>
    </row>
    <row r="2312">
      <c r="A2312" s="51" t="s">
        <v>29983</v>
      </c>
      <c r="B2312" s="152"/>
      <c r="C2312" s="82"/>
      <c r="D2312" s="33" t="s">
        <v>29982</v>
      </c>
      <c r="F2312" s="46" t="s">
        <v>28101</v>
      </c>
    </row>
    <row r="2313">
      <c r="A2313" s="51" t="s">
        <v>29984</v>
      </c>
      <c r="B2313" s="152"/>
      <c r="C2313" s="82"/>
      <c r="D2313" s="33" t="s">
        <v>29985</v>
      </c>
      <c r="F2313" s="46" t="s">
        <v>2775</v>
      </c>
    </row>
    <row r="2314">
      <c r="A2314" s="51" t="s">
        <v>29987</v>
      </c>
      <c r="B2314" s="152"/>
      <c r="C2314" s="82"/>
      <c r="D2314" s="33" t="s">
        <v>29985</v>
      </c>
      <c r="F2314" s="46" t="s">
        <v>28101</v>
      </c>
    </row>
    <row r="2315">
      <c r="A2315" s="51" t="s">
        <v>29988</v>
      </c>
      <c r="B2315" s="152"/>
      <c r="C2315" s="82"/>
      <c r="D2315" s="33" t="s">
        <v>29989</v>
      </c>
      <c r="F2315" s="46" t="s">
        <v>2775</v>
      </c>
    </row>
    <row r="2316">
      <c r="A2316" s="51" t="s">
        <v>29990</v>
      </c>
      <c r="B2316" s="152"/>
      <c r="C2316" s="82"/>
      <c r="D2316" s="33" t="s">
        <v>29989</v>
      </c>
      <c r="F2316" s="46" t="s">
        <v>28101</v>
      </c>
    </row>
    <row r="2317">
      <c r="A2317" s="51" t="s">
        <v>29992</v>
      </c>
      <c r="B2317" s="152"/>
      <c r="C2317" s="82"/>
      <c r="D2317" s="33" t="s">
        <v>29993</v>
      </c>
      <c r="F2317" s="46" t="s">
        <v>2775</v>
      </c>
    </row>
    <row r="2318">
      <c r="A2318" s="51" t="s">
        <v>29994</v>
      </c>
      <c r="B2318" s="152"/>
      <c r="C2318" s="82"/>
      <c r="D2318" s="33" t="s">
        <v>29993</v>
      </c>
      <c r="F2318" s="46" t="s">
        <v>28101</v>
      </c>
    </row>
    <row r="2319">
      <c r="A2319" s="51" t="s">
        <v>29997</v>
      </c>
      <c r="B2319" s="152"/>
      <c r="C2319" s="82"/>
      <c r="D2319" s="33" t="s">
        <v>29998</v>
      </c>
      <c r="F2319" s="46" t="s">
        <v>2775</v>
      </c>
    </row>
    <row r="2320">
      <c r="A2320" s="51" t="s">
        <v>29999</v>
      </c>
      <c r="B2320" s="152"/>
      <c r="C2320" s="82"/>
      <c r="D2320" s="33" t="s">
        <v>29998</v>
      </c>
      <c r="F2320" s="46" t="s">
        <v>28101</v>
      </c>
    </row>
    <row r="2321">
      <c r="A2321" s="51" t="s">
        <v>30000</v>
      </c>
      <c r="B2321" s="152"/>
      <c r="C2321" s="55"/>
      <c r="D2321" s="31"/>
    </row>
    <row r="2322">
      <c r="A2322" s="51" t="s">
        <v>30002</v>
      </c>
      <c r="B2322" s="152"/>
      <c r="C2322" s="55"/>
      <c r="D2322" s="31"/>
    </row>
    <row r="2323">
      <c r="A2323" s="51" t="s">
        <v>30003</v>
      </c>
      <c r="B2323" s="152"/>
      <c r="C2323" s="55"/>
      <c r="D2323" s="31"/>
    </row>
    <row r="2324">
      <c r="A2324" s="51" t="s">
        <v>30005</v>
      </c>
      <c r="B2324" s="152"/>
      <c r="C2324" s="55"/>
      <c r="D2324" s="31"/>
    </row>
    <row r="2325">
      <c r="A2325" s="51" t="s">
        <v>30006</v>
      </c>
      <c r="B2325" s="152"/>
      <c r="C2325" s="55"/>
      <c r="D2325" s="31"/>
    </row>
    <row r="2326">
      <c r="A2326" s="51" t="s">
        <v>30007</v>
      </c>
      <c r="B2326" s="152"/>
      <c r="C2326" s="55"/>
      <c r="D2326" s="31"/>
    </row>
    <row r="2327">
      <c r="A2327" s="51" t="s">
        <v>30008</v>
      </c>
      <c r="B2327" s="152"/>
      <c r="C2327" s="55"/>
      <c r="D2327" s="31"/>
    </row>
    <row r="2328">
      <c r="A2328" s="51" t="s">
        <v>30009</v>
      </c>
      <c r="B2328" s="152"/>
      <c r="C2328" s="55"/>
      <c r="D2328" s="31"/>
    </row>
    <row r="2329">
      <c r="A2329" s="51" t="s">
        <v>30010</v>
      </c>
      <c r="B2329" s="152"/>
      <c r="C2329" s="55"/>
      <c r="D2329" s="31"/>
    </row>
    <row r="2330">
      <c r="A2330" s="51" t="s">
        <v>30012</v>
      </c>
      <c r="B2330" s="152"/>
      <c r="C2330" s="55"/>
      <c r="D2330" s="31"/>
    </row>
    <row r="2331">
      <c r="A2331" s="51" t="s">
        <v>30014</v>
      </c>
      <c r="B2331" s="152"/>
      <c r="C2331" s="55"/>
      <c r="D2331" s="31"/>
    </row>
    <row r="2332">
      <c r="A2332" s="51" t="s">
        <v>30015</v>
      </c>
      <c r="B2332" s="152"/>
      <c r="C2332" s="55"/>
      <c r="D2332" s="31"/>
    </row>
    <row r="2333">
      <c r="A2333" s="51" t="s">
        <v>30017</v>
      </c>
      <c r="B2333" s="152"/>
      <c r="C2333" s="55"/>
      <c r="D2333" s="31"/>
    </row>
    <row r="2334">
      <c r="A2334" s="51" t="s">
        <v>30018</v>
      </c>
      <c r="B2334" s="152"/>
      <c r="C2334" s="55"/>
      <c r="D2334" s="31"/>
    </row>
    <row r="2335">
      <c r="A2335" s="51" t="s">
        <v>30019</v>
      </c>
      <c r="B2335" s="152"/>
      <c r="C2335" s="55"/>
      <c r="D2335" s="31"/>
    </row>
    <row r="2336">
      <c r="A2336" s="51" t="s">
        <v>30021</v>
      </c>
      <c r="B2336" s="152"/>
      <c r="C2336" s="55"/>
      <c r="D2336" s="31"/>
    </row>
    <row r="2337">
      <c r="A2337" s="51" t="s">
        <v>30022</v>
      </c>
      <c r="B2337" s="152"/>
      <c r="C2337" s="55"/>
      <c r="D2337" s="31"/>
    </row>
    <row r="2338">
      <c r="A2338" s="51" t="s">
        <v>30023</v>
      </c>
      <c r="B2338" s="152"/>
      <c r="C2338" s="82"/>
      <c r="D2338" s="33" t="s">
        <v>30024</v>
      </c>
      <c r="F2338" s="46" t="s">
        <v>2775</v>
      </c>
    </row>
    <row r="2339">
      <c r="A2339" s="51" t="s">
        <v>30025</v>
      </c>
      <c r="B2339" s="152"/>
      <c r="C2339" s="82"/>
      <c r="D2339" s="33" t="s">
        <v>30024</v>
      </c>
      <c r="F2339" s="46" t="s">
        <v>2793</v>
      </c>
    </row>
    <row r="2340">
      <c r="A2340" s="51" t="s">
        <v>30027</v>
      </c>
      <c r="B2340" s="152"/>
      <c r="C2340" s="55"/>
      <c r="D2340" s="31"/>
    </row>
    <row r="2341">
      <c r="A2341" s="51" t="s">
        <v>30028</v>
      </c>
      <c r="B2341" s="152"/>
      <c r="C2341" s="55"/>
      <c r="D2341" s="31"/>
    </row>
    <row r="2342">
      <c r="A2342" s="51" t="s">
        <v>30029</v>
      </c>
      <c r="B2342" s="152"/>
      <c r="C2342" s="55"/>
      <c r="D2342" s="31"/>
    </row>
    <row r="2343">
      <c r="A2343" s="51" t="s">
        <v>30031</v>
      </c>
      <c r="B2343" s="152"/>
      <c r="C2343" s="82"/>
      <c r="D2343" s="33" t="s">
        <v>30033</v>
      </c>
      <c r="F2343" s="46" t="s">
        <v>2775</v>
      </c>
    </row>
    <row r="2344">
      <c r="A2344" s="51" t="s">
        <v>30034</v>
      </c>
      <c r="B2344" s="152"/>
      <c r="C2344" s="82"/>
      <c r="D2344" s="33" t="s">
        <v>30033</v>
      </c>
      <c r="F2344" s="46" t="s">
        <v>2793</v>
      </c>
    </row>
    <row r="2345">
      <c r="A2345" s="51" t="s">
        <v>30035</v>
      </c>
      <c r="B2345" s="152"/>
      <c r="C2345" s="82"/>
      <c r="D2345" s="33" t="s">
        <v>30033</v>
      </c>
      <c r="F2345" s="46" t="s">
        <v>1348</v>
      </c>
    </row>
    <row r="2346">
      <c r="A2346" s="51" t="s">
        <v>30037</v>
      </c>
      <c r="B2346" s="152"/>
      <c r="C2346" s="82"/>
      <c r="D2346" s="33" t="s">
        <v>30033</v>
      </c>
      <c r="F2346" s="46" t="s">
        <v>2775</v>
      </c>
    </row>
    <row r="2347">
      <c r="A2347" s="51" t="s">
        <v>30038</v>
      </c>
      <c r="B2347" s="152"/>
      <c r="C2347" s="82"/>
      <c r="D2347" s="33" t="s">
        <v>30033</v>
      </c>
      <c r="F2347" s="46" t="s">
        <v>2793</v>
      </c>
    </row>
    <row r="2348">
      <c r="A2348" s="51" t="s">
        <v>30040</v>
      </c>
      <c r="B2348" s="152"/>
      <c r="C2348" s="82"/>
      <c r="D2348" s="33" t="s">
        <v>30033</v>
      </c>
      <c r="F2348" s="46" t="s">
        <v>1348</v>
      </c>
    </row>
    <row r="2349">
      <c r="A2349" s="51" t="s">
        <v>30041</v>
      </c>
      <c r="B2349" s="152"/>
      <c r="C2349" s="82"/>
      <c r="D2349" s="33" t="s">
        <v>30042</v>
      </c>
      <c r="F2349" s="46" t="s">
        <v>1348</v>
      </c>
    </row>
    <row r="2350">
      <c r="A2350" s="51" t="s">
        <v>30043</v>
      </c>
      <c r="B2350" s="152"/>
      <c r="C2350" s="55"/>
      <c r="D2350" s="31"/>
    </row>
    <row r="2351">
      <c r="A2351" s="51" t="s">
        <v>30044</v>
      </c>
      <c r="B2351" s="152"/>
      <c r="C2351" s="55"/>
      <c r="D2351" s="31"/>
    </row>
    <row r="2352">
      <c r="A2352" s="51" t="s">
        <v>30046</v>
      </c>
      <c r="B2352" s="152"/>
      <c r="C2352" s="55"/>
      <c r="D2352" s="31"/>
    </row>
    <row r="2353">
      <c r="A2353" s="51" t="s">
        <v>30049</v>
      </c>
      <c r="B2353" s="152"/>
      <c r="C2353" s="55"/>
      <c r="D2353" s="31"/>
    </row>
    <row r="2354">
      <c r="A2354" s="51" t="s">
        <v>30050</v>
      </c>
      <c r="B2354" s="152"/>
      <c r="C2354" s="55"/>
      <c r="D2354" s="31"/>
    </row>
    <row r="2355">
      <c r="A2355" s="51" t="s">
        <v>30051</v>
      </c>
      <c r="B2355" s="152"/>
      <c r="C2355" s="55"/>
      <c r="D2355" s="31"/>
    </row>
    <row r="2356">
      <c r="A2356" s="51" t="s">
        <v>30052</v>
      </c>
      <c r="B2356" s="152"/>
      <c r="C2356" s="55"/>
      <c r="D2356" s="31"/>
    </row>
    <row r="2357">
      <c r="A2357" s="51" t="s">
        <v>30053</v>
      </c>
      <c r="B2357" s="152"/>
      <c r="C2357" s="55"/>
      <c r="D2357" s="31"/>
    </row>
    <row r="2358">
      <c r="A2358" s="51" t="s">
        <v>30054</v>
      </c>
      <c r="B2358" s="152"/>
      <c r="C2358" s="55"/>
      <c r="D2358" s="31"/>
    </row>
    <row r="2359">
      <c r="A2359" s="51" t="s">
        <v>30057</v>
      </c>
      <c r="B2359" s="152"/>
      <c r="C2359" s="55"/>
      <c r="D2359" s="31"/>
    </row>
    <row r="2360">
      <c r="A2360" s="51" t="s">
        <v>30058</v>
      </c>
      <c r="B2360" s="152"/>
      <c r="C2360" s="55"/>
      <c r="D2360" s="31"/>
    </row>
    <row r="2361">
      <c r="A2361" s="51" t="s">
        <v>30059</v>
      </c>
      <c r="B2361" s="152"/>
      <c r="C2361" s="55"/>
      <c r="D2361" s="31"/>
    </row>
    <row r="2362">
      <c r="A2362" s="51" t="s">
        <v>30060</v>
      </c>
      <c r="B2362" s="152"/>
      <c r="C2362" s="55"/>
      <c r="D2362" s="31"/>
    </row>
    <row r="2363">
      <c r="A2363" s="51" t="s">
        <v>30061</v>
      </c>
      <c r="B2363" s="152"/>
      <c r="C2363" s="82"/>
      <c r="D2363" s="33" t="s">
        <v>30062</v>
      </c>
      <c r="F2363" s="46" t="s">
        <v>2775</v>
      </c>
    </row>
    <row r="2364">
      <c r="A2364" s="51" t="s">
        <v>30063</v>
      </c>
      <c r="B2364" s="152"/>
      <c r="C2364" s="82"/>
      <c r="D2364" s="33" t="s">
        <v>30062</v>
      </c>
      <c r="F2364" s="46" t="s">
        <v>2793</v>
      </c>
    </row>
    <row r="2365">
      <c r="A2365" s="51" t="s">
        <v>30065</v>
      </c>
      <c r="B2365" s="152"/>
      <c r="C2365" s="82"/>
      <c r="D2365" s="33" t="s">
        <v>30067</v>
      </c>
      <c r="F2365" s="46" t="s">
        <v>2775</v>
      </c>
    </row>
    <row r="2366">
      <c r="A2366" s="51" t="s">
        <v>30069</v>
      </c>
      <c r="B2366" s="152"/>
      <c r="C2366" s="82"/>
      <c r="D2366" s="33" t="s">
        <v>30067</v>
      </c>
      <c r="F2366" s="46" t="s">
        <v>2793</v>
      </c>
    </row>
    <row r="2367">
      <c r="A2367" s="51" t="s">
        <v>30070</v>
      </c>
      <c r="B2367" s="152"/>
      <c r="C2367" s="82"/>
      <c r="D2367" s="33" t="s">
        <v>30071</v>
      </c>
      <c r="F2367" s="46" t="s">
        <v>2775</v>
      </c>
    </row>
    <row r="2368">
      <c r="A2368" s="51" t="s">
        <v>30072</v>
      </c>
      <c r="B2368" s="152"/>
      <c r="C2368" s="82"/>
      <c r="D2368" s="33" t="s">
        <v>30071</v>
      </c>
      <c r="F2368" s="46" t="s">
        <v>2793</v>
      </c>
    </row>
    <row r="2369">
      <c r="A2369" s="51" t="s">
        <v>30073</v>
      </c>
      <c r="B2369" s="152"/>
      <c r="C2369" s="82"/>
      <c r="D2369" s="33" t="s">
        <v>30074</v>
      </c>
      <c r="F2369" s="46" t="s">
        <v>2775</v>
      </c>
    </row>
    <row r="2370">
      <c r="A2370" s="51" t="s">
        <v>30075</v>
      </c>
      <c r="B2370" s="152"/>
      <c r="C2370" s="82"/>
      <c r="D2370" s="33" t="s">
        <v>30074</v>
      </c>
      <c r="F2370" s="46" t="s">
        <v>2793</v>
      </c>
    </row>
    <row r="2371">
      <c r="A2371" s="51" t="s">
        <v>30078</v>
      </c>
      <c r="B2371" s="152"/>
      <c r="C2371" s="82"/>
      <c r="D2371" s="33" t="s">
        <v>30079</v>
      </c>
      <c r="F2371" s="46" t="s">
        <v>2775</v>
      </c>
    </row>
    <row r="2372">
      <c r="A2372" s="51" t="s">
        <v>30080</v>
      </c>
      <c r="B2372" s="152"/>
      <c r="C2372" s="82"/>
      <c r="D2372" s="33" t="s">
        <v>30079</v>
      </c>
      <c r="F2372" s="46" t="s">
        <v>2793</v>
      </c>
    </row>
    <row r="2373">
      <c r="A2373" s="51" t="s">
        <v>30081</v>
      </c>
      <c r="B2373" s="152"/>
      <c r="C2373" s="82"/>
      <c r="D2373" s="33" t="s">
        <v>30082</v>
      </c>
      <c r="F2373" s="46" t="s">
        <v>2775</v>
      </c>
    </row>
    <row r="2374">
      <c r="A2374" s="51" t="s">
        <v>30083</v>
      </c>
      <c r="B2374" s="152"/>
      <c r="C2374" s="82"/>
      <c r="D2374" s="33" t="s">
        <v>30082</v>
      </c>
      <c r="F2374" s="46" t="s">
        <v>2793</v>
      </c>
    </row>
    <row r="2375">
      <c r="A2375" s="51" t="s">
        <v>30084</v>
      </c>
      <c r="B2375" s="152"/>
      <c r="C2375" s="82"/>
      <c r="D2375" s="33" t="s">
        <v>30087</v>
      </c>
      <c r="F2375" s="46" t="s">
        <v>2775</v>
      </c>
    </row>
    <row r="2376">
      <c r="A2376" s="51" t="s">
        <v>30088</v>
      </c>
      <c r="B2376" s="152"/>
      <c r="C2376" s="82"/>
      <c r="D2376" s="33" t="s">
        <v>30087</v>
      </c>
      <c r="F2376" s="46" t="s">
        <v>2793</v>
      </c>
    </row>
    <row r="2377">
      <c r="A2377" s="51" t="s">
        <v>30093</v>
      </c>
      <c r="B2377" s="152"/>
      <c r="C2377" s="82"/>
      <c r="D2377" s="33" t="s">
        <v>30094</v>
      </c>
      <c r="F2377" s="46" t="s">
        <v>2775</v>
      </c>
    </row>
    <row r="2378">
      <c r="A2378" s="51" t="s">
        <v>30096</v>
      </c>
      <c r="B2378" s="152"/>
      <c r="C2378" s="82"/>
      <c r="D2378" s="33" t="s">
        <v>30094</v>
      </c>
      <c r="F2378" s="46" t="s">
        <v>2793</v>
      </c>
    </row>
    <row r="2379">
      <c r="A2379" s="51" t="s">
        <v>30097</v>
      </c>
      <c r="B2379" s="152"/>
      <c r="C2379" s="82"/>
      <c r="D2379" s="33" t="s">
        <v>30098</v>
      </c>
      <c r="F2379" s="46" t="s">
        <v>2775</v>
      </c>
    </row>
    <row r="2380">
      <c r="A2380" s="51" t="s">
        <v>30099</v>
      </c>
      <c r="B2380" s="152"/>
      <c r="C2380" s="82"/>
      <c r="D2380" s="33" t="s">
        <v>30098</v>
      </c>
      <c r="F2380" s="46" t="s">
        <v>2793</v>
      </c>
    </row>
    <row r="2381">
      <c r="A2381" s="51" t="s">
        <v>30100</v>
      </c>
      <c r="B2381" s="152"/>
      <c r="C2381" s="82"/>
      <c r="D2381" s="33" t="s">
        <v>30101</v>
      </c>
      <c r="F2381" s="46" t="s">
        <v>2775</v>
      </c>
    </row>
    <row r="2382">
      <c r="A2382" s="51" t="s">
        <v>30103</v>
      </c>
      <c r="B2382" s="152"/>
      <c r="C2382" s="82"/>
      <c r="D2382" s="33" t="s">
        <v>30101</v>
      </c>
      <c r="F2382" s="46" t="s">
        <v>2793</v>
      </c>
    </row>
    <row r="2383">
      <c r="A2383" s="51" t="s">
        <v>30104</v>
      </c>
      <c r="B2383" s="152"/>
      <c r="C2383" s="82"/>
      <c r="D2383" s="33" t="s">
        <v>30105</v>
      </c>
      <c r="F2383" s="46" t="s">
        <v>2775</v>
      </c>
    </row>
    <row r="2384">
      <c r="A2384" s="51" t="s">
        <v>30106</v>
      </c>
      <c r="B2384" s="152"/>
      <c r="C2384" s="82"/>
      <c r="D2384" s="33" t="s">
        <v>30105</v>
      </c>
      <c r="F2384" s="46" t="s">
        <v>2793</v>
      </c>
    </row>
    <row r="2385">
      <c r="A2385" s="51" t="s">
        <v>30107</v>
      </c>
      <c r="B2385" s="152"/>
      <c r="C2385" s="82"/>
      <c r="D2385" s="33" t="s">
        <v>30108</v>
      </c>
      <c r="F2385" s="46" t="s">
        <v>2775</v>
      </c>
    </row>
    <row r="2386">
      <c r="A2386" s="51" t="s">
        <v>30110</v>
      </c>
      <c r="B2386" s="152"/>
      <c r="C2386" s="82"/>
      <c r="D2386" s="33" t="s">
        <v>30108</v>
      </c>
      <c r="F2386" s="46" t="s">
        <v>2793</v>
      </c>
    </row>
    <row r="2387">
      <c r="A2387" s="51" t="s">
        <v>30111</v>
      </c>
      <c r="B2387" s="152"/>
      <c r="C2387" s="82"/>
      <c r="D2387" s="33" t="s">
        <v>30112</v>
      </c>
      <c r="F2387" s="46" t="s">
        <v>2775</v>
      </c>
    </row>
    <row r="2388">
      <c r="A2388" s="51" t="s">
        <v>30114</v>
      </c>
      <c r="B2388" s="152"/>
      <c r="C2388" s="82"/>
      <c r="D2388" s="33" t="s">
        <v>30112</v>
      </c>
      <c r="F2388" s="46" t="s">
        <v>2793</v>
      </c>
    </row>
    <row r="2389">
      <c r="A2389" s="51" t="s">
        <v>30115</v>
      </c>
      <c r="B2389" s="152"/>
      <c r="C2389" s="82"/>
      <c r="D2389" s="33" t="s">
        <v>30116</v>
      </c>
      <c r="F2389" s="46" t="s">
        <v>2775</v>
      </c>
    </row>
    <row r="2390">
      <c r="A2390" s="51" t="s">
        <v>30117</v>
      </c>
      <c r="B2390" s="152"/>
      <c r="C2390" s="82"/>
      <c r="D2390" s="33" t="s">
        <v>30116</v>
      </c>
      <c r="F2390" s="46" t="s">
        <v>2793</v>
      </c>
    </row>
    <row r="2391">
      <c r="A2391" s="51" t="s">
        <v>30118</v>
      </c>
      <c r="B2391" s="152"/>
      <c r="C2391" s="55"/>
      <c r="D2391" s="31"/>
    </row>
    <row r="2392">
      <c r="A2392" s="51" t="s">
        <v>30120</v>
      </c>
      <c r="B2392" s="152"/>
      <c r="C2392" s="55"/>
      <c r="D2392" s="31"/>
    </row>
    <row r="2393">
      <c r="A2393" s="51" t="s">
        <v>30121</v>
      </c>
      <c r="B2393" s="152"/>
      <c r="C2393" s="82"/>
      <c r="D2393" s="33" t="s">
        <v>30122</v>
      </c>
      <c r="F2393" s="46" t="s">
        <v>1348</v>
      </c>
    </row>
    <row r="2394">
      <c r="A2394" s="51" t="s">
        <v>30124</v>
      </c>
      <c r="B2394" s="152"/>
      <c r="C2394" s="82"/>
      <c r="D2394" s="33" t="s">
        <v>30125</v>
      </c>
      <c r="F2394" s="46" t="s">
        <v>1348</v>
      </c>
    </row>
    <row r="2395">
      <c r="A2395" s="51" t="s">
        <v>30126</v>
      </c>
      <c r="B2395" s="152"/>
      <c r="C2395" s="55"/>
      <c r="D2395" s="31"/>
    </row>
    <row r="2396">
      <c r="A2396" s="51" t="s">
        <v>30127</v>
      </c>
      <c r="B2396" s="152"/>
      <c r="C2396" s="55"/>
      <c r="D2396" s="31"/>
    </row>
    <row r="2397">
      <c r="A2397" s="51" t="s">
        <v>30128</v>
      </c>
      <c r="B2397" s="152"/>
      <c r="C2397" s="55"/>
      <c r="D2397" s="31"/>
    </row>
    <row r="2398">
      <c r="A2398" s="51" t="s">
        <v>30129</v>
      </c>
      <c r="B2398" s="152"/>
      <c r="C2398" s="55"/>
      <c r="D2398" s="31"/>
    </row>
    <row r="2399">
      <c r="A2399" s="51" t="s">
        <v>30131</v>
      </c>
      <c r="B2399" s="152"/>
      <c r="C2399" s="21"/>
      <c r="D2399" s="33" t="s">
        <v>30132</v>
      </c>
    </row>
    <row r="2400">
      <c r="A2400" s="51" t="s">
        <v>30134</v>
      </c>
      <c r="B2400" s="152"/>
      <c r="C2400" s="82"/>
      <c r="D2400" s="33" t="s">
        <v>30132</v>
      </c>
      <c r="F2400" s="46" t="s">
        <v>1348</v>
      </c>
    </row>
    <row r="2401">
      <c r="A2401" s="51" t="s">
        <v>30135</v>
      </c>
      <c r="B2401" s="152"/>
      <c r="C2401" s="55"/>
      <c r="D2401" s="31"/>
    </row>
    <row r="2402">
      <c r="A2402" s="51" t="s">
        <v>30136</v>
      </c>
      <c r="B2402" s="152"/>
      <c r="C2402" s="55"/>
      <c r="D2402" s="31"/>
    </row>
    <row r="2403">
      <c r="A2403" s="51" t="s">
        <v>30137</v>
      </c>
      <c r="B2403" s="152"/>
      <c r="C2403" s="55"/>
      <c r="D2403" s="31"/>
    </row>
    <row r="2404">
      <c r="A2404" s="51" t="s">
        <v>30138</v>
      </c>
      <c r="B2404" s="152"/>
      <c r="C2404" s="55"/>
      <c r="D2404" s="31"/>
    </row>
    <row r="2405">
      <c r="A2405" s="51" t="s">
        <v>30139</v>
      </c>
      <c r="B2405" s="152"/>
      <c r="C2405" s="55"/>
      <c r="D2405" s="31"/>
    </row>
    <row r="2406">
      <c r="A2406" s="51" t="s">
        <v>30142</v>
      </c>
      <c r="B2406" s="152"/>
      <c r="C2406" s="55"/>
      <c r="D2406" s="31"/>
    </row>
    <row r="2407">
      <c r="A2407" s="51" t="s">
        <v>30143</v>
      </c>
      <c r="B2407" s="152"/>
      <c r="C2407" s="82"/>
      <c r="D2407" s="33" t="s">
        <v>30144</v>
      </c>
      <c r="F2407" s="46" t="s">
        <v>2775</v>
      </c>
    </row>
    <row r="2408">
      <c r="A2408" s="51" t="s">
        <v>30145</v>
      </c>
      <c r="B2408" s="152"/>
      <c r="C2408" s="82"/>
      <c r="D2408" s="33" t="s">
        <v>30144</v>
      </c>
      <c r="F2408" s="46" t="s">
        <v>2793</v>
      </c>
    </row>
    <row r="2409">
      <c r="A2409" s="51" t="s">
        <v>30146</v>
      </c>
      <c r="B2409" s="152"/>
      <c r="C2409" s="82"/>
      <c r="D2409" s="33" t="s">
        <v>30144</v>
      </c>
      <c r="F2409" s="46" t="s">
        <v>1348</v>
      </c>
    </row>
    <row r="2410">
      <c r="A2410" s="51" t="s">
        <v>30147</v>
      </c>
      <c r="B2410" s="152"/>
      <c r="C2410" s="82"/>
      <c r="D2410" s="33" t="s">
        <v>30144</v>
      </c>
      <c r="F2410" s="46" t="s">
        <v>1348</v>
      </c>
    </row>
    <row r="2411">
      <c r="A2411" s="51" t="s">
        <v>30148</v>
      </c>
      <c r="B2411" s="152"/>
      <c r="C2411" s="82"/>
      <c r="D2411" s="33" t="s">
        <v>30144</v>
      </c>
      <c r="F2411" s="46" t="s">
        <v>1348</v>
      </c>
    </row>
    <row r="2412">
      <c r="A2412" s="51" t="s">
        <v>30151</v>
      </c>
      <c r="B2412" s="152"/>
      <c r="C2412" s="82"/>
      <c r="D2412" s="33" t="s">
        <v>30144</v>
      </c>
      <c r="F2412" s="46" t="s">
        <v>1348</v>
      </c>
    </row>
    <row r="2413">
      <c r="A2413" s="51" t="s">
        <v>30153</v>
      </c>
      <c r="B2413" s="152"/>
      <c r="C2413" s="55"/>
      <c r="D2413" s="31"/>
    </row>
    <row r="2414">
      <c r="A2414" s="51" t="s">
        <v>30154</v>
      </c>
      <c r="B2414" s="152"/>
      <c r="C2414" s="82"/>
      <c r="D2414" s="33" t="s">
        <v>30155</v>
      </c>
      <c r="F2414" s="46" t="s">
        <v>1348</v>
      </c>
    </row>
    <row r="2415">
      <c r="A2415" s="51" t="s">
        <v>30156</v>
      </c>
      <c r="B2415" s="152"/>
      <c r="C2415" s="82"/>
      <c r="D2415" s="33" t="s">
        <v>30155</v>
      </c>
      <c r="F2415" s="46" t="s">
        <v>2775</v>
      </c>
    </row>
    <row r="2416">
      <c r="A2416" s="51" t="s">
        <v>30157</v>
      </c>
      <c r="B2416" s="152"/>
      <c r="C2416" s="82"/>
      <c r="D2416" s="33" t="s">
        <v>30155</v>
      </c>
      <c r="F2416" s="46" t="s">
        <v>2793</v>
      </c>
    </row>
    <row r="2417">
      <c r="A2417" s="51" t="s">
        <v>30158</v>
      </c>
      <c r="B2417" s="152"/>
      <c r="C2417" s="82"/>
      <c r="D2417" s="33" t="s">
        <v>30160</v>
      </c>
      <c r="F2417" s="46" t="s">
        <v>1348</v>
      </c>
    </row>
    <row r="2418">
      <c r="A2418" s="51" t="s">
        <v>30161</v>
      </c>
      <c r="B2418" s="152"/>
      <c r="C2418" s="55"/>
      <c r="D2418" s="31"/>
    </row>
    <row r="2419">
      <c r="A2419" s="51" t="s">
        <v>30163</v>
      </c>
      <c r="B2419" s="152"/>
      <c r="C2419" s="55"/>
      <c r="D2419" s="31"/>
    </row>
    <row r="2420">
      <c r="A2420" s="51" t="s">
        <v>30165</v>
      </c>
      <c r="B2420" s="152"/>
      <c r="C2420" s="55"/>
      <c r="D2420" s="31"/>
    </row>
    <row r="2421">
      <c r="A2421" s="51" t="s">
        <v>30167</v>
      </c>
      <c r="B2421" s="152"/>
      <c r="C2421" s="55"/>
      <c r="D2421" s="31"/>
    </row>
    <row r="2422">
      <c r="A2422" s="51" t="s">
        <v>30168</v>
      </c>
      <c r="B2422" s="152"/>
      <c r="C2422" s="55"/>
      <c r="D2422" s="33" t="s">
        <v>29037</v>
      </c>
    </row>
    <row r="2423">
      <c r="A2423" s="51" t="s">
        <v>30169</v>
      </c>
      <c r="B2423" s="152"/>
      <c r="C2423" s="55"/>
      <c r="D2423" s="31"/>
    </row>
    <row r="2424">
      <c r="A2424" s="51" t="s">
        <v>30170</v>
      </c>
      <c r="B2424" s="152"/>
      <c r="C2424" s="55"/>
      <c r="D2424" s="31"/>
    </row>
    <row r="2425">
      <c r="A2425" s="51" t="s">
        <v>30172</v>
      </c>
      <c r="B2425" s="152"/>
      <c r="C2425" s="55"/>
      <c r="D2425" s="31"/>
    </row>
    <row r="2426">
      <c r="A2426" s="51" t="s">
        <v>30174</v>
      </c>
      <c r="B2426" s="152"/>
      <c r="C2426" s="82"/>
      <c r="D2426" s="33" t="s">
        <v>30176</v>
      </c>
      <c r="F2426" s="46" t="s">
        <v>1348</v>
      </c>
    </row>
    <row r="2427">
      <c r="A2427" s="51" t="s">
        <v>30178</v>
      </c>
      <c r="B2427" s="152"/>
      <c r="C2427" s="82"/>
      <c r="D2427" s="33" t="s">
        <v>30176</v>
      </c>
      <c r="F2427" s="46" t="s">
        <v>1348</v>
      </c>
    </row>
    <row r="2428">
      <c r="A2428" s="51" t="s">
        <v>30180</v>
      </c>
      <c r="B2428" s="152"/>
      <c r="C2428" s="82"/>
      <c r="D2428" s="33" t="s">
        <v>30176</v>
      </c>
      <c r="F2428" s="46" t="s">
        <v>1348</v>
      </c>
    </row>
    <row r="2429">
      <c r="A2429" s="51" t="s">
        <v>30181</v>
      </c>
      <c r="B2429" s="152"/>
      <c r="C2429" s="82"/>
      <c r="D2429" s="33" t="s">
        <v>30176</v>
      </c>
      <c r="F2429" s="46" t="s">
        <v>1348</v>
      </c>
    </row>
    <row r="2430">
      <c r="A2430" s="51" t="s">
        <v>30182</v>
      </c>
      <c r="B2430" s="152"/>
      <c r="C2430" s="82"/>
      <c r="D2430" s="33" t="s">
        <v>30176</v>
      </c>
      <c r="F2430" s="46" t="s">
        <v>1348</v>
      </c>
    </row>
    <row r="2431">
      <c r="A2431" s="51" t="s">
        <v>30183</v>
      </c>
      <c r="B2431" s="152"/>
      <c r="C2431" s="82"/>
      <c r="D2431" s="33" t="s">
        <v>30176</v>
      </c>
      <c r="F2431" s="46" t="s">
        <v>1348</v>
      </c>
    </row>
    <row r="2432">
      <c r="A2432" s="51" t="s">
        <v>30185</v>
      </c>
      <c r="B2432" s="152"/>
      <c r="C2432" s="82"/>
      <c r="D2432" s="33" t="s">
        <v>30176</v>
      </c>
      <c r="F2432" s="46" t="s">
        <v>1348</v>
      </c>
    </row>
    <row r="2433">
      <c r="A2433" s="51" t="s">
        <v>30187</v>
      </c>
      <c r="B2433" s="152"/>
      <c r="C2433" s="21"/>
      <c r="D2433" s="33" t="s">
        <v>30176</v>
      </c>
    </row>
    <row r="2434">
      <c r="A2434" s="51" t="s">
        <v>30188</v>
      </c>
      <c r="B2434" s="152"/>
      <c r="C2434" s="21"/>
      <c r="D2434" s="33" t="s">
        <v>30176</v>
      </c>
    </row>
    <row r="2435">
      <c r="A2435" s="51" t="s">
        <v>30189</v>
      </c>
      <c r="B2435" s="152"/>
      <c r="C2435" s="21"/>
      <c r="D2435" s="33" t="s">
        <v>30176</v>
      </c>
    </row>
    <row r="2436">
      <c r="A2436" s="51" t="s">
        <v>30190</v>
      </c>
      <c r="B2436" s="152"/>
      <c r="C2436" s="82"/>
      <c r="D2436" s="33" t="s">
        <v>30176</v>
      </c>
      <c r="F2436" s="46" t="s">
        <v>1348</v>
      </c>
    </row>
    <row r="2437">
      <c r="A2437" s="51" t="s">
        <v>30193</v>
      </c>
      <c r="B2437" s="152"/>
      <c r="C2437" s="21"/>
      <c r="D2437" s="33" t="s">
        <v>30176</v>
      </c>
    </row>
    <row r="2438">
      <c r="A2438" s="51" t="s">
        <v>30194</v>
      </c>
      <c r="B2438" s="152"/>
      <c r="C2438" s="82"/>
      <c r="D2438" s="33" t="s">
        <v>30176</v>
      </c>
      <c r="F2438" s="46" t="s">
        <v>1348</v>
      </c>
    </row>
    <row r="2439">
      <c r="A2439" s="51" t="s">
        <v>30195</v>
      </c>
      <c r="B2439" s="152"/>
      <c r="C2439" s="21"/>
      <c r="D2439" s="33" t="s">
        <v>30176</v>
      </c>
    </row>
    <row r="2440">
      <c r="A2440" s="51" t="s">
        <v>30196</v>
      </c>
      <c r="B2440" s="152"/>
      <c r="C2440" s="82"/>
      <c r="D2440" s="33" t="s">
        <v>30176</v>
      </c>
      <c r="F2440" s="46" t="s">
        <v>1348</v>
      </c>
    </row>
    <row r="2441">
      <c r="A2441" s="51" t="s">
        <v>30197</v>
      </c>
      <c r="B2441" s="152"/>
      <c r="C2441" s="21"/>
      <c r="D2441" s="33" t="s">
        <v>30176</v>
      </c>
    </row>
    <row r="2442">
      <c r="A2442" s="51" t="s">
        <v>30198</v>
      </c>
      <c r="B2442" s="152"/>
      <c r="C2442" s="82"/>
      <c r="D2442" s="33" t="s">
        <v>30176</v>
      </c>
      <c r="F2442" s="46" t="s">
        <v>1348</v>
      </c>
    </row>
    <row r="2443">
      <c r="A2443" s="51" t="s">
        <v>30200</v>
      </c>
      <c r="B2443" s="152"/>
      <c r="C2443" s="21"/>
      <c r="D2443" s="33" t="s">
        <v>30176</v>
      </c>
    </row>
    <row r="2444">
      <c r="A2444" s="51" t="s">
        <v>30202</v>
      </c>
      <c r="B2444" s="152"/>
      <c r="C2444" s="82"/>
      <c r="D2444" s="33" t="s">
        <v>30176</v>
      </c>
      <c r="F2444" s="46" t="s">
        <v>1348</v>
      </c>
    </row>
    <row r="2445">
      <c r="A2445" s="51" t="s">
        <v>30203</v>
      </c>
      <c r="B2445" s="152"/>
      <c r="C2445" s="21"/>
      <c r="D2445" s="33" t="s">
        <v>30176</v>
      </c>
    </row>
    <row r="2446">
      <c r="A2446" s="51" t="s">
        <v>30204</v>
      </c>
      <c r="B2446" s="152"/>
      <c r="C2446" s="21"/>
      <c r="D2446" s="33" t="s">
        <v>30176</v>
      </c>
    </row>
    <row r="2447">
      <c r="A2447" s="51" t="s">
        <v>30206</v>
      </c>
      <c r="B2447" s="152"/>
      <c r="C2447" s="82"/>
      <c r="D2447" s="33" t="s">
        <v>30176</v>
      </c>
      <c r="F2447" s="46" t="s">
        <v>1348</v>
      </c>
    </row>
    <row r="2448">
      <c r="A2448" s="51" t="s">
        <v>30207</v>
      </c>
      <c r="B2448" s="152"/>
      <c r="C2448" s="55"/>
      <c r="D2448" s="31"/>
    </row>
    <row r="2449">
      <c r="A2449" s="51" t="s">
        <v>30208</v>
      </c>
      <c r="B2449" s="152"/>
      <c r="C2449" s="55"/>
      <c r="D2449" s="31"/>
    </row>
    <row r="2450">
      <c r="A2450" s="51" t="s">
        <v>30210</v>
      </c>
      <c r="B2450" s="152"/>
      <c r="C2450" s="55"/>
      <c r="D2450" s="31"/>
    </row>
    <row r="2451">
      <c r="A2451" s="51" t="s">
        <v>30211</v>
      </c>
      <c r="B2451" s="152"/>
      <c r="C2451" s="82"/>
      <c r="D2451" s="33" t="s">
        <v>30212</v>
      </c>
      <c r="F2451" s="46" t="s">
        <v>2775</v>
      </c>
    </row>
    <row r="2452">
      <c r="A2452" s="51" t="s">
        <v>30214</v>
      </c>
      <c r="B2452" s="152"/>
      <c r="C2452" s="82"/>
      <c r="D2452" s="33" t="s">
        <v>30212</v>
      </c>
      <c r="F2452" s="46" t="s">
        <v>2793</v>
      </c>
    </row>
    <row r="2453">
      <c r="A2453" s="51" t="s">
        <v>30215</v>
      </c>
      <c r="B2453" s="152"/>
      <c r="C2453" s="82"/>
      <c r="D2453" s="33" t="s">
        <v>30212</v>
      </c>
      <c r="F2453" s="46" t="s">
        <v>30216</v>
      </c>
    </row>
    <row r="2454">
      <c r="A2454" s="51" t="s">
        <v>30217</v>
      </c>
      <c r="B2454" s="152"/>
      <c r="C2454" s="55"/>
      <c r="D2454" s="31"/>
    </row>
    <row r="2455">
      <c r="A2455" s="51" t="s">
        <v>30219</v>
      </c>
      <c r="B2455" s="152"/>
      <c r="C2455" s="55"/>
      <c r="D2455" s="31"/>
    </row>
    <row r="2456">
      <c r="A2456" s="51" t="s">
        <v>30220</v>
      </c>
      <c r="B2456" s="152"/>
      <c r="C2456" s="55"/>
      <c r="D2456" s="31"/>
    </row>
    <row r="2457">
      <c r="A2457" s="51" t="s">
        <v>30221</v>
      </c>
      <c r="B2457" s="152"/>
      <c r="C2457" s="55"/>
      <c r="D2457" s="31"/>
    </row>
    <row r="2458">
      <c r="A2458" s="51" t="s">
        <v>30223</v>
      </c>
      <c r="B2458" s="152"/>
      <c r="C2458" s="55"/>
      <c r="D2458" s="31"/>
    </row>
    <row r="2459">
      <c r="A2459" s="51" t="s">
        <v>30224</v>
      </c>
      <c r="B2459" s="152"/>
      <c r="C2459" s="55"/>
      <c r="D2459" s="31"/>
    </row>
    <row r="2460">
      <c r="A2460" s="51" t="s">
        <v>30225</v>
      </c>
      <c r="B2460" s="152"/>
      <c r="C2460" s="55"/>
      <c r="D2460" s="31"/>
    </row>
    <row r="2461">
      <c r="A2461" s="51" t="s">
        <v>30226</v>
      </c>
      <c r="B2461" s="152"/>
      <c r="C2461" s="55"/>
      <c r="D2461" s="31"/>
    </row>
    <row r="2462">
      <c r="A2462" s="51" t="s">
        <v>30227</v>
      </c>
      <c r="B2462" s="152"/>
      <c r="C2462" s="55"/>
      <c r="D2462" s="31"/>
    </row>
    <row r="2463">
      <c r="A2463" s="51" t="s">
        <v>30228</v>
      </c>
      <c r="B2463" s="152"/>
      <c r="C2463" s="55"/>
      <c r="D2463" s="31"/>
    </row>
    <row r="2464">
      <c r="A2464" s="51" t="s">
        <v>30230</v>
      </c>
      <c r="B2464" s="152"/>
      <c r="C2464" s="55"/>
      <c r="D2464" s="31"/>
    </row>
    <row r="2465">
      <c r="A2465" s="51" t="s">
        <v>30231</v>
      </c>
      <c r="B2465" s="152"/>
      <c r="C2465" s="55"/>
      <c r="D2465" s="31"/>
    </row>
    <row r="2466">
      <c r="A2466" s="51" t="s">
        <v>30233</v>
      </c>
      <c r="B2466" s="152"/>
      <c r="C2466" s="55"/>
      <c r="D2466" s="31"/>
    </row>
    <row r="2467">
      <c r="A2467" s="51" t="s">
        <v>30234</v>
      </c>
      <c r="B2467" s="152"/>
      <c r="C2467" s="55"/>
      <c r="D2467" s="31"/>
    </row>
    <row r="2468">
      <c r="A2468" s="51" t="s">
        <v>30235</v>
      </c>
      <c r="B2468" s="152"/>
      <c r="C2468" s="55"/>
      <c r="D2468" s="31"/>
    </row>
    <row r="2469">
      <c r="A2469" s="51" t="s">
        <v>30236</v>
      </c>
      <c r="B2469" s="152"/>
      <c r="C2469" s="55"/>
      <c r="D2469" s="31"/>
    </row>
    <row r="2470">
      <c r="A2470" s="51" t="s">
        <v>30237</v>
      </c>
      <c r="B2470" s="152"/>
      <c r="C2470" s="55"/>
      <c r="D2470" s="31"/>
    </row>
    <row r="2471">
      <c r="A2471" s="51" t="s">
        <v>30239</v>
      </c>
      <c r="B2471" s="152"/>
      <c r="C2471" s="55"/>
      <c r="D2471" s="31"/>
    </row>
    <row r="2472">
      <c r="A2472" s="51" t="s">
        <v>30240</v>
      </c>
      <c r="B2472" s="152"/>
      <c r="C2472" s="55"/>
      <c r="D2472" s="31"/>
    </row>
    <row r="2473">
      <c r="A2473" s="51" t="s">
        <v>30241</v>
      </c>
      <c r="B2473" s="152"/>
      <c r="C2473" s="55"/>
      <c r="D2473" s="31"/>
    </row>
    <row r="2474">
      <c r="A2474" s="51" t="s">
        <v>30242</v>
      </c>
      <c r="B2474" s="152"/>
      <c r="C2474" s="55"/>
      <c r="D2474" s="31"/>
    </row>
    <row r="2475">
      <c r="A2475" s="51" t="s">
        <v>30243</v>
      </c>
      <c r="B2475" s="152"/>
      <c r="C2475" s="55"/>
      <c r="D2475" s="31"/>
    </row>
    <row r="2476">
      <c r="A2476" s="51" t="s">
        <v>30244</v>
      </c>
      <c r="B2476" s="152"/>
      <c r="C2476" s="55"/>
      <c r="D2476" s="33" t="s">
        <v>30245</v>
      </c>
    </row>
    <row r="2477">
      <c r="A2477" s="51" t="s">
        <v>30248</v>
      </c>
      <c r="B2477" s="152"/>
      <c r="C2477" s="55"/>
      <c r="D2477" s="31"/>
    </row>
    <row r="2478">
      <c r="A2478" s="51" t="s">
        <v>30249</v>
      </c>
      <c r="B2478" s="152"/>
      <c r="C2478" s="55"/>
      <c r="D2478" s="31"/>
    </row>
    <row r="2479">
      <c r="A2479" s="51" t="s">
        <v>30250</v>
      </c>
      <c r="B2479" s="152"/>
      <c r="C2479" s="55"/>
      <c r="D2479" s="31"/>
    </row>
    <row r="2480">
      <c r="A2480" s="51" t="s">
        <v>30251</v>
      </c>
      <c r="B2480" s="152"/>
      <c r="C2480" s="55"/>
      <c r="D2480" s="31"/>
    </row>
    <row r="2481">
      <c r="A2481" s="51" t="s">
        <v>30252</v>
      </c>
      <c r="B2481" s="152"/>
      <c r="C2481" s="55"/>
      <c r="D2481" s="31"/>
    </row>
    <row r="2482">
      <c r="A2482" s="51" t="s">
        <v>30253</v>
      </c>
      <c r="B2482" s="152"/>
      <c r="C2482" s="55"/>
      <c r="D2482" s="31"/>
    </row>
    <row r="2483">
      <c r="A2483" s="51" t="s">
        <v>30255</v>
      </c>
      <c r="B2483" s="152"/>
      <c r="C2483" s="55"/>
      <c r="D2483" s="31"/>
    </row>
    <row r="2484">
      <c r="A2484" s="51" t="s">
        <v>30256</v>
      </c>
      <c r="B2484" s="152"/>
      <c r="C2484" s="55"/>
      <c r="D2484" s="31"/>
    </row>
    <row r="2485">
      <c r="A2485" s="51" t="s">
        <v>30257</v>
      </c>
      <c r="B2485" s="152"/>
      <c r="C2485" s="55"/>
      <c r="D2485" s="31"/>
    </row>
    <row r="2486">
      <c r="A2486" s="51" t="s">
        <v>30259</v>
      </c>
      <c r="B2486" s="152"/>
      <c r="C2486" s="55"/>
      <c r="D2486" s="31"/>
    </row>
    <row r="2487">
      <c r="A2487" s="51" t="s">
        <v>30260</v>
      </c>
      <c r="B2487" s="152"/>
      <c r="C2487" s="55"/>
      <c r="D2487" s="31"/>
    </row>
    <row r="2488">
      <c r="A2488" s="51" t="s">
        <v>30261</v>
      </c>
      <c r="B2488" s="152"/>
      <c r="C2488" s="55"/>
      <c r="D2488" s="31"/>
    </row>
    <row r="2489">
      <c r="A2489" s="51" t="s">
        <v>30262</v>
      </c>
      <c r="B2489" s="152"/>
      <c r="C2489" s="55"/>
      <c r="D2489" s="31"/>
    </row>
    <row r="2490">
      <c r="A2490" s="51" t="s">
        <v>30264</v>
      </c>
      <c r="B2490" s="152"/>
      <c r="C2490" s="55"/>
      <c r="D2490" s="31"/>
    </row>
    <row r="2491">
      <c r="A2491" s="51" t="s">
        <v>30265</v>
      </c>
      <c r="B2491" s="152"/>
      <c r="C2491" s="55"/>
      <c r="D2491" s="31"/>
    </row>
    <row r="2492">
      <c r="A2492" s="51" t="s">
        <v>30266</v>
      </c>
      <c r="B2492" s="152"/>
      <c r="C2492" s="55"/>
      <c r="D2492" s="31"/>
    </row>
    <row r="2493">
      <c r="A2493" s="51" t="s">
        <v>30267</v>
      </c>
      <c r="B2493" s="152"/>
      <c r="C2493" s="55"/>
      <c r="D2493" s="31"/>
    </row>
    <row r="2494">
      <c r="A2494" s="51" t="s">
        <v>30268</v>
      </c>
      <c r="B2494" s="152"/>
      <c r="C2494" s="55"/>
      <c r="D2494" s="31"/>
    </row>
    <row r="2495">
      <c r="A2495" s="51" t="s">
        <v>30269</v>
      </c>
      <c r="B2495" s="152"/>
      <c r="C2495" s="55"/>
      <c r="D2495" s="31"/>
    </row>
    <row r="2496">
      <c r="A2496" s="51" t="s">
        <v>30271</v>
      </c>
      <c r="B2496" s="152"/>
      <c r="C2496" s="55"/>
      <c r="D2496" s="31"/>
    </row>
    <row r="2497">
      <c r="A2497" s="51" t="s">
        <v>30272</v>
      </c>
      <c r="B2497" s="152"/>
      <c r="C2497" s="55"/>
      <c r="D2497" s="31"/>
    </row>
    <row r="2498">
      <c r="A2498" s="51" t="s">
        <v>30273</v>
      </c>
      <c r="B2498" s="152"/>
      <c r="C2498" s="55"/>
      <c r="D2498" s="31"/>
    </row>
    <row r="2499">
      <c r="A2499" s="51" t="s">
        <v>30274</v>
      </c>
      <c r="B2499" s="152"/>
      <c r="C2499" s="55"/>
      <c r="D2499" s="31"/>
    </row>
    <row r="2500">
      <c r="A2500" s="51" t="s">
        <v>30275</v>
      </c>
      <c r="B2500" s="152"/>
      <c r="C2500" s="55"/>
      <c r="D2500" s="31"/>
    </row>
    <row r="2501">
      <c r="A2501" s="51" t="s">
        <v>30276</v>
      </c>
      <c r="B2501" s="152"/>
      <c r="C2501" s="55"/>
      <c r="D2501" s="31"/>
    </row>
    <row r="2502">
      <c r="A2502" s="51" t="s">
        <v>30278</v>
      </c>
      <c r="B2502" s="152"/>
      <c r="C2502" s="55"/>
      <c r="D2502" s="31"/>
    </row>
    <row r="2503">
      <c r="A2503" s="51" t="s">
        <v>30279</v>
      </c>
      <c r="B2503" s="152"/>
      <c r="C2503" s="55"/>
      <c r="D2503" s="31"/>
    </row>
    <row r="2504">
      <c r="A2504" s="51" t="s">
        <v>30280</v>
      </c>
      <c r="B2504" s="152"/>
      <c r="C2504" s="55"/>
      <c r="D2504" s="31"/>
    </row>
    <row r="2505">
      <c r="A2505" s="51" t="s">
        <v>30282</v>
      </c>
      <c r="B2505" s="152"/>
      <c r="C2505" s="55"/>
      <c r="D2505" s="31"/>
    </row>
    <row r="2506">
      <c r="A2506" s="51" t="s">
        <v>30283</v>
      </c>
      <c r="B2506" s="152"/>
      <c r="C2506" s="55"/>
      <c r="D2506" s="31"/>
    </row>
    <row r="2507">
      <c r="A2507" s="51" t="s">
        <v>30284</v>
      </c>
      <c r="B2507" s="152"/>
      <c r="C2507" s="55"/>
      <c r="D2507" s="31"/>
    </row>
    <row r="2508">
      <c r="A2508" s="51" t="s">
        <v>30285</v>
      </c>
      <c r="B2508" s="152"/>
      <c r="C2508" s="55"/>
      <c r="D2508" s="31"/>
    </row>
    <row r="2509">
      <c r="A2509" s="51" t="s">
        <v>30287</v>
      </c>
      <c r="B2509" s="152"/>
      <c r="C2509" s="55"/>
      <c r="D2509" s="31"/>
    </row>
    <row r="2510">
      <c r="A2510" s="51" t="s">
        <v>30288</v>
      </c>
      <c r="B2510" s="152"/>
      <c r="C2510" s="55"/>
      <c r="D2510" s="31"/>
    </row>
    <row r="2511">
      <c r="A2511" s="51" t="s">
        <v>30289</v>
      </c>
      <c r="B2511" s="152"/>
      <c r="C2511" s="55"/>
      <c r="D2511" s="31"/>
    </row>
    <row r="2512">
      <c r="A2512" s="51" t="s">
        <v>30290</v>
      </c>
      <c r="B2512" s="152"/>
      <c r="C2512" s="55"/>
      <c r="D2512" s="31"/>
    </row>
    <row r="2513">
      <c r="A2513" s="51" t="s">
        <v>30292</v>
      </c>
      <c r="B2513" s="152"/>
      <c r="C2513" s="55"/>
      <c r="D2513" s="31"/>
    </row>
    <row r="2514">
      <c r="A2514" s="51" t="s">
        <v>30293</v>
      </c>
      <c r="B2514" s="152"/>
      <c r="C2514" s="55"/>
      <c r="D2514" s="31"/>
    </row>
    <row r="2515">
      <c r="A2515" s="51" t="s">
        <v>30295</v>
      </c>
      <c r="B2515" s="152"/>
      <c r="C2515" s="55"/>
      <c r="D2515" s="31"/>
    </row>
    <row r="2516">
      <c r="A2516" s="51" t="s">
        <v>30296</v>
      </c>
      <c r="B2516" s="152"/>
      <c r="C2516" s="55"/>
      <c r="D2516" s="31"/>
    </row>
    <row r="2517">
      <c r="A2517" s="51" t="s">
        <v>30297</v>
      </c>
      <c r="B2517" s="152"/>
      <c r="C2517" s="55"/>
      <c r="D2517" s="31"/>
    </row>
    <row r="2518">
      <c r="A2518" s="51" t="s">
        <v>30298</v>
      </c>
      <c r="B2518" s="152"/>
      <c r="C2518" s="55"/>
      <c r="D2518" s="31"/>
    </row>
    <row r="2519">
      <c r="A2519" s="51" t="s">
        <v>30299</v>
      </c>
      <c r="B2519" s="152"/>
      <c r="C2519" s="21"/>
      <c r="D2519" s="33" t="s">
        <v>30300</v>
      </c>
    </row>
    <row r="2520">
      <c r="A2520" s="51" t="s">
        <v>30301</v>
      </c>
      <c r="B2520" s="152"/>
      <c r="C2520" s="82"/>
      <c r="D2520" s="33" t="s">
        <v>30300</v>
      </c>
      <c r="F2520" s="46" t="s">
        <v>1348</v>
      </c>
      <c r="G2520" s="46" t="s">
        <v>30304</v>
      </c>
    </row>
    <row r="2521">
      <c r="A2521" s="51" t="s">
        <v>30305</v>
      </c>
      <c r="B2521" s="152"/>
      <c r="C2521" s="55"/>
      <c r="D2521" s="31"/>
    </row>
    <row r="2522">
      <c r="A2522" s="51" t="s">
        <v>30306</v>
      </c>
      <c r="B2522" s="152"/>
      <c r="C2522" s="55"/>
      <c r="D2522" s="31"/>
    </row>
    <row r="2523">
      <c r="A2523" s="51" t="s">
        <v>30307</v>
      </c>
      <c r="B2523" s="152"/>
      <c r="C2523" s="55"/>
      <c r="D2523" s="31"/>
    </row>
    <row r="2524">
      <c r="A2524" s="51" t="s">
        <v>30308</v>
      </c>
      <c r="B2524" s="152"/>
      <c r="C2524" s="55"/>
      <c r="D2524" s="31"/>
    </row>
    <row r="2525">
      <c r="A2525" s="51" t="s">
        <v>30309</v>
      </c>
      <c r="B2525" s="152"/>
      <c r="C2525" s="55"/>
      <c r="D2525" s="31"/>
    </row>
    <row r="2526">
      <c r="A2526" s="51" t="s">
        <v>30310</v>
      </c>
      <c r="B2526" s="152"/>
      <c r="C2526" s="55"/>
      <c r="D2526" s="31"/>
    </row>
    <row r="2527">
      <c r="A2527" s="51" t="s">
        <v>30311</v>
      </c>
      <c r="B2527" s="152"/>
      <c r="C2527" s="55"/>
      <c r="D2527" s="31"/>
    </row>
    <row r="2528">
      <c r="A2528" s="51" t="s">
        <v>30314</v>
      </c>
      <c r="B2528" s="152"/>
      <c r="C2528" s="55"/>
      <c r="D2528" s="31"/>
    </row>
    <row r="2529">
      <c r="A2529" s="51" t="s">
        <v>30315</v>
      </c>
      <c r="B2529" s="152"/>
      <c r="C2529" s="55"/>
      <c r="D2529" s="31"/>
    </row>
    <row r="2530">
      <c r="A2530" s="51" t="s">
        <v>30316</v>
      </c>
      <c r="B2530" s="152"/>
      <c r="C2530" s="55"/>
      <c r="D2530" s="31"/>
    </row>
    <row r="2531">
      <c r="A2531" s="51" t="s">
        <v>30317</v>
      </c>
      <c r="B2531" s="152"/>
      <c r="C2531" s="55"/>
      <c r="D2531" s="31"/>
    </row>
    <row r="2532">
      <c r="A2532" s="51" t="s">
        <v>30318</v>
      </c>
      <c r="B2532" s="152"/>
      <c r="C2532" s="55"/>
      <c r="D2532" s="31"/>
    </row>
    <row r="2533">
      <c r="A2533" s="51" t="s">
        <v>30319</v>
      </c>
      <c r="B2533" s="152"/>
      <c r="C2533" s="55"/>
      <c r="D2533" s="31"/>
    </row>
    <row r="2534">
      <c r="A2534" s="51" t="s">
        <v>30321</v>
      </c>
      <c r="B2534" s="152"/>
      <c r="C2534" s="55"/>
      <c r="D2534" s="31"/>
    </row>
    <row r="2535">
      <c r="A2535" s="51" t="s">
        <v>30322</v>
      </c>
      <c r="B2535" s="152"/>
      <c r="C2535" s="55"/>
      <c r="D2535" s="31"/>
    </row>
    <row r="2536">
      <c r="A2536" s="51" t="s">
        <v>30324</v>
      </c>
      <c r="B2536" s="152"/>
      <c r="C2536" s="55"/>
      <c r="D2536" s="31"/>
    </row>
    <row r="2537">
      <c r="A2537" s="51" t="s">
        <v>30325</v>
      </c>
      <c r="B2537" s="152"/>
      <c r="C2537" s="55"/>
      <c r="D2537" s="31"/>
    </row>
    <row r="2538">
      <c r="A2538" s="51" t="s">
        <v>30326</v>
      </c>
      <c r="B2538" s="152"/>
      <c r="C2538" s="55"/>
      <c r="D2538" s="31"/>
    </row>
    <row r="2539">
      <c r="A2539" s="51" t="s">
        <v>30327</v>
      </c>
      <c r="B2539" s="152"/>
      <c r="C2539" s="55"/>
      <c r="D2539" s="31"/>
    </row>
    <row r="2540">
      <c r="A2540" s="51" t="s">
        <v>30328</v>
      </c>
      <c r="B2540" s="152"/>
      <c r="C2540" s="55"/>
      <c r="D2540" s="31"/>
    </row>
    <row r="2541">
      <c r="A2541" s="51" t="s">
        <v>30330</v>
      </c>
      <c r="B2541" s="152"/>
      <c r="C2541" s="55"/>
      <c r="D2541" s="31"/>
    </row>
    <row r="2542">
      <c r="A2542" s="51" t="s">
        <v>30331</v>
      </c>
      <c r="B2542" s="152"/>
      <c r="C2542" s="55"/>
      <c r="D2542" s="31"/>
    </row>
    <row r="2543">
      <c r="A2543" s="51" t="s">
        <v>30332</v>
      </c>
      <c r="B2543" s="152"/>
      <c r="C2543" s="55"/>
      <c r="D2543" s="31"/>
    </row>
    <row r="2544">
      <c r="A2544" s="51" t="s">
        <v>30333</v>
      </c>
      <c r="B2544" s="152"/>
      <c r="C2544" s="55"/>
      <c r="D2544" s="31"/>
    </row>
    <row r="2545">
      <c r="A2545" s="51" t="s">
        <v>30334</v>
      </c>
      <c r="B2545" s="152"/>
      <c r="C2545" s="55"/>
      <c r="D2545" s="31"/>
    </row>
    <row r="2546">
      <c r="A2546" s="51" t="s">
        <v>30335</v>
      </c>
      <c r="B2546" s="152"/>
      <c r="C2546" s="55"/>
      <c r="D2546" s="31"/>
    </row>
    <row r="2547">
      <c r="A2547" s="51" t="s">
        <v>30336</v>
      </c>
      <c r="B2547" s="152"/>
      <c r="C2547" s="82"/>
      <c r="D2547" s="33" t="s">
        <v>30337</v>
      </c>
      <c r="F2547" s="46" t="s">
        <v>1348</v>
      </c>
    </row>
    <row r="2548">
      <c r="A2548" s="51" t="s">
        <v>30339</v>
      </c>
      <c r="B2548" s="152"/>
      <c r="C2548" s="21"/>
      <c r="D2548" s="33" t="s">
        <v>30340</v>
      </c>
    </row>
    <row r="2549">
      <c r="A2549" s="51" t="s">
        <v>30341</v>
      </c>
      <c r="B2549" s="152"/>
      <c r="C2549" s="21"/>
      <c r="D2549" s="33" t="s">
        <v>30340</v>
      </c>
    </row>
    <row r="2550">
      <c r="A2550" s="51" t="s">
        <v>30342</v>
      </c>
      <c r="B2550" s="152"/>
      <c r="C2550" s="40"/>
      <c r="D2550" s="33" t="s">
        <v>30340</v>
      </c>
      <c r="F2550" s="46" t="s">
        <v>2756</v>
      </c>
    </row>
    <row r="2551">
      <c r="A2551" s="51" t="s">
        <v>30343</v>
      </c>
      <c r="B2551" s="152"/>
      <c r="C2551" s="82"/>
      <c r="D2551" s="33" t="s">
        <v>30344</v>
      </c>
      <c r="F2551" s="46" t="s">
        <v>2775</v>
      </c>
    </row>
    <row r="2552">
      <c r="A2552" s="51" t="s">
        <v>30345</v>
      </c>
      <c r="B2552" s="152"/>
      <c r="C2552" s="82"/>
      <c r="D2552" s="33" t="s">
        <v>30348</v>
      </c>
      <c r="F2552" s="46" t="s">
        <v>2775</v>
      </c>
    </row>
    <row r="2553">
      <c r="A2553" s="51" t="s">
        <v>30349</v>
      </c>
      <c r="B2553" s="152"/>
      <c r="C2553" s="82"/>
      <c r="D2553" s="33" t="s">
        <v>30350</v>
      </c>
      <c r="F2553" s="46" t="s">
        <v>2775</v>
      </c>
    </row>
    <row r="2554">
      <c r="A2554" s="51" t="s">
        <v>30351</v>
      </c>
      <c r="B2554" s="152"/>
      <c r="C2554" s="82"/>
      <c r="D2554" s="33" t="s">
        <v>30352</v>
      </c>
      <c r="F2554" s="46" t="s">
        <v>2775</v>
      </c>
    </row>
    <row r="2555">
      <c r="A2555" s="51" t="s">
        <v>30353</v>
      </c>
      <c r="B2555" s="152"/>
      <c r="C2555" s="82"/>
      <c r="D2555" s="33" t="s">
        <v>30354</v>
      </c>
      <c r="F2555" s="46" t="s">
        <v>2775</v>
      </c>
    </row>
    <row r="2556">
      <c r="A2556" s="51" t="s">
        <v>30355</v>
      </c>
      <c r="B2556" s="152"/>
      <c r="C2556" s="82"/>
      <c r="D2556" s="33" t="s">
        <v>30356</v>
      </c>
      <c r="F2556" s="46" t="s">
        <v>2775</v>
      </c>
    </row>
    <row r="2557">
      <c r="A2557" s="51" t="s">
        <v>30358</v>
      </c>
      <c r="B2557" s="152"/>
      <c r="C2557" s="82"/>
      <c r="D2557" s="33" t="s">
        <v>30356</v>
      </c>
      <c r="F2557" s="46" t="s">
        <v>2775</v>
      </c>
    </row>
    <row r="2558">
      <c r="A2558" s="51" t="s">
        <v>30359</v>
      </c>
      <c r="B2558" s="152"/>
      <c r="C2558" s="82"/>
      <c r="D2558" s="33" t="s">
        <v>30360</v>
      </c>
      <c r="F2558" s="46" t="s">
        <v>2775</v>
      </c>
    </row>
    <row r="2559">
      <c r="A2559" s="51" t="s">
        <v>30361</v>
      </c>
      <c r="B2559" s="152"/>
      <c r="C2559" s="82"/>
      <c r="D2559" s="33" t="s">
        <v>30362</v>
      </c>
      <c r="F2559" s="46" t="s">
        <v>2775</v>
      </c>
    </row>
    <row r="2560">
      <c r="A2560" s="51" t="s">
        <v>30363</v>
      </c>
      <c r="B2560" s="152"/>
      <c r="C2560" s="82"/>
      <c r="D2560" s="33" t="s">
        <v>30365</v>
      </c>
      <c r="F2560" s="46" t="s">
        <v>2775</v>
      </c>
    </row>
    <row r="2561">
      <c r="A2561" s="51" t="s">
        <v>30366</v>
      </c>
      <c r="B2561" s="152"/>
      <c r="C2561" s="82"/>
      <c r="D2561" s="33" t="s">
        <v>30367</v>
      </c>
      <c r="F2561" s="46" t="s">
        <v>2775</v>
      </c>
    </row>
    <row r="2562">
      <c r="A2562" s="51" t="s">
        <v>30368</v>
      </c>
      <c r="B2562" s="152"/>
      <c r="C2562" s="82"/>
      <c r="D2562" s="33" t="s">
        <v>30369</v>
      </c>
      <c r="F2562" s="46" t="s">
        <v>2775</v>
      </c>
    </row>
    <row r="2563">
      <c r="A2563" s="51" t="s">
        <v>30371</v>
      </c>
      <c r="B2563" s="152"/>
      <c r="C2563" s="82"/>
      <c r="D2563" s="33" t="s">
        <v>30372</v>
      </c>
      <c r="F2563" s="46" t="s">
        <v>2775</v>
      </c>
    </row>
    <row r="2564">
      <c r="A2564" s="51" t="s">
        <v>30373</v>
      </c>
      <c r="B2564" s="152"/>
      <c r="C2564" s="82"/>
      <c r="D2564" s="33" t="s">
        <v>30374</v>
      </c>
      <c r="F2564" s="46" t="s">
        <v>2775</v>
      </c>
    </row>
    <row r="2565">
      <c r="A2565" s="51" t="s">
        <v>30375</v>
      </c>
      <c r="B2565" s="152"/>
      <c r="C2565" s="82"/>
      <c r="D2565" s="33" t="s">
        <v>30374</v>
      </c>
      <c r="F2565" s="46" t="s">
        <v>2775</v>
      </c>
    </row>
    <row r="2566">
      <c r="A2566" s="51" t="s">
        <v>30377</v>
      </c>
      <c r="B2566" s="152"/>
      <c r="C2566" s="82"/>
      <c r="D2566" s="33" t="s">
        <v>30360</v>
      </c>
      <c r="F2566" s="46" t="s">
        <v>2775</v>
      </c>
    </row>
    <row r="2567">
      <c r="A2567" s="51" t="s">
        <v>30378</v>
      </c>
      <c r="B2567" s="152"/>
      <c r="C2567" s="82"/>
      <c r="D2567" s="33" t="s">
        <v>30362</v>
      </c>
      <c r="F2567" s="46" t="s">
        <v>2775</v>
      </c>
    </row>
    <row r="2568">
      <c r="A2568" s="51" t="s">
        <v>30380</v>
      </c>
      <c r="B2568" s="152"/>
      <c r="C2568" s="82"/>
      <c r="D2568" s="33" t="s">
        <v>30365</v>
      </c>
      <c r="F2568" s="46" t="s">
        <v>2775</v>
      </c>
    </row>
    <row r="2569">
      <c r="A2569" s="51" t="s">
        <v>30381</v>
      </c>
      <c r="B2569" s="152"/>
      <c r="C2569" s="82"/>
      <c r="D2569" s="33" t="s">
        <v>30369</v>
      </c>
      <c r="F2569" s="46" t="s">
        <v>2775</v>
      </c>
    </row>
    <row r="2570">
      <c r="A2570" s="51" t="s">
        <v>30382</v>
      </c>
      <c r="B2570" s="152"/>
      <c r="C2570" s="82"/>
      <c r="D2570" s="33" t="s">
        <v>30367</v>
      </c>
      <c r="F2570" s="46" t="s">
        <v>2775</v>
      </c>
    </row>
    <row r="2571">
      <c r="A2571" s="51" t="s">
        <v>30383</v>
      </c>
      <c r="B2571" s="152"/>
      <c r="C2571" s="82"/>
      <c r="D2571" s="33" t="s">
        <v>30372</v>
      </c>
      <c r="F2571" s="46" t="s">
        <v>2775</v>
      </c>
    </row>
    <row r="2572">
      <c r="A2572" s="51" t="s">
        <v>30386</v>
      </c>
      <c r="B2572" s="152"/>
      <c r="C2572" s="82"/>
      <c r="D2572" s="33" t="s">
        <v>30387</v>
      </c>
      <c r="F2572" s="46" t="s">
        <v>2775</v>
      </c>
    </row>
    <row r="2573">
      <c r="A2573" s="51" t="s">
        <v>30389</v>
      </c>
      <c r="B2573" s="152"/>
      <c r="C2573" s="82"/>
      <c r="D2573" s="33" t="s">
        <v>30390</v>
      </c>
      <c r="F2573" s="46" t="s">
        <v>2775</v>
      </c>
    </row>
    <row r="2574">
      <c r="A2574" s="51" t="s">
        <v>30392</v>
      </c>
      <c r="B2574" s="152"/>
      <c r="C2574" s="82"/>
      <c r="D2574" s="33" t="s">
        <v>30393</v>
      </c>
      <c r="F2574" s="46" t="s">
        <v>2775</v>
      </c>
    </row>
    <row r="2575">
      <c r="A2575" s="51" t="s">
        <v>30394</v>
      </c>
      <c r="B2575" s="152"/>
      <c r="C2575" s="82"/>
      <c r="D2575" s="33" t="s">
        <v>30387</v>
      </c>
      <c r="F2575" s="46" t="s">
        <v>2775</v>
      </c>
    </row>
    <row r="2576">
      <c r="A2576" s="51" t="s">
        <v>30396</v>
      </c>
      <c r="B2576" s="152"/>
      <c r="C2576" s="82"/>
      <c r="D2576" s="33" t="s">
        <v>30390</v>
      </c>
      <c r="F2576" s="46" t="s">
        <v>2775</v>
      </c>
    </row>
    <row r="2577">
      <c r="A2577" s="51" t="s">
        <v>30397</v>
      </c>
      <c r="B2577" s="152"/>
      <c r="C2577" s="82"/>
      <c r="D2577" s="33" t="s">
        <v>30393</v>
      </c>
      <c r="F2577" s="46" t="s">
        <v>2775</v>
      </c>
    </row>
    <row r="2578">
      <c r="A2578" s="51" t="s">
        <v>30398</v>
      </c>
      <c r="B2578" s="152"/>
      <c r="C2578" s="55"/>
      <c r="D2578" s="31"/>
    </row>
    <row r="2579">
      <c r="A2579" s="51" t="s">
        <v>30400</v>
      </c>
      <c r="B2579" s="152"/>
      <c r="C2579" s="55"/>
      <c r="D2579" s="31"/>
    </row>
    <row r="2580">
      <c r="A2580" s="51" t="s">
        <v>30402</v>
      </c>
      <c r="B2580" s="152"/>
      <c r="C2580" s="55"/>
      <c r="D2580" s="31"/>
    </row>
    <row r="2581">
      <c r="A2581" s="51" t="s">
        <v>30403</v>
      </c>
      <c r="B2581" s="152"/>
      <c r="C2581" s="55"/>
      <c r="D2581" s="31"/>
    </row>
    <row r="2582">
      <c r="A2582" s="51" t="s">
        <v>30407</v>
      </c>
      <c r="B2582" s="152"/>
      <c r="C2582" s="55"/>
      <c r="D2582" s="31"/>
    </row>
    <row r="2583">
      <c r="A2583" s="51" t="s">
        <v>30408</v>
      </c>
      <c r="B2583" s="152"/>
      <c r="C2583" s="55"/>
      <c r="D2583" s="31"/>
    </row>
    <row r="2584">
      <c r="A2584" s="51" t="s">
        <v>30409</v>
      </c>
      <c r="B2584" s="152"/>
      <c r="C2584" s="55"/>
      <c r="D2584" s="31"/>
    </row>
    <row r="2585">
      <c r="A2585" s="51" t="s">
        <v>30410</v>
      </c>
      <c r="B2585" s="152"/>
      <c r="C2585" s="55"/>
      <c r="D2585" s="31"/>
    </row>
    <row r="2586">
      <c r="A2586" s="51" t="s">
        <v>30411</v>
      </c>
      <c r="B2586" s="152"/>
      <c r="C2586" s="55"/>
      <c r="D2586" s="31"/>
    </row>
    <row r="2587">
      <c r="A2587" s="51" t="s">
        <v>30414</v>
      </c>
      <c r="B2587" s="152"/>
      <c r="C2587" s="55"/>
      <c r="D2587" s="31"/>
    </row>
    <row r="2588">
      <c r="A2588" s="51" t="s">
        <v>30415</v>
      </c>
      <c r="B2588" s="152"/>
      <c r="C2588" s="55"/>
      <c r="D2588" s="31"/>
    </row>
    <row r="2589">
      <c r="A2589" s="51" t="s">
        <v>30419</v>
      </c>
      <c r="B2589" s="152"/>
      <c r="C2589" s="21"/>
      <c r="D2589" s="33" t="s">
        <v>30421</v>
      </c>
    </row>
    <row r="2590">
      <c r="A2590" s="51" t="s">
        <v>30423</v>
      </c>
      <c r="B2590" s="152"/>
      <c r="C2590" s="21"/>
      <c r="D2590" s="33" t="s">
        <v>30425</v>
      </c>
    </row>
    <row r="2591">
      <c r="A2591" s="51" t="s">
        <v>30426</v>
      </c>
      <c r="B2591" s="152"/>
      <c r="C2591" s="40"/>
      <c r="D2591" s="33" t="s">
        <v>30425</v>
      </c>
      <c r="F2591" s="46" t="s">
        <v>2756</v>
      </c>
    </row>
    <row r="2592">
      <c r="A2592" s="51" t="s">
        <v>30429</v>
      </c>
      <c r="B2592" s="152"/>
      <c r="C2592" s="82"/>
      <c r="D2592" s="33" t="s">
        <v>30430</v>
      </c>
      <c r="F2592" s="46" t="s">
        <v>2775</v>
      </c>
    </row>
    <row r="2593">
      <c r="A2593" s="51" t="s">
        <v>30432</v>
      </c>
      <c r="B2593" s="152"/>
      <c r="C2593" s="82"/>
      <c r="D2593" s="33" t="s">
        <v>30434</v>
      </c>
      <c r="F2593" s="46" t="s">
        <v>2775</v>
      </c>
    </row>
    <row r="2594">
      <c r="A2594" s="51" t="s">
        <v>30436</v>
      </c>
      <c r="B2594" s="152"/>
      <c r="C2594" s="82"/>
      <c r="D2594" s="33" t="s">
        <v>30438</v>
      </c>
      <c r="F2594" s="46" t="s">
        <v>2775</v>
      </c>
    </row>
    <row r="2595">
      <c r="A2595" s="51" t="s">
        <v>30440</v>
      </c>
      <c r="B2595" s="152"/>
      <c r="C2595" s="82"/>
      <c r="D2595" s="33" t="s">
        <v>30430</v>
      </c>
      <c r="F2595" s="46" t="s">
        <v>2775</v>
      </c>
    </row>
    <row r="2596">
      <c r="A2596" s="51" t="s">
        <v>30443</v>
      </c>
      <c r="B2596" s="152"/>
      <c r="C2596" s="82"/>
      <c r="D2596" s="33" t="s">
        <v>30434</v>
      </c>
      <c r="F2596" s="46" t="s">
        <v>2775</v>
      </c>
    </row>
    <row r="2597">
      <c r="A2597" s="51" t="s">
        <v>30445</v>
      </c>
      <c r="B2597" s="152"/>
      <c r="C2597" s="82"/>
      <c r="D2597" s="33" t="s">
        <v>30438</v>
      </c>
      <c r="F2597" s="46" t="s">
        <v>2775</v>
      </c>
    </row>
    <row r="2598">
      <c r="A2598" s="51" t="s">
        <v>30447</v>
      </c>
      <c r="B2598" s="152"/>
      <c r="C2598" s="82"/>
      <c r="D2598" s="33" t="s">
        <v>30430</v>
      </c>
      <c r="F2598" s="46" t="s">
        <v>2775</v>
      </c>
    </row>
    <row r="2599">
      <c r="A2599" s="51" t="s">
        <v>30450</v>
      </c>
      <c r="B2599" s="152"/>
      <c r="C2599" s="82"/>
      <c r="D2599" s="33" t="s">
        <v>30434</v>
      </c>
      <c r="F2599" s="46" t="s">
        <v>2775</v>
      </c>
    </row>
    <row r="2600">
      <c r="A2600" s="51" t="s">
        <v>30452</v>
      </c>
      <c r="B2600" s="152"/>
      <c r="C2600" s="82"/>
      <c r="D2600" s="33" t="s">
        <v>30438</v>
      </c>
      <c r="F2600" s="46" t="s">
        <v>2775</v>
      </c>
    </row>
    <row r="2601">
      <c r="A2601" s="51" t="s">
        <v>30454</v>
      </c>
      <c r="B2601" s="152"/>
      <c r="C2601" s="82"/>
      <c r="D2601" s="33" t="s">
        <v>30455</v>
      </c>
      <c r="F2601" s="46" t="s">
        <v>2775</v>
      </c>
    </row>
    <row r="2602">
      <c r="A2602" s="51" t="s">
        <v>30456</v>
      </c>
      <c r="B2602" s="152"/>
      <c r="C2602" s="82"/>
      <c r="D2602" s="33" t="s">
        <v>30455</v>
      </c>
      <c r="F2602" s="46" t="s">
        <v>2775</v>
      </c>
    </row>
    <row r="2603">
      <c r="A2603" s="51" t="s">
        <v>30457</v>
      </c>
      <c r="B2603" s="152"/>
      <c r="C2603" s="82"/>
      <c r="D2603" s="33" t="s">
        <v>30455</v>
      </c>
      <c r="F2603" s="46" t="s">
        <v>2775</v>
      </c>
    </row>
    <row r="2604">
      <c r="A2604" s="51" t="s">
        <v>30460</v>
      </c>
      <c r="B2604" s="152"/>
      <c r="C2604" s="82"/>
      <c r="D2604" s="33" t="s">
        <v>30455</v>
      </c>
      <c r="F2604" s="46" t="s">
        <v>2775</v>
      </c>
    </row>
    <row r="2605">
      <c r="A2605" s="51" t="s">
        <v>30461</v>
      </c>
      <c r="B2605" s="152"/>
      <c r="C2605" s="82"/>
      <c r="D2605" s="33" t="s">
        <v>30430</v>
      </c>
      <c r="F2605" s="46" t="s">
        <v>2775</v>
      </c>
    </row>
    <row r="2606">
      <c r="A2606" s="51" t="s">
        <v>30462</v>
      </c>
      <c r="B2606" s="152"/>
      <c r="C2606" s="82"/>
      <c r="D2606" s="33" t="s">
        <v>30434</v>
      </c>
      <c r="F2606" s="46" t="s">
        <v>2775</v>
      </c>
    </row>
    <row r="2607">
      <c r="A2607" s="51" t="s">
        <v>30463</v>
      </c>
      <c r="B2607" s="152"/>
      <c r="C2607" s="82"/>
      <c r="D2607" s="33" t="s">
        <v>30438</v>
      </c>
      <c r="F2607" s="46" t="s">
        <v>2775</v>
      </c>
    </row>
    <row r="2608">
      <c r="A2608" s="51" t="s">
        <v>30465</v>
      </c>
      <c r="B2608" s="152"/>
      <c r="C2608" s="82"/>
      <c r="D2608" s="33" t="s">
        <v>30430</v>
      </c>
      <c r="F2608" s="46" t="s">
        <v>2775</v>
      </c>
    </row>
    <row r="2609">
      <c r="A2609" s="51" t="s">
        <v>30466</v>
      </c>
      <c r="B2609" s="152"/>
      <c r="C2609" s="82"/>
      <c r="D2609" s="33" t="s">
        <v>30434</v>
      </c>
      <c r="F2609" s="46" t="s">
        <v>2775</v>
      </c>
    </row>
    <row r="2610">
      <c r="A2610" s="51" t="s">
        <v>30468</v>
      </c>
      <c r="B2610" s="152"/>
      <c r="C2610" s="82"/>
      <c r="D2610" s="33" t="s">
        <v>30438</v>
      </c>
      <c r="F2610" s="46" t="s">
        <v>2775</v>
      </c>
    </row>
    <row r="2611">
      <c r="A2611" s="51" t="s">
        <v>30469</v>
      </c>
      <c r="B2611" s="152"/>
      <c r="C2611" s="82"/>
      <c r="D2611" s="33" t="s">
        <v>30430</v>
      </c>
      <c r="F2611" s="46" t="s">
        <v>2775</v>
      </c>
    </row>
    <row r="2612">
      <c r="A2612" s="51" t="s">
        <v>30470</v>
      </c>
      <c r="B2612" s="152"/>
      <c r="C2612" s="82"/>
      <c r="D2612" s="33" t="s">
        <v>30434</v>
      </c>
      <c r="F2612" s="46" t="s">
        <v>2775</v>
      </c>
    </row>
    <row r="2613">
      <c r="A2613" s="51" t="s">
        <v>30472</v>
      </c>
      <c r="B2613" s="152"/>
      <c r="C2613" s="82"/>
      <c r="D2613" s="33" t="s">
        <v>30438</v>
      </c>
      <c r="F2613" s="46" t="s">
        <v>2775</v>
      </c>
    </row>
    <row r="2614">
      <c r="A2614" s="51" t="s">
        <v>30473</v>
      </c>
      <c r="B2614" s="152"/>
      <c r="C2614" s="82"/>
      <c r="D2614" s="33" t="s">
        <v>30455</v>
      </c>
      <c r="F2614" s="46" t="s">
        <v>2775</v>
      </c>
    </row>
    <row r="2615">
      <c r="A2615" s="51" t="s">
        <v>30475</v>
      </c>
      <c r="B2615" s="152"/>
      <c r="C2615" s="82"/>
      <c r="D2615" s="33" t="s">
        <v>30455</v>
      </c>
      <c r="F2615" s="46" t="s">
        <v>2775</v>
      </c>
    </row>
    <row r="2616">
      <c r="A2616" s="51" t="s">
        <v>30476</v>
      </c>
      <c r="B2616" s="152"/>
      <c r="C2616" s="82"/>
      <c r="D2616" s="33" t="s">
        <v>30455</v>
      </c>
      <c r="F2616" s="46" t="s">
        <v>2775</v>
      </c>
    </row>
    <row r="2617">
      <c r="A2617" s="51" t="s">
        <v>30478</v>
      </c>
      <c r="B2617" s="152"/>
      <c r="C2617" s="82"/>
      <c r="D2617" s="33" t="s">
        <v>30455</v>
      </c>
      <c r="F2617" s="46" t="s">
        <v>2775</v>
      </c>
    </row>
    <row r="2618">
      <c r="A2618" s="51" t="s">
        <v>30479</v>
      </c>
      <c r="B2618" s="152"/>
      <c r="C2618" s="82"/>
      <c r="D2618" s="33" t="s">
        <v>30455</v>
      </c>
      <c r="F2618" s="46" t="s">
        <v>2775</v>
      </c>
    </row>
    <row r="2619">
      <c r="A2619" s="51" t="s">
        <v>30480</v>
      </c>
      <c r="B2619" s="152"/>
      <c r="C2619" s="82"/>
      <c r="D2619" s="33" t="s">
        <v>30455</v>
      </c>
      <c r="F2619" s="46" t="s">
        <v>2775</v>
      </c>
    </row>
    <row r="2620">
      <c r="A2620" s="51" t="s">
        <v>30481</v>
      </c>
      <c r="B2620" s="152"/>
      <c r="C2620" s="82"/>
      <c r="D2620" s="33" t="s">
        <v>30455</v>
      </c>
      <c r="F2620" s="46" t="s">
        <v>2775</v>
      </c>
    </row>
    <row r="2621">
      <c r="A2621" s="51" t="s">
        <v>30482</v>
      </c>
      <c r="B2621" s="152"/>
      <c r="C2621" s="82"/>
      <c r="D2621" s="33" t="s">
        <v>30455</v>
      </c>
      <c r="F2621" s="46" t="s">
        <v>2775</v>
      </c>
    </row>
    <row r="2622">
      <c r="A2622" s="51" t="s">
        <v>30485</v>
      </c>
      <c r="B2622" s="152"/>
      <c r="C2622" s="55"/>
      <c r="D2622" s="31"/>
    </row>
    <row r="2623">
      <c r="A2623" s="51" t="s">
        <v>30486</v>
      </c>
      <c r="B2623" s="152"/>
      <c r="C2623" s="55"/>
      <c r="D2623" s="31"/>
    </row>
    <row r="2624">
      <c r="A2624" s="51" t="s">
        <v>30487</v>
      </c>
      <c r="B2624" s="152"/>
      <c r="C2624" s="55"/>
      <c r="D2624" s="31"/>
    </row>
    <row r="2625">
      <c r="A2625" s="51" t="s">
        <v>30488</v>
      </c>
      <c r="B2625" s="152"/>
      <c r="C2625" s="55"/>
      <c r="D2625" s="31"/>
    </row>
    <row r="2626">
      <c r="A2626" s="51" t="s">
        <v>30489</v>
      </c>
      <c r="B2626" s="152"/>
      <c r="C2626" s="55"/>
      <c r="D2626" s="31"/>
    </row>
    <row r="2627">
      <c r="A2627" s="51" t="s">
        <v>30490</v>
      </c>
      <c r="B2627" s="152"/>
      <c r="C2627" s="55"/>
      <c r="D2627" s="31"/>
    </row>
    <row r="2628">
      <c r="A2628" s="51" t="s">
        <v>30491</v>
      </c>
      <c r="B2628" s="152"/>
      <c r="C2628" s="55"/>
      <c r="D2628" s="31"/>
    </row>
    <row r="2629">
      <c r="A2629" s="51" t="s">
        <v>30493</v>
      </c>
      <c r="B2629" s="152"/>
      <c r="C2629" s="55"/>
      <c r="D2629" s="31"/>
    </row>
    <row r="2630">
      <c r="A2630" s="51" t="s">
        <v>30495</v>
      </c>
      <c r="B2630" s="152"/>
      <c r="C2630" s="55"/>
      <c r="D2630" s="31"/>
    </row>
    <row r="2631">
      <c r="A2631" s="51" t="s">
        <v>30496</v>
      </c>
      <c r="B2631" s="152"/>
      <c r="C2631" s="82"/>
      <c r="D2631" s="33" t="s">
        <v>30497</v>
      </c>
      <c r="F2631" s="46" t="s">
        <v>2775</v>
      </c>
    </row>
    <row r="2632">
      <c r="A2632" s="51" t="s">
        <v>30498</v>
      </c>
      <c r="B2632" s="152"/>
      <c r="C2632" s="82"/>
      <c r="D2632" s="33" t="s">
        <v>30497</v>
      </c>
      <c r="F2632" s="46" t="s">
        <v>2793</v>
      </c>
    </row>
    <row r="2633">
      <c r="A2633" s="51" t="s">
        <v>30499</v>
      </c>
      <c r="B2633" s="152"/>
      <c r="C2633" s="82"/>
      <c r="D2633" s="33" t="s">
        <v>30497</v>
      </c>
      <c r="F2633" s="46" t="s">
        <v>1348</v>
      </c>
    </row>
    <row r="2634">
      <c r="A2634" s="51" t="s">
        <v>30501</v>
      </c>
      <c r="B2634" s="152"/>
      <c r="C2634" s="82"/>
      <c r="D2634" s="33" t="s">
        <v>30502</v>
      </c>
      <c r="F2634" s="46" t="s">
        <v>1348</v>
      </c>
    </row>
    <row r="2635">
      <c r="A2635" s="51" t="s">
        <v>30504</v>
      </c>
      <c r="B2635" s="152"/>
      <c r="C2635" s="82"/>
      <c r="D2635" s="33" t="s">
        <v>30502</v>
      </c>
      <c r="F2635" s="46" t="s">
        <v>1348</v>
      </c>
    </row>
    <row r="2636">
      <c r="A2636" s="51" t="s">
        <v>30506</v>
      </c>
      <c r="B2636" s="152"/>
      <c r="C2636" s="21"/>
      <c r="D2636" s="33" t="s">
        <v>30507</v>
      </c>
    </row>
    <row r="2637">
      <c r="A2637" s="51" t="s">
        <v>30508</v>
      </c>
      <c r="B2637" s="152"/>
      <c r="C2637" s="21"/>
      <c r="D2637" s="33" t="s">
        <v>30507</v>
      </c>
    </row>
    <row r="2638">
      <c r="A2638" s="51" t="s">
        <v>30509</v>
      </c>
      <c r="B2638" s="152"/>
      <c r="C2638" s="40"/>
      <c r="D2638" s="33" t="s">
        <v>30507</v>
      </c>
      <c r="F2638" s="46" t="s">
        <v>2756</v>
      </c>
    </row>
    <row r="2639">
      <c r="A2639" s="51" t="s">
        <v>30510</v>
      </c>
      <c r="B2639" s="152"/>
      <c r="C2639" s="82"/>
      <c r="D2639" s="33" t="s">
        <v>30511</v>
      </c>
      <c r="F2639" s="46" t="s">
        <v>2775</v>
      </c>
    </row>
    <row r="2640">
      <c r="A2640" s="51" t="s">
        <v>30513</v>
      </c>
      <c r="B2640" s="152"/>
      <c r="C2640" s="82"/>
      <c r="D2640" s="33" t="s">
        <v>30514</v>
      </c>
      <c r="F2640" s="46" t="s">
        <v>2775</v>
      </c>
    </row>
    <row r="2641">
      <c r="A2641" s="51" t="s">
        <v>30515</v>
      </c>
      <c r="B2641" s="152"/>
      <c r="C2641" s="82"/>
      <c r="D2641" s="33" t="s">
        <v>30516</v>
      </c>
      <c r="F2641" s="46" t="s">
        <v>2775</v>
      </c>
    </row>
    <row r="2642">
      <c r="A2642" s="51" t="s">
        <v>30517</v>
      </c>
      <c r="B2642" s="152"/>
      <c r="C2642" s="82"/>
      <c r="D2642" s="33" t="s">
        <v>30516</v>
      </c>
      <c r="F2642" s="46" t="s">
        <v>2775</v>
      </c>
    </row>
    <row r="2643">
      <c r="A2643" s="51" t="s">
        <v>30519</v>
      </c>
      <c r="B2643" s="152"/>
      <c r="C2643" s="82"/>
      <c r="D2643" s="33" t="s">
        <v>30520</v>
      </c>
      <c r="F2643" s="46" t="s">
        <v>2775</v>
      </c>
    </row>
    <row r="2644">
      <c r="A2644" s="51" t="s">
        <v>30521</v>
      </c>
      <c r="B2644" s="152"/>
      <c r="C2644" s="82"/>
      <c r="D2644" s="33" t="s">
        <v>30522</v>
      </c>
      <c r="F2644" s="46" t="s">
        <v>2775</v>
      </c>
    </row>
    <row r="2645">
      <c r="A2645" s="51" t="s">
        <v>30523</v>
      </c>
      <c r="B2645" s="152"/>
      <c r="C2645" s="82"/>
      <c r="D2645" s="33" t="s">
        <v>30525</v>
      </c>
      <c r="F2645" s="46" t="s">
        <v>2775</v>
      </c>
    </row>
    <row r="2646">
      <c r="A2646" s="51" t="s">
        <v>30526</v>
      </c>
      <c r="B2646" s="152"/>
      <c r="C2646" s="82"/>
      <c r="D2646" s="33" t="s">
        <v>30527</v>
      </c>
      <c r="F2646" s="46" t="s">
        <v>2775</v>
      </c>
    </row>
    <row r="2647">
      <c r="A2647" s="51" t="s">
        <v>30528</v>
      </c>
      <c r="B2647" s="152"/>
      <c r="C2647" s="82"/>
      <c r="D2647" s="33" t="s">
        <v>30529</v>
      </c>
      <c r="F2647" s="46" t="s">
        <v>2775</v>
      </c>
    </row>
    <row r="2648">
      <c r="A2648" s="51" t="s">
        <v>30531</v>
      </c>
      <c r="B2648" s="152"/>
      <c r="C2648" s="82"/>
      <c r="D2648" s="33" t="s">
        <v>30529</v>
      </c>
      <c r="F2648" s="46" t="s">
        <v>2775</v>
      </c>
    </row>
    <row r="2649">
      <c r="A2649" s="51" t="s">
        <v>30532</v>
      </c>
      <c r="B2649" s="152"/>
      <c r="C2649" s="82"/>
      <c r="D2649" s="33" t="s">
        <v>30529</v>
      </c>
      <c r="F2649" s="46" t="s">
        <v>2775</v>
      </c>
    </row>
    <row r="2650">
      <c r="A2650" s="51" t="s">
        <v>30533</v>
      </c>
      <c r="B2650" s="152"/>
      <c r="C2650" s="82"/>
      <c r="D2650" s="33" t="s">
        <v>30534</v>
      </c>
      <c r="F2650" s="46" t="s">
        <v>2775</v>
      </c>
    </row>
    <row r="2651">
      <c r="A2651" s="51" t="s">
        <v>30536</v>
      </c>
      <c r="B2651" s="152"/>
      <c r="C2651" s="82"/>
      <c r="D2651" s="33" t="s">
        <v>30537</v>
      </c>
      <c r="F2651" s="46" t="s">
        <v>2775</v>
      </c>
    </row>
    <row r="2652">
      <c r="A2652" s="51" t="s">
        <v>30538</v>
      </c>
      <c r="B2652" s="152"/>
      <c r="C2652" s="82"/>
      <c r="D2652" s="33" t="s">
        <v>30539</v>
      </c>
      <c r="F2652" s="46" t="s">
        <v>2775</v>
      </c>
    </row>
    <row r="2653">
      <c r="A2653" s="51" t="s">
        <v>30540</v>
      </c>
      <c r="B2653" s="152"/>
      <c r="C2653" s="82"/>
      <c r="D2653" s="33" t="s">
        <v>30541</v>
      </c>
      <c r="F2653" s="46" t="s">
        <v>2775</v>
      </c>
    </row>
    <row r="2654">
      <c r="A2654" s="51" t="s">
        <v>30542</v>
      </c>
      <c r="B2654" s="152"/>
      <c r="C2654" s="82"/>
      <c r="D2654" s="33" t="s">
        <v>30543</v>
      </c>
      <c r="F2654" s="46" t="s">
        <v>2775</v>
      </c>
    </row>
    <row r="2655">
      <c r="A2655" s="51" t="s">
        <v>30544</v>
      </c>
      <c r="B2655" s="152"/>
      <c r="C2655" s="82"/>
      <c r="D2655" s="33" t="s">
        <v>30543</v>
      </c>
      <c r="F2655" s="46" t="s">
        <v>2775</v>
      </c>
    </row>
    <row r="2656">
      <c r="A2656" s="51" t="s">
        <v>30547</v>
      </c>
      <c r="B2656" s="152"/>
      <c r="C2656" s="82"/>
      <c r="D2656" s="33" t="s">
        <v>30543</v>
      </c>
      <c r="F2656" s="46" t="s">
        <v>2775</v>
      </c>
    </row>
    <row r="2657">
      <c r="A2657" s="51" t="s">
        <v>30548</v>
      </c>
      <c r="B2657" s="152"/>
      <c r="C2657" s="82"/>
      <c r="D2657" s="33" t="s">
        <v>30543</v>
      </c>
      <c r="F2657" s="46" t="s">
        <v>2775</v>
      </c>
    </row>
    <row r="2658">
      <c r="A2658" s="51" t="s">
        <v>30549</v>
      </c>
      <c r="B2658" s="152"/>
      <c r="C2658" s="82"/>
      <c r="D2658" s="33" t="s">
        <v>30543</v>
      </c>
      <c r="F2658" s="46" t="s">
        <v>2775</v>
      </c>
    </row>
    <row r="2659">
      <c r="A2659" s="51" t="s">
        <v>30550</v>
      </c>
      <c r="B2659" s="152"/>
      <c r="C2659" s="82"/>
      <c r="D2659" s="33" t="s">
        <v>30537</v>
      </c>
      <c r="F2659" s="46" t="s">
        <v>2775</v>
      </c>
    </row>
    <row r="2660">
      <c r="A2660" s="51" t="s">
        <v>30551</v>
      </c>
      <c r="B2660" s="152"/>
      <c r="C2660" s="82"/>
      <c r="D2660" s="33" t="s">
        <v>30539</v>
      </c>
      <c r="F2660" s="46" t="s">
        <v>2775</v>
      </c>
    </row>
    <row r="2661">
      <c r="A2661" s="51" t="s">
        <v>30553</v>
      </c>
      <c r="B2661" s="152"/>
      <c r="C2661" s="82"/>
      <c r="D2661" s="33" t="s">
        <v>30541</v>
      </c>
      <c r="F2661" s="46" t="s">
        <v>2775</v>
      </c>
    </row>
    <row r="2662">
      <c r="A2662" s="51" t="s">
        <v>30554</v>
      </c>
      <c r="B2662" s="152"/>
      <c r="C2662" s="82"/>
      <c r="D2662" s="33" t="s">
        <v>30543</v>
      </c>
      <c r="F2662" s="46" t="s">
        <v>2775</v>
      </c>
    </row>
    <row r="2663">
      <c r="A2663" s="51" t="s">
        <v>30555</v>
      </c>
      <c r="B2663" s="152"/>
      <c r="C2663" s="82"/>
      <c r="D2663" s="33" t="s">
        <v>30543</v>
      </c>
      <c r="F2663" s="46" t="s">
        <v>2775</v>
      </c>
    </row>
    <row r="2664">
      <c r="A2664" s="51" t="s">
        <v>30556</v>
      </c>
      <c r="B2664" s="152"/>
      <c r="C2664" s="82"/>
      <c r="D2664" s="33" t="s">
        <v>30543</v>
      </c>
      <c r="F2664" s="46" t="s">
        <v>2775</v>
      </c>
    </row>
    <row r="2665">
      <c r="A2665" s="51" t="s">
        <v>30558</v>
      </c>
      <c r="B2665" s="152"/>
      <c r="C2665" s="82"/>
      <c r="D2665" s="33" t="s">
        <v>30543</v>
      </c>
      <c r="F2665" s="46" t="s">
        <v>2775</v>
      </c>
    </row>
    <row r="2666">
      <c r="A2666" s="51" t="s">
        <v>30560</v>
      </c>
      <c r="B2666" s="152"/>
      <c r="C2666" s="82"/>
      <c r="D2666" s="33" t="s">
        <v>30543</v>
      </c>
      <c r="F2666" s="46" t="s">
        <v>2775</v>
      </c>
    </row>
    <row r="2667">
      <c r="A2667" s="51" t="s">
        <v>30561</v>
      </c>
      <c r="B2667" s="152"/>
      <c r="C2667" s="82"/>
      <c r="D2667" s="33" t="s">
        <v>30562</v>
      </c>
      <c r="F2667" s="46" t="s">
        <v>2775</v>
      </c>
    </row>
    <row r="2668">
      <c r="A2668" s="51" t="s">
        <v>30563</v>
      </c>
      <c r="B2668" s="152"/>
      <c r="C2668" s="82"/>
      <c r="D2668" s="33" t="s">
        <v>30562</v>
      </c>
      <c r="F2668" s="46" t="s">
        <v>2793</v>
      </c>
    </row>
    <row r="2669">
      <c r="A2669" s="51" t="s">
        <v>30564</v>
      </c>
      <c r="B2669" s="152"/>
      <c r="C2669" s="82"/>
      <c r="D2669" s="33" t="s">
        <v>30562</v>
      </c>
      <c r="F2669" s="46" t="s">
        <v>2775</v>
      </c>
    </row>
    <row r="2670">
      <c r="A2670" s="51" t="s">
        <v>30566</v>
      </c>
      <c r="B2670" s="152"/>
      <c r="C2670" s="82"/>
      <c r="D2670" s="33" t="s">
        <v>30562</v>
      </c>
      <c r="F2670" s="46" t="s">
        <v>2793</v>
      </c>
    </row>
    <row r="2671">
      <c r="A2671" s="51" t="s">
        <v>30567</v>
      </c>
      <c r="B2671" s="152"/>
      <c r="C2671" s="82"/>
      <c r="D2671" s="33" t="s">
        <v>30562</v>
      </c>
      <c r="F2671" s="46" t="s">
        <v>2775</v>
      </c>
    </row>
    <row r="2672">
      <c r="A2672" s="51" t="s">
        <v>30569</v>
      </c>
      <c r="B2672" s="152"/>
      <c r="C2672" s="82"/>
      <c r="D2672" s="33" t="s">
        <v>30562</v>
      </c>
      <c r="F2672" s="46" t="s">
        <v>2793</v>
      </c>
    </row>
    <row r="2673">
      <c r="A2673" s="51" t="s">
        <v>30570</v>
      </c>
      <c r="B2673" s="152"/>
      <c r="C2673" s="55"/>
      <c r="D2673" s="31"/>
    </row>
    <row r="2674">
      <c r="A2674" s="51" t="s">
        <v>30571</v>
      </c>
      <c r="B2674" s="152"/>
      <c r="C2674" s="82"/>
      <c r="D2674" s="33" t="s">
        <v>30502</v>
      </c>
      <c r="F2674" s="46" t="s">
        <v>1348</v>
      </c>
    </row>
    <row r="2675">
      <c r="A2675" s="51" t="s">
        <v>30573</v>
      </c>
      <c r="B2675" s="152"/>
      <c r="C2675" s="55"/>
      <c r="D2675" s="31"/>
    </row>
    <row r="2676">
      <c r="A2676" s="51" t="s">
        <v>30574</v>
      </c>
      <c r="B2676" s="152"/>
      <c r="C2676" s="55"/>
      <c r="D2676" s="31"/>
    </row>
    <row r="2677">
      <c r="A2677" s="51" t="s">
        <v>30575</v>
      </c>
      <c r="B2677" s="152"/>
      <c r="C2677" s="55"/>
      <c r="D2677" s="31"/>
    </row>
    <row r="2678">
      <c r="A2678" s="51" t="s">
        <v>30577</v>
      </c>
      <c r="B2678" s="152"/>
      <c r="C2678" s="55"/>
      <c r="D2678" s="31"/>
    </row>
    <row r="2679">
      <c r="A2679" s="51" t="s">
        <v>30578</v>
      </c>
      <c r="B2679" s="152"/>
      <c r="C2679" s="55"/>
      <c r="D2679" s="31"/>
    </row>
    <row r="2680">
      <c r="A2680" s="51" t="s">
        <v>30579</v>
      </c>
      <c r="B2680" s="152"/>
      <c r="C2680" s="55"/>
      <c r="D2680" s="31"/>
    </row>
    <row r="2681">
      <c r="A2681" s="51" t="s">
        <v>30581</v>
      </c>
      <c r="B2681" s="152"/>
      <c r="C2681" s="55"/>
      <c r="D2681" s="31"/>
    </row>
    <row r="2682">
      <c r="A2682" s="51" t="s">
        <v>30582</v>
      </c>
      <c r="B2682" s="152"/>
      <c r="C2682" s="55"/>
      <c r="D2682" s="31"/>
    </row>
    <row r="2683">
      <c r="A2683" s="51" t="s">
        <v>30583</v>
      </c>
      <c r="B2683" s="152"/>
      <c r="C2683" s="82"/>
      <c r="D2683" s="33" t="s">
        <v>30584</v>
      </c>
      <c r="F2683" s="46" t="s">
        <v>1348</v>
      </c>
    </row>
    <row r="2684">
      <c r="A2684" s="51" t="s">
        <v>30585</v>
      </c>
      <c r="B2684" s="152"/>
      <c r="C2684" s="82"/>
      <c r="D2684" s="33" t="s">
        <v>30586</v>
      </c>
      <c r="F2684" s="46" t="s">
        <v>1348</v>
      </c>
    </row>
    <row r="2685">
      <c r="A2685" s="51" t="s">
        <v>30587</v>
      </c>
      <c r="B2685" s="152"/>
      <c r="C2685" s="82"/>
      <c r="D2685" s="33" t="s">
        <v>30586</v>
      </c>
      <c r="F2685" s="46" t="s">
        <v>1348</v>
      </c>
    </row>
    <row r="2686">
      <c r="A2686" s="51" t="s">
        <v>30590</v>
      </c>
      <c r="B2686" s="152"/>
      <c r="C2686" s="55"/>
      <c r="D2686" s="31"/>
    </row>
    <row r="2687">
      <c r="A2687" s="51" t="s">
        <v>30591</v>
      </c>
      <c r="B2687" s="152"/>
      <c r="C2687" s="55"/>
      <c r="D2687" s="31"/>
    </row>
    <row r="2688">
      <c r="A2688" s="51" t="s">
        <v>30592</v>
      </c>
      <c r="B2688" s="152"/>
      <c r="C2688" s="55"/>
      <c r="D2688" s="31"/>
    </row>
    <row r="2689">
      <c r="A2689" s="51" t="s">
        <v>30593</v>
      </c>
      <c r="B2689" s="152"/>
      <c r="C2689" s="82"/>
      <c r="D2689" s="33" t="s">
        <v>30594</v>
      </c>
      <c r="F2689" s="46" t="s">
        <v>2775</v>
      </c>
    </row>
    <row r="2690">
      <c r="A2690" s="51" t="s">
        <v>30595</v>
      </c>
      <c r="B2690" s="152"/>
      <c r="C2690" s="82"/>
      <c r="D2690" s="33" t="s">
        <v>30594</v>
      </c>
      <c r="F2690" s="46" t="s">
        <v>2793</v>
      </c>
    </row>
    <row r="2691">
      <c r="A2691" s="51" t="s">
        <v>30597</v>
      </c>
      <c r="B2691" s="152"/>
      <c r="C2691" s="82"/>
      <c r="D2691" s="33" t="s">
        <v>30598</v>
      </c>
      <c r="F2691" s="46" t="s">
        <v>2775</v>
      </c>
    </row>
    <row r="2692">
      <c r="A2692" s="51" t="s">
        <v>30600</v>
      </c>
      <c r="B2692" s="152"/>
      <c r="C2692" s="82"/>
      <c r="D2692" s="33" t="s">
        <v>30598</v>
      </c>
      <c r="F2692" s="46" t="s">
        <v>2793</v>
      </c>
    </row>
    <row r="2693">
      <c r="A2693" s="51" t="s">
        <v>30601</v>
      </c>
      <c r="B2693" s="152"/>
      <c r="C2693" s="82"/>
      <c r="D2693" s="33" t="s">
        <v>30602</v>
      </c>
      <c r="F2693" s="46" t="s">
        <v>2775</v>
      </c>
    </row>
    <row r="2694">
      <c r="A2694" s="51" t="s">
        <v>30604</v>
      </c>
      <c r="B2694" s="152"/>
      <c r="C2694" s="82"/>
      <c r="D2694" s="33" t="s">
        <v>30602</v>
      </c>
      <c r="F2694" s="46" t="s">
        <v>2793</v>
      </c>
    </row>
    <row r="2695">
      <c r="A2695" s="51" t="s">
        <v>30607</v>
      </c>
      <c r="B2695" s="152"/>
      <c r="C2695" s="82"/>
      <c r="D2695" s="33" t="s">
        <v>30608</v>
      </c>
      <c r="F2695" s="46" t="s">
        <v>2775</v>
      </c>
    </row>
    <row r="2696">
      <c r="A2696" s="51" t="s">
        <v>30609</v>
      </c>
      <c r="B2696" s="152"/>
      <c r="C2696" s="82"/>
      <c r="D2696" s="33" t="s">
        <v>30608</v>
      </c>
      <c r="F2696" s="46" t="s">
        <v>2793</v>
      </c>
    </row>
    <row r="2697" ht="22.5" customHeight="1">
      <c r="A2697" s="51" t="s">
        <v>30610</v>
      </c>
      <c r="B2697" s="152"/>
      <c r="C2697" s="82"/>
      <c r="D2697" s="33" t="s">
        <v>30611</v>
      </c>
      <c r="F2697" s="46" t="s">
        <v>2793</v>
      </c>
      <c r="G2697" s="46" t="s">
        <v>30612</v>
      </c>
    </row>
    <row r="2698">
      <c r="A2698" s="51" t="s">
        <v>30613</v>
      </c>
      <c r="B2698" s="152"/>
      <c r="C2698" s="82"/>
      <c r="D2698" s="33" t="s">
        <v>30614</v>
      </c>
      <c r="F2698" s="46" t="s">
        <v>2775</v>
      </c>
    </row>
    <row r="2699">
      <c r="A2699" s="51" t="s">
        <v>30617</v>
      </c>
      <c r="B2699" s="152"/>
      <c r="C2699" s="82"/>
      <c r="D2699" s="33" t="s">
        <v>30614</v>
      </c>
      <c r="F2699" s="46" t="s">
        <v>2793</v>
      </c>
    </row>
    <row r="2700">
      <c r="A2700" s="51" t="s">
        <v>30619</v>
      </c>
      <c r="B2700" s="152"/>
      <c r="C2700" s="82"/>
      <c r="D2700" s="33" t="s">
        <v>30620</v>
      </c>
      <c r="F2700" s="46" t="s">
        <v>2775</v>
      </c>
    </row>
    <row r="2701">
      <c r="A2701" s="51" t="s">
        <v>30622</v>
      </c>
      <c r="B2701" s="152"/>
      <c r="C2701" s="82"/>
      <c r="D2701" s="33" t="s">
        <v>30620</v>
      </c>
      <c r="F2701" s="46" t="s">
        <v>2793</v>
      </c>
    </row>
    <row r="2702">
      <c r="A2702" s="51" t="s">
        <v>30624</v>
      </c>
      <c r="B2702" s="152"/>
      <c r="C2702" s="82"/>
      <c r="D2702" s="33" t="s">
        <v>30625</v>
      </c>
      <c r="F2702" s="46" t="s">
        <v>2775</v>
      </c>
    </row>
    <row r="2703">
      <c r="A2703" s="51" t="s">
        <v>30626</v>
      </c>
      <c r="B2703" s="152"/>
      <c r="C2703" s="82"/>
      <c r="D2703" s="33" t="s">
        <v>30625</v>
      </c>
      <c r="F2703" s="46" t="s">
        <v>2793</v>
      </c>
    </row>
    <row r="2704">
      <c r="A2704" s="51" t="s">
        <v>30628</v>
      </c>
      <c r="B2704" s="152"/>
      <c r="C2704" s="82"/>
      <c r="D2704" s="33" t="s">
        <v>30629</v>
      </c>
      <c r="F2704" s="46" t="s">
        <v>2775</v>
      </c>
    </row>
    <row r="2705">
      <c r="A2705" s="51" t="s">
        <v>30630</v>
      </c>
      <c r="B2705" s="152"/>
      <c r="C2705" s="82"/>
      <c r="D2705" s="33" t="s">
        <v>30629</v>
      </c>
      <c r="F2705" s="46" t="s">
        <v>2793</v>
      </c>
    </row>
    <row r="2706">
      <c r="A2706" s="51" t="s">
        <v>30631</v>
      </c>
      <c r="B2706" s="152"/>
      <c r="C2706" s="82"/>
      <c r="D2706" s="33" t="s">
        <v>30632</v>
      </c>
      <c r="F2706" s="46" t="s">
        <v>2775</v>
      </c>
    </row>
    <row r="2707">
      <c r="A2707" s="51" t="s">
        <v>30634</v>
      </c>
      <c r="B2707" s="152"/>
      <c r="C2707" s="82"/>
      <c r="D2707" s="33" t="s">
        <v>30632</v>
      </c>
      <c r="F2707" s="46" t="s">
        <v>2793</v>
      </c>
    </row>
    <row r="2708">
      <c r="A2708" s="51" t="s">
        <v>30636</v>
      </c>
      <c r="B2708" s="152"/>
      <c r="C2708" s="82"/>
      <c r="D2708" s="33" t="s">
        <v>30637</v>
      </c>
      <c r="F2708" s="46" t="s">
        <v>2775</v>
      </c>
    </row>
    <row r="2709">
      <c r="A2709" s="51" t="s">
        <v>30639</v>
      </c>
      <c r="B2709" s="152"/>
      <c r="C2709" s="82"/>
      <c r="D2709" s="33" t="s">
        <v>30637</v>
      </c>
      <c r="F2709" s="46" t="s">
        <v>2793</v>
      </c>
    </row>
    <row r="2710">
      <c r="A2710" s="51" t="s">
        <v>30640</v>
      </c>
      <c r="B2710" s="152"/>
      <c r="C2710" s="82"/>
      <c r="D2710" s="33" t="s">
        <v>30641</v>
      </c>
      <c r="F2710" s="46" t="s">
        <v>2775</v>
      </c>
    </row>
    <row r="2711">
      <c r="A2711" s="51" t="s">
        <v>30642</v>
      </c>
      <c r="B2711" s="152"/>
      <c r="C2711" s="82"/>
      <c r="D2711" s="33" t="s">
        <v>30641</v>
      </c>
      <c r="F2711" s="46" t="s">
        <v>2793</v>
      </c>
    </row>
    <row r="2712">
      <c r="A2712" s="51" t="s">
        <v>30644</v>
      </c>
      <c r="B2712" s="152"/>
      <c r="C2712" s="82"/>
      <c r="D2712" s="33" t="s">
        <v>30645</v>
      </c>
      <c r="F2712" s="46" t="s">
        <v>2775</v>
      </c>
    </row>
    <row r="2713">
      <c r="A2713" s="51" t="s">
        <v>30646</v>
      </c>
      <c r="B2713" s="152"/>
      <c r="C2713" s="82"/>
      <c r="D2713" s="33" t="s">
        <v>30645</v>
      </c>
      <c r="F2713" s="46" t="s">
        <v>2793</v>
      </c>
    </row>
    <row r="2714">
      <c r="A2714" s="51" t="s">
        <v>30649</v>
      </c>
      <c r="B2714" s="152"/>
      <c r="C2714" s="55"/>
      <c r="D2714" s="31"/>
    </row>
    <row r="2715">
      <c r="A2715" s="51" t="s">
        <v>30651</v>
      </c>
      <c r="B2715" s="152"/>
      <c r="C2715" s="55"/>
      <c r="D2715" s="31"/>
    </row>
    <row r="2716">
      <c r="A2716" s="51" t="s">
        <v>30652</v>
      </c>
      <c r="B2716" s="152"/>
      <c r="C2716" s="55"/>
      <c r="D2716" s="31"/>
    </row>
    <row r="2717">
      <c r="A2717" s="51" t="s">
        <v>30653</v>
      </c>
      <c r="B2717" s="152"/>
      <c r="C2717" s="55"/>
      <c r="D2717" s="31"/>
    </row>
    <row r="2718">
      <c r="A2718" s="51" t="s">
        <v>30654</v>
      </c>
      <c r="B2718" s="152"/>
      <c r="C2718" s="82"/>
      <c r="D2718" s="33" t="s">
        <v>30655</v>
      </c>
    </row>
    <row r="2719">
      <c r="A2719" s="51" t="s">
        <v>30656</v>
      </c>
      <c r="B2719" s="152"/>
      <c r="C2719" s="82"/>
      <c r="D2719" s="33" t="s">
        <v>30657</v>
      </c>
      <c r="F2719" s="46" t="s">
        <v>1348</v>
      </c>
    </row>
    <row r="2720">
      <c r="A2720" s="51" t="s">
        <v>30659</v>
      </c>
      <c r="B2720" s="152"/>
      <c r="C2720" s="55"/>
      <c r="D2720" s="31"/>
    </row>
    <row r="2721">
      <c r="A2721" s="51" t="s">
        <v>30660</v>
      </c>
      <c r="B2721" s="152"/>
      <c r="C2721" s="55"/>
      <c r="D2721" s="31"/>
    </row>
    <row r="2722">
      <c r="A2722" s="51" t="s">
        <v>30663</v>
      </c>
      <c r="B2722" s="152"/>
      <c r="C2722" s="55"/>
      <c r="D2722" s="31"/>
    </row>
    <row r="2723">
      <c r="A2723" s="51" t="s">
        <v>30665</v>
      </c>
      <c r="B2723" s="152"/>
      <c r="C2723" s="55"/>
      <c r="D2723" s="31"/>
    </row>
    <row r="2724">
      <c r="A2724" s="51" t="s">
        <v>30666</v>
      </c>
      <c r="B2724" s="152"/>
      <c r="C2724" s="21"/>
      <c r="D2724" s="33" t="s">
        <v>30655</v>
      </c>
    </row>
    <row r="2725">
      <c r="A2725" s="51" t="s">
        <v>30668</v>
      </c>
      <c r="B2725" s="152"/>
      <c r="C2725" s="82"/>
      <c r="D2725" s="33" t="s">
        <v>30655</v>
      </c>
      <c r="F2725" s="46" t="s">
        <v>1348</v>
      </c>
    </row>
    <row r="2726">
      <c r="A2726" s="51" t="s">
        <v>30670</v>
      </c>
      <c r="B2726" s="152"/>
      <c r="C2726" s="82"/>
      <c r="D2726" s="33" t="s">
        <v>30671</v>
      </c>
      <c r="F2726" s="46" t="s">
        <v>2775</v>
      </c>
    </row>
    <row r="2727">
      <c r="A2727" s="51" t="s">
        <v>30672</v>
      </c>
      <c r="B2727" s="152"/>
      <c r="C2727" s="82"/>
      <c r="D2727" s="33" t="s">
        <v>30671</v>
      </c>
      <c r="F2727" s="46" t="s">
        <v>2793</v>
      </c>
    </row>
    <row r="2728">
      <c r="A2728" s="51" t="s">
        <v>30673</v>
      </c>
      <c r="B2728" s="152"/>
      <c r="C2728" s="82"/>
      <c r="D2728" s="33" t="s">
        <v>30671</v>
      </c>
      <c r="F2728" s="46" t="s">
        <v>1348</v>
      </c>
    </row>
    <row r="2729">
      <c r="A2729" s="51" t="s">
        <v>30674</v>
      </c>
      <c r="B2729" s="152"/>
      <c r="C2729" s="82"/>
      <c r="D2729" s="33" t="s">
        <v>30675</v>
      </c>
      <c r="F2729" s="46" t="s">
        <v>1348</v>
      </c>
    </row>
    <row r="2730">
      <c r="A2730" s="51" t="s">
        <v>30676</v>
      </c>
      <c r="B2730" s="152"/>
      <c r="C2730" s="82"/>
      <c r="D2730" s="33" t="s">
        <v>30675</v>
      </c>
      <c r="F2730" s="46" t="s">
        <v>2775</v>
      </c>
    </row>
    <row r="2731">
      <c r="A2731" s="51" t="s">
        <v>30679</v>
      </c>
      <c r="B2731" s="152"/>
      <c r="C2731" s="82"/>
      <c r="D2731" s="33" t="s">
        <v>30675</v>
      </c>
      <c r="F2731" s="46" t="s">
        <v>2793</v>
      </c>
    </row>
    <row r="2732">
      <c r="A2732" s="51" t="s">
        <v>30680</v>
      </c>
      <c r="B2732" s="152"/>
      <c r="C2732" s="82"/>
      <c r="D2732" s="33" t="s">
        <v>30681</v>
      </c>
      <c r="F2732" s="46" t="s">
        <v>2775</v>
      </c>
    </row>
    <row r="2733">
      <c r="A2733" s="51" t="s">
        <v>30682</v>
      </c>
      <c r="B2733" s="152"/>
      <c r="C2733" s="82"/>
      <c r="D2733" s="33" t="s">
        <v>30681</v>
      </c>
      <c r="F2733" s="46" t="s">
        <v>2793</v>
      </c>
    </row>
    <row r="2734">
      <c r="A2734" s="51" t="s">
        <v>30683</v>
      </c>
      <c r="B2734" s="152"/>
      <c r="C2734" s="82"/>
      <c r="D2734" s="33" t="s">
        <v>30684</v>
      </c>
      <c r="F2734" s="46" t="s">
        <v>2775</v>
      </c>
    </row>
    <row r="2735">
      <c r="A2735" s="51" t="s">
        <v>30686</v>
      </c>
      <c r="B2735" s="152"/>
      <c r="C2735" s="82"/>
      <c r="D2735" s="33" t="s">
        <v>30684</v>
      </c>
      <c r="F2735" s="46" t="s">
        <v>2793</v>
      </c>
    </row>
    <row r="2736">
      <c r="A2736" s="51" t="s">
        <v>30687</v>
      </c>
      <c r="B2736" s="152"/>
      <c r="C2736" s="82"/>
      <c r="D2736" s="33" t="s">
        <v>30688</v>
      </c>
      <c r="F2736" s="46" t="s">
        <v>2775</v>
      </c>
    </row>
    <row r="2737">
      <c r="A2737" s="51" t="s">
        <v>30690</v>
      </c>
      <c r="B2737" s="152"/>
      <c r="C2737" s="82"/>
      <c r="D2737" s="33" t="s">
        <v>30688</v>
      </c>
      <c r="F2737" s="46" t="s">
        <v>2793</v>
      </c>
    </row>
    <row r="2738">
      <c r="A2738" s="51" t="s">
        <v>30691</v>
      </c>
      <c r="B2738" s="152"/>
      <c r="C2738" s="82"/>
      <c r="D2738" s="33" t="s">
        <v>30692</v>
      </c>
      <c r="F2738" s="46" t="s">
        <v>2775</v>
      </c>
    </row>
    <row r="2739">
      <c r="A2739" s="51" t="s">
        <v>30693</v>
      </c>
      <c r="B2739" s="152"/>
      <c r="C2739" s="82"/>
      <c r="D2739" s="33" t="s">
        <v>30692</v>
      </c>
      <c r="F2739" s="46" t="s">
        <v>2793</v>
      </c>
    </row>
    <row r="2740">
      <c r="A2740" s="51" t="s">
        <v>30695</v>
      </c>
      <c r="B2740" s="152"/>
      <c r="C2740" s="82"/>
      <c r="D2740" s="33" t="s">
        <v>30696</v>
      </c>
      <c r="F2740" s="46" t="s">
        <v>2775</v>
      </c>
    </row>
    <row r="2741">
      <c r="A2741" s="51" t="s">
        <v>30697</v>
      </c>
      <c r="B2741" s="152"/>
      <c r="C2741" s="82"/>
      <c r="D2741" s="33" t="s">
        <v>30696</v>
      </c>
      <c r="F2741" s="46" t="s">
        <v>2793</v>
      </c>
    </row>
    <row r="2742">
      <c r="A2742" s="51" t="s">
        <v>30699</v>
      </c>
      <c r="B2742" s="152"/>
      <c r="C2742" s="82"/>
      <c r="D2742" s="33" t="s">
        <v>30700</v>
      </c>
      <c r="F2742" s="46" t="s">
        <v>2775</v>
      </c>
    </row>
    <row r="2743">
      <c r="A2743" s="51" t="s">
        <v>30701</v>
      </c>
      <c r="B2743" s="152"/>
      <c r="C2743" s="82"/>
      <c r="D2743" s="33" t="s">
        <v>30700</v>
      </c>
      <c r="F2743" s="46" t="s">
        <v>2793</v>
      </c>
    </row>
    <row r="2744">
      <c r="A2744" s="51" t="s">
        <v>30703</v>
      </c>
      <c r="B2744" s="152"/>
      <c r="C2744" s="82"/>
      <c r="D2744" s="33" t="s">
        <v>30704</v>
      </c>
      <c r="F2744" s="46" t="s">
        <v>2775</v>
      </c>
    </row>
    <row r="2745">
      <c r="A2745" s="51" t="s">
        <v>30705</v>
      </c>
      <c r="B2745" s="152"/>
      <c r="C2745" s="82"/>
      <c r="D2745" s="33" t="s">
        <v>30704</v>
      </c>
      <c r="F2745" s="46" t="s">
        <v>2793</v>
      </c>
    </row>
    <row r="2746">
      <c r="A2746" s="51" t="s">
        <v>30706</v>
      </c>
      <c r="B2746" s="152"/>
      <c r="C2746" s="82"/>
      <c r="D2746" s="33" t="s">
        <v>30707</v>
      </c>
      <c r="F2746" s="46" t="s">
        <v>2775</v>
      </c>
    </row>
    <row r="2747">
      <c r="A2747" s="51" t="s">
        <v>30709</v>
      </c>
      <c r="B2747" s="152"/>
      <c r="C2747" s="82"/>
      <c r="D2747" s="33" t="s">
        <v>30707</v>
      </c>
      <c r="F2747" s="46" t="s">
        <v>2793</v>
      </c>
    </row>
    <row r="2748">
      <c r="A2748" s="51" t="s">
        <v>30710</v>
      </c>
      <c r="B2748" s="152"/>
      <c r="C2748" s="82"/>
      <c r="D2748" s="33" t="s">
        <v>30711</v>
      </c>
      <c r="F2748" s="46" t="s">
        <v>2775</v>
      </c>
    </row>
    <row r="2749">
      <c r="A2749" s="51" t="s">
        <v>30712</v>
      </c>
      <c r="B2749" s="152"/>
      <c r="C2749" s="82"/>
      <c r="D2749" s="33" t="s">
        <v>30711</v>
      </c>
      <c r="F2749" s="46" t="s">
        <v>2793</v>
      </c>
    </row>
    <row r="2750">
      <c r="A2750" s="51" t="s">
        <v>30713</v>
      </c>
      <c r="B2750" s="152"/>
      <c r="C2750" s="82"/>
      <c r="D2750" s="33" t="s">
        <v>30715</v>
      </c>
      <c r="F2750" s="46" t="s">
        <v>2775</v>
      </c>
    </row>
    <row r="2751">
      <c r="A2751" s="51" t="s">
        <v>30716</v>
      </c>
      <c r="B2751" s="152"/>
      <c r="C2751" s="82"/>
      <c r="D2751" s="33" t="s">
        <v>30715</v>
      </c>
      <c r="F2751" s="46" t="s">
        <v>2793</v>
      </c>
    </row>
    <row r="2752">
      <c r="A2752" s="51" t="s">
        <v>30717</v>
      </c>
      <c r="B2752" s="152"/>
      <c r="C2752" s="82"/>
      <c r="D2752" s="33" t="s">
        <v>30718</v>
      </c>
      <c r="F2752" s="46" t="s">
        <v>2775</v>
      </c>
    </row>
    <row r="2753">
      <c r="A2753" s="51" t="s">
        <v>30720</v>
      </c>
      <c r="B2753" s="152"/>
      <c r="C2753" s="82"/>
      <c r="D2753" s="33" t="s">
        <v>30718</v>
      </c>
      <c r="F2753" s="46" t="s">
        <v>2793</v>
      </c>
    </row>
    <row r="2754">
      <c r="A2754" s="51" t="s">
        <v>30721</v>
      </c>
      <c r="B2754" s="152"/>
      <c r="C2754" s="82"/>
      <c r="D2754" s="33" t="s">
        <v>30722</v>
      </c>
      <c r="F2754" s="46" t="s">
        <v>2775</v>
      </c>
    </row>
    <row r="2755">
      <c r="A2755" s="51" t="s">
        <v>30724</v>
      </c>
      <c r="B2755" s="152"/>
      <c r="C2755" s="82"/>
      <c r="D2755" s="33" t="s">
        <v>30722</v>
      </c>
      <c r="F2755" s="46" t="s">
        <v>2793</v>
      </c>
    </row>
    <row r="2756">
      <c r="A2756" s="51" t="s">
        <v>30725</v>
      </c>
      <c r="B2756" s="152"/>
      <c r="C2756" s="82"/>
      <c r="D2756" s="33" t="s">
        <v>30726</v>
      </c>
      <c r="F2756" s="46" t="s">
        <v>2775</v>
      </c>
    </row>
    <row r="2757">
      <c r="A2757" s="51" t="s">
        <v>30727</v>
      </c>
      <c r="B2757" s="152"/>
      <c r="C2757" s="82"/>
      <c r="D2757" s="33" t="s">
        <v>30726</v>
      </c>
      <c r="F2757" s="46" t="s">
        <v>2793</v>
      </c>
    </row>
    <row r="2758">
      <c r="A2758" s="51" t="s">
        <v>30730</v>
      </c>
      <c r="B2758" s="152"/>
      <c r="C2758" s="82"/>
      <c r="D2758" s="33" t="s">
        <v>30731</v>
      </c>
      <c r="F2758" s="46" t="s">
        <v>2775</v>
      </c>
    </row>
    <row r="2759">
      <c r="A2759" s="51" t="s">
        <v>30732</v>
      </c>
      <c r="B2759" s="152"/>
      <c r="C2759" s="82"/>
      <c r="D2759" s="33" t="s">
        <v>30731</v>
      </c>
      <c r="F2759" s="46" t="s">
        <v>2793</v>
      </c>
    </row>
    <row r="2760">
      <c r="A2760" s="51" t="s">
        <v>30733</v>
      </c>
      <c r="B2760" s="152"/>
      <c r="C2760" s="55"/>
      <c r="D2760" s="31"/>
    </row>
    <row r="2761">
      <c r="A2761" s="51" t="s">
        <v>30734</v>
      </c>
      <c r="B2761" s="152"/>
      <c r="C2761" s="55"/>
      <c r="D2761" s="31"/>
    </row>
    <row r="2762">
      <c r="A2762" s="51" t="s">
        <v>30736</v>
      </c>
      <c r="B2762" s="152"/>
      <c r="C2762" s="82"/>
      <c r="D2762" s="33" t="s">
        <v>30738</v>
      </c>
      <c r="F2762" s="46" t="s">
        <v>1348</v>
      </c>
    </row>
    <row r="2763">
      <c r="A2763" s="51" t="s">
        <v>30741</v>
      </c>
      <c r="B2763" s="152"/>
      <c r="C2763" s="55"/>
      <c r="D2763" s="33" t="s">
        <v>30742</v>
      </c>
    </row>
    <row r="2764">
      <c r="A2764" s="51" t="s">
        <v>30744</v>
      </c>
      <c r="B2764" s="152"/>
      <c r="C2764" s="55"/>
      <c r="D2764" s="31"/>
    </row>
    <row r="2765">
      <c r="A2765" s="51" t="s">
        <v>30746</v>
      </c>
      <c r="B2765" s="152"/>
      <c r="C2765" s="55"/>
      <c r="D2765" s="31"/>
    </row>
    <row r="2766">
      <c r="A2766" s="51" t="s">
        <v>30748</v>
      </c>
      <c r="B2766" s="152"/>
      <c r="C2766" s="55"/>
      <c r="D2766" s="31"/>
    </row>
    <row r="2767">
      <c r="A2767" s="51" t="s">
        <v>30750</v>
      </c>
      <c r="B2767" s="152"/>
      <c r="C2767" s="82"/>
      <c r="D2767" s="33" t="s">
        <v>30751</v>
      </c>
      <c r="F2767" s="46" t="s">
        <v>2775</v>
      </c>
    </row>
    <row r="2768">
      <c r="A2768" s="51" t="s">
        <v>30754</v>
      </c>
      <c r="B2768" s="152"/>
      <c r="C2768" s="82"/>
      <c r="D2768" s="33" t="s">
        <v>30751</v>
      </c>
      <c r="F2768" s="46" t="s">
        <v>2793</v>
      </c>
    </row>
    <row r="2769">
      <c r="A2769" s="51" t="s">
        <v>30757</v>
      </c>
      <c r="B2769" s="152"/>
      <c r="C2769" s="82"/>
      <c r="D2769" s="33" t="s">
        <v>30759</v>
      </c>
      <c r="F2769" s="46" t="s">
        <v>1348</v>
      </c>
    </row>
    <row r="2770">
      <c r="A2770" s="51" t="s">
        <v>30760</v>
      </c>
      <c r="B2770" s="152"/>
      <c r="C2770" s="55"/>
      <c r="D2770" s="31"/>
    </row>
    <row r="2771">
      <c r="A2771" s="51" t="s">
        <v>30763</v>
      </c>
      <c r="B2771" s="152"/>
      <c r="C2771" s="55"/>
      <c r="D2771" s="31"/>
    </row>
    <row r="2772">
      <c r="A2772" s="51" t="s">
        <v>30764</v>
      </c>
      <c r="B2772" s="152"/>
      <c r="C2772" s="55"/>
      <c r="D2772" s="31"/>
    </row>
    <row r="2773">
      <c r="A2773" s="51" t="s">
        <v>30767</v>
      </c>
      <c r="B2773" s="152"/>
      <c r="C2773" s="55"/>
      <c r="D2773" s="31"/>
    </row>
    <row r="2774">
      <c r="A2774" s="51" t="s">
        <v>30768</v>
      </c>
      <c r="B2774" s="152"/>
      <c r="C2774" s="55"/>
      <c r="D2774" s="31"/>
    </row>
    <row r="2775">
      <c r="A2775" s="51" t="s">
        <v>30771</v>
      </c>
      <c r="B2775" s="152"/>
      <c r="C2775" s="55"/>
      <c r="D2775" s="31"/>
    </row>
    <row r="2776">
      <c r="A2776" s="51" t="s">
        <v>30773</v>
      </c>
      <c r="B2776" s="152"/>
      <c r="C2776" s="55"/>
      <c r="D2776" s="31"/>
    </row>
    <row r="2777">
      <c r="A2777" s="51" t="s">
        <v>30776</v>
      </c>
      <c r="B2777" s="152"/>
      <c r="C2777" s="82"/>
      <c r="D2777" s="33" t="s">
        <v>30777</v>
      </c>
      <c r="F2777" s="46" t="s">
        <v>2775</v>
      </c>
    </row>
    <row r="2778">
      <c r="A2778" s="51" t="s">
        <v>30779</v>
      </c>
      <c r="B2778" s="152"/>
      <c r="C2778" s="82"/>
      <c r="D2778" s="33" t="s">
        <v>30777</v>
      </c>
      <c r="F2778" s="46" t="s">
        <v>2793</v>
      </c>
    </row>
    <row r="2779">
      <c r="A2779" s="51" t="s">
        <v>30781</v>
      </c>
      <c r="B2779" s="152"/>
      <c r="C2779" s="82"/>
      <c r="D2779" s="33" t="s">
        <v>30783</v>
      </c>
      <c r="F2779" s="46" t="s">
        <v>1348</v>
      </c>
    </row>
    <row r="2780">
      <c r="A2780" s="51" t="s">
        <v>30785</v>
      </c>
      <c r="B2780" s="152"/>
      <c r="C2780" s="82"/>
      <c r="D2780" s="33" t="s">
        <v>30787</v>
      </c>
      <c r="F2780" s="46" t="s">
        <v>2775</v>
      </c>
    </row>
    <row r="2781">
      <c r="A2781" s="51" t="s">
        <v>30788</v>
      </c>
      <c r="B2781" s="152"/>
      <c r="C2781" s="82"/>
      <c r="D2781" s="33" t="s">
        <v>30787</v>
      </c>
      <c r="F2781" s="46" t="s">
        <v>2793</v>
      </c>
    </row>
    <row r="2782">
      <c r="A2782" s="51" t="s">
        <v>30789</v>
      </c>
      <c r="B2782" s="152"/>
      <c r="C2782" s="82"/>
      <c r="D2782" s="33" t="s">
        <v>30790</v>
      </c>
      <c r="F2782" s="46" t="s">
        <v>2775</v>
      </c>
    </row>
    <row r="2783">
      <c r="A2783" s="51" t="s">
        <v>30791</v>
      </c>
      <c r="B2783" s="152"/>
      <c r="C2783" s="82"/>
      <c r="D2783" s="33" t="s">
        <v>30790</v>
      </c>
      <c r="F2783" s="46" t="s">
        <v>2793</v>
      </c>
    </row>
    <row r="2784">
      <c r="A2784" s="51" t="s">
        <v>30792</v>
      </c>
      <c r="B2784" s="152"/>
      <c r="C2784" s="82"/>
      <c r="D2784" s="33" t="s">
        <v>30793</v>
      </c>
      <c r="F2784" s="46" t="s">
        <v>2775</v>
      </c>
    </row>
    <row r="2785">
      <c r="A2785" s="51" t="s">
        <v>30794</v>
      </c>
      <c r="B2785" s="152"/>
      <c r="C2785" s="82"/>
      <c r="D2785" s="33" t="s">
        <v>30793</v>
      </c>
      <c r="F2785" s="46" t="s">
        <v>2793</v>
      </c>
    </row>
    <row r="2786">
      <c r="A2786" s="51" t="s">
        <v>30797</v>
      </c>
      <c r="B2786" s="152"/>
      <c r="C2786" s="82"/>
      <c r="D2786" s="33" t="s">
        <v>30799</v>
      </c>
      <c r="F2786" s="46" t="s">
        <v>2775</v>
      </c>
    </row>
    <row r="2787">
      <c r="A2787" s="51" t="s">
        <v>30800</v>
      </c>
      <c r="B2787" s="152"/>
      <c r="C2787" s="82"/>
      <c r="D2787" s="33" t="s">
        <v>30799</v>
      </c>
      <c r="F2787" s="46" t="s">
        <v>2793</v>
      </c>
    </row>
    <row r="2788">
      <c r="A2788" s="51" t="s">
        <v>30801</v>
      </c>
      <c r="B2788" s="152"/>
      <c r="C2788" s="82"/>
      <c r="D2788" s="33" t="s">
        <v>30802</v>
      </c>
      <c r="F2788" s="46" t="s">
        <v>2775</v>
      </c>
    </row>
    <row r="2789">
      <c r="A2789" s="51" t="s">
        <v>30803</v>
      </c>
      <c r="B2789" s="152"/>
      <c r="C2789" s="82"/>
      <c r="D2789" s="33" t="s">
        <v>30802</v>
      </c>
      <c r="F2789" s="46" t="s">
        <v>2793</v>
      </c>
    </row>
    <row r="2790">
      <c r="A2790" s="51" t="s">
        <v>30804</v>
      </c>
      <c r="B2790" s="152"/>
      <c r="C2790" s="82"/>
      <c r="D2790" s="33" t="s">
        <v>30805</v>
      </c>
      <c r="F2790" s="46" t="s">
        <v>2775</v>
      </c>
    </row>
    <row r="2791">
      <c r="A2791" s="51" t="s">
        <v>30806</v>
      </c>
      <c r="B2791" s="152"/>
      <c r="C2791" s="82"/>
      <c r="D2791" s="33" t="s">
        <v>30805</v>
      </c>
      <c r="F2791" s="46" t="s">
        <v>2793</v>
      </c>
    </row>
    <row r="2792">
      <c r="A2792" s="51" t="s">
        <v>30809</v>
      </c>
      <c r="B2792" s="152"/>
      <c r="C2792" s="82"/>
      <c r="D2792" s="33" t="s">
        <v>30810</v>
      </c>
      <c r="F2792" s="46" t="s">
        <v>2775</v>
      </c>
    </row>
    <row r="2793">
      <c r="A2793" s="51" t="s">
        <v>30811</v>
      </c>
      <c r="B2793" s="152"/>
      <c r="C2793" s="82"/>
      <c r="D2793" s="33" t="s">
        <v>30810</v>
      </c>
      <c r="F2793" s="46" t="s">
        <v>2793</v>
      </c>
    </row>
    <row r="2794">
      <c r="A2794" s="51" t="s">
        <v>30812</v>
      </c>
      <c r="B2794" s="152"/>
      <c r="C2794" s="55"/>
      <c r="D2794" s="31"/>
    </row>
    <row r="2795">
      <c r="A2795" s="51" t="s">
        <v>30813</v>
      </c>
      <c r="B2795" s="152"/>
      <c r="C2795" s="55"/>
      <c r="D2795" s="31"/>
    </row>
    <row r="2796">
      <c r="A2796" s="51" t="s">
        <v>30814</v>
      </c>
      <c r="B2796" s="152"/>
      <c r="C2796" s="55"/>
      <c r="D2796" s="31"/>
    </row>
    <row r="2797">
      <c r="A2797" s="51" t="s">
        <v>30816</v>
      </c>
      <c r="B2797" s="152"/>
      <c r="C2797" s="55"/>
      <c r="D2797" s="31"/>
    </row>
    <row r="2798">
      <c r="A2798" s="51" t="s">
        <v>30818</v>
      </c>
      <c r="B2798" s="152"/>
      <c r="C2798" s="82"/>
      <c r="D2798" s="33" t="s">
        <v>30819</v>
      </c>
      <c r="F2798" s="46" t="s">
        <v>1348</v>
      </c>
    </row>
    <row r="2799">
      <c r="A2799" s="51" t="s">
        <v>30820</v>
      </c>
      <c r="B2799" s="152"/>
      <c r="C2799" s="55"/>
      <c r="D2799" s="31"/>
    </row>
    <row r="2800">
      <c r="A2800" s="51" t="s">
        <v>30822</v>
      </c>
      <c r="B2800" s="152"/>
      <c r="C2800" s="55"/>
      <c r="D2800" s="31"/>
    </row>
    <row r="2801">
      <c r="A2801" s="51" t="s">
        <v>30823</v>
      </c>
      <c r="B2801" s="152"/>
      <c r="C2801" s="55"/>
      <c r="D2801" s="31"/>
    </row>
    <row r="2802">
      <c r="A2802" s="51" t="s">
        <v>30824</v>
      </c>
      <c r="B2802" s="152"/>
      <c r="C2802" s="55"/>
      <c r="D2802" s="31"/>
    </row>
    <row r="2803">
      <c r="A2803" s="51" t="s">
        <v>30827</v>
      </c>
      <c r="B2803" s="152"/>
      <c r="C2803" s="82"/>
      <c r="D2803" s="33" t="s">
        <v>30828</v>
      </c>
      <c r="F2803" s="46" t="s">
        <v>2775</v>
      </c>
    </row>
    <row r="2804">
      <c r="A2804" s="51" t="s">
        <v>30829</v>
      </c>
      <c r="B2804" s="152"/>
      <c r="C2804" s="82"/>
      <c r="D2804" s="33" t="s">
        <v>30828</v>
      </c>
      <c r="F2804" s="46" t="s">
        <v>2793</v>
      </c>
    </row>
    <row r="2805">
      <c r="A2805" s="51" t="s">
        <v>30830</v>
      </c>
      <c r="B2805" s="152"/>
      <c r="C2805" s="55"/>
      <c r="D2805" s="31"/>
    </row>
    <row r="2806">
      <c r="A2806" s="51" t="s">
        <v>30831</v>
      </c>
      <c r="B2806" s="152"/>
      <c r="C2806" s="55"/>
      <c r="D2806" s="31"/>
    </row>
    <row r="2807">
      <c r="A2807" s="51" t="s">
        <v>30832</v>
      </c>
      <c r="B2807" s="152"/>
      <c r="C2807" s="55"/>
      <c r="D2807" s="31"/>
    </row>
    <row r="2808">
      <c r="A2808" s="51" t="s">
        <v>30834</v>
      </c>
      <c r="B2808" s="152"/>
      <c r="C2808" s="55"/>
      <c r="D2808" s="31"/>
    </row>
    <row r="2809">
      <c r="C2809" s="12"/>
    </row>
    <row r="2810">
      <c r="A2810" s="159" t="s">
        <v>30838</v>
      </c>
      <c r="B2810" s="152"/>
      <c r="C2810" s="68"/>
      <c r="D2810" s="31"/>
    </row>
    <row r="2811">
      <c r="A2811" s="51" t="s">
        <v>110</v>
      </c>
      <c r="B2811" s="152"/>
      <c r="C2811" s="55"/>
      <c r="D2811" s="31"/>
    </row>
    <row r="2812">
      <c r="C2812" s="12"/>
    </row>
    <row r="2813">
      <c r="A2813" s="159" t="s">
        <v>30845</v>
      </c>
      <c r="B2813" s="152"/>
      <c r="C2813" s="68"/>
      <c r="D2813" s="31"/>
    </row>
    <row r="2814">
      <c r="A2814" s="51" t="s">
        <v>558</v>
      </c>
      <c r="B2814" s="152"/>
      <c r="C2814" s="55"/>
      <c r="D2814" s="31"/>
    </row>
    <row r="2815">
      <c r="C2815" s="12"/>
    </row>
    <row r="2816">
      <c r="A2816" s="159" t="s">
        <v>30847</v>
      </c>
      <c r="B2816" s="152"/>
      <c r="C2816" s="68"/>
      <c r="D2816" s="31"/>
    </row>
    <row r="2817">
      <c r="A2817" s="51" t="s">
        <v>30849</v>
      </c>
      <c r="B2817" s="152"/>
      <c r="C2817" s="55"/>
      <c r="D2817" s="33" t="s">
        <v>30850</v>
      </c>
    </row>
    <row r="2818">
      <c r="A2818" s="51" t="s">
        <v>30851</v>
      </c>
      <c r="B2818" s="152"/>
      <c r="C2818" s="55"/>
      <c r="D2818" s="31"/>
    </row>
    <row r="2819">
      <c r="A2819" s="51" t="s">
        <v>30854</v>
      </c>
      <c r="B2819" s="152"/>
      <c r="C2819" s="55"/>
      <c r="D2819" s="33" t="s">
        <v>30855</v>
      </c>
    </row>
    <row r="2820">
      <c r="A2820" s="51" t="s">
        <v>30856</v>
      </c>
      <c r="B2820" s="152"/>
      <c r="C2820" s="55"/>
      <c r="D2820" s="33" t="s">
        <v>30857</v>
      </c>
    </row>
    <row r="2821">
      <c r="A2821" s="51" t="s">
        <v>30858</v>
      </c>
      <c r="B2821" s="152"/>
      <c r="C2821" s="55"/>
      <c r="D2821" s="33" t="s">
        <v>30857</v>
      </c>
    </row>
    <row r="2822">
      <c r="A2822" s="51" t="s">
        <v>30860</v>
      </c>
      <c r="B2822" s="152"/>
      <c r="C2822" s="55"/>
      <c r="D2822" s="33" t="s">
        <v>30857</v>
      </c>
    </row>
    <row r="2823">
      <c r="A2823" s="51" t="s">
        <v>30861</v>
      </c>
      <c r="B2823" s="152"/>
      <c r="C2823" s="55"/>
      <c r="D2823" s="33" t="s">
        <v>30862</v>
      </c>
    </row>
    <row r="2824">
      <c r="A2824" s="51" t="s">
        <v>30863</v>
      </c>
      <c r="B2824" s="152"/>
      <c r="C2824" s="55"/>
      <c r="D2824" s="31"/>
    </row>
    <row r="2825">
      <c r="A2825" s="51" t="s">
        <v>30864</v>
      </c>
      <c r="B2825" s="152"/>
      <c r="C2825" s="55"/>
      <c r="D2825" s="33" t="s">
        <v>30865</v>
      </c>
    </row>
    <row r="2826">
      <c r="A2826" s="51" t="s">
        <v>30866</v>
      </c>
      <c r="B2826" s="152"/>
      <c r="C2826" s="55"/>
      <c r="D2826" s="31"/>
    </row>
    <row r="2827">
      <c r="C2827" s="12"/>
    </row>
    <row r="2828">
      <c r="A2828" s="159" t="s">
        <v>30867</v>
      </c>
      <c r="B2828" s="152"/>
      <c r="C2828" s="68"/>
      <c r="D2828" s="31"/>
    </row>
    <row r="2829">
      <c r="A2829" s="51" t="s">
        <v>30870</v>
      </c>
      <c r="B2829" s="152"/>
      <c r="C2829" s="55"/>
      <c r="D2829" s="33" t="s">
        <v>30871</v>
      </c>
      <c r="F2829" s="46" t="s">
        <v>30872</v>
      </c>
    </row>
    <row r="2830">
      <c r="A2830" s="51" t="s">
        <v>30876</v>
      </c>
      <c r="B2830" s="152"/>
      <c r="C2830" s="55"/>
      <c r="D2830" s="33" t="s">
        <v>30877</v>
      </c>
      <c r="F2830" s="46" t="s">
        <v>30872</v>
      </c>
    </row>
    <row r="2831">
      <c r="A2831" s="51" t="s">
        <v>30878</v>
      </c>
      <c r="B2831" s="152"/>
      <c r="C2831" s="55"/>
      <c r="D2831" s="33" t="s">
        <v>30879</v>
      </c>
    </row>
    <row r="2832">
      <c r="A2832" s="51" t="s">
        <v>30880</v>
      </c>
      <c r="B2832" s="152"/>
      <c r="C2832" s="55"/>
      <c r="D2832" s="33" t="s">
        <v>30881</v>
      </c>
      <c r="F2832" s="46" t="s">
        <v>2775</v>
      </c>
    </row>
    <row r="2833">
      <c r="A2833" s="51" t="s">
        <v>30882</v>
      </c>
      <c r="B2833" s="152"/>
      <c r="C2833" s="55"/>
      <c r="D2833" s="33" t="s">
        <v>30881</v>
      </c>
      <c r="F2833" s="46" t="s">
        <v>2793</v>
      </c>
    </row>
    <row r="2834">
      <c r="A2834" s="51" t="s">
        <v>30883</v>
      </c>
      <c r="B2834" s="152"/>
      <c r="C2834" s="55"/>
      <c r="D2834" s="31"/>
    </row>
    <row r="2835">
      <c r="A2835" s="51" t="s">
        <v>30885</v>
      </c>
      <c r="B2835" s="152"/>
      <c r="C2835" s="55"/>
      <c r="D2835" s="33" t="s">
        <v>30887</v>
      </c>
      <c r="F2835" s="46" t="s">
        <v>2775</v>
      </c>
    </row>
    <row r="2836">
      <c r="A2836" s="51" t="s">
        <v>30889</v>
      </c>
      <c r="B2836" s="152"/>
      <c r="C2836" s="55"/>
      <c r="D2836" s="33" t="s">
        <v>30887</v>
      </c>
      <c r="F2836" s="46" t="s">
        <v>2793</v>
      </c>
    </row>
    <row r="2837">
      <c r="A2837" s="51" t="s">
        <v>30890</v>
      </c>
      <c r="B2837" s="152"/>
      <c r="C2837" s="55"/>
      <c r="D2837" s="31"/>
    </row>
    <row r="2838">
      <c r="A2838" s="51" t="s">
        <v>30891</v>
      </c>
      <c r="B2838" s="152"/>
      <c r="C2838" s="55"/>
      <c r="D2838" s="31"/>
    </row>
    <row r="2839">
      <c r="A2839" s="51" t="s">
        <v>30892</v>
      </c>
      <c r="B2839" s="152"/>
      <c r="C2839" s="55"/>
      <c r="D2839" s="31"/>
    </row>
    <row r="2840">
      <c r="A2840" s="51" t="s">
        <v>30893</v>
      </c>
      <c r="B2840" s="152"/>
      <c r="C2840" s="55"/>
      <c r="D2840" s="31"/>
    </row>
    <row r="2841">
      <c r="A2841" s="51" t="s">
        <v>30895</v>
      </c>
      <c r="B2841" s="152"/>
      <c r="C2841" s="55"/>
      <c r="D2841" s="31"/>
    </row>
    <row r="2842">
      <c r="A2842" s="51" t="s">
        <v>30896</v>
      </c>
      <c r="B2842" s="152"/>
      <c r="C2842" s="55"/>
      <c r="D2842" s="33" t="s">
        <v>30897</v>
      </c>
      <c r="F2842" s="46" t="s">
        <v>30872</v>
      </c>
    </row>
    <row r="2843">
      <c r="A2843" s="51" t="s">
        <v>30899</v>
      </c>
      <c r="B2843" s="152"/>
      <c r="C2843" s="55"/>
      <c r="D2843" s="33" t="s">
        <v>30900</v>
      </c>
      <c r="F2843" s="46" t="s">
        <v>2775</v>
      </c>
    </row>
    <row r="2844">
      <c r="A2844" s="51" t="s">
        <v>30901</v>
      </c>
      <c r="B2844" s="152"/>
      <c r="C2844" s="55"/>
      <c r="D2844" s="33" t="s">
        <v>30900</v>
      </c>
      <c r="F2844" s="46" t="s">
        <v>2793</v>
      </c>
    </row>
    <row r="2845">
      <c r="A2845" s="51" t="s">
        <v>30902</v>
      </c>
      <c r="B2845" s="152"/>
      <c r="C2845" s="55"/>
      <c r="D2845" s="31"/>
    </row>
    <row r="2846">
      <c r="A2846" s="51" t="s">
        <v>30904</v>
      </c>
      <c r="B2846" s="152"/>
      <c r="C2846" s="55"/>
      <c r="D2846" s="33" t="s">
        <v>30906</v>
      </c>
      <c r="F2846" s="46" t="s">
        <v>2775</v>
      </c>
    </row>
    <row r="2847">
      <c r="A2847" s="51" t="s">
        <v>30907</v>
      </c>
      <c r="B2847" s="152"/>
      <c r="C2847" s="55"/>
      <c r="D2847" s="33" t="s">
        <v>30906</v>
      </c>
      <c r="F2847" s="46" t="s">
        <v>2793</v>
      </c>
    </row>
    <row r="2848">
      <c r="A2848" s="51" t="s">
        <v>30908</v>
      </c>
      <c r="B2848" s="152"/>
      <c r="C2848" s="55"/>
      <c r="D2848" s="141" t="s">
        <v>30909</v>
      </c>
    </row>
    <row r="2849">
      <c r="A2849" s="51" t="s">
        <v>30911</v>
      </c>
      <c r="B2849" s="152"/>
      <c r="C2849" s="55"/>
      <c r="D2849" s="141" t="s">
        <v>30909</v>
      </c>
    </row>
    <row r="2850">
      <c r="A2850" s="51" t="s">
        <v>30912</v>
      </c>
      <c r="B2850" s="152"/>
      <c r="C2850" s="55"/>
      <c r="D2850" s="141" t="s">
        <v>30909</v>
      </c>
    </row>
    <row r="2851">
      <c r="A2851" s="51" t="s">
        <v>30913</v>
      </c>
      <c r="B2851" s="152"/>
      <c r="C2851" s="55"/>
      <c r="D2851" s="141" t="s">
        <v>30909</v>
      </c>
    </row>
    <row r="2852">
      <c r="A2852" s="51" t="s">
        <v>30914</v>
      </c>
      <c r="B2852" s="152"/>
      <c r="C2852" s="55"/>
      <c r="D2852" s="141" t="s">
        <v>30909</v>
      </c>
    </row>
    <row r="2853">
      <c r="A2853" s="51" t="s">
        <v>30916</v>
      </c>
      <c r="B2853" s="152"/>
      <c r="C2853" s="55"/>
      <c r="D2853" s="141" t="s">
        <v>30909</v>
      </c>
    </row>
    <row r="2854">
      <c r="A2854" s="51" t="s">
        <v>30917</v>
      </c>
      <c r="B2854" s="152"/>
      <c r="C2854" s="55"/>
      <c r="D2854" s="141" t="s">
        <v>30909</v>
      </c>
    </row>
    <row r="2855">
      <c r="A2855" s="51" t="s">
        <v>30918</v>
      </c>
      <c r="B2855" s="152"/>
      <c r="C2855" s="55"/>
      <c r="D2855" s="141" t="s">
        <v>30909</v>
      </c>
    </row>
    <row r="2856">
      <c r="A2856" s="51" t="s">
        <v>30920</v>
      </c>
      <c r="B2856" s="152"/>
      <c r="C2856" s="55"/>
      <c r="D2856" s="33" t="s">
        <v>30922</v>
      </c>
    </row>
    <row r="2857">
      <c r="A2857" s="51" t="s">
        <v>30924</v>
      </c>
      <c r="B2857" s="152"/>
      <c r="C2857" s="55"/>
      <c r="D2857" s="33" t="s">
        <v>30922</v>
      </c>
    </row>
    <row r="2858">
      <c r="A2858" s="51" t="s">
        <v>30925</v>
      </c>
      <c r="B2858" s="152"/>
      <c r="C2858" s="55"/>
      <c r="D2858" s="33" t="s">
        <v>30922</v>
      </c>
    </row>
    <row r="2859">
      <c r="A2859" s="51" t="s">
        <v>30926</v>
      </c>
      <c r="B2859" s="152"/>
      <c r="C2859" s="55"/>
      <c r="D2859" s="33" t="s">
        <v>30927</v>
      </c>
      <c r="F2859" s="46" t="s">
        <v>2775</v>
      </c>
    </row>
    <row r="2860">
      <c r="A2860" s="51" t="s">
        <v>30928</v>
      </c>
      <c r="B2860" s="152"/>
      <c r="C2860" s="55"/>
      <c r="D2860" s="33" t="s">
        <v>30927</v>
      </c>
      <c r="F2860" s="46" t="s">
        <v>2793</v>
      </c>
    </row>
    <row r="2861">
      <c r="A2861" s="51" t="s">
        <v>30929</v>
      </c>
      <c r="B2861" s="152"/>
      <c r="C2861" s="55"/>
      <c r="D2861" s="33" t="s">
        <v>30927</v>
      </c>
      <c r="F2861" s="46" t="s">
        <v>1348</v>
      </c>
    </row>
    <row r="2862">
      <c r="A2862" s="51" t="s">
        <v>30931</v>
      </c>
      <c r="B2862" s="152"/>
      <c r="C2862" s="55"/>
      <c r="D2862" s="33" t="s">
        <v>30933</v>
      </c>
      <c r="F2862" s="46" t="s">
        <v>2775</v>
      </c>
    </row>
    <row r="2863">
      <c r="A2863" s="51" t="s">
        <v>30934</v>
      </c>
      <c r="B2863" s="152"/>
      <c r="C2863" s="55"/>
      <c r="D2863" s="33" t="s">
        <v>30933</v>
      </c>
      <c r="F2863" s="46" t="s">
        <v>2793</v>
      </c>
    </row>
    <row r="2864">
      <c r="A2864" s="51" t="s">
        <v>30935</v>
      </c>
      <c r="B2864" s="152"/>
      <c r="C2864" s="55"/>
      <c r="D2864" s="33" t="s">
        <v>30933</v>
      </c>
      <c r="F2864" s="46" t="s">
        <v>1348</v>
      </c>
    </row>
    <row r="2865">
      <c r="A2865" s="51" t="s">
        <v>30936</v>
      </c>
      <c r="B2865" s="152"/>
      <c r="C2865" s="55"/>
      <c r="D2865" s="33" t="s">
        <v>30937</v>
      </c>
      <c r="F2865" s="46" t="s">
        <v>1348</v>
      </c>
    </row>
    <row r="2866">
      <c r="A2866" s="51" t="s">
        <v>30939</v>
      </c>
      <c r="B2866" s="152"/>
      <c r="C2866" s="55"/>
      <c r="D2866" s="33" t="s">
        <v>30941</v>
      </c>
      <c r="F2866" s="46" t="s">
        <v>1348</v>
      </c>
    </row>
    <row r="2867">
      <c r="A2867" s="51" t="s">
        <v>30942</v>
      </c>
      <c r="B2867" s="152"/>
      <c r="C2867" s="55"/>
      <c r="D2867" s="33" t="s">
        <v>30943</v>
      </c>
      <c r="F2867" s="46" t="s">
        <v>1348</v>
      </c>
    </row>
    <row r="2868">
      <c r="C2868" s="12"/>
    </row>
    <row r="2869">
      <c r="A2869" s="159" t="s">
        <v>30945</v>
      </c>
      <c r="B2869" s="152"/>
      <c r="C2869" s="68"/>
      <c r="D2869" s="31"/>
    </row>
    <row r="2870">
      <c r="A2870" s="51" t="s">
        <v>30946</v>
      </c>
      <c r="B2870" s="152"/>
      <c r="C2870" s="55"/>
      <c r="D2870" s="31"/>
    </row>
    <row r="2871">
      <c r="A2871" s="51" t="s">
        <v>30947</v>
      </c>
      <c r="B2871" s="152"/>
      <c r="C2871" s="55"/>
      <c r="D2871" s="31"/>
    </row>
    <row r="2872">
      <c r="A2872" s="51" t="s">
        <v>30949</v>
      </c>
      <c r="B2872" s="152"/>
      <c r="C2872" s="55"/>
      <c r="D2872" s="31"/>
    </row>
    <row r="2873">
      <c r="A2873" s="51" t="s">
        <v>30950</v>
      </c>
      <c r="B2873" s="152"/>
      <c r="C2873" s="55"/>
      <c r="D2873" s="31"/>
    </row>
    <row r="2874">
      <c r="A2874" s="51" t="s">
        <v>30951</v>
      </c>
      <c r="B2874" s="152"/>
      <c r="C2874" s="55"/>
      <c r="D2874" s="31"/>
    </row>
    <row r="2875">
      <c r="A2875" s="51" t="s">
        <v>30952</v>
      </c>
      <c r="B2875" s="152"/>
      <c r="C2875" s="55"/>
      <c r="D2875" s="31"/>
    </row>
    <row r="2876">
      <c r="C2876" s="12"/>
    </row>
    <row r="2877">
      <c r="A2877" s="159" t="s">
        <v>30953</v>
      </c>
      <c r="B2877" s="152"/>
      <c r="C2877" s="160"/>
      <c r="D2877" s="31"/>
    </row>
    <row r="2878">
      <c r="A2878" s="51" t="s">
        <v>30960</v>
      </c>
      <c r="B2878" s="152"/>
      <c r="C2878" s="161"/>
      <c r="D2878" s="31"/>
    </row>
    <row r="2879">
      <c r="A2879" s="51" t="s">
        <v>30964</v>
      </c>
      <c r="B2879" s="152"/>
      <c r="C2879" s="161"/>
      <c r="D2879" s="31"/>
    </row>
    <row r="2880">
      <c r="C2880" s="12"/>
    </row>
    <row r="2881">
      <c r="A2881" s="159" t="s">
        <v>30967</v>
      </c>
      <c r="B2881" s="152"/>
      <c r="C2881" s="68"/>
      <c r="D2881" s="31"/>
    </row>
    <row r="2882">
      <c r="A2882" s="51" t="s">
        <v>30969</v>
      </c>
      <c r="B2882" s="152"/>
      <c r="C2882" s="55"/>
      <c r="D2882" s="31"/>
    </row>
    <row r="2883">
      <c r="A2883" s="51" t="s">
        <v>30970</v>
      </c>
      <c r="B2883" s="152"/>
      <c r="C2883" s="55"/>
      <c r="D2883" s="31"/>
    </row>
    <row r="2884">
      <c r="A2884" s="51" t="s">
        <v>30971</v>
      </c>
      <c r="B2884" s="152"/>
      <c r="C2884" s="55"/>
      <c r="D2884" s="33" t="s">
        <v>30972</v>
      </c>
      <c r="F2884" s="46" t="s">
        <v>2775</v>
      </c>
      <c r="G2884" s="46" t="s">
        <v>30973</v>
      </c>
    </row>
    <row r="2885">
      <c r="A2885" s="51" t="s">
        <v>30974</v>
      </c>
      <c r="B2885" s="152"/>
      <c r="C2885" s="55"/>
      <c r="D2885" s="33" t="s">
        <v>30972</v>
      </c>
      <c r="F2885" s="46" t="s">
        <v>2793</v>
      </c>
      <c r="G2885" s="46" t="s">
        <v>30973</v>
      </c>
    </row>
    <row r="2886">
      <c r="A2886" s="51" t="s">
        <v>30975</v>
      </c>
      <c r="B2886" s="152"/>
      <c r="C2886" s="55"/>
      <c r="D2886" s="33" t="s">
        <v>30977</v>
      </c>
      <c r="F2886" s="46" t="s">
        <v>1348</v>
      </c>
      <c r="G2886" s="46" t="s">
        <v>30973</v>
      </c>
    </row>
    <row r="2887">
      <c r="A2887" s="51" t="s">
        <v>30978</v>
      </c>
      <c r="B2887" s="152"/>
      <c r="C2887" s="55"/>
      <c r="D2887" s="33" t="s">
        <v>30980</v>
      </c>
      <c r="F2887" s="46" t="s">
        <v>2775</v>
      </c>
    </row>
    <row r="2888">
      <c r="A2888" s="51" t="s">
        <v>30981</v>
      </c>
      <c r="B2888" s="152"/>
      <c r="C2888" s="55"/>
      <c r="D2888" s="33" t="s">
        <v>30980</v>
      </c>
      <c r="F2888" s="46" t="s">
        <v>2793</v>
      </c>
    </row>
    <row r="2889">
      <c r="A2889" s="51" t="s">
        <v>30982</v>
      </c>
      <c r="B2889" s="152"/>
      <c r="C2889" s="55"/>
      <c r="D2889" s="33" t="s">
        <v>30980</v>
      </c>
      <c r="F2889" s="46" t="s">
        <v>2775</v>
      </c>
    </row>
    <row r="2890">
      <c r="A2890" s="51" t="s">
        <v>30985</v>
      </c>
      <c r="B2890" s="152"/>
      <c r="C2890" s="55"/>
      <c r="D2890" s="33" t="s">
        <v>30980</v>
      </c>
      <c r="F2890" s="46" t="s">
        <v>2793</v>
      </c>
    </row>
    <row r="2891">
      <c r="A2891" s="51" t="s">
        <v>30988</v>
      </c>
      <c r="B2891" s="152"/>
      <c r="C2891" s="55"/>
      <c r="D2891" s="33" t="s">
        <v>30989</v>
      </c>
    </row>
    <row r="2892">
      <c r="A2892" s="51" t="s">
        <v>30990</v>
      </c>
      <c r="B2892" s="152"/>
      <c r="C2892" s="55"/>
      <c r="D2892" s="33" t="s">
        <v>30991</v>
      </c>
      <c r="F2892" s="46" t="s">
        <v>1348</v>
      </c>
    </row>
    <row r="2893">
      <c r="A2893" s="51" t="s">
        <v>30992</v>
      </c>
      <c r="B2893" s="152"/>
      <c r="C2893" s="55"/>
      <c r="D2893" s="33" t="s">
        <v>30993</v>
      </c>
      <c r="F2893" s="46" t="s">
        <v>2775</v>
      </c>
    </row>
    <row r="2894">
      <c r="A2894" s="51" t="s">
        <v>30994</v>
      </c>
      <c r="B2894" s="152"/>
      <c r="C2894" s="55"/>
      <c r="D2894" s="33" t="s">
        <v>30993</v>
      </c>
      <c r="F2894" s="46" t="s">
        <v>2793</v>
      </c>
    </row>
    <row r="2895">
      <c r="A2895" s="51" t="s">
        <v>30998</v>
      </c>
      <c r="B2895" s="152"/>
      <c r="C2895" s="55"/>
      <c r="D2895" s="33" t="s">
        <v>30993</v>
      </c>
      <c r="F2895" s="46" t="s">
        <v>2775</v>
      </c>
    </row>
    <row r="2896">
      <c r="A2896" s="51" t="s">
        <v>31000</v>
      </c>
      <c r="B2896" s="152"/>
      <c r="C2896" s="55"/>
      <c r="D2896" s="33" t="s">
        <v>30993</v>
      </c>
      <c r="F2896" s="46" t="s">
        <v>2793</v>
      </c>
    </row>
    <row r="2897">
      <c r="A2897" s="51" t="s">
        <v>31002</v>
      </c>
      <c r="B2897" s="152"/>
      <c r="C2897" s="55"/>
      <c r="D2897" s="33" t="s">
        <v>30989</v>
      </c>
      <c r="F2897" s="46" t="s">
        <v>2775</v>
      </c>
    </row>
    <row r="2898">
      <c r="A2898" s="51" t="s">
        <v>31003</v>
      </c>
      <c r="B2898" s="152"/>
      <c r="C2898" s="55"/>
      <c r="D2898" s="33" t="s">
        <v>30989</v>
      </c>
      <c r="F2898" s="46" t="s">
        <v>2793</v>
      </c>
    </row>
    <row r="2899">
      <c r="A2899" s="51" t="s">
        <v>31004</v>
      </c>
      <c r="B2899" s="152"/>
      <c r="C2899" s="55"/>
      <c r="D2899" s="33" t="s">
        <v>30989</v>
      </c>
      <c r="F2899" s="46" t="s">
        <v>2775</v>
      </c>
    </row>
    <row r="2900">
      <c r="A2900" s="51" t="s">
        <v>31006</v>
      </c>
      <c r="B2900" s="152"/>
      <c r="C2900" s="55"/>
      <c r="D2900" s="33" t="s">
        <v>30989</v>
      </c>
      <c r="F2900" s="46" t="s">
        <v>2793</v>
      </c>
    </row>
    <row r="2901">
      <c r="A2901" s="51" t="s">
        <v>31007</v>
      </c>
      <c r="B2901" s="152"/>
      <c r="C2901" s="55"/>
      <c r="D2901" s="33" t="s">
        <v>30989</v>
      </c>
    </row>
    <row r="2902">
      <c r="A2902" s="51" t="s">
        <v>31008</v>
      </c>
      <c r="B2902" s="152"/>
      <c r="C2902" s="55"/>
      <c r="D2902" s="33" t="s">
        <v>31009</v>
      </c>
      <c r="F2902" s="46" t="s">
        <v>2775</v>
      </c>
    </row>
    <row r="2903">
      <c r="A2903" s="51" t="s">
        <v>31011</v>
      </c>
      <c r="B2903" s="152"/>
      <c r="C2903" s="55"/>
      <c r="D2903" s="33" t="s">
        <v>31009</v>
      </c>
      <c r="F2903" s="46" t="s">
        <v>2793</v>
      </c>
    </row>
    <row r="2904">
      <c r="A2904" s="51" t="s">
        <v>31013</v>
      </c>
      <c r="B2904" s="152"/>
      <c r="C2904" s="55"/>
      <c r="D2904" s="33" t="s">
        <v>31009</v>
      </c>
      <c r="F2904" s="46" t="s">
        <v>1348</v>
      </c>
    </row>
    <row r="2905">
      <c r="A2905" s="51" t="s">
        <v>31014</v>
      </c>
      <c r="B2905" s="152"/>
      <c r="C2905" s="55"/>
      <c r="D2905" s="33" t="s">
        <v>31015</v>
      </c>
      <c r="F2905" s="46" t="s">
        <v>2775</v>
      </c>
    </row>
    <row r="2906">
      <c r="A2906" s="51" t="s">
        <v>31016</v>
      </c>
      <c r="B2906" s="152"/>
      <c r="C2906" s="55"/>
      <c r="D2906" s="33" t="s">
        <v>31015</v>
      </c>
      <c r="F2906" s="46" t="s">
        <v>2793</v>
      </c>
    </row>
    <row r="2907">
      <c r="A2907" s="51" t="s">
        <v>31017</v>
      </c>
      <c r="B2907" s="152"/>
      <c r="C2907" s="55"/>
      <c r="D2907" s="33" t="s">
        <v>31018</v>
      </c>
    </row>
    <row r="2908">
      <c r="A2908" s="51" t="s">
        <v>31019</v>
      </c>
      <c r="B2908" s="152"/>
      <c r="C2908" s="55"/>
      <c r="D2908" s="33" t="s">
        <v>31021</v>
      </c>
      <c r="F2908" s="46" t="s">
        <v>1348</v>
      </c>
    </row>
    <row r="2909">
      <c r="A2909" s="51" t="s">
        <v>31023</v>
      </c>
      <c r="B2909" s="152"/>
      <c r="C2909" s="55"/>
      <c r="D2909" s="33" t="s">
        <v>31018</v>
      </c>
    </row>
    <row r="2910">
      <c r="A2910" s="51" t="s">
        <v>31024</v>
      </c>
      <c r="B2910" s="152"/>
      <c r="C2910" s="55"/>
      <c r="D2910" s="33" t="s">
        <v>31025</v>
      </c>
      <c r="F2910" s="46" t="s">
        <v>1348</v>
      </c>
    </row>
    <row r="2911">
      <c r="A2911" s="51" t="s">
        <v>31026</v>
      </c>
      <c r="B2911" s="152"/>
      <c r="C2911" s="55"/>
      <c r="D2911" s="33" t="s">
        <v>31018</v>
      </c>
    </row>
    <row r="2912">
      <c r="A2912" s="51" t="s">
        <v>31027</v>
      </c>
      <c r="B2912" s="152"/>
      <c r="C2912" s="55"/>
      <c r="D2912" s="33" t="s">
        <v>31028</v>
      </c>
      <c r="F2912" s="46" t="s">
        <v>2775</v>
      </c>
    </row>
    <row r="2913">
      <c r="A2913" s="51" t="s">
        <v>31031</v>
      </c>
      <c r="B2913" s="152"/>
      <c r="C2913" s="55"/>
      <c r="D2913" s="33" t="s">
        <v>31028</v>
      </c>
      <c r="F2913" s="46" t="s">
        <v>2793</v>
      </c>
    </row>
    <row r="2914">
      <c r="A2914" s="51" t="s">
        <v>31032</v>
      </c>
      <c r="B2914" s="152"/>
      <c r="C2914" s="55"/>
      <c r="D2914" s="33" t="s">
        <v>31033</v>
      </c>
    </row>
    <row r="2915">
      <c r="A2915" s="51" t="s">
        <v>31034</v>
      </c>
      <c r="B2915" s="152"/>
      <c r="C2915" s="55"/>
      <c r="D2915" s="33" t="s">
        <v>31035</v>
      </c>
      <c r="F2915" s="46" t="s">
        <v>2775</v>
      </c>
    </row>
    <row r="2916">
      <c r="A2916" s="51" t="s">
        <v>31036</v>
      </c>
      <c r="B2916" s="152"/>
      <c r="C2916" s="55"/>
      <c r="D2916" s="33" t="s">
        <v>31035</v>
      </c>
      <c r="F2916" s="46" t="s">
        <v>2793</v>
      </c>
    </row>
    <row r="2917">
      <c r="A2917" s="51" t="s">
        <v>31037</v>
      </c>
      <c r="B2917" s="152"/>
      <c r="C2917" s="55"/>
      <c r="D2917" s="33" t="s">
        <v>31033</v>
      </c>
    </row>
    <row r="2918">
      <c r="A2918" s="51" t="s">
        <v>31039</v>
      </c>
      <c r="B2918" s="152"/>
      <c r="C2918" s="55"/>
      <c r="D2918" s="33" t="s">
        <v>31041</v>
      </c>
      <c r="F2918" s="46" t="s">
        <v>2775</v>
      </c>
    </row>
    <row r="2919">
      <c r="A2919" s="51" t="s">
        <v>31042</v>
      </c>
      <c r="B2919" s="152"/>
      <c r="C2919" s="55"/>
      <c r="D2919" s="33" t="s">
        <v>31041</v>
      </c>
      <c r="F2919" s="46" t="s">
        <v>2793</v>
      </c>
    </row>
    <row r="2920">
      <c r="A2920" s="51" t="s">
        <v>31043</v>
      </c>
      <c r="B2920" s="152"/>
      <c r="C2920" s="55"/>
      <c r="D2920" s="31"/>
    </row>
    <row r="2921">
      <c r="A2921" s="51" t="s">
        <v>31044</v>
      </c>
      <c r="B2921" s="152"/>
      <c r="C2921" s="55"/>
      <c r="D2921" s="31"/>
    </row>
    <row r="2922">
      <c r="A2922" s="51" t="s">
        <v>31045</v>
      </c>
      <c r="B2922" s="152"/>
      <c r="C2922" s="55"/>
      <c r="D2922" s="31"/>
    </row>
    <row r="2923">
      <c r="A2923" s="51" t="s">
        <v>31046</v>
      </c>
      <c r="B2923" s="152"/>
      <c r="C2923" s="55"/>
      <c r="D2923" s="31"/>
    </row>
    <row r="2924">
      <c r="A2924" s="51" t="s">
        <v>31047</v>
      </c>
      <c r="B2924" s="152"/>
      <c r="C2924" s="55"/>
      <c r="D2924" s="31"/>
    </row>
    <row r="2925">
      <c r="A2925" s="51" t="s">
        <v>31049</v>
      </c>
      <c r="B2925" s="152"/>
      <c r="C2925" s="55"/>
      <c r="D2925" s="31"/>
    </row>
    <row r="2926">
      <c r="C2926" s="12"/>
    </row>
    <row r="2927">
      <c r="A2927" s="159" t="s">
        <v>31051</v>
      </c>
      <c r="B2927" s="152"/>
      <c r="C2927" s="68"/>
      <c r="D2927" s="31"/>
    </row>
    <row r="2928">
      <c r="A2928" s="51" t="s">
        <v>31052</v>
      </c>
      <c r="B2928" s="152"/>
      <c r="C2928" s="55"/>
      <c r="D2928" s="31"/>
    </row>
    <row r="2929">
      <c r="A2929" s="51" t="s">
        <v>31053</v>
      </c>
      <c r="B2929" s="152"/>
      <c r="C2929" s="55"/>
      <c r="D2929" s="31"/>
    </row>
    <row r="2930">
      <c r="A2930" s="51" t="s">
        <v>31054</v>
      </c>
      <c r="B2930" s="152"/>
      <c r="C2930" s="55"/>
      <c r="D2930" s="31"/>
    </row>
    <row r="2931">
      <c r="A2931" s="51" t="s">
        <v>31055</v>
      </c>
      <c r="B2931" s="152"/>
      <c r="C2931" s="55"/>
      <c r="D2931" s="31"/>
    </row>
    <row r="2932">
      <c r="A2932" s="51" t="s">
        <v>31057</v>
      </c>
      <c r="B2932" s="152"/>
      <c r="C2932" s="55"/>
      <c r="D2932" s="31"/>
    </row>
    <row r="2933">
      <c r="A2933" s="51" t="s">
        <v>31059</v>
      </c>
      <c r="B2933" s="152"/>
      <c r="C2933" s="55"/>
      <c r="D2933" s="31"/>
    </row>
    <row r="2934">
      <c r="A2934" s="51" t="s">
        <v>31060</v>
      </c>
      <c r="B2934" s="152"/>
      <c r="C2934" s="55"/>
      <c r="D2934" s="31"/>
    </row>
    <row r="2935">
      <c r="A2935" s="51" t="s">
        <v>31061</v>
      </c>
      <c r="B2935" s="152"/>
      <c r="C2935" s="55"/>
      <c r="D2935" s="31"/>
    </row>
    <row r="2936">
      <c r="A2936" s="51" t="s">
        <v>31063</v>
      </c>
      <c r="B2936" s="152"/>
      <c r="C2936" s="55"/>
      <c r="D2936" s="31"/>
    </row>
    <row r="2937">
      <c r="A2937" s="51" t="s">
        <v>31064</v>
      </c>
      <c r="B2937" s="152"/>
      <c r="C2937" s="55"/>
      <c r="D2937" s="31"/>
    </row>
    <row r="2938">
      <c r="A2938" s="51" t="s">
        <v>31065</v>
      </c>
      <c r="B2938" s="152"/>
      <c r="C2938" s="55"/>
      <c r="D2938" s="31"/>
    </row>
    <row r="2939">
      <c r="A2939" s="51" t="s">
        <v>31067</v>
      </c>
      <c r="B2939" s="152"/>
      <c r="C2939" s="55"/>
      <c r="D2939" s="31"/>
    </row>
    <row r="2940">
      <c r="A2940" s="51" t="s">
        <v>31068</v>
      </c>
      <c r="B2940" s="152"/>
      <c r="C2940" s="55"/>
      <c r="D2940" s="31"/>
    </row>
    <row r="2941">
      <c r="A2941" s="51" t="s">
        <v>31069</v>
      </c>
      <c r="B2941" s="152"/>
      <c r="C2941" s="55"/>
      <c r="D2941" s="31"/>
    </row>
    <row r="2942">
      <c r="A2942" s="51" t="s">
        <v>31070</v>
      </c>
      <c r="B2942" s="152"/>
      <c r="C2942" s="55"/>
      <c r="D2942" s="31"/>
    </row>
    <row r="2943">
      <c r="A2943" s="51" t="s">
        <v>31071</v>
      </c>
      <c r="B2943" s="152"/>
      <c r="C2943" s="55"/>
      <c r="D2943" s="31"/>
    </row>
    <row r="2944">
      <c r="A2944" s="51" t="s">
        <v>31072</v>
      </c>
      <c r="B2944" s="152"/>
      <c r="C2944" s="55"/>
      <c r="D2944" s="31"/>
    </row>
    <row r="2945">
      <c r="A2945" s="51" t="s">
        <v>31075</v>
      </c>
      <c r="B2945" s="152"/>
      <c r="C2945" s="55"/>
      <c r="D2945" s="31"/>
    </row>
    <row r="2946">
      <c r="A2946" s="51" t="s">
        <v>31077</v>
      </c>
      <c r="B2946" s="152"/>
      <c r="C2946" s="55"/>
      <c r="D2946" s="31"/>
    </row>
    <row r="2947">
      <c r="A2947" s="51" t="s">
        <v>31078</v>
      </c>
      <c r="B2947" s="152"/>
      <c r="C2947" s="55"/>
      <c r="D2947" s="31"/>
    </row>
    <row r="2948">
      <c r="A2948" s="51" t="s">
        <v>31079</v>
      </c>
      <c r="B2948" s="152"/>
      <c r="C2948" s="55"/>
      <c r="D2948" s="31"/>
    </row>
    <row r="2949">
      <c r="A2949" s="51" t="s">
        <v>31080</v>
      </c>
      <c r="B2949" s="152"/>
      <c r="C2949" s="55"/>
      <c r="D2949" s="31"/>
    </row>
    <row r="2950">
      <c r="A2950" s="51" t="s">
        <v>31081</v>
      </c>
      <c r="B2950" s="152"/>
      <c r="C2950" s="55"/>
      <c r="D2950" s="31"/>
    </row>
    <row r="2951">
      <c r="A2951" s="51" t="s">
        <v>31082</v>
      </c>
      <c r="B2951" s="152"/>
      <c r="C2951" s="55"/>
      <c r="D2951" s="31"/>
    </row>
    <row r="2952">
      <c r="A2952" s="51" t="s">
        <v>31084</v>
      </c>
      <c r="B2952" s="152"/>
      <c r="C2952" s="55"/>
      <c r="D2952" s="31"/>
    </row>
    <row r="2953">
      <c r="A2953" s="51" t="s">
        <v>31086</v>
      </c>
      <c r="B2953" s="152"/>
      <c r="C2953" s="55"/>
      <c r="D2953" s="31"/>
    </row>
    <row r="2954">
      <c r="A2954" s="51" t="s">
        <v>31087</v>
      </c>
      <c r="B2954" s="152"/>
      <c r="C2954" s="55"/>
      <c r="D2954" s="31"/>
    </row>
    <row r="2955">
      <c r="A2955" s="51" t="s">
        <v>31088</v>
      </c>
      <c r="B2955" s="152"/>
      <c r="C2955" s="55"/>
      <c r="D2955" s="31"/>
    </row>
    <row r="2956">
      <c r="A2956" s="51" t="s">
        <v>31089</v>
      </c>
      <c r="B2956" s="152"/>
      <c r="C2956" s="55"/>
      <c r="D2956" s="31"/>
    </row>
    <row r="2957">
      <c r="A2957" s="51" t="s">
        <v>31090</v>
      </c>
      <c r="B2957" s="152"/>
      <c r="C2957" s="55"/>
      <c r="D2957" s="31"/>
    </row>
    <row r="2958">
      <c r="A2958" s="51" t="s">
        <v>31091</v>
      </c>
      <c r="B2958" s="152"/>
      <c r="C2958" s="55"/>
      <c r="D2958" s="31"/>
    </row>
    <row r="2959">
      <c r="A2959" s="51" t="s">
        <v>31093</v>
      </c>
      <c r="B2959" s="152"/>
      <c r="C2959" s="55"/>
      <c r="D2959" s="31"/>
    </row>
    <row r="2960">
      <c r="A2960" s="51" t="s">
        <v>31095</v>
      </c>
      <c r="B2960" s="152"/>
      <c r="C2960" s="55"/>
      <c r="D2960" s="31"/>
    </row>
    <row r="2961">
      <c r="A2961" s="51" t="s">
        <v>31097</v>
      </c>
      <c r="B2961" s="152"/>
      <c r="C2961" s="55"/>
      <c r="D2961" s="31"/>
    </row>
    <row r="2962">
      <c r="A2962" s="51" t="s">
        <v>31098</v>
      </c>
      <c r="B2962" s="152"/>
      <c r="C2962" s="55"/>
      <c r="D2962" s="31"/>
    </row>
    <row r="2963">
      <c r="A2963" s="51" t="s">
        <v>31099</v>
      </c>
      <c r="B2963" s="152"/>
      <c r="C2963" s="55"/>
      <c r="D2963" s="31"/>
    </row>
    <row r="2964">
      <c r="A2964" s="51" t="s">
        <v>31100</v>
      </c>
      <c r="B2964" s="152"/>
      <c r="C2964" s="55"/>
      <c r="D2964" s="31"/>
    </row>
    <row r="2965">
      <c r="A2965" s="51" t="s">
        <v>31101</v>
      </c>
      <c r="B2965" s="152"/>
      <c r="C2965" s="55"/>
      <c r="D2965" s="31"/>
    </row>
    <row r="2966">
      <c r="A2966" s="51" t="s">
        <v>31103</v>
      </c>
      <c r="B2966" s="152"/>
      <c r="C2966" s="55"/>
      <c r="D2966" s="31"/>
    </row>
    <row r="2967">
      <c r="A2967" s="51" t="s">
        <v>31104</v>
      </c>
      <c r="B2967" s="152"/>
      <c r="C2967" s="55"/>
      <c r="D2967" s="31"/>
    </row>
    <row r="2968">
      <c r="A2968" s="51" t="s">
        <v>31105</v>
      </c>
      <c r="B2968" s="152"/>
      <c r="C2968" s="55"/>
      <c r="D2968" s="31"/>
    </row>
    <row r="2969">
      <c r="A2969" s="51" t="s">
        <v>31107</v>
      </c>
      <c r="B2969" s="152"/>
      <c r="C2969" s="55"/>
      <c r="D2969" s="31"/>
    </row>
    <row r="2970">
      <c r="A2970" s="51" t="s">
        <v>31108</v>
      </c>
      <c r="B2970" s="152"/>
      <c r="C2970" s="55"/>
      <c r="D2970" s="31"/>
    </row>
    <row r="2971">
      <c r="A2971" s="51" t="s">
        <v>31109</v>
      </c>
      <c r="B2971" s="152"/>
      <c r="C2971" s="55"/>
      <c r="D2971" s="31"/>
    </row>
    <row r="2972">
      <c r="A2972" s="51" t="s">
        <v>31111</v>
      </c>
      <c r="B2972" s="152"/>
      <c r="C2972" s="55"/>
      <c r="D2972" s="31"/>
    </row>
    <row r="2973">
      <c r="A2973" s="51" t="s">
        <v>31113</v>
      </c>
      <c r="B2973" s="152"/>
      <c r="C2973" s="55"/>
      <c r="D2973" s="31"/>
    </row>
    <row r="2974">
      <c r="A2974" s="51" t="s">
        <v>31114</v>
      </c>
      <c r="B2974" s="152"/>
      <c r="C2974" s="55"/>
      <c r="D2974" s="31"/>
    </row>
    <row r="2975">
      <c r="A2975" s="51" t="s">
        <v>31115</v>
      </c>
      <c r="B2975" s="152"/>
      <c r="C2975" s="55"/>
      <c r="D2975" s="31"/>
    </row>
    <row r="2976">
      <c r="A2976" s="51" t="s">
        <v>31116</v>
      </c>
      <c r="B2976" s="152"/>
      <c r="C2976" s="55"/>
      <c r="D2976" s="31"/>
    </row>
    <row r="2977">
      <c r="A2977" s="51" t="s">
        <v>31118</v>
      </c>
      <c r="B2977" s="152"/>
      <c r="C2977" s="55"/>
      <c r="D2977" s="31"/>
    </row>
    <row r="2978">
      <c r="A2978" s="51" t="s">
        <v>31120</v>
      </c>
      <c r="B2978" s="152"/>
      <c r="C2978" s="55"/>
      <c r="D2978" s="31"/>
    </row>
    <row r="2979">
      <c r="A2979" s="51" t="s">
        <v>31122</v>
      </c>
      <c r="B2979" s="152"/>
      <c r="C2979" s="55"/>
      <c r="D2979" s="31"/>
    </row>
    <row r="2980">
      <c r="A2980" s="51" t="s">
        <v>31123</v>
      </c>
      <c r="B2980" s="152"/>
      <c r="C2980" s="55"/>
      <c r="D2980" s="31"/>
    </row>
    <row r="2981">
      <c r="A2981" s="51" t="s">
        <v>31124</v>
      </c>
      <c r="B2981" s="152"/>
      <c r="C2981" s="55"/>
      <c r="D2981" s="31"/>
    </row>
    <row r="2982">
      <c r="A2982" s="51" t="s">
        <v>31125</v>
      </c>
      <c r="B2982" s="152"/>
      <c r="C2982" s="55"/>
      <c r="D2982" s="31"/>
    </row>
    <row r="2983">
      <c r="A2983" s="51" t="s">
        <v>31126</v>
      </c>
      <c r="B2983" s="152"/>
      <c r="C2983" s="55"/>
      <c r="D2983" s="31"/>
    </row>
    <row r="2984">
      <c r="A2984" s="51" t="s">
        <v>31127</v>
      </c>
      <c r="B2984" s="152"/>
      <c r="C2984" s="55"/>
      <c r="D2984" s="31"/>
    </row>
    <row r="2985">
      <c r="A2985" s="51" t="s">
        <v>31131</v>
      </c>
      <c r="B2985" s="152"/>
      <c r="C2985" s="55"/>
      <c r="D2985" s="31"/>
    </row>
    <row r="2986">
      <c r="A2986" s="51" t="s">
        <v>31132</v>
      </c>
      <c r="B2986" s="152"/>
      <c r="C2986" s="55"/>
      <c r="D2986" s="31"/>
    </row>
    <row r="2987">
      <c r="A2987" s="51" t="s">
        <v>31133</v>
      </c>
      <c r="B2987" s="152"/>
      <c r="C2987" s="55"/>
      <c r="D2987" s="31"/>
    </row>
    <row r="2988">
      <c r="A2988" s="51" t="s">
        <v>31134</v>
      </c>
      <c r="B2988" s="152"/>
      <c r="C2988" s="55"/>
      <c r="D2988" s="31"/>
    </row>
    <row r="2989">
      <c r="A2989" s="51" t="s">
        <v>31135</v>
      </c>
      <c r="B2989" s="152"/>
      <c r="C2989" s="55"/>
      <c r="D2989" s="31"/>
    </row>
    <row r="2990">
      <c r="A2990" s="51" t="s">
        <v>31136</v>
      </c>
      <c r="B2990" s="152"/>
      <c r="C2990" s="55"/>
      <c r="D2990" s="31"/>
    </row>
    <row r="2991">
      <c r="A2991" s="51" t="s">
        <v>31138</v>
      </c>
      <c r="B2991" s="152"/>
      <c r="C2991" s="55"/>
      <c r="D2991" s="31"/>
    </row>
    <row r="2992">
      <c r="A2992" s="51" t="s">
        <v>31139</v>
      </c>
      <c r="B2992" s="152"/>
      <c r="C2992" s="55"/>
      <c r="D2992" s="31"/>
    </row>
    <row r="2993">
      <c r="A2993" s="51" t="s">
        <v>31141</v>
      </c>
      <c r="B2993" s="152"/>
      <c r="C2993" s="55"/>
      <c r="D2993" s="31"/>
    </row>
    <row r="2994">
      <c r="A2994" s="51" t="s">
        <v>31142</v>
      </c>
      <c r="B2994" s="152"/>
      <c r="C2994" s="55"/>
      <c r="D2994" s="31"/>
    </row>
    <row r="2995">
      <c r="A2995" s="51" t="s">
        <v>31143</v>
      </c>
      <c r="B2995" s="152"/>
      <c r="C2995" s="55"/>
      <c r="D2995" s="31"/>
    </row>
    <row r="2996">
      <c r="A2996" s="51" t="s">
        <v>31144</v>
      </c>
      <c r="B2996" s="152"/>
      <c r="C2996" s="55"/>
      <c r="D2996" s="31"/>
    </row>
    <row r="2997">
      <c r="A2997" s="51" t="s">
        <v>31145</v>
      </c>
      <c r="B2997" s="152"/>
      <c r="C2997" s="55"/>
      <c r="D2997" s="31"/>
    </row>
    <row r="2998">
      <c r="A2998" s="51" t="s">
        <v>31147</v>
      </c>
      <c r="B2998" s="152"/>
      <c r="C2998" s="55"/>
      <c r="D2998" s="31"/>
    </row>
    <row r="2999">
      <c r="A2999" s="51" t="s">
        <v>31148</v>
      </c>
      <c r="B2999" s="152"/>
      <c r="C2999" s="55"/>
      <c r="D2999" s="31"/>
    </row>
    <row r="3000">
      <c r="A3000" s="51" t="s">
        <v>31149</v>
      </c>
      <c r="B3000" s="152"/>
      <c r="C3000" s="55"/>
      <c r="D3000" s="31"/>
    </row>
    <row r="3001">
      <c r="A3001" s="51" t="s">
        <v>31151</v>
      </c>
      <c r="B3001" s="152"/>
      <c r="C3001" s="55"/>
      <c r="D3001" s="31"/>
    </row>
    <row r="3002">
      <c r="A3002" s="51" t="s">
        <v>31152</v>
      </c>
      <c r="B3002" s="152"/>
      <c r="C3002" s="55"/>
      <c r="D3002" s="31"/>
    </row>
    <row r="3003">
      <c r="A3003" s="51" t="s">
        <v>31153</v>
      </c>
      <c r="B3003" s="152"/>
      <c r="C3003" s="55"/>
      <c r="D3003" s="31"/>
    </row>
    <row r="3004">
      <c r="A3004" s="51" t="s">
        <v>31155</v>
      </c>
      <c r="B3004" s="152"/>
      <c r="C3004" s="55"/>
      <c r="D3004" s="31"/>
    </row>
    <row r="3005">
      <c r="A3005" s="51" t="s">
        <v>31156</v>
      </c>
      <c r="B3005" s="152"/>
      <c r="C3005" s="55"/>
      <c r="D3005" s="31"/>
    </row>
    <row r="3006">
      <c r="A3006" s="51" t="s">
        <v>31157</v>
      </c>
      <c r="B3006" s="152"/>
      <c r="C3006" s="55"/>
      <c r="D3006" s="31"/>
    </row>
    <row r="3007">
      <c r="A3007" s="51" t="s">
        <v>31158</v>
      </c>
      <c r="B3007" s="152"/>
      <c r="C3007" s="55"/>
      <c r="D3007" s="31"/>
    </row>
    <row r="3008">
      <c r="A3008" s="51" t="s">
        <v>31159</v>
      </c>
      <c r="B3008" s="152"/>
      <c r="C3008" s="55"/>
      <c r="D3008" s="31"/>
    </row>
    <row r="3009">
      <c r="A3009" s="51" t="s">
        <v>31161</v>
      </c>
      <c r="B3009" s="152"/>
      <c r="C3009" s="55"/>
      <c r="D3009" s="31"/>
    </row>
    <row r="3010">
      <c r="A3010" s="51" t="s">
        <v>31162</v>
      </c>
      <c r="B3010" s="152"/>
      <c r="C3010" s="55"/>
      <c r="D3010" s="31"/>
    </row>
    <row r="3011">
      <c r="A3011" s="51" t="s">
        <v>31163</v>
      </c>
      <c r="B3011" s="152"/>
      <c r="C3011" s="55"/>
      <c r="D3011" s="31"/>
    </row>
    <row r="3012">
      <c r="A3012" s="51" t="s">
        <v>31165</v>
      </c>
      <c r="B3012" s="152"/>
      <c r="C3012" s="55"/>
      <c r="D3012" s="31"/>
    </row>
    <row r="3013">
      <c r="A3013" s="51" t="s">
        <v>31166</v>
      </c>
      <c r="B3013" s="152"/>
      <c r="C3013" s="55"/>
      <c r="D3013" s="31"/>
    </row>
    <row r="3014">
      <c r="A3014" s="51" t="s">
        <v>31167</v>
      </c>
      <c r="B3014" s="152"/>
      <c r="C3014" s="55"/>
      <c r="D3014" s="31"/>
    </row>
    <row r="3015">
      <c r="A3015" s="51" t="s">
        <v>31168</v>
      </c>
      <c r="B3015" s="152"/>
      <c r="C3015" s="55"/>
      <c r="D3015" s="31"/>
    </row>
    <row r="3016">
      <c r="A3016" s="51" t="s">
        <v>31169</v>
      </c>
      <c r="B3016" s="152"/>
      <c r="C3016" s="55"/>
      <c r="D3016" s="31"/>
    </row>
    <row r="3017">
      <c r="A3017" s="51" t="s">
        <v>31171</v>
      </c>
      <c r="B3017" s="152"/>
      <c r="C3017" s="55"/>
      <c r="D3017" s="31"/>
    </row>
    <row r="3018">
      <c r="A3018" s="51" t="s">
        <v>31173</v>
      </c>
      <c r="B3018" s="152"/>
      <c r="C3018" s="55"/>
      <c r="D3018" s="31"/>
    </row>
    <row r="3019">
      <c r="A3019" s="51" t="s">
        <v>31174</v>
      </c>
      <c r="B3019" s="152"/>
      <c r="C3019" s="55"/>
      <c r="D3019" s="31"/>
    </row>
    <row r="3020">
      <c r="A3020" s="51" t="s">
        <v>31175</v>
      </c>
      <c r="B3020" s="152"/>
      <c r="C3020" s="55"/>
      <c r="D3020" s="31"/>
    </row>
    <row r="3021">
      <c r="A3021" s="51" t="s">
        <v>31176</v>
      </c>
      <c r="B3021" s="152"/>
      <c r="C3021" s="55"/>
      <c r="D3021" s="31"/>
    </row>
    <row r="3022">
      <c r="A3022" s="51" t="s">
        <v>31177</v>
      </c>
      <c r="B3022" s="152"/>
      <c r="C3022" s="55"/>
      <c r="D3022" s="31"/>
    </row>
    <row r="3023">
      <c r="A3023" s="51" t="s">
        <v>31178</v>
      </c>
      <c r="B3023" s="152"/>
      <c r="C3023" s="55"/>
      <c r="D3023" s="31"/>
    </row>
    <row r="3024">
      <c r="A3024" s="51" t="s">
        <v>31179</v>
      </c>
      <c r="B3024" s="152"/>
      <c r="C3024" s="55"/>
      <c r="D3024" s="31"/>
    </row>
    <row r="3025">
      <c r="A3025" s="51" t="s">
        <v>31182</v>
      </c>
      <c r="B3025" s="152"/>
      <c r="C3025" s="55"/>
      <c r="D3025" s="31"/>
    </row>
    <row r="3026">
      <c r="A3026" s="51" t="s">
        <v>31183</v>
      </c>
      <c r="B3026" s="152"/>
      <c r="C3026" s="55"/>
      <c r="D3026" s="31"/>
    </row>
    <row r="3027">
      <c r="A3027" s="51" t="s">
        <v>31184</v>
      </c>
      <c r="B3027" s="152"/>
      <c r="C3027" s="55"/>
      <c r="D3027" s="31"/>
    </row>
    <row r="3028">
      <c r="A3028" s="51" t="s">
        <v>31185</v>
      </c>
      <c r="B3028" s="152"/>
      <c r="C3028" s="55"/>
      <c r="D3028" s="31"/>
    </row>
    <row r="3029">
      <c r="A3029" s="51" t="s">
        <v>31186</v>
      </c>
      <c r="B3029" s="152"/>
      <c r="C3029" s="55"/>
      <c r="D3029" s="31"/>
    </row>
    <row r="3030">
      <c r="A3030" s="51" t="s">
        <v>31187</v>
      </c>
      <c r="B3030" s="152"/>
      <c r="C3030" s="55"/>
      <c r="D3030" s="31"/>
    </row>
    <row r="3031">
      <c r="A3031" s="51" t="s">
        <v>31189</v>
      </c>
      <c r="B3031" s="152"/>
      <c r="C3031" s="55"/>
      <c r="D3031" s="31"/>
    </row>
    <row r="3032">
      <c r="A3032" s="51" t="s">
        <v>31190</v>
      </c>
      <c r="B3032" s="152"/>
      <c r="C3032" s="55"/>
      <c r="D3032" s="31"/>
    </row>
    <row r="3033">
      <c r="A3033" s="51" t="s">
        <v>31192</v>
      </c>
      <c r="B3033" s="152"/>
      <c r="C3033" s="55"/>
      <c r="D3033" s="31"/>
    </row>
    <row r="3034">
      <c r="A3034" s="51" t="s">
        <v>31193</v>
      </c>
      <c r="B3034" s="152"/>
      <c r="C3034" s="55"/>
      <c r="D3034" s="31"/>
    </row>
    <row r="3035">
      <c r="A3035" s="51" t="s">
        <v>31194</v>
      </c>
      <c r="B3035" s="152"/>
      <c r="C3035" s="55"/>
      <c r="D3035" s="31"/>
    </row>
    <row r="3036">
      <c r="A3036" s="51" t="s">
        <v>31195</v>
      </c>
      <c r="B3036" s="152"/>
      <c r="C3036" s="55"/>
      <c r="D3036" s="31"/>
    </row>
    <row r="3037">
      <c r="A3037" s="51" t="s">
        <v>31196</v>
      </c>
      <c r="B3037" s="152"/>
      <c r="C3037" s="55"/>
      <c r="D3037" s="31"/>
    </row>
    <row r="3038">
      <c r="A3038" s="51" t="s">
        <v>31199</v>
      </c>
      <c r="B3038" s="152"/>
      <c r="C3038" s="55"/>
      <c r="D3038" s="31"/>
    </row>
    <row r="3039">
      <c r="A3039" s="51" t="s">
        <v>31200</v>
      </c>
      <c r="B3039" s="152"/>
      <c r="C3039" s="55"/>
      <c r="D3039" s="31"/>
    </row>
    <row r="3040">
      <c r="A3040" s="51" t="s">
        <v>31203</v>
      </c>
      <c r="B3040" s="152"/>
      <c r="C3040" s="55"/>
      <c r="D3040" s="31"/>
    </row>
    <row r="3041">
      <c r="A3041" s="51" t="s">
        <v>31206</v>
      </c>
      <c r="B3041" s="152"/>
      <c r="C3041" s="55"/>
      <c r="D3041" s="31"/>
    </row>
    <row r="3042">
      <c r="A3042" s="51" t="s">
        <v>31208</v>
      </c>
      <c r="B3042" s="152"/>
      <c r="C3042" s="55"/>
      <c r="D3042" s="31"/>
    </row>
    <row r="3043">
      <c r="C3043" s="12"/>
    </row>
    <row r="3044">
      <c r="A3044" s="159" t="s">
        <v>31210</v>
      </c>
      <c r="B3044" s="152"/>
      <c r="C3044" s="68"/>
      <c r="D3044" s="31"/>
    </row>
    <row r="3045">
      <c r="A3045" s="51" t="s">
        <v>31212</v>
      </c>
      <c r="B3045" s="152"/>
      <c r="C3045" s="55"/>
      <c r="D3045" s="31"/>
    </row>
    <row r="3046">
      <c r="A3046" s="51" t="s">
        <v>31214</v>
      </c>
      <c r="B3046" s="152"/>
      <c r="C3046" s="55"/>
      <c r="D3046" s="31"/>
    </row>
    <row r="3047">
      <c r="A3047" s="51" t="s">
        <v>31216</v>
      </c>
      <c r="B3047" s="152"/>
      <c r="C3047" s="55"/>
      <c r="D3047" s="31"/>
    </row>
    <row r="3048">
      <c r="A3048" s="51" t="s">
        <v>31218</v>
      </c>
      <c r="B3048" s="152"/>
      <c r="C3048" s="55"/>
      <c r="D3048" s="31"/>
    </row>
    <row r="3049">
      <c r="A3049" s="51" t="s">
        <v>31220</v>
      </c>
      <c r="B3049" s="152"/>
      <c r="C3049" s="55"/>
      <c r="D3049" s="31"/>
    </row>
    <row r="3050">
      <c r="A3050" s="51" t="s">
        <v>31222</v>
      </c>
      <c r="B3050" s="152"/>
      <c r="C3050" s="55"/>
      <c r="D3050" s="31"/>
    </row>
    <row r="3051">
      <c r="A3051" s="51" t="s">
        <v>31223</v>
      </c>
      <c r="B3051" s="152"/>
      <c r="C3051" s="55"/>
      <c r="D3051" s="31"/>
    </row>
    <row r="3052">
      <c r="A3052" s="51" t="s">
        <v>31224</v>
      </c>
      <c r="B3052" s="152"/>
      <c r="C3052" s="55"/>
      <c r="D3052" s="31"/>
    </row>
    <row r="3053">
      <c r="A3053" s="51" t="s">
        <v>31225</v>
      </c>
      <c r="B3053" s="152"/>
      <c r="C3053" s="55"/>
      <c r="D3053" s="31"/>
    </row>
    <row r="3054">
      <c r="A3054" s="51" t="s">
        <v>31227</v>
      </c>
      <c r="B3054" s="152"/>
      <c r="C3054" s="55"/>
      <c r="D3054" s="31"/>
    </row>
    <row r="3055">
      <c r="A3055" s="51" t="s">
        <v>31228</v>
      </c>
      <c r="B3055" s="152"/>
      <c r="C3055" s="55"/>
      <c r="D3055" s="31"/>
    </row>
    <row r="3056">
      <c r="A3056" s="51" t="s">
        <v>31229</v>
      </c>
      <c r="B3056" s="152"/>
      <c r="C3056" s="55"/>
      <c r="D3056" s="31"/>
    </row>
    <row r="3057">
      <c r="A3057" s="51" t="s">
        <v>31231</v>
      </c>
      <c r="B3057" s="152"/>
      <c r="C3057" s="55"/>
      <c r="D3057" s="31"/>
    </row>
    <row r="3058">
      <c r="A3058" s="51" t="s">
        <v>31232</v>
      </c>
      <c r="B3058" s="152"/>
      <c r="C3058" s="55"/>
      <c r="D3058" s="31"/>
    </row>
    <row r="3059">
      <c r="A3059" s="51" t="s">
        <v>31233</v>
      </c>
      <c r="B3059" s="152"/>
      <c r="C3059" s="55"/>
      <c r="D3059" s="31"/>
    </row>
    <row r="3060">
      <c r="A3060" s="51" t="s">
        <v>31234</v>
      </c>
      <c r="B3060" s="152"/>
      <c r="C3060" s="55"/>
      <c r="D3060" s="31"/>
    </row>
    <row r="3061">
      <c r="A3061" s="51" t="s">
        <v>31235</v>
      </c>
      <c r="B3061" s="152"/>
      <c r="C3061" s="55"/>
      <c r="D3061" s="31"/>
    </row>
    <row r="3062">
      <c r="A3062" s="51" t="s">
        <v>31237</v>
      </c>
      <c r="B3062" s="152"/>
      <c r="C3062" s="55"/>
      <c r="D3062" s="31"/>
    </row>
    <row r="3063">
      <c r="A3063" s="51" t="s">
        <v>31238</v>
      </c>
      <c r="B3063" s="152"/>
      <c r="C3063" s="55"/>
      <c r="D3063" s="31"/>
    </row>
    <row r="3064">
      <c r="A3064" s="51" t="s">
        <v>31239</v>
      </c>
      <c r="B3064" s="152"/>
      <c r="C3064" s="55"/>
      <c r="D3064" s="31"/>
    </row>
    <row r="3065">
      <c r="A3065" s="51" t="s">
        <v>31241</v>
      </c>
      <c r="B3065" s="152"/>
      <c r="C3065" s="55"/>
      <c r="D3065" s="31"/>
    </row>
    <row r="3066">
      <c r="A3066" s="51" t="s">
        <v>31242</v>
      </c>
      <c r="B3066" s="152"/>
      <c r="C3066" s="55"/>
      <c r="D3066" s="31"/>
    </row>
    <row r="3067">
      <c r="A3067" s="51" t="s">
        <v>31243</v>
      </c>
      <c r="B3067" s="152"/>
      <c r="C3067" s="55"/>
      <c r="D3067" s="31"/>
    </row>
    <row r="3068">
      <c r="A3068" s="51" t="s">
        <v>31244</v>
      </c>
      <c r="B3068" s="152"/>
      <c r="C3068" s="55"/>
      <c r="D3068" s="31"/>
    </row>
    <row r="3069">
      <c r="A3069" s="51" t="s">
        <v>31246</v>
      </c>
      <c r="B3069" s="152"/>
      <c r="C3069" s="55"/>
      <c r="D3069" s="31"/>
    </row>
    <row r="3070">
      <c r="A3070" s="51" t="s">
        <v>31247</v>
      </c>
      <c r="B3070" s="152"/>
      <c r="C3070" s="55"/>
      <c r="D3070" s="31"/>
    </row>
    <row r="3071">
      <c r="A3071" s="51" t="s">
        <v>31248</v>
      </c>
      <c r="B3071" s="152"/>
      <c r="C3071" s="55"/>
      <c r="D3071" s="31"/>
    </row>
    <row r="3072">
      <c r="A3072" s="51" t="s">
        <v>31250</v>
      </c>
      <c r="B3072" s="152"/>
      <c r="C3072" s="55"/>
      <c r="D3072" s="31"/>
    </row>
    <row r="3073">
      <c r="A3073" s="51" t="s">
        <v>31251</v>
      </c>
      <c r="B3073" s="152"/>
      <c r="C3073" s="55"/>
      <c r="D3073" s="31"/>
    </row>
    <row r="3074">
      <c r="A3074" s="51" t="s">
        <v>31252</v>
      </c>
      <c r="B3074" s="152"/>
      <c r="C3074" s="55"/>
      <c r="D3074" s="31"/>
    </row>
    <row r="3075">
      <c r="A3075" s="51" t="s">
        <v>31254</v>
      </c>
      <c r="B3075" s="152"/>
      <c r="C3075" s="55"/>
      <c r="D3075" s="31"/>
    </row>
    <row r="3076">
      <c r="A3076" s="51" t="s">
        <v>31255</v>
      </c>
      <c r="B3076" s="152"/>
      <c r="C3076" s="55"/>
      <c r="D3076" s="31"/>
    </row>
    <row r="3077">
      <c r="A3077" s="51" t="s">
        <v>31256</v>
      </c>
      <c r="B3077" s="152"/>
      <c r="C3077" s="55"/>
      <c r="D3077" s="31"/>
    </row>
    <row r="3078">
      <c r="A3078" s="51" t="s">
        <v>31257</v>
      </c>
      <c r="B3078" s="152"/>
      <c r="C3078" s="55"/>
      <c r="D3078" s="31"/>
    </row>
    <row r="3079">
      <c r="A3079" s="51" t="s">
        <v>31258</v>
      </c>
      <c r="B3079" s="152"/>
      <c r="C3079" s="55"/>
      <c r="D3079" s="31"/>
    </row>
    <row r="3080">
      <c r="A3080" s="51" t="s">
        <v>31260</v>
      </c>
      <c r="B3080" s="152"/>
      <c r="C3080" s="55"/>
      <c r="D3080" s="31"/>
    </row>
    <row r="3081">
      <c r="A3081" s="51" t="s">
        <v>31262</v>
      </c>
      <c r="B3081" s="152"/>
      <c r="C3081" s="55"/>
      <c r="D3081" s="31"/>
    </row>
    <row r="3082">
      <c r="A3082" s="51" t="s">
        <v>31263</v>
      </c>
      <c r="B3082" s="152"/>
      <c r="C3082" s="55"/>
      <c r="D3082" s="31"/>
    </row>
    <row r="3083">
      <c r="A3083" s="51" t="s">
        <v>31265</v>
      </c>
      <c r="B3083" s="152"/>
      <c r="C3083" s="55"/>
      <c r="D3083" s="31"/>
    </row>
    <row r="3084">
      <c r="A3084" s="51" t="s">
        <v>31267</v>
      </c>
      <c r="B3084" s="152"/>
      <c r="C3084" s="55"/>
      <c r="D3084" s="31"/>
    </row>
    <row r="3085">
      <c r="A3085" s="51" t="s">
        <v>31268</v>
      </c>
      <c r="B3085" s="152"/>
      <c r="C3085" s="55"/>
      <c r="D3085" s="31"/>
    </row>
    <row r="3086">
      <c r="A3086" s="51" t="s">
        <v>31269</v>
      </c>
      <c r="B3086" s="152"/>
      <c r="C3086" s="55"/>
      <c r="D3086" s="31"/>
    </row>
    <row r="3087">
      <c r="A3087" s="51" t="s">
        <v>31270</v>
      </c>
      <c r="B3087" s="152"/>
      <c r="C3087" s="55"/>
      <c r="D3087" s="31"/>
    </row>
    <row r="3088">
      <c r="A3088" s="51" t="s">
        <v>31272</v>
      </c>
      <c r="B3088" s="152"/>
      <c r="C3088" s="55"/>
      <c r="D3088" s="31"/>
    </row>
    <row r="3089">
      <c r="A3089" s="51" t="s">
        <v>31273</v>
      </c>
      <c r="B3089" s="152"/>
      <c r="C3089" s="55"/>
      <c r="D3089" s="31"/>
    </row>
    <row r="3090">
      <c r="A3090" s="51" t="s">
        <v>31274</v>
      </c>
      <c r="B3090" s="152"/>
      <c r="C3090" s="55"/>
      <c r="D3090" s="31"/>
    </row>
    <row r="3091">
      <c r="A3091" s="51" t="s">
        <v>31276</v>
      </c>
      <c r="B3091" s="152"/>
      <c r="C3091" s="55"/>
      <c r="D3091" s="31"/>
    </row>
    <row r="3092">
      <c r="A3092" s="51" t="s">
        <v>31278</v>
      </c>
      <c r="B3092" s="152"/>
      <c r="C3092" s="55"/>
      <c r="D3092" s="31"/>
    </row>
    <row r="3093">
      <c r="A3093" s="51" t="s">
        <v>31280</v>
      </c>
      <c r="B3093" s="152"/>
      <c r="C3093" s="55"/>
      <c r="D3093" s="31"/>
    </row>
    <row r="3094">
      <c r="A3094" s="51" t="s">
        <v>31282</v>
      </c>
      <c r="B3094" s="152"/>
      <c r="C3094" s="55"/>
      <c r="D3094" s="31"/>
    </row>
    <row r="3095">
      <c r="A3095" s="51" t="s">
        <v>31283</v>
      </c>
      <c r="B3095" s="152"/>
      <c r="C3095" s="55"/>
      <c r="D3095" s="31"/>
    </row>
    <row r="3096">
      <c r="A3096" s="51" t="s">
        <v>31284</v>
      </c>
      <c r="B3096" s="152"/>
      <c r="C3096" s="55"/>
      <c r="D3096" s="31"/>
    </row>
    <row r="3097">
      <c r="A3097" s="51" t="s">
        <v>31285</v>
      </c>
      <c r="B3097" s="152"/>
      <c r="C3097" s="55"/>
      <c r="D3097" s="31"/>
    </row>
    <row r="3098">
      <c r="A3098" s="51" t="s">
        <v>31286</v>
      </c>
      <c r="B3098" s="152"/>
      <c r="C3098" s="55"/>
      <c r="D3098" s="31"/>
    </row>
    <row r="3099">
      <c r="A3099" s="51" t="s">
        <v>31287</v>
      </c>
      <c r="B3099" s="152"/>
      <c r="C3099" s="55"/>
      <c r="D3099" s="31"/>
    </row>
    <row r="3100">
      <c r="A3100" s="51" t="s">
        <v>31289</v>
      </c>
      <c r="B3100" s="152"/>
      <c r="C3100" s="55"/>
      <c r="D3100" s="31"/>
    </row>
    <row r="3101">
      <c r="A3101" s="51" t="s">
        <v>31291</v>
      </c>
      <c r="B3101" s="152"/>
      <c r="C3101" s="55"/>
      <c r="D3101" s="31"/>
    </row>
    <row r="3102">
      <c r="A3102" s="51" t="s">
        <v>31292</v>
      </c>
      <c r="B3102" s="152"/>
      <c r="C3102" s="55"/>
      <c r="D3102" s="31"/>
    </row>
    <row r="3103">
      <c r="A3103" s="51" t="s">
        <v>31293</v>
      </c>
      <c r="B3103" s="152"/>
      <c r="C3103" s="55"/>
      <c r="D3103" s="31"/>
    </row>
    <row r="3104">
      <c r="A3104" s="51" t="s">
        <v>31294</v>
      </c>
      <c r="B3104" s="152"/>
      <c r="C3104" s="55"/>
      <c r="D3104" s="31"/>
    </row>
    <row r="3105">
      <c r="A3105" s="51" t="s">
        <v>31295</v>
      </c>
      <c r="B3105" s="152"/>
      <c r="C3105" s="55"/>
      <c r="D3105" s="31"/>
    </row>
    <row r="3106">
      <c r="A3106" s="51" t="s">
        <v>31296</v>
      </c>
      <c r="B3106" s="152"/>
      <c r="C3106" s="55"/>
      <c r="D3106" s="31"/>
    </row>
    <row r="3107">
      <c r="A3107" s="51" t="s">
        <v>31299</v>
      </c>
      <c r="B3107" s="152"/>
      <c r="C3107" s="55"/>
      <c r="D3107" s="31"/>
    </row>
    <row r="3108">
      <c r="A3108" s="51" t="s">
        <v>31300</v>
      </c>
      <c r="B3108" s="152"/>
      <c r="C3108" s="55"/>
      <c r="D3108" s="31"/>
    </row>
    <row r="3109">
      <c r="A3109" s="51" t="s">
        <v>31301</v>
      </c>
      <c r="B3109" s="152"/>
      <c r="C3109" s="55"/>
      <c r="D3109" s="31"/>
    </row>
    <row r="3110">
      <c r="A3110" s="51" t="s">
        <v>31302</v>
      </c>
      <c r="B3110" s="152"/>
      <c r="C3110" s="55"/>
      <c r="D3110" s="31"/>
    </row>
    <row r="3111">
      <c r="A3111" s="51" t="s">
        <v>31303</v>
      </c>
      <c r="B3111" s="152"/>
      <c r="C3111" s="55"/>
      <c r="D3111" s="31"/>
    </row>
    <row r="3112">
      <c r="A3112" s="51" t="s">
        <v>31304</v>
      </c>
      <c r="B3112" s="152"/>
      <c r="C3112" s="55"/>
      <c r="D3112" s="31"/>
    </row>
    <row r="3113">
      <c r="A3113" s="51" t="s">
        <v>31306</v>
      </c>
      <c r="B3113" s="152"/>
      <c r="C3113" s="55"/>
      <c r="D3113" s="31"/>
    </row>
    <row r="3114">
      <c r="A3114" s="51" t="s">
        <v>31307</v>
      </c>
      <c r="B3114" s="152"/>
      <c r="C3114" s="55"/>
      <c r="D3114" s="31"/>
    </row>
    <row r="3115">
      <c r="A3115" s="51" t="s">
        <v>31308</v>
      </c>
      <c r="B3115" s="152"/>
      <c r="C3115" s="55"/>
      <c r="D3115" s="31"/>
    </row>
    <row r="3116">
      <c r="A3116" s="51" t="s">
        <v>31309</v>
      </c>
      <c r="B3116" s="152"/>
      <c r="C3116" s="55"/>
      <c r="D3116" s="31"/>
    </row>
    <row r="3117">
      <c r="A3117" s="51" t="s">
        <v>31311</v>
      </c>
      <c r="B3117" s="152"/>
      <c r="C3117" s="55"/>
      <c r="D3117" s="31"/>
    </row>
    <row r="3118">
      <c r="A3118" s="51" t="s">
        <v>31312</v>
      </c>
      <c r="B3118" s="152"/>
      <c r="C3118" s="55"/>
      <c r="D3118" s="31"/>
    </row>
    <row r="3119">
      <c r="A3119" s="51" t="s">
        <v>31314</v>
      </c>
      <c r="B3119" s="152"/>
      <c r="C3119" s="55"/>
      <c r="D3119" s="31"/>
    </row>
    <row r="3120">
      <c r="A3120" s="51" t="s">
        <v>31315</v>
      </c>
      <c r="B3120" s="152"/>
      <c r="C3120" s="55"/>
      <c r="D3120" s="31"/>
    </row>
    <row r="3121">
      <c r="A3121" s="51" t="s">
        <v>31316</v>
      </c>
      <c r="B3121" s="152"/>
      <c r="C3121" s="55"/>
      <c r="D3121" s="31"/>
    </row>
    <row r="3122">
      <c r="A3122" s="51" t="s">
        <v>31317</v>
      </c>
      <c r="B3122" s="152"/>
      <c r="C3122" s="55"/>
      <c r="D3122" s="31"/>
    </row>
    <row r="3123">
      <c r="A3123" s="51" t="s">
        <v>31318</v>
      </c>
      <c r="B3123" s="152"/>
      <c r="C3123" s="55"/>
      <c r="D3123" s="31"/>
    </row>
    <row r="3124">
      <c r="A3124" s="51" t="s">
        <v>31319</v>
      </c>
      <c r="B3124" s="152"/>
      <c r="C3124" s="55"/>
      <c r="D3124" s="31"/>
    </row>
    <row r="3125">
      <c r="A3125" s="51" t="s">
        <v>31320</v>
      </c>
      <c r="B3125" s="152"/>
      <c r="C3125" s="55"/>
      <c r="D3125" s="31"/>
    </row>
    <row r="3126">
      <c r="A3126" s="51" t="s">
        <v>31323</v>
      </c>
      <c r="B3126" s="152"/>
      <c r="C3126" s="55"/>
      <c r="D3126" s="31"/>
    </row>
    <row r="3127">
      <c r="A3127" s="51" t="s">
        <v>31324</v>
      </c>
      <c r="B3127" s="152"/>
      <c r="C3127" s="55"/>
      <c r="D3127" s="31"/>
    </row>
    <row r="3128">
      <c r="A3128" s="51" t="s">
        <v>31325</v>
      </c>
      <c r="B3128" s="152"/>
      <c r="C3128" s="55"/>
      <c r="D3128" s="31"/>
    </row>
    <row r="3129">
      <c r="A3129" s="51" t="s">
        <v>31326</v>
      </c>
      <c r="B3129" s="152"/>
      <c r="C3129" s="55"/>
      <c r="D3129" s="31"/>
    </row>
    <row r="3130">
      <c r="A3130" s="51" t="s">
        <v>31327</v>
      </c>
      <c r="B3130" s="152"/>
      <c r="C3130" s="55"/>
      <c r="D3130" s="31"/>
    </row>
    <row r="3131">
      <c r="A3131" s="51" t="s">
        <v>31328</v>
      </c>
      <c r="B3131" s="152"/>
      <c r="C3131" s="55"/>
      <c r="D3131" s="31"/>
    </row>
    <row r="3132">
      <c r="A3132" s="51" t="s">
        <v>31330</v>
      </c>
      <c r="B3132" s="152"/>
      <c r="C3132" s="55"/>
      <c r="D3132" s="31"/>
    </row>
    <row r="3133">
      <c r="A3133" s="51" t="s">
        <v>31331</v>
      </c>
      <c r="B3133" s="152"/>
      <c r="C3133" s="55"/>
      <c r="D3133" s="31"/>
    </row>
    <row r="3134">
      <c r="A3134" s="51" t="s">
        <v>31332</v>
      </c>
      <c r="B3134" s="152"/>
      <c r="C3134" s="55"/>
      <c r="D3134" s="31"/>
    </row>
    <row r="3135">
      <c r="A3135" s="51" t="s">
        <v>31335</v>
      </c>
      <c r="B3135" s="152"/>
      <c r="C3135" s="55"/>
      <c r="D3135" s="31"/>
    </row>
    <row r="3136">
      <c r="A3136" s="51" t="s">
        <v>31336</v>
      </c>
      <c r="B3136" s="152"/>
      <c r="C3136" s="55"/>
      <c r="D3136" s="31"/>
    </row>
    <row r="3137">
      <c r="A3137" s="51" t="s">
        <v>31337</v>
      </c>
      <c r="B3137" s="152"/>
      <c r="C3137" s="55"/>
      <c r="D3137" s="31"/>
    </row>
    <row r="3138">
      <c r="A3138" s="51" t="s">
        <v>31339</v>
      </c>
      <c r="B3138" s="152"/>
      <c r="C3138" s="55"/>
      <c r="D3138" s="31"/>
    </row>
    <row r="3139">
      <c r="C3139" s="12"/>
    </row>
    <row r="3140">
      <c r="A3140" s="159" t="s">
        <v>31341</v>
      </c>
      <c r="B3140" s="152"/>
      <c r="C3140" s="68"/>
      <c r="D3140" s="31"/>
    </row>
    <row r="3141">
      <c r="A3141" s="51" t="s">
        <v>31342</v>
      </c>
      <c r="B3141" s="152"/>
      <c r="C3141" s="55"/>
      <c r="D3141" s="31"/>
    </row>
    <row r="3142">
      <c r="A3142" s="51" t="s">
        <v>31343</v>
      </c>
      <c r="B3142" s="152"/>
      <c r="C3142" s="55"/>
      <c r="D3142" s="31"/>
    </row>
    <row r="3143">
      <c r="A3143" s="51" t="s">
        <v>31344</v>
      </c>
      <c r="B3143" s="152"/>
      <c r="C3143" s="55"/>
      <c r="D3143" s="31"/>
    </row>
    <row r="3144">
      <c r="A3144" s="51" t="s">
        <v>31345</v>
      </c>
      <c r="B3144" s="152"/>
      <c r="C3144" s="55"/>
      <c r="D3144" s="31"/>
    </row>
    <row r="3145">
      <c r="A3145" s="51" t="s">
        <v>31347</v>
      </c>
      <c r="B3145" s="152"/>
      <c r="C3145" s="55"/>
      <c r="D3145" s="31"/>
    </row>
    <row r="3146">
      <c r="A3146" s="51" t="s">
        <v>31348</v>
      </c>
      <c r="B3146" s="152"/>
      <c r="C3146" s="55"/>
      <c r="D3146" s="31"/>
    </row>
    <row r="3147">
      <c r="A3147" s="51" t="s">
        <v>31349</v>
      </c>
      <c r="B3147" s="152"/>
      <c r="C3147" s="55"/>
      <c r="D3147" s="31"/>
    </row>
    <row r="3148">
      <c r="A3148" s="51" t="s">
        <v>31351</v>
      </c>
      <c r="B3148" s="152"/>
      <c r="C3148" s="55"/>
      <c r="D3148" s="31"/>
    </row>
    <row r="3149">
      <c r="A3149" s="51" t="s">
        <v>31352</v>
      </c>
      <c r="B3149" s="152"/>
      <c r="C3149" s="55"/>
      <c r="D3149" s="31"/>
    </row>
    <row r="3150">
      <c r="A3150" s="51" t="s">
        <v>31353</v>
      </c>
      <c r="B3150" s="152"/>
      <c r="C3150" s="55"/>
      <c r="D3150" s="31"/>
    </row>
    <row r="3151">
      <c r="A3151" s="51" t="s">
        <v>31355</v>
      </c>
      <c r="B3151" s="152"/>
      <c r="C3151" s="55"/>
      <c r="D3151" s="31"/>
    </row>
    <row r="3152">
      <c r="A3152" s="51" t="s">
        <v>31356</v>
      </c>
      <c r="B3152" s="152"/>
      <c r="C3152" s="55"/>
      <c r="D3152" s="31"/>
    </row>
    <row r="3153">
      <c r="A3153" s="51" t="s">
        <v>31357</v>
      </c>
      <c r="B3153" s="152"/>
      <c r="C3153" s="55"/>
      <c r="D3153" s="31"/>
    </row>
    <row r="3154">
      <c r="A3154" s="51" t="s">
        <v>31358</v>
      </c>
      <c r="B3154" s="152"/>
      <c r="C3154" s="55"/>
      <c r="D3154" s="31"/>
    </row>
    <row r="3155">
      <c r="A3155" s="51" t="s">
        <v>31359</v>
      </c>
      <c r="B3155" s="152"/>
      <c r="C3155" s="55"/>
      <c r="D3155" s="31"/>
    </row>
    <row r="3156">
      <c r="A3156" s="51" t="s">
        <v>31361</v>
      </c>
      <c r="B3156" s="152"/>
      <c r="C3156" s="55"/>
      <c r="D3156" s="31"/>
    </row>
    <row r="3157">
      <c r="A3157" s="51" t="s">
        <v>31362</v>
      </c>
      <c r="B3157" s="152"/>
      <c r="C3157" s="55"/>
      <c r="D3157" s="31"/>
    </row>
    <row r="3158">
      <c r="A3158" s="51" t="s">
        <v>31363</v>
      </c>
      <c r="B3158" s="152"/>
      <c r="C3158" s="55"/>
      <c r="D3158" s="31"/>
    </row>
    <row r="3159">
      <c r="A3159" s="51" t="s">
        <v>31365</v>
      </c>
      <c r="B3159" s="152"/>
      <c r="C3159" s="55"/>
      <c r="D3159" s="31"/>
    </row>
    <row r="3160">
      <c r="A3160" s="51" t="s">
        <v>31366</v>
      </c>
      <c r="B3160" s="152"/>
      <c r="C3160" s="55"/>
      <c r="D3160" s="31"/>
    </row>
    <row r="3161">
      <c r="A3161" s="51" t="s">
        <v>31367</v>
      </c>
      <c r="B3161" s="152"/>
      <c r="C3161" s="55"/>
      <c r="D3161" s="31"/>
    </row>
    <row r="3162">
      <c r="A3162" s="51" t="s">
        <v>31368</v>
      </c>
      <c r="B3162" s="152"/>
      <c r="C3162" s="55"/>
      <c r="D3162" s="31"/>
    </row>
    <row r="3163">
      <c r="A3163" s="51" t="s">
        <v>31370</v>
      </c>
      <c r="B3163" s="152"/>
      <c r="C3163" s="55"/>
      <c r="D3163" s="31"/>
    </row>
    <row r="3164">
      <c r="A3164" s="51" t="s">
        <v>31371</v>
      </c>
      <c r="B3164" s="152"/>
      <c r="C3164" s="55"/>
      <c r="D3164" s="31"/>
    </row>
    <row r="3165">
      <c r="A3165" s="51" t="s">
        <v>31373</v>
      </c>
      <c r="B3165" s="152"/>
      <c r="C3165" s="55"/>
      <c r="D3165" s="31"/>
    </row>
    <row r="3166">
      <c r="A3166" s="51" t="s">
        <v>31374</v>
      </c>
      <c r="B3166" s="152"/>
      <c r="C3166" s="55"/>
      <c r="D3166" s="31"/>
    </row>
    <row r="3167">
      <c r="A3167" s="51" t="s">
        <v>31375</v>
      </c>
      <c r="B3167" s="152"/>
      <c r="C3167" s="55"/>
      <c r="D3167" s="31"/>
    </row>
    <row r="3168">
      <c r="A3168" s="51" t="s">
        <v>31376</v>
      </c>
      <c r="B3168" s="152"/>
      <c r="C3168" s="55"/>
      <c r="D3168" s="31"/>
    </row>
    <row r="3169">
      <c r="A3169" s="51" t="s">
        <v>31377</v>
      </c>
      <c r="B3169" s="152"/>
      <c r="C3169" s="55"/>
      <c r="D3169" s="31"/>
    </row>
    <row r="3170">
      <c r="A3170" s="51" t="s">
        <v>31378</v>
      </c>
      <c r="B3170" s="152"/>
      <c r="C3170" s="55"/>
      <c r="D3170" s="31"/>
    </row>
    <row r="3171">
      <c r="A3171" s="51" t="s">
        <v>31380</v>
      </c>
      <c r="B3171" s="152"/>
      <c r="C3171" s="55"/>
      <c r="D3171" s="31"/>
    </row>
    <row r="3172">
      <c r="A3172" s="51" t="s">
        <v>31382</v>
      </c>
      <c r="B3172" s="152"/>
      <c r="C3172" s="55"/>
      <c r="D3172" s="31"/>
    </row>
    <row r="3173">
      <c r="A3173" s="51" t="s">
        <v>31383</v>
      </c>
      <c r="B3173" s="152"/>
      <c r="C3173" s="55"/>
      <c r="D3173" s="31"/>
    </row>
    <row r="3174">
      <c r="A3174" s="51" t="s">
        <v>31384</v>
      </c>
      <c r="B3174" s="152"/>
      <c r="C3174" s="55"/>
      <c r="D3174" s="31"/>
    </row>
    <row r="3175">
      <c r="A3175" s="51" t="s">
        <v>31387</v>
      </c>
      <c r="B3175" s="152"/>
      <c r="C3175" s="55"/>
      <c r="D3175" s="31"/>
    </row>
    <row r="3176">
      <c r="A3176" s="51" t="s">
        <v>31388</v>
      </c>
      <c r="B3176" s="152"/>
      <c r="C3176" s="55"/>
      <c r="D3176" s="31"/>
    </row>
    <row r="3177">
      <c r="A3177" s="51" t="s">
        <v>31389</v>
      </c>
      <c r="B3177" s="152"/>
      <c r="C3177" s="55"/>
      <c r="D3177" s="31"/>
    </row>
    <row r="3178">
      <c r="A3178" s="51" t="s">
        <v>31390</v>
      </c>
      <c r="B3178" s="152"/>
      <c r="C3178" s="55"/>
      <c r="D3178" s="31"/>
    </row>
    <row r="3179">
      <c r="A3179" s="51" t="s">
        <v>31391</v>
      </c>
      <c r="B3179" s="152"/>
      <c r="C3179" s="55"/>
      <c r="D3179" s="31"/>
    </row>
    <row r="3180">
      <c r="A3180" s="51" t="s">
        <v>31392</v>
      </c>
      <c r="B3180" s="152"/>
      <c r="C3180" s="55"/>
      <c r="D3180" s="31"/>
    </row>
    <row r="3181">
      <c r="A3181" s="51" t="s">
        <v>31394</v>
      </c>
      <c r="B3181" s="152"/>
      <c r="C3181" s="55"/>
      <c r="D3181" s="31"/>
    </row>
    <row r="3182">
      <c r="A3182" s="51" t="s">
        <v>31395</v>
      </c>
      <c r="B3182" s="152"/>
      <c r="C3182" s="55"/>
      <c r="D3182" s="31"/>
    </row>
    <row r="3183">
      <c r="A3183" s="51" t="s">
        <v>31397</v>
      </c>
      <c r="B3183" s="152"/>
      <c r="C3183" s="55"/>
      <c r="D3183" s="31"/>
    </row>
    <row r="3184">
      <c r="A3184" s="51" t="s">
        <v>31398</v>
      </c>
      <c r="B3184" s="152"/>
      <c r="C3184" s="55"/>
      <c r="D3184" s="31"/>
    </row>
    <row r="3185">
      <c r="A3185" s="51" t="s">
        <v>31399</v>
      </c>
      <c r="B3185" s="152"/>
      <c r="C3185" s="55"/>
      <c r="D3185" s="31"/>
    </row>
    <row r="3186">
      <c r="A3186" s="51" t="s">
        <v>31400</v>
      </c>
      <c r="B3186" s="152"/>
      <c r="C3186" s="55"/>
      <c r="D3186" s="31"/>
    </row>
    <row r="3187">
      <c r="A3187" s="51" t="s">
        <v>31402</v>
      </c>
      <c r="B3187" s="152"/>
      <c r="C3187" s="55"/>
      <c r="D3187" s="31"/>
    </row>
    <row r="3188">
      <c r="A3188" s="51" t="s">
        <v>31403</v>
      </c>
      <c r="B3188" s="152"/>
      <c r="C3188" s="55"/>
      <c r="D3188" s="31"/>
    </row>
    <row r="3189">
      <c r="A3189" s="51" t="s">
        <v>31404</v>
      </c>
      <c r="B3189" s="152"/>
      <c r="C3189" s="55"/>
      <c r="D3189" s="31"/>
    </row>
    <row r="3190">
      <c r="A3190" s="51" t="s">
        <v>31405</v>
      </c>
      <c r="B3190" s="152"/>
      <c r="C3190" s="55"/>
      <c r="D3190" s="31"/>
    </row>
    <row r="3191">
      <c r="A3191" s="51" t="s">
        <v>31407</v>
      </c>
      <c r="B3191" s="152"/>
      <c r="C3191" s="55"/>
      <c r="D3191" s="31"/>
    </row>
    <row r="3192">
      <c r="A3192" s="51" t="s">
        <v>31408</v>
      </c>
      <c r="B3192" s="152"/>
      <c r="C3192" s="55"/>
      <c r="D3192" s="31"/>
    </row>
    <row r="3193">
      <c r="A3193" s="51" t="s">
        <v>31409</v>
      </c>
      <c r="B3193" s="152"/>
      <c r="C3193" s="55"/>
      <c r="D3193" s="31"/>
    </row>
    <row r="3194">
      <c r="A3194" s="51" t="s">
        <v>31410</v>
      </c>
      <c r="B3194" s="152"/>
      <c r="C3194" s="55"/>
      <c r="D3194" s="31"/>
    </row>
    <row r="3195">
      <c r="A3195" s="51" t="s">
        <v>31411</v>
      </c>
      <c r="B3195" s="152"/>
      <c r="C3195" s="55"/>
      <c r="D3195" s="31"/>
    </row>
    <row r="3196">
      <c r="A3196" s="51" t="s">
        <v>31412</v>
      </c>
      <c r="B3196" s="152"/>
      <c r="C3196" s="55"/>
      <c r="D3196" s="31"/>
    </row>
    <row r="3197">
      <c r="A3197" s="51" t="s">
        <v>31413</v>
      </c>
      <c r="B3197" s="152"/>
      <c r="C3197" s="55"/>
      <c r="D3197" s="31"/>
    </row>
    <row r="3198">
      <c r="A3198" s="51" t="s">
        <v>31414</v>
      </c>
      <c r="B3198" s="152"/>
      <c r="C3198" s="55"/>
      <c r="D3198" s="31"/>
    </row>
    <row r="3199">
      <c r="A3199" s="51" t="s">
        <v>31415</v>
      </c>
      <c r="B3199" s="152"/>
      <c r="C3199" s="55"/>
      <c r="D3199" s="31"/>
    </row>
    <row r="3200">
      <c r="A3200" s="51" t="s">
        <v>31417</v>
      </c>
      <c r="B3200" s="152"/>
      <c r="C3200" s="55"/>
      <c r="D3200" s="31"/>
    </row>
    <row r="3201">
      <c r="A3201" s="51" t="s">
        <v>31418</v>
      </c>
      <c r="B3201" s="152"/>
      <c r="C3201" s="55"/>
      <c r="D3201" s="31"/>
    </row>
    <row r="3202">
      <c r="A3202" s="51" t="s">
        <v>31419</v>
      </c>
      <c r="B3202" s="152"/>
      <c r="C3202" s="55"/>
      <c r="D3202" s="31"/>
    </row>
    <row r="3203">
      <c r="A3203" s="51" t="s">
        <v>31420</v>
      </c>
      <c r="B3203" s="152"/>
      <c r="C3203" s="55"/>
      <c r="D3203" s="31"/>
    </row>
    <row r="3204">
      <c r="A3204" s="51" t="s">
        <v>31421</v>
      </c>
      <c r="B3204" s="152"/>
      <c r="C3204" s="55"/>
      <c r="D3204" s="31"/>
    </row>
    <row r="3205">
      <c r="A3205" s="51" t="s">
        <v>31422</v>
      </c>
      <c r="B3205" s="152"/>
      <c r="C3205" s="55"/>
      <c r="D3205" s="31"/>
    </row>
    <row r="3206">
      <c r="A3206" s="51" t="s">
        <v>31423</v>
      </c>
      <c r="B3206" s="152"/>
      <c r="C3206" s="55"/>
      <c r="D3206" s="31"/>
    </row>
    <row r="3207">
      <c r="A3207" s="51" t="s">
        <v>31425</v>
      </c>
      <c r="B3207" s="152"/>
      <c r="C3207" s="55"/>
      <c r="D3207" s="31"/>
    </row>
    <row r="3208">
      <c r="A3208" s="51" t="s">
        <v>31426</v>
      </c>
      <c r="B3208" s="152"/>
      <c r="C3208" s="55"/>
      <c r="D3208" s="31"/>
    </row>
    <row r="3209">
      <c r="A3209" s="51" t="s">
        <v>31427</v>
      </c>
      <c r="B3209" s="152"/>
      <c r="C3209" s="55"/>
      <c r="D3209" s="31"/>
    </row>
    <row r="3210">
      <c r="A3210" s="51" t="s">
        <v>31428</v>
      </c>
      <c r="B3210" s="152"/>
      <c r="C3210" s="55"/>
      <c r="D3210" s="31"/>
    </row>
    <row r="3211">
      <c r="A3211" s="51" t="s">
        <v>31429</v>
      </c>
      <c r="B3211" s="152"/>
      <c r="C3211" s="55"/>
      <c r="D3211" s="31"/>
    </row>
    <row r="3212">
      <c r="A3212" s="51" t="s">
        <v>31430</v>
      </c>
      <c r="B3212" s="152"/>
      <c r="C3212" s="55"/>
      <c r="D3212" s="31"/>
    </row>
    <row r="3213">
      <c r="A3213" s="51" t="s">
        <v>31431</v>
      </c>
      <c r="B3213" s="152"/>
      <c r="C3213" s="55"/>
      <c r="D3213" s="31"/>
    </row>
    <row r="3214">
      <c r="A3214" s="51" t="s">
        <v>31432</v>
      </c>
      <c r="B3214" s="152"/>
      <c r="C3214" s="55"/>
      <c r="D3214" s="31"/>
    </row>
    <row r="3215">
      <c r="A3215" s="51" t="s">
        <v>31434</v>
      </c>
      <c r="B3215" s="152"/>
      <c r="C3215" s="55"/>
      <c r="D3215" s="31"/>
    </row>
    <row r="3216">
      <c r="A3216" s="51" t="s">
        <v>31435</v>
      </c>
      <c r="B3216" s="152"/>
      <c r="C3216" s="55"/>
      <c r="D3216" s="31"/>
    </row>
    <row r="3217">
      <c r="A3217" s="51" t="s">
        <v>31436</v>
      </c>
      <c r="B3217" s="152"/>
      <c r="C3217" s="55"/>
      <c r="D3217" s="31"/>
    </row>
    <row r="3218">
      <c r="A3218" s="51" t="s">
        <v>31437</v>
      </c>
      <c r="B3218" s="152"/>
      <c r="C3218" s="55"/>
      <c r="D3218" s="31"/>
    </row>
    <row r="3219">
      <c r="A3219" s="51" t="s">
        <v>31439</v>
      </c>
      <c r="B3219" s="152"/>
      <c r="C3219" s="55"/>
      <c r="D3219" s="31"/>
    </row>
    <row r="3220">
      <c r="A3220" s="51" t="s">
        <v>31440</v>
      </c>
      <c r="B3220" s="152"/>
      <c r="C3220" s="55"/>
      <c r="D3220" s="31"/>
    </row>
    <row r="3221">
      <c r="A3221" s="51" t="s">
        <v>31441</v>
      </c>
      <c r="B3221" s="152"/>
      <c r="C3221" s="55"/>
      <c r="D3221" s="31"/>
    </row>
    <row r="3222">
      <c r="A3222" s="51" t="s">
        <v>31443</v>
      </c>
      <c r="B3222" s="152"/>
      <c r="C3222" s="55"/>
      <c r="D3222" s="31"/>
    </row>
    <row r="3223">
      <c r="A3223" s="51" t="s">
        <v>31444</v>
      </c>
      <c r="B3223" s="152"/>
      <c r="C3223" s="55"/>
      <c r="D3223" s="31"/>
    </row>
    <row r="3224">
      <c r="A3224" s="51" t="s">
        <v>31445</v>
      </c>
      <c r="B3224" s="152"/>
      <c r="C3224" s="55"/>
      <c r="D3224" s="31"/>
    </row>
    <row r="3225">
      <c r="A3225" s="51" t="s">
        <v>31446</v>
      </c>
      <c r="B3225" s="152"/>
      <c r="C3225" s="55"/>
      <c r="D3225" s="31"/>
    </row>
    <row r="3226">
      <c r="A3226" s="51" t="s">
        <v>31448</v>
      </c>
      <c r="B3226" s="152"/>
      <c r="C3226" s="55"/>
      <c r="D3226" s="31"/>
    </row>
    <row r="3227">
      <c r="A3227" s="51" t="s">
        <v>31449</v>
      </c>
      <c r="B3227" s="152"/>
      <c r="C3227" s="55"/>
      <c r="D3227" s="31"/>
    </row>
    <row r="3228">
      <c r="A3228" s="51" t="s">
        <v>31450</v>
      </c>
      <c r="B3228" s="152"/>
      <c r="C3228" s="55"/>
      <c r="D3228" s="31"/>
    </row>
    <row r="3229">
      <c r="A3229" s="51" t="s">
        <v>31451</v>
      </c>
      <c r="B3229" s="152"/>
      <c r="C3229" s="55"/>
      <c r="D3229" s="31"/>
    </row>
    <row r="3230">
      <c r="A3230" s="51" t="s">
        <v>31453</v>
      </c>
      <c r="B3230" s="152"/>
      <c r="C3230" s="55"/>
      <c r="D3230" s="31"/>
    </row>
    <row r="3231">
      <c r="A3231" s="51" t="s">
        <v>31454</v>
      </c>
      <c r="B3231" s="152"/>
      <c r="C3231" s="55"/>
      <c r="D3231" s="31"/>
    </row>
    <row r="3232">
      <c r="A3232" s="51" t="s">
        <v>31457</v>
      </c>
      <c r="B3232" s="152"/>
      <c r="C3232" s="55"/>
      <c r="D3232" s="31"/>
    </row>
    <row r="3233">
      <c r="A3233" s="51" t="s">
        <v>31458</v>
      </c>
      <c r="B3233" s="152"/>
      <c r="C3233" s="55"/>
      <c r="D3233" s="31"/>
    </row>
    <row r="3234">
      <c r="A3234" s="51" t="s">
        <v>31459</v>
      </c>
      <c r="B3234" s="152"/>
      <c r="C3234" s="55"/>
      <c r="D3234" s="31"/>
    </row>
    <row r="3235">
      <c r="A3235" s="51" t="s">
        <v>31460</v>
      </c>
      <c r="B3235" s="152"/>
      <c r="C3235" s="55"/>
      <c r="D3235" s="31"/>
    </row>
    <row r="3236">
      <c r="A3236" s="51" t="s">
        <v>31461</v>
      </c>
      <c r="B3236" s="152"/>
      <c r="C3236" s="55"/>
      <c r="D3236" s="31"/>
    </row>
    <row r="3237">
      <c r="A3237" s="51" t="s">
        <v>31462</v>
      </c>
      <c r="B3237" s="152"/>
      <c r="C3237" s="55"/>
      <c r="D3237" s="31"/>
    </row>
    <row r="3238">
      <c r="A3238" s="51" t="s">
        <v>31463</v>
      </c>
      <c r="B3238" s="152"/>
      <c r="C3238" s="55"/>
      <c r="D3238" s="31"/>
    </row>
    <row r="3239">
      <c r="A3239" s="51" t="s">
        <v>31465</v>
      </c>
      <c r="B3239" s="152"/>
      <c r="C3239" s="55"/>
      <c r="D3239" s="31"/>
    </row>
    <row r="3240">
      <c r="A3240" s="51" t="s">
        <v>31466</v>
      </c>
      <c r="B3240" s="152"/>
      <c r="C3240" s="55"/>
      <c r="D3240" s="31"/>
    </row>
    <row r="3241">
      <c r="A3241" s="51" t="s">
        <v>31467</v>
      </c>
      <c r="B3241" s="152"/>
      <c r="C3241" s="55"/>
      <c r="D3241" s="31"/>
    </row>
    <row r="3242">
      <c r="A3242" s="51" t="s">
        <v>31468</v>
      </c>
      <c r="B3242" s="152"/>
      <c r="C3242" s="55"/>
      <c r="D3242" s="31"/>
    </row>
    <row r="3243">
      <c r="A3243" s="51" t="s">
        <v>31469</v>
      </c>
      <c r="B3243" s="152"/>
      <c r="C3243" s="55"/>
      <c r="D3243" s="31"/>
    </row>
    <row r="3244">
      <c r="A3244" s="51" t="s">
        <v>31471</v>
      </c>
      <c r="B3244" s="152"/>
      <c r="C3244" s="55"/>
      <c r="D3244" s="31"/>
    </row>
    <row r="3245">
      <c r="A3245" s="51" t="s">
        <v>31473</v>
      </c>
      <c r="B3245" s="152"/>
      <c r="C3245" s="55"/>
      <c r="D3245" s="31"/>
    </row>
    <row r="3246">
      <c r="A3246" s="51" t="s">
        <v>31474</v>
      </c>
      <c r="B3246" s="152"/>
      <c r="C3246" s="55"/>
      <c r="D3246" s="31"/>
    </row>
    <row r="3247">
      <c r="A3247" s="51" t="s">
        <v>31475</v>
      </c>
      <c r="B3247" s="152"/>
      <c r="C3247" s="55"/>
      <c r="D3247" s="31"/>
    </row>
    <row r="3248">
      <c r="A3248" s="51" t="s">
        <v>31476</v>
      </c>
      <c r="B3248" s="152"/>
      <c r="C3248" s="55"/>
      <c r="D3248" s="31"/>
    </row>
    <row r="3249">
      <c r="A3249" s="51" t="s">
        <v>31477</v>
      </c>
      <c r="B3249" s="152"/>
      <c r="C3249" s="55"/>
      <c r="D3249" s="31"/>
    </row>
    <row r="3250">
      <c r="A3250" s="51" t="s">
        <v>31478</v>
      </c>
      <c r="B3250" s="152"/>
      <c r="C3250" s="55"/>
      <c r="D3250" s="31"/>
    </row>
    <row r="3251">
      <c r="A3251" s="51" t="s">
        <v>31479</v>
      </c>
      <c r="B3251" s="152"/>
      <c r="C3251" s="55"/>
      <c r="D3251" s="31"/>
    </row>
    <row r="3252">
      <c r="A3252" s="51" t="s">
        <v>31482</v>
      </c>
      <c r="B3252" s="152"/>
      <c r="C3252" s="55"/>
      <c r="D3252" s="31"/>
    </row>
    <row r="3253">
      <c r="A3253" s="51" t="s">
        <v>31483</v>
      </c>
      <c r="B3253" s="152"/>
      <c r="C3253" s="55"/>
      <c r="D3253" s="31"/>
    </row>
    <row r="3254">
      <c r="A3254" s="51" t="s">
        <v>31484</v>
      </c>
      <c r="B3254" s="152"/>
      <c r="C3254" s="55"/>
      <c r="D3254" s="31"/>
    </row>
    <row r="3255">
      <c r="A3255" s="51" t="s">
        <v>31485</v>
      </c>
      <c r="B3255" s="152"/>
      <c r="C3255" s="55"/>
      <c r="D3255" s="31"/>
    </row>
    <row r="3256">
      <c r="A3256" s="51" t="s">
        <v>31486</v>
      </c>
      <c r="B3256" s="152"/>
      <c r="C3256" s="55"/>
      <c r="D3256" s="31"/>
    </row>
    <row r="3257">
      <c r="A3257" s="51" t="s">
        <v>31487</v>
      </c>
      <c r="B3257" s="152"/>
      <c r="C3257" s="55"/>
      <c r="D3257" s="31"/>
    </row>
    <row r="3258">
      <c r="A3258" s="51" t="s">
        <v>31489</v>
      </c>
      <c r="B3258" s="152"/>
      <c r="C3258" s="55"/>
      <c r="D3258" s="31"/>
    </row>
    <row r="3259">
      <c r="A3259" s="51" t="s">
        <v>31490</v>
      </c>
      <c r="B3259" s="152"/>
      <c r="C3259" s="55"/>
      <c r="D3259" s="31"/>
    </row>
    <row r="3260">
      <c r="A3260" s="51" t="s">
        <v>31492</v>
      </c>
      <c r="B3260" s="152"/>
      <c r="C3260" s="55"/>
      <c r="D3260" s="31"/>
    </row>
    <row r="3261">
      <c r="A3261" s="51" t="s">
        <v>31493</v>
      </c>
      <c r="B3261" s="152"/>
      <c r="C3261" s="55"/>
      <c r="D3261" s="31"/>
    </row>
    <row r="3262">
      <c r="A3262" s="51" t="s">
        <v>31494</v>
      </c>
      <c r="B3262" s="152"/>
      <c r="C3262" s="55"/>
      <c r="D3262" s="31"/>
    </row>
    <row r="3263">
      <c r="A3263" s="51" t="s">
        <v>31495</v>
      </c>
      <c r="B3263" s="152"/>
      <c r="C3263" s="55"/>
      <c r="D3263" s="31"/>
    </row>
    <row r="3264">
      <c r="A3264" s="51" t="s">
        <v>31497</v>
      </c>
      <c r="B3264" s="152"/>
      <c r="C3264" s="55"/>
      <c r="D3264" s="31"/>
    </row>
    <row r="3265">
      <c r="A3265" s="51" t="s">
        <v>31498</v>
      </c>
      <c r="B3265" s="152"/>
      <c r="C3265" s="55"/>
      <c r="D3265" s="31"/>
    </row>
    <row r="3266">
      <c r="A3266" s="51" t="s">
        <v>31499</v>
      </c>
      <c r="B3266" s="152"/>
      <c r="C3266" s="55"/>
      <c r="D3266" s="31"/>
    </row>
    <row r="3267">
      <c r="A3267" s="51" t="s">
        <v>31500</v>
      </c>
      <c r="B3267" s="152"/>
      <c r="C3267" s="55"/>
      <c r="D3267" s="31"/>
    </row>
    <row r="3268">
      <c r="A3268" s="51" t="s">
        <v>31502</v>
      </c>
      <c r="B3268" s="152"/>
      <c r="C3268" s="55"/>
      <c r="D3268" s="31"/>
    </row>
    <row r="3269">
      <c r="A3269" s="51" t="s">
        <v>31503</v>
      </c>
      <c r="B3269" s="152"/>
      <c r="C3269" s="55"/>
      <c r="D3269" s="31"/>
    </row>
    <row r="3270">
      <c r="A3270" s="51" t="s">
        <v>31504</v>
      </c>
      <c r="B3270" s="152"/>
      <c r="C3270" s="55"/>
      <c r="D3270" s="31"/>
    </row>
    <row r="3271">
      <c r="A3271" s="51" t="s">
        <v>31506</v>
      </c>
      <c r="B3271" s="152"/>
      <c r="C3271" s="55"/>
      <c r="D3271" s="31"/>
    </row>
    <row r="3272">
      <c r="A3272" s="51" t="s">
        <v>31507</v>
      </c>
      <c r="B3272" s="152"/>
      <c r="C3272" s="55"/>
      <c r="D3272" s="31"/>
    </row>
    <row r="3273">
      <c r="A3273" s="51" t="s">
        <v>31508</v>
      </c>
      <c r="B3273" s="152"/>
      <c r="C3273" s="55"/>
      <c r="D3273" s="31"/>
    </row>
    <row r="3274">
      <c r="A3274" s="51" t="s">
        <v>31509</v>
      </c>
      <c r="B3274" s="152"/>
      <c r="C3274" s="55"/>
      <c r="D3274" s="31"/>
    </row>
    <row r="3275">
      <c r="A3275" s="51" t="s">
        <v>31510</v>
      </c>
      <c r="B3275" s="152"/>
      <c r="C3275" s="55"/>
      <c r="D3275" s="31"/>
    </row>
    <row r="3276">
      <c r="A3276" s="51" t="s">
        <v>31512</v>
      </c>
      <c r="B3276" s="152"/>
      <c r="C3276" s="55"/>
      <c r="D3276" s="31"/>
    </row>
    <row r="3277">
      <c r="A3277" s="51" t="s">
        <v>31515</v>
      </c>
      <c r="B3277" s="152"/>
      <c r="C3277" s="55"/>
      <c r="D3277" s="31"/>
    </row>
    <row r="3278">
      <c r="A3278" s="51" t="s">
        <v>31516</v>
      </c>
      <c r="B3278" s="152"/>
      <c r="C3278" s="55"/>
      <c r="D3278" s="31"/>
    </row>
    <row r="3279">
      <c r="A3279" s="51" t="s">
        <v>31517</v>
      </c>
      <c r="B3279" s="152"/>
      <c r="C3279" s="55"/>
      <c r="D3279" s="31"/>
    </row>
    <row r="3280">
      <c r="A3280" s="51" t="s">
        <v>31518</v>
      </c>
      <c r="B3280" s="152"/>
      <c r="C3280" s="55"/>
      <c r="D3280" s="31"/>
    </row>
    <row r="3281">
      <c r="A3281" s="51" t="s">
        <v>31519</v>
      </c>
      <c r="B3281" s="152"/>
      <c r="C3281" s="55"/>
      <c r="D3281" s="31"/>
    </row>
    <row r="3282">
      <c r="A3282" s="51" t="s">
        <v>31520</v>
      </c>
      <c r="B3282" s="152"/>
      <c r="C3282" s="55"/>
      <c r="D3282" s="31"/>
    </row>
    <row r="3283">
      <c r="A3283" s="51" t="s">
        <v>31521</v>
      </c>
      <c r="B3283" s="152"/>
      <c r="C3283" s="55"/>
      <c r="D3283" s="31"/>
    </row>
    <row r="3284">
      <c r="A3284" s="51" t="s">
        <v>31525</v>
      </c>
      <c r="B3284" s="152"/>
      <c r="C3284" s="55"/>
      <c r="D3284" s="31"/>
    </row>
    <row r="3285">
      <c r="A3285" s="51" t="s">
        <v>31526</v>
      </c>
      <c r="B3285" s="152"/>
      <c r="C3285" s="55"/>
      <c r="D3285" s="31"/>
    </row>
    <row r="3286">
      <c r="A3286" s="51" t="s">
        <v>31527</v>
      </c>
      <c r="B3286" s="152"/>
      <c r="C3286" s="55"/>
      <c r="D3286" s="31"/>
    </row>
    <row r="3287">
      <c r="A3287" s="51" t="s">
        <v>31528</v>
      </c>
      <c r="B3287" s="152"/>
      <c r="C3287" s="55"/>
      <c r="D3287" s="31"/>
    </row>
    <row r="3288">
      <c r="A3288" s="51" t="s">
        <v>31529</v>
      </c>
      <c r="B3288" s="152"/>
      <c r="C3288" s="55"/>
      <c r="D3288" s="31"/>
    </row>
    <row r="3289">
      <c r="A3289" s="51" t="s">
        <v>31530</v>
      </c>
      <c r="B3289" s="152"/>
      <c r="C3289" s="55"/>
      <c r="D3289" s="31"/>
    </row>
    <row r="3290">
      <c r="A3290" s="51" t="s">
        <v>31532</v>
      </c>
      <c r="B3290" s="152"/>
      <c r="C3290" s="55"/>
      <c r="D3290" s="31"/>
    </row>
    <row r="3291">
      <c r="A3291" s="51" t="s">
        <v>31535</v>
      </c>
      <c r="B3291" s="152"/>
      <c r="C3291" s="55"/>
      <c r="D3291" s="31"/>
    </row>
    <row r="3292">
      <c r="A3292" s="51" t="s">
        <v>31536</v>
      </c>
      <c r="B3292" s="152"/>
      <c r="C3292" s="55"/>
      <c r="D3292" s="31"/>
    </row>
    <row r="3293">
      <c r="A3293" s="51" t="s">
        <v>31537</v>
      </c>
      <c r="B3293" s="152"/>
      <c r="C3293" s="55"/>
      <c r="D3293" s="31"/>
    </row>
    <row r="3294">
      <c r="A3294" s="51" t="s">
        <v>31538</v>
      </c>
      <c r="B3294" s="152"/>
      <c r="C3294" s="55"/>
      <c r="D3294" s="31"/>
    </row>
    <row r="3295">
      <c r="A3295" s="51" t="s">
        <v>31539</v>
      </c>
      <c r="B3295" s="152"/>
      <c r="C3295" s="55"/>
      <c r="D3295" s="31"/>
    </row>
    <row r="3296">
      <c r="A3296" s="51" t="s">
        <v>31541</v>
      </c>
      <c r="B3296" s="152"/>
      <c r="C3296" s="55"/>
      <c r="D3296" s="31"/>
    </row>
    <row r="3297">
      <c r="A3297" s="51" t="s">
        <v>31542</v>
      </c>
      <c r="B3297" s="152"/>
      <c r="C3297" s="55"/>
      <c r="D3297" s="31"/>
    </row>
    <row r="3298">
      <c r="A3298" s="51" t="s">
        <v>30946</v>
      </c>
      <c r="B3298" s="152"/>
      <c r="C3298" s="55"/>
      <c r="D3298" s="31"/>
    </row>
    <row r="3299">
      <c r="A3299" s="51" t="s">
        <v>31544</v>
      </c>
      <c r="B3299" s="152"/>
      <c r="C3299" s="55"/>
      <c r="D3299" s="31"/>
    </row>
    <row r="3300">
      <c r="A3300" s="51" t="s">
        <v>31545</v>
      </c>
      <c r="B3300" s="152"/>
      <c r="C3300" s="55"/>
      <c r="D3300" s="31"/>
    </row>
    <row r="3301">
      <c r="A3301" s="51" t="s">
        <v>31546</v>
      </c>
      <c r="B3301" s="152"/>
      <c r="C3301" s="55"/>
      <c r="D3301" s="31"/>
    </row>
    <row r="3302">
      <c r="A3302" s="51" t="s">
        <v>31548</v>
      </c>
      <c r="B3302" s="152"/>
      <c r="C3302" s="55"/>
      <c r="D3302" s="31"/>
    </row>
    <row r="3303">
      <c r="A3303" s="51" t="s">
        <v>31549</v>
      </c>
      <c r="B3303" s="152"/>
      <c r="C3303" s="55"/>
      <c r="D3303" s="31"/>
    </row>
    <row r="3304">
      <c r="A3304" s="51" t="s">
        <v>31550</v>
      </c>
      <c r="B3304" s="152"/>
      <c r="C3304" s="55"/>
      <c r="D3304" s="31"/>
    </row>
    <row r="3305">
      <c r="A3305" s="51" t="s">
        <v>31551</v>
      </c>
      <c r="B3305" s="152"/>
      <c r="C3305" s="55"/>
      <c r="D3305" s="31"/>
    </row>
    <row r="3306">
      <c r="A3306" s="51" t="s">
        <v>31553</v>
      </c>
      <c r="B3306" s="152"/>
      <c r="C3306" s="55"/>
      <c r="D3306" s="31"/>
    </row>
    <row r="3307">
      <c r="A3307" s="51" t="s">
        <v>31554</v>
      </c>
      <c r="B3307" s="152"/>
      <c r="C3307" s="55"/>
      <c r="D3307" s="31"/>
    </row>
    <row r="3308">
      <c r="A3308" s="51" t="s">
        <v>31556</v>
      </c>
      <c r="B3308" s="152"/>
      <c r="C3308" s="55"/>
      <c r="D3308" s="31"/>
    </row>
    <row r="3309">
      <c r="A3309" s="51" t="s">
        <v>31558</v>
      </c>
      <c r="B3309" s="152"/>
      <c r="C3309" s="55"/>
      <c r="D3309" s="31"/>
    </row>
    <row r="3310">
      <c r="A3310" s="51" t="s">
        <v>31560</v>
      </c>
      <c r="B3310" s="152"/>
      <c r="C3310" s="55"/>
      <c r="D3310" s="31"/>
    </row>
    <row r="3311">
      <c r="A3311" s="51" t="s">
        <v>31561</v>
      </c>
      <c r="B3311" s="152"/>
      <c r="C3311" s="55"/>
      <c r="D3311" s="31"/>
    </row>
    <row r="3312">
      <c r="A3312" s="51" t="s">
        <v>31562</v>
      </c>
      <c r="B3312" s="152"/>
      <c r="C3312" s="55"/>
      <c r="D3312" s="31"/>
    </row>
    <row r="3313">
      <c r="A3313" s="51" t="s">
        <v>31563</v>
      </c>
      <c r="B3313" s="152"/>
      <c r="C3313" s="55"/>
      <c r="D3313" s="31"/>
    </row>
    <row r="3314">
      <c r="A3314" s="51" t="s">
        <v>31565</v>
      </c>
      <c r="B3314" s="152"/>
      <c r="C3314" s="55"/>
      <c r="D3314" s="31"/>
    </row>
    <row r="3315">
      <c r="A3315" s="51" t="s">
        <v>31566</v>
      </c>
      <c r="B3315" s="152"/>
      <c r="C3315" s="55"/>
      <c r="D3315" s="31"/>
    </row>
    <row r="3316">
      <c r="A3316" s="51" t="s">
        <v>31567</v>
      </c>
      <c r="B3316" s="152"/>
      <c r="C3316" s="55"/>
      <c r="D3316" s="31"/>
    </row>
    <row r="3317">
      <c r="A3317" s="51" t="s">
        <v>31568</v>
      </c>
      <c r="B3317" s="152"/>
      <c r="C3317" s="55"/>
      <c r="D3317" s="31"/>
    </row>
    <row r="3318">
      <c r="A3318" s="51" t="s">
        <v>31569</v>
      </c>
      <c r="B3318" s="152"/>
      <c r="C3318" s="55"/>
      <c r="D3318" s="31"/>
    </row>
    <row r="3319">
      <c r="A3319" s="51" t="s">
        <v>31570</v>
      </c>
      <c r="B3319" s="152"/>
      <c r="C3319" s="55"/>
      <c r="D3319" s="31"/>
    </row>
    <row r="3320">
      <c r="A3320" s="51" t="s">
        <v>31572</v>
      </c>
      <c r="B3320" s="152"/>
      <c r="C3320" s="55"/>
      <c r="D3320" s="31"/>
    </row>
    <row r="3321">
      <c r="A3321" s="51" t="s">
        <v>31574</v>
      </c>
      <c r="B3321" s="152"/>
      <c r="C3321" s="55"/>
      <c r="D3321" s="31"/>
    </row>
    <row r="3322">
      <c r="A3322" s="51" t="s">
        <v>31575</v>
      </c>
      <c r="B3322" s="152"/>
      <c r="C3322" s="55"/>
      <c r="D3322" s="31"/>
    </row>
    <row r="3323">
      <c r="A3323" s="51" t="s">
        <v>31577</v>
      </c>
      <c r="B3323" s="152"/>
      <c r="C3323" s="55"/>
      <c r="D3323" s="31"/>
    </row>
    <row r="3324">
      <c r="A3324" s="51" t="s">
        <v>31579</v>
      </c>
      <c r="B3324" s="152"/>
      <c r="C3324" s="55"/>
      <c r="D3324" s="31"/>
    </row>
    <row r="3325">
      <c r="A3325" s="51" t="s">
        <v>31580</v>
      </c>
      <c r="B3325" s="152"/>
      <c r="C3325" s="55"/>
      <c r="D3325" s="31"/>
    </row>
    <row r="3326">
      <c r="A3326" s="51" t="s">
        <v>31582</v>
      </c>
      <c r="B3326" s="152"/>
      <c r="C3326" s="55"/>
      <c r="D3326" s="31"/>
    </row>
    <row r="3327">
      <c r="A3327" s="51" t="s">
        <v>31583</v>
      </c>
      <c r="B3327" s="152"/>
      <c r="C3327" s="55"/>
      <c r="D3327" s="31"/>
    </row>
    <row r="3328">
      <c r="A3328" s="51" t="s">
        <v>31584</v>
      </c>
      <c r="B3328" s="152"/>
      <c r="C3328" s="55"/>
      <c r="D3328" s="31"/>
    </row>
    <row r="3329">
      <c r="A3329" s="51" t="s">
        <v>31585</v>
      </c>
      <c r="B3329" s="152"/>
      <c r="C3329" s="55"/>
      <c r="D3329" s="31"/>
    </row>
    <row r="3330">
      <c r="A3330" s="51" t="s">
        <v>31586</v>
      </c>
      <c r="B3330" s="152"/>
      <c r="C3330" s="55"/>
      <c r="D3330" s="31"/>
    </row>
    <row r="3331">
      <c r="A3331" s="51" t="s">
        <v>31588</v>
      </c>
      <c r="B3331" s="152"/>
      <c r="C3331" s="55"/>
      <c r="D3331" s="31"/>
    </row>
    <row r="3332">
      <c r="A3332" s="51" t="s">
        <v>31590</v>
      </c>
      <c r="B3332" s="152"/>
      <c r="C3332" s="55"/>
      <c r="D3332" s="31"/>
    </row>
    <row r="3333">
      <c r="A3333" s="51" t="s">
        <v>31591</v>
      </c>
      <c r="B3333" s="152"/>
      <c r="C3333" s="55"/>
      <c r="D3333" s="31"/>
    </row>
    <row r="3334">
      <c r="A3334" s="51" t="s">
        <v>31592</v>
      </c>
      <c r="B3334" s="152"/>
      <c r="C3334" s="55"/>
      <c r="D3334" s="31"/>
    </row>
    <row r="3335">
      <c r="A3335" s="51" t="s">
        <v>31593</v>
      </c>
      <c r="B3335" s="152"/>
      <c r="C3335" s="55"/>
      <c r="D3335" s="31"/>
    </row>
    <row r="3336">
      <c r="A3336" s="51" t="s">
        <v>31594</v>
      </c>
      <c r="B3336" s="152"/>
      <c r="C3336" s="55"/>
      <c r="D3336" s="31"/>
    </row>
    <row r="3337">
      <c r="A3337" s="51" t="s">
        <v>31595</v>
      </c>
      <c r="B3337" s="152"/>
      <c r="C3337" s="55"/>
      <c r="D3337" s="31"/>
    </row>
    <row r="3338">
      <c r="A3338" s="51" t="s">
        <v>31596</v>
      </c>
      <c r="B3338" s="152"/>
      <c r="C3338" s="55"/>
      <c r="D3338" s="31"/>
    </row>
    <row r="3339">
      <c r="A3339" s="51" t="s">
        <v>31598</v>
      </c>
      <c r="B3339" s="152"/>
      <c r="C3339" s="55"/>
      <c r="D3339" s="31"/>
    </row>
    <row r="3340">
      <c r="A3340" s="51" t="s">
        <v>31600</v>
      </c>
      <c r="B3340" s="152"/>
      <c r="C3340" s="55"/>
      <c r="D3340" s="31"/>
    </row>
    <row r="3341">
      <c r="A3341" s="51" t="s">
        <v>31601</v>
      </c>
      <c r="B3341" s="152"/>
      <c r="C3341" s="55"/>
      <c r="D3341" s="31"/>
    </row>
    <row r="3342">
      <c r="A3342" s="51" t="s">
        <v>31602</v>
      </c>
      <c r="B3342" s="152"/>
      <c r="C3342" s="55"/>
      <c r="D3342" s="31"/>
    </row>
    <row r="3343">
      <c r="A3343" s="51" t="s">
        <v>31603</v>
      </c>
      <c r="B3343" s="152"/>
      <c r="C3343" s="55"/>
      <c r="D3343" s="31"/>
    </row>
    <row r="3344">
      <c r="A3344" s="51" t="s">
        <v>31604</v>
      </c>
      <c r="B3344" s="152"/>
      <c r="C3344" s="55"/>
      <c r="D3344" s="31"/>
    </row>
    <row r="3345">
      <c r="A3345" s="51" t="s">
        <v>31606</v>
      </c>
      <c r="B3345" s="152"/>
      <c r="C3345" s="55"/>
      <c r="D3345" s="31"/>
    </row>
    <row r="3346">
      <c r="A3346" s="51" t="s">
        <v>31607</v>
      </c>
      <c r="B3346" s="152"/>
      <c r="C3346" s="55"/>
      <c r="D3346" s="31"/>
    </row>
    <row r="3347">
      <c r="A3347" s="51" t="s">
        <v>31608</v>
      </c>
      <c r="B3347" s="152"/>
      <c r="C3347" s="55"/>
      <c r="D3347" s="31"/>
    </row>
    <row r="3348">
      <c r="A3348" s="51" t="s">
        <v>31610</v>
      </c>
      <c r="B3348" s="152"/>
      <c r="C3348" s="55"/>
      <c r="D3348" s="31"/>
    </row>
    <row r="3349">
      <c r="A3349" s="51" t="s">
        <v>31611</v>
      </c>
      <c r="B3349" s="152"/>
      <c r="C3349" s="55"/>
      <c r="D3349" s="31"/>
    </row>
    <row r="3350">
      <c r="A3350" s="51" t="s">
        <v>31612</v>
      </c>
      <c r="B3350" s="152"/>
      <c r="C3350" s="55"/>
      <c r="D3350" s="31"/>
    </row>
    <row r="3351">
      <c r="A3351" s="51" t="s">
        <v>31614</v>
      </c>
      <c r="B3351" s="152"/>
      <c r="C3351" s="55"/>
      <c r="D3351" s="31"/>
    </row>
    <row r="3352">
      <c r="A3352" s="51" t="s">
        <v>31615</v>
      </c>
      <c r="B3352" s="152"/>
      <c r="C3352" s="55"/>
      <c r="D3352" s="31"/>
    </row>
    <row r="3353">
      <c r="A3353" s="51" t="s">
        <v>31616</v>
      </c>
      <c r="B3353" s="152"/>
      <c r="C3353" s="55"/>
      <c r="D3353" s="31"/>
    </row>
    <row r="3354">
      <c r="A3354" s="51" t="s">
        <v>31617</v>
      </c>
      <c r="B3354" s="152"/>
      <c r="C3354" s="55"/>
      <c r="D3354" s="31"/>
    </row>
    <row r="3355">
      <c r="A3355" s="51" t="s">
        <v>31618</v>
      </c>
      <c r="B3355" s="152"/>
      <c r="C3355" s="55"/>
      <c r="D3355" s="31"/>
    </row>
    <row r="3356">
      <c r="A3356" s="51" t="s">
        <v>31620</v>
      </c>
      <c r="B3356" s="152"/>
      <c r="C3356" s="55"/>
      <c r="D3356" s="31"/>
    </row>
    <row r="3357">
      <c r="A3357" s="51" t="s">
        <v>31622</v>
      </c>
      <c r="B3357" s="152"/>
      <c r="C3357" s="55"/>
      <c r="D3357" s="31"/>
    </row>
    <row r="3358">
      <c r="A3358" s="51" t="s">
        <v>31623</v>
      </c>
      <c r="B3358" s="152"/>
      <c r="C3358" s="55"/>
      <c r="D3358" s="31"/>
    </row>
    <row r="3359">
      <c r="A3359" s="51" t="s">
        <v>31624</v>
      </c>
      <c r="B3359" s="152"/>
      <c r="C3359" s="55"/>
      <c r="D3359" s="31"/>
    </row>
    <row r="3360">
      <c r="A3360" s="51" t="s">
        <v>31625</v>
      </c>
      <c r="B3360" s="152"/>
      <c r="C3360" s="55"/>
      <c r="D3360" s="31"/>
    </row>
    <row r="3361">
      <c r="A3361" s="51" t="s">
        <v>31626</v>
      </c>
      <c r="B3361" s="152"/>
      <c r="C3361" s="55"/>
      <c r="D3361" s="31"/>
    </row>
    <row r="3362">
      <c r="A3362" s="51" t="s">
        <v>31627</v>
      </c>
      <c r="B3362" s="152"/>
      <c r="C3362" s="55"/>
      <c r="D3362" s="31"/>
    </row>
    <row r="3363">
      <c r="A3363" s="51" t="s">
        <v>31629</v>
      </c>
      <c r="B3363" s="152"/>
      <c r="C3363" s="55"/>
      <c r="D3363" s="31"/>
    </row>
    <row r="3364">
      <c r="A3364" s="51" t="s">
        <v>31631</v>
      </c>
      <c r="B3364" s="152"/>
      <c r="C3364" s="55"/>
      <c r="D3364" s="31"/>
    </row>
    <row r="3365">
      <c r="A3365" s="51" t="s">
        <v>31632</v>
      </c>
      <c r="B3365" s="152"/>
      <c r="C3365" s="55"/>
      <c r="D3365" s="31"/>
    </row>
    <row r="3366">
      <c r="A3366" s="51" t="s">
        <v>31633</v>
      </c>
      <c r="B3366" s="152"/>
      <c r="C3366" s="55"/>
      <c r="D3366" s="31"/>
    </row>
    <row r="3367">
      <c r="A3367" s="51" t="s">
        <v>31634</v>
      </c>
      <c r="B3367" s="152"/>
      <c r="C3367" s="55"/>
      <c r="D3367" s="31"/>
    </row>
    <row r="3368">
      <c r="A3368" s="51" t="s">
        <v>31635</v>
      </c>
      <c r="B3368" s="152"/>
      <c r="C3368" s="55"/>
      <c r="D3368" s="31"/>
    </row>
    <row r="3369">
      <c r="A3369" s="51" t="s">
        <v>31636</v>
      </c>
      <c r="B3369" s="152"/>
      <c r="C3369" s="55"/>
      <c r="D3369" s="31"/>
    </row>
    <row r="3370">
      <c r="A3370" s="51" t="s">
        <v>31638</v>
      </c>
      <c r="B3370" s="152"/>
      <c r="C3370" s="55"/>
      <c r="D3370" s="31"/>
    </row>
    <row r="3371">
      <c r="A3371" s="51" t="s">
        <v>31640</v>
      </c>
      <c r="B3371" s="152"/>
      <c r="C3371" s="55"/>
      <c r="D3371" s="31"/>
    </row>
    <row r="3372">
      <c r="A3372" s="51" t="s">
        <v>31641</v>
      </c>
      <c r="B3372" s="152"/>
      <c r="C3372" s="55"/>
      <c r="D3372" s="31"/>
    </row>
    <row r="3373">
      <c r="A3373" s="51" t="s">
        <v>31642</v>
      </c>
      <c r="B3373" s="152"/>
      <c r="C3373" s="55"/>
      <c r="D3373" s="31"/>
    </row>
    <row r="3374">
      <c r="A3374" s="51" t="s">
        <v>31643</v>
      </c>
      <c r="B3374" s="152"/>
      <c r="C3374" s="55"/>
      <c r="D3374" s="31"/>
    </row>
    <row r="3375">
      <c r="A3375" s="51" t="s">
        <v>31644</v>
      </c>
      <c r="B3375" s="152"/>
      <c r="C3375" s="55"/>
      <c r="D3375" s="31"/>
    </row>
    <row r="3376">
      <c r="A3376" s="51" t="s">
        <v>31646</v>
      </c>
      <c r="B3376" s="152"/>
      <c r="C3376" s="55"/>
      <c r="D3376" s="31"/>
    </row>
    <row r="3377">
      <c r="A3377" s="51" t="s">
        <v>31647</v>
      </c>
      <c r="B3377" s="152"/>
      <c r="C3377" s="55"/>
      <c r="D3377" s="31"/>
    </row>
    <row r="3378">
      <c r="A3378" s="51" t="s">
        <v>31648</v>
      </c>
      <c r="B3378" s="152"/>
      <c r="C3378" s="55"/>
      <c r="D3378" s="31"/>
    </row>
    <row r="3379">
      <c r="A3379" s="51" t="s">
        <v>31650</v>
      </c>
      <c r="B3379" s="152"/>
      <c r="C3379" s="55"/>
      <c r="D3379" s="31"/>
    </row>
    <row r="3380">
      <c r="A3380" s="51" t="s">
        <v>31651</v>
      </c>
      <c r="B3380" s="152"/>
      <c r="C3380" s="55"/>
      <c r="D3380" s="31"/>
    </row>
    <row r="3381">
      <c r="A3381" s="51" t="s">
        <v>31652</v>
      </c>
      <c r="B3381" s="152"/>
      <c r="C3381" s="55"/>
      <c r="D3381" s="31"/>
    </row>
    <row r="3382">
      <c r="A3382" s="51" t="s">
        <v>31654</v>
      </c>
      <c r="B3382" s="152"/>
      <c r="C3382" s="55"/>
      <c r="D3382" s="31"/>
    </row>
    <row r="3383">
      <c r="A3383" s="51" t="s">
        <v>31655</v>
      </c>
      <c r="B3383" s="152"/>
      <c r="C3383" s="55"/>
      <c r="D3383" s="31"/>
    </row>
    <row r="3384">
      <c r="A3384" s="51" t="s">
        <v>31656</v>
      </c>
      <c r="B3384" s="152"/>
      <c r="C3384" s="55"/>
      <c r="D3384" s="31"/>
    </row>
    <row r="3385">
      <c r="A3385" s="51" t="s">
        <v>31657</v>
      </c>
      <c r="B3385" s="152"/>
      <c r="C3385" s="55"/>
      <c r="D3385" s="31"/>
    </row>
    <row r="3386">
      <c r="A3386" s="51" t="s">
        <v>31659</v>
      </c>
      <c r="B3386" s="152"/>
      <c r="C3386" s="55"/>
      <c r="D3386" s="31"/>
    </row>
    <row r="3387">
      <c r="A3387" s="51" t="s">
        <v>31660</v>
      </c>
      <c r="B3387" s="152"/>
      <c r="C3387" s="55"/>
      <c r="D3387" s="31"/>
    </row>
    <row r="3388">
      <c r="C3388" s="12"/>
    </row>
    <row r="3389">
      <c r="A3389" s="159" t="s">
        <v>31662</v>
      </c>
      <c r="B3389" s="152"/>
      <c r="C3389" s="68"/>
      <c r="D3389" s="31"/>
    </row>
    <row r="3390">
      <c r="A3390" s="51" t="s">
        <v>31663</v>
      </c>
      <c r="B3390" s="152"/>
      <c r="C3390" s="55"/>
      <c r="D3390" s="31"/>
    </row>
    <row r="3391">
      <c r="A3391" s="51" t="s">
        <v>31664</v>
      </c>
      <c r="B3391" s="152"/>
      <c r="C3391" s="55"/>
      <c r="D3391" s="31"/>
    </row>
    <row r="3392">
      <c r="A3392" s="51" t="s">
        <v>31665</v>
      </c>
      <c r="B3392" s="152"/>
      <c r="C3392" s="55"/>
      <c r="D3392" s="31"/>
    </row>
    <row r="3393">
      <c r="A3393" s="51" t="s">
        <v>31666</v>
      </c>
      <c r="B3393" s="152"/>
      <c r="C3393" s="55"/>
      <c r="D3393" s="31"/>
    </row>
    <row r="3394">
      <c r="A3394" s="51" t="s">
        <v>31668</v>
      </c>
      <c r="B3394" s="152"/>
      <c r="C3394" s="55"/>
      <c r="D3394" s="31"/>
    </row>
    <row r="3395">
      <c r="A3395" s="51" t="s">
        <v>31669</v>
      </c>
      <c r="B3395" s="152"/>
      <c r="C3395" s="55"/>
      <c r="D3395" s="31"/>
    </row>
    <row r="3396">
      <c r="A3396" s="51" t="s">
        <v>31670</v>
      </c>
      <c r="B3396" s="152"/>
      <c r="C3396" s="55"/>
      <c r="D3396" s="31"/>
    </row>
    <row r="3397">
      <c r="A3397" s="51" t="s">
        <v>31673</v>
      </c>
      <c r="B3397" s="152"/>
      <c r="C3397" s="55"/>
      <c r="D3397" s="31"/>
    </row>
    <row r="3398">
      <c r="A3398" s="51" t="s">
        <v>31674</v>
      </c>
      <c r="B3398" s="152"/>
      <c r="C3398" s="55"/>
      <c r="D3398" s="31"/>
    </row>
    <row r="3399">
      <c r="A3399" s="51" t="s">
        <v>31675</v>
      </c>
      <c r="B3399" s="152"/>
      <c r="C3399" s="55"/>
      <c r="D3399" s="31"/>
    </row>
    <row r="3400">
      <c r="A3400" s="51" t="s">
        <v>31676</v>
      </c>
      <c r="B3400" s="152"/>
      <c r="C3400" s="55"/>
      <c r="D3400" s="31"/>
    </row>
    <row r="3401">
      <c r="A3401" s="51" t="s">
        <v>31677</v>
      </c>
      <c r="B3401" s="152"/>
      <c r="C3401" s="55"/>
      <c r="D3401" s="31"/>
    </row>
    <row r="3402">
      <c r="A3402" s="51" t="s">
        <v>31678</v>
      </c>
      <c r="B3402" s="152"/>
      <c r="C3402" s="55"/>
      <c r="D3402" s="31"/>
    </row>
    <row r="3403">
      <c r="A3403" s="51" t="s">
        <v>31680</v>
      </c>
      <c r="B3403" s="152"/>
      <c r="C3403" s="55"/>
      <c r="D3403" s="31"/>
    </row>
    <row r="3404">
      <c r="A3404" s="51" t="s">
        <v>31681</v>
      </c>
      <c r="B3404" s="152"/>
      <c r="C3404" s="55"/>
      <c r="D3404" s="31"/>
    </row>
    <row r="3405">
      <c r="A3405" s="51" t="s">
        <v>31682</v>
      </c>
      <c r="B3405" s="152"/>
      <c r="C3405" s="55"/>
      <c r="D3405" s="31"/>
    </row>
    <row r="3406">
      <c r="A3406" s="51" t="s">
        <v>31685</v>
      </c>
      <c r="B3406" s="152"/>
      <c r="C3406" s="55"/>
      <c r="D3406" s="31"/>
    </row>
    <row r="3407">
      <c r="A3407" s="51" t="s">
        <v>31686</v>
      </c>
      <c r="B3407" s="152"/>
      <c r="C3407" s="55"/>
      <c r="D3407" s="31"/>
    </row>
    <row r="3408">
      <c r="A3408" s="51" t="s">
        <v>31688</v>
      </c>
      <c r="B3408" s="152"/>
      <c r="C3408" s="55"/>
      <c r="D3408" s="31"/>
    </row>
    <row r="3409">
      <c r="A3409" s="51" t="s">
        <v>31690</v>
      </c>
      <c r="B3409" s="152"/>
      <c r="C3409" s="55"/>
      <c r="D3409" s="31"/>
    </row>
    <row r="3410">
      <c r="A3410" s="51" t="s">
        <v>31692</v>
      </c>
      <c r="B3410" s="152"/>
      <c r="C3410" s="55"/>
      <c r="D3410" s="31"/>
    </row>
    <row r="3411">
      <c r="A3411" s="51" t="s">
        <v>31694</v>
      </c>
      <c r="B3411" s="152"/>
      <c r="C3411" s="55"/>
      <c r="D3411" s="31"/>
    </row>
    <row r="3412">
      <c r="A3412" s="51" t="s">
        <v>31695</v>
      </c>
      <c r="B3412" s="152"/>
      <c r="C3412" s="55"/>
      <c r="D3412" s="31"/>
    </row>
    <row r="3413">
      <c r="A3413" s="51" t="s">
        <v>31696</v>
      </c>
      <c r="B3413" s="152"/>
      <c r="C3413" s="55"/>
      <c r="D3413" s="31"/>
    </row>
    <row r="3414">
      <c r="A3414" s="51" t="s">
        <v>31697</v>
      </c>
      <c r="B3414" s="152"/>
      <c r="C3414" s="55"/>
      <c r="D3414" s="31"/>
    </row>
    <row r="3415">
      <c r="A3415" s="51" t="s">
        <v>31698</v>
      </c>
      <c r="B3415" s="152"/>
      <c r="C3415" s="55"/>
      <c r="D3415" s="31"/>
    </row>
    <row r="3416">
      <c r="A3416" s="51" t="s">
        <v>31699</v>
      </c>
      <c r="B3416" s="152"/>
      <c r="C3416" s="55"/>
      <c r="D3416" s="31"/>
    </row>
    <row r="3417">
      <c r="A3417" s="51" t="s">
        <v>31701</v>
      </c>
      <c r="B3417" s="152"/>
      <c r="C3417" s="55"/>
      <c r="D3417" s="31"/>
    </row>
    <row r="3418">
      <c r="A3418" s="51" t="s">
        <v>31702</v>
      </c>
      <c r="B3418" s="152"/>
      <c r="C3418" s="55"/>
      <c r="D3418" s="31"/>
    </row>
    <row r="3419">
      <c r="A3419" s="51" t="s">
        <v>31704</v>
      </c>
      <c r="B3419" s="152"/>
      <c r="C3419" s="55"/>
      <c r="D3419" s="31"/>
    </row>
    <row r="3420">
      <c r="A3420" s="51" t="s">
        <v>31706</v>
      </c>
      <c r="B3420" s="152"/>
      <c r="C3420" s="55"/>
      <c r="D3420" s="31"/>
    </row>
    <row r="3421">
      <c r="A3421" s="51" t="s">
        <v>31707</v>
      </c>
      <c r="B3421" s="152"/>
      <c r="C3421" s="55"/>
      <c r="D3421" s="31"/>
    </row>
    <row r="3422">
      <c r="A3422" s="51" t="s">
        <v>31708</v>
      </c>
      <c r="B3422" s="152"/>
      <c r="C3422" s="55"/>
      <c r="D3422" s="31"/>
    </row>
    <row r="3423">
      <c r="A3423" s="51" t="s">
        <v>31709</v>
      </c>
      <c r="B3423" s="152"/>
      <c r="C3423" s="55"/>
      <c r="D3423" s="31"/>
    </row>
    <row r="3424">
      <c r="A3424" s="51" t="s">
        <v>31710</v>
      </c>
      <c r="B3424" s="152"/>
      <c r="C3424" s="55"/>
      <c r="D3424" s="31"/>
    </row>
    <row r="3425">
      <c r="A3425" s="51" t="s">
        <v>31712</v>
      </c>
      <c r="B3425" s="152"/>
      <c r="C3425" s="55"/>
      <c r="D3425" s="31"/>
    </row>
    <row r="3426">
      <c r="A3426" s="51" t="s">
        <v>31713</v>
      </c>
      <c r="B3426" s="152"/>
      <c r="C3426" s="55"/>
      <c r="D3426" s="31"/>
    </row>
    <row r="3427">
      <c r="A3427" s="51" t="s">
        <v>31714</v>
      </c>
      <c r="B3427" s="152"/>
      <c r="C3427" s="55"/>
      <c r="D3427" s="31"/>
    </row>
    <row r="3428">
      <c r="A3428" s="51" t="s">
        <v>31716</v>
      </c>
      <c r="B3428" s="152"/>
      <c r="C3428" s="55"/>
      <c r="D3428" s="31"/>
    </row>
    <row r="3429">
      <c r="A3429" s="51" t="s">
        <v>31717</v>
      </c>
      <c r="B3429" s="152"/>
      <c r="C3429" s="55"/>
      <c r="D3429" s="31"/>
    </row>
    <row r="3430">
      <c r="A3430" s="51" t="s">
        <v>31718</v>
      </c>
      <c r="B3430" s="152"/>
      <c r="C3430" s="55"/>
      <c r="D3430" s="31"/>
    </row>
    <row r="3431">
      <c r="A3431" s="51" t="s">
        <v>31719</v>
      </c>
      <c r="B3431" s="152"/>
      <c r="C3431" s="55"/>
      <c r="D3431" s="31"/>
    </row>
    <row r="3432">
      <c r="A3432" s="51" t="s">
        <v>31721</v>
      </c>
      <c r="B3432" s="152"/>
      <c r="C3432" s="55"/>
      <c r="D3432" s="31"/>
    </row>
    <row r="3433">
      <c r="A3433" s="51" t="s">
        <v>31723</v>
      </c>
      <c r="B3433" s="152"/>
      <c r="C3433" s="55"/>
      <c r="D3433" s="31"/>
    </row>
    <row r="3434">
      <c r="A3434" s="51" t="s">
        <v>31724</v>
      </c>
      <c r="B3434" s="152"/>
      <c r="C3434" s="55"/>
      <c r="D3434" s="31"/>
    </row>
    <row r="3435">
      <c r="A3435" s="51" t="s">
        <v>31725</v>
      </c>
      <c r="B3435" s="152"/>
      <c r="C3435" s="55"/>
      <c r="D3435" s="31"/>
    </row>
    <row r="3436">
      <c r="A3436" s="51" t="s">
        <v>31727</v>
      </c>
      <c r="B3436" s="152"/>
      <c r="C3436" s="55"/>
      <c r="D3436" s="31"/>
    </row>
    <row r="3437">
      <c r="A3437" s="51" t="s">
        <v>31728</v>
      </c>
      <c r="B3437" s="152"/>
      <c r="C3437" s="55"/>
      <c r="D3437" s="31"/>
    </row>
    <row r="3438">
      <c r="A3438" s="51" t="s">
        <v>31730</v>
      </c>
      <c r="B3438" s="152"/>
      <c r="C3438" s="55"/>
      <c r="D3438" s="31"/>
    </row>
    <row r="3439">
      <c r="A3439" s="51" t="s">
        <v>31731</v>
      </c>
      <c r="B3439" s="152"/>
      <c r="C3439" s="55"/>
      <c r="D3439" s="31"/>
    </row>
    <row r="3440">
      <c r="A3440" s="51" t="s">
        <v>31732</v>
      </c>
      <c r="B3440" s="152"/>
      <c r="C3440" s="55"/>
      <c r="D3440" s="31"/>
    </row>
    <row r="3441">
      <c r="A3441" s="51" t="s">
        <v>31733</v>
      </c>
      <c r="B3441" s="152"/>
      <c r="C3441" s="55"/>
      <c r="D3441" s="31"/>
    </row>
    <row r="3442">
      <c r="A3442" s="51" t="s">
        <v>31734</v>
      </c>
      <c r="B3442" s="152"/>
      <c r="C3442" s="55"/>
      <c r="D3442" s="31"/>
    </row>
    <row r="3443">
      <c r="A3443" s="51" t="s">
        <v>31739</v>
      </c>
      <c r="B3443" s="152"/>
      <c r="C3443" s="55"/>
      <c r="D3443" s="31"/>
    </row>
    <row r="3444">
      <c r="A3444" s="51" t="s">
        <v>31740</v>
      </c>
      <c r="B3444" s="152"/>
      <c r="C3444" s="55"/>
      <c r="D3444" s="31"/>
    </row>
    <row r="3445">
      <c r="A3445" s="51" t="s">
        <v>31741</v>
      </c>
      <c r="B3445" s="152"/>
      <c r="C3445" s="55"/>
      <c r="D3445" s="31"/>
    </row>
    <row r="3446">
      <c r="A3446" s="51" t="s">
        <v>31742</v>
      </c>
      <c r="B3446" s="152"/>
      <c r="C3446" s="55"/>
      <c r="D3446" s="31"/>
    </row>
    <row r="3447">
      <c r="A3447" s="51" t="s">
        <v>31743</v>
      </c>
      <c r="B3447" s="152"/>
      <c r="C3447" s="55"/>
      <c r="D3447" s="31"/>
    </row>
    <row r="3448">
      <c r="A3448" s="51" t="s">
        <v>31745</v>
      </c>
      <c r="B3448" s="152"/>
      <c r="C3448" s="55"/>
      <c r="D3448" s="31"/>
    </row>
    <row r="3449">
      <c r="A3449" s="51" t="s">
        <v>31746</v>
      </c>
      <c r="B3449" s="152"/>
      <c r="C3449" s="55"/>
      <c r="D3449" s="31"/>
    </row>
    <row r="3450">
      <c r="A3450" s="51" t="s">
        <v>31747</v>
      </c>
      <c r="B3450" s="152"/>
      <c r="C3450" s="55"/>
      <c r="D3450" s="31"/>
    </row>
    <row r="3451">
      <c r="A3451" s="51" t="s">
        <v>31750</v>
      </c>
      <c r="B3451" s="152"/>
      <c r="C3451" s="55"/>
      <c r="D3451" s="31"/>
    </row>
    <row r="3452">
      <c r="A3452" s="51" t="s">
        <v>31751</v>
      </c>
      <c r="B3452" s="152"/>
      <c r="C3452" s="55"/>
      <c r="D3452" s="31"/>
    </row>
    <row r="3453">
      <c r="A3453" s="51" t="s">
        <v>31752</v>
      </c>
      <c r="B3453" s="152"/>
      <c r="C3453" s="55"/>
      <c r="D3453" s="31"/>
    </row>
    <row r="3454">
      <c r="A3454" s="51" t="s">
        <v>31753</v>
      </c>
      <c r="B3454" s="152"/>
      <c r="C3454" s="55"/>
      <c r="D3454" s="31"/>
    </row>
    <row r="3455">
      <c r="A3455" s="51" t="s">
        <v>31754</v>
      </c>
      <c r="B3455" s="152"/>
      <c r="C3455" s="55"/>
      <c r="D3455" s="31"/>
    </row>
    <row r="3456">
      <c r="A3456" s="51" t="s">
        <v>31756</v>
      </c>
      <c r="B3456" s="152"/>
      <c r="C3456" s="55"/>
      <c r="D3456" s="31"/>
    </row>
    <row r="3457">
      <c r="A3457" s="51" t="s">
        <v>31758</v>
      </c>
      <c r="B3457" s="152"/>
      <c r="C3457" s="55"/>
      <c r="D3457" s="31"/>
    </row>
    <row r="3458">
      <c r="A3458" s="51" t="s">
        <v>31759</v>
      </c>
      <c r="B3458" s="152"/>
      <c r="C3458" s="55"/>
      <c r="D3458" s="31"/>
    </row>
    <row r="3459">
      <c r="A3459" s="51" t="s">
        <v>31760</v>
      </c>
      <c r="B3459" s="152"/>
      <c r="C3459" s="55"/>
      <c r="D3459" s="31"/>
    </row>
    <row r="3460">
      <c r="A3460" s="51" t="s">
        <v>31761</v>
      </c>
      <c r="B3460" s="152"/>
      <c r="C3460" s="55"/>
      <c r="D3460" s="31"/>
    </row>
    <row r="3461">
      <c r="A3461" s="51" t="s">
        <v>31762</v>
      </c>
      <c r="B3461" s="152"/>
      <c r="C3461" s="55"/>
      <c r="D3461" s="31"/>
    </row>
    <row r="3462">
      <c r="A3462" s="51" t="s">
        <v>31763</v>
      </c>
      <c r="B3462" s="152"/>
      <c r="C3462" s="55"/>
      <c r="D3462" s="31"/>
    </row>
    <row r="3463">
      <c r="A3463" s="51" t="s">
        <v>31764</v>
      </c>
      <c r="B3463" s="152"/>
      <c r="C3463" s="55"/>
      <c r="D3463" s="31"/>
    </row>
    <row r="3464">
      <c r="A3464" s="51" t="s">
        <v>31767</v>
      </c>
      <c r="B3464" s="152"/>
      <c r="C3464" s="55"/>
      <c r="D3464" s="31"/>
    </row>
    <row r="3465">
      <c r="A3465" s="51" t="s">
        <v>31769</v>
      </c>
      <c r="B3465" s="152"/>
      <c r="C3465" s="55"/>
      <c r="D3465" s="31"/>
    </row>
    <row r="3466">
      <c r="A3466" s="51" t="s">
        <v>31770</v>
      </c>
      <c r="B3466" s="152"/>
      <c r="C3466" s="55"/>
      <c r="D3466" s="31"/>
    </row>
    <row r="3467">
      <c r="A3467" s="51" t="s">
        <v>31771</v>
      </c>
      <c r="B3467" s="152"/>
      <c r="C3467" s="55"/>
      <c r="D3467" s="31"/>
    </row>
    <row r="3468">
      <c r="A3468" s="51" t="s">
        <v>31772</v>
      </c>
      <c r="B3468" s="152"/>
      <c r="C3468" s="55"/>
      <c r="D3468" s="31"/>
    </row>
    <row r="3469">
      <c r="A3469" s="51" t="s">
        <v>31773</v>
      </c>
      <c r="B3469" s="152"/>
      <c r="C3469" s="55"/>
      <c r="D3469" s="31"/>
    </row>
    <row r="3470">
      <c r="A3470" s="51" t="s">
        <v>31774</v>
      </c>
      <c r="B3470" s="152"/>
      <c r="C3470" s="55"/>
      <c r="D3470" s="31"/>
    </row>
    <row r="3471">
      <c r="A3471" s="51" t="s">
        <v>31778</v>
      </c>
      <c r="B3471" s="152"/>
      <c r="C3471" s="55"/>
      <c r="D3471" s="31"/>
    </row>
    <row r="3472">
      <c r="A3472" s="51" t="s">
        <v>31779</v>
      </c>
      <c r="B3472" s="152"/>
      <c r="C3472" s="55"/>
      <c r="D3472" s="31"/>
    </row>
    <row r="3473">
      <c r="A3473" s="51" t="s">
        <v>31780</v>
      </c>
      <c r="B3473" s="152"/>
      <c r="C3473" s="55"/>
      <c r="D3473" s="31"/>
    </row>
    <row r="3474">
      <c r="A3474" s="51" t="s">
        <v>31781</v>
      </c>
      <c r="B3474" s="152"/>
      <c r="C3474" s="55"/>
      <c r="D3474" s="31"/>
    </row>
    <row r="3475">
      <c r="A3475" s="51" t="s">
        <v>31782</v>
      </c>
      <c r="B3475" s="152"/>
      <c r="C3475" s="55"/>
      <c r="D3475" s="31"/>
    </row>
    <row r="3476">
      <c r="A3476" s="51" t="s">
        <v>31784</v>
      </c>
      <c r="B3476" s="152"/>
      <c r="C3476" s="55"/>
      <c r="D3476" s="31"/>
    </row>
    <row r="3477">
      <c r="A3477" s="51" t="s">
        <v>31786</v>
      </c>
      <c r="B3477" s="152"/>
      <c r="C3477" s="55"/>
      <c r="D3477" s="31"/>
    </row>
    <row r="3478">
      <c r="A3478" s="51" t="s">
        <v>31788</v>
      </c>
      <c r="B3478" s="152"/>
      <c r="C3478" s="55"/>
      <c r="D3478" s="31"/>
    </row>
    <row r="3479">
      <c r="A3479" s="51" t="s">
        <v>31790</v>
      </c>
      <c r="B3479" s="152"/>
      <c r="C3479" s="55"/>
      <c r="D3479" s="31"/>
    </row>
    <row r="3480">
      <c r="A3480" s="51" t="s">
        <v>31791</v>
      </c>
      <c r="B3480" s="152"/>
      <c r="C3480" s="55"/>
      <c r="D3480" s="31"/>
    </row>
    <row r="3481">
      <c r="A3481" s="51" t="s">
        <v>31792</v>
      </c>
      <c r="B3481" s="152"/>
      <c r="C3481" s="55"/>
      <c r="D3481" s="31"/>
    </row>
    <row r="3482">
      <c r="A3482" s="51" t="s">
        <v>31793</v>
      </c>
      <c r="B3482" s="152"/>
      <c r="C3482" s="55"/>
      <c r="D3482" s="31"/>
    </row>
    <row r="3483">
      <c r="A3483" s="51" t="s">
        <v>31794</v>
      </c>
      <c r="B3483" s="152"/>
      <c r="C3483" s="55"/>
      <c r="D3483" s="31"/>
    </row>
    <row r="3484">
      <c r="A3484" s="51" t="s">
        <v>31795</v>
      </c>
      <c r="B3484" s="152"/>
      <c r="C3484" s="55"/>
      <c r="D3484" s="31"/>
    </row>
    <row r="3485">
      <c r="A3485" s="51" t="s">
        <v>31799</v>
      </c>
      <c r="B3485" s="152"/>
      <c r="C3485" s="55"/>
      <c r="D3485" s="31"/>
    </row>
    <row r="3486">
      <c r="A3486" s="51" t="s">
        <v>31800</v>
      </c>
      <c r="B3486" s="152"/>
      <c r="C3486" s="55"/>
      <c r="D3486" s="31"/>
    </row>
    <row r="3487">
      <c r="A3487" s="51" t="s">
        <v>31801</v>
      </c>
      <c r="B3487" s="152"/>
      <c r="C3487" s="55"/>
      <c r="D3487" s="31"/>
    </row>
    <row r="3488">
      <c r="A3488" s="51" t="s">
        <v>31802</v>
      </c>
      <c r="B3488" s="152"/>
      <c r="C3488" s="55"/>
      <c r="D3488" s="31"/>
    </row>
    <row r="3489">
      <c r="A3489" s="51" t="s">
        <v>31803</v>
      </c>
      <c r="B3489" s="152"/>
      <c r="C3489" s="55"/>
      <c r="D3489" s="31"/>
    </row>
    <row r="3490">
      <c r="A3490" s="51" t="s">
        <v>31804</v>
      </c>
      <c r="B3490" s="152"/>
      <c r="C3490" s="55"/>
      <c r="D3490" s="31"/>
    </row>
    <row r="3491">
      <c r="A3491" s="51" t="s">
        <v>31806</v>
      </c>
      <c r="B3491" s="152"/>
      <c r="C3491" s="55"/>
      <c r="D3491" s="31"/>
    </row>
    <row r="3492">
      <c r="A3492" s="51" t="s">
        <v>31808</v>
      </c>
      <c r="B3492" s="152"/>
      <c r="C3492" s="55"/>
      <c r="D3492" s="31"/>
    </row>
    <row r="3493">
      <c r="A3493" s="51" t="s">
        <v>31809</v>
      </c>
      <c r="B3493" s="152"/>
      <c r="C3493" s="55"/>
      <c r="D3493" s="31"/>
    </row>
    <row r="3494">
      <c r="A3494" s="51" t="s">
        <v>31810</v>
      </c>
      <c r="B3494" s="152"/>
      <c r="C3494" s="55"/>
      <c r="D3494" s="31"/>
    </row>
    <row r="3495">
      <c r="A3495" s="51" t="s">
        <v>31811</v>
      </c>
      <c r="B3495" s="152"/>
      <c r="C3495" s="55"/>
      <c r="D3495" s="31"/>
    </row>
    <row r="3496">
      <c r="A3496" s="51" t="s">
        <v>31812</v>
      </c>
      <c r="B3496" s="152"/>
      <c r="C3496" s="55"/>
      <c r="D3496" s="31"/>
    </row>
    <row r="3497">
      <c r="A3497" s="51" t="s">
        <v>31813</v>
      </c>
      <c r="B3497" s="152"/>
      <c r="C3497" s="55"/>
      <c r="D3497" s="31"/>
    </row>
    <row r="3498">
      <c r="A3498" s="51" t="s">
        <v>31814</v>
      </c>
      <c r="B3498" s="152"/>
      <c r="C3498" s="55"/>
      <c r="D3498" s="31"/>
    </row>
    <row r="3499">
      <c r="A3499" s="51" t="s">
        <v>31817</v>
      </c>
      <c r="B3499" s="152"/>
      <c r="C3499" s="55"/>
      <c r="D3499" s="31"/>
    </row>
    <row r="3500">
      <c r="A3500" s="51" t="s">
        <v>31819</v>
      </c>
      <c r="B3500" s="152"/>
      <c r="C3500" s="55"/>
      <c r="D3500" s="31"/>
    </row>
    <row r="3501">
      <c r="A3501" s="51" t="s">
        <v>31820</v>
      </c>
      <c r="B3501" s="152"/>
      <c r="C3501" s="55"/>
      <c r="D3501" s="31"/>
    </row>
    <row r="3502">
      <c r="A3502" s="51" t="s">
        <v>31822</v>
      </c>
      <c r="B3502" s="152"/>
      <c r="C3502" s="55"/>
      <c r="D3502" s="31"/>
    </row>
    <row r="3503">
      <c r="A3503" s="51" t="s">
        <v>31824</v>
      </c>
      <c r="B3503" s="152"/>
      <c r="C3503" s="55"/>
      <c r="D3503" s="31"/>
    </row>
    <row r="3504">
      <c r="A3504" s="51" t="s">
        <v>31825</v>
      </c>
      <c r="B3504" s="152"/>
      <c r="C3504" s="55"/>
      <c r="D3504" s="31"/>
    </row>
    <row r="3505">
      <c r="A3505" s="51" t="s">
        <v>31827</v>
      </c>
      <c r="B3505" s="152"/>
      <c r="C3505" s="55"/>
      <c r="D3505" s="31"/>
    </row>
    <row r="3506">
      <c r="A3506" s="51" t="s">
        <v>31828</v>
      </c>
      <c r="B3506" s="152"/>
      <c r="C3506" s="55"/>
      <c r="D3506" s="31"/>
    </row>
    <row r="3507">
      <c r="A3507" s="51" t="s">
        <v>31829</v>
      </c>
      <c r="B3507" s="152"/>
      <c r="C3507" s="55"/>
      <c r="D3507" s="31"/>
    </row>
    <row r="3508">
      <c r="A3508" s="51" t="s">
        <v>31830</v>
      </c>
      <c r="B3508" s="152"/>
      <c r="C3508" s="55"/>
      <c r="D3508" s="31"/>
    </row>
    <row r="3509">
      <c r="A3509" s="51" t="s">
        <v>31831</v>
      </c>
      <c r="B3509" s="152"/>
      <c r="C3509" s="55"/>
      <c r="D3509" s="31"/>
    </row>
    <row r="3510">
      <c r="A3510" s="51" t="s">
        <v>31832</v>
      </c>
      <c r="B3510" s="152"/>
      <c r="C3510" s="55"/>
      <c r="D3510" s="31"/>
    </row>
    <row r="3511">
      <c r="A3511" s="51" t="s">
        <v>31833</v>
      </c>
      <c r="B3511" s="152"/>
      <c r="C3511" s="55"/>
      <c r="D3511" s="31"/>
    </row>
    <row r="3512">
      <c r="A3512" s="51" t="s">
        <v>31836</v>
      </c>
      <c r="B3512" s="152"/>
      <c r="C3512" s="55"/>
      <c r="D3512" s="31"/>
    </row>
    <row r="3513">
      <c r="A3513" s="51" t="s">
        <v>31839</v>
      </c>
      <c r="B3513" s="152"/>
      <c r="C3513" s="55"/>
      <c r="D3513" s="31"/>
    </row>
    <row r="3514">
      <c r="A3514" s="51" t="s">
        <v>31840</v>
      </c>
      <c r="B3514" s="152"/>
      <c r="C3514" s="55"/>
      <c r="D3514" s="31"/>
    </row>
    <row r="3515">
      <c r="A3515" s="51" t="s">
        <v>31842</v>
      </c>
      <c r="B3515" s="152"/>
      <c r="C3515" s="55"/>
      <c r="D3515" s="31"/>
    </row>
    <row r="3516">
      <c r="A3516" s="51" t="s">
        <v>31843</v>
      </c>
      <c r="B3516" s="152"/>
      <c r="C3516" s="55"/>
      <c r="D3516" s="31"/>
    </row>
    <row r="3517">
      <c r="A3517" s="51" t="s">
        <v>31844</v>
      </c>
      <c r="B3517" s="152"/>
      <c r="C3517" s="55"/>
      <c r="D3517" s="31"/>
    </row>
    <row r="3518">
      <c r="A3518" s="51" t="s">
        <v>31845</v>
      </c>
      <c r="B3518" s="152"/>
      <c r="C3518" s="55"/>
      <c r="D3518" s="31"/>
    </row>
    <row r="3519">
      <c r="A3519" s="51" t="s">
        <v>31847</v>
      </c>
      <c r="B3519" s="152"/>
      <c r="C3519" s="55"/>
      <c r="D3519" s="31"/>
    </row>
    <row r="3520">
      <c r="A3520" s="51" t="s">
        <v>31848</v>
      </c>
      <c r="B3520" s="152"/>
      <c r="C3520" s="55"/>
      <c r="D3520" s="31"/>
    </row>
    <row r="3521">
      <c r="A3521" s="51" t="s">
        <v>31849</v>
      </c>
      <c r="B3521" s="152"/>
      <c r="C3521" s="55"/>
      <c r="D3521" s="31"/>
    </row>
    <row r="3522">
      <c r="A3522" s="51" t="s">
        <v>31850</v>
      </c>
      <c r="B3522" s="152"/>
      <c r="C3522" s="55"/>
      <c r="D3522" s="31"/>
    </row>
    <row r="3523">
      <c r="A3523" s="51" t="s">
        <v>31852</v>
      </c>
      <c r="B3523" s="152"/>
      <c r="C3523" s="55"/>
      <c r="D3523" s="31"/>
    </row>
    <row r="3524">
      <c r="A3524" s="51" t="s">
        <v>31853</v>
      </c>
      <c r="B3524" s="152"/>
      <c r="C3524" s="55"/>
      <c r="D3524" s="31"/>
    </row>
    <row r="3525">
      <c r="A3525" s="51" t="s">
        <v>31855</v>
      </c>
      <c r="B3525" s="152"/>
      <c r="C3525" s="55"/>
      <c r="D3525" s="31"/>
    </row>
    <row r="3526">
      <c r="A3526" s="51" t="s">
        <v>31857</v>
      </c>
      <c r="B3526" s="152"/>
      <c r="C3526" s="55"/>
      <c r="D3526" s="31"/>
    </row>
    <row r="3527">
      <c r="A3527" s="51" t="s">
        <v>31858</v>
      </c>
      <c r="B3527" s="152"/>
      <c r="C3527" s="55"/>
      <c r="D3527" s="31"/>
    </row>
    <row r="3528">
      <c r="A3528" s="51" t="s">
        <v>31859</v>
      </c>
      <c r="B3528" s="152"/>
      <c r="C3528" s="55"/>
      <c r="D3528" s="31"/>
    </row>
    <row r="3529">
      <c r="A3529" s="51" t="s">
        <v>31860</v>
      </c>
      <c r="B3529" s="152"/>
      <c r="C3529" s="55"/>
      <c r="D3529" s="31"/>
    </row>
    <row r="3530">
      <c r="A3530" s="51" t="s">
        <v>31861</v>
      </c>
      <c r="B3530" s="152"/>
      <c r="C3530" s="55"/>
      <c r="D3530" s="31"/>
    </row>
    <row r="3531">
      <c r="A3531" s="51" t="s">
        <v>31863</v>
      </c>
      <c r="B3531" s="152"/>
      <c r="C3531" s="55"/>
      <c r="D3531" s="31"/>
    </row>
    <row r="3532">
      <c r="A3532" s="51" t="s">
        <v>31865</v>
      </c>
      <c r="B3532" s="152"/>
      <c r="C3532" s="55"/>
      <c r="D3532" s="31"/>
    </row>
    <row r="3533">
      <c r="A3533" s="51" t="s">
        <v>31866</v>
      </c>
      <c r="B3533" s="152"/>
      <c r="C3533" s="55"/>
      <c r="D3533" s="31"/>
    </row>
    <row r="3534">
      <c r="A3534" s="51" t="s">
        <v>31867</v>
      </c>
      <c r="B3534" s="152"/>
      <c r="C3534" s="55"/>
      <c r="D3534" s="31"/>
    </row>
    <row r="3535">
      <c r="A3535" s="51" t="s">
        <v>31868</v>
      </c>
      <c r="B3535" s="152"/>
      <c r="C3535" s="55"/>
      <c r="D3535" s="31"/>
    </row>
    <row r="3536">
      <c r="A3536" s="51" t="s">
        <v>31869</v>
      </c>
      <c r="B3536" s="152"/>
      <c r="C3536" s="55"/>
      <c r="D3536" s="31"/>
    </row>
    <row r="3537">
      <c r="A3537" s="51" t="s">
        <v>31870</v>
      </c>
      <c r="B3537" s="152"/>
      <c r="C3537" s="55"/>
      <c r="D3537" s="31"/>
    </row>
    <row r="3538">
      <c r="A3538" s="51" t="s">
        <v>31873</v>
      </c>
      <c r="B3538" s="152"/>
      <c r="C3538" s="55"/>
      <c r="D3538" s="31"/>
    </row>
    <row r="3539">
      <c r="A3539" s="51" t="s">
        <v>31875</v>
      </c>
      <c r="B3539" s="152"/>
      <c r="C3539" s="55"/>
      <c r="D3539" s="31"/>
    </row>
    <row r="3540">
      <c r="A3540" s="51" t="s">
        <v>31878</v>
      </c>
      <c r="B3540" s="152"/>
      <c r="C3540" s="55"/>
      <c r="D3540" s="31"/>
    </row>
    <row r="3541">
      <c r="A3541" s="51" t="s">
        <v>31879</v>
      </c>
      <c r="B3541" s="152"/>
      <c r="C3541" s="55"/>
      <c r="D3541" s="31"/>
    </row>
    <row r="3542">
      <c r="A3542" s="51" t="s">
        <v>31880</v>
      </c>
      <c r="B3542" s="152"/>
      <c r="C3542" s="55"/>
      <c r="D3542" s="31"/>
    </row>
    <row r="3543">
      <c r="A3543" s="51" t="s">
        <v>31881</v>
      </c>
      <c r="B3543" s="152"/>
      <c r="C3543" s="55"/>
      <c r="D3543" s="31"/>
    </row>
    <row r="3544">
      <c r="A3544" s="51" t="s">
        <v>31882</v>
      </c>
      <c r="B3544" s="152"/>
      <c r="C3544" s="55"/>
      <c r="D3544" s="31"/>
    </row>
    <row r="3545">
      <c r="A3545" s="51" t="s">
        <v>31883</v>
      </c>
      <c r="B3545" s="152"/>
      <c r="C3545" s="55"/>
      <c r="D3545" s="31"/>
    </row>
    <row r="3546">
      <c r="A3546" s="51" t="s">
        <v>31886</v>
      </c>
      <c r="B3546" s="152"/>
      <c r="C3546" s="55"/>
      <c r="D3546" s="31"/>
    </row>
    <row r="3547">
      <c r="A3547" s="51" t="s">
        <v>31888</v>
      </c>
      <c r="B3547" s="152"/>
      <c r="C3547" s="55"/>
      <c r="D3547" s="31"/>
    </row>
    <row r="3548">
      <c r="A3548" s="51" t="s">
        <v>31889</v>
      </c>
      <c r="B3548" s="152"/>
      <c r="C3548" s="55"/>
      <c r="D3548" s="31"/>
    </row>
    <row r="3549">
      <c r="A3549" s="51" t="s">
        <v>31890</v>
      </c>
      <c r="B3549" s="152"/>
      <c r="C3549" s="55"/>
      <c r="D3549" s="31"/>
    </row>
    <row r="3550">
      <c r="A3550" s="51" t="s">
        <v>31891</v>
      </c>
      <c r="B3550" s="152"/>
      <c r="C3550" s="55"/>
      <c r="D3550" s="31"/>
    </row>
    <row r="3551">
      <c r="A3551" s="51" t="s">
        <v>31892</v>
      </c>
      <c r="B3551" s="152"/>
      <c r="C3551" s="55"/>
      <c r="D3551" s="31"/>
    </row>
    <row r="3552">
      <c r="A3552" s="51" t="s">
        <v>31893</v>
      </c>
      <c r="B3552" s="152"/>
      <c r="C3552" s="55"/>
      <c r="D3552" s="31"/>
    </row>
    <row r="3553">
      <c r="A3553" s="51" t="s">
        <v>31895</v>
      </c>
      <c r="B3553" s="152"/>
      <c r="C3553" s="55"/>
      <c r="D3553" s="31"/>
    </row>
    <row r="3554">
      <c r="A3554" s="51" t="s">
        <v>31896</v>
      </c>
      <c r="B3554" s="152"/>
      <c r="C3554" s="55"/>
      <c r="D3554" s="31"/>
    </row>
    <row r="3555">
      <c r="A3555" s="51" t="s">
        <v>31898</v>
      </c>
      <c r="B3555" s="152"/>
      <c r="C3555" s="55"/>
      <c r="D3555" s="31"/>
    </row>
    <row r="3556">
      <c r="A3556" s="51" t="s">
        <v>31899</v>
      </c>
      <c r="B3556" s="152"/>
      <c r="C3556" s="55"/>
      <c r="D3556" s="31"/>
    </row>
    <row r="3557">
      <c r="A3557" s="51" t="s">
        <v>31900</v>
      </c>
      <c r="B3557" s="152"/>
      <c r="C3557" s="55"/>
      <c r="D3557" s="31"/>
    </row>
    <row r="3558">
      <c r="A3558" s="51" t="s">
        <v>31901</v>
      </c>
      <c r="B3558" s="152"/>
      <c r="C3558" s="55"/>
      <c r="D3558" s="31"/>
    </row>
    <row r="3559">
      <c r="A3559" s="51" t="s">
        <v>31904</v>
      </c>
      <c r="B3559" s="152"/>
      <c r="C3559" s="55"/>
      <c r="D3559" s="31"/>
    </row>
    <row r="3560">
      <c r="A3560" s="51" t="s">
        <v>31905</v>
      </c>
      <c r="B3560" s="152"/>
      <c r="C3560" s="55"/>
      <c r="D3560" s="31"/>
    </row>
    <row r="3561">
      <c r="A3561" s="51" t="s">
        <v>31906</v>
      </c>
      <c r="B3561" s="152"/>
      <c r="C3561" s="55"/>
      <c r="D3561" s="31"/>
    </row>
    <row r="3562">
      <c r="A3562" s="51" t="s">
        <v>31907</v>
      </c>
      <c r="B3562" s="152"/>
      <c r="C3562" s="55"/>
      <c r="D3562" s="31"/>
    </row>
    <row r="3563">
      <c r="A3563" s="51" t="s">
        <v>31909</v>
      </c>
      <c r="B3563" s="152"/>
      <c r="C3563" s="55"/>
      <c r="D3563" s="31"/>
    </row>
    <row r="3564">
      <c r="A3564" s="51" t="s">
        <v>31910</v>
      </c>
      <c r="B3564" s="152"/>
      <c r="C3564" s="55"/>
      <c r="D3564" s="31"/>
    </row>
    <row r="3565">
      <c r="A3565" s="51" t="s">
        <v>31912</v>
      </c>
      <c r="B3565" s="152"/>
      <c r="C3565" s="55"/>
      <c r="D3565" s="31"/>
    </row>
    <row r="3566">
      <c r="A3566" s="51" t="s">
        <v>31913</v>
      </c>
      <c r="B3566" s="152"/>
      <c r="C3566" s="55"/>
      <c r="D3566" s="31"/>
    </row>
    <row r="3567">
      <c r="A3567" s="51" t="s">
        <v>31914</v>
      </c>
      <c r="B3567" s="152"/>
      <c r="C3567" s="55"/>
      <c r="D3567" s="31"/>
    </row>
    <row r="3568">
      <c r="A3568" s="51" t="s">
        <v>31915</v>
      </c>
      <c r="B3568" s="152"/>
      <c r="C3568" s="55"/>
      <c r="D3568" s="31"/>
    </row>
    <row r="3569">
      <c r="A3569" s="51" t="s">
        <v>31916</v>
      </c>
      <c r="B3569" s="152"/>
      <c r="C3569" s="55"/>
      <c r="D3569" s="31"/>
    </row>
    <row r="3570">
      <c r="A3570" s="51" t="s">
        <v>31917</v>
      </c>
      <c r="B3570" s="152"/>
      <c r="C3570" s="55"/>
      <c r="D3570" s="31"/>
    </row>
    <row r="3571">
      <c r="A3571" s="51" t="s">
        <v>31920</v>
      </c>
      <c r="B3571" s="152"/>
      <c r="C3571" s="55"/>
      <c r="D3571" s="31"/>
    </row>
    <row r="3572">
      <c r="A3572" s="51" t="s">
        <v>31922</v>
      </c>
      <c r="B3572" s="152"/>
      <c r="C3572" s="55"/>
      <c r="D3572" s="31"/>
    </row>
    <row r="3573">
      <c r="A3573" s="51" t="s">
        <v>31923</v>
      </c>
      <c r="B3573" s="152"/>
      <c r="C3573" s="55"/>
      <c r="D3573" s="31"/>
    </row>
    <row r="3574">
      <c r="A3574" s="51" t="s">
        <v>31924</v>
      </c>
      <c r="B3574" s="152"/>
      <c r="C3574" s="55"/>
      <c r="D3574" s="31"/>
    </row>
    <row r="3575">
      <c r="A3575" s="51" t="s">
        <v>31925</v>
      </c>
      <c r="B3575" s="152"/>
      <c r="C3575" s="55"/>
      <c r="D3575" s="31"/>
    </row>
    <row r="3576">
      <c r="A3576" s="51" t="s">
        <v>31926</v>
      </c>
      <c r="B3576" s="152"/>
      <c r="C3576" s="55"/>
      <c r="D3576" s="31"/>
    </row>
    <row r="3577">
      <c r="A3577" s="51" t="s">
        <v>31927</v>
      </c>
      <c r="B3577" s="152"/>
      <c r="C3577" s="55"/>
      <c r="D3577" s="31"/>
    </row>
    <row r="3578">
      <c r="A3578" s="51" t="s">
        <v>31929</v>
      </c>
      <c r="B3578" s="152"/>
      <c r="C3578" s="55"/>
      <c r="D3578" s="31"/>
    </row>
    <row r="3579">
      <c r="A3579" s="51" t="s">
        <v>31931</v>
      </c>
      <c r="B3579" s="152"/>
      <c r="C3579" s="55"/>
      <c r="D3579" s="31"/>
    </row>
    <row r="3580">
      <c r="A3580" s="51" t="s">
        <v>31932</v>
      </c>
      <c r="B3580" s="152"/>
      <c r="C3580" s="55"/>
      <c r="D3580" s="31"/>
    </row>
    <row r="3581">
      <c r="A3581" s="51" t="s">
        <v>31933</v>
      </c>
      <c r="B3581" s="152"/>
      <c r="C3581" s="55"/>
      <c r="D3581" s="31"/>
    </row>
    <row r="3582">
      <c r="A3582" s="51" t="s">
        <v>31934</v>
      </c>
      <c r="B3582" s="152"/>
      <c r="C3582" s="55"/>
      <c r="D3582" s="31"/>
    </row>
    <row r="3583">
      <c r="A3583" s="51" t="s">
        <v>31935</v>
      </c>
      <c r="B3583" s="152"/>
      <c r="C3583" s="55"/>
      <c r="D3583" s="31"/>
    </row>
    <row r="3584">
      <c r="A3584" s="51" t="s">
        <v>31936</v>
      </c>
      <c r="B3584" s="152"/>
      <c r="C3584" s="55"/>
      <c r="D3584" s="31"/>
    </row>
    <row r="3585">
      <c r="A3585" s="51" t="s">
        <v>31937</v>
      </c>
      <c r="B3585" s="152"/>
      <c r="C3585" s="55"/>
      <c r="D3585" s="31"/>
    </row>
    <row r="3586">
      <c r="A3586" s="51" t="s">
        <v>31938</v>
      </c>
      <c r="B3586" s="152"/>
      <c r="C3586" s="55"/>
      <c r="D3586" s="31"/>
    </row>
    <row r="3587">
      <c r="A3587" s="51" t="s">
        <v>31942</v>
      </c>
      <c r="B3587" s="152"/>
      <c r="C3587" s="55"/>
      <c r="D3587" s="31"/>
    </row>
    <row r="3588">
      <c r="A3588" s="51" t="s">
        <v>31943</v>
      </c>
      <c r="B3588" s="152"/>
      <c r="C3588" s="55"/>
      <c r="D3588" s="31"/>
    </row>
    <row r="3589">
      <c r="A3589" s="51" t="s">
        <v>31944</v>
      </c>
      <c r="B3589" s="152"/>
      <c r="C3589" s="55"/>
      <c r="D3589" s="31"/>
    </row>
    <row r="3590">
      <c r="A3590" s="51" t="s">
        <v>31945</v>
      </c>
      <c r="B3590" s="152"/>
      <c r="C3590" s="55"/>
      <c r="D3590" s="31"/>
    </row>
    <row r="3591">
      <c r="A3591" s="51" t="s">
        <v>31946</v>
      </c>
      <c r="B3591" s="152"/>
      <c r="C3591" s="55"/>
      <c r="D3591" s="31"/>
    </row>
    <row r="3592">
      <c r="A3592" s="51" t="s">
        <v>31947</v>
      </c>
      <c r="B3592" s="152"/>
      <c r="C3592" s="55"/>
      <c r="D3592" s="31"/>
    </row>
    <row r="3593">
      <c r="A3593" s="51" t="s">
        <v>31948</v>
      </c>
      <c r="B3593" s="152"/>
      <c r="C3593" s="55"/>
      <c r="D3593" s="31"/>
    </row>
    <row r="3594">
      <c r="A3594" s="51" t="s">
        <v>31950</v>
      </c>
      <c r="B3594" s="152"/>
      <c r="C3594" s="55"/>
      <c r="D3594" s="31"/>
    </row>
    <row r="3595">
      <c r="A3595" s="51" t="s">
        <v>31952</v>
      </c>
      <c r="B3595" s="152"/>
      <c r="C3595" s="55"/>
      <c r="D3595" s="31"/>
    </row>
    <row r="3596">
      <c r="A3596" s="51" t="s">
        <v>31953</v>
      </c>
      <c r="B3596" s="152"/>
      <c r="C3596" s="55"/>
      <c r="D3596" s="31"/>
    </row>
    <row r="3597">
      <c r="A3597" s="51" t="s">
        <v>31954</v>
      </c>
      <c r="B3597" s="152"/>
      <c r="C3597" s="55"/>
      <c r="D3597" s="31"/>
    </row>
    <row r="3598">
      <c r="A3598" s="51" t="s">
        <v>31955</v>
      </c>
      <c r="B3598" s="152"/>
      <c r="C3598" s="55"/>
      <c r="D3598" s="31"/>
    </row>
    <row r="3599">
      <c r="A3599" s="51" t="s">
        <v>31958</v>
      </c>
      <c r="B3599" s="152"/>
      <c r="C3599" s="55"/>
      <c r="D3599" s="31"/>
    </row>
    <row r="3600">
      <c r="A3600" s="51" t="s">
        <v>31960</v>
      </c>
      <c r="B3600" s="152"/>
      <c r="C3600" s="55"/>
      <c r="D3600" s="31"/>
    </row>
    <row r="3601">
      <c r="A3601" s="51" t="s">
        <v>31961</v>
      </c>
      <c r="B3601" s="152"/>
      <c r="C3601" s="55"/>
      <c r="D3601" s="31"/>
    </row>
    <row r="3602">
      <c r="A3602" s="51" t="s">
        <v>31962</v>
      </c>
      <c r="B3602" s="152"/>
      <c r="C3602" s="55"/>
      <c r="D3602" s="31"/>
    </row>
    <row r="3603">
      <c r="A3603" s="51" t="s">
        <v>31963</v>
      </c>
      <c r="B3603" s="152"/>
      <c r="C3603" s="55"/>
      <c r="D3603" s="31"/>
    </row>
    <row r="3604">
      <c r="A3604" s="51" t="s">
        <v>31964</v>
      </c>
      <c r="B3604" s="152"/>
      <c r="C3604" s="55"/>
      <c r="D3604" s="31"/>
    </row>
    <row r="3605">
      <c r="A3605" s="51" t="s">
        <v>31966</v>
      </c>
      <c r="B3605" s="152"/>
      <c r="C3605" s="55"/>
      <c r="D3605" s="31"/>
    </row>
    <row r="3606">
      <c r="A3606" s="51" t="s">
        <v>31967</v>
      </c>
      <c r="B3606" s="152"/>
      <c r="C3606" s="55"/>
      <c r="D3606" s="31"/>
    </row>
    <row r="3607">
      <c r="A3607" s="51" t="s">
        <v>31968</v>
      </c>
      <c r="B3607" s="152"/>
      <c r="C3607" s="55"/>
      <c r="D3607" s="31"/>
    </row>
    <row r="3608">
      <c r="A3608" s="51" t="s">
        <v>31970</v>
      </c>
      <c r="B3608" s="152"/>
      <c r="C3608" s="55"/>
      <c r="D3608" s="31"/>
    </row>
    <row r="3609">
      <c r="A3609" s="51" t="s">
        <v>31971</v>
      </c>
      <c r="B3609" s="152"/>
      <c r="C3609" s="55"/>
      <c r="D3609" s="31"/>
    </row>
    <row r="3610">
      <c r="A3610" s="51" t="s">
        <v>31972</v>
      </c>
      <c r="B3610" s="152"/>
      <c r="C3610" s="55"/>
      <c r="D3610" s="31"/>
    </row>
    <row r="3611">
      <c r="A3611" s="51" t="s">
        <v>31975</v>
      </c>
      <c r="B3611" s="152"/>
      <c r="C3611" s="55"/>
      <c r="D3611" s="31"/>
    </row>
    <row r="3612">
      <c r="A3612" s="51" t="s">
        <v>31976</v>
      </c>
      <c r="B3612" s="152"/>
      <c r="C3612" s="55"/>
      <c r="D3612" s="31"/>
    </row>
    <row r="3613">
      <c r="A3613" s="51" t="s">
        <v>31977</v>
      </c>
      <c r="B3613" s="152"/>
      <c r="C3613" s="55"/>
      <c r="D3613" s="31"/>
    </row>
    <row r="3614">
      <c r="A3614" s="51" t="s">
        <v>31978</v>
      </c>
      <c r="B3614" s="152"/>
      <c r="C3614" s="55"/>
      <c r="D3614" s="31"/>
    </row>
    <row r="3615">
      <c r="A3615" s="51" t="s">
        <v>31980</v>
      </c>
      <c r="B3615" s="152"/>
      <c r="C3615" s="55"/>
      <c r="D3615" s="31"/>
    </row>
    <row r="3616">
      <c r="A3616" s="51" t="s">
        <v>31981</v>
      </c>
      <c r="B3616" s="152"/>
      <c r="C3616" s="55"/>
      <c r="D3616" s="31"/>
    </row>
    <row r="3617">
      <c r="A3617" s="51" t="s">
        <v>31983</v>
      </c>
      <c r="B3617" s="152"/>
      <c r="C3617" s="55"/>
      <c r="D3617" s="31"/>
    </row>
    <row r="3618">
      <c r="A3618" s="51" t="s">
        <v>31984</v>
      </c>
      <c r="B3618" s="152"/>
      <c r="C3618" s="55"/>
      <c r="D3618" s="31"/>
    </row>
    <row r="3619">
      <c r="A3619" s="51" t="s">
        <v>31985</v>
      </c>
      <c r="B3619" s="152"/>
      <c r="C3619" s="55"/>
      <c r="D3619" s="31"/>
    </row>
    <row r="3620">
      <c r="A3620" s="51" t="s">
        <v>31986</v>
      </c>
      <c r="B3620" s="152"/>
      <c r="C3620" s="55"/>
      <c r="D3620" s="31"/>
    </row>
    <row r="3621">
      <c r="A3621" s="51" t="s">
        <v>31988</v>
      </c>
      <c r="B3621" s="152"/>
      <c r="C3621" s="55"/>
      <c r="D3621" s="31"/>
    </row>
    <row r="3622">
      <c r="A3622" s="51" t="s">
        <v>31989</v>
      </c>
      <c r="B3622" s="152"/>
      <c r="C3622" s="55"/>
      <c r="D3622" s="31"/>
    </row>
    <row r="3623">
      <c r="A3623" s="51" t="s">
        <v>31990</v>
      </c>
      <c r="B3623" s="152"/>
      <c r="C3623" s="55"/>
      <c r="D3623" s="31"/>
    </row>
    <row r="3624">
      <c r="A3624" s="51" t="s">
        <v>31993</v>
      </c>
      <c r="B3624" s="152"/>
      <c r="C3624" s="55"/>
      <c r="D3624" s="31"/>
    </row>
    <row r="3625">
      <c r="A3625" s="51" t="s">
        <v>31994</v>
      </c>
      <c r="B3625" s="152"/>
      <c r="C3625" s="55"/>
      <c r="D3625" s="31"/>
    </row>
    <row r="3626">
      <c r="A3626" s="51" t="s">
        <v>31996</v>
      </c>
      <c r="B3626" s="152"/>
      <c r="C3626" s="55"/>
      <c r="D3626" s="31"/>
    </row>
    <row r="3627">
      <c r="A3627" s="51" t="s">
        <v>31997</v>
      </c>
      <c r="B3627" s="152"/>
      <c r="C3627" s="55"/>
      <c r="D3627" s="31"/>
    </row>
    <row r="3628">
      <c r="A3628" s="51" t="s">
        <v>31998</v>
      </c>
      <c r="B3628" s="152"/>
      <c r="C3628" s="55"/>
      <c r="D3628" s="31"/>
    </row>
    <row r="3629">
      <c r="A3629" s="51" t="s">
        <v>31999</v>
      </c>
      <c r="B3629" s="152"/>
      <c r="C3629" s="55"/>
      <c r="D3629" s="31"/>
    </row>
    <row r="3630">
      <c r="A3630" s="51" t="s">
        <v>32001</v>
      </c>
      <c r="B3630" s="152"/>
      <c r="C3630" s="55"/>
      <c r="D3630" s="31"/>
    </row>
    <row r="3631">
      <c r="A3631" s="51" t="s">
        <v>32003</v>
      </c>
      <c r="B3631" s="152"/>
      <c r="C3631" s="55"/>
      <c r="D3631" s="31"/>
    </row>
    <row r="3632">
      <c r="A3632" s="51" t="s">
        <v>32004</v>
      </c>
      <c r="B3632" s="152"/>
      <c r="C3632" s="55"/>
      <c r="D3632" s="31"/>
    </row>
    <row r="3633">
      <c r="A3633" s="51" t="s">
        <v>32005</v>
      </c>
      <c r="B3633" s="152"/>
      <c r="C3633" s="55"/>
      <c r="D3633" s="31"/>
    </row>
    <row r="3634">
      <c r="A3634" s="51" t="s">
        <v>32006</v>
      </c>
      <c r="B3634" s="152"/>
      <c r="C3634" s="55"/>
      <c r="D3634" s="31"/>
    </row>
    <row r="3635">
      <c r="A3635" s="51" t="s">
        <v>32007</v>
      </c>
      <c r="B3635" s="152"/>
      <c r="C3635" s="55"/>
      <c r="D3635" s="31"/>
    </row>
    <row r="3636">
      <c r="A3636" s="51" t="s">
        <v>32008</v>
      </c>
      <c r="B3636" s="152"/>
      <c r="C3636" s="55"/>
      <c r="D3636" s="31"/>
    </row>
    <row r="3637">
      <c r="A3637" s="51" t="s">
        <v>32010</v>
      </c>
      <c r="B3637" s="152"/>
      <c r="C3637" s="55"/>
      <c r="D3637" s="31"/>
    </row>
    <row r="3638">
      <c r="A3638" s="51" t="s">
        <v>32013</v>
      </c>
      <c r="B3638" s="152"/>
      <c r="C3638" s="55"/>
      <c r="D3638" s="31"/>
    </row>
    <row r="3639">
      <c r="A3639" s="51" t="s">
        <v>32014</v>
      </c>
      <c r="B3639" s="152"/>
      <c r="C3639" s="55"/>
      <c r="D3639" s="31"/>
    </row>
    <row r="3640">
      <c r="A3640" s="51" t="s">
        <v>32015</v>
      </c>
      <c r="B3640" s="152"/>
      <c r="C3640" s="55"/>
      <c r="D3640" s="31"/>
    </row>
    <row r="3641">
      <c r="A3641" s="51" t="s">
        <v>32017</v>
      </c>
      <c r="B3641" s="152"/>
      <c r="C3641" s="55"/>
      <c r="D3641" s="31"/>
    </row>
    <row r="3642">
      <c r="A3642" s="51" t="s">
        <v>32018</v>
      </c>
      <c r="B3642" s="152"/>
      <c r="C3642" s="55"/>
      <c r="D3642" s="31"/>
    </row>
    <row r="3643">
      <c r="A3643" s="51" t="s">
        <v>32019</v>
      </c>
      <c r="B3643" s="152"/>
      <c r="C3643" s="55"/>
      <c r="D3643" s="31"/>
    </row>
    <row r="3644">
      <c r="A3644" s="51" t="s">
        <v>32021</v>
      </c>
      <c r="B3644" s="152"/>
      <c r="C3644" s="55"/>
      <c r="D3644" s="31"/>
    </row>
    <row r="3645">
      <c r="A3645" s="51" t="s">
        <v>32022</v>
      </c>
      <c r="B3645" s="152"/>
      <c r="C3645" s="55"/>
      <c r="D3645" s="31"/>
    </row>
    <row r="3646">
      <c r="A3646" s="51" t="s">
        <v>32024</v>
      </c>
      <c r="B3646" s="152"/>
      <c r="C3646" s="55"/>
      <c r="D3646" s="31"/>
    </row>
    <row r="3647">
      <c r="A3647" s="51" t="s">
        <v>32025</v>
      </c>
      <c r="B3647" s="152"/>
      <c r="C3647" s="55"/>
      <c r="D3647" s="31"/>
    </row>
    <row r="3648">
      <c r="A3648" s="51" t="s">
        <v>32026</v>
      </c>
      <c r="B3648" s="152"/>
      <c r="C3648" s="55"/>
      <c r="D3648" s="31"/>
    </row>
    <row r="3649">
      <c r="A3649" s="51" t="s">
        <v>32027</v>
      </c>
      <c r="B3649" s="152"/>
      <c r="C3649" s="55"/>
      <c r="D3649" s="31"/>
    </row>
    <row r="3650">
      <c r="A3650" s="51" t="s">
        <v>32032</v>
      </c>
      <c r="B3650" s="152"/>
      <c r="C3650" s="55"/>
      <c r="D3650" s="31"/>
    </row>
    <row r="3651">
      <c r="A3651" s="51" t="s">
        <v>32033</v>
      </c>
      <c r="B3651" s="152"/>
      <c r="C3651" s="55"/>
      <c r="D3651" s="31"/>
    </row>
    <row r="3652">
      <c r="A3652" s="51" t="s">
        <v>32034</v>
      </c>
      <c r="B3652" s="152"/>
      <c r="C3652" s="55"/>
      <c r="D3652" s="31"/>
    </row>
    <row r="3653">
      <c r="A3653" s="51" t="s">
        <v>32037</v>
      </c>
      <c r="B3653" s="152"/>
      <c r="C3653" s="55"/>
      <c r="D3653" s="31"/>
    </row>
    <row r="3654">
      <c r="A3654" s="51" t="s">
        <v>32038</v>
      </c>
      <c r="B3654" s="152"/>
      <c r="C3654" s="55"/>
      <c r="D3654" s="31"/>
    </row>
    <row r="3655">
      <c r="A3655" s="51" t="s">
        <v>32039</v>
      </c>
      <c r="B3655" s="152"/>
      <c r="C3655" s="55"/>
      <c r="D3655" s="31"/>
    </row>
    <row r="3656">
      <c r="A3656" s="51" t="s">
        <v>32040</v>
      </c>
      <c r="B3656" s="152"/>
      <c r="C3656" s="55"/>
      <c r="D3656" s="31"/>
    </row>
    <row r="3657">
      <c r="A3657" s="51" t="s">
        <v>32042</v>
      </c>
      <c r="B3657" s="152"/>
      <c r="C3657" s="55"/>
      <c r="D3657" s="31"/>
    </row>
    <row r="3658">
      <c r="A3658" s="51" t="s">
        <v>32043</v>
      </c>
      <c r="B3658" s="152"/>
      <c r="C3658" s="55"/>
      <c r="D3658" s="31"/>
    </row>
    <row r="3659">
      <c r="A3659" s="51" t="s">
        <v>32045</v>
      </c>
      <c r="B3659" s="152"/>
      <c r="C3659" s="55"/>
      <c r="D3659" s="31"/>
    </row>
    <row r="3660">
      <c r="A3660" s="51" t="s">
        <v>32047</v>
      </c>
      <c r="B3660" s="152"/>
      <c r="C3660" s="55"/>
      <c r="D3660" s="31"/>
    </row>
    <row r="3661">
      <c r="A3661" s="51" t="s">
        <v>32048</v>
      </c>
      <c r="B3661" s="152"/>
      <c r="C3661" s="55"/>
      <c r="D3661" s="31"/>
    </row>
    <row r="3662">
      <c r="A3662" s="51" t="s">
        <v>32049</v>
      </c>
      <c r="B3662" s="152"/>
      <c r="C3662" s="55"/>
      <c r="D3662" s="31"/>
    </row>
    <row r="3663">
      <c r="A3663" s="51" t="s">
        <v>32050</v>
      </c>
      <c r="B3663" s="152"/>
      <c r="C3663" s="55"/>
      <c r="D3663" s="31"/>
    </row>
    <row r="3664">
      <c r="A3664" s="51" t="s">
        <v>32052</v>
      </c>
      <c r="B3664" s="152"/>
      <c r="C3664" s="55"/>
      <c r="D3664" s="31"/>
    </row>
    <row r="3665">
      <c r="A3665" s="51" t="s">
        <v>32053</v>
      </c>
      <c r="B3665" s="152"/>
      <c r="C3665" s="55"/>
      <c r="D3665" s="31"/>
    </row>
    <row r="3666">
      <c r="A3666" s="51" t="s">
        <v>32056</v>
      </c>
      <c r="B3666" s="152"/>
      <c r="C3666" s="55"/>
      <c r="D3666" s="31"/>
    </row>
    <row r="3667">
      <c r="A3667" s="51" t="s">
        <v>32057</v>
      </c>
      <c r="B3667" s="152"/>
      <c r="C3667" s="55"/>
      <c r="D3667" s="31"/>
    </row>
    <row r="3668">
      <c r="A3668" s="51" t="s">
        <v>32058</v>
      </c>
      <c r="B3668" s="152"/>
      <c r="C3668" s="55"/>
      <c r="D3668" s="31"/>
    </row>
    <row r="3669">
      <c r="A3669" s="51" t="s">
        <v>32059</v>
      </c>
      <c r="B3669" s="152"/>
      <c r="C3669" s="55"/>
      <c r="D3669" s="31"/>
    </row>
    <row r="3670">
      <c r="A3670" s="51" t="s">
        <v>32060</v>
      </c>
      <c r="B3670" s="152"/>
      <c r="C3670" s="55"/>
      <c r="D3670" s="31"/>
    </row>
    <row r="3671">
      <c r="A3671" s="51" t="s">
        <v>32062</v>
      </c>
      <c r="B3671" s="152"/>
      <c r="C3671" s="55"/>
      <c r="D3671" s="31"/>
    </row>
    <row r="3672">
      <c r="A3672" s="51" t="s">
        <v>32063</v>
      </c>
      <c r="B3672" s="152"/>
      <c r="C3672" s="55"/>
      <c r="D3672" s="31"/>
    </row>
    <row r="3673">
      <c r="A3673" s="51" t="s">
        <v>32066</v>
      </c>
      <c r="B3673" s="152"/>
      <c r="C3673" s="55"/>
      <c r="D3673" s="31"/>
    </row>
    <row r="3674">
      <c r="A3674" s="51" t="s">
        <v>32067</v>
      </c>
      <c r="B3674" s="152"/>
      <c r="C3674" s="55"/>
      <c r="D3674" s="31"/>
    </row>
    <row r="3675">
      <c r="A3675" s="51" t="s">
        <v>32068</v>
      </c>
      <c r="B3675" s="152"/>
      <c r="C3675" s="55"/>
      <c r="D3675" s="31"/>
    </row>
    <row r="3676">
      <c r="A3676" s="51" t="s">
        <v>32069</v>
      </c>
      <c r="B3676" s="152"/>
      <c r="C3676" s="55"/>
      <c r="D3676" s="31"/>
    </row>
    <row r="3677">
      <c r="A3677" s="51" t="s">
        <v>32071</v>
      </c>
      <c r="B3677" s="152"/>
      <c r="C3677" s="55"/>
      <c r="D3677" s="31"/>
    </row>
    <row r="3678">
      <c r="A3678" s="51" t="s">
        <v>32073</v>
      </c>
      <c r="B3678" s="152"/>
      <c r="C3678" s="55"/>
      <c r="D3678" s="31"/>
    </row>
    <row r="3679">
      <c r="A3679" s="51" t="s">
        <v>32075</v>
      </c>
      <c r="B3679" s="152"/>
      <c r="C3679" s="55"/>
      <c r="D3679" s="31"/>
    </row>
    <row r="3680">
      <c r="A3680" s="51" t="s">
        <v>32076</v>
      </c>
      <c r="B3680" s="152"/>
      <c r="C3680" s="55"/>
      <c r="D3680" s="31"/>
    </row>
    <row r="3681">
      <c r="A3681" s="51" t="s">
        <v>32077</v>
      </c>
      <c r="B3681" s="152"/>
      <c r="C3681" s="55"/>
      <c r="D3681" s="31"/>
    </row>
    <row r="3682">
      <c r="A3682" s="51" t="s">
        <v>32078</v>
      </c>
      <c r="B3682" s="152"/>
      <c r="C3682" s="55"/>
      <c r="D3682" s="31"/>
    </row>
    <row r="3683">
      <c r="A3683" s="51" t="s">
        <v>32079</v>
      </c>
      <c r="B3683" s="152"/>
      <c r="C3683" s="55"/>
      <c r="D3683" s="31"/>
    </row>
    <row r="3684">
      <c r="A3684" s="51" t="s">
        <v>32081</v>
      </c>
      <c r="B3684" s="152"/>
      <c r="C3684" s="55"/>
      <c r="D3684" s="31"/>
    </row>
    <row r="3685">
      <c r="A3685" s="51" t="s">
        <v>32083</v>
      </c>
      <c r="B3685" s="152"/>
      <c r="C3685" s="55"/>
      <c r="D3685" s="31"/>
    </row>
    <row r="3686">
      <c r="A3686" s="51" t="s">
        <v>32085</v>
      </c>
      <c r="B3686" s="152"/>
      <c r="C3686" s="55"/>
      <c r="D3686" s="31"/>
    </row>
    <row r="3687">
      <c r="A3687" s="51" t="s">
        <v>32086</v>
      </c>
      <c r="B3687" s="152"/>
      <c r="C3687" s="55"/>
      <c r="D3687" s="31"/>
    </row>
    <row r="3688">
      <c r="A3688" s="51" t="s">
        <v>32087</v>
      </c>
      <c r="B3688" s="152"/>
      <c r="C3688" s="55"/>
      <c r="D3688" s="31"/>
    </row>
    <row r="3689">
      <c r="A3689" s="51" t="s">
        <v>32088</v>
      </c>
      <c r="B3689" s="152"/>
      <c r="C3689" s="55"/>
      <c r="D3689" s="31"/>
    </row>
    <row r="3690">
      <c r="A3690" s="51" t="s">
        <v>32090</v>
      </c>
      <c r="B3690" s="152"/>
      <c r="C3690" s="55"/>
      <c r="D3690" s="31"/>
    </row>
    <row r="3691">
      <c r="A3691" s="51" t="s">
        <v>32091</v>
      </c>
      <c r="B3691" s="152"/>
      <c r="C3691" s="55"/>
      <c r="D3691" s="31"/>
    </row>
    <row r="3692">
      <c r="A3692" s="51" t="s">
        <v>32094</v>
      </c>
      <c r="B3692" s="152"/>
      <c r="C3692" s="55"/>
      <c r="D3692" s="31"/>
    </row>
    <row r="3693">
      <c r="A3693" s="51" t="s">
        <v>32095</v>
      </c>
      <c r="B3693" s="152"/>
      <c r="C3693" s="55"/>
      <c r="D3693" s="31"/>
    </row>
    <row r="3694">
      <c r="A3694" s="51" t="s">
        <v>32096</v>
      </c>
      <c r="B3694" s="152"/>
      <c r="C3694" s="55"/>
      <c r="D3694" s="31"/>
    </row>
    <row r="3695">
      <c r="A3695" s="51" t="s">
        <v>32097</v>
      </c>
      <c r="B3695" s="152"/>
      <c r="C3695" s="55"/>
      <c r="D3695" s="31"/>
    </row>
    <row r="3696">
      <c r="A3696" s="51" t="s">
        <v>32098</v>
      </c>
      <c r="B3696" s="152"/>
      <c r="C3696" s="55"/>
      <c r="D3696" s="31"/>
    </row>
    <row r="3697">
      <c r="A3697" s="51" t="s">
        <v>32099</v>
      </c>
      <c r="B3697" s="152"/>
      <c r="C3697" s="55"/>
      <c r="D3697" s="31"/>
    </row>
    <row r="3698">
      <c r="A3698" s="51" t="s">
        <v>32102</v>
      </c>
      <c r="B3698" s="152"/>
      <c r="C3698" s="55"/>
      <c r="D3698" s="31"/>
    </row>
    <row r="3699">
      <c r="A3699" s="51" t="s">
        <v>32104</v>
      </c>
      <c r="B3699" s="152"/>
      <c r="C3699" s="55"/>
      <c r="D3699" s="31"/>
    </row>
    <row r="3700">
      <c r="A3700" s="51" t="s">
        <v>32105</v>
      </c>
      <c r="B3700" s="152"/>
      <c r="C3700" s="55"/>
      <c r="D3700" s="31"/>
    </row>
    <row r="3701">
      <c r="A3701" s="51" t="s">
        <v>32106</v>
      </c>
      <c r="B3701" s="152"/>
      <c r="C3701" s="55"/>
      <c r="D3701" s="31"/>
    </row>
    <row r="3702">
      <c r="A3702" s="51" t="s">
        <v>32107</v>
      </c>
      <c r="B3702" s="152"/>
      <c r="C3702" s="55"/>
      <c r="D3702" s="31"/>
    </row>
    <row r="3703">
      <c r="A3703" s="51" t="s">
        <v>32108</v>
      </c>
      <c r="B3703" s="152"/>
      <c r="C3703" s="55"/>
      <c r="D3703" s="31"/>
    </row>
    <row r="3704">
      <c r="A3704" s="51" t="s">
        <v>32109</v>
      </c>
      <c r="B3704" s="152"/>
      <c r="C3704" s="55"/>
      <c r="D3704" s="31"/>
    </row>
    <row r="3705">
      <c r="A3705" s="51" t="s">
        <v>32112</v>
      </c>
      <c r="B3705" s="152"/>
      <c r="C3705" s="55"/>
      <c r="D3705" s="31"/>
    </row>
    <row r="3706">
      <c r="A3706" s="51" t="s">
        <v>32113</v>
      </c>
      <c r="B3706" s="152"/>
      <c r="C3706" s="55"/>
      <c r="D3706" s="31"/>
    </row>
    <row r="3707">
      <c r="A3707" s="51" t="s">
        <v>32114</v>
      </c>
      <c r="B3707" s="152"/>
      <c r="C3707" s="55"/>
      <c r="D3707" s="31"/>
    </row>
    <row r="3708">
      <c r="A3708" s="51" t="s">
        <v>32116</v>
      </c>
      <c r="B3708" s="152"/>
      <c r="C3708" s="55"/>
      <c r="D3708" s="31"/>
    </row>
    <row r="3709">
      <c r="A3709" s="51" t="s">
        <v>32117</v>
      </c>
      <c r="B3709" s="152"/>
      <c r="C3709" s="55"/>
      <c r="D3709" s="31"/>
    </row>
    <row r="3710">
      <c r="A3710" s="51" t="s">
        <v>32119</v>
      </c>
      <c r="B3710" s="152"/>
      <c r="C3710" s="55"/>
      <c r="D3710" s="31"/>
    </row>
    <row r="3711">
      <c r="A3711" s="51" t="s">
        <v>32122</v>
      </c>
      <c r="B3711" s="152"/>
      <c r="C3711" s="55"/>
      <c r="D3711" s="31"/>
    </row>
    <row r="3712">
      <c r="A3712" s="51" t="s">
        <v>32124</v>
      </c>
      <c r="B3712" s="152"/>
      <c r="C3712" s="55"/>
      <c r="D3712" s="31"/>
    </row>
    <row r="3713">
      <c r="A3713" s="51" t="s">
        <v>32125</v>
      </c>
      <c r="B3713" s="152"/>
      <c r="C3713" s="55"/>
      <c r="D3713" s="31"/>
    </row>
    <row r="3714">
      <c r="A3714" s="51" t="s">
        <v>32126</v>
      </c>
      <c r="B3714" s="152"/>
      <c r="C3714" s="55"/>
      <c r="D3714" s="31"/>
    </row>
    <row r="3715">
      <c r="A3715" s="51" t="s">
        <v>32127</v>
      </c>
      <c r="B3715" s="152"/>
      <c r="C3715" s="55"/>
      <c r="D3715" s="31"/>
    </row>
    <row r="3716">
      <c r="A3716" s="51" t="s">
        <v>32128</v>
      </c>
      <c r="B3716" s="152"/>
      <c r="C3716" s="55"/>
      <c r="D3716" s="31"/>
    </row>
    <row r="3717">
      <c r="A3717" s="51" t="s">
        <v>32129</v>
      </c>
      <c r="B3717" s="152"/>
      <c r="C3717" s="55"/>
      <c r="D3717" s="31"/>
    </row>
    <row r="3718">
      <c r="A3718" s="51" t="s">
        <v>32133</v>
      </c>
      <c r="B3718" s="152"/>
      <c r="C3718" s="55"/>
      <c r="D3718" s="31"/>
    </row>
    <row r="3719">
      <c r="A3719" s="51" t="s">
        <v>32135</v>
      </c>
      <c r="B3719" s="152"/>
      <c r="C3719" s="55"/>
      <c r="D3719" s="31"/>
    </row>
    <row r="3720">
      <c r="A3720" s="51" t="s">
        <v>32137</v>
      </c>
      <c r="B3720" s="152"/>
      <c r="C3720" s="55"/>
      <c r="D3720" s="31"/>
    </row>
    <row r="3721">
      <c r="A3721" s="51" t="s">
        <v>32139</v>
      </c>
      <c r="B3721" s="152"/>
      <c r="C3721" s="55"/>
      <c r="D3721" s="31"/>
    </row>
    <row r="3722">
      <c r="A3722" s="51" t="s">
        <v>32140</v>
      </c>
      <c r="B3722" s="152"/>
      <c r="C3722" s="55"/>
      <c r="D3722" s="31"/>
    </row>
    <row r="3723">
      <c r="A3723" s="51" t="s">
        <v>32141</v>
      </c>
      <c r="B3723" s="152"/>
      <c r="C3723" s="55"/>
      <c r="D3723" s="31"/>
    </row>
    <row r="3724">
      <c r="A3724" s="51" t="s">
        <v>32143</v>
      </c>
      <c r="B3724" s="152"/>
      <c r="C3724" s="55"/>
      <c r="D3724" s="31"/>
    </row>
    <row r="3725">
      <c r="A3725" s="51" t="s">
        <v>32145</v>
      </c>
      <c r="B3725" s="152"/>
      <c r="C3725" s="55"/>
      <c r="D3725" s="31"/>
    </row>
    <row r="3726">
      <c r="A3726" s="51" t="s">
        <v>32146</v>
      </c>
      <c r="B3726" s="152"/>
      <c r="C3726" s="55"/>
      <c r="D3726" s="31"/>
    </row>
    <row r="3727">
      <c r="A3727" s="51" t="s">
        <v>32147</v>
      </c>
      <c r="B3727" s="152"/>
      <c r="C3727" s="55"/>
      <c r="D3727" s="31"/>
    </row>
    <row r="3728">
      <c r="A3728" s="51" t="s">
        <v>32148</v>
      </c>
      <c r="B3728" s="152"/>
      <c r="C3728" s="55"/>
      <c r="D3728" s="31"/>
    </row>
    <row r="3729">
      <c r="A3729" s="51" t="s">
        <v>32150</v>
      </c>
      <c r="B3729" s="152"/>
      <c r="C3729" s="55"/>
      <c r="D3729" s="31"/>
    </row>
    <row r="3730">
      <c r="A3730" s="51" t="s">
        <v>32151</v>
      </c>
      <c r="B3730" s="152"/>
      <c r="C3730" s="55"/>
      <c r="D3730" s="31"/>
    </row>
    <row r="3731">
      <c r="A3731" s="51" t="s">
        <v>32154</v>
      </c>
      <c r="B3731" s="152"/>
      <c r="C3731" s="55"/>
      <c r="D3731" s="31"/>
    </row>
    <row r="3732">
      <c r="A3732" s="51" t="s">
        <v>32155</v>
      </c>
      <c r="B3732" s="152"/>
      <c r="C3732" s="55"/>
      <c r="D3732" s="31"/>
    </row>
    <row r="3733">
      <c r="A3733" s="51" t="s">
        <v>32156</v>
      </c>
      <c r="B3733" s="152"/>
      <c r="C3733" s="55"/>
      <c r="D3733" s="31"/>
    </row>
    <row r="3734">
      <c r="A3734" s="51" t="s">
        <v>32157</v>
      </c>
      <c r="B3734" s="152"/>
      <c r="C3734" s="55"/>
      <c r="D3734" s="31"/>
    </row>
    <row r="3735">
      <c r="A3735" s="51" t="s">
        <v>32158</v>
      </c>
      <c r="B3735" s="152"/>
      <c r="C3735" s="55"/>
      <c r="D3735" s="31"/>
    </row>
    <row r="3736">
      <c r="A3736" s="51" t="s">
        <v>32160</v>
      </c>
      <c r="B3736" s="152"/>
      <c r="C3736" s="55"/>
      <c r="D3736" s="31"/>
    </row>
    <row r="3737">
      <c r="A3737" s="51" t="s">
        <v>32162</v>
      </c>
      <c r="B3737" s="152"/>
      <c r="C3737" s="55"/>
      <c r="D3737" s="31"/>
    </row>
    <row r="3738">
      <c r="A3738" s="51" t="s">
        <v>32163</v>
      </c>
      <c r="B3738" s="152"/>
      <c r="C3738" s="55"/>
      <c r="D3738" s="31"/>
    </row>
    <row r="3739">
      <c r="A3739" s="51" t="s">
        <v>32164</v>
      </c>
      <c r="B3739" s="152"/>
      <c r="C3739" s="55"/>
      <c r="D3739" s="31"/>
    </row>
    <row r="3740">
      <c r="A3740" s="51" t="s">
        <v>32165</v>
      </c>
      <c r="B3740" s="152"/>
      <c r="C3740" s="55"/>
      <c r="D3740" s="31"/>
    </row>
    <row r="3741">
      <c r="A3741" s="51" t="s">
        <v>32166</v>
      </c>
      <c r="B3741" s="152"/>
      <c r="C3741" s="55"/>
      <c r="D3741" s="31"/>
    </row>
    <row r="3742">
      <c r="A3742" s="51" t="s">
        <v>32168</v>
      </c>
      <c r="B3742" s="152"/>
      <c r="C3742" s="55"/>
      <c r="D3742" s="31"/>
    </row>
    <row r="3743">
      <c r="A3743" s="51" t="s">
        <v>32170</v>
      </c>
      <c r="B3743" s="152"/>
      <c r="C3743" s="55"/>
      <c r="D3743" s="31"/>
    </row>
    <row r="3744">
      <c r="A3744" s="51" t="s">
        <v>32172</v>
      </c>
      <c r="B3744" s="152"/>
      <c r="C3744" s="55"/>
      <c r="D3744" s="31"/>
    </row>
    <row r="3745">
      <c r="A3745" s="51" t="s">
        <v>32173</v>
      </c>
      <c r="B3745" s="152"/>
      <c r="C3745" s="55"/>
      <c r="D3745" s="31"/>
    </row>
    <row r="3746">
      <c r="A3746" s="51" t="s">
        <v>32174</v>
      </c>
      <c r="B3746" s="152"/>
      <c r="C3746" s="55"/>
      <c r="D3746" s="31"/>
    </row>
    <row r="3747">
      <c r="A3747" s="51" t="s">
        <v>32175</v>
      </c>
      <c r="B3747" s="152"/>
      <c r="C3747" s="55"/>
      <c r="D3747" s="31"/>
    </row>
    <row r="3748">
      <c r="A3748" s="51" t="s">
        <v>32176</v>
      </c>
      <c r="B3748" s="152"/>
      <c r="C3748" s="55"/>
      <c r="D3748" s="31"/>
    </row>
    <row r="3749">
      <c r="A3749" s="51" t="s">
        <v>32178</v>
      </c>
      <c r="B3749" s="152"/>
      <c r="C3749" s="55"/>
      <c r="D3749" s="31"/>
    </row>
    <row r="3750">
      <c r="A3750" s="51" t="s">
        <v>32180</v>
      </c>
      <c r="B3750" s="152"/>
      <c r="C3750" s="55"/>
      <c r="D3750" s="31"/>
    </row>
    <row r="3751">
      <c r="A3751" s="51" t="s">
        <v>32182</v>
      </c>
      <c r="B3751" s="152"/>
      <c r="C3751" s="55"/>
      <c r="D3751" s="31"/>
    </row>
    <row r="3752">
      <c r="A3752" s="51" t="s">
        <v>32183</v>
      </c>
      <c r="B3752" s="152"/>
      <c r="C3752" s="55"/>
      <c r="D3752" s="31"/>
    </row>
    <row r="3753">
      <c r="A3753" s="51" t="s">
        <v>32184</v>
      </c>
      <c r="B3753" s="152"/>
      <c r="C3753" s="55"/>
      <c r="D3753" s="31"/>
    </row>
    <row r="3754">
      <c r="A3754" s="51" t="s">
        <v>32186</v>
      </c>
      <c r="B3754" s="152"/>
      <c r="C3754" s="55"/>
      <c r="D3754" s="31"/>
    </row>
    <row r="3755">
      <c r="A3755" s="51" t="s">
        <v>32187</v>
      </c>
      <c r="B3755" s="152"/>
      <c r="C3755" s="55"/>
      <c r="D3755" s="31"/>
    </row>
    <row r="3756">
      <c r="A3756" s="51" t="s">
        <v>32189</v>
      </c>
      <c r="B3756" s="152"/>
      <c r="C3756" s="55"/>
      <c r="D3756" s="31"/>
    </row>
    <row r="3757">
      <c r="A3757" s="51" t="s">
        <v>32193</v>
      </c>
      <c r="B3757" s="152"/>
      <c r="C3757" s="55"/>
      <c r="D3757" s="31"/>
    </row>
    <row r="3758">
      <c r="A3758" s="51" t="s">
        <v>32194</v>
      </c>
      <c r="B3758" s="152"/>
      <c r="C3758" s="55"/>
      <c r="D3758" s="31"/>
    </row>
    <row r="3759">
      <c r="A3759" s="51" t="s">
        <v>32195</v>
      </c>
      <c r="B3759" s="152"/>
      <c r="C3759" s="55"/>
      <c r="D3759" s="31"/>
    </row>
    <row r="3760">
      <c r="A3760" s="51" t="s">
        <v>32196</v>
      </c>
      <c r="B3760" s="152"/>
      <c r="C3760" s="55"/>
      <c r="D3760" s="31"/>
    </row>
    <row r="3761">
      <c r="A3761" s="51" t="s">
        <v>32197</v>
      </c>
      <c r="B3761" s="152"/>
      <c r="C3761" s="55"/>
      <c r="D3761" s="31"/>
    </row>
    <row r="3762">
      <c r="A3762" s="51" t="s">
        <v>32198</v>
      </c>
      <c r="B3762" s="152"/>
      <c r="C3762" s="55"/>
      <c r="D3762" s="31"/>
    </row>
    <row r="3763">
      <c r="A3763" s="51" t="s">
        <v>32200</v>
      </c>
      <c r="B3763" s="152"/>
      <c r="C3763" s="55"/>
      <c r="D3763" s="31"/>
    </row>
    <row r="3764">
      <c r="A3764" s="51" t="s">
        <v>32203</v>
      </c>
      <c r="B3764" s="152"/>
      <c r="C3764" s="55"/>
      <c r="D3764" s="31"/>
    </row>
    <row r="3765">
      <c r="A3765" s="51" t="s">
        <v>32205</v>
      </c>
      <c r="B3765" s="152"/>
      <c r="C3765" s="55"/>
      <c r="D3765" s="31"/>
    </row>
    <row r="3766">
      <c r="A3766" s="51" t="s">
        <v>32207</v>
      </c>
      <c r="B3766" s="152"/>
      <c r="C3766" s="55"/>
      <c r="D3766" s="31"/>
    </row>
    <row r="3767">
      <c r="A3767" s="51" t="s">
        <v>32208</v>
      </c>
      <c r="B3767" s="152"/>
      <c r="C3767" s="55"/>
      <c r="D3767" s="31"/>
    </row>
    <row r="3768">
      <c r="A3768" s="51" t="s">
        <v>32209</v>
      </c>
      <c r="B3768" s="152"/>
      <c r="C3768" s="55"/>
      <c r="D3768" s="31"/>
    </row>
    <row r="3769">
      <c r="A3769" s="51" t="s">
        <v>32210</v>
      </c>
      <c r="B3769" s="152"/>
      <c r="C3769" s="55"/>
      <c r="D3769" s="31"/>
    </row>
    <row r="3770">
      <c r="A3770" s="51" t="s">
        <v>32213</v>
      </c>
      <c r="B3770" s="152"/>
      <c r="C3770" s="55"/>
      <c r="D3770" s="31"/>
    </row>
    <row r="3771">
      <c r="A3771" s="51" t="s">
        <v>32215</v>
      </c>
      <c r="B3771" s="152"/>
      <c r="C3771" s="55"/>
      <c r="D3771" s="31"/>
    </row>
    <row r="3772">
      <c r="A3772" s="51" t="s">
        <v>32216</v>
      </c>
      <c r="B3772" s="152"/>
      <c r="C3772" s="55"/>
      <c r="D3772" s="31"/>
    </row>
    <row r="3773">
      <c r="A3773" s="51" t="s">
        <v>32217</v>
      </c>
      <c r="B3773" s="152"/>
      <c r="C3773" s="55"/>
      <c r="D3773" s="31"/>
    </row>
    <row r="3774">
      <c r="A3774" s="51" t="s">
        <v>32218</v>
      </c>
      <c r="B3774" s="152"/>
      <c r="C3774" s="55"/>
      <c r="D3774" s="31"/>
    </row>
    <row r="3775">
      <c r="A3775" s="51" t="s">
        <v>32219</v>
      </c>
      <c r="B3775" s="152"/>
      <c r="C3775" s="55"/>
      <c r="D3775" s="31"/>
    </row>
    <row r="3776">
      <c r="A3776" s="51" t="s">
        <v>32221</v>
      </c>
      <c r="B3776" s="152"/>
      <c r="C3776" s="55"/>
      <c r="D3776" s="31"/>
    </row>
    <row r="3777">
      <c r="A3777" s="51" t="s">
        <v>32222</v>
      </c>
      <c r="B3777" s="152"/>
      <c r="C3777" s="55"/>
      <c r="D3777" s="31"/>
    </row>
    <row r="3778">
      <c r="A3778" s="51" t="s">
        <v>32223</v>
      </c>
      <c r="B3778" s="152"/>
      <c r="C3778" s="55"/>
      <c r="D3778" s="31"/>
    </row>
    <row r="3779">
      <c r="A3779" s="51" t="s">
        <v>32224</v>
      </c>
      <c r="B3779" s="152"/>
      <c r="C3779" s="55"/>
      <c r="D3779" s="31"/>
    </row>
    <row r="3780">
      <c r="A3780" s="51" t="s">
        <v>32225</v>
      </c>
      <c r="B3780" s="152"/>
      <c r="C3780" s="55"/>
      <c r="D3780" s="31"/>
    </row>
    <row r="3781">
      <c r="A3781" s="51" t="s">
        <v>32230</v>
      </c>
      <c r="B3781" s="152"/>
      <c r="C3781" s="55"/>
      <c r="D3781" s="31"/>
    </row>
    <row r="3782">
      <c r="A3782" s="51" t="s">
        <v>32231</v>
      </c>
      <c r="B3782" s="152"/>
      <c r="C3782" s="55"/>
      <c r="D3782" s="31"/>
    </row>
    <row r="3783">
      <c r="A3783" s="51" t="s">
        <v>32232</v>
      </c>
      <c r="B3783" s="152"/>
      <c r="C3783" s="55"/>
      <c r="D3783" s="31"/>
    </row>
    <row r="3784">
      <c r="A3784" s="51" t="s">
        <v>32233</v>
      </c>
      <c r="B3784" s="152"/>
      <c r="C3784" s="55"/>
      <c r="D3784" s="31"/>
    </row>
    <row r="3785">
      <c r="A3785" s="51" t="s">
        <v>32234</v>
      </c>
      <c r="B3785" s="152"/>
      <c r="C3785" s="55"/>
      <c r="D3785" s="31"/>
    </row>
    <row r="3786">
      <c r="A3786" s="51" t="s">
        <v>32235</v>
      </c>
      <c r="B3786" s="152"/>
      <c r="C3786" s="55"/>
      <c r="D3786" s="31"/>
    </row>
    <row r="3787">
      <c r="A3787" s="51" t="s">
        <v>32238</v>
      </c>
      <c r="B3787" s="152"/>
      <c r="C3787" s="55"/>
      <c r="D3787" s="31"/>
    </row>
    <row r="3788">
      <c r="A3788" s="51" t="s">
        <v>32241</v>
      </c>
      <c r="B3788" s="152"/>
      <c r="C3788" s="55"/>
      <c r="D3788" s="31"/>
    </row>
    <row r="3789">
      <c r="A3789" s="51" t="s">
        <v>32242</v>
      </c>
      <c r="B3789" s="152"/>
      <c r="C3789" s="55"/>
      <c r="D3789" s="31"/>
    </row>
    <row r="3790">
      <c r="A3790" s="51" t="s">
        <v>32243</v>
      </c>
      <c r="B3790" s="152"/>
      <c r="C3790" s="55"/>
      <c r="D3790" s="31"/>
    </row>
    <row r="3791">
      <c r="A3791" s="51" t="s">
        <v>32244</v>
      </c>
      <c r="B3791" s="152"/>
      <c r="C3791" s="55"/>
      <c r="D3791" s="31"/>
    </row>
    <row r="3792">
      <c r="A3792" s="51" t="s">
        <v>32245</v>
      </c>
      <c r="B3792" s="152"/>
      <c r="C3792" s="55"/>
      <c r="D3792" s="31"/>
    </row>
    <row r="3793">
      <c r="A3793" s="51" t="s">
        <v>32246</v>
      </c>
      <c r="B3793" s="152"/>
      <c r="C3793" s="55"/>
      <c r="D3793" s="31"/>
    </row>
    <row r="3794">
      <c r="A3794" s="51" t="s">
        <v>32250</v>
      </c>
      <c r="B3794" s="152"/>
      <c r="C3794" s="55"/>
      <c r="D3794" s="31"/>
    </row>
    <row r="3795">
      <c r="A3795" s="51" t="s">
        <v>32252</v>
      </c>
      <c r="B3795" s="152"/>
      <c r="C3795" s="55"/>
      <c r="D3795" s="31"/>
    </row>
    <row r="3796">
      <c r="A3796" s="51" t="s">
        <v>32255</v>
      </c>
      <c r="B3796" s="152"/>
      <c r="C3796" s="55"/>
      <c r="D3796" s="31"/>
    </row>
    <row r="3797">
      <c r="A3797" s="51" t="s">
        <v>32256</v>
      </c>
      <c r="B3797" s="152"/>
      <c r="C3797" s="55"/>
      <c r="D3797" s="31"/>
    </row>
    <row r="3798">
      <c r="A3798" s="51" t="s">
        <v>32257</v>
      </c>
      <c r="B3798" s="152"/>
      <c r="C3798" s="55"/>
      <c r="D3798" s="31"/>
    </row>
    <row r="3799">
      <c r="A3799" s="51" t="s">
        <v>32258</v>
      </c>
      <c r="B3799" s="152"/>
      <c r="C3799" s="55"/>
      <c r="D3799" s="31"/>
    </row>
    <row r="3800">
      <c r="A3800" s="51" t="s">
        <v>32259</v>
      </c>
      <c r="B3800" s="152"/>
      <c r="C3800" s="55"/>
      <c r="D3800" s="31"/>
    </row>
    <row r="3801">
      <c r="A3801" s="51" t="s">
        <v>32262</v>
      </c>
      <c r="B3801" s="152"/>
      <c r="C3801" s="55"/>
      <c r="D3801" s="31"/>
    </row>
    <row r="3802">
      <c r="A3802" s="51" t="s">
        <v>32263</v>
      </c>
      <c r="B3802" s="152"/>
      <c r="C3802" s="55"/>
      <c r="D3802" s="31"/>
    </row>
    <row r="3803">
      <c r="A3803" s="51" t="s">
        <v>32265</v>
      </c>
      <c r="B3803" s="152"/>
      <c r="C3803" s="55"/>
      <c r="D3803" s="31"/>
    </row>
    <row r="3804">
      <c r="A3804" s="51" t="s">
        <v>32266</v>
      </c>
      <c r="B3804" s="152"/>
      <c r="C3804" s="55"/>
      <c r="D3804" s="31"/>
    </row>
    <row r="3805">
      <c r="A3805" s="51" t="s">
        <v>32267</v>
      </c>
      <c r="B3805" s="152"/>
      <c r="C3805" s="55"/>
      <c r="D3805" s="31"/>
    </row>
    <row r="3806">
      <c r="A3806" s="51" t="s">
        <v>32268</v>
      </c>
      <c r="B3806" s="152"/>
      <c r="C3806" s="55"/>
      <c r="D3806" s="31"/>
    </row>
    <row r="3807">
      <c r="A3807" s="51" t="s">
        <v>32271</v>
      </c>
      <c r="B3807" s="152"/>
      <c r="C3807" s="55"/>
      <c r="D3807" s="31"/>
    </row>
    <row r="3808">
      <c r="A3808" s="51" t="s">
        <v>32273</v>
      </c>
      <c r="B3808" s="152"/>
      <c r="C3808" s="55"/>
      <c r="D3808" s="31"/>
    </row>
    <row r="3809">
      <c r="A3809" s="51" t="s">
        <v>32274</v>
      </c>
      <c r="B3809" s="152"/>
      <c r="C3809" s="55"/>
      <c r="D3809" s="31"/>
    </row>
    <row r="3810">
      <c r="A3810" s="51" t="s">
        <v>32275</v>
      </c>
      <c r="B3810" s="152"/>
      <c r="C3810" s="55"/>
      <c r="D3810" s="31"/>
    </row>
    <row r="3811">
      <c r="A3811" s="51" t="s">
        <v>32276</v>
      </c>
      <c r="B3811" s="152"/>
      <c r="C3811" s="55"/>
      <c r="D3811" s="31"/>
    </row>
    <row r="3812">
      <c r="A3812" s="51" t="s">
        <v>32279</v>
      </c>
      <c r="B3812" s="152"/>
      <c r="C3812" s="55"/>
      <c r="D3812" s="31"/>
    </row>
    <row r="3813">
      <c r="A3813" s="51" t="s">
        <v>32282</v>
      </c>
      <c r="B3813" s="152"/>
      <c r="C3813" s="55"/>
      <c r="D3813" s="31"/>
    </row>
    <row r="3814">
      <c r="A3814" s="51" t="s">
        <v>32283</v>
      </c>
      <c r="B3814" s="152"/>
      <c r="C3814" s="55"/>
      <c r="D3814" s="31"/>
    </row>
    <row r="3815">
      <c r="A3815" s="51" t="s">
        <v>32284</v>
      </c>
      <c r="B3815" s="152"/>
      <c r="C3815" s="55"/>
      <c r="D3815" s="31"/>
    </row>
    <row r="3816">
      <c r="A3816" s="51" t="s">
        <v>32286</v>
      </c>
      <c r="B3816" s="152"/>
      <c r="C3816" s="55"/>
      <c r="D3816" s="31"/>
    </row>
    <row r="3817">
      <c r="A3817" s="51" t="s">
        <v>32287</v>
      </c>
      <c r="B3817" s="152"/>
      <c r="C3817" s="55"/>
      <c r="D3817" s="31"/>
    </row>
    <row r="3818">
      <c r="A3818" s="51" t="s">
        <v>32288</v>
      </c>
      <c r="B3818" s="152"/>
      <c r="C3818" s="55"/>
      <c r="D3818" s="31"/>
    </row>
    <row r="3819">
      <c r="A3819" s="51" t="s">
        <v>32291</v>
      </c>
      <c r="B3819" s="152"/>
      <c r="C3819" s="55"/>
      <c r="D3819" s="31"/>
    </row>
    <row r="3820">
      <c r="A3820" s="51" t="s">
        <v>32293</v>
      </c>
      <c r="B3820" s="152"/>
      <c r="C3820" s="55"/>
      <c r="D3820" s="31"/>
    </row>
    <row r="3821">
      <c r="A3821" s="51" t="s">
        <v>32294</v>
      </c>
      <c r="B3821" s="152"/>
      <c r="C3821" s="55"/>
      <c r="D3821" s="31"/>
    </row>
    <row r="3822">
      <c r="A3822" s="51" t="s">
        <v>32295</v>
      </c>
      <c r="B3822" s="152"/>
      <c r="C3822" s="55"/>
      <c r="D3822" s="31"/>
    </row>
    <row r="3823">
      <c r="A3823" s="51" t="s">
        <v>32296</v>
      </c>
      <c r="B3823" s="152"/>
      <c r="C3823" s="55"/>
      <c r="D3823" s="31"/>
    </row>
    <row r="3824">
      <c r="A3824" s="51" t="s">
        <v>32298</v>
      </c>
      <c r="B3824" s="152"/>
      <c r="C3824" s="55"/>
      <c r="D3824" s="31"/>
    </row>
    <row r="3825">
      <c r="A3825" s="51" t="s">
        <v>32300</v>
      </c>
      <c r="B3825" s="152"/>
      <c r="C3825" s="55"/>
      <c r="D3825" s="31"/>
    </row>
    <row r="3826">
      <c r="A3826" s="51" t="s">
        <v>32302</v>
      </c>
      <c r="B3826" s="152"/>
      <c r="C3826" s="55"/>
      <c r="D3826" s="31"/>
    </row>
    <row r="3827">
      <c r="A3827" s="51" t="s">
        <v>32303</v>
      </c>
      <c r="B3827" s="152"/>
      <c r="C3827" s="55"/>
      <c r="D3827" s="31"/>
    </row>
    <row r="3828">
      <c r="A3828" s="51" t="s">
        <v>32304</v>
      </c>
      <c r="B3828" s="152"/>
      <c r="C3828" s="55"/>
      <c r="D3828" s="31"/>
    </row>
    <row r="3829">
      <c r="A3829" s="51" t="s">
        <v>32305</v>
      </c>
      <c r="B3829" s="152"/>
      <c r="C3829" s="55"/>
      <c r="D3829" s="31"/>
    </row>
    <row r="3830">
      <c r="A3830" s="51" t="s">
        <v>32306</v>
      </c>
      <c r="B3830" s="152"/>
      <c r="C3830" s="55"/>
      <c r="D3830" s="31"/>
    </row>
    <row r="3831">
      <c r="A3831" s="51" t="s">
        <v>32308</v>
      </c>
      <c r="B3831" s="152"/>
      <c r="C3831" s="55"/>
      <c r="D3831" s="31"/>
    </row>
    <row r="3832">
      <c r="A3832" s="51" t="s">
        <v>32310</v>
      </c>
      <c r="B3832" s="152"/>
      <c r="C3832" s="55"/>
      <c r="D3832" s="31"/>
    </row>
    <row r="3833">
      <c r="A3833" s="51" t="s">
        <v>32313</v>
      </c>
      <c r="B3833" s="152"/>
      <c r="C3833" s="55"/>
      <c r="D3833" s="31"/>
    </row>
    <row r="3834">
      <c r="A3834" s="51" t="s">
        <v>32315</v>
      </c>
      <c r="B3834" s="152"/>
      <c r="C3834" s="55"/>
      <c r="D3834" s="31"/>
    </row>
    <row r="3835">
      <c r="A3835" s="51" t="s">
        <v>32316</v>
      </c>
      <c r="B3835" s="152"/>
      <c r="C3835" s="55"/>
      <c r="D3835" s="31"/>
    </row>
    <row r="3836">
      <c r="A3836" s="51" t="s">
        <v>32317</v>
      </c>
      <c r="B3836" s="152"/>
      <c r="C3836" s="55"/>
      <c r="D3836" s="31"/>
    </row>
    <row r="3837">
      <c r="A3837" s="51" t="s">
        <v>32318</v>
      </c>
      <c r="B3837" s="152"/>
      <c r="C3837" s="55"/>
      <c r="D3837" s="31"/>
    </row>
    <row r="3838">
      <c r="A3838" s="51" t="s">
        <v>32319</v>
      </c>
      <c r="B3838" s="152"/>
      <c r="C3838" s="55"/>
      <c r="D3838" s="31"/>
    </row>
    <row r="3839">
      <c r="A3839" s="51" t="s">
        <v>32320</v>
      </c>
      <c r="B3839" s="152"/>
      <c r="C3839" s="55"/>
      <c r="D3839" s="31"/>
    </row>
    <row r="3840">
      <c r="A3840" s="51" t="s">
        <v>32323</v>
      </c>
      <c r="B3840" s="152"/>
      <c r="C3840" s="55"/>
      <c r="D3840" s="31"/>
    </row>
    <row r="3841">
      <c r="A3841" s="51" t="s">
        <v>32325</v>
      </c>
      <c r="B3841" s="152"/>
      <c r="C3841" s="55"/>
      <c r="D3841" s="31"/>
    </row>
    <row r="3842">
      <c r="A3842" s="51" t="s">
        <v>32326</v>
      </c>
      <c r="B3842" s="152"/>
      <c r="C3842" s="55"/>
      <c r="D3842" s="31"/>
    </row>
    <row r="3843">
      <c r="A3843" s="51" t="s">
        <v>32327</v>
      </c>
      <c r="B3843" s="152"/>
      <c r="C3843" s="55"/>
      <c r="D3843" s="31"/>
    </row>
    <row r="3844">
      <c r="A3844" s="51" t="s">
        <v>32328</v>
      </c>
      <c r="B3844" s="152"/>
      <c r="C3844" s="55"/>
      <c r="D3844" s="31"/>
    </row>
    <row r="3845">
      <c r="A3845" s="51" t="s">
        <v>32329</v>
      </c>
      <c r="B3845" s="152"/>
      <c r="C3845" s="55"/>
      <c r="D3845" s="31"/>
    </row>
    <row r="3846">
      <c r="A3846" s="51" t="s">
        <v>32331</v>
      </c>
      <c r="B3846" s="152"/>
      <c r="C3846" s="55"/>
      <c r="D3846" s="31"/>
    </row>
    <row r="3847">
      <c r="A3847" s="51" t="s">
        <v>32332</v>
      </c>
      <c r="B3847" s="152"/>
      <c r="C3847" s="55"/>
      <c r="D3847" s="31"/>
    </row>
    <row r="3848">
      <c r="A3848" s="51" t="s">
        <v>32333</v>
      </c>
      <c r="B3848" s="152"/>
      <c r="C3848" s="55"/>
      <c r="D3848" s="31"/>
    </row>
    <row r="3849">
      <c r="A3849" s="51" t="s">
        <v>32334</v>
      </c>
      <c r="B3849" s="152"/>
      <c r="C3849" s="55"/>
      <c r="D3849" s="31"/>
    </row>
    <row r="3850">
      <c r="A3850" s="51" t="s">
        <v>32336</v>
      </c>
      <c r="B3850" s="152"/>
      <c r="C3850" s="55"/>
      <c r="D3850" s="31"/>
    </row>
    <row r="3851">
      <c r="A3851" s="51" t="s">
        <v>32337</v>
      </c>
      <c r="B3851" s="152"/>
      <c r="C3851" s="55"/>
      <c r="D3851" s="31"/>
    </row>
    <row r="3852">
      <c r="A3852" s="51" t="s">
        <v>32339</v>
      </c>
      <c r="B3852" s="152"/>
      <c r="C3852" s="55"/>
      <c r="D3852" s="31"/>
    </row>
    <row r="3853">
      <c r="A3853" s="51" t="s">
        <v>32341</v>
      </c>
      <c r="B3853" s="152"/>
      <c r="C3853" s="55"/>
      <c r="D3853" s="31"/>
    </row>
    <row r="3854">
      <c r="A3854" s="51" t="s">
        <v>32342</v>
      </c>
      <c r="B3854" s="152"/>
      <c r="C3854" s="55"/>
      <c r="D3854" s="31"/>
    </row>
    <row r="3855">
      <c r="A3855" s="51" t="s">
        <v>32344</v>
      </c>
      <c r="B3855" s="152"/>
      <c r="C3855" s="55"/>
      <c r="D3855" s="31"/>
    </row>
    <row r="3856">
      <c r="A3856" s="51" t="s">
        <v>32345</v>
      </c>
      <c r="B3856" s="152"/>
      <c r="C3856" s="55"/>
      <c r="D3856" s="31"/>
    </row>
    <row r="3857">
      <c r="A3857" s="51" t="s">
        <v>32346</v>
      </c>
      <c r="B3857" s="152"/>
      <c r="C3857" s="55"/>
      <c r="D3857" s="31"/>
    </row>
    <row r="3858">
      <c r="A3858" s="51" t="s">
        <v>32348</v>
      </c>
      <c r="B3858" s="152"/>
      <c r="C3858" s="55"/>
      <c r="D3858" s="31"/>
    </row>
    <row r="3859">
      <c r="A3859" s="51" t="s">
        <v>32350</v>
      </c>
      <c r="B3859" s="152"/>
      <c r="C3859" s="55"/>
      <c r="D3859" s="31"/>
    </row>
    <row r="3860">
      <c r="A3860" s="51" t="s">
        <v>32353</v>
      </c>
      <c r="B3860" s="152"/>
      <c r="C3860" s="55"/>
      <c r="D3860" s="31"/>
    </row>
    <row r="3861">
      <c r="A3861" s="51" t="s">
        <v>32355</v>
      </c>
      <c r="B3861" s="152"/>
      <c r="C3861" s="55"/>
      <c r="D3861" s="31"/>
    </row>
    <row r="3862">
      <c r="A3862" s="51" t="s">
        <v>32356</v>
      </c>
      <c r="B3862" s="152"/>
      <c r="C3862" s="55"/>
      <c r="D3862" s="31"/>
    </row>
    <row r="3863">
      <c r="A3863" s="51" t="s">
        <v>32357</v>
      </c>
      <c r="B3863" s="152"/>
      <c r="C3863" s="55"/>
      <c r="D3863" s="31"/>
    </row>
    <row r="3864">
      <c r="A3864" s="51" t="s">
        <v>32359</v>
      </c>
      <c r="B3864" s="152"/>
      <c r="C3864" s="55"/>
      <c r="D3864" s="31"/>
    </row>
    <row r="3865">
      <c r="A3865" s="51" t="s">
        <v>32360</v>
      </c>
      <c r="B3865" s="152"/>
      <c r="C3865" s="55"/>
      <c r="D3865" s="31"/>
    </row>
    <row r="3866">
      <c r="A3866" s="51" t="s">
        <v>32362</v>
      </c>
      <c r="B3866" s="152"/>
      <c r="C3866" s="55"/>
      <c r="D3866" s="31"/>
    </row>
    <row r="3867">
      <c r="A3867" s="51" t="s">
        <v>32364</v>
      </c>
      <c r="B3867" s="152"/>
      <c r="C3867" s="55"/>
      <c r="D3867" s="31"/>
    </row>
    <row r="3868">
      <c r="A3868" s="51" t="s">
        <v>32365</v>
      </c>
      <c r="B3868" s="152"/>
      <c r="C3868" s="55"/>
      <c r="D3868" s="31"/>
    </row>
    <row r="3869">
      <c r="A3869" s="51" t="s">
        <v>32367</v>
      </c>
      <c r="B3869" s="152"/>
      <c r="C3869" s="55"/>
      <c r="D3869" s="31"/>
    </row>
    <row r="3870">
      <c r="A3870" s="51" t="s">
        <v>32368</v>
      </c>
      <c r="B3870" s="152"/>
      <c r="C3870" s="55"/>
      <c r="D3870" s="31"/>
    </row>
    <row r="3871">
      <c r="A3871" s="51" t="s">
        <v>32370</v>
      </c>
      <c r="B3871" s="152"/>
      <c r="C3871" s="55"/>
      <c r="D3871" s="31"/>
    </row>
    <row r="3872">
      <c r="A3872" s="51" t="s">
        <v>32371</v>
      </c>
      <c r="B3872" s="152"/>
      <c r="C3872" s="55"/>
      <c r="D3872" s="31"/>
    </row>
    <row r="3873">
      <c r="A3873" s="51" t="s">
        <v>32372</v>
      </c>
      <c r="B3873" s="152"/>
      <c r="C3873" s="55"/>
      <c r="D3873" s="31"/>
    </row>
    <row r="3874">
      <c r="A3874" s="51" t="s">
        <v>32374</v>
      </c>
      <c r="B3874" s="152"/>
      <c r="C3874" s="55"/>
      <c r="D3874" s="31"/>
    </row>
    <row r="3875">
      <c r="A3875" s="51" t="s">
        <v>32375</v>
      </c>
      <c r="B3875" s="152"/>
      <c r="C3875" s="55"/>
      <c r="D3875" s="31"/>
    </row>
    <row r="3876">
      <c r="A3876" s="51" t="s">
        <v>32377</v>
      </c>
      <c r="B3876" s="152"/>
      <c r="C3876" s="55"/>
      <c r="D3876" s="31"/>
    </row>
    <row r="3877">
      <c r="A3877" s="51" t="s">
        <v>32379</v>
      </c>
      <c r="B3877" s="152"/>
      <c r="C3877" s="55"/>
      <c r="D3877" s="31"/>
    </row>
    <row r="3878">
      <c r="A3878" s="51" t="s">
        <v>32380</v>
      </c>
      <c r="B3878" s="152"/>
      <c r="C3878" s="55"/>
      <c r="D3878" s="31"/>
    </row>
    <row r="3879">
      <c r="A3879" s="51" t="s">
        <v>32382</v>
      </c>
      <c r="B3879" s="152"/>
      <c r="C3879" s="55"/>
      <c r="D3879" s="31"/>
    </row>
    <row r="3880">
      <c r="A3880" s="51" t="s">
        <v>32383</v>
      </c>
      <c r="B3880" s="152"/>
      <c r="C3880" s="55"/>
      <c r="D3880" s="31"/>
    </row>
    <row r="3881">
      <c r="A3881" s="51" t="s">
        <v>32384</v>
      </c>
      <c r="B3881" s="152"/>
      <c r="C3881" s="55"/>
      <c r="D3881" s="31"/>
    </row>
    <row r="3882">
      <c r="A3882" s="51" t="s">
        <v>32385</v>
      </c>
      <c r="B3882" s="152"/>
      <c r="C3882" s="55"/>
      <c r="D3882" s="31"/>
    </row>
    <row r="3883">
      <c r="A3883" s="51" t="s">
        <v>32389</v>
      </c>
      <c r="B3883" s="152"/>
      <c r="C3883" s="55"/>
      <c r="D3883" s="31"/>
    </row>
    <row r="3884">
      <c r="A3884" s="51" t="s">
        <v>32390</v>
      </c>
      <c r="B3884" s="152"/>
      <c r="C3884" s="55"/>
      <c r="D3884" s="31"/>
    </row>
    <row r="3885">
      <c r="A3885" s="51" t="s">
        <v>32391</v>
      </c>
      <c r="B3885" s="152"/>
      <c r="C3885" s="55"/>
      <c r="D3885" s="31"/>
    </row>
    <row r="3886">
      <c r="A3886" s="51" t="s">
        <v>32392</v>
      </c>
      <c r="B3886" s="152"/>
      <c r="C3886" s="55"/>
      <c r="D3886" s="31"/>
    </row>
    <row r="3887">
      <c r="A3887" s="51" t="s">
        <v>32394</v>
      </c>
      <c r="B3887" s="152"/>
      <c r="C3887" s="55"/>
      <c r="D3887" s="31"/>
    </row>
    <row r="3888">
      <c r="A3888" s="51" t="s">
        <v>32395</v>
      </c>
      <c r="B3888" s="152"/>
      <c r="C3888" s="55"/>
      <c r="D3888" s="31"/>
    </row>
    <row r="3889">
      <c r="A3889" s="51" t="s">
        <v>32397</v>
      </c>
      <c r="B3889" s="152"/>
      <c r="C3889" s="55"/>
      <c r="D3889" s="31"/>
    </row>
    <row r="3890">
      <c r="A3890" s="51" t="s">
        <v>32399</v>
      </c>
      <c r="B3890" s="152"/>
      <c r="C3890" s="55"/>
      <c r="D3890" s="31"/>
    </row>
    <row r="3891">
      <c r="A3891" s="51" t="s">
        <v>32400</v>
      </c>
      <c r="B3891" s="152"/>
      <c r="C3891" s="55"/>
      <c r="D3891" s="31"/>
    </row>
    <row r="3892">
      <c r="A3892" s="51" t="s">
        <v>32401</v>
      </c>
      <c r="B3892" s="152"/>
      <c r="C3892" s="55"/>
      <c r="D3892" s="31"/>
    </row>
    <row r="3893">
      <c r="A3893" s="51" t="s">
        <v>32402</v>
      </c>
      <c r="B3893" s="152"/>
      <c r="C3893" s="55"/>
      <c r="D3893" s="31"/>
    </row>
    <row r="3894">
      <c r="A3894" s="51" t="s">
        <v>32403</v>
      </c>
      <c r="B3894" s="152"/>
      <c r="C3894" s="55"/>
      <c r="D3894" s="31"/>
    </row>
    <row r="3895">
      <c r="A3895" s="51" t="s">
        <v>32404</v>
      </c>
      <c r="B3895" s="152"/>
      <c r="C3895" s="55"/>
      <c r="D3895" s="31"/>
    </row>
    <row r="3896">
      <c r="A3896" s="51" t="s">
        <v>32406</v>
      </c>
      <c r="B3896" s="152"/>
      <c r="C3896" s="55"/>
      <c r="D3896" s="31"/>
    </row>
    <row r="3897">
      <c r="A3897" s="51" t="s">
        <v>32409</v>
      </c>
      <c r="B3897" s="152"/>
      <c r="C3897" s="55"/>
      <c r="D3897" s="31"/>
    </row>
    <row r="3898">
      <c r="A3898" s="51" t="s">
        <v>32410</v>
      </c>
      <c r="B3898" s="152"/>
      <c r="C3898" s="55"/>
      <c r="D3898" s="31"/>
    </row>
    <row r="3899">
      <c r="A3899" s="51" t="s">
        <v>32411</v>
      </c>
      <c r="B3899" s="152"/>
      <c r="C3899" s="55"/>
      <c r="D3899" s="31"/>
    </row>
    <row r="3900">
      <c r="A3900" s="51" t="s">
        <v>32412</v>
      </c>
      <c r="B3900" s="152"/>
      <c r="C3900" s="55"/>
      <c r="D3900" s="31"/>
    </row>
    <row r="3901">
      <c r="A3901" s="51" t="s">
        <v>32413</v>
      </c>
      <c r="B3901" s="152"/>
      <c r="C3901" s="55"/>
      <c r="D3901" s="31"/>
    </row>
    <row r="3902">
      <c r="A3902" s="51" t="s">
        <v>32414</v>
      </c>
      <c r="B3902" s="152"/>
      <c r="C3902" s="55"/>
      <c r="D3902" s="31"/>
    </row>
    <row r="3903">
      <c r="A3903" s="51" t="s">
        <v>32418</v>
      </c>
      <c r="B3903" s="152"/>
      <c r="C3903" s="55"/>
      <c r="D3903" s="31"/>
    </row>
    <row r="3904">
      <c r="A3904" s="51" t="s">
        <v>32419</v>
      </c>
      <c r="B3904" s="152"/>
      <c r="C3904" s="55"/>
      <c r="D3904" s="31"/>
    </row>
    <row r="3905">
      <c r="A3905" s="51" t="s">
        <v>32420</v>
      </c>
      <c r="B3905" s="152"/>
      <c r="C3905" s="55"/>
      <c r="D3905" s="31"/>
    </row>
    <row r="3906">
      <c r="A3906" s="51" t="s">
        <v>32421</v>
      </c>
      <c r="B3906" s="152"/>
      <c r="C3906" s="55"/>
      <c r="D3906" s="31"/>
    </row>
    <row r="3907">
      <c r="A3907" s="51" t="s">
        <v>32422</v>
      </c>
      <c r="B3907" s="152"/>
      <c r="C3907" s="55"/>
      <c r="D3907" s="31"/>
    </row>
    <row r="3908">
      <c r="A3908" s="51" t="s">
        <v>32423</v>
      </c>
      <c r="B3908" s="152"/>
      <c r="C3908" s="55"/>
      <c r="D3908" s="31"/>
    </row>
    <row r="3909">
      <c r="A3909" s="51" t="s">
        <v>32426</v>
      </c>
      <c r="B3909" s="152"/>
      <c r="C3909" s="55"/>
      <c r="D3909" s="31"/>
    </row>
    <row r="3910">
      <c r="A3910" s="51" t="s">
        <v>32428</v>
      </c>
      <c r="B3910" s="152"/>
      <c r="C3910" s="55"/>
      <c r="D3910" s="31"/>
    </row>
    <row r="3911">
      <c r="A3911" s="51" t="s">
        <v>32430</v>
      </c>
      <c r="B3911" s="152"/>
      <c r="C3911" s="55"/>
      <c r="D3911" s="31"/>
    </row>
    <row r="3912">
      <c r="A3912" s="51" t="s">
        <v>32431</v>
      </c>
      <c r="B3912" s="152"/>
      <c r="C3912" s="55"/>
      <c r="D3912" s="31"/>
    </row>
    <row r="3913">
      <c r="A3913" s="51" t="s">
        <v>32432</v>
      </c>
      <c r="B3913" s="152"/>
      <c r="C3913" s="55"/>
      <c r="D3913" s="31"/>
    </row>
    <row r="3914">
      <c r="A3914" s="51" t="s">
        <v>32433</v>
      </c>
      <c r="B3914" s="152"/>
      <c r="C3914" s="55"/>
      <c r="D3914" s="31"/>
    </row>
    <row r="3915">
      <c r="A3915" s="51" t="s">
        <v>32434</v>
      </c>
      <c r="B3915" s="152"/>
      <c r="C3915" s="55"/>
      <c r="D3915" s="31"/>
    </row>
    <row r="3916">
      <c r="A3916" s="51" t="s">
        <v>32437</v>
      </c>
      <c r="B3916" s="152"/>
      <c r="C3916" s="55"/>
      <c r="D3916" s="31"/>
    </row>
    <row r="3917">
      <c r="A3917" s="51" t="s">
        <v>32438</v>
      </c>
      <c r="B3917" s="152"/>
      <c r="C3917" s="55"/>
      <c r="D3917" s="31"/>
    </row>
    <row r="3918">
      <c r="A3918" s="51" t="s">
        <v>32439</v>
      </c>
      <c r="B3918" s="152"/>
      <c r="C3918" s="55"/>
      <c r="D3918" s="31"/>
    </row>
    <row r="3919">
      <c r="A3919" s="51" t="s">
        <v>32440</v>
      </c>
      <c r="B3919" s="152"/>
      <c r="C3919" s="55"/>
      <c r="D3919" s="31"/>
    </row>
    <row r="3920">
      <c r="A3920" s="51" t="s">
        <v>32442</v>
      </c>
      <c r="B3920" s="152"/>
      <c r="C3920" s="55"/>
      <c r="D3920" s="31"/>
    </row>
    <row r="3921">
      <c r="A3921" s="51" t="s">
        <v>32443</v>
      </c>
      <c r="B3921" s="152"/>
      <c r="C3921" s="55"/>
      <c r="D3921" s="31"/>
    </row>
    <row r="3922">
      <c r="A3922" s="51" t="s">
        <v>32446</v>
      </c>
      <c r="B3922" s="152"/>
      <c r="C3922" s="55"/>
      <c r="D3922" s="31"/>
    </row>
    <row r="3923">
      <c r="A3923" s="51" t="s">
        <v>32449</v>
      </c>
      <c r="B3923" s="152"/>
      <c r="C3923" s="55"/>
      <c r="D3923" s="31"/>
    </row>
    <row r="3924">
      <c r="A3924" s="51" t="s">
        <v>32450</v>
      </c>
      <c r="B3924" s="152"/>
      <c r="C3924" s="55"/>
      <c r="D3924" s="31"/>
    </row>
    <row r="3925">
      <c r="A3925" s="51" t="s">
        <v>32451</v>
      </c>
      <c r="B3925" s="152"/>
      <c r="C3925" s="55"/>
      <c r="D3925" s="31"/>
    </row>
    <row r="3926">
      <c r="A3926" s="51" t="s">
        <v>32452</v>
      </c>
      <c r="B3926" s="152"/>
      <c r="C3926" s="55"/>
      <c r="D3926" s="31"/>
    </row>
    <row r="3927">
      <c r="A3927" s="51" t="s">
        <v>32453</v>
      </c>
      <c r="B3927" s="152"/>
      <c r="C3927" s="55"/>
      <c r="D3927" s="31"/>
    </row>
    <row r="3928">
      <c r="A3928" s="51" t="s">
        <v>32454</v>
      </c>
      <c r="B3928" s="152"/>
      <c r="C3928" s="55"/>
      <c r="D3928" s="31"/>
    </row>
    <row r="3929">
      <c r="A3929" s="51" t="s">
        <v>32457</v>
      </c>
      <c r="B3929" s="152"/>
      <c r="C3929" s="55"/>
      <c r="D3929" s="31"/>
    </row>
    <row r="3930">
      <c r="A3930" s="51" t="s">
        <v>32459</v>
      </c>
      <c r="B3930" s="152"/>
      <c r="C3930" s="55"/>
      <c r="D3930" s="31"/>
    </row>
    <row r="3931">
      <c r="A3931" s="51" t="s">
        <v>32460</v>
      </c>
      <c r="B3931" s="152"/>
      <c r="C3931" s="55"/>
      <c r="D3931" s="31"/>
    </row>
    <row r="3932">
      <c r="A3932" s="51" t="s">
        <v>32461</v>
      </c>
      <c r="B3932" s="152"/>
      <c r="C3932" s="55"/>
      <c r="D3932" s="31"/>
    </row>
    <row r="3933">
      <c r="A3933" s="51" t="s">
        <v>32462</v>
      </c>
      <c r="B3933" s="152"/>
      <c r="C3933" s="55"/>
      <c r="D3933" s="31"/>
    </row>
    <row r="3934">
      <c r="A3934" s="51" t="s">
        <v>32464</v>
      </c>
      <c r="B3934" s="152"/>
      <c r="C3934" s="55"/>
      <c r="D3934" s="31"/>
    </row>
    <row r="3935">
      <c r="A3935" s="51" t="s">
        <v>32466</v>
      </c>
      <c r="B3935" s="152"/>
      <c r="C3935" s="55"/>
      <c r="D3935" s="31"/>
    </row>
    <row r="3936">
      <c r="A3936" s="51" t="s">
        <v>32467</v>
      </c>
      <c r="B3936" s="152"/>
      <c r="C3936" s="55"/>
      <c r="D3936" s="31"/>
    </row>
    <row r="3937">
      <c r="A3937" s="51" t="s">
        <v>32468</v>
      </c>
      <c r="B3937" s="152"/>
      <c r="C3937" s="55"/>
      <c r="D3937" s="31"/>
    </row>
    <row r="3938">
      <c r="A3938" s="51" t="s">
        <v>32469</v>
      </c>
      <c r="B3938" s="152"/>
      <c r="C3938" s="55"/>
      <c r="D3938" s="31"/>
    </row>
    <row r="3939">
      <c r="A3939" s="51" t="s">
        <v>32470</v>
      </c>
      <c r="B3939" s="152"/>
      <c r="C3939" s="55"/>
      <c r="D3939" s="31"/>
    </row>
    <row r="3940">
      <c r="A3940" s="51" t="s">
        <v>32471</v>
      </c>
      <c r="B3940" s="152"/>
      <c r="C3940" s="55"/>
      <c r="D3940" s="31"/>
    </row>
    <row r="3941">
      <c r="A3941" s="51" t="s">
        <v>32473</v>
      </c>
      <c r="B3941" s="152"/>
      <c r="C3941" s="55"/>
      <c r="D3941" s="31"/>
    </row>
    <row r="3942">
      <c r="A3942" s="51" t="s">
        <v>32475</v>
      </c>
      <c r="B3942" s="152"/>
      <c r="C3942" s="55"/>
      <c r="D3942" s="31"/>
    </row>
    <row r="3943">
      <c r="A3943" s="51" t="s">
        <v>32476</v>
      </c>
      <c r="B3943" s="152"/>
      <c r="C3943" s="55"/>
      <c r="D3943" s="31"/>
    </row>
    <row r="3944">
      <c r="A3944" s="51" t="s">
        <v>32477</v>
      </c>
      <c r="B3944" s="152"/>
      <c r="C3944" s="55"/>
      <c r="D3944" s="31"/>
    </row>
    <row r="3945">
      <c r="A3945" s="51" t="s">
        <v>32478</v>
      </c>
      <c r="B3945" s="152"/>
      <c r="C3945" s="55"/>
      <c r="D3945" s="31"/>
    </row>
    <row r="3946">
      <c r="A3946" s="51" t="s">
        <v>32479</v>
      </c>
      <c r="B3946" s="152"/>
      <c r="C3946" s="55"/>
      <c r="D3946" s="31"/>
    </row>
    <row r="3947">
      <c r="A3947" s="51" t="s">
        <v>32482</v>
      </c>
      <c r="B3947" s="152"/>
      <c r="C3947" s="55"/>
      <c r="D3947" s="31"/>
    </row>
    <row r="3948">
      <c r="A3948" s="51" t="s">
        <v>32483</v>
      </c>
      <c r="B3948" s="152"/>
      <c r="C3948" s="55"/>
      <c r="D3948" s="31"/>
    </row>
    <row r="3949">
      <c r="A3949" s="51" t="s">
        <v>32484</v>
      </c>
      <c r="B3949" s="152"/>
      <c r="C3949" s="55"/>
      <c r="D3949" s="31"/>
    </row>
    <row r="3950">
      <c r="A3950" s="51" t="s">
        <v>32485</v>
      </c>
      <c r="B3950" s="152"/>
      <c r="C3950" s="55"/>
      <c r="D3950" s="31"/>
    </row>
    <row r="3951">
      <c r="A3951" s="51" t="s">
        <v>32486</v>
      </c>
      <c r="B3951" s="152"/>
      <c r="C3951" s="55"/>
      <c r="D3951" s="31"/>
    </row>
    <row r="3952">
      <c r="A3952" s="51" t="s">
        <v>32487</v>
      </c>
      <c r="B3952" s="152"/>
      <c r="C3952" s="55"/>
      <c r="D3952" s="31"/>
    </row>
    <row r="3953">
      <c r="A3953" s="51" t="s">
        <v>32489</v>
      </c>
      <c r="B3953" s="152"/>
      <c r="C3953" s="55"/>
      <c r="D3953" s="31"/>
    </row>
    <row r="3954">
      <c r="A3954" s="51" t="s">
        <v>32492</v>
      </c>
      <c r="B3954" s="152"/>
      <c r="C3954" s="55"/>
      <c r="D3954" s="31"/>
    </row>
    <row r="3955">
      <c r="A3955" s="51" t="s">
        <v>32493</v>
      </c>
      <c r="B3955" s="152"/>
      <c r="C3955" s="55"/>
      <c r="D3955" s="31"/>
    </row>
    <row r="3956">
      <c r="A3956" s="51" t="s">
        <v>32494</v>
      </c>
      <c r="B3956" s="152"/>
      <c r="C3956" s="55"/>
      <c r="D3956" s="31"/>
    </row>
    <row r="3957">
      <c r="A3957" s="51" t="s">
        <v>32495</v>
      </c>
      <c r="B3957" s="152"/>
      <c r="C3957" s="55"/>
      <c r="D3957" s="31"/>
    </row>
    <row r="3958">
      <c r="A3958" s="51" t="s">
        <v>32496</v>
      </c>
      <c r="B3958" s="152"/>
      <c r="C3958" s="55"/>
      <c r="D3958" s="31"/>
    </row>
    <row r="3959">
      <c r="A3959" s="51" t="s">
        <v>32497</v>
      </c>
      <c r="B3959" s="152"/>
      <c r="C3959" s="55"/>
      <c r="D3959" s="31"/>
    </row>
    <row r="3960">
      <c r="A3960" s="51" t="s">
        <v>32501</v>
      </c>
      <c r="B3960" s="152"/>
      <c r="C3960" s="55"/>
      <c r="D3960" s="31"/>
    </row>
    <row r="3961">
      <c r="A3961" s="51" t="s">
        <v>32502</v>
      </c>
      <c r="B3961" s="152"/>
      <c r="C3961" s="55"/>
      <c r="D3961" s="31"/>
    </row>
    <row r="3962">
      <c r="A3962" s="51" t="s">
        <v>32503</v>
      </c>
      <c r="B3962" s="152"/>
      <c r="C3962" s="55"/>
      <c r="D3962" s="31"/>
    </row>
    <row r="3963">
      <c r="A3963" s="51" t="s">
        <v>32504</v>
      </c>
      <c r="B3963" s="152"/>
      <c r="C3963" s="55"/>
      <c r="D3963" s="31"/>
    </row>
    <row r="3964">
      <c r="A3964" s="51" t="s">
        <v>32505</v>
      </c>
      <c r="B3964" s="152"/>
      <c r="C3964" s="55"/>
      <c r="D3964" s="31"/>
    </row>
    <row r="3965">
      <c r="A3965" s="51" t="s">
        <v>32507</v>
      </c>
      <c r="B3965" s="152"/>
      <c r="C3965" s="55"/>
      <c r="D3965" s="31"/>
    </row>
    <row r="3966">
      <c r="A3966" s="51" t="s">
        <v>32509</v>
      </c>
      <c r="B3966" s="152"/>
      <c r="C3966" s="55"/>
      <c r="D3966" s="31"/>
    </row>
    <row r="3967">
      <c r="A3967" s="51" t="s">
        <v>32511</v>
      </c>
      <c r="B3967" s="152"/>
      <c r="C3967" s="55"/>
      <c r="D3967" s="31"/>
    </row>
    <row r="3968">
      <c r="A3968" s="51" t="s">
        <v>32512</v>
      </c>
      <c r="B3968" s="152"/>
      <c r="C3968" s="55"/>
      <c r="D3968" s="31"/>
    </row>
    <row r="3969">
      <c r="A3969" s="51" t="s">
        <v>32513</v>
      </c>
      <c r="B3969" s="152"/>
      <c r="C3969" s="55"/>
      <c r="D3969" s="31"/>
    </row>
    <row r="3970">
      <c r="A3970" s="51" t="s">
        <v>32514</v>
      </c>
      <c r="B3970" s="152"/>
      <c r="C3970" s="55"/>
      <c r="D3970" s="31"/>
    </row>
    <row r="3971">
      <c r="A3971" s="51" t="s">
        <v>32516</v>
      </c>
      <c r="B3971" s="152"/>
      <c r="C3971" s="55"/>
      <c r="D3971" s="31"/>
    </row>
    <row r="3972">
      <c r="A3972" s="51" t="s">
        <v>32517</v>
      </c>
      <c r="B3972" s="152"/>
      <c r="C3972" s="55"/>
      <c r="D3972" s="31"/>
    </row>
    <row r="3973">
      <c r="A3973" s="51" t="s">
        <v>32518</v>
      </c>
      <c r="B3973" s="152"/>
      <c r="C3973" s="55"/>
      <c r="D3973" s="31"/>
    </row>
    <row r="3974">
      <c r="A3974" s="51" t="s">
        <v>32520</v>
      </c>
      <c r="B3974" s="152"/>
      <c r="C3974" s="55"/>
      <c r="D3974" s="31"/>
    </row>
    <row r="3975">
      <c r="A3975" s="51" t="s">
        <v>32522</v>
      </c>
      <c r="B3975" s="152"/>
      <c r="C3975" s="55"/>
      <c r="D3975" s="31"/>
    </row>
    <row r="3976">
      <c r="A3976" s="51" t="s">
        <v>32523</v>
      </c>
      <c r="B3976" s="152"/>
      <c r="C3976" s="55"/>
      <c r="D3976" s="31"/>
    </row>
    <row r="3977">
      <c r="A3977" s="51" t="s">
        <v>32525</v>
      </c>
      <c r="B3977" s="152"/>
      <c r="C3977" s="55"/>
      <c r="D3977" s="31"/>
    </row>
    <row r="3978">
      <c r="A3978" s="51" t="s">
        <v>32526</v>
      </c>
      <c r="B3978" s="152"/>
      <c r="C3978" s="55"/>
      <c r="D3978" s="31"/>
    </row>
    <row r="3979">
      <c r="A3979" s="51" t="s">
        <v>32527</v>
      </c>
      <c r="B3979" s="152"/>
      <c r="C3979" s="55"/>
      <c r="D3979" s="31"/>
    </row>
    <row r="3980">
      <c r="A3980" s="51" t="s">
        <v>32530</v>
      </c>
      <c r="B3980" s="152"/>
      <c r="C3980" s="55"/>
      <c r="D3980" s="31"/>
    </row>
    <row r="3981">
      <c r="A3981" s="51" t="s">
        <v>32532</v>
      </c>
      <c r="B3981" s="152"/>
      <c r="C3981" s="55"/>
      <c r="D3981" s="31"/>
    </row>
    <row r="3982">
      <c r="A3982" s="51" t="s">
        <v>32533</v>
      </c>
      <c r="B3982" s="152"/>
      <c r="C3982" s="55"/>
      <c r="D3982" s="31"/>
    </row>
    <row r="3983">
      <c r="A3983" s="51" t="s">
        <v>32534</v>
      </c>
      <c r="B3983" s="152"/>
      <c r="C3983" s="55"/>
      <c r="D3983" s="31"/>
    </row>
    <row r="3984">
      <c r="A3984" s="51" t="s">
        <v>32535</v>
      </c>
      <c r="B3984" s="152"/>
      <c r="C3984" s="55"/>
      <c r="D3984" s="31"/>
    </row>
    <row r="3985">
      <c r="A3985" s="51" t="s">
        <v>32536</v>
      </c>
      <c r="B3985" s="152"/>
      <c r="C3985" s="55"/>
      <c r="D3985" s="31"/>
    </row>
    <row r="3986">
      <c r="A3986" s="51" t="s">
        <v>32538</v>
      </c>
      <c r="B3986" s="152"/>
      <c r="C3986" s="55"/>
      <c r="D3986" s="31"/>
    </row>
    <row r="3987">
      <c r="A3987" s="51" t="s">
        <v>32540</v>
      </c>
      <c r="B3987" s="152"/>
      <c r="C3987" s="55"/>
      <c r="D3987" s="31"/>
    </row>
    <row r="3988">
      <c r="A3988" s="51" t="s">
        <v>32543</v>
      </c>
      <c r="B3988" s="152"/>
      <c r="C3988" s="55"/>
      <c r="D3988" s="31"/>
    </row>
    <row r="3989">
      <c r="A3989" s="51" t="s">
        <v>32545</v>
      </c>
      <c r="B3989" s="152"/>
      <c r="C3989" s="55"/>
      <c r="D3989" s="31"/>
    </row>
    <row r="3990">
      <c r="A3990" s="51" t="s">
        <v>32547</v>
      </c>
      <c r="B3990" s="152"/>
      <c r="C3990" s="55"/>
      <c r="D3990" s="31"/>
    </row>
    <row r="3991">
      <c r="A3991" s="51" t="s">
        <v>32548</v>
      </c>
      <c r="B3991" s="152"/>
      <c r="C3991" s="55"/>
      <c r="D3991" s="31"/>
    </row>
    <row r="3992">
      <c r="A3992" s="51" t="s">
        <v>32550</v>
      </c>
      <c r="B3992" s="152"/>
      <c r="C3992" s="55"/>
      <c r="D3992" s="31"/>
    </row>
    <row r="3993">
      <c r="A3993" s="51" t="s">
        <v>32552</v>
      </c>
      <c r="B3993" s="152"/>
      <c r="C3993" s="55"/>
      <c r="D3993" s="31"/>
    </row>
    <row r="3994">
      <c r="A3994" s="51" t="s">
        <v>32554</v>
      </c>
      <c r="B3994" s="152"/>
      <c r="C3994" s="55"/>
      <c r="D3994" s="31"/>
    </row>
    <row r="3995">
      <c r="A3995" s="51" t="s">
        <v>32556</v>
      </c>
      <c r="B3995" s="152"/>
      <c r="C3995" s="55"/>
      <c r="D3995" s="31"/>
    </row>
    <row r="3996">
      <c r="A3996" s="51" t="s">
        <v>32558</v>
      </c>
      <c r="B3996" s="152"/>
      <c r="C3996" s="55"/>
      <c r="D3996" s="31"/>
    </row>
    <row r="3997">
      <c r="A3997" s="51" t="s">
        <v>32559</v>
      </c>
      <c r="B3997" s="152"/>
      <c r="C3997" s="55"/>
      <c r="D3997" s="31"/>
    </row>
    <row r="3998">
      <c r="A3998" s="51" t="s">
        <v>32560</v>
      </c>
      <c r="B3998" s="152"/>
      <c r="C3998" s="55"/>
      <c r="D3998" s="31"/>
    </row>
    <row r="3999">
      <c r="A3999" s="51" t="s">
        <v>32561</v>
      </c>
      <c r="B3999" s="152"/>
      <c r="C3999" s="55"/>
      <c r="D3999" s="31"/>
    </row>
    <row r="4000">
      <c r="A4000" s="51" t="s">
        <v>32562</v>
      </c>
      <c r="B4000" s="152"/>
      <c r="C4000" s="55"/>
      <c r="D4000" s="31"/>
    </row>
    <row r="4001">
      <c r="A4001" s="51" t="s">
        <v>32565</v>
      </c>
      <c r="B4001" s="152"/>
      <c r="C4001" s="55"/>
      <c r="D4001" s="31"/>
    </row>
    <row r="4002">
      <c r="A4002" s="51" t="s">
        <v>32567</v>
      </c>
      <c r="B4002" s="152"/>
      <c r="C4002" s="55"/>
      <c r="D4002" s="31"/>
    </row>
    <row r="4003">
      <c r="A4003" s="51" t="s">
        <v>32568</v>
      </c>
      <c r="B4003" s="152"/>
      <c r="C4003" s="55"/>
      <c r="D4003" s="31"/>
    </row>
    <row r="4004">
      <c r="A4004" s="51" t="s">
        <v>32569</v>
      </c>
      <c r="B4004" s="152"/>
      <c r="C4004" s="55"/>
      <c r="D4004" s="31"/>
    </row>
    <row r="4005">
      <c r="A4005" s="51" t="s">
        <v>32570</v>
      </c>
      <c r="B4005" s="152"/>
      <c r="C4005" s="55"/>
      <c r="D4005" s="31"/>
    </row>
    <row r="4006">
      <c r="A4006" s="51" t="s">
        <v>32571</v>
      </c>
      <c r="B4006" s="152"/>
      <c r="C4006" s="55"/>
      <c r="D4006" s="31"/>
    </row>
    <row r="4007">
      <c r="A4007" s="51" t="s">
        <v>32573</v>
      </c>
      <c r="B4007" s="152"/>
      <c r="C4007" s="55"/>
      <c r="D4007" s="31"/>
    </row>
    <row r="4008">
      <c r="A4008" s="51" t="s">
        <v>32574</v>
      </c>
      <c r="B4008" s="152"/>
      <c r="C4008" s="55"/>
      <c r="D4008" s="31"/>
    </row>
    <row r="4009">
      <c r="A4009" s="51" t="s">
        <v>32576</v>
      </c>
      <c r="B4009" s="152"/>
      <c r="C4009" s="55"/>
      <c r="D4009" s="31"/>
    </row>
    <row r="4010">
      <c r="A4010" s="51" t="s">
        <v>32577</v>
      </c>
      <c r="B4010" s="152"/>
      <c r="C4010" s="55"/>
      <c r="D4010" s="31"/>
    </row>
    <row r="4011">
      <c r="A4011" s="51" t="s">
        <v>32578</v>
      </c>
      <c r="B4011" s="152"/>
      <c r="C4011" s="55"/>
      <c r="D4011" s="31"/>
    </row>
    <row r="4012">
      <c r="A4012" s="51" t="s">
        <v>32579</v>
      </c>
      <c r="B4012" s="152"/>
      <c r="C4012" s="55"/>
      <c r="D4012" s="31"/>
    </row>
    <row r="4013">
      <c r="A4013" s="51" t="s">
        <v>32580</v>
      </c>
      <c r="B4013" s="152"/>
      <c r="C4013" s="55"/>
      <c r="D4013" s="31"/>
    </row>
    <row r="4014">
      <c r="A4014" s="51" t="s">
        <v>32583</v>
      </c>
      <c r="B4014" s="152"/>
      <c r="C4014" s="55"/>
      <c r="D4014" s="31"/>
    </row>
    <row r="4015">
      <c r="A4015" s="51" t="s">
        <v>32584</v>
      </c>
      <c r="B4015" s="152"/>
      <c r="C4015" s="55"/>
      <c r="D4015" s="31"/>
    </row>
    <row r="4016">
      <c r="A4016" s="51" t="s">
        <v>32586</v>
      </c>
      <c r="B4016" s="152"/>
      <c r="C4016" s="55"/>
      <c r="D4016" s="31"/>
    </row>
    <row r="4017">
      <c r="A4017" s="51" t="s">
        <v>32587</v>
      </c>
      <c r="B4017" s="152"/>
      <c r="C4017" s="55"/>
      <c r="D4017" s="31"/>
    </row>
    <row r="4018">
      <c r="A4018" s="51" t="s">
        <v>32588</v>
      </c>
      <c r="B4018" s="152"/>
      <c r="C4018" s="55"/>
      <c r="D4018" s="31"/>
    </row>
    <row r="4019">
      <c r="A4019" s="51" t="s">
        <v>32590</v>
      </c>
      <c r="B4019" s="152"/>
      <c r="C4019" s="55"/>
      <c r="D4019" s="31"/>
    </row>
    <row r="4020">
      <c r="A4020" s="51" t="s">
        <v>32591</v>
      </c>
      <c r="B4020" s="152"/>
      <c r="C4020" s="55"/>
      <c r="D4020" s="31"/>
    </row>
    <row r="4021">
      <c r="A4021" s="51" t="s">
        <v>32593</v>
      </c>
      <c r="B4021" s="152"/>
      <c r="C4021" s="55"/>
      <c r="D4021" s="31"/>
    </row>
    <row r="4022">
      <c r="A4022" s="51" t="s">
        <v>32594</v>
      </c>
      <c r="B4022" s="152"/>
      <c r="C4022" s="55"/>
      <c r="D4022" s="31"/>
    </row>
    <row r="4023">
      <c r="A4023" s="51" t="s">
        <v>32595</v>
      </c>
      <c r="B4023" s="152"/>
      <c r="C4023" s="55"/>
      <c r="D4023" s="31"/>
    </row>
    <row r="4024">
      <c r="A4024" s="51" t="s">
        <v>32596</v>
      </c>
      <c r="B4024" s="152"/>
      <c r="C4024" s="55"/>
      <c r="D4024" s="31"/>
    </row>
    <row r="4025">
      <c r="A4025" s="51" t="s">
        <v>32597</v>
      </c>
      <c r="B4025" s="152"/>
      <c r="C4025" s="55"/>
      <c r="D4025" s="31"/>
    </row>
    <row r="4026">
      <c r="A4026" s="51" t="s">
        <v>32600</v>
      </c>
      <c r="B4026" s="152"/>
      <c r="C4026" s="55"/>
      <c r="D4026" s="31"/>
    </row>
    <row r="4027">
      <c r="A4027" s="51" t="s">
        <v>32602</v>
      </c>
      <c r="B4027" s="152"/>
      <c r="C4027" s="55"/>
      <c r="D4027" s="31"/>
    </row>
    <row r="4028">
      <c r="A4028" s="51" t="s">
        <v>32603</v>
      </c>
      <c r="B4028" s="152"/>
      <c r="C4028" s="55"/>
      <c r="D4028" s="31"/>
    </row>
    <row r="4029">
      <c r="A4029" s="51" t="s">
        <v>32604</v>
      </c>
      <c r="B4029" s="152"/>
      <c r="C4029" s="55"/>
      <c r="D4029" s="31"/>
    </row>
    <row r="4030">
      <c r="A4030" s="51" t="s">
        <v>32605</v>
      </c>
      <c r="B4030" s="152"/>
      <c r="C4030" s="55"/>
      <c r="D4030" s="31"/>
    </row>
    <row r="4031">
      <c r="A4031" s="51" t="s">
        <v>32606</v>
      </c>
      <c r="B4031" s="152"/>
      <c r="C4031" s="55"/>
      <c r="D4031" s="31"/>
    </row>
    <row r="4032">
      <c r="A4032" s="51" t="s">
        <v>32608</v>
      </c>
      <c r="B4032" s="152"/>
      <c r="C4032" s="55"/>
      <c r="D4032" s="31"/>
    </row>
    <row r="4033">
      <c r="A4033" s="51" t="s">
        <v>32610</v>
      </c>
      <c r="B4033" s="152"/>
      <c r="C4033" s="55"/>
      <c r="D4033" s="31"/>
    </row>
    <row r="4034">
      <c r="A4034" s="51" t="s">
        <v>32611</v>
      </c>
      <c r="B4034" s="152"/>
      <c r="C4034" s="55"/>
      <c r="D4034" s="31"/>
    </row>
    <row r="4035">
      <c r="A4035" s="51" t="s">
        <v>32612</v>
      </c>
      <c r="B4035" s="152"/>
      <c r="C4035" s="55"/>
      <c r="D4035" s="31"/>
    </row>
    <row r="4036">
      <c r="A4036" s="51" t="s">
        <v>32613</v>
      </c>
      <c r="B4036" s="152"/>
      <c r="C4036" s="55"/>
      <c r="D4036" s="31"/>
    </row>
    <row r="4037">
      <c r="A4037" s="51" t="s">
        <v>32615</v>
      </c>
      <c r="B4037" s="152"/>
      <c r="C4037" s="55"/>
      <c r="D4037" s="31"/>
    </row>
    <row r="4038">
      <c r="A4038" s="51" t="s">
        <v>32616</v>
      </c>
      <c r="B4038" s="152"/>
      <c r="C4038" s="55"/>
      <c r="D4038" s="31"/>
    </row>
    <row r="4039">
      <c r="A4039" s="51" t="s">
        <v>32619</v>
      </c>
      <c r="B4039" s="152"/>
      <c r="C4039" s="55"/>
      <c r="D4039" s="31"/>
    </row>
    <row r="4040">
      <c r="A4040" s="51" t="s">
        <v>32620</v>
      </c>
      <c r="B4040" s="152"/>
      <c r="C4040" s="55"/>
      <c r="D4040" s="31"/>
    </row>
    <row r="4041">
      <c r="A4041" s="51" t="s">
        <v>32621</v>
      </c>
      <c r="B4041" s="152"/>
      <c r="C4041" s="55"/>
      <c r="D4041" s="31"/>
    </row>
    <row r="4042">
      <c r="A4042" s="51" t="s">
        <v>32622</v>
      </c>
      <c r="B4042" s="152"/>
      <c r="C4042" s="55"/>
      <c r="D4042" s="31"/>
    </row>
    <row r="4043">
      <c r="A4043" s="51" t="s">
        <v>32624</v>
      </c>
      <c r="B4043" s="152"/>
      <c r="C4043" s="55"/>
      <c r="D4043" s="31"/>
    </row>
    <row r="4044">
      <c r="A4044" s="51" t="s">
        <v>32625</v>
      </c>
      <c r="B4044" s="152"/>
      <c r="C4044" s="55"/>
      <c r="D4044" s="31"/>
    </row>
    <row r="4045">
      <c r="A4045" s="51" t="s">
        <v>32627</v>
      </c>
      <c r="B4045" s="152"/>
      <c r="C4045" s="55"/>
      <c r="D4045" s="31"/>
    </row>
    <row r="4046">
      <c r="A4046" s="51" t="s">
        <v>32628</v>
      </c>
      <c r="B4046" s="152"/>
      <c r="C4046" s="55"/>
      <c r="D4046" s="31"/>
    </row>
    <row r="4047">
      <c r="A4047" s="51" t="s">
        <v>32629</v>
      </c>
      <c r="B4047" s="152"/>
      <c r="C4047" s="55"/>
      <c r="D4047" s="31"/>
    </row>
    <row r="4048">
      <c r="A4048" s="51" t="s">
        <v>32631</v>
      </c>
      <c r="B4048" s="152"/>
      <c r="C4048" s="55"/>
      <c r="D4048" s="31"/>
    </row>
    <row r="4049">
      <c r="A4049" s="51" t="s">
        <v>32632</v>
      </c>
      <c r="B4049" s="152"/>
      <c r="C4049" s="55"/>
      <c r="D4049" s="31"/>
    </row>
    <row r="4050">
      <c r="A4050" s="51" t="s">
        <v>32633</v>
      </c>
      <c r="B4050" s="152"/>
      <c r="C4050" s="55"/>
      <c r="D4050" s="31"/>
    </row>
    <row r="4051">
      <c r="A4051" s="51" t="s">
        <v>32634</v>
      </c>
      <c r="B4051" s="152"/>
      <c r="C4051" s="55"/>
      <c r="D4051" s="31"/>
    </row>
    <row r="4052">
      <c r="A4052" s="51" t="s">
        <v>32637</v>
      </c>
      <c r="B4052" s="152"/>
      <c r="C4052" s="55"/>
      <c r="D4052" s="31"/>
    </row>
    <row r="4053">
      <c r="A4053" s="51" t="s">
        <v>32638</v>
      </c>
      <c r="B4053" s="152"/>
      <c r="C4053" s="55"/>
      <c r="D4053" s="31"/>
    </row>
    <row r="4054">
      <c r="A4054" s="51" t="s">
        <v>32640</v>
      </c>
      <c r="B4054" s="152"/>
      <c r="C4054" s="55"/>
      <c r="D4054" s="31"/>
    </row>
    <row r="4055">
      <c r="A4055" s="51" t="s">
        <v>32641</v>
      </c>
      <c r="B4055" s="152"/>
      <c r="C4055" s="55"/>
      <c r="D4055" s="31"/>
    </row>
    <row r="4056">
      <c r="A4056" s="51" t="s">
        <v>32642</v>
      </c>
      <c r="B4056" s="152"/>
      <c r="C4056" s="55"/>
      <c r="D4056" s="31"/>
    </row>
    <row r="4057">
      <c r="A4057" s="51" t="s">
        <v>32643</v>
      </c>
      <c r="B4057" s="152"/>
      <c r="C4057" s="55"/>
      <c r="D4057" s="31"/>
    </row>
    <row r="4058">
      <c r="A4058" s="51" t="s">
        <v>32644</v>
      </c>
      <c r="B4058" s="152"/>
      <c r="C4058" s="55"/>
      <c r="D4058" s="31"/>
    </row>
    <row r="4059">
      <c r="A4059" s="51" t="s">
        <v>32646</v>
      </c>
      <c r="B4059" s="152"/>
      <c r="C4059" s="55"/>
      <c r="D4059" s="31"/>
    </row>
    <row r="4060">
      <c r="A4060" s="51" t="s">
        <v>32648</v>
      </c>
      <c r="B4060" s="152"/>
      <c r="C4060" s="55"/>
      <c r="D4060" s="31"/>
    </row>
    <row r="4061">
      <c r="A4061" s="51" t="s">
        <v>32649</v>
      </c>
      <c r="B4061" s="152"/>
      <c r="C4061" s="55"/>
      <c r="D4061" s="31"/>
    </row>
    <row r="4062">
      <c r="A4062" s="51" t="s">
        <v>32650</v>
      </c>
      <c r="B4062" s="152"/>
      <c r="C4062" s="55"/>
      <c r="D4062" s="31"/>
    </row>
    <row r="4063">
      <c r="A4063" s="51" t="s">
        <v>32651</v>
      </c>
      <c r="B4063" s="152"/>
      <c r="C4063" s="55"/>
      <c r="D4063" s="31"/>
    </row>
    <row r="4064">
      <c r="A4064" s="51" t="s">
        <v>32652</v>
      </c>
      <c r="B4064" s="152"/>
      <c r="C4064" s="55"/>
      <c r="D4064" s="31"/>
    </row>
    <row r="4065">
      <c r="A4065" s="51" t="s">
        <v>32654</v>
      </c>
      <c r="B4065" s="152"/>
      <c r="C4065" s="55"/>
      <c r="D4065" s="31"/>
    </row>
    <row r="4066">
      <c r="A4066" s="51" t="s">
        <v>32656</v>
      </c>
      <c r="B4066" s="152"/>
      <c r="C4066" s="55"/>
      <c r="D4066" s="31"/>
    </row>
    <row r="4067">
      <c r="A4067" s="51" t="s">
        <v>32658</v>
      </c>
      <c r="B4067" s="152"/>
      <c r="C4067" s="55"/>
      <c r="D4067" s="31"/>
    </row>
    <row r="4068">
      <c r="A4068" s="51" t="s">
        <v>32659</v>
      </c>
      <c r="B4068" s="152"/>
      <c r="C4068" s="55"/>
      <c r="D4068" s="31"/>
    </row>
    <row r="4069">
      <c r="A4069" s="51" t="s">
        <v>32661</v>
      </c>
      <c r="B4069" s="152"/>
      <c r="C4069" s="55"/>
      <c r="D4069" s="31"/>
    </row>
    <row r="4070">
      <c r="A4070" s="51" t="s">
        <v>32662</v>
      </c>
      <c r="B4070" s="152"/>
      <c r="C4070" s="55"/>
      <c r="D4070" s="31"/>
    </row>
    <row r="4071">
      <c r="A4071" s="51" t="s">
        <v>32663</v>
      </c>
      <c r="B4071" s="152"/>
      <c r="C4071" s="55"/>
      <c r="D4071" s="31"/>
    </row>
    <row r="4072">
      <c r="A4072" s="51" t="s">
        <v>32664</v>
      </c>
      <c r="B4072" s="152"/>
      <c r="C4072" s="55"/>
      <c r="D4072" s="31"/>
    </row>
    <row r="4073">
      <c r="A4073" s="51" t="s">
        <v>32666</v>
      </c>
      <c r="B4073" s="152"/>
      <c r="C4073" s="55"/>
      <c r="D4073" s="31"/>
    </row>
    <row r="4074">
      <c r="A4074" s="51" t="s">
        <v>32667</v>
      </c>
      <c r="B4074" s="152"/>
      <c r="C4074" s="55"/>
      <c r="D4074" s="31"/>
    </row>
    <row r="4075">
      <c r="A4075" s="51" t="s">
        <v>32668</v>
      </c>
      <c r="B4075" s="152"/>
      <c r="C4075" s="55"/>
      <c r="D4075" s="31"/>
    </row>
    <row r="4076">
      <c r="A4076" s="51" t="s">
        <v>32669</v>
      </c>
      <c r="B4076" s="152"/>
      <c r="C4076" s="55"/>
      <c r="D4076" s="31"/>
    </row>
    <row r="4077">
      <c r="A4077" s="51" t="s">
        <v>32670</v>
      </c>
      <c r="B4077" s="152"/>
      <c r="C4077" s="55"/>
      <c r="D4077" s="31"/>
    </row>
    <row r="4078">
      <c r="A4078" s="51" t="s">
        <v>32671</v>
      </c>
      <c r="B4078" s="152"/>
      <c r="C4078" s="55"/>
      <c r="D4078" s="31"/>
    </row>
    <row r="4079">
      <c r="A4079" s="51" t="s">
        <v>32672</v>
      </c>
      <c r="B4079" s="152"/>
      <c r="C4079" s="55"/>
      <c r="D4079" s="31"/>
    </row>
    <row r="4080">
      <c r="A4080" s="51" t="s">
        <v>32673</v>
      </c>
      <c r="B4080" s="152"/>
      <c r="C4080" s="55"/>
      <c r="D4080" s="31"/>
    </row>
    <row r="4081">
      <c r="A4081" s="51" t="s">
        <v>32675</v>
      </c>
      <c r="B4081" s="152"/>
      <c r="C4081" s="55"/>
      <c r="D4081" s="31"/>
    </row>
    <row r="4082">
      <c r="A4082" s="51" t="s">
        <v>32676</v>
      </c>
      <c r="B4082" s="152"/>
      <c r="C4082" s="55"/>
      <c r="D4082" s="31"/>
    </row>
    <row r="4083">
      <c r="A4083" s="51" t="s">
        <v>32679</v>
      </c>
      <c r="B4083" s="152"/>
      <c r="C4083" s="55"/>
      <c r="D4083" s="31"/>
    </row>
    <row r="4084">
      <c r="A4084" s="51" t="s">
        <v>32680</v>
      </c>
      <c r="B4084" s="152"/>
      <c r="C4084" s="55"/>
      <c r="D4084" s="31"/>
    </row>
    <row r="4085">
      <c r="A4085" s="51" t="s">
        <v>32682</v>
      </c>
      <c r="B4085" s="152"/>
      <c r="C4085" s="55"/>
      <c r="D4085" s="31"/>
    </row>
    <row r="4086">
      <c r="A4086" s="51" t="s">
        <v>32683</v>
      </c>
      <c r="B4086" s="152"/>
      <c r="C4086" s="55"/>
      <c r="D4086" s="31"/>
    </row>
    <row r="4087">
      <c r="A4087" s="51" t="s">
        <v>32684</v>
      </c>
      <c r="B4087" s="152"/>
      <c r="C4087" s="55"/>
      <c r="D4087" s="31"/>
    </row>
    <row r="4088">
      <c r="A4088" s="51" t="s">
        <v>32685</v>
      </c>
      <c r="B4088" s="152"/>
      <c r="C4088" s="55"/>
      <c r="D4088" s="31"/>
    </row>
    <row r="4089">
      <c r="A4089" s="51" t="s">
        <v>32686</v>
      </c>
      <c r="B4089" s="152"/>
      <c r="C4089" s="55"/>
      <c r="D4089" s="31"/>
    </row>
    <row r="4090">
      <c r="A4090" s="51" t="s">
        <v>32688</v>
      </c>
      <c r="B4090" s="152"/>
      <c r="C4090" s="55"/>
      <c r="D4090" s="31"/>
    </row>
    <row r="4091">
      <c r="A4091" s="51" t="s">
        <v>32690</v>
      </c>
      <c r="B4091" s="152"/>
      <c r="C4091" s="55"/>
      <c r="D4091" s="31"/>
    </row>
    <row r="4092">
      <c r="A4092" s="51" t="s">
        <v>32692</v>
      </c>
      <c r="B4092" s="152"/>
      <c r="C4092" s="55"/>
      <c r="D4092" s="31"/>
    </row>
    <row r="4093">
      <c r="A4093" s="51" t="s">
        <v>32693</v>
      </c>
      <c r="B4093" s="152"/>
      <c r="C4093" s="55"/>
      <c r="D4093" s="31"/>
    </row>
    <row r="4094">
      <c r="A4094" s="51" t="s">
        <v>32695</v>
      </c>
      <c r="B4094" s="152"/>
      <c r="C4094" s="55"/>
      <c r="D4094" s="31"/>
    </row>
    <row r="4095">
      <c r="A4095" s="51" t="s">
        <v>32696</v>
      </c>
      <c r="B4095" s="152"/>
      <c r="C4095" s="55"/>
      <c r="D4095" s="31"/>
    </row>
    <row r="4096">
      <c r="A4096" s="51" t="s">
        <v>32698</v>
      </c>
      <c r="B4096" s="152"/>
      <c r="C4096" s="55"/>
      <c r="D4096" s="31"/>
    </row>
    <row r="4097">
      <c r="A4097" s="51" t="s">
        <v>32700</v>
      </c>
      <c r="B4097" s="152"/>
      <c r="C4097" s="55"/>
      <c r="D4097" s="31"/>
    </row>
    <row r="4098">
      <c r="A4098" s="51" t="s">
        <v>32701</v>
      </c>
      <c r="B4098" s="152"/>
      <c r="C4098" s="55"/>
      <c r="D4098" s="31"/>
    </row>
    <row r="4099">
      <c r="A4099" s="51" t="s">
        <v>32702</v>
      </c>
      <c r="B4099" s="152"/>
      <c r="C4099" s="55"/>
      <c r="D4099" s="31"/>
    </row>
    <row r="4100">
      <c r="A4100" s="51" t="s">
        <v>32704</v>
      </c>
      <c r="B4100" s="152"/>
      <c r="C4100" s="55"/>
      <c r="D4100" s="31"/>
    </row>
    <row r="4101">
      <c r="A4101" s="51" t="s">
        <v>32705</v>
      </c>
      <c r="B4101" s="152"/>
      <c r="C4101" s="55"/>
      <c r="D4101" s="31"/>
    </row>
    <row r="4102">
      <c r="A4102" s="51" t="s">
        <v>32707</v>
      </c>
      <c r="B4102" s="152"/>
      <c r="C4102" s="55"/>
      <c r="D4102" s="31"/>
    </row>
    <row r="4103">
      <c r="A4103" s="51" t="s">
        <v>32709</v>
      </c>
      <c r="B4103" s="152"/>
      <c r="C4103" s="55"/>
      <c r="D4103" s="31"/>
    </row>
    <row r="4104">
      <c r="A4104" s="51" t="s">
        <v>32711</v>
      </c>
      <c r="B4104" s="152"/>
      <c r="C4104" s="55"/>
      <c r="D4104" s="31"/>
    </row>
    <row r="4105">
      <c r="A4105" s="51" t="s">
        <v>32714</v>
      </c>
      <c r="B4105" s="152"/>
      <c r="C4105" s="55"/>
      <c r="D4105" s="31"/>
    </row>
    <row r="4106">
      <c r="A4106" s="51" t="s">
        <v>32715</v>
      </c>
      <c r="B4106" s="152"/>
      <c r="C4106" s="55"/>
      <c r="D4106" s="31"/>
    </row>
    <row r="4107">
      <c r="A4107" s="51" t="s">
        <v>32716</v>
      </c>
      <c r="B4107" s="152"/>
      <c r="C4107" s="55"/>
      <c r="D4107" s="31"/>
    </row>
    <row r="4108">
      <c r="A4108" s="51" t="s">
        <v>32717</v>
      </c>
      <c r="B4108" s="152"/>
      <c r="C4108" s="55"/>
      <c r="D4108" s="31"/>
    </row>
    <row r="4109">
      <c r="A4109" s="51" t="s">
        <v>32718</v>
      </c>
      <c r="B4109" s="152"/>
      <c r="C4109" s="55"/>
      <c r="D4109" s="31"/>
    </row>
    <row r="4110">
      <c r="A4110" s="51" t="s">
        <v>32720</v>
      </c>
      <c r="B4110" s="152"/>
      <c r="C4110" s="55"/>
      <c r="D4110" s="31"/>
    </row>
    <row r="4111">
      <c r="A4111" s="51" t="s">
        <v>32722</v>
      </c>
      <c r="B4111" s="152"/>
      <c r="C4111" s="55"/>
      <c r="D4111" s="31"/>
    </row>
    <row r="4112">
      <c r="A4112" s="51" t="s">
        <v>32723</v>
      </c>
      <c r="B4112" s="152"/>
      <c r="C4112" s="55"/>
      <c r="D4112" s="31"/>
    </row>
    <row r="4113">
      <c r="A4113" s="51" t="s">
        <v>32724</v>
      </c>
      <c r="B4113" s="152"/>
      <c r="C4113" s="55"/>
      <c r="D4113" s="31"/>
    </row>
    <row r="4114">
      <c r="A4114" s="51" t="s">
        <v>32725</v>
      </c>
      <c r="B4114" s="152"/>
      <c r="C4114" s="55"/>
      <c r="D4114" s="31"/>
    </row>
    <row r="4115">
      <c r="A4115" s="51" t="s">
        <v>32726</v>
      </c>
      <c r="B4115" s="152"/>
      <c r="C4115" s="55"/>
      <c r="D4115" s="31"/>
    </row>
    <row r="4116">
      <c r="A4116" s="51" t="s">
        <v>32727</v>
      </c>
      <c r="B4116" s="152"/>
      <c r="C4116" s="55"/>
      <c r="D4116" s="31"/>
    </row>
    <row r="4117">
      <c r="A4117" s="51" t="s">
        <v>32729</v>
      </c>
      <c r="B4117" s="152"/>
      <c r="C4117" s="55"/>
      <c r="D4117" s="31"/>
    </row>
    <row r="4118">
      <c r="A4118" s="51" t="s">
        <v>32732</v>
      </c>
      <c r="B4118" s="152"/>
      <c r="C4118" s="55"/>
      <c r="D4118" s="31"/>
    </row>
    <row r="4119">
      <c r="A4119" s="51" t="s">
        <v>32733</v>
      </c>
      <c r="B4119" s="152"/>
      <c r="C4119" s="55"/>
      <c r="D4119" s="31"/>
    </row>
    <row r="4120">
      <c r="A4120" s="51" t="s">
        <v>32734</v>
      </c>
      <c r="B4120" s="152"/>
      <c r="C4120" s="55"/>
      <c r="D4120" s="31"/>
    </row>
    <row r="4121">
      <c r="A4121" s="51" t="s">
        <v>32735</v>
      </c>
      <c r="B4121" s="152"/>
      <c r="C4121" s="55"/>
      <c r="D4121" s="31"/>
    </row>
    <row r="4122">
      <c r="A4122" s="51" t="s">
        <v>32736</v>
      </c>
      <c r="B4122" s="152"/>
      <c r="C4122" s="55"/>
      <c r="D4122" s="31"/>
    </row>
    <row r="4123">
      <c r="A4123" s="51" t="s">
        <v>32737</v>
      </c>
      <c r="B4123" s="152"/>
      <c r="C4123" s="55"/>
      <c r="D4123" s="31"/>
    </row>
    <row r="4124">
      <c r="A4124" s="51" t="s">
        <v>32740</v>
      </c>
      <c r="B4124" s="152"/>
      <c r="C4124" s="55"/>
      <c r="D4124" s="31"/>
    </row>
    <row r="4125">
      <c r="A4125" s="51" t="s">
        <v>32741</v>
      </c>
      <c r="B4125" s="152"/>
      <c r="C4125" s="55"/>
      <c r="D4125" s="31"/>
    </row>
    <row r="4126">
      <c r="A4126" s="51" t="s">
        <v>32742</v>
      </c>
      <c r="B4126" s="152"/>
      <c r="C4126" s="55"/>
      <c r="D4126" s="31"/>
    </row>
    <row r="4127">
      <c r="A4127" s="51" t="s">
        <v>32743</v>
      </c>
      <c r="B4127" s="152"/>
      <c r="C4127" s="55"/>
      <c r="D4127" s="31"/>
    </row>
    <row r="4128">
      <c r="A4128" s="51" t="s">
        <v>32744</v>
      </c>
      <c r="B4128" s="152"/>
      <c r="C4128" s="55"/>
      <c r="D4128" s="31"/>
    </row>
    <row r="4129">
      <c r="A4129" s="51" t="s">
        <v>32745</v>
      </c>
      <c r="B4129" s="152"/>
      <c r="C4129" s="55"/>
      <c r="D4129" s="31"/>
    </row>
    <row r="4130">
      <c r="A4130" s="51" t="s">
        <v>32747</v>
      </c>
      <c r="B4130" s="152"/>
      <c r="C4130" s="55"/>
      <c r="D4130" s="31"/>
    </row>
    <row r="4131">
      <c r="A4131" s="51" t="s">
        <v>32749</v>
      </c>
      <c r="B4131" s="152"/>
      <c r="C4131" s="55"/>
      <c r="D4131" s="31"/>
    </row>
    <row r="4132">
      <c r="A4132" s="51" t="s">
        <v>32751</v>
      </c>
      <c r="B4132" s="152"/>
      <c r="C4132" s="55"/>
      <c r="D4132" s="31"/>
    </row>
    <row r="4133">
      <c r="A4133" s="51" t="s">
        <v>32752</v>
      </c>
      <c r="B4133" s="152"/>
      <c r="C4133" s="55"/>
      <c r="D4133" s="31"/>
    </row>
    <row r="4134">
      <c r="A4134" s="51" t="s">
        <v>32753</v>
      </c>
      <c r="B4134" s="152"/>
      <c r="C4134" s="55"/>
      <c r="D4134" s="31"/>
    </row>
    <row r="4135">
      <c r="A4135" s="51" t="s">
        <v>32754</v>
      </c>
      <c r="B4135" s="152"/>
      <c r="C4135" s="55"/>
      <c r="D4135" s="31"/>
    </row>
    <row r="4136">
      <c r="A4136" s="51" t="s">
        <v>32756</v>
      </c>
      <c r="B4136" s="152"/>
      <c r="C4136" s="55"/>
      <c r="D4136" s="31"/>
    </row>
    <row r="4137">
      <c r="A4137" s="51" t="s">
        <v>32758</v>
      </c>
      <c r="B4137" s="152"/>
      <c r="C4137" s="55"/>
      <c r="D4137" s="31"/>
    </row>
    <row r="4138">
      <c r="A4138" s="51" t="s">
        <v>32759</v>
      </c>
      <c r="B4138" s="152"/>
      <c r="C4138" s="55"/>
      <c r="D4138" s="31"/>
    </row>
    <row r="4139">
      <c r="A4139" s="51" t="s">
        <v>32760</v>
      </c>
      <c r="B4139" s="152"/>
      <c r="C4139" s="55"/>
      <c r="D4139" s="31"/>
    </row>
    <row r="4140">
      <c r="A4140" s="51" t="s">
        <v>32761</v>
      </c>
      <c r="B4140" s="152"/>
      <c r="C4140" s="55"/>
      <c r="D4140" s="31"/>
    </row>
    <row r="4141">
      <c r="A4141" s="51" t="s">
        <v>32762</v>
      </c>
      <c r="B4141" s="152"/>
      <c r="C4141" s="55"/>
      <c r="D4141" s="31"/>
    </row>
    <row r="4142">
      <c r="A4142" s="51" t="s">
        <v>32765</v>
      </c>
      <c r="B4142" s="152"/>
      <c r="C4142" s="55"/>
      <c r="D4142" s="31"/>
    </row>
    <row r="4143">
      <c r="A4143" s="51" t="s">
        <v>32766</v>
      </c>
      <c r="B4143" s="152"/>
      <c r="C4143" s="55"/>
      <c r="D4143" s="31"/>
    </row>
    <row r="4144">
      <c r="A4144" s="51" t="s">
        <v>32768</v>
      </c>
      <c r="B4144" s="152"/>
      <c r="C4144" s="55"/>
      <c r="D4144" s="31"/>
    </row>
    <row r="4145">
      <c r="A4145" s="51" t="s">
        <v>32769</v>
      </c>
      <c r="B4145" s="152"/>
      <c r="C4145" s="55"/>
      <c r="D4145" s="31"/>
    </row>
    <row r="4146">
      <c r="A4146" s="51" t="s">
        <v>32770</v>
      </c>
      <c r="B4146" s="152"/>
      <c r="C4146" s="55"/>
      <c r="D4146" s="31"/>
    </row>
    <row r="4147">
      <c r="A4147" s="51" t="s">
        <v>32771</v>
      </c>
      <c r="B4147" s="152"/>
      <c r="C4147" s="55"/>
      <c r="D4147" s="31"/>
    </row>
    <row r="4148">
      <c r="A4148" s="51" t="s">
        <v>32773</v>
      </c>
      <c r="B4148" s="152"/>
      <c r="C4148" s="55"/>
      <c r="D4148" s="31"/>
    </row>
    <row r="4149">
      <c r="A4149" s="51" t="s">
        <v>32774</v>
      </c>
      <c r="B4149" s="152"/>
      <c r="C4149" s="55"/>
      <c r="D4149" s="31"/>
    </row>
    <row r="4150">
      <c r="A4150" s="51" t="s">
        <v>32776</v>
      </c>
      <c r="B4150" s="152"/>
      <c r="C4150" s="55"/>
      <c r="D4150" s="31"/>
    </row>
    <row r="4151">
      <c r="A4151" s="51" t="s">
        <v>32777</v>
      </c>
      <c r="B4151" s="152"/>
      <c r="C4151" s="55"/>
      <c r="D4151" s="31"/>
    </row>
    <row r="4152">
      <c r="A4152" s="51" t="s">
        <v>32778</v>
      </c>
      <c r="B4152" s="152"/>
      <c r="C4152" s="55"/>
      <c r="D4152" s="31"/>
    </row>
    <row r="4153">
      <c r="A4153" s="51" t="s">
        <v>32779</v>
      </c>
      <c r="B4153" s="152"/>
      <c r="C4153" s="55"/>
      <c r="D4153" s="31"/>
    </row>
    <row r="4154">
      <c r="A4154" s="51" t="s">
        <v>32780</v>
      </c>
      <c r="B4154" s="152"/>
      <c r="C4154" s="55"/>
      <c r="D4154" s="31"/>
    </row>
    <row r="4155">
      <c r="A4155" s="51" t="s">
        <v>32782</v>
      </c>
      <c r="B4155" s="152"/>
      <c r="C4155" s="55"/>
      <c r="D4155" s="31"/>
    </row>
    <row r="4156">
      <c r="A4156" s="51" t="s">
        <v>32783</v>
      </c>
      <c r="B4156" s="152"/>
      <c r="C4156" s="55"/>
      <c r="D4156" s="31"/>
    </row>
    <row r="4157">
      <c r="A4157" s="51" t="s">
        <v>32786</v>
      </c>
      <c r="B4157" s="152"/>
      <c r="C4157" s="55"/>
      <c r="D4157" s="31"/>
    </row>
    <row r="4158">
      <c r="A4158" s="51" t="s">
        <v>32787</v>
      </c>
      <c r="B4158" s="152"/>
      <c r="C4158" s="55"/>
      <c r="D4158" s="31"/>
    </row>
    <row r="4159">
      <c r="A4159" s="51" t="s">
        <v>32788</v>
      </c>
      <c r="B4159" s="152"/>
      <c r="C4159" s="55"/>
      <c r="D4159" s="31"/>
    </row>
    <row r="4160">
      <c r="A4160" s="51" t="s">
        <v>32789</v>
      </c>
      <c r="B4160" s="152"/>
      <c r="C4160" s="55"/>
      <c r="D4160" s="31"/>
    </row>
    <row r="4161">
      <c r="A4161" s="51" t="s">
        <v>32791</v>
      </c>
      <c r="B4161" s="152"/>
      <c r="C4161" s="55"/>
      <c r="D4161" s="31"/>
    </row>
    <row r="4162">
      <c r="A4162" s="51" t="s">
        <v>32792</v>
      </c>
      <c r="B4162" s="152"/>
      <c r="C4162" s="55"/>
      <c r="D4162" s="31"/>
    </row>
    <row r="4163">
      <c r="A4163" s="51" t="s">
        <v>32794</v>
      </c>
      <c r="B4163" s="152"/>
      <c r="C4163" s="55"/>
      <c r="D4163" s="31"/>
    </row>
    <row r="4164">
      <c r="A4164" s="51" t="s">
        <v>32795</v>
      </c>
      <c r="B4164" s="152"/>
      <c r="C4164" s="55"/>
      <c r="D4164" s="31"/>
    </row>
    <row r="4165">
      <c r="A4165" s="51" t="s">
        <v>32796</v>
      </c>
      <c r="B4165" s="152"/>
      <c r="C4165" s="55"/>
      <c r="D4165" s="31"/>
    </row>
    <row r="4166">
      <c r="A4166" s="51" t="s">
        <v>32797</v>
      </c>
      <c r="B4166" s="152"/>
      <c r="C4166" s="55"/>
      <c r="D4166" s="31"/>
    </row>
    <row r="4167">
      <c r="A4167" s="51" t="s">
        <v>32799</v>
      </c>
      <c r="B4167" s="152"/>
      <c r="C4167" s="55"/>
      <c r="D4167" s="31"/>
    </row>
    <row r="4168">
      <c r="A4168" s="51" t="s">
        <v>32800</v>
      </c>
      <c r="B4168" s="152"/>
      <c r="C4168" s="55"/>
      <c r="D4168" s="31"/>
    </row>
    <row r="4169">
      <c r="A4169" s="51" t="s">
        <v>32801</v>
      </c>
      <c r="B4169" s="152"/>
      <c r="C4169" s="55"/>
      <c r="D4169" s="31"/>
    </row>
    <row r="4170">
      <c r="A4170" s="51" t="s">
        <v>32804</v>
      </c>
      <c r="B4170" s="152"/>
      <c r="C4170" s="55"/>
      <c r="D4170" s="31"/>
    </row>
    <row r="4171">
      <c r="A4171" s="51" t="s">
        <v>32805</v>
      </c>
      <c r="B4171" s="152"/>
      <c r="C4171" s="55"/>
      <c r="D4171" s="31"/>
    </row>
    <row r="4172">
      <c r="A4172" s="51" t="s">
        <v>32807</v>
      </c>
      <c r="B4172" s="152"/>
      <c r="C4172" s="55"/>
      <c r="D4172" s="31"/>
    </row>
    <row r="4173">
      <c r="A4173" s="51" t="s">
        <v>32809</v>
      </c>
      <c r="B4173" s="152"/>
      <c r="C4173" s="55"/>
      <c r="D4173" s="31"/>
    </row>
    <row r="4174">
      <c r="A4174" s="51" t="s">
        <v>32812</v>
      </c>
      <c r="B4174" s="152"/>
      <c r="C4174" s="55"/>
      <c r="D4174" s="31"/>
    </row>
    <row r="4175">
      <c r="A4175" s="51" t="s">
        <v>32813</v>
      </c>
      <c r="B4175" s="152"/>
      <c r="C4175" s="55"/>
      <c r="D4175" s="31"/>
    </row>
    <row r="4176">
      <c r="A4176" s="51" t="s">
        <v>32815</v>
      </c>
      <c r="B4176" s="152"/>
      <c r="C4176" s="55"/>
      <c r="D4176" s="31"/>
    </row>
    <row r="4177">
      <c r="A4177" s="51" t="s">
        <v>32816</v>
      </c>
      <c r="B4177" s="152"/>
      <c r="C4177" s="55"/>
      <c r="D4177" s="31"/>
    </row>
    <row r="4178">
      <c r="A4178" s="51" t="s">
        <v>32817</v>
      </c>
      <c r="B4178" s="152"/>
      <c r="C4178" s="55"/>
      <c r="D4178" s="31"/>
    </row>
    <row r="4179">
      <c r="A4179" s="51" t="s">
        <v>32818</v>
      </c>
      <c r="B4179" s="152"/>
      <c r="C4179" s="55"/>
      <c r="D4179" s="31"/>
    </row>
    <row r="4180">
      <c r="A4180" s="51" t="s">
        <v>32820</v>
      </c>
      <c r="B4180" s="152"/>
      <c r="C4180" s="55"/>
      <c r="D4180" s="31"/>
    </row>
    <row r="4181">
      <c r="A4181" s="51" t="s">
        <v>32823</v>
      </c>
      <c r="B4181" s="152"/>
      <c r="C4181" s="55"/>
      <c r="D4181" s="31"/>
    </row>
    <row r="4182">
      <c r="A4182" s="51" t="s">
        <v>32825</v>
      </c>
      <c r="B4182" s="152"/>
      <c r="C4182" s="55"/>
      <c r="D4182" s="31"/>
    </row>
    <row r="4183">
      <c r="A4183" s="51" t="s">
        <v>32828</v>
      </c>
      <c r="B4183" s="152"/>
      <c r="C4183" s="55"/>
      <c r="D4183" s="31"/>
    </row>
    <row r="4184">
      <c r="A4184" s="51" t="s">
        <v>32829</v>
      </c>
      <c r="B4184" s="152"/>
      <c r="C4184" s="55"/>
      <c r="D4184" s="31"/>
    </row>
    <row r="4185">
      <c r="A4185" s="51" t="s">
        <v>32830</v>
      </c>
      <c r="B4185" s="152"/>
      <c r="C4185" s="55"/>
      <c r="D4185" s="31"/>
    </row>
    <row r="4186">
      <c r="A4186" s="51" t="s">
        <v>32831</v>
      </c>
      <c r="B4186" s="152"/>
      <c r="C4186" s="55"/>
      <c r="D4186" s="31"/>
    </row>
    <row r="4187">
      <c r="A4187" s="51" t="s">
        <v>32832</v>
      </c>
      <c r="B4187" s="152"/>
      <c r="C4187" s="55"/>
      <c r="D4187" s="31"/>
    </row>
    <row r="4188">
      <c r="A4188" s="51" t="s">
        <v>32834</v>
      </c>
      <c r="B4188" s="152"/>
      <c r="C4188" s="55"/>
      <c r="D4188" s="31"/>
    </row>
    <row r="4189">
      <c r="A4189" s="51" t="s">
        <v>32836</v>
      </c>
      <c r="B4189" s="152"/>
      <c r="C4189" s="55"/>
      <c r="D4189" s="31"/>
    </row>
    <row r="4190">
      <c r="A4190" s="51" t="s">
        <v>32837</v>
      </c>
      <c r="B4190" s="152"/>
      <c r="C4190" s="55"/>
      <c r="D4190" s="31"/>
    </row>
    <row r="4191">
      <c r="A4191" s="51" t="s">
        <v>32838</v>
      </c>
      <c r="B4191" s="152"/>
      <c r="C4191" s="55"/>
      <c r="D4191" s="31"/>
    </row>
    <row r="4192">
      <c r="A4192" s="51" t="s">
        <v>32839</v>
      </c>
      <c r="B4192" s="152"/>
      <c r="C4192" s="55"/>
      <c r="D4192" s="31"/>
    </row>
    <row r="4193">
      <c r="A4193" s="51" t="s">
        <v>32841</v>
      </c>
      <c r="B4193" s="152"/>
      <c r="C4193" s="55"/>
      <c r="D4193" s="31"/>
    </row>
    <row r="4194">
      <c r="A4194" s="51" t="s">
        <v>32842</v>
      </c>
      <c r="B4194" s="152"/>
      <c r="C4194" s="55"/>
      <c r="D4194" s="31"/>
    </row>
    <row r="4195">
      <c r="A4195" s="51" t="s">
        <v>32843</v>
      </c>
      <c r="B4195" s="152"/>
      <c r="C4195" s="55"/>
      <c r="D4195" s="31"/>
    </row>
    <row r="4196">
      <c r="A4196" s="51" t="s">
        <v>32846</v>
      </c>
      <c r="B4196" s="152"/>
      <c r="C4196" s="55"/>
      <c r="D4196" s="31"/>
    </row>
    <row r="4197">
      <c r="A4197" s="51" t="s">
        <v>32848</v>
      </c>
      <c r="B4197" s="152"/>
      <c r="C4197" s="55"/>
      <c r="D4197" s="31"/>
    </row>
    <row r="4198">
      <c r="A4198" s="51" t="s">
        <v>32849</v>
      </c>
      <c r="B4198" s="152"/>
      <c r="C4198" s="55"/>
      <c r="D4198" s="31"/>
    </row>
    <row r="4199">
      <c r="A4199" s="51" t="s">
        <v>32850</v>
      </c>
      <c r="B4199" s="152"/>
      <c r="C4199" s="55"/>
      <c r="D4199" s="31"/>
    </row>
    <row r="4200">
      <c r="A4200" s="51" t="s">
        <v>32851</v>
      </c>
      <c r="B4200" s="152"/>
      <c r="C4200" s="55"/>
      <c r="D4200" s="31"/>
    </row>
    <row r="4201">
      <c r="A4201" s="51" t="s">
        <v>32852</v>
      </c>
      <c r="B4201" s="152"/>
      <c r="C4201" s="55"/>
      <c r="D4201" s="31"/>
    </row>
    <row r="4202">
      <c r="A4202" s="51" t="s">
        <v>32855</v>
      </c>
      <c r="B4202" s="152"/>
      <c r="C4202" s="55"/>
      <c r="D4202" s="31"/>
    </row>
    <row r="4203">
      <c r="A4203" s="51" t="s">
        <v>32856</v>
      </c>
      <c r="B4203" s="152"/>
      <c r="C4203" s="55"/>
      <c r="D4203" s="31"/>
    </row>
    <row r="4204">
      <c r="A4204" s="51" t="s">
        <v>32857</v>
      </c>
      <c r="B4204" s="152"/>
      <c r="C4204" s="55"/>
      <c r="D4204" s="31"/>
    </row>
    <row r="4205">
      <c r="A4205" s="51" t="s">
        <v>32858</v>
      </c>
      <c r="B4205" s="152"/>
      <c r="C4205" s="55"/>
      <c r="D4205" s="31"/>
    </row>
    <row r="4206">
      <c r="A4206" s="51" t="s">
        <v>32860</v>
      </c>
      <c r="B4206" s="152"/>
      <c r="C4206" s="55"/>
      <c r="D4206" s="31"/>
    </row>
    <row r="4207">
      <c r="A4207" s="51" t="s">
        <v>32861</v>
      </c>
      <c r="B4207" s="152"/>
      <c r="C4207" s="55"/>
      <c r="D4207" s="31"/>
    </row>
    <row r="4208">
      <c r="A4208" s="51" t="s">
        <v>32864</v>
      </c>
      <c r="B4208" s="152"/>
      <c r="C4208" s="55"/>
      <c r="D4208" s="31"/>
    </row>
    <row r="4209">
      <c r="A4209" s="51" t="s">
        <v>32865</v>
      </c>
      <c r="B4209" s="152"/>
      <c r="C4209" s="55"/>
      <c r="D4209" s="31"/>
    </row>
    <row r="4210">
      <c r="A4210" s="51" t="s">
        <v>32867</v>
      </c>
      <c r="B4210" s="152"/>
      <c r="C4210" s="55"/>
      <c r="D4210" s="31"/>
    </row>
    <row r="4211">
      <c r="A4211" s="51" t="s">
        <v>32868</v>
      </c>
      <c r="B4211" s="152"/>
      <c r="C4211" s="55"/>
      <c r="D4211" s="31"/>
    </row>
    <row r="4212">
      <c r="A4212" s="51" t="s">
        <v>32869</v>
      </c>
      <c r="B4212" s="152"/>
      <c r="C4212" s="55"/>
      <c r="D4212" s="31"/>
    </row>
    <row r="4213">
      <c r="A4213" s="51" t="s">
        <v>32870</v>
      </c>
      <c r="B4213" s="152"/>
      <c r="C4213" s="55"/>
      <c r="D4213" s="31"/>
    </row>
    <row r="4214">
      <c r="A4214" s="51" t="s">
        <v>32872</v>
      </c>
      <c r="B4214" s="152"/>
      <c r="C4214" s="55"/>
      <c r="D4214" s="31"/>
    </row>
    <row r="4215">
      <c r="A4215" s="51" t="s">
        <v>32874</v>
      </c>
      <c r="B4215" s="152"/>
      <c r="C4215" s="55"/>
      <c r="D4215" s="31"/>
    </row>
    <row r="4216">
      <c r="A4216" s="51" t="s">
        <v>32875</v>
      </c>
      <c r="B4216" s="152"/>
      <c r="C4216" s="55"/>
      <c r="D4216" s="31"/>
    </row>
    <row r="4217">
      <c r="A4217" s="51" t="s">
        <v>32877</v>
      </c>
      <c r="B4217" s="152"/>
      <c r="C4217" s="55"/>
      <c r="D4217" s="31"/>
    </row>
    <row r="4218">
      <c r="A4218" s="51" t="s">
        <v>32879</v>
      </c>
      <c r="B4218" s="152"/>
      <c r="C4218" s="55"/>
      <c r="D4218" s="31"/>
    </row>
    <row r="4219">
      <c r="A4219" s="51" t="s">
        <v>32880</v>
      </c>
      <c r="B4219" s="152"/>
      <c r="C4219" s="55"/>
      <c r="D4219" s="31"/>
    </row>
    <row r="4220">
      <c r="A4220" s="51" t="s">
        <v>32881</v>
      </c>
      <c r="B4220" s="152"/>
      <c r="C4220" s="55"/>
      <c r="D4220" s="31"/>
    </row>
    <row r="4221">
      <c r="A4221" s="51" t="s">
        <v>32884</v>
      </c>
      <c r="B4221" s="152"/>
      <c r="C4221" s="55"/>
      <c r="D4221" s="31"/>
    </row>
    <row r="4222">
      <c r="A4222" s="51" t="s">
        <v>32885</v>
      </c>
      <c r="B4222" s="152"/>
      <c r="C4222" s="55"/>
      <c r="D4222" s="31"/>
    </row>
    <row r="4223">
      <c r="A4223" s="51" t="s">
        <v>32888</v>
      </c>
      <c r="B4223" s="152"/>
      <c r="C4223" s="55"/>
      <c r="D4223" s="31"/>
    </row>
    <row r="4224">
      <c r="A4224" s="51" t="s">
        <v>32890</v>
      </c>
      <c r="B4224" s="152"/>
      <c r="C4224" s="55"/>
      <c r="D4224" s="31"/>
    </row>
    <row r="4225">
      <c r="A4225" s="51" t="s">
        <v>32891</v>
      </c>
      <c r="B4225" s="152"/>
      <c r="C4225" s="55"/>
      <c r="D4225" s="31"/>
    </row>
    <row r="4226">
      <c r="A4226" s="51" t="s">
        <v>32892</v>
      </c>
      <c r="B4226" s="152"/>
      <c r="C4226" s="55"/>
      <c r="D4226" s="31"/>
    </row>
    <row r="4227">
      <c r="A4227" s="51" t="s">
        <v>32893</v>
      </c>
      <c r="B4227" s="152"/>
      <c r="C4227" s="55"/>
      <c r="D4227" s="31"/>
    </row>
    <row r="4228">
      <c r="A4228" s="51" t="s">
        <v>32894</v>
      </c>
      <c r="B4228" s="152"/>
      <c r="C4228" s="55"/>
      <c r="D4228" s="31"/>
    </row>
    <row r="4229">
      <c r="A4229" s="51" t="s">
        <v>32896</v>
      </c>
      <c r="B4229" s="152"/>
      <c r="C4229" s="55"/>
      <c r="D4229" s="31"/>
    </row>
    <row r="4230">
      <c r="A4230" s="51" t="s">
        <v>32897</v>
      </c>
      <c r="B4230" s="152"/>
      <c r="C4230" s="55"/>
      <c r="D4230" s="31"/>
    </row>
    <row r="4231">
      <c r="A4231" s="51" t="s">
        <v>32899</v>
      </c>
      <c r="B4231" s="152"/>
      <c r="C4231" s="55"/>
      <c r="D4231" s="31"/>
    </row>
    <row r="4232">
      <c r="A4232" s="51" t="s">
        <v>32900</v>
      </c>
      <c r="B4232" s="152"/>
      <c r="C4232" s="55"/>
      <c r="D4232" s="31"/>
    </row>
    <row r="4233">
      <c r="A4233" s="51" t="s">
        <v>32902</v>
      </c>
      <c r="B4233" s="152"/>
      <c r="C4233" s="55"/>
      <c r="D4233" s="31"/>
    </row>
    <row r="4234">
      <c r="A4234" s="51" t="s">
        <v>32904</v>
      </c>
      <c r="B4234" s="152"/>
      <c r="C4234" s="55"/>
      <c r="D4234" s="31"/>
    </row>
    <row r="4235">
      <c r="A4235" s="51" t="s">
        <v>32906</v>
      </c>
      <c r="B4235" s="152"/>
      <c r="C4235" s="55"/>
      <c r="D4235" s="31"/>
    </row>
    <row r="4236">
      <c r="A4236" s="51" t="s">
        <v>32908</v>
      </c>
      <c r="B4236" s="152"/>
      <c r="C4236" s="55"/>
      <c r="D4236" s="31"/>
    </row>
    <row r="4237">
      <c r="A4237" s="51" t="s">
        <v>32909</v>
      </c>
      <c r="B4237" s="152"/>
      <c r="C4237" s="55"/>
      <c r="D4237" s="31"/>
    </row>
    <row r="4238">
      <c r="A4238" s="51" t="s">
        <v>32910</v>
      </c>
      <c r="B4238" s="152"/>
      <c r="C4238" s="55"/>
      <c r="D4238" s="31"/>
    </row>
    <row r="4239">
      <c r="A4239" s="51" t="s">
        <v>32911</v>
      </c>
      <c r="B4239" s="152"/>
      <c r="C4239" s="55"/>
      <c r="D4239" s="31"/>
    </row>
    <row r="4240">
      <c r="A4240" s="51" t="s">
        <v>32912</v>
      </c>
      <c r="B4240" s="152"/>
      <c r="C4240" s="55"/>
      <c r="D4240" s="31"/>
    </row>
    <row r="4241">
      <c r="A4241" s="51" t="s">
        <v>32914</v>
      </c>
      <c r="B4241" s="152"/>
      <c r="C4241" s="55"/>
      <c r="D4241" s="31"/>
    </row>
    <row r="4242">
      <c r="A4242" s="51" t="s">
        <v>32916</v>
      </c>
      <c r="B4242" s="152"/>
      <c r="C4242" s="55"/>
      <c r="D4242" s="31"/>
    </row>
    <row r="4243">
      <c r="A4243" s="51" t="s">
        <v>32917</v>
      </c>
      <c r="B4243" s="152"/>
      <c r="C4243" s="55"/>
      <c r="D4243" s="31"/>
    </row>
    <row r="4244">
      <c r="A4244" s="51" t="s">
        <v>32918</v>
      </c>
      <c r="B4244" s="152"/>
      <c r="C4244" s="55"/>
      <c r="D4244" s="31"/>
    </row>
    <row r="4245">
      <c r="A4245" s="51" t="s">
        <v>32919</v>
      </c>
      <c r="B4245" s="152"/>
      <c r="C4245" s="55"/>
      <c r="D4245" s="31"/>
    </row>
    <row r="4246">
      <c r="A4246" s="51" t="s">
        <v>32921</v>
      </c>
      <c r="B4246" s="152"/>
      <c r="C4246" s="55"/>
      <c r="D4246" s="31"/>
    </row>
    <row r="4247">
      <c r="A4247" s="51" t="s">
        <v>32924</v>
      </c>
      <c r="B4247" s="152"/>
      <c r="C4247" s="55"/>
      <c r="D4247" s="31"/>
    </row>
    <row r="4248">
      <c r="A4248" s="51" t="s">
        <v>32925</v>
      </c>
      <c r="B4248" s="152"/>
      <c r="C4248" s="55"/>
      <c r="D4248" s="31"/>
    </row>
    <row r="4249">
      <c r="A4249" s="51" t="s">
        <v>32926</v>
      </c>
      <c r="B4249" s="152"/>
      <c r="C4249" s="55"/>
      <c r="D4249" s="31"/>
    </row>
    <row r="4250">
      <c r="A4250" s="51" t="s">
        <v>32927</v>
      </c>
      <c r="B4250" s="152"/>
      <c r="C4250" s="55"/>
      <c r="D4250" s="31"/>
    </row>
    <row r="4251">
      <c r="A4251" s="51" t="s">
        <v>32928</v>
      </c>
      <c r="B4251" s="152"/>
      <c r="C4251" s="55"/>
      <c r="D4251" s="31"/>
    </row>
    <row r="4252">
      <c r="A4252" s="51" t="s">
        <v>32930</v>
      </c>
      <c r="B4252" s="152"/>
      <c r="C4252" s="55"/>
      <c r="D4252" s="31"/>
    </row>
    <row r="4253">
      <c r="A4253" s="51" t="s">
        <v>32932</v>
      </c>
      <c r="B4253" s="152"/>
      <c r="C4253" s="55"/>
      <c r="D4253" s="31"/>
    </row>
    <row r="4254">
      <c r="A4254" s="51" t="s">
        <v>32933</v>
      </c>
      <c r="B4254" s="152"/>
      <c r="C4254" s="55"/>
      <c r="D4254" s="31"/>
    </row>
    <row r="4255">
      <c r="A4255" s="51" t="s">
        <v>32934</v>
      </c>
      <c r="B4255" s="152"/>
      <c r="C4255" s="55"/>
      <c r="D4255" s="31"/>
    </row>
    <row r="4256">
      <c r="A4256" s="51" t="s">
        <v>32935</v>
      </c>
      <c r="B4256" s="152"/>
      <c r="C4256" s="55"/>
      <c r="D4256" s="31"/>
    </row>
    <row r="4257">
      <c r="A4257" s="51" t="s">
        <v>32936</v>
      </c>
      <c r="B4257" s="152"/>
      <c r="C4257" s="55"/>
      <c r="D4257" s="31"/>
    </row>
    <row r="4258">
      <c r="A4258" s="51" t="s">
        <v>32937</v>
      </c>
      <c r="B4258" s="152"/>
      <c r="C4258" s="55"/>
      <c r="D4258" s="31"/>
    </row>
    <row r="4259">
      <c r="A4259" s="51" t="s">
        <v>32940</v>
      </c>
      <c r="B4259" s="152"/>
      <c r="C4259" s="55"/>
      <c r="D4259" s="31"/>
    </row>
    <row r="4260">
      <c r="A4260" s="51" t="s">
        <v>32941</v>
      </c>
      <c r="B4260" s="152"/>
      <c r="C4260" s="55"/>
      <c r="D4260" s="31"/>
    </row>
    <row r="4261">
      <c r="A4261" s="51" t="s">
        <v>32942</v>
      </c>
      <c r="B4261" s="152"/>
      <c r="C4261" s="55"/>
      <c r="D4261" s="31"/>
    </row>
    <row r="4262">
      <c r="A4262" s="51" t="s">
        <v>32943</v>
      </c>
      <c r="B4262" s="152"/>
      <c r="C4262" s="55"/>
      <c r="D4262" s="31"/>
    </row>
    <row r="4263">
      <c r="A4263" s="51" t="s">
        <v>32944</v>
      </c>
      <c r="B4263" s="152"/>
      <c r="C4263" s="55"/>
      <c r="D4263" s="31"/>
    </row>
    <row r="4264">
      <c r="A4264" s="51" t="s">
        <v>32945</v>
      </c>
      <c r="B4264" s="152"/>
      <c r="C4264" s="55"/>
      <c r="D4264" s="31"/>
    </row>
    <row r="4265">
      <c r="A4265" s="51" t="s">
        <v>32947</v>
      </c>
      <c r="B4265" s="152"/>
      <c r="C4265" s="55"/>
      <c r="D4265" s="31"/>
    </row>
    <row r="4266">
      <c r="A4266" s="51" t="s">
        <v>32949</v>
      </c>
      <c r="B4266" s="152"/>
      <c r="C4266" s="55"/>
      <c r="D4266" s="31"/>
    </row>
    <row r="4267">
      <c r="A4267" s="51" t="s">
        <v>32950</v>
      </c>
      <c r="B4267" s="152"/>
      <c r="C4267" s="55"/>
      <c r="D4267" s="31"/>
    </row>
    <row r="4268">
      <c r="A4268" s="51" t="s">
        <v>32951</v>
      </c>
      <c r="B4268" s="152"/>
      <c r="C4268" s="55"/>
      <c r="D4268" s="31"/>
    </row>
    <row r="4269">
      <c r="A4269" s="51" t="s">
        <v>32952</v>
      </c>
      <c r="B4269" s="152"/>
      <c r="C4269" s="55"/>
      <c r="D4269" s="31"/>
    </row>
    <row r="4270">
      <c r="A4270" s="51" t="s">
        <v>32953</v>
      </c>
      <c r="B4270" s="152"/>
      <c r="C4270" s="55"/>
      <c r="D4270" s="31"/>
    </row>
    <row r="4271">
      <c r="A4271" s="51" t="s">
        <v>32954</v>
      </c>
      <c r="B4271" s="152"/>
      <c r="C4271" s="55"/>
      <c r="D4271" s="31"/>
    </row>
    <row r="4272">
      <c r="A4272" s="51" t="s">
        <v>32957</v>
      </c>
      <c r="B4272" s="152"/>
      <c r="C4272" s="55"/>
      <c r="D4272" s="31"/>
    </row>
    <row r="4273">
      <c r="A4273" s="51" t="s">
        <v>32958</v>
      </c>
      <c r="B4273" s="152"/>
      <c r="C4273" s="55"/>
      <c r="D4273" s="31"/>
    </row>
    <row r="4274">
      <c r="A4274" s="51" t="s">
        <v>32959</v>
      </c>
      <c r="B4274" s="152"/>
      <c r="C4274" s="55"/>
      <c r="D4274" s="31"/>
    </row>
    <row r="4275">
      <c r="A4275" s="51" t="s">
        <v>32960</v>
      </c>
      <c r="B4275" s="152"/>
      <c r="C4275" s="55"/>
      <c r="D4275" s="31"/>
    </row>
    <row r="4276">
      <c r="A4276" s="51" t="s">
        <v>32961</v>
      </c>
      <c r="B4276" s="152"/>
      <c r="C4276" s="55"/>
      <c r="D4276" s="31"/>
    </row>
    <row r="4277">
      <c r="A4277" s="51" t="s">
        <v>32962</v>
      </c>
      <c r="B4277" s="152"/>
      <c r="C4277" s="55"/>
      <c r="D4277" s="31"/>
    </row>
    <row r="4278">
      <c r="A4278" s="51" t="s">
        <v>32965</v>
      </c>
      <c r="B4278" s="152"/>
      <c r="C4278" s="55"/>
      <c r="D4278" s="31"/>
    </row>
    <row r="4279">
      <c r="A4279" s="51" t="s">
        <v>32966</v>
      </c>
      <c r="B4279" s="152"/>
      <c r="C4279" s="55"/>
      <c r="D4279" s="31"/>
    </row>
    <row r="4280">
      <c r="A4280" s="51" t="s">
        <v>32967</v>
      </c>
      <c r="B4280" s="152"/>
      <c r="C4280" s="55"/>
      <c r="D4280" s="31"/>
    </row>
    <row r="4281">
      <c r="A4281" s="51" t="s">
        <v>32968</v>
      </c>
      <c r="B4281" s="152"/>
      <c r="C4281" s="55"/>
      <c r="D4281" s="31"/>
    </row>
    <row r="4282">
      <c r="A4282" s="51" t="s">
        <v>32969</v>
      </c>
      <c r="B4282" s="152"/>
      <c r="C4282" s="55"/>
      <c r="D4282" s="31"/>
    </row>
    <row r="4283">
      <c r="A4283" s="51" t="s">
        <v>32971</v>
      </c>
      <c r="B4283" s="152"/>
      <c r="C4283" s="55"/>
      <c r="D4283" s="31"/>
    </row>
    <row r="4284">
      <c r="A4284" s="51" t="s">
        <v>32972</v>
      </c>
      <c r="B4284" s="152"/>
      <c r="C4284" s="55"/>
      <c r="D4284" s="31"/>
    </row>
    <row r="4285">
      <c r="A4285" s="51" t="s">
        <v>32974</v>
      </c>
      <c r="B4285" s="152"/>
      <c r="C4285" s="55"/>
      <c r="D4285" s="31"/>
    </row>
    <row r="4286">
      <c r="A4286" s="51" t="s">
        <v>32975</v>
      </c>
      <c r="B4286" s="152"/>
      <c r="C4286" s="55"/>
      <c r="D4286" s="31"/>
    </row>
    <row r="4287">
      <c r="A4287" s="51" t="s">
        <v>32977</v>
      </c>
      <c r="B4287" s="152"/>
      <c r="C4287" s="55"/>
      <c r="D4287" s="31"/>
    </row>
    <row r="4288">
      <c r="A4288" s="51" t="s">
        <v>32979</v>
      </c>
      <c r="B4288" s="152"/>
      <c r="C4288" s="55"/>
      <c r="D4288" s="31"/>
    </row>
    <row r="4289">
      <c r="A4289" s="51" t="s">
        <v>32980</v>
      </c>
      <c r="B4289" s="152"/>
      <c r="C4289" s="55"/>
      <c r="D4289" s="31"/>
    </row>
    <row r="4290">
      <c r="A4290" s="51" t="s">
        <v>32982</v>
      </c>
      <c r="B4290" s="152"/>
      <c r="C4290" s="55"/>
      <c r="D4290" s="31"/>
    </row>
    <row r="4291">
      <c r="A4291" s="51" t="s">
        <v>32983</v>
      </c>
      <c r="B4291" s="152"/>
      <c r="C4291" s="55"/>
      <c r="D4291" s="31"/>
    </row>
    <row r="4292">
      <c r="A4292" s="51" t="s">
        <v>32985</v>
      </c>
      <c r="B4292" s="152"/>
      <c r="C4292" s="55"/>
      <c r="D4292" s="31"/>
    </row>
    <row r="4293">
      <c r="A4293" s="51" t="s">
        <v>32987</v>
      </c>
      <c r="B4293" s="152"/>
      <c r="C4293" s="55"/>
      <c r="D4293" s="31"/>
    </row>
    <row r="4294">
      <c r="A4294" s="51" t="s">
        <v>32989</v>
      </c>
      <c r="B4294" s="152"/>
      <c r="C4294" s="55"/>
      <c r="D4294" s="31"/>
    </row>
    <row r="4295">
      <c r="A4295" s="51" t="s">
        <v>32990</v>
      </c>
      <c r="B4295" s="152"/>
      <c r="C4295" s="55"/>
      <c r="D4295" s="31"/>
    </row>
    <row r="4296">
      <c r="A4296" s="51" t="s">
        <v>32992</v>
      </c>
      <c r="B4296" s="152"/>
      <c r="C4296" s="55"/>
      <c r="D4296" s="31"/>
    </row>
    <row r="4297">
      <c r="A4297" s="51" t="s">
        <v>32993</v>
      </c>
      <c r="B4297" s="152"/>
      <c r="C4297" s="55"/>
      <c r="D4297" s="31"/>
    </row>
    <row r="4298">
      <c r="A4298" s="51" t="s">
        <v>32995</v>
      </c>
      <c r="B4298" s="152"/>
      <c r="C4298" s="55"/>
      <c r="D4298" s="31"/>
    </row>
    <row r="4299">
      <c r="A4299" s="51" t="s">
        <v>32996</v>
      </c>
      <c r="B4299" s="152"/>
      <c r="C4299" s="55"/>
      <c r="D4299" s="31"/>
    </row>
    <row r="4300">
      <c r="A4300" s="51" t="s">
        <v>32997</v>
      </c>
      <c r="B4300" s="152"/>
      <c r="C4300" s="55"/>
      <c r="D4300" s="31"/>
    </row>
    <row r="4301">
      <c r="A4301" s="51" t="s">
        <v>32998</v>
      </c>
      <c r="B4301" s="152"/>
      <c r="C4301" s="55"/>
      <c r="D4301" s="31"/>
    </row>
    <row r="4302">
      <c r="A4302" s="51" t="s">
        <v>33000</v>
      </c>
      <c r="B4302" s="152"/>
      <c r="C4302" s="55"/>
      <c r="D4302" s="31"/>
    </row>
    <row r="4303">
      <c r="A4303" s="51" t="s">
        <v>33001</v>
      </c>
      <c r="B4303" s="152"/>
      <c r="C4303" s="55"/>
      <c r="D4303" s="31"/>
    </row>
    <row r="4304">
      <c r="A4304" s="51" t="s">
        <v>33003</v>
      </c>
      <c r="B4304" s="152"/>
      <c r="C4304" s="55"/>
      <c r="D4304" s="31"/>
    </row>
    <row r="4305">
      <c r="A4305" s="51" t="s">
        <v>33004</v>
      </c>
      <c r="B4305" s="152"/>
      <c r="C4305" s="55"/>
      <c r="D4305" s="31"/>
    </row>
    <row r="4306">
      <c r="A4306" s="51" t="s">
        <v>33005</v>
      </c>
      <c r="B4306" s="152"/>
      <c r="C4306" s="55"/>
      <c r="D4306" s="31"/>
    </row>
    <row r="4307">
      <c r="A4307" s="51" t="s">
        <v>33007</v>
      </c>
      <c r="B4307" s="152"/>
      <c r="C4307" s="55"/>
      <c r="D4307" s="31"/>
    </row>
    <row r="4308">
      <c r="A4308" s="51" t="s">
        <v>33008</v>
      </c>
      <c r="B4308" s="152"/>
      <c r="C4308" s="55"/>
      <c r="D4308" s="31"/>
    </row>
    <row r="4309">
      <c r="A4309" s="51" t="s">
        <v>33009</v>
      </c>
      <c r="B4309" s="152"/>
      <c r="C4309" s="55"/>
      <c r="D4309" s="31"/>
    </row>
    <row r="4310">
      <c r="A4310" s="51" t="s">
        <v>33010</v>
      </c>
      <c r="B4310" s="152"/>
      <c r="C4310" s="55"/>
      <c r="D4310" s="31"/>
    </row>
    <row r="4311">
      <c r="A4311" s="51" t="s">
        <v>33011</v>
      </c>
      <c r="B4311" s="152"/>
      <c r="C4311" s="55"/>
      <c r="D4311" s="31"/>
    </row>
    <row r="4312">
      <c r="A4312" s="51" t="s">
        <v>33013</v>
      </c>
      <c r="B4312" s="152"/>
      <c r="C4312" s="55"/>
      <c r="D4312" s="31"/>
    </row>
    <row r="4313">
      <c r="A4313" s="51" t="s">
        <v>33015</v>
      </c>
      <c r="B4313" s="152"/>
      <c r="C4313" s="55"/>
      <c r="D4313" s="31"/>
    </row>
    <row r="4314">
      <c r="A4314" s="51" t="s">
        <v>33016</v>
      </c>
      <c r="B4314" s="152"/>
      <c r="C4314" s="55"/>
      <c r="D4314" s="31"/>
    </row>
    <row r="4315">
      <c r="A4315" s="51" t="s">
        <v>33017</v>
      </c>
      <c r="B4315" s="152"/>
      <c r="C4315" s="55"/>
      <c r="D4315" s="31"/>
    </row>
    <row r="4316">
      <c r="A4316" s="51" t="s">
        <v>33018</v>
      </c>
      <c r="B4316" s="152"/>
      <c r="C4316" s="55"/>
      <c r="D4316" s="31"/>
    </row>
    <row r="4317">
      <c r="A4317" s="51" t="s">
        <v>33019</v>
      </c>
      <c r="B4317" s="152"/>
      <c r="C4317" s="55"/>
      <c r="D4317" s="31"/>
    </row>
    <row r="4318">
      <c r="A4318" s="51" t="s">
        <v>33021</v>
      </c>
      <c r="B4318" s="152"/>
      <c r="C4318" s="55"/>
      <c r="D4318" s="31"/>
    </row>
    <row r="4319">
      <c r="A4319" s="51" t="s">
        <v>33023</v>
      </c>
      <c r="B4319" s="152"/>
      <c r="C4319" s="55"/>
      <c r="D4319" s="31"/>
    </row>
    <row r="4320">
      <c r="A4320" s="51" t="s">
        <v>33024</v>
      </c>
      <c r="B4320" s="152"/>
      <c r="C4320" s="55"/>
      <c r="D4320" s="31"/>
    </row>
    <row r="4321">
      <c r="A4321" s="51" t="s">
        <v>33025</v>
      </c>
      <c r="B4321" s="152"/>
      <c r="C4321" s="55"/>
      <c r="D4321" s="31"/>
    </row>
    <row r="4322">
      <c r="A4322" s="51" t="s">
        <v>33026</v>
      </c>
      <c r="B4322" s="152"/>
      <c r="C4322" s="55"/>
      <c r="D4322" s="31"/>
    </row>
    <row r="4323">
      <c r="A4323" s="51" t="s">
        <v>33027</v>
      </c>
      <c r="B4323" s="152"/>
      <c r="C4323" s="55"/>
      <c r="D4323" s="31"/>
    </row>
    <row r="4324">
      <c r="A4324" s="51" t="s">
        <v>33029</v>
      </c>
      <c r="B4324" s="152"/>
      <c r="C4324" s="55"/>
      <c r="D4324" s="31"/>
    </row>
    <row r="4325">
      <c r="A4325" s="51" t="s">
        <v>33031</v>
      </c>
      <c r="B4325" s="152"/>
      <c r="C4325" s="55"/>
      <c r="D4325" s="31"/>
    </row>
    <row r="4326">
      <c r="A4326" s="51" t="s">
        <v>33032</v>
      </c>
      <c r="B4326" s="152"/>
      <c r="C4326" s="55"/>
      <c r="D4326" s="31"/>
    </row>
    <row r="4327">
      <c r="A4327" s="51" t="s">
        <v>33033</v>
      </c>
      <c r="B4327" s="152"/>
      <c r="C4327" s="55"/>
      <c r="D4327" s="31"/>
    </row>
    <row r="4328">
      <c r="A4328" s="51" t="s">
        <v>33034</v>
      </c>
      <c r="B4328" s="152"/>
      <c r="C4328" s="55"/>
      <c r="D4328" s="31"/>
    </row>
    <row r="4329">
      <c r="A4329" s="51" t="s">
        <v>33035</v>
      </c>
      <c r="B4329" s="152"/>
      <c r="C4329" s="55"/>
      <c r="D4329" s="31"/>
    </row>
    <row r="4330">
      <c r="A4330" s="51" t="s">
        <v>33037</v>
      </c>
      <c r="B4330" s="152"/>
      <c r="C4330" s="55"/>
      <c r="D4330" s="31"/>
    </row>
    <row r="4331">
      <c r="A4331" s="51" t="s">
        <v>33038</v>
      </c>
      <c r="B4331" s="152"/>
      <c r="C4331" s="55"/>
      <c r="D4331" s="31"/>
    </row>
    <row r="4332">
      <c r="A4332" s="51" t="s">
        <v>33040</v>
      </c>
      <c r="B4332" s="152"/>
      <c r="C4332" s="55"/>
      <c r="D4332" s="31"/>
    </row>
    <row r="4333">
      <c r="A4333" s="51" t="s">
        <v>33041</v>
      </c>
      <c r="B4333" s="152"/>
      <c r="C4333" s="55"/>
      <c r="D4333" s="31"/>
    </row>
    <row r="4334">
      <c r="A4334" s="51" t="s">
        <v>33042</v>
      </c>
      <c r="B4334" s="152"/>
      <c r="C4334" s="55"/>
      <c r="D4334" s="31"/>
    </row>
    <row r="4335">
      <c r="A4335" s="51" t="s">
        <v>33043</v>
      </c>
      <c r="B4335" s="152"/>
      <c r="C4335" s="55"/>
      <c r="D4335" s="31"/>
    </row>
    <row r="4336">
      <c r="A4336" s="51" t="s">
        <v>33044</v>
      </c>
      <c r="B4336" s="152"/>
      <c r="C4336" s="55"/>
      <c r="D4336" s="31"/>
    </row>
    <row r="4337">
      <c r="A4337" s="51" t="s">
        <v>33046</v>
      </c>
      <c r="B4337" s="152"/>
      <c r="C4337" s="55"/>
      <c r="D4337" s="31"/>
    </row>
    <row r="4338">
      <c r="A4338" s="51" t="s">
        <v>33048</v>
      </c>
      <c r="B4338" s="152"/>
      <c r="C4338" s="55"/>
      <c r="D4338" s="31"/>
    </row>
    <row r="4339">
      <c r="A4339" s="51" t="s">
        <v>33049</v>
      </c>
      <c r="B4339" s="152"/>
      <c r="C4339" s="55"/>
      <c r="D4339" s="31"/>
    </row>
    <row r="4340">
      <c r="A4340" s="51" t="s">
        <v>33050</v>
      </c>
      <c r="B4340" s="152"/>
      <c r="C4340" s="55"/>
      <c r="D4340" s="31"/>
    </row>
    <row r="4341">
      <c r="A4341" s="51" t="s">
        <v>33051</v>
      </c>
      <c r="B4341" s="152"/>
      <c r="C4341" s="55"/>
      <c r="D4341" s="31"/>
    </row>
    <row r="4342">
      <c r="A4342" s="51" t="s">
        <v>33053</v>
      </c>
      <c r="B4342" s="152"/>
      <c r="C4342" s="55"/>
      <c r="D4342" s="31"/>
    </row>
    <row r="4343">
      <c r="A4343" s="51" t="s">
        <v>33054</v>
      </c>
      <c r="B4343" s="152"/>
      <c r="C4343" s="55"/>
      <c r="D4343" s="31"/>
    </row>
    <row r="4344">
      <c r="A4344" s="51" t="s">
        <v>33056</v>
      </c>
      <c r="B4344" s="152"/>
      <c r="C4344" s="55"/>
      <c r="D4344" s="31"/>
    </row>
    <row r="4345">
      <c r="A4345" s="51" t="s">
        <v>33057</v>
      </c>
      <c r="B4345" s="152"/>
      <c r="C4345" s="55"/>
      <c r="D4345" s="31"/>
    </row>
    <row r="4346">
      <c r="A4346" s="51" t="s">
        <v>33058</v>
      </c>
      <c r="B4346" s="152"/>
      <c r="C4346" s="55"/>
      <c r="D4346" s="31"/>
    </row>
    <row r="4347">
      <c r="A4347" s="51" t="s">
        <v>33060</v>
      </c>
      <c r="B4347" s="152"/>
      <c r="C4347" s="55"/>
      <c r="D4347" s="31"/>
    </row>
    <row r="4348">
      <c r="A4348" s="51" t="s">
        <v>33061</v>
      </c>
      <c r="B4348" s="152"/>
      <c r="C4348" s="55"/>
      <c r="D4348" s="31"/>
    </row>
    <row r="4349">
      <c r="A4349" s="51" t="s">
        <v>33062</v>
      </c>
      <c r="B4349" s="152"/>
      <c r="C4349" s="55"/>
      <c r="D4349" s="31"/>
    </row>
    <row r="4350">
      <c r="A4350" s="51" t="s">
        <v>33063</v>
      </c>
      <c r="B4350" s="152"/>
      <c r="C4350" s="55"/>
      <c r="D4350" s="31"/>
    </row>
    <row r="4351">
      <c r="A4351" s="51" t="s">
        <v>33064</v>
      </c>
      <c r="B4351" s="152"/>
      <c r="C4351" s="55"/>
      <c r="D4351" s="31"/>
    </row>
    <row r="4352">
      <c r="A4352" s="51" t="s">
        <v>33067</v>
      </c>
      <c r="B4352" s="152"/>
      <c r="C4352" s="55"/>
      <c r="D4352" s="31"/>
    </row>
    <row r="4353">
      <c r="A4353" s="51" t="s">
        <v>33068</v>
      </c>
      <c r="B4353" s="152"/>
      <c r="C4353" s="55"/>
      <c r="D4353" s="31"/>
    </row>
    <row r="4354">
      <c r="A4354" s="51" t="s">
        <v>33071</v>
      </c>
      <c r="B4354" s="152"/>
      <c r="C4354" s="55"/>
      <c r="D4354" s="31"/>
    </row>
    <row r="4355">
      <c r="A4355" s="51" t="s">
        <v>33072</v>
      </c>
      <c r="B4355" s="152"/>
      <c r="C4355" s="55"/>
      <c r="D4355" s="31"/>
    </row>
    <row r="4356">
      <c r="A4356" s="51" t="s">
        <v>33073</v>
      </c>
      <c r="B4356" s="152"/>
      <c r="C4356" s="55"/>
      <c r="D4356" s="31"/>
    </row>
    <row r="4357">
      <c r="A4357" s="51" t="s">
        <v>33074</v>
      </c>
      <c r="B4357" s="152"/>
      <c r="C4357" s="55"/>
      <c r="D4357" s="31"/>
    </row>
    <row r="4358">
      <c r="A4358" s="51" t="s">
        <v>33077</v>
      </c>
      <c r="B4358" s="152"/>
      <c r="C4358" s="55"/>
      <c r="D4358" s="31"/>
    </row>
    <row r="4359">
      <c r="A4359" s="51" t="s">
        <v>33079</v>
      </c>
      <c r="B4359" s="152"/>
      <c r="C4359" s="55"/>
      <c r="D4359" s="31"/>
    </row>
    <row r="4360">
      <c r="A4360" s="51" t="s">
        <v>33081</v>
      </c>
      <c r="B4360" s="152"/>
      <c r="C4360" s="55"/>
      <c r="D4360" s="31"/>
    </row>
    <row r="4361">
      <c r="A4361" s="51" t="s">
        <v>33082</v>
      </c>
      <c r="B4361" s="152"/>
      <c r="C4361" s="55"/>
      <c r="D4361" s="31"/>
    </row>
    <row r="4362">
      <c r="A4362" s="51" t="s">
        <v>33083</v>
      </c>
      <c r="B4362" s="152"/>
      <c r="C4362" s="55"/>
      <c r="D4362" s="31"/>
    </row>
    <row r="4363">
      <c r="A4363" s="51" t="s">
        <v>33084</v>
      </c>
      <c r="B4363" s="152"/>
      <c r="C4363" s="55"/>
      <c r="D4363" s="31"/>
    </row>
    <row r="4364">
      <c r="A4364" s="51" t="s">
        <v>33085</v>
      </c>
      <c r="B4364" s="152"/>
      <c r="C4364" s="55"/>
      <c r="D4364" s="31"/>
    </row>
    <row r="4365">
      <c r="A4365" s="51" t="s">
        <v>33087</v>
      </c>
      <c r="B4365" s="152"/>
      <c r="C4365" s="55"/>
      <c r="D4365" s="31"/>
    </row>
    <row r="4366">
      <c r="A4366" s="51" t="s">
        <v>33088</v>
      </c>
      <c r="B4366" s="152"/>
      <c r="C4366" s="55"/>
      <c r="D4366" s="31"/>
    </row>
    <row r="4367">
      <c r="A4367" s="51" t="s">
        <v>33089</v>
      </c>
      <c r="B4367" s="152"/>
      <c r="C4367" s="55"/>
      <c r="D4367" s="31"/>
    </row>
    <row r="4368">
      <c r="A4368" s="51" t="s">
        <v>33090</v>
      </c>
      <c r="B4368" s="152"/>
      <c r="C4368" s="55"/>
      <c r="D4368" s="31"/>
    </row>
    <row r="4369">
      <c r="A4369" s="51" t="s">
        <v>33092</v>
      </c>
      <c r="B4369" s="152"/>
      <c r="C4369" s="55"/>
      <c r="D4369" s="31"/>
    </row>
    <row r="4370">
      <c r="A4370" s="51" t="s">
        <v>33093</v>
      </c>
      <c r="B4370" s="152"/>
      <c r="C4370" s="55"/>
      <c r="D4370" s="31"/>
    </row>
    <row r="4371">
      <c r="A4371" s="51" t="s">
        <v>33094</v>
      </c>
      <c r="B4371" s="152"/>
      <c r="C4371" s="55"/>
      <c r="D4371" s="31"/>
    </row>
    <row r="4372">
      <c r="A4372" s="51" t="s">
        <v>33095</v>
      </c>
      <c r="B4372" s="152"/>
      <c r="C4372" s="55"/>
      <c r="D4372" s="31"/>
    </row>
    <row r="4373">
      <c r="A4373" s="51" t="s">
        <v>33096</v>
      </c>
      <c r="B4373" s="152"/>
      <c r="C4373" s="55"/>
      <c r="D4373" s="31"/>
    </row>
    <row r="4374">
      <c r="A4374" s="51" t="s">
        <v>33097</v>
      </c>
      <c r="B4374" s="152"/>
      <c r="C4374" s="55"/>
      <c r="D4374" s="31"/>
    </row>
    <row r="4375">
      <c r="A4375" s="51" t="s">
        <v>33098</v>
      </c>
      <c r="B4375" s="152"/>
      <c r="C4375" s="55"/>
      <c r="D4375" s="31"/>
    </row>
    <row r="4376">
      <c r="A4376" s="51" t="s">
        <v>33099</v>
      </c>
      <c r="B4376" s="152"/>
      <c r="C4376" s="55"/>
      <c r="D4376" s="31"/>
    </row>
    <row r="4377">
      <c r="A4377" s="51" t="s">
        <v>33101</v>
      </c>
      <c r="B4377" s="152"/>
      <c r="C4377" s="55"/>
      <c r="D4377" s="31"/>
    </row>
    <row r="4378">
      <c r="A4378" s="51" t="s">
        <v>33102</v>
      </c>
      <c r="B4378" s="152"/>
      <c r="C4378" s="55"/>
      <c r="D4378" s="31"/>
    </row>
    <row r="4379">
      <c r="A4379" s="51" t="s">
        <v>33103</v>
      </c>
      <c r="B4379" s="152"/>
      <c r="C4379" s="55"/>
      <c r="D4379" s="31"/>
    </row>
    <row r="4380">
      <c r="A4380" s="51" t="s">
        <v>33105</v>
      </c>
      <c r="B4380" s="152"/>
      <c r="C4380" s="55"/>
      <c r="D4380" s="31"/>
    </row>
    <row r="4381">
      <c r="A4381" s="51" t="s">
        <v>33106</v>
      </c>
      <c r="B4381" s="152"/>
      <c r="C4381" s="55"/>
      <c r="D4381" s="31"/>
    </row>
    <row r="4382">
      <c r="A4382" s="51" t="s">
        <v>33107</v>
      </c>
      <c r="B4382" s="152"/>
      <c r="C4382" s="55"/>
      <c r="D4382" s="31"/>
    </row>
    <row r="4383">
      <c r="A4383" s="51" t="s">
        <v>33109</v>
      </c>
      <c r="B4383" s="152"/>
      <c r="C4383" s="55"/>
      <c r="D4383" s="31"/>
    </row>
    <row r="4384">
      <c r="A4384" s="51" t="s">
        <v>33110</v>
      </c>
      <c r="B4384" s="152"/>
      <c r="C4384" s="55"/>
      <c r="D4384" s="31"/>
    </row>
    <row r="4385">
      <c r="A4385" s="51" t="s">
        <v>33111</v>
      </c>
      <c r="B4385" s="152"/>
      <c r="C4385" s="55"/>
      <c r="D4385" s="31"/>
    </row>
    <row r="4386">
      <c r="A4386" s="51" t="s">
        <v>33112</v>
      </c>
      <c r="B4386" s="152"/>
      <c r="C4386" s="55"/>
      <c r="D4386" s="31"/>
    </row>
    <row r="4387">
      <c r="A4387" s="51" t="s">
        <v>33113</v>
      </c>
      <c r="B4387" s="152"/>
      <c r="C4387" s="55"/>
      <c r="D4387" s="31"/>
    </row>
    <row r="4388">
      <c r="A4388" s="51" t="s">
        <v>33116</v>
      </c>
      <c r="B4388" s="152"/>
      <c r="C4388" s="55"/>
      <c r="D4388" s="31"/>
    </row>
    <row r="4389">
      <c r="A4389" s="51" t="s">
        <v>33117</v>
      </c>
      <c r="B4389" s="152"/>
      <c r="C4389" s="55"/>
      <c r="D4389" s="31"/>
    </row>
    <row r="4390">
      <c r="A4390" s="51" t="s">
        <v>33119</v>
      </c>
      <c r="B4390" s="152"/>
      <c r="C4390" s="55"/>
      <c r="D4390" s="31"/>
    </row>
    <row r="4391">
      <c r="A4391" s="51" t="s">
        <v>33121</v>
      </c>
      <c r="B4391" s="152"/>
      <c r="C4391" s="55"/>
      <c r="D4391" s="31"/>
    </row>
    <row r="4392">
      <c r="A4392" s="51" t="s">
        <v>33122</v>
      </c>
      <c r="B4392" s="152"/>
      <c r="C4392" s="55"/>
      <c r="D4392" s="31"/>
    </row>
    <row r="4393">
      <c r="A4393" s="51" t="s">
        <v>33123</v>
      </c>
      <c r="B4393" s="152"/>
      <c r="C4393" s="55"/>
      <c r="D4393" s="31"/>
    </row>
    <row r="4394">
      <c r="A4394" s="51" t="s">
        <v>33124</v>
      </c>
      <c r="B4394" s="152"/>
      <c r="C4394" s="55"/>
      <c r="D4394" s="31"/>
    </row>
    <row r="4395">
      <c r="A4395" s="51" t="s">
        <v>33125</v>
      </c>
      <c r="B4395" s="152"/>
      <c r="C4395" s="55"/>
      <c r="D4395" s="31"/>
    </row>
    <row r="4396">
      <c r="A4396" s="51" t="s">
        <v>33127</v>
      </c>
      <c r="B4396" s="152"/>
      <c r="C4396" s="55"/>
      <c r="D4396" s="31"/>
    </row>
    <row r="4397">
      <c r="A4397" s="51" t="s">
        <v>33128</v>
      </c>
      <c r="B4397" s="152"/>
      <c r="C4397" s="55"/>
      <c r="D4397" s="31"/>
    </row>
    <row r="4398">
      <c r="A4398" s="51" t="s">
        <v>33130</v>
      </c>
      <c r="B4398" s="152"/>
      <c r="C4398" s="55"/>
      <c r="D4398" s="31"/>
    </row>
    <row r="4399">
      <c r="A4399" s="51" t="s">
        <v>33131</v>
      </c>
      <c r="B4399" s="152"/>
      <c r="C4399" s="55"/>
      <c r="D4399" s="31"/>
    </row>
    <row r="4400">
      <c r="A4400" s="51" t="s">
        <v>33132</v>
      </c>
      <c r="B4400" s="152"/>
      <c r="C4400" s="55"/>
      <c r="D4400" s="31"/>
    </row>
    <row r="4401">
      <c r="A4401" s="51" t="s">
        <v>33134</v>
      </c>
      <c r="B4401" s="152"/>
      <c r="C4401" s="55"/>
      <c r="D4401" s="31"/>
    </row>
    <row r="4402">
      <c r="A4402" s="51" t="s">
        <v>33135</v>
      </c>
      <c r="B4402" s="152"/>
      <c r="C4402" s="55"/>
      <c r="D4402" s="31"/>
    </row>
    <row r="4403">
      <c r="A4403" s="51" t="s">
        <v>33136</v>
      </c>
      <c r="B4403" s="152"/>
      <c r="C4403" s="55"/>
      <c r="D4403" s="31"/>
    </row>
    <row r="4404">
      <c r="A4404" s="51" t="s">
        <v>33137</v>
      </c>
      <c r="B4404" s="152"/>
      <c r="C4404" s="55"/>
      <c r="D4404" s="31"/>
    </row>
    <row r="4405">
      <c r="A4405" s="51" t="s">
        <v>33139</v>
      </c>
      <c r="B4405" s="152"/>
      <c r="C4405" s="55"/>
      <c r="D4405" s="31"/>
    </row>
    <row r="4406">
      <c r="A4406" s="51" t="s">
        <v>33140</v>
      </c>
      <c r="B4406" s="152"/>
      <c r="C4406" s="55"/>
      <c r="D4406" s="31"/>
    </row>
    <row r="4407">
      <c r="A4407" s="51" t="s">
        <v>33141</v>
      </c>
      <c r="B4407" s="152"/>
      <c r="C4407" s="55"/>
      <c r="D4407" s="31"/>
    </row>
    <row r="4408">
      <c r="A4408" s="51" t="s">
        <v>33143</v>
      </c>
      <c r="B4408" s="152"/>
      <c r="C4408" s="55"/>
      <c r="D4408" s="31"/>
    </row>
    <row r="4409">
      <c r="A4409" s="51" t="s">
        <v>33144</v>
      </c>
      <c r="B4409" s="152"/>
      <c r="C4409" s="55"/>
      <c r="D4409" s="31"/>
    </row>
    <row r="4410">
      <c r="A4410" s="51" t="s">
        <v>33145</v>
      </c>
      <c r="B4410" s="152"/>
      <c r="C4410" s="55"/>
      <c r="D4410" s="31"/>
    </row>
    <row r="4411">
      <c r="A4411" s="51" t="s">
        <v>33147</v>
      </c>
      <c r="B4411" s="152"/>
      <c r="C4411" s="55"/>
      <c r="D4411" s="31"/>
    </row>
    <row r="4412">
      <c r="A4412" s="51" t="s">
        <v>33149</v>
      </c>
      <c r="B4412" s="152"/>
      <c r="C4412" s="55"/>
      <c r="D4412" s="31"/>
    </row>
    <row r="4413">
      <c r="A4413" s="51" t="s">
        <v>33150</v>
      </c>
      <c r="B4413" s="152"/>
      <c r="C4413" s="55"/>
      <c r="D4413" s="31"/>
    </row>
    <row r="4414">
      <c r="A4414" s="51" t="s">
        <v>33152</v>
      </c>
      <c r="B4414" s="152"/>
      <c r="C4414" s="55"/>
      <c r="D4414" s="31"/>
    </row>
    <row r="4415">
      <c r="A4415" s="51" t="s">
        <v>33153</v>
      </c>
      <c r="B4415" s="152"/>
      <c r="C4415" s="55"/>
      <c r="D4415" s="31"/>
    </row>
    <row r="4416">
      <c r="A4416" s="51" t="s">
        <v>33154</v>
      </c>
      <c r="B4416" s="152"/>
      <c r="C4416" s="55"/>
      <c r="D4416" s="31"/>
    </row>
    <row r="4417">
      <c r="A4417" s="51" t="s">
        <v>33156</v>
      </c>
      <c r="B4417" s="152"/>
      <c r="C4417" s="55"/>
      <c r="D4417" s="31"/>
    </row>
    <row r="4418">
      <c r="A4418" s="51" t="s">
        <v>33157</v>
      </c>
      <c r="B4418" s="152"/>
      <c r="C4418" s="55"/>
      <c r="D4418" s="31"/>
    </row>
    <row r="4419">
      <c r="A4419" s="51" t="s">
        <v>33158</v>
      </c>
      <c r="B4419" s="152"/>
      <c r="C4419" s="55"/>
      <c r="D4419" s="31"/>
    </row>
    <row r="4420">
      <c r="A4420" s="51" t="s">
        <v>33160</v>
      </c>
      <c r="B4420" s="152"/>
      <c r="C4420" s="55"/>
      <c r="D4420" s="31"/>
    </row>
    <row r="4421">
      <c r="A4421" s="51" t="s">
        <v>33161</v>
      </c>
      <c r="B4421" s="152"/>
      <c r="C4421" s="55"/>
      <c r="D4421" s="31"/>
    </row>
    <row r="4422">
      <c r="A4422" s="51" t="s">
        <v>33162</v>
      </c>
      <c r="B4422" s="152"/>
      <c r="C4422" s="55"/>
      <c r="D4422" s="31"/>
    </row>
    <row r="4423">
      <c r="A4423" s="51" t="s">
        <v>33163</v>
      </c>
      <c r="B4423" s="152"/>
      <c r="C4423" s="55"/>
      <c r="D4423" s="31"/>
    </row>
    <row r="4424">
      <c r="A4424" s="51" t="s">
        <v>33165</v>
      </c>
      <c r="B4424" s="152"/>
      <c r="C4424" s="55"/>
      <c r="D4424" s="31"/>
    </row>
    <row r="4425">
      <c r="A4425" s="51" t="s">
        <v>33167</v>
      </c>
      <c r="B4425" s="152"/>
      <c r="C4425" s="55"/>
      <c r="D4425" s="31"/>
    </row>
    <row r="4426">
      <c r="A4426" s="51" t="s">
        <v>33169</v>
      </c>
      <c r="B4426" s="152"/>
      <c r="C4426" s="55"/>
      <c r="D4426" s="31"/>
    </row>
    <row r="4427">
      <c r="A4427" s="51" t="s">
        <v>33172</v>
      </c>
      <c r="B4427" s="152"/>
      <c r="C4427" s="55"/>
      <c r="D4427" s="31"/>
    </row>
    <row r="4428">
      <c r="A4428" s="51" t="s">
        <v>33173</v>
      </c>
      <c r="B4428" s="152"/>
      <c r="C4428" s="55"/>
      <c r="D4428" s="31"/>
    </row>
    <row r="4429">
      <c r="A4429" s="51" t="s">
        <v>33174</v>
      </c>
      <c r="B4429" s="152"/>
      <c r="C4429" s="55"/>
      <c r="D4429" s="31"/>
    </row>
    <row r="4430">
      <c r="A4430" s="51" t="s">
        <v>33176</v>
      </c>
      <c r="B4430" s="152"/>
      <c r="C4430" s="55"/>
      <c r="D4430" s="31"/>
    </row>
    <row r="4431">
      <c r="A4431" s="51" t="s">
        <v>33178</v>
      </c>
      <c r="B4431" s="152"/>
      <c r="C4431" s="55"/>
      <c r="D4431" s="31"/>
    </row>
    <row r="4432">
      <c r="A4432" s="51" t="s">
        <v>33180</v>
      </c>
      <c r="B4432" s="152"/>
      <c r="C4432" s="55"/>
      <c r="D4432" s="31"/>
    </row>
    <row r="4433">
      <c r="A4433" s="51" t="s">
        <v>33182</v>
      </c>
      <c r="B4433" s="152"/>
      <c r="C4433" s="55"/>
      <c r="D4433" s="31"/>
    </row>
    <row r="4434">
      <c r="A4434" s="51" t="s">
        <v>33183</v>
      </c>
      <c r="B4434" s="152"/>
      <c r="C4434" s="55"/>
      <c r="D4434" s="31"/>
    </row>
    <row r="4435">
      <c r="A4435" s="51" t="s">
        <v>33185</v>
      </c>
      <c r="B4435" s="152"/>
      <c r="C4435" s="55"/>
      <c r="D4435" s="31"/>
    </row>
    <row r="4436">
      <c r="A4436" s="51" t="s">
        <v>33186</v>
      </c>
      <c r="B4436" s="152"/>
      <c r="C4436" s="55"/>
      <c r="D4436" s="31"/>
    </row>
    <row r="4437">
      <c r="A4437" s="51" t="s">
        <v>33187</v>
      </c>
      <c r="B4437" s="152"/>
      <c r="C4437" s="55"/>
      <c r="D4437" s="31"/>
    </row>
    <row r="4438">
      <c r="A4438" s="51" t="s">
        <v>33188</v>
      </c>
      <c r="B4438" s="152"/>
      <c r="C4438" s="55"/>
      <c r="D4438" s="31"/>
    </row>
    <row r="4439">
      <c r="A4439" s="51" t="s">
        <v>33189</v>
      </c>
      <c r="B4439" s="152"/>
      <c r="C4439" s="55"/>
      <c r="D4439" s="31"/>
    </row>
    <row r="4440">
      <c r="A4440" s="51" t="s">
        <v>33190</v>
      </c>
      <c r="B4440" s="152"/>
      <c r="C4440" s="55"/>
      <c r="D4440" s="31"/>
    </row>
    <row r="4441">
      <c r="A4441" s="51" t="s">
        <v>33192</v>
      </c>
      <c r="B4441" s="152"/>
      <c r="C4441" s="55"/>
      <c r="D4441" s="31"/>
    </row>
    <row r="4442">
      <c r="A4442" s="51" t="s">
        <v>33194</v>
      </c>
      <c r="B4442" s="152"/>
      <c r="C4442" s="55"/>
      <c r="D4442" s="31"/>
    </row>
    <row r="4443">
      <c r="A4443" s="51" t="s">
        <v>33198</v>
      </c>
      <c r="B4443" s="152"/>
      <c r="C4443" s="55"/>
      <c r="D4443" s="31"/>
    </row>
    <row r="4444">
      <c r="A4444" s="51" t="s">
        <v>33200</v>
      </c>
      <c r="B4444" s="152"/>
      <c r="C4444" s="55"/>
      <c r="D4444" s="31"/>
    </row>
    <row r="4445">
      <c r="A4445" s="51" t="s">
        <v>33202</v>
      </c>
      <c r="B4445" s="152"/>
      <c r="C4445" s="55"/>
      <c r="D4445" s="31"/>
    </row>
    <row r="4446">
      <c r="A4446" s="51" t="s">
        <v>33204</v>
      </c>
      <c r="B4446" s="152"/>
      <c r="C4446" s="55"/>
      <c r="D4446" s="31"/>
    </row>
    <row r="4447">
      <c r="A4447" s="51" t="s">
        <v>33206</v>
      </c>
      <c r="B4447" s="152"/>
      <c r="C4447" s="55"/>
      <c r="D4447" s="31"/>
    </row>
    <row r="4448">
      <c r="A4448" s="51" t="s">
        <v>33207</v>
      </c>
      <c r="B4448" s="152"/>
      <c r="C4448" s="55"/>
      <c r="D4448" s="31"/>
    </row>
    <row r="4449">
      <c r="A4449" s="51" t="s">
        <v>33208</v>
      </c>
      <c r="B4449" s="152"/>
      <c r="C4449" s="55"/>
      <c r="D4449" s="31"/>
    </row>
    <row r="4450">
      <c r="A4450" s="51" t="s">
        <v>33210</v>
      </c>
      <c r="B4450" s="152"/>
      <c r="C4450" s="55"/>
      <c r="D4450" s="31"/>
    </row>
    <row r="4451">
      <c r="A4451" s="51" t="s">
        <v>33211</v>
      </c>
      <c r="B4451" s="152"/>
      <c r="C4451" s="55"/>
      <c r="D4451" s="31"/>
    </row>
    <row r="4452">
      <c r="A4452" s="51" t="s">
        <v>33212</v>
      </c>
      <c r="B4452" s="152"/>
      <c r="C4452" s="55"/>
      <c r="D4452" s="31"/>
    </row>
    <row r="4453">
      <c r="A4453" s="51" t="s">
        <v>33215</v>
      </c>
      <c r="B4453" s="152"/>
      <c r="C4453" s="55"/>
      <c r="D4453" s="31"/>
    </row>
    <row r="4454">
      <c r="A4454" s="51" t="s">
        <v>33216</v>
      </c>
      <c r="B4454" s="152"/>
      <c r="C4454" s="55"/>
      <c r="D4454" s="31"/>
    </row>
    <row r="4455">
      <c r="A4455" s="51" t="s">
        <v>33217</v>
      </c>
      <c r="B4455" s="152"/>
      <c r="C4455" s="55"/>
      <c r="D4455" s="31"/>
    </row>
    <row r="4456">
      <c r="A4456" s="51" t="s">
        <v>33219</v>
      </c>
      <c r="B4456" s="152"/>
      <c r="C4456" s="55"/>
      <c r="D4456" s="31"/>
    </row>
    <row r="4457">
      <c r="A4457" s="51" t="s">
        <v>33220</v>
      </c>
      <c r="B4457" s="152"/>
      <c r="C4457" s="55"/>
      <c r="D4457" s="31"/>
    </row>
    <row r="4458">
      <c r="A4458" s="51" t="s">
        <v>33221</v>
      </c>
      <c r="B4458" s="152"/>
      <c r="C4458" s="55"/>
      <c r="D4458" s="31"/>
    </row>
    <row r="4459">
      <c r="A4459" s="51" t="s">
        <v>33223</v>
      </c>
      <c r="B4459" s="152"/>
      <c r="C4459" s="55"/>
      <c r="D4459" s="31"/>
    </row>
    <row r="4460">
      <c r="A4460" s="51" t="s">
        <v>33224</v>
      </c>
      <c r="B4460" s="152"/>
      <c r="C4460" s="55"/>
      <c r="D4460" s="31"/>
    </row>
    <row r="4461">
      <c r="A4461" s="51" t="s">
        <v>33225</v>
      </c>
      <c r="B4461" s="152"/>
      <c r="C4461" s="55"/>
      <c r="D4461" s="31"/>
    </row>
    <row r="4462">
      <c r="A4462" s="51" t="s">
        <v>33227</v>
      </c>
      <c r="B4462" s="152"/>
      <c r="C4462" s="55"/>
      <c r="D4462" s="31"/>
    </row>
    <row r="4463">
      <c r="A4463" s="51" t="s">
        <v>33228</v>
      </c>
      <c r="B4463" s="152"/>
      <c r="C4463" s="55"/>
      <c r="D4463" s="31"/>
    </row>
    <row r="4464">
      <c r="A4464" s="51" t="s">
        <v>33229</v>
      </c>
      <c r="B4464" s="152"/>
      <c r="C4464" s="55"/>
      <c r="D4464" s="31"/>
    </row>
    <row r="4465">
      <c r="A4465" s="51" t="s">
        <v>33231</v>
      </c>
      <c r="B4465" s="152"/>
      <c r="C4465" s="55"/>
      <c r="D4465" s="31"/>
    </row>
    <row r="4466">
      <c r="A4466" s="51" t="s">
        <v>33233</v>
      </c>
      <c r="B4466" s="152"/>
      <c r="C4466" s="55"/>
      <c r="D4466" s="31"/>
    </row>
    <row r="4467">
      <c r="A4467" s="51" t="s">
        <v>33234</v>
      </c>
      <c r="B4467" s="152"/>
      <c r="C4467" s="55"/>
      <c r="D4467" s="31"/>
    </row>
    <row r="4468">
      <c r="A4468" s="51" t="s">
        <v>33235</v>
      </c>
      <c r="B4468" s="152"/>
      <c r="C4468" s="55"/>
      <c r="D4468" s="31"/>
    </row>
    <row r="4469">
      <c r="A4469" s="51" t="s">
        <v>33236</v>
      </c>
      <c r="B4469" s="152"/>
      <c r="C4469" s="55"/>
      <c r="D4469" s="31"/>
    </row>
    <row r="4470">
      <c r="A4470" s="51" t="s">
        <v>33238</v>
      </c>
      <c r="B4470" s="152"/>
      <c r="C4470" s="55"/>
      <c r="D4470" s="31"/>
    </row>
    <row r="4471">
      <c r="A4471" s="51" t="s">
        <v>33239</v>
      </c>
      <c r="B4471" s="152"/>
      <c r="C4471" s="55"/>
      <c r="D4471" s="31"/>
    </row>
    <row r="4472">
      <c r="A4472" s="51" t="s">
        <v>33240</v>
      </c>
      <c r="B4472" s="152"/>
      <c r="C4472" s="55"/>
      <c r="D4472" s="31"/>
    </row>
    <row r="4473">
      <c r="A4473" s="51" t="s">
        <v>33241</v>
      </c>
      <c r="B4473" s="152"/>
      <c r="C4473" s="55"/>
      <c r="D4473" s="31"/>
    </row>
    <row r="4474">
      <c r="A4474" s="51" t="s">
        <v>33243</v>
      </c>
      <c r="B4474" s="152"/>
      <c r="C4474" s="55"/>
      <c r="D4474" s="31"/>
    </row>
    <row r="4475">
      <c r="A4475" s="51" t="s">
        <v>33244</v>
      </c>
      <c r="B4475" s="152"/>
      <c r="C4475" s="55"/>
      <c r="D4475" s="31"/>
    </row>
    <row r="4476">
      <c r="A4476" s="51" t="s">
        <v>33245</v>
      </c>
      <c r="B4476" s="152"/>
      <c r="C4476" s="55"/>
      <c r="D4476" s="31"/>
    </row>
    <row r="4477">
      <c r="A4477" s="51" t="s">
        <v>33246</v>
      </c>
      <c r="B4477" s="152"/>
      <c r="C4477" s="55"/>
      <c r="D4477" s="31"/>
    </row>
    <row r="4478">
      <c r="A4478" s="51" t="s">
        <v>33248</v>
      </c>
      <c r="B4478" s="152"/>
      <c r="C4478" s="55"/>
      <c r="D4478" s="31"/>
    </row>
    <row r="4479">
      <c r="A4479" s="51" t="s">
        <v>33249</v>
      </c>
      <c r="B4479" s="152"/>
      <c r="C4479" s="55"/>
      <c r="D4479" s="31"/>
    </row>
    <row r="4480">
      <c r="A4480" s="51" t="s">
        <v>33251</v>
      </c>
      <c r="B4480" s="152"/>
      <c r="C4480" s="55"/>
      <c r="D4480" s="31"/>
    </row>
    <row r="4481">
      <c r="A4481" s="51" t="s">
        <v>33253</v>
      </c>
      <c r="B4481" s="152"/>
      <c r="C4481" s="55"/>
      <c r="D4481" s="31"/>
    </row>
    <row r="4482">
      <c r="A4482" s="51" t="s">
        <v>33254</v>
      </c>
      <c r="B4482" s="152"/>
      <c r="C4482" s="55"/>
      <c r="D4482" s="31"/>
    </row>
    <row r="4483">
      <c r="A4483" s="51" t="s">
        <v>33256</v>
      </c>
      <c r="B4483" s="152"/>
      <c r="C4483" s="55"/>
      <c r="D4483" s="31"/>
    </row>
    <row r="4484">
      <c r="A4484" s="51" t="s">
        <v>33257</v>
      </c>
      <c r="B4484" s="152"/>
      <c r="C4484" s="55"/>
      <c r="D4484" s="31"/>
    </row>
    <row r="4485">
      <c r="A4485" s="51" t="s">
        <v>33258</v>
      </c>
      <c r="B4485" s="152"/>
      <c r="C4485" s="55"/>
      <c r="D4485" s="31"/>
    </row>
    <row r="4486">
      <c r="A4486" s="51" t="s">
        <v>33259</v>
      </c>
      <c r="B4486" s="152"/>
      <c r="C4486" s="55"/>
      <c r="D4486" s="31"/>
    </row>
    <row r="4487">
      <c r="A4487" s="51" t="s">
        <v>33261</v>
      </c>
      <c r="B4487" s="152"/>
      <c r="C4487" s="55"/>
      <c r="D4487" s="31"/>
    </row>
    <row r="4488">
      <c r="A4488" s="51" t="s">
        <v>33263</v>
      </c>
      <c r="B4488" s="152"/>
      <c r="C4488" s="55"/>
      <c r="D4488" s="31"/>
    </row>
    <row r="4489">
      <c r="A4489" s="51" t="s">
        <v>33264</v>
      </c>
      <c r="B4489" s="152"/>
      <c r="C4489" s="55"/>
      <c r="D4489" s="31"/>
    </row>
    <row r="4490">
      <c r="A4490" s="51" t="s">
        <v>33265</v>
      </c>
      <c r="B4490" s="152"/>
      <c r="C4490" s="55"/>
      <c r="D4490" s="31"/>
    </row>
    <row r="4491">
      <c r="A4491" s="51" t="s">
        <v>33266</v>
      </c>
      <c r="B4491" s="152"/>
      <c r="C4491" s="55"/>
      <c r="D4491" s="31"/>
    </row>
    <row r="4492">
      <c r="A4492" s="51" t="s">
        <v>33268</v>
      </c>
      <c r="B4492" s="152"/>
      <c r="C4492" s="55"/>
      <c r="D4492" s="31"/>
    </row>
    <row r="4493">
      <c r="A4493" s="51" t="s">
        <v>33270</v>
      </c>
      <c r="B4493" s="152"/>
      <c r="C4493" s="55"/>
      <c r="D4493" s="31"/>
    </row>
    <row r="4494">
      <c r="A4494" s="51" t="s">
        <v>33272</v>
      </c>
      <c r="B4494" s="152"/>
      <c r="C4494" s="55"/>
      <c r="D4494" s="31"/>
    </row>
    <row r="4495">
      <c r="A4495" s="51" t="s">
        <v>33274</v>
      </c>
      <c r="B4495" s="152"/>
      <c r="C4495" s="55"/>
      <c r="D4495" s="31"/>
    </row>
    <row r="4496">
      <c r="A4496" s="51" t="s">
        <v>33275</v>
      </c>
      <c r="B4496" s="152"/>
      <c r="C4496" s="55"/>
      <c r="D4496" s="31"/>
    </row>
    <row r="4497">
      <c r="A4497" s="51" t="s">
        <v>33276</v>
      </c>
      <c r="B4497" s="152"/>
      <c r="C4497" s="55"/>
      <c r="D4497" s="31"/>
    </row>
    <row r="4498">
      <c r="A4498" s="51" t="s">
        <v>33277</v>
      </c>
      <c r="B4498" s="152"/>
      <c r="C4498" s="55"/>
      <c r="D4498" s="31"/>
    </row>
    <row r="4499">
      <c r="A4499" s="51" t="s">
        <v>33279</v>
      </c>
      <c r="B4499" s="152"/>
      <c r="C4499" s="55"/>
      <c r="D4499" s="31"/>
    </row>
    <row r="4500">
      <c r="A4500" s="51" t="s">
        <v>33280</v>
      </c>
      <c r="B4500" s="152"/>
      <c r="C4500" s="55"/>
      <c r="D4500" s="31"/>
    </row>
    <row r="4501">
      <c r="A4501" s="51" t="s">
        <v>33283</v>
      </c>
      <c r="B4501" s="152"/>
      <c r="C4501" s="55"/>
      <c r="D4501" s="31"/>
    </row>
    <row r="4502">
      <c r="A4502" s="51" t="s">
        <v>33284</v>
      </c>
      <c r="B4502" s="152"/>
      <c r="C4502" s="55"/>
      <c r="D4502" s="31"/>
    </row>
    <row r="4503">
      <c r="A4503" s="51" t="s">
        <v>33285</v>
      </c>
      <c r="B4503" s="152"/>
      <c r="C4503" s="55"/>
      <c r="D4503" s="31"/>
    </row>
    <row r="4504">
      <c r="A4504" s="51" t="s">
        <v>33286</v>
      </c>
      <c r="B4504" s="152"/>
      <c r="C4504" s="55"/>
      <c r="D4504" s="31"/>
    </row>
    <row r="4505">
      <c r="A4505" s="51" t="s">
        <v>33288</v>
      </c>
      <c r="B4505" s="152"/>
      <c r="C4505" s="55"/>
      <c r="D4505" s="31"/>
    </row>
    <row r="4506">
      <c r="A4506" s="51" t="s">
        <v>33289</v>
      </c>
      <c r="B4506" s="152"/>
      <c r="C4506" s="55"/>
      <c r="D4506" s="31"/>
    </row>
    <row r="4507">
      <c r="A4507" s="51" t="s">
        <v>33291</v>
      </c>
      <c r="B4507" s="152"/>
      <c r="C4507" s="55"/>
      <c r="D4507" s="31"/>
    </row>
    <row r="4508">
      <c r="A4508" s="51" t="s">
        <v>33293</v>
      </c>
      <c r="B4508" s="152"/>
      <c r="C4508" s="55"/>
      <c r="D4508" s="31"/>
    </row>
    <row r="4509">
      <c r="A4509" s="51" t="s">
        <v>33294</v>
      </c>
      <c r="B4509" s="152"/>
      <c r="C4509" s="55"/>
      <c r="D4509" s="31"/>
    </row>
    <row r="4510">
      <c r="A4510" s="51" t="s">
        <v>33296</v>
      </c>
      <c r="B4510" s="152"/>
      <c r="C4510" s="55"/>
      <c r="D4510" s="31"/>
    </row>
    <row r="4511">
      <c r="A4511" s="51" t="s">
        <v>33297</v>
      </c>
      <c r="B4511" s="152"/>
      <c r="C4511" s="55"/>
      <c r="D4511" s="31"/>
    </row>
    <row r="4512">
      <c r="A4512" s="51" t="s">
        <v>33298</v>
      </c>
      <c r="B4512" s="152"/>
      <c r="C4512" s="55"/>
      <c r="D4512" s="31"/>
    </row>
    <row r="4513">
      <c r="A4513" s="51" t="s">
        <v>33299</v>
      </c>
      <c r="B4513" s="152"/>
      <c r="C4513" s="55"/>
      <c r="D4513" s="31"/>
    </row>
    <row r="4514">
      <c r="A4514" s="51" t="s">
        <v>33302</v>
      </c>
      <c r="B4514" s="152"/>
      <c r="C4514" s="55"/>
      <c r="D4514" s="31"/>
    </row>
    <row r="4515">
      <c r="A4515" s="51" t="s">
        <v>33304</v>
      </c>
      <c r="B4515" s="152"/>
      <c r="C4515" s="55"/>
      <c r="D4515" s="31"/>
    </row>
    <row r="4516">
      <c r="A4516" s="51" t="s">
        <v>33305</v>
      </c>
      <c r="B4516" s="152"/>
      <c r="C4516" s="55"/>
      <c r="D4516" s="31"/>
    </row>
    <row r="4517">
      <c r="A4517" s="51" t="s">
        <v>33306</v>
      </c>
      <c r="B4517" s="152"/>
      <c r="C4517" s="55"/>
      <c r="D4517" s="31"/>
    </row>
    <row r="4518">
      <c r="A4518" s="51" t="s">
        <v>33307</v>
      </c>
      <c r="B4518" s="152"/>
      <c r="C4518" s="55"/>
      <c r="D4518" s="31"/>
    </row>
    <row r="4519">
      <c r="A4519" s="51" t="s">
        <v>33308</v>
      </c>
      <c r="B4519" s="152"/>
      <c r="C4519" s="55"/>
      <c r="D4519" s="31"/>
    </row>
    <row r="4520">
      <c r="A4520" s="51" t="s">
        <v>33310</v>
      </c>
      <c r="B4520" s="152"/>
      <c r="C4520" s="55"/>
      <c r="D4520" s="31"/>
    </row>
    <row r="4521">
      <c r="A4521" s="51" t="s">
        <v>33313</v>
      </c>
      <c r="B4521" s="152"/>
      <c r="C4521" s="55"/>
      <c r="D4521" s="31"/>
    </row>
    <row r="4522">
      <c r="A4522" s="51" t="s">
        <v>33315</v>
      </c>
      <c r="B4522" s="152"/>
      <c r="C4522" s="55"/>
      <c r="D4522" s="31"/>
    </row>
    <row r="4523">
      <c r="A4523" s="51" t="s">
        <v>33316</v>
      </c>
      <c r="B4523" s="152"/>
      <c r="C4523" s="55"/>
      <c r="D4523" s="31"/>
    </row>
    <row r="4524">
      <c r="A4524" s="51" t="s">
        <v>33317</v>
      </c>
      <c r="B4524" s="152"/>
      <c r="C4524" s="55"/>
      <c r="D4524" s="31"/>
    </row>
    <row r="4525">
      <c r="A4525" s="51" t="s">
        <v>33318</v>
      </c>
      <c r="B4525" s="152"/>
      <c r="C4525" s="55"/>
      <c r="D4525" s="31"/>
    </row>
    <row r="4526">
      <c r="A4526" s="51" t="s">
        <v>33319</v>
      </c>
      <c r="B4526" s="152"/>
      <c r="C4526" s="55"/>
      <c r="D4526" s="31"/>
    </row>
    <row r="4527">
      <c r="A4527" s="51" t="s">
        <v>33323</v>
      </c>
      <c r="B4527" s="152"/>
      <c r="C4527" s="55"/>
      <c r="D4527" s="31"/>
    </row>
    <row r="4528">
      <c r="A4528" s="51" t="s">
        <v>33324</v>
      </c>
      <c r="B4528" s="152"/>
      <c r="C4528" s="55"/>
      <c r="D4528" s="31"/>
    </row>
    <row r="4529">
      <c r="A4529" s="51" t="s">
        <v>33325</v>
      </c>
      <c r="B4529" s="152"/>
      <c r="C4529" s="55"/>
      <c r="D4529" s="31"/>
    </row>
    <row r="4530">
      <c r="A4530" s="51" t="s">
        <v>33326</v>
      </c>
      <c r="B4530" s="152"/>
      <c r="C4530" s="55"/>
      <c r="D4530" s="31"/>
    </row>
    <row r="4531">
      <c r="A4531" s="51" t="s">
        <v>33327</v>
      </c>
      <c r="B4531" s="152"/>
      <c r="C4531" s="55"/>
      <c r="D4531" s="31"/>
    </row>
    <row r="4532">
      <c r="A4532" s="51" t="s">
        <v>33328</v>
      </c>
      <c r="B4532" s="152"/>
      <c r="C4532" s="55"/>
      <c r="D4532" s="31"/>
    </row>
    <row r="4533">
      <c r="A4533" s="51" t="s">
        <v>33329</v>
      </c>
      <c r="B4533" s="152"/>
      <c r="C4533" s="55"/>
      <c r="D4533" s="31"/>
    </row>
    <row r="4534">
      <c r="A4534" s="51" t="s">
        <v>33332</v>
      </c>
      <c r="B4534" s="152"/>
      <c r="C4534" s="55"/>
      <c r="D4534" s="31"/>
    </row>
    <row r="4535">
      <c r="A4535" s="51" t="s">
        <v>33334</v>
      </c>
      <c r="B4535" s="152"/>
      <c r="C4535" s="55"/>
      <c r="D4535" s="31"/>
    </row>
    <row r="4536">
      <c r="A4536" s="51" t="s">
        <v>33335</v>
      </c>
      <c r="B4536" s="152"/>
      <c r="C4536" s="55"/>
      <c r="D4536" s="31"/>
    </row>
    <row r="4537">
      <c r="A4537" s="51" t="s">
        <v>33336</v>
      </c>
      <c r="B4537" s="152"/>
      <c r="C4537" s="55"/>
      <c r="D4537" s="31"/>
    </row>
    <row r="4538">
      <c r="A4538" s="51" t="s">
        <v>33337</v>
      </c>
      <c r="B4538" s="152"/>
      <c r="C4538" s="55"/>
      <c r="D4538" s="31"/>
    </row>
    <row r="4539">
      <c r="A4539" s="51" t="s">
        <v>33338</v>
      </c>
      <c r="B4539" s="152"/>
      <c r="C4539" s="55"/>
      <c r="D4539" s="31"/>
    </row>
    <row r="4540">
      <c r="A4540" s="51" t="s">
        <v>33340</v>
      </c>
      <c r="B4540" s="152"/>
      <c r="C4540" s="55"/>
      <c r="D4540" s="31"/>
    </row>
    <row r="4541">
      <c r="A4541" s="51" t="s">
        <v>33342</v>
      </c>
      <c r="B4541" s="152"/>
      <c r="C4541" s="55"/>
      <c r="D4541" s="31"/>
    </row>
    <row r="4542">
      <c r="A4542" s="51" t="s">
        <v>33343</v>
      </c>
      <c r="B4542" s="152"/>
      <c r="C4542" s="55"/>
      <c r="D4542" s="31"/>
    </row>
    <row r="4543">
      <c r="A4543" s="51" t="s">
        <v>33344</v>
      </c>
      <c r="B4543" s="152"/>
      <c r="C4543" s="55"/>
      <c r="D4543" s="31"/>
    </row>
    <row r="4544">
      <c r="A4544" s="51" t="s">
        <v>33345</v>
      </c>
      <c r="B4544" s="152"/>
      <c r="C4544" s="55"/>
      <c r="D4544" s="31"/>
    </row>
    <row r="4545">
      <c r="A4545" s="51" t="s">
        <v>33346</v>
      </c>
      <c r="B4545" s="152"/>
      <c r="C4545" s="55"/>
      <c r="D4545" s="31"/>
    </row>
    <row r="4546">
      <c r="A4546" s="51" t="s">
        <v>33347</v>
      </c>
      <c r="B4546" s="152"/>
      <c r="C4546" s="55"/>
      <c r="D4546" s="31"/>
    </row>
    <row r="4547">
      <c r="A4547" s="51" t="s">
        <v>33349</v>
      </c>
      <c r="B4547" s="152"/>
      <c r="C4547" s="55"/>
      <c r="D4547" s="31"/>
    </row>
    <row r="4548">
      <c r="A4548" s="51" t="s">
        <v>33350</v>
      </c>
      <c r="B4548" s="152"/>
      <c r="C4548" s="55"/>
      <c r="D4548" s="31"/>
    </row>
    <row r="4549">
      <c r="A4549" s="51" t="s">
        <v>33351</v>
      </c>
      <c r="B4549" s="152"/>
      <c r="C4549" s="55"/>
      <c r="D4549" s="31"/>
    </row>
    <row r="4550">
      <c r="A4550" s="51" t="s">
        <v>33352</v>
      </c>
      <c r="B4550" s="152"/>
      <c r="C4550" s="55"/>
      <c r="D4550" s="31"/>
    </row>
    <row r="4551">
      <c r="A4551" s="51" t="s">
        <v>33353</v>
      </c>
      <c r="B4551" s="152"/>
      <c r="C4551" s="55"/>
      <c r="D4551" s="31"/>
    </row>
    <row r="4552">
      <c r="A4552" s="51" t="s">
        <v>33355</v>
      </c>
      <c r="B4552" s="152"/>
      <c r="C4552" s="55"/>
      <c r="D4552" s="31"/>
    </row>
    <row r="4553">
      <c r="A4553" s="51" t="s">
        <v>33357</v>
      </c>
      <c r="B4553" s="152"/>
      <c r="C4553" s="55"/>
      <c r="D4553" s="31"/>
    </row>
    <row r="4554">
      <c r="A4554" s="51" t="s">
        <v>33359</v>
      </c>
      <c r="B4554" s="152"/>
      <c r="C4554" s="55"/>
      <c r="D4554" s="31"/>
    </row>
    <row r="4555">
      <c r="A4555" s="51" t="s">
        <v>33360</v>
      </c>
      <c r="B4555" s="152"/>
      <c r="C4555" s="55"/>
      <c r="D4555" s="31"/>
    </row>
    <row r="4556">
      <c r="A4556" s="51" t="s">
        <v>33362</v>
      </c>
      <c r="B4556" s="152"/>
      <c r="C4556" s="55"/>
      <c r="D4556" s="31"/>
    </row>
    <row r="4557">
      <c r="A4557" s="51" t="s">
        <v>33364</v>
      </c>
      <c r="B4557" s="152"/>
      <c r="C4557" s="55"/>
      <c r="D4557" s="31"/>
    </row>
    <row r="4558">
      <c r="A4558" s="51" t="s">
        <v>33365</v>
      </c>
      <c r="B4558" s="152"/>
      <c r="C4558" s="55"/>
      <c r="D4558" s="31"/>
    </row>
    <row r="4559">
      <c r="A4559" s="51" t="s">
        <v>33367</v>
      </c>
      <c r="B4559" s="152"/>
      <c r="C4559" s="55"/>
      <c r="D4559" s="31"/>
    </row>
    <row r="4560">
      <c r="A4560" s="51" t="s">
        <v>33368</v>
      </c>
      <c r="B4560" s="152"/>
      <c r="C4560" s="55"/>
      <c r="D4560" s="31"/>
    </row>
    <row r="4561">
      <c r="A4561" s="51" t="s">
        <v>33369</v>
      </c>
      <c r="B4561" s="152"/>
      <c r="C4561" s="55"/>
      <c r="D4561" s="31"/>
    </row>
    <row r="4562">
      <c r="A4562" s="51" t="s">
        <v>33372</v>
      </c>
      <c r="B4562" s="152"/>
      <c r="C4562" s="55"/>
      <c r="D4562" s="31"/>
    </row>
    <row r="4563">
      <c r="A4563" s="51" t="s">
        <v>33373</v>
      </c>
      <c r="B4563" s="152"/>
      <c r="C4563" s="55"/>
      <c r="D4563" s="31"/>
    </row>
    <row r="4564">
      <c r="A4564" s="51" t="s">
        <v>33375</v>
      </c>
      <c r="B4564" s="152"/>
      <c r="C4564" s="55"/>
      <c r="D4564" s="31"/>
    </row>
    <row r="4565">
      <c r="A4565" s="51" t="s">
        <v>33378</v>
      </c>
      <c r="B4565" s="152"/>
      <c r="C4565" s="55"/>
      <c r="D4565" s="31"/>
    </row>
    <row r="4566">
      <c r="A4566" s="51" t="s">
        <v>33379</v>
      </c>
      <c r="B4566" s="152"/>
      <c r="C4566" s="55"/>
      <c r="D4566" s="31"/>
    </row>
    <row r="4567">
      <c r="A4567" s="51" t="s">
        <v>33382</v>
      </c>
      <c r="B4567" s="152"/>
      <c r="C4567" s="55"/>
      <c r="D4567" s="31"/>
    </row>
    <row r="4568">
      <c r="A4568" s="51" t="s">
        <v>33383</v>
      </c>
      <c r="B4568" s="152"/>
      <c r="C4568" s="55"/>
      <c r="D4568" s="31"/>
    </row>
    <row r="4569">
      <c r="A4569" s="51" t="s">
        <v>33384</v>
      </c>
      <c r="B4569" s="152"/>
      <c r="C4569" s="55"/>
      <c r="D4569" s="31"/>
    </row>
    <row r="4570">
      <c r="A4570" s="51" t="s">
        <v>33385</v>
      </c>
      <c r="B4570" s="152"/>
      <c r="C4570" s="55"/>
      <c r="D4570" s="31"/>
    </row>
    <row r="4571">
      <c r="A4571" s="51" t="s">
        <v>33386</v>
      </c>
      <c r="B4571" s="152"/>
      <c r="C4571" s="55"/>
      <c r="D4571" s="31"/>
    </row>
    <row r="4572">
      <c r="A4572" s="51" t="s">
        <v>33388</v>
      </c>
      <c r="B4572" s="152"/>
      <c r="C4572" s="55"/>
      <c r="D4572" s="31"/>
    </row>
    <row r="4573">
      <c r="A4573" s="51" t="s">
        <v>33390</v>
      </c>
      <c r="B4573" s="152"/>
      <c r="C4573" s="55"/>
      <c r="D4573" s="31"/>
    </row>
    <row r="4574">
      <c r="A4574" s="51" t="s">
        <v>33392</v>
      </c>
      <c r="B4574" s="152"/>
      <c r="C4574" s="55"/>
      <c r="D4574" s="31"/>
    </row>
    <row r="4575">
      <c r="A4575" s="51" t="s">
        <v>33393</v>
      </c>
      <c r="B4575" s="152"/>
      <c r="C4575" s="55"/>
      <c r="D4575" s="31"/>
    </row>
    <row r="4576">
      <c r="A4576" s="51" t="s">
        <v>33394</v>
      </c>
      <c r="B4576" s="152"/>
      <c r="C4576" s="55"/>
      <c r="D4576" s="31"/>
    </row>
    <row r="4577">
      <c r="A4577" s="51" t="s">
        <v>33395</v>
      </c>
      <c r="B4577" s="152"/>
      <c r="C4577" s="55"/>
      <c r="D4577" s="31"/>
    </row>
    <row r="4578">
      <c r="A4578" s="51" t="s">
        <v>33396</v>
      </c>
      <c r="B4578" s="152"/>
      <c r="C4578" s="55"/>
      <c r="D4578" s="31"/>
    </row>
    <row r="4579">
      <c r="A4579" s="51" t="s">
        <v>33399</v>
      </c>
      <c r="B4579" s="152"/>
      <c r="C4579" s="55"/>
      <c r="D4579" s="31"/>
    </row>
    <row r="4580">
      <c r="A4580" s="51" t="s">
        <v>33401</v>
      </c>
      <c r="B4580" s="152"/>
      <c r="C4580" s="55"/>
      <c r="D4580" s="31"/>
    </row>
    <row r="4581">
      <c r="A4581" s="51" t="s">
        <v>33402</v>
      </c>
      <c r="B4581" s="152"/>
      <c r="C4581" s="55"/>
      <c r="D4581" s="31"/>
    </row>
    <row r="4582">
      <c r="A4582" s="51" t="s">
        <v>33403</v>
      </c>
      <c r="B4582" s="152"/>
      <c r="C4582" s="55"/>
      <c r="D4582" s="31"/>
    </row>
    <row r="4583">
      <c r="A4583" s="51" t="s">
        <v>33404</v>
      </c>
      <c r="B4583" s="152"/>
      <c r="C4583" s="55"/>
      <c r="D4583" s="31"/>
    </row>
    <row r="4584">
      <c r="A4584" s="51" t="s">
        <v>33405</v>
      </c>
      <c r="B4584" s="152"/>
      <c r="C4584" s="55"/>
      <c r="D4584" s="31"/>
    </row>
    <row r="4585">
      <c r="A4585" s="51" t="s">
        <v>33406</v>
      </c>
      <c r="B4585" s="152"/>
      <c r="C4585" s="55"/>
      <c r="D4585" s="31"/>
    </row>
    <row r="4586">
      <c r="A4586" s="51" t="s">
        <v>33409</v>
      </c>
      <c r="B4586" s="152"/>
      <c r="C4586" s="55"/>
      <c r="D4586" s="31"/>
    </row>
    <row r="4587">
      <c r="A4587" s="51" t="s">
        <v>33410</v>
      </c>
      <c r="B4587" s="152"/>
      <c r="C4587" s="55"/>
      <c r="D4587" s="31"/>
    </row>
    <row r="4588">
      <c r="A4588" s="51" t="s">
        <v>33411</v>
      </c>
      <c r="B4588" s="152"/>
      <c r="C4588" s="55"/>
      <c r="D4588" s="31"/>
    </row>
    <row r="4589">
      <c r="A4589" s="51" t="s">
        <v>33412</v>
      </c>
      <c r="B4589" s="152"/>
      <c r="C4589" s="55"/>
      <c r="D4589" s="31"/>
    </row>
    <row r="4590">
      <c r="A4590" s="51" t="s">
        <v>33413</v>
      </c>
      <c r="B4590" s="152"/>
      <c r="C4590" s="55"/>
      <c r="D4590" s="31"/>
    </row>
    <row r="4591">
      <c r="A4591" s="51" t="s">
        <v>33414</v>
      </c>
      <c r="B4591" s="152"/>
      <c r="C4591" s="55"/>
      <c r="D4591" s="31"/>
    </row>
    <row r="4592">
      <c r="A4592" s="51" t="s">
        <v>33415</v>
      </c>
      <c r="B4592" s="152"/>
      <c r="C4592" s="55"/>
      <c r="D4592" s="31"/>
    </row>
    <row r="4593">
      <c r="A4593" s="51" t="s">
        <v>33417</v>
      </c>
      <c r="B4593" s="152"/>
      <c r="C4593" s="55"/>
      <c r="D4593" s="31"/>
    </row>
    <row r="4594">
      <c r="A4594" s="51" t="s">
        <v>33419</v>
      </c>
      <c r="B4594" s="152"/>
      <c r="C4594" s="55"/>
      <c r="D4594" s="31"/>
    </row>
    <row r="4595">
      <c r="A4595" s="51" t="s">
        <v>33421</v>
      </c>
      <c r="B4595" s="152"/>
      <c r="C4595" s="55"/>
      <c r="D4595" s="31"/>
    </row>
    <row r="4596">
      <c r="A4596" s="51" t="s">
        <v>33422</v>
      </c>
      <c r="B4596" s="152"/>
      <c r="C4596" s="55"/>
      <c r="D4596" s="31"/>
    </row>
    <row r="4597">
      <c r="A4597" s="51" t="s">
        <v>33423</v>
      </c>
      <c r="B4597" s="152"/>
      <c r="C4597" s="55"/>
      <c r="D4597" s="31"/>
    </row>
    <row r="4598">
      <c r="A4598" s="51" t="s">
        <v>33424</v>
      </c>
      <c r="B4598" s="152"/>
      <c r="C4598" s="55"/>
      <c r="D4598" s="31"/>
    </row>
    <row r="4599">
      <c r="A4599" s="51" t="s">
        <v>33425</v>
      </c>
      <c r="B4599" s="152"/>
      <c r="C4599" s="55"/>
      <c r="D4599" s="31"/>
    </row>
    <row r="4600">
      <c r="A4600" s="51" t="s">
        <v>33428</v>
      </c>
      <c r="B4600" s="152"/>
      <c r="C4600" s="55"/>
      <c r="D4600" s="31"/>
    </row>
    <row r="4601">
      <c r="A4601" s="51" t="s">
        <v>33429</v>
      </c>
      <c r="B4601" s="152"/>
      <c r="C4601" s="55"/>
      <c r="D4601" s="31"/>
    </row>
    <row r="4602">
      <c r="A4602" s="51" t="s">
        <v>33430</v>
      </c>
      <c r="B4602" s="152"/>
      <c r="C4602" s="55"/>
      <c r="D4602" s="31"/>
    </row>
    <row r="4603">
      <c r="A4603" s="51" t="s">
        <v>33431</v>
      </c>
      <c r="B4603" s="152"/>
      <c r="C4603" s="55"/>
      <c r="D4603" s="31"/>
    </row>
    <row r="4604">
      <c r="A4604" s="51" t="s">
        <v>33432</v>
      </c>
      <c r="B4604" s="152"/>
      <c r="C4604" s="55"/>
      <c r="D4604" s="31"/>
    </row>
    <row r="4605">
      <c r="A4605" s="51" t="s">
        <v>33433</v>
      </c>
      <c r="B4605" s="152"/>
      <c r="C4605" s="55"/>
      <c r="D4605" s="31"/>
    </row>
    <row r="4606">
      <c r="A4606" s="51" t="s">
        <v>33435</v>
      </c>
      <c r="B4606" s="152"/>
      <c r="C4606" s="55"/>
      <c r="D4606" s="31"/>
    </row>
    <row r="4607">
      <c r="A4607" s="51" t="s">
        <v>33437</v>
      </c>
      <c r="B4607" s="152"/>
      <c r="C4607" s="55"/>
      <c r="D4607" s="31"/>
    </row>
    <row r="4608">
      <c r="A4608" s="51" t="s">
        <v>33439</v>
      </c>
      <c r="B4608" s="152"/>
      <c r="C4608" s="55"/>
      <c r="D4608" s="31"/>
    </row>
    <row r="4609">
      <c r="A4609" s="51" t="s">
        <v>33440</v>
      </c>
      <c r="B4609" s="152"/>
      <c r="C4609" s="55"/>
      <c r="D4609" s="31"/>
    </row>
    <row r="4610">
      <c r="A4610" s="51" t="s">
        <v>33441</v>
      </c>
      <c r="B4610" s="152"/>
      <c r="C4610" s="55"/>
      <c r="D4610" s="31"/>
    </row>
    <row r="4611">
      <c r="A4611" s="51" t="s">
        <v>33442</v>
      </c>
      <c r="B4611" s="152"/>
      <c r="C4611" s="55"/>
      <c r="D4611" s="31"/>
    </row>
    <row r="4612">
      <c r="A4612" s="51" t="s">
        <v>33443</v>
      </c>
      <c r="B4612" s="152"/>
      <c r="C4612" s="55"/>
      <c r="D4612" s="31"/>
    </row>
    <row r="4613">
      <c r="A4613" s="51" t="s">
        <v>33446</v>
      </c>
      <c r="B4613" s="152"/>
      <c r="C4613" s="55"/>
      <c r="D4613" s="31"/>
    </row>
    <row r="4614">
      <c r="A4614" s="51" t="s">
        <v>33447</v>
      </c>
      <c r="B4614" s="152"/>
      <c r="C4614" s="55"/>
      <c r="D4614" s="31"/>
    </row>
    <row r="4615">
      <c r="A4615" s="51" t="s">
        <v>33448</v>
      </c>
      <c r="B4615" s="152"/>
      <c r="C4615" s="55"/>
      <c r="D4615" s="31"/>
    </row>
    <row r="4616">
      <c r="A4616" s="51" t="s">
        <v>33449</v>
      </c>
      <c r="B4616" s="152"/>
      <c r="C4616" s="55"/>
      <c r="D4616" s="31"/>
    </row>
    <row r="4617">
      <c r="A4617" s="51" t="s">
        <v>33450</v>
      </c>
      <c r="B4617" s="152"/>
      <c r="C4617" s="55"/>
      <c r="D4617" s="31"/>
    </row>
    <row r="4618">
      <c r="A4618" s="51" t="s">
        <v>33452</v>
      </c>
      <c r="B4618" s="152"/>
      <c r="C4618" s="55"/>
      <c r="D4618" s="31"/>
    </row>
    <row r="4619">
      <c r="A4619" s="51" t="s">
        <v>33454</v>
      </c>
      <c r="B4619" s="152"/>
      <c r="C4619" s="55"/>
      <c r="D4619" s="31"/>
    </row>
    <row r="4620">
      <c r="A4620" s="51" t="s">
        <v>33456</v>
      </c>
      <c r="B4620" s="152"/>
      <c r="C4620" s="55"/>
      <c r="D4620" s="31"/>
    </row>
    <row r="4621">
      <c r="A4621" s="51" t="s">
        <v>33457</v>
      </c>
      <c r="B4621" s="152"/>
      <c r="C4621" s="55"/>
      <c r="D4621" s="31"/>
    </row>
    <row r="4622">
      <c r="A4622" s="51" t="s">
        <v>33458</v>
      </c>
      <c r="B4622" s="152"/>
      <c r="C4622" s="55"/>
      <c r="D4622" s="31"/>
    </row>
    <row r="4623">
      <c r="A4623" s="51" t="s">
        <v>33459</v>
      </c>
      <c r="B4623" s="152"/>
      <c r="C4623" s="55"/>
      <c r="D4623" s="31"/>
    </row>
    <row r="4624">
      <c r="A4624" s="51" t="s">
        <v>33462</v>
      </c>
      <c r="B4624" s="152"/>
      <c r="C4624" s="55"/>
      <c r="D4624" s="31"/>
    </row>
    <row r="4625">
      <c r="A4625" s="51" t="s">
        <v>33463</v>
      </c>
      <c r="B4625" s="152"/>
      <c r="C4625" s="55"/>
      <c r="D4625" s="31"/>
    </row>
    <row r="4626">
      <c r="A4626" s="51" t="s">
        <v>33464</v>
      </c>
      <c r="B4626" s="152"/>
      <c r="C4626" s="55"/>
      <c r="D4626" s="31"/>
    </row>
    <row r="4627">
      <c r="A4627" s="51" t="s">
        <v>33465</v>
      </c>
      <c r="B4627" s="152"/>
      <c r="C4627" s="55"/>
      <c r="D4627" s="31"/>
    </row>
    <row r="4628">
      <c r="A4628" s="51" t="s">
        <v>33466</v>
      </c>
      <c r="B4628" s="152"/>
      <c r="C4628" s="55"/>
      <c r="D4628" s="31"/>
    </row>
    <row r="4629">
      <c r="A4629" s="51" t="s">
        <v>33467</v>
      </c>
      <c r="B4629" s="152"/>
      <c r="C4629" s="55"/>
      <c r="D4629" s="31"/>
    </row>
    <row r="4630">
      <c r="A4630" s="51" t="s">
        <v>33468</v>
      </c>
      <c r="B4630" s="152"/>
      <c r="C4630" s="55"/>
      <c r="D4630" s="31"/>
    </row>
    <row r="4631">
      <c r="A4631" s="51" t="s">
        <v>33472</v>
      </c>
      <c r="B4631" s="152"/>
      <c r="C4631" s="55"/>
      <c r="D4631" s="31"/>
    </row>
    <row r="4632">
      <c r="A4632" s="51" t="s">
        <v>33473</v>
      </c>
      <c r="B4632" s="152"/>
      <c r="C4632" s="55"/>
      <c r="D4632" s="31"/>
    </row>
    <row r="4633">
      <c r="A4633" s="51" t="s">
        <v>33474</v>
      </c>
      <c r="B4633" s="152"/>
      <c r="C4633" s="55"/>
      <c r="D4633" s="31"/>
    </row>
    <row r="4634">
      <c r="A4634" s="51" t="s">
        <v>33475</v>
      </c>
      <c r="B4634" s="152"/>
      <c r="C4634" s="55"/>
      <c r="D4634" s="31"/>
    </row>
    <row r="4635">
      <c r="A4635" s="51" t="s">
        <v>33476</v>
      </c>
      <c r="B4635" s="152"/>
      <c r="C4635" s="55"/>
      <c r="D4635" s="31"/>
    </row>
    <row r="4636">
      <c r="A4636" s="51" t="s">
        <v>33477</v>
      </c>
      <c r="B4636" s="152"/>
      <c r="C4636" s="55"/>
      <c r="D4636" s="31"/>
    </row>
    <row r="4637">
      <c r="A4637" s="51" t="s">
        <v>33479</v>
      </c>
      <c r="B4637" s="152"/>
      <c r="C4637" s="55"/>
      <c r="D4637" s="31"/>
    </row>
    <row r="4638">
      <c r="A4638" s="51" t="s">
        <v>33481</v>
      </c>
      <c r="B4638" s="152"/>
      <c r="C4638" s="55"/>
      <c r="D4638" s="31"/>
    </row>
    <row r="4639">
      <c r="A4639" s="51" t="s">
        <v>33482</v>
      </c>
      <c r="B4639" s="152"/>
      <c r="C4639" s="55"/>
      <c r="D4639" s="31"/>
    </row>
    <row r="4640">
      <c r="A4640" s="51" t="s">
        <v>33483</v>
      </c>
      <c r="B4640" s="152"/>
      <c r="C4640" s="55"/>
      <c r="D4640" s="31"/>
    </row>
    <row r="4641">
      <c r="A4641" s="51" t="s">
        <v>33484</v>
      </c>
      <c r="B4641" s="152"/>
      <c r="C4641" s="55"/>
      <c r="D4641" s="31"/>
    </row>
    <row r="4642">
      <c r="A4642" s="51" t="s">
        <v>33486</v>
      </c>
      <c r="B4642" s="152"/>
      <c r="C4642" s="55"/>
      <c r="D4642" s="31"/>
    </row>
    <row r="4643">
      <c r="A4643" s="51" t="s">
        <v>33489</v>
      </c>
      <c r="B4643" s="152"/>
      <c r="C4643" s="55"/>
      <c r="D4643" s="31"/>
    </row>
    <row r="4644">
      <c r="A4644" s="51" t="s">
        <v>33491</v>
      </c>
      <c r="B4644" s="152"/>
      <c r="C4644" s="55"/>
      <c r="D4644" s="31"/>
    </row>
    <row r="4645">
      <c r="A4645" s="51" t="s">
        <v>33493</v>
      </c>
      <c r="B4645" s="152"/>
      <c r="C4645" s="55"/>
      <c r="D4645" s="31"/>
    </row>
    <row r="4646">
      <c r="A4646" s="51" t="s">
        <v>33494</v>
      </c>
      <c r="B4646" s="152"/>
      <c r="C4646" s="55"/>
      <c r="D4646" s="31"/>
    </row>
    <row r="4647">
      <c r="A4647" s="51" t="s">
        <v>33495</v>
      </c>
      <c r="B4647" s="152"/>
      <c r="C4647" s="55"/>
      <c r="D4647" s="31"/>
    </row>
    <row r="4648">
      <c r="A4648" s="51" t="s">
        <v>33497</v>
      </c>
      <c r="B4648" s="152"/>
      <c r="C4648" s="55"/>
      <c r="D4648" s="31"/>
    </row>
    <row r="4649">
      <c r="A4649" s="51" t="s">
        <v>33499</v>
      </c>
      <c r="B4649" s="152"/>
      <c r="C4649" s="55"/>
      <c r="D4649" s="31"/>
    </row>
    <row r="4650">
      <c r="A4650" s="51" t="s">
        <v>33500</v>
      </c>
      <c r="B4650" s="152"/>
      <c r="C4650" s="55"/>
      <c r="D4650" s="31"/>
    </row>
    <row r="4651">
      <c r="A4651" s="51" t="s">
        <v>33501</v>
      </c>
      <c r="B4651" s="152"/>
      <c r="C4651" s="55"/>
      <c r="D4651" s="31"/>
    </row>
    <row r="4652">
      <c r="A4652" s="51" t="s">
        <v>33502</v>
      </c>
      <c r="B4652" s="152"/>
      <c r="C4652" s="55"/>
      <c r="D4652" s="31"/>
    </row>
    <row r="4653">
      <c r="A4653" s="51" t="s">
        <v>33504</v>
      </c>
      <c r="B4653" s="152"/>
      <c r="C4653" s="55"/>
      <c r="D4653" s="31"/>
    </row>
    <row r="4654">
      <c r="A4654" s="51" t="s">
        <v>33505</v>
      </c>
      <c r="B4654" s="152"/>
      <c r="C4654" s="55"/>
      <c r="D4654" s="31"/>
    </row>
    <row r="4655">
      <c r="A4655" s="51" t="s">
        <v>33507</v>
      </c>
      <c r="B4655" s="152"/>
      <c r="C4655" s="55"/>
      <c r="D4655" s="31"/>
    </row>
    <row r="4656">
      <c r="A4656" s="51" t="s">
        <v>33508</v>
      </c>
      <c r="B4656" s="152"/>
      <c r="C4656" s="55"/>
      <c r="D4656" s="31"/>
    </row>
    <row r="4657">
      <c r="A4657" s="51" t="s">
        <v>33510</v>
      </c>
      <c r="B4657" s="152"/>
      <c r="C4657" s="55"/>
      <c r="D4657" s="31"/>
    </row>
    <row r="4658">
      <c r="A4658" s="51" t="s">
        <v>33511</v>
      </c>
      <c r="B4658" s="152"/>
      <c r="C4658" s="55"/>
      <c r="D4658" s="31"/>
    </row>
    <row r="4659">
      <c r="A4659" s="51" t="s">
        <v>33512</v>
      </c>
      <c r="B4659" s="152"/>
      <c r="C4659" s="55"/>
      <c r="D4659" s="31"/>
    </row>
    <row r="4660">
      <c r="A4660" s="51" t="s">
        <v>33513</v>
      </c>
      <c r="B4660" s="152"/>
      <c r="C4660" s="55"/>
      <c r="D4660" s="31"/>
    </row>
    <row r="4661">
      <c r="A4661" s="51" t="s">
        <v>33516</v>
      </c>
      <c r="B4661" s="152"/>
      <c r="C4661" s="55"/>
      <c r="D4661" s="31"/>
    </row>
    <row r="4662">
      <c r="A4662" s="51" t="s">
        <v>33517</v>
      </c>
      <c r="B4662" s="152"/>
      <c r="C4662" s="55"/>
      <c r="D4662" s="31"/>
    </row>
    <row r="4663">
      <c r="A4663" s="51" t="s">
        <v>33518</v>
      </c>
      <c r="B4663" s="152"/>
      <c r="C4663" s="55"/>
      <c r="D4663" s="31"/>
    </row>
    <row r="4664">
      <c r="A4664" s="51" t="s">
        <v>33519</v>
      </c>
      <c r="B4664" s="152"/>
      <c r="C4664" s="55"/>
      <c r="D4664" s="31"/>
    </row>
    <row r="4665">
      <c r="A4665" s="51" t="s">
        <v>33520</v>
      </c>
      <c r="B4665" s="152"/>
      <c r="C4665" s="55"/>
      <c r="D4665" s="31"/>
    </row>
    <row r="4666">
      <c r="A4666" s="51" t="s">
        <v>33521</v>
      </c>
      <c r="B4666" s="152"/>
      <c r="C4666" s="55"/>
      <c r="D4666" s="31"/>
    </row>
    <row r="4667">
      <c r="A4667" s="51" t="s">
        <v>33523</v>
      </c>
      <c r="B4667" s="152"/>
      <c r="C4667" s="55"/>
      <c r="D4667" s="31"/>
    </row>
    <row r="4668">
      <c r="A4668" s="51" t="s">
        <v>33524</v>
      </c>
      <c r="B4668" s="152"/>
      <c r="C4668" s="55"/>
      <c r="D4668" s="31"/>
    </row>
    <row r="4669">
      <c r="A4669" s="51" t="s">
        <v>33527</v>
      </c>
      <c r="B4669" s="152"/>
      <c r="C4669" s="55"/>
      <c r="D4669" s="31"/>
    </row>
    <row r="4670">
      <c r="A4670" s="51" t="s">
        <v>33529</v>
      </c>
      <c r="B4670" s="152"/>
      <c r="C4670" s="55"/>
      <c r="D4670" s="31"/>
    </row>
    <row r="4671">
      <c r="A4671" s="51" t="s">
        <v>33530</v>
      </c>
      <c r="B4671" s="152"/>
      <c r="C4671" s="55"/>
      <c r="D4671" s="31"/>
    </row>
    <row r="4672">
      <c r="A4672" s="51" t="s">
        <v>33531</v>
      </c>
      <c r="B4672" s="152"/>
      <c r="C4672" s="55"/>
      <c r="D4672" s="31"/>
    </row>
    <row r="4673">
      <c r="A4673" s="51" t="s">
        <v>33532</v>
      </c>
      <c r="B4673" s="152"/>
      <c r="C4673" s="55"/>
      <c r="D4673" s="31"/>
    </row>
    <row r="4674">
      <c r="A4674" s="51" t="s">
        <v>33533</v>
      </c>
      <c r="B4674" s="152"/>
      <c r="C4674" s="55"/>
      <c r="D4674" s="31"/>
    </row>
    <row r="4675">
      <c r="A4675" s="51" t="s">
        <v>33535</v>
      </c>
      <c r="B4675" s="152"/>
      <c r="C4675" s="55"/>
      <c r="D4675" s="31"/>
    </row>
    <row r="4676">
      <c r="A4676" s="51" t="s">
        <v>33538</v>
      </c>
      <c r="B4676" s="152"/>
      <c r="C4676" s="55"/>
      <c r="D4676" s="31"/>
    </row>
    <row r="4677">
      <c r="A4677" s="51" t="s">
        <v>33539</v>
      </c>
      <c r="B4677" s="152"/>
      <c r="C4677" s="55"/>
      <c r="D4677" s="31"/>
    </row>
    <row r="4678">
      <c r="A4678" s="51" t="s">
        <v>33540</v>
      </c>
      <c r="B4678" s="152"/>
      <c r="C4678" s="55"/>
      <c r="D4678" s="31"/>
    </row>
    <row r="4679">
      <c r="A4679" s="51" t="s">
        <v>33541</v>
      </c>
      <c r="B4679" s="152"/>
      <c r="C4679" s="55"/>
      <c r="D4679" s="31"/>
    </row>
    <row r="4680">
      <c r="A4680" s="51" t="s">
        <v>33542</v>
      </c>
      <c r="B4680" s="152"/>
      <c r="C4680" s="55"/>
      <c r="D4680" s="31"/>
    </row>
    <row r="4681">
      <c r="A4681" s="51" t="s">
        <v>33543</v>
      </c>
      <c r="B4681" s="152"/>
      <c r="C4681" s="55"/>
      <c r="D4681" s="31"/>
    </row>
    <row r="4682">
      <c r="A4682" s="51" t="s">
        <v>33546</v>
      </c>
      <c r="B4682" s="152"/>
      <c r="C4682" s="55"/>
      <c r="D4682" s="31"/>
    </row>
    <row r="4683">
      <c r="A4683" s="51" t="s">
        <v>33547</v>
      </c>
      <c r="B4683" s="152"/>
      <c r="C4683" s="55"/>
      <c r="D4683" s="31"/>
    </row>
    <row r="4684">
      <c r="A4684" s="51" t="s">
        <v>33548</v>
      </c>
      <c r="B4684" s="152"/>
      <c r="C4684" s="55"/>
      <c r="D4684" s="31"/>
    </row>
    <row r="4685">
      <c r="A4685" s="51" t="s">
        <v>33549</v>
      </c>
      <c r="B4685" s="152"/>
      <c r="C4685" s="55"/>
      <c r="D4685" s="31"/>
    </row>
    <row r="4686">
      <c r="A4686" s="51" t="s">
        <v>33550</v>
      </c>
      <c r="B4686" s="152"/>
      <c r="C4686" s="55"/>
      <c r="D4686" s="31"/>
    </row>
    <row r="4687">
      <c r="A4687" s="51" t="s">
        <v>33552</v>
      </c>
      <c r="B4687" s="152"/>
      <c r="C4687" s="55"/>
      <c r="D4687" s="31"/>
    </row>
    <row r="4688">
      <c r="A4688" s="51" t="s">
        <v>33553</v>
      </c>
      <c r="B4688" s="152"/>
      <c r="C4688" s="55"/>
      <c r="D4688" s="31"/>
    </row>
    <row r="4689">
      <c r="A4689" s="51" t="s">
        <v>33557</v>
      </c>
      <c r="B4689" s="152"/>
      <c r="C4689" s="55"/>
      <c r="D4689" s="31"/>
    </row>
    <row r="4690">
      <c r="A4690" s="51" t="s">
        <v>33559</v>
      </c>
      <c r="B4690" s="152"/>
      <c r="C4690" s="55"/>
      <c r="D4690" s="31"/>
    </row>
    <row r="4691">
      <c r="A4691" s="51" t="s">
        <v>33560</v>
      </c>
      <c r="B4691" s="152"/>
      <c r="C4691" s="55"/>
      <c r="D4691" s="31"/>
    </row>
    <row r="4692">
      <c r="A4692" s="51" t="s">
        <v>33561</v>
      </c>
      <c r="B4692" s="152"/>
      <c r="C4692" s="55"/>
      <c r="D4692" s="31"/>
    </row>
    <row r="4693">
      <c r="A4693" s="51" t="s">
        <v>33563</v>
      </c>
      <c r="B4693" s="152"/>
      <c r="C4693" s="55"/>
      <c r="D4693" s="31"/>
    </row>
    <row r="4694">
      <c r="A4694" s="51" t="s">
        <v>33565</v>
      </c>
      <c r="B4694" s="152"/>
      <c r="C4694" s="55"/>
      <c r="D4694" s="31"/>
    </row>
    <row r="4695">
      <c r="A4695" s="51" t="s">
        <v>33568</v>
      </c>
      <c r="B4695" s="152"/>
      <c r="C4695" s="55"/>
      <c r="D4695" s="31"/>
    </row>
    <row r="4696">
      <c r="A4696" s="51" t="s">
        <v>33570</v>
      </c>
      <c r="B4696" s="152"/>
      <c r="C4696" s="55"/>
      <c r="D4696" s="31"/>
    </row>
    <row r="4697">
      <c r="A4697" s="51" t="s">
        <v>33572</v>
      </c>
      <c r="B4697" s="152"/>
      <c r="C4697" s="55"/>
      <c r="D4697" s="31"/>
    </row>
    <row r="4698">
      <c r="A4698" s="51" t="s">
        <v>33574</v>
      </c>
      <c r="B4698" s="152"/>
      <c r="C4698" s="55"/>
      <c r="D4698" s="31"/>
    </row>
    <row r="4699">
      <c r="A4699" s="51" t="s">
        <v>33576</v>
      </c>
      <c r="B4699" s="152"/>
      <c r="C4699" s="55"/>
      <c r="D4699" s="31"/>
    </row>
    <row r="4700">
      <c r="A4700" s="51" t="s">
        <v>33577</v>
      </c>
      <c r="B4700" s="152"/>
      <c r="C4700" s="55"/>
      <c r="D4700" s="31"/>
    </row>
    <row r="4701">
      <c r="A4701" s="51" t="s">
        <v>33578</v>
      </c>
      <c r="B4701" s="152"/>
      <c r="C4701" s="55"/>
      <c r="D4701" s="31"/>
    </row>
    <row r="4702">
      <c r="A4702" s="51" t="s">
        <v>33579</v>
      </c>
      <c r="B4702" s="152"/>
      <c r="C4702" s="55"/>
      <c r="D4702" s="31"/>
    </row>
    <row r="4703">
      <c r="A4703" s="51" t="s">
        <v>33580</v>
      </c>
      <c r="B4703" s="152"/>
      <c r="C4703" s="55"/>
      <c r="D4703" s="31"/>
    </row>
    <row r="4704">
      <c r="A4704" s="51" t="s">
        <v>33583</v>
      </c>
      <c r="B4704" s="152"/>
      <c r="C4704" s="55"/>
      <c r="D4704" s="31"/>
    </row>
    <row r="4705">
      <c r="A4705" s="51" t="s">
        <v>33585</v>
      </c>
      <c r="B4705" s="152"/>
      <c r="C4705" s="55"/>
      <c r="D4705" s="31"/>
    </row>
    <row r="4706">
      <c r="A4706" s="51" t="s">
        <v>33586</v>
      </c>
      <c r="B4706" s="152"/>
      <c r="C4706" s="55"/>
      <c r="D4706" s="31"/>
    </row>
    <row r="4707">
      <c r="A4707" s="51" t="s">
        <v>33587</v>
      </c>
      <c r="B4707" s="152"/>
      <c r="C4707" s="55"/>
      <c r="D4707" s="31"/>
    </row>
    <row r="4708">
      <c r="A4708" s="51" t="s">
        <v>33588</v>
      </c>
      <c r="B4708" s="152"/>
      <c r="C4708" s="55"/>
      <c r="D4708" s="31"/>
    </row>
    <row r="4709">
      <c r="A4709" s="51" t="s">
        <v>33589</v>
      </c>
      <c r="B4709" s="152"/>
      <c r="C4709" s="55"/>
      <c r="D4709" s="31"/>
    </row>
    <row r="4710">
      <c r="A4710" s="51" t="s">
        <v>33591</v>
      </c>
      <c r="B4710" s="152"/>
      <c r="C4710" s="55"/>
      <c r="D4710" s="31"/>
    </row>
    <row r="4711">
      <c r="A4711" s="51" t="s">
        <v>33593</v>
      </c>
      <c r="B4711" s="152"/>
      <c r="C4711" s="55"/>
      <c r="D4711" s="31"/>
    </row>
    <row r="4712">
      <c r="A4712" s="51" t="s">
        <v>33594</v>
      </c>
      <c r="B4712" s="152"/>
      <c r="C4712" s="55"/>
      <c r="D4712" s="31"/>
    </row>
    <row r="4713">
      <c r="A4713" s="51" t="s">
        <v>33595</v>
      </c>
      <c r="B4713" s="152"/>
      <c r="C4713" s="55"/>
      <c r="D4713" s="31"/>
    </row>
    <row r="4714">
      <c r="A4714" s="51" t="s">
        <v>33596</v>
      </c>
      <c r="B4714" s="152"/>
      <c r="C4714" s="55"/>
      <c r="D4714" s="31"/>
    </row>
    <row r="4715">
      <c r="A4715" s="51" t="s">
        <v>33597</v>
      </c>
      <c r="B4715" s="152"/>
      <c r="C4715" s="55"/>
      <c r="D4715" s="31"/>
    </row>
    <row r="4716">
      <c r="A4716" s="51" t="s">
        <v>33598</v>
      </c>
      <c r="B4716" s="152"/>
      <c r="C4716" s="55"/>
      <c r="D4716" s="31"/>
    </row>
    <row r="4717">
      <c r="A4717" s="51" t="s">
        <v>33601</v>
      </c>
      <c r="B4717" s="152"/>
      <c r="C4717" s="55"/>
      <c r="D4717" s="31"/>
    </row>
    <row r="4718">
      <c r="A4718" s="51" t="s">
        <v>33603</v>
      </c>
      <c r="B4718" s="152"/>
      <c r="C4718" s="55"/>
      <c r="D4718" s="31"/>
    </row>
    <row r="4719">
      <c r="A4719" s="51" t="s">
        <v>33604</v>
      </c>
      <c r="B4719" s="152"/>
      <c r="C4719" s="55"/>
      <c r="D4719" s="31"/>
    </row>
    <row r="4720">
      <c r="A4720" s="51" t="s">
        <v>33607</v>
      </c>
      <c r="B4720" s="152"/>
      <c r="C4720" s="55"/>
      <c r="D4720" s="31"/>
    </row>
    <row r="4721">
      <c r="A4721" s="51" t="s">
        <v>33608</v>
      </c>
      <c r="B4721" s="152"/>
      <c r="C4721" s="55"/>
      <c r="D4721" s="31"/>
    </row>
    <row r="4722">
      <c r="A4722" s="51" t="s">
        <v>33610</v>
      </c>
      <c r="B4722" s="152"/>
      <c r="C4722" s="55"/>
      <c r="D4722" s="31"/>
    </row>
    <row r="4723">
      <c r="A4723" s="51" t="s">
        <v>33611</v>
      </c>
      <c r="B4723" s="152"/>
      <c r="C4723" s="55"/>
      <c r="D4723" s="31"/>
    </row>
    <row r="4724">
      <c r="A4724" s="51" t="s">
        <v>33612</v>
      </c>
      <c r="B4724" s="152"/>
      <c r="C4724" s="55"/>
      <c r="D4724" s="31"/>
    </row>
    <row r="4725">
      <c r="A4725" s="51" t="s">
        <v>33613</v>
      </c>
      <c r="B4725" s="152"/>
      <c r="C4725" s="55"/>
      <c r="D4725" s="31"/>
    </row>
    <row r="4726">
      <c r="A4726" s="51" t="s">
        <v>33614</v>
      </c>
      <c r="B4726" s="152"/>
      <c r="C4726" s="55"/>
      <c r="D4726" s="31"/>
    </row>
    <row r="4727">
      <c r="A4727" s="51" t="s">
        <v>33617</v>
      </c>
      <c r="B4727" s="152"/>
      <c r="C4727" s="55"/>
      <c r="D4727" s="31"/>
    </row>
    <row r="4728">
      <c r="A4728" s="51" t="s">
        <v>33618</v>
      </c>
      <c r="B4728" s="152"/>
      <c r="C4728" s="55"/>
      <c r="D4728" s="31"/>
    </row>
    <row r="4729">
      <c r="A4729" s="51" t="s">
        <v>33619</v>
      </c>
      <c r="B4729" s="152"/>
      <c r="C4729" s="55"/>
      <c r="D4729" s="31"/>
    </row>
    <row r="4730">
      <c r="A4730" s="51" t="s">
        <v>33620</v>
      </c>
      <c r="B4730" s="152"/>
      <c r="C4730" s="55"/>
      <c r="D4730" s="31"/>
    </row>
    <row r="4731">
      <c r="A4731" s="51" t="s">
        <v>33622</v>
      </c>
      <c r="B4731" s="152"/>
      <c r="C4731" s="55"/>
      <c r="D4731" s="31"/>
    </row>
    <row r="4732">
      <c r="A4732" s="51" t="s">
        <v>33623</v>
      </c>
      <c r="B4732" s="152"/>
      <c r="C4732" s="55"/>
      <c r="D4732" s="31"/>
    </row>
    <row r="4733">
      <c r="A4733" s="51" t="s">
        <v>33625</v>
      </c>
      <c r="B4733" s="152"/>
      <c r="C4733" s="55"/>
      <c r="D4733" s="31"/>
    </row>
    <row r="4734">
      <c r="A4734" s="51" t="s">
        <v>33626</v>
      </c>
      <c r="B4734" s="152"/>
      <c r="C4734" s="55"/>
      <c r="D4734" s="31"/>
    </row>
    <row r="4735">
      <c r="A4735" s="51" t="s">
        <v>33627</v>
      </c>
      <c r="B4735" s="152"/>
      <c r="C4735" s="55"/>
      <c r="D4735" s="31"/>
    </row>
    <row r="4736">
      <c r="A4736" s="51" t="s">
        <v>33629</v>
      </c>
      <c r="B4736" s="152"/>
      <c r="C4736" s="55"/>
      <c r="D4736" s="31"/>
    </row>
    <row r="4737">
      <c r="A4737" s="51" t="s">
        <v>33630</v>
      </c>
      <c r="B4737" s="152"/>
      <c r="C4737" s="55"/>
      <c r="D4737" s="31"/>
    </row>
    <row r="4738">
      <c r="A4738" s="51" t="s">
        <v>33631</v>
      </c>
      <c r="B4738" s="152"/>
      <c r="C4738" s="55"/>
      <c r="D4738" s="31"/>
    </row>
    <row r="4739">
      <c r="A4739" s="51" t="s">
        <v>33632</v>
      </c>
      <c r="B4739" s="152"/>
      <c r="C4739" s="55"/>
      <c r="D4739" s="31"/>
    </row>
    <row r="4740">
      <c r="A4740" s="51" t="s">
        <v>33634</v>
      </c>
      <c r="B4740" s="152"/>
      <c r="C4740" s="55"/>
      <c r="D4740" s="31"/>
    </row>
    <row r="4741">
      <c r="A4741" s="51" t="s">
        <v>33636</v>
      </c>
      <c r="B4741" s="152"/>
      <c r="C4741" s="55"/>
      <c r="D4741" s="31"/>
    </row>
    <row r="4742">
      <c r="A4742" s="51" t="s">
        <v>33637</v>
      </c>
      <c r="B4742" s="152"/>
      <c r="C4742" s="55"/>
      <c r="D4742" s="31"/>
    </row>
    <row r="4743">
      <c r="A4743" s="51" t="s">
        <v>33638</v>
      </c>
      <c r="B4743" s="152"/>
      <c r="C4743" s="55"/>
      <c r="D4743" s="31"/>
    </row>
    <row r="4744">
      <c r="A4744" s="51" t="s">
        <v>33640</v>
      </c>
      <c r="B4744" s="152"/>
      <c r="C4744" s="55"/>
      <c r="D4744" s="31"/>
    </row>
    <row r="4745">
      <c r="A4745" s="51" t="s">
        <v>33641</v>
      </c>
      <c r="B4745" s="152"/>
      <c r="C4745" s="55"/>
      <c r="D4745" s="31"/>
    </row>
    <row r="4746">
      <c r="A4746" s="51" t="s">
        <v>33642</v>
      </c>
      <c r="B4746" s="152"/>
      <c r="C4746" s="55"/>
      <c r="D4746" s="31"/>
    </row>
    <row r="4747">
      <c r="A4747" s="51" t="s">
        <v>33643</v>
      </c>
      <c r="B4747" s="152"/>
      <c r="C4747" s="55"/>
      <c r="D4747" s="31"/>
    </row>
    <row r="4748">
      <c r="A4748" s="51" t="s">
        <v>33644</v>
      </c>
      <c r="B4748" s="152"/>
      <c r="C4748" s="55"/>
      <c r="D4748" s="31"/>
    </row>
    <row r="4749">
      <c r="A4749" s="51" t="s">
        <v>33647</v>
      </c>
      <c r="B4749" s="152"/>
      <c r="C4749" s="55"/>
      <c r="D4749" s="31"/>
    </row>
    <row r="4750">
      <c r="A4750" s="51" t="s">
        <v>33648</v>
      </c>
      <c r="B4750" s="152"/>
      <c r="C4750" s="55"/>
      <c r="D4750" s="31"/>
    </row>
    <row r="4751">
      <c r="A4751" s="51" t="s">
        <v>33649</v>
      </c>
      <c r="B4751" s="152"/>
      <c r="C4751" s="55"/>
      <c r="D4751" s="31"/>
    </row>
    <row r="4752">
      <c r="A4752" s="51" t="s">
        <v>33650</v>
      </c>
      <c r="B4752" s="152"/>
      <c r="C4752" s="55"/>
      <c r="D4752" s="31"/>
    </row>
    <row r="4753">
      <c r="A4753" s="51" t="s">
        <v>33652</v>
      </c>
      <c r="B4753" s="152"/>
      <c r="C4753" s="55"/>
      <c r="D4753" s="31"/>
    </row>
    <row r="4754">
      <c r="A4754" s="51" t="s">
        <v>33653</v>
      </c>
      <c r="B4754" s="152"/>
      <c r="C4754" s="55"/>
      <c r="D4754" s="31"/>
    </row>
    <row r="4755">
      <c r="A4755" s="51" t="s">
        <v>33655</v>
      </c>
      <c r="B4755" s="152"/>
      <c r="C4755" s="55"/>
      <c r="D4755" s="31"/>
    </row>
    <row r="4756">
      <c r="A4756" s="51" t="s">
        <v>33656</v>
      </c>
      <c r="B4756" s="152"/>
      <c r="C4756" s="55"/>
      <c r="D4756" s="31"/>
    </row>
    <row r="4757">
      <c r="A4757" s="51" t="s">
        <v>33657</v>
      </c>
      <c r="B4757" s="152"/>
      <c r="C4757" s="55"/>
      <c r="D4757" s="31"/>
    </row>
    <row r="4758">
      <c r="A4758" s="51" t="s">
        <v>33659</v>
      </c>
      <c r="B4758" s="152"/>
      <c r="C4758" s="55"/>
      <c r="D4758" s="31"/>
    </row>
    <row r="4759">
      <c r="A4759" s="51" t="s">
        <v>33660</v>
      </c>
      <c r="B4759" s="152"/>
      <c r="C4759" s="55"/>
      <c r="D4759" s="31"/>
    </row>
    <row r="4760">
      <c r="A4760" s="51" t="s">
        <v>33661</v>
      </c>
      <c r="B4760" s="152"/>
      <c r="C4760" s="55"/>
      <c r="D4760" s="31"/>
    </row>
    <row r="4761">
      <c r="A4761" s="51" t="s">
        <v>33662</v>
      </c>
      <c r="B4761" s="152"/>
      <c r="C4761" s="55"/>
      <c r="D4761" s="31"/>
    </row>
    <row r="4762">
      <c r="A4762" s="51" t="s">
        <v>33664</v>
      </c>
      <c r="B4762" s="152"/>
      <c r="C4762" s="55"/>
      <c r="D4762" s="31"/>
    </row>
    <row r="4763">
      <c r="A4763" s="51" t="s">
        <v>33665</v>
      </c>
      <c r="B4763" s="152"/>
      <c r="C4763" s="55"/>
      <c r="D4763" s="31"/>
    </row>
    <row r="4764">
      <c r="A4764" s="51" t="s">
        <v>33667</v>
      </c>
      <c r="B4764" s="152"/>
      <c r="C4764" s="55"/>
      <c r="D4764" s="31"/>
    </row>
    <row r="4765">
      <c r="A4765" s="51" t="s">
        <v>33668</v>
      </c>
      <c r="B4765" s="152"/>
      <c r="C4765" s="55"/>
      <c r="D4765" s="31"/>
    </row>
    <row r="4766">
      <c r="A4766" s="51" t="s">
        <v>33669</v>
      </c>
      <c r="B4766" s="152"/>
      <c r="C4766" s="55"/>
      <c r="D4766" s="31"/>
    </row>
    <row r="4767">
      <c r="A4767" s="51" t="s">
        <v>33670</v>
      </c>
      <c r="B4767" s="152"/>
      <c r="C4767" s="55"/>
      <c r="D4767" s="31"/>
    </row>
    <row r="4768">
      <c r="A4768" s="51" t="s">
        <v>33672</v>
      </c>
      <c r="B4768" s="152"/>
      <c r="C4768" s="55"/>
      <c r="D4768" s="31"/>
    </row>
    <row r="4769">
      <c r="A4769" s="51" t="s">
        <v>33673</v>
      </c>
      <c r="B4769" s="152"/>
      <c r="C4769" s="55"/>
      <c r="D4769" s="31"/>
    </row>
    <row r="4770">
      <c r="A4770" s="51" t="s">
        <v>33674</v>
      </c>
      <c r="B4770" s="152"/>
      <c r="C4770" s="55"/>
      <c r="D4770" s="31"/>
    </row>
    <row r="4771">
      <c r="A4771" s="51" t="s">
        <v>33676</v>
      </c>
      <c r="B4771" s="152"/>
      <c r="C4771" s="55"/>
      <c r="D4771" s="31"/>
    </row>
    <row r="4772">
      <c r="A4772" s="51" t="s">
        <v>33677</v>
      </c>
      <c r="B4772" s="152"/>
      <c r="C4772" s="55"/>
      <c r="D4772" s="31"/>
    </row>
    <row r="4773">
      <c r="A4773" s="51" t="s">
        <v>33678</v>
      </c>
      <c r="B4773" s="152"/>
      <c r="C4773" s="55"/>
      <c r="D4773" s="31"/>
    </row>
    <row r="4774">
      <c r="A4774" s="51" t="s">
        <v>33679</v>
      </c>
      <c r="B4774" s="152"/>
      <c r="C4774" s="55"/>
      <c r="D4774" s="31"/>
    </row>
    <row r="4775">
      <c r="A4775" s="51" t="s">
        <v>33681</v>
      </c>
      <c r="B4775" s="152"/>
      <c r="C4775" s="55"/>
      <c r="D4775" s="31"/>
    </row>
    <row r="4776">
      <c r="A4776" s="51" t="s">
        <v>33682</v>
      </c>
      <c r="B4776" s="152"/>
      <c r="C4776" s="55"/>
      <c r="D4776" s="31"/>
    </row>
    <row r="4777">
      <c r="A4777" s="51" t="s">
        <v>33683</v>
      </c>
      <c r="B4777" s="152"/>
      <c r="C4777" s="55"/>
      <c r="D4777" s="31"/>
    </row>
    <row r="4778">
      <c r="A4778" s="51" t="s">
        <v>33684</v>
      </c>
      <c r="B4778" s="152"/>
      <c r="C4778" s="55"/>
      <c r="D4778" s="31"/>
    </row>
    <row r="4779">
      <c r="A4779" s="51" t="s">
        <v>33686</v>
      </c>
      <c r="B4779" s="152"/>
      <c r="C4779" s="55"/>
      <c r="D4779" s="31"/>
    </row>
    <row r="4780">
      <c r="A4780" s="51" t="s">
        <v>33687</v>
      </c>
      <c r="B4780" s="152"/>
      <c r="C4780" s="55"/>
      <c r="D4780" s="31"/>
    </row>
    <row r="4781">
      <c r="A4781" s="51" t="s">
        <v>33688</v>
      </c>
      <c r="B4781" s="152"/>
      <c r="C4781" s="55"/>
      <c r="D4781" s="31"/>
    </row>
    <row r="4782">
      <c r="A4782" s="51" t="s">
        <v>33690</v>
      </c>
      <c r="B4782" s="152"/>
      <c r="C4782" s="55"/>
      <c r="D4782" s="31"/>
    </row>
    <row r="4783">
      <c r="A4783" s="51" t="s">
        <v>33691</v>
      </c>
      <c r="B4783" s="152"/>
      <c r="C4783" s="55"/>
      <c r="D4783" s="31"/>
    </row>
    <row r="4784">
      <c r="A4784" s="51" t="s">
        <v>33693</v>
      </c>
      <c r="B4784" s="152"/>
      <c r="C4784" s="55"/>
      <c r="D4784" s="31"/>
    </row>
    <row r="4785">
      <c r="A4785" s="51" t="s">
        <v>33694</v>
      </c>
      <c r="B4785" s="152"/>
      <c r="C4785" s="55"/>
      <c r="D4785" s="31"/>
    </row>
    <row r="4786">
      <c r="A4786" s="51" t="s">
        <v>33695</v>
      </c>
      <c r="B4786" s="152"/>
      <c r="C4786" s="55"/>
      <c r="D4786" s="31"/>
    </row>
    <row r="4787">
      <c r="A4787" s="51" t="s">
        <v>33696</v>
      </c>
      <c r="B4787" s="152"/>
      <c r="C4787" s="55"/>
      <c r="D4787" s="31"/>
    </row>
    <row r="4788">
      <c r="A4788" s="51" t="s">
        <v>33698</v>
      </c>
      <c r="B4788" s="152"/>
      <c r="C4788" s="55"/>
      <c r="D4788" s="31"/>
    </row>
    <row r="4789">
      <c r="A4789" s="51" t="s">
        <v>33700</v>
      </c>
      <c r="B4789" s="152"/>
      <c r="C4789" s="55"/>
      <c r="D4789" s="31"/>
    </row>
    <row r="4790">
      <c r="A4790" s="51" t="s">
        <v>33701</v>
      </c>
      <c r="B4790" s="152"/>
      <c r="C4790" s="55"/>
      <c r="D4790" s="31"/>
    </row>
    <row r="4791">
      <c r="A4791" s="51" t="s">
        <v>33703</v>
      </c>
      <c r="B4791" s="152"/>
      <c r="C4791" s="55"/>
      <c r="D4791" s="31"/>
    </row>
    <row r="4792">
      <c r="A4792" s="51" t="s">
        <v>33705</v>
      </c>
      <c r="B4792" s="152"/>
      <c r="C4792" s="55"/>
      <c r="D4792" s="31"/>
    </row>
    <row r="4793">
      <c r="A4793" s="51" t="s">
        <v>33706</v>
      </c>
      <c r="B4793" s="152"/>
      <c r="C4793" s="55"/>
      <c r="D4793" s="31"/>
    </row>
    <row r="4794">
      <c r="A4794" s="51" t="s">
        <v>33708</v>
      </c>
      <c r="B4794" s="152"/>
      <c r="C4794" s="55"/>
      <c r="D4794" s="31"/>
    </row>
    <row r="4795">
      <c r="A4795" s="51" t="s">
        <v>33709</v>
      </c>
      <c r="B4795" s="152"/>
      <c r="C4795" s="55"/>
      <c r="D4795" s="31"/>
    </row>
    <row r="4796">
      <c r="A4796" s="51" t="s">
        <v>33710</v>
      </c>
      <c r="B4796" s="152"/>
      <c r="C4796" s="55"/>
      <c r="D4796" s="31"/>
    </row>
    <row r="4797">
      <c r="A4797" s="51" t="s">
        <v>33711</v>
      </c>
      <c r="B4797" s="152"/>
      <c r="C4797" s="55"/>
      <c r="D4797" s="31"/>
    </row>
    <row r="4798">
      <c r="A4798" s="51" t="s">
        <v>33713</v>
      </c>
      <c r="B4798" s="152"/>
      <c r="C4798" s="55"/>
      <c r="D4798" s="31"/>
    </row>
    <row r="4799">
      <c r="A4799" s="51" t="s">
        <v>33717</v>
      </c>
      <c r="B4799" s="152"/>
      <c r="C4799" s="55"/>
      <c r="D4799" s="31"/>
    </row>
    <row r="4800">
      <c r="A4800" s="51" t="s">
        <v>33718</v>
      </c>
      <c r="B4800" s="152"/>
      <c r="C4800" s="55"/>
      <c r="D4800" s="31"/>
    </row>
    <row r="4801">
      <c r="A4801" s="51" t="s">
        <v>33719</v>
      </c>
      <c r="B4801" s="152"/>
      <c r="C4801" s="55"/>
      <c r="D4801" s="31"/>
    </row>
    <row r="4802">
      <c r="A4802" s="51" t="s">
        <v>33720</v>
      </c>
      <c r="B4802" s="152"/>
      <c r="C4802" s="55"/>
      <c r="D4802" s="31"/>
    </row>
    <row r="4803">
      <c r="A4803" s="51" t="s">
        <v>33722</v>
      </c>
      <c r="B4803" s="152"/>
      <c r="C4803" s="55"/>
      <c r="D4803" s="31"/>
    </row>
    <row r="4804">
      <c r="A4804" s="51" t="s">
        <v>33723</v>
      </c>
      <c r="B4804" s="152"/>
      <c r="C4804" s="55"/>
      <c r="D4804" s="31"/>
    </row>
    <row r="4805">
      <c r="A4805" s="51" t="s">
        <v>33724</v>
      </c>
      <c r="B4805" s="152"/>
      <c r="C4805" s="55"/>
      <c r="D4805" s="31"/>
    </row>
    <row r="4806">
      <c r="A4806" s="51" t="s">
        <v>33726</v>
      </c>
      <c r="B4806" s="152"/>
      <c r="C4806" s="55"/>
      <c r="D4806" s="31"/>
    </row>
    <row r="4807">
      <c r="A4807" s="51" t="s">
        <v>33728</v>
      </c>
      <c r="B4807" s="152"/>
      <c r="C4807" s="55"/>
      <c r="D4807" s="31"/>
    </row>
    <row r="4808">
      <c r="A4808" s="51" t="s">
        <v>33729</v>
      </c>
      <c r="B4808" s="152"/>
      <c r="C4808" s="55"/>
      <c r="D4808" s="31"/>
    </row>
    <row r="4809">
      <c r="A4809" s="51" t="s">
        <v>33730</v>
      </c>
      <c r="B4809" s="152"/>
      <c r="C4809" s="55"/>
      <c r="D4809" s="31"/>
    </row>
    <row r="4810">
      <c r="A4810" s="51" t="s">
        <v>33731</v>
      </c>
      <c r="B4810" s="152"/>
      <c r="C4810" s="55"/>
      <c r="D4810" s="31"/>
    </row>
    <row r="4811">
      <c r="A4811" s="51" t="s">
        <v>33732</v>
      </c>
      <c r="B4811" s="152"/>
      <c r="C4811" s="55"/>
      <c r="D4811" s="31"/>
    </row>
    <row r="4812">
      <c r="A4812" s="51" t="s">
        <v>33735</v>
      </c>
      <c r="B4812" s="152"/>
      <c r="C4812" s="55"/>
      <c r="D4812" s="31"/>
    </row>
    <row r="4813">
      <c r="A4813" s="51" t="s">
        <v>33736</v>
      </c>
      <c r="B4813" s="152"/>
      <c r="C4813" s="55"/>
      <c r="D4813" s="31"/>
    </row>
    <row r="4814">
      <c r="A4814" s="51" t="s">
        <v>33737</v>
      </c>
      <c r="B4814" s="152"/>
      <c r="C4814" s="55"/>
      <c r="D4814" s="31"/>
    </row>
    <row r="4815">
      <c r="A4815" s="51" t="s">
        <v>33738</v>
      </c>
      <c r="B4815" s="152"/>
      <c r="C4815" s="55"/>
      <c r="D4815" s="31"/>
    </row>
    <row r="4816">
      <c r="A4816" s="51" t="s">
        <v>33739</v>
      </c>
      <c r="B4816" s="152"/>
      <c r="C4816" s="55"/>
      <c r="D4816" s="31"/>
    </row>
    <row r="4817">
      <c r="A4817" s="51" t="s">
        <v>33740</v>
      </c>
      <c r="B4817" s="152"/>
      <c r="C4817" s="55"/>
      <c r="D4817" s="31"/>
    </row>
    <row r="4818">
      <c r="A4818" s="51" t="s">
        <v>33741</v>
      </c>
      <c r="B4818" s="152"/>
      <c r="C4818" s="55"/>
      <c r="D4818" s="31"/>
    </row>
    <row r="4819">
      <c r="A4819" s="51" t="s">
        <v>33743</v>
      </c>
      <c r="B4819" s="152"/>
      <c r="C4819" s="55"/>
      <c r="D4819" s="31"/>
    </row>
    <row r="4820">
      <c r="A4820" s="51" t="s">
        <v>33745</v>
      </c>
      <c r="B4820" s="152"/>
      <c r="C4820" s="55"/>
      <c r="D4820" s="31"/>
    </row>
    <row r="4821">
      <c r="A4821" s="51" t="s">
        <v>33746</v>
      </c>
      <c r="B4821" s="152"/>
      <c r="C4821" s="55"/>
      <c r="D4821" s="31"/>
    </row>
    <row r="4822">
      <c r="A4822" s="51" t="s">
        <v>33747</v>
      </c>
      <c r="B4822" s="152"/>
      <c r="C4822" s="55"/>
      <c r="D4822" s="31"/>
    </row>
    <row r="4823">
      <c r="A4823" s="51" t="s">
        <v>33748</v>
      </c>
      <c r="B4823" s="152"/>
      <c r="C4823" s="55"/>
      <c r="D4823" s="31"/>
    </row>
    <row r="4824">
      <c r="A4824" s="51" t="s">
        <v>33749</v>
      </c>
      <c r="B4824" s="152"/>
      <c r="C4824" s="55"/>
      <c r="D4824" s="31"/>
    </row>
    <row r="4825">
      <c r="A4825" s="51" t="s">
        <v>33751</v>
      </c>
      <c r="B4825" s="152"/>
      <c r="C4825" s="55"/>
      <c r="D4825" s="31"/>
    </row>
    <row r="4826">
      <c r="A4826" s="51" t="s">
        <v>33752</v>
      </c>
      <c r="B4826" s="152"/>
      <c r="C4826" s="55"/>
      <c r="D4826" s="31"/>
    </row>
    <row r="4827">
      <c r="A4827" s="51" t="s">
        <v>33754</v>
      </c>
      <c r="B4827" s="152"/>
      <c r="C4827" s="55"/>
      <c r="D4827" s="31"/>
    </row>
    <row r="4828">
      <c r="A4828" s="51" t="s">
        <v>33755</v>
      </c>
      <c r="B4828" s="152"/>
      <c r="C4828" s="55"/>
      <c r="D4828" s="31"/>
    </row>
    <row r="4829">
      <c r="A4829" s="51" t="s">
        <v>33756</v>
      </c>
      <c r="B4829" s="152"/>
      <c r="C4829" s="55"/>
      <c r="D4829" s="31"/>
    </row>
    <row r="4830">
      <c r="A4830" s="51" t="s">
        <v>33757</v>
      </c>
      <c r="B4830" s="152"/>
      <c r="C4830" s="55"/>
      <c r="D4830" s="31"/>
    </row>
    <row r="4831">
      <c r="A4831" s="51" t="s">
        <v>33759</v>
      </c>
      <c r="B4831" s="152"/>
      <c r="C4831" s="55"/>
      <c r="D4831" s="31"/>
    </row>
    <row r="4832">
      <c r="A4832" s="51" t="s">
        <v>33760</v>
      </c>
      <c r="B4832" s="152"/>
      <c r="C4832" s="55"/>
      <c r="D4832" s="31"/>
    </row>
    <row r="4833">
      <c r="A4833" s="51" t="s">
        <v>33761</v>
      </c>
      <c r="B4833" s="152"/>
      <c r="C4833" s="55"/>
      <c r="D4833" s="31"/>
    </row>
    <row r="4834">
      <c r="A4834" s="51" t="s">
        <v>33763</v>
      </c>
      <c r="B4834" s="152"/>
      <c r="C4834" s="55"/>
      <c r="D4834" s="31"/>
    </row>
    <row r="4835">
      <c r="A4835" s="51" t="s">
        <v>33764</v>
      </c>
      <c r="B4835" s="152"/>
      <c r="C4835" s="55"/>
      <c r="D4835" s="31"/>
    </row>
    <row r="4836">
      <c r="A4836" s="51" t="s">
        <v>33765</v>
      </c>
      <c r="B4836" s="152"/>
      <c r="C4836" s="55"/>
      <c r="D4836" s="31"/>
    </row>
    <row r="4837">
      <c r="A4837" s="51" t="s">
        <v>33767</v>
      </c>
      <c r="B4837" s="152"/>
      <c r="C4837" s="55"/>
      <c r="D4837" s="31"/>
    </row>
    <row r="4838">
      <c r="A4838" s="51" t="s">
        <v>33768</v>
      </c>
      <c r="B4838" s="152"/>
      <c r="C4838" s="55"/>
      <c r="D4838" s="31"/>
    </row>
    <row r="4839">
      <c r="A4839" s="51" t="s">
        <v>33769</v>
      </c>
      <c r="B4839" s="152"/>
      <c r="C4839" s="55"/>
      <c r="D4839" s="31"/>
    </row>
    <row r="4840">
      <c r="A4840" s="51" t="s">
        <v>33771</v>
      </c>
      <c r="B4840" s="152"/>
      <c r="C4840" s="55"/>
      <c r="D4840" s="31"/>
    </row>
    <row r="4841">
      <c r="A4841" s="51" t="s">
        <v>33772</v>
      </c>
      <c r="B4841" s="152"/>
      <c r="C4841" s="55"/>
      <c r="D4841" s="31"/>
    </row>
    <row r="4842">
      <c r="A4842" s="51" t="s">
        <v>33773</v>
      </c>
      <c r="B4842" s="152"/>
      <c r="C4842" s="55"/>
      <c r="D4842" s="31"/>
    </row>
    <row r="4843">
      <c r="A4843" s="51" t="s">
        <v>33775</v>
      </c>
      <c r="B4843" s="152"/>
      <c r="C4843" s="55"/>
      <c r="D4843" s="31"/>
    </row>
    <row r="4844">
      <c r="A4844" s="51" t="s">
        <v>33776</v>
      </c>
      <c r="B4844" s="152"/>
      <c r="C4844" s="55"/>
      <c r="D4844" s="31"/>
    </row>
    <row r="4845">
      <c r="A4845" s="51" t="s">
        <v>33777</v>
      </c>
      <c r="B4845" s="152"/>
      <c r="C4845" s="55"/>
      <c r="D4845" s="31"/>
    </row>
    <row r="4846">
      <c r="A4846" s="51" t="s">
        <v>33778</v>
      </c>
      <c r="B4846" s="152"/>
      <c r="C4846" s="55"/>
      <c r="D4846" s="31"/>
    </row>
    <row r="4847">
      <c r="A4847" s="51" t="s">
        <v>33779</v>
      </c>
      <c r="B4847" s="152"/>
      <c r="C4847" s="55"/>
      <c r="D4847" s="31"/>
    </row>
    <row r="4848">
      <c r="A4848" s="51" t="s">
        <v>33781</v>
      </c>
      <c r="B4848" s="152"/>
      <c r="C4848" s="55"/>
      <c r="D4848" s="31"/>
    </row>
    <row r="4849">
      <c r="A4849" s="51" t="s">
        <v>33783</v>
      </c>
      <c r="B4849" s="152"/>
      <c r="C4849" s="55"/>
      <c r="D4849" s="31"/>
    </row>
    <row r="4850">
      <c r="A4850" s="51" t="s">
        <v>33784</v>
      </c>
      <c r="B4850" s="152"/>
      <c r="C4850" s="55"/>
      <c r="D4850" s="31"/>
    </row>
    <row r="4851">
      <c r="A4851" s="51" t="s">
        <v>33785</v>
      </c>
      <c r="B4851" s="152"/>
      <c r="C4851" s="55"/>
      <c r="D4851" s="31"/>
    </row>
    <row r="4852">
      <c r="A4852" s="51" t="s">
        <v>33786</v>
      </c>
      <c r="B4852" s="152"/>
      <c r="C4852" s="55"/>
      <c r="D4852" s="31"/>
    </row>
    <row r="4853">
      <c r="A4853" s="51" t="s">
        <v>33788</v>
      </c>
      <c r="B4853" s="152"/>
      <c r="C4853" s="55"/>
      <c r="D4853" s="31"/>
    </row>
    <row r="4854">
      <c r="A4854" s="51" t="s">
        <v>33789</v>
      </c>
      <c r="B4854" s="152"/>
      <c r="C4854" s="55"/>
      <c r="D4854" s="31"/>
    </row>
    <row r="4855">
      <c r="A4855" s="51" t="s">
        <v>33790</v>
      </c>
      <c r="B4855" s="152"/>
      <c r="C4855" s="55"/>
      <c r="D4855" s="31"/>
    </row>
    <row r="4856">
      <c r="A4856" s="51" t="s">
        <v>33792</v>
      </c>
      <c r="B4856" s="152"/>
      <c r="C4856" s="55"/>
      <c r="D4856" s="31"/>
    </row>
    <row r="4857">
      <c r="A4857" s="51" t="s">
        <v>33793</v>
      </c>
      <c r="B4857" s="152"/>
      <c r="C4857" s="55"/>
      <c r="D4857" s="31"/>
    </row>
    <row r="4858">
      <c r="A4858" s="51" t="s">
        <v>33795</v>
      </c>
      <c r="B4858" s="152"/>
      <c r="C4858" s="55"/>
      <c r="D4858" s="31"/>
    </row>
    <row r="4859">
      <c r="A4859" s="51" t="s">
        <v>33796</v>
      </c>
      <c r="B4859" s="152"/>
      <c r="C4859" s="55"/>
      <c r="D4859" s="31"/>
    </row>
    <row r="4860">
      <c r="A4860" s="51" t="s">
        <v>33797</v>
      </c>
      <c r="B4860" s="152"/>
      <c r="C4860" s="55"/>
      <c r="D4860" s="31"/>
    </row>
    <row r="4861">
      <c r="A4861" s="51" t="s">
        <v>33798</v>
      </c>
      <c r="B4861" s="152"/>
      <c r="C4861" s="55"/>
      <c r="D4861" s="31"/>
    </row>
    <row r="4862">
      <c r="A4862" s="51" t="s">
        <v>33801</v>
      </c>
      <c r="B4862" s="152"/>
      <c r="C4862" s="55"/>
      <c r="D4862" s="31"/>
    </row>
    <row r="4863">
      <c r="A4863" s="51" t="s">
        <v>33802</v>
      </c>
      <c r="B4863" s="152"/>
      <c r="C4863" s="55"/>
      <c r="D4863" s="31"/>
    </row>
    <row r="4864">
      <c r="A4864" s="51" t="s">
        <v>33803</v>
      </c>
      <c r="B4864" s="152"/>
      <c r="C4864" s="55"/>
      <c r="D4864" s="31"/>
    </row>
    <row r="4865">
      <c r="A4865" s="51" t="s">
        <v>33804</v>
      </c>
      <c r="B4865" s="152"/>
      <c r="C4865" s="55"/>
      <c r="D4865" s="31"/>
    </row>
    <row r="4866">
      <c r="A4866" s="51" t="s">
        <v>33805</v>
      </c>
      <c r="B4866" s="152"/>
      <c r="C4866" s="55"/>
      <c r="D4866" s="31"/>
    </row>
    <row r="4867">
      <c r="A4867" s="51" t="s">
        <v>33806</v>
      </c>
      <c r="B4867" s="152"/>
      <c r="C4867" s="55"/>
      <c r="D4867" s="31"/>
    </row>
    <row r="4868">
      <c r="A4868" s="51" t="s">
        <v>33808</v>
      </c>
      <c r="B4868" s="152"/>
      <c r="C4868" s="55"/>
      <c r="D4868" s="31"/>
    </row>
    <row r="4869">
      <c r="A4869" s="51" t="s">
        <v>33810</v>
      </c>
      <c r="B4869" s="152"/>
      <c r="C4869" s="55"/>
      <c r="D4869" s="31"/>
    </row>
    <row r="4870">
      <c r="A4870" s="51" t="s">
        <v>33811</v>
      </c>
      <c r="B4870" s="152"/>
      <c r="C4870" s="55"/>
      <c r="D4870" s="31"/>
    </row>
    <row r="4871">
      <c r="A4871" s="51" t="s">
        <v>33812</v>
      </c>
      <c r="B4871" s="152"/>
      <c r="C4871" s="55"/>
      <c r="D4871" s="31"/>
    </row>
    <row r="4872">
      <c r="A4872" s="51" t="s">
        <v>33814</v>
      </c>
      <c r="B4872" s="152"/>
      <c r="C4872" s="55"/>
      <c r="D4872" s="31"/>
    </row>
    <row r="4873">
      <c r="A4873" s="51" t="s">
        <v>33815</v>
      </c>
      <c r="B4873" s="152"/>
      <c r="C4873" s="55"/>
      <c r="D4873" s="31"/>
    </row>
    <row r="4874">
      <c r="A4874" s="51" t="s">
        <v>33816</v>
      </c>
      <c r="B4874" s="152"/>
      <c r="C4874" s="55"/>
      <c r="D4874" s="31"/>
    </row>
    <row r="4875">
      <c r="A4875" s="51" t="s">
        <v>33818</v>
      </c>
      <c r="B4875" s="152"/>
      <c r="C4875" s="55"/>
      <c r="D4875" s="31"/>
    </row>
    <row r="4876">
      <c r="A4876" s="51" t="s">
        <v>33819</v>
      </c>
      <c r="B4876" s="152"/>
      <c r="C4876" s="55"/>
      <c r="D4876" s="31"/>
    </row>
    <row r="4877">
      <c r="A4877" s="51" t="s">
        <v>33820</v>
      </c>
      <c r="B4877" s="152"/>
      <c r="C4877" s="55"/>
      <c r="D4877" s="31"/>
    </row>
    <row r="4878">
      <c r="A4878" s="51" t="s">
        <v>33821</v>
      </c>
      <c r="B4878" s="152"/>
      <c r="C4878" s="55"/>
      <c r="D4878" s="31"/>
    </row>
    <row r="4879">
      <c r="A4879" s="51" t="s">
        <v>33822</v>
      </c>
      <c r="B4879" s="152"/>
      <c r="C4879" s="55"/>
      <c r="D4879" s="31"/>
    </row>
    <row r="4880">
      <c r="A4880" s="51" t="s">
        <v>33825</v>
      </c>
      <c r="B4880" s="152"/>
      <c r="C4880" s="55"/>
      <c r="D4880" s="31"/>
    </row>
    <row r="4881">
      <c r="A4881" s="51" t="s">
        <v>33826</v>
      </c>
      <c r="B4881" s="152"/>
      <c r="C4881" s="55"/>
      <c r="D4881" s="31"/>
    </row>
    <row r="4882">
      <c r="A4882" s="51" t="s">
        <v>33827</v>
      </c>
      <c r="B4882" s="152"/>
      <c r="C4882" s="55"/>
      <c r="D4882" s="31"/>
    </row>
    <row r="4883">
      <c r="A4883" s="51" t="s">
        <v>33828</v>
      </c>
      <c r="B4883" s="152"/>
      <c r="C4883" s="55"/>
      <c r="D4883" s="31"/>
    </row>
    <row r="4884">
      <c r="A4884" s="51" t="s">
        <v>33829</v>
      </c>
      <c r="B4884" s="152"/>
      <c r="C4884" s="55"/>
      <c r="D4884" s="31"/>
    </row>
    <row r="4885">
      <c r="A4885" s="51" t="s">
        <v>33830</v>
      </c>
      <c r="B4885" s="152"/>
      <c r="C4885" s="55"/>
      <c r="D4885" s="31"/>
    </row>
    <row r="4886">
      <c r="A4886" s="51" t="s">
        <v>33833</v>
      </c>
      <c r="B4886" s="152"/>
      <c r="C4886" s="55"/>
      <c r="D4886" s="31"/>
    </row>
    <row r="4887">
      <c r="A4887" s="51" t="s">
        <v>33834</v>
      </c>
      <c r="B4887" s="152"/>
      <c r="C4887" s="55"/>
      <c r="D4887" s="31"/>
    </row>
    <row r="4888">
      <c r="A4888" s="51" t="s">
        <v>33835</v>
      </c>
      <c r="B4888" s="152"/>
      <c r="C4888" s="55"/>
      <c r="D4888" s="31"/>
    </row>
    <row r="4889">
      <c r="A4889" s="51" t="s">
        <v>33836</v>
      </c>
      <c r="B4889" s="152"/>
      <c r="C4889" s="55"/>
      <c r="D4889" s="31"/>
    </row>
    <row r="4890">
      <c r="A4890" s="51" t="s">
        <v>33837</v>
      </c>
      <c r="B4890" s="152"/>
      <c r="C4890" s="55"/>
      <c r="D4890" s="31"/>
    </row>
    <row r="4891">
      <c r="A4891" s="51" t="s">
        <v>33839</v>
      </c>
      <c r="B4891" s="152"/>
      <c r="C4891" s="55"/>
      <c r="D4891" s="31"/>
    </row>
    <row r="4892">
      <c r="A4892" s="51" t="s">
        <v>33840</v>
      </c>
      <c r="B4892" s="152"/>
      <c r="C4892" s="55"/>
      <c r="D4892" s="31"/>
    </row>
    <row r="4893">
      <c r="A4893" s="51" t="s">
        <v>33842</v>
      </c>
      <c r="B4893" s="152"/>
      <c r="C4893" s="55"/>
      <c r="D4893" s="31"/>
    </row>
    <row r="4894">
      <c r="A4894" s="51" t="s">
        <v>33843</v>
      </c>
      <c r="B4894" s="152"/>
      <c r="C4894" s="55"/>
      <c r="D4894" s="31"/>
    </row>
    <row r="4895">
      <c r="A4895" s="51" t="s">
        <v>33845</v>
      </c>
      <c r="B4895" s="152"/>
      <c r="C4895" s="55"/>
      <c r="D4895" s="31"/>
    </row>
    <row r="4896">
      <c r="A4896" s="51" t="s">
        <v>33846</v>
      </c>
      <c r="B4896" s="152"/>
      <c r="C4896" s="55"/>
      <c r="D4896" s="31"/>
    </row>
    <row r="4897">
      <c r="A4897" s="51" t="s">
        <v>33847</v>
      </c>
      <c r="B4897" s="152"/>
      <c r="C4897" s="55"/>
      <c r="D4897" s="31"/>
    </row>
    <row r="4898">
      <c r="A4898" s="51" t="s">
        <v>33848</v>
      </c>
      <c r="B4898" s="152"/>
      <c r="C4898" s="55"/>
      <c r="D4898" s="31"/>
    </row>
    <row r="4899">
      <c r="A4899" s="51" t="s">
        <v>33851</v>
      </c>
      <c r="B4899" s="152"/>
      <c r="C4899" s="55"/>
      <c r="D4899" s="31"/>
    </row>
    <row r="4900">
      <c r="A4900" s="51" t="s">
        <v>33852</v>
      </c>
      <c r="B4900" s="152"/>
      <c r="C4900" s="55"/>
      <c r="D4900" s="31"/>
    </row>
    <row r="4901">
      <c r="A4901" s="51" t="s">
        <v>33853</v>
      </c>
      <c r="B4901" s="152"/>
      <c r="C4901" s="55"/>
      <c r="D4901" s="31"/>
    </row>
    <row r="4902">
      <c r="A4902" s="51" t="s">
        <v>33854</v>
      </c>
      <c r="B4902" s="152"/>
      <c r="C4902" s="55"/>
      <c r="D4902" s="31"/>
    </row>
    <row r="4903">
      <c r="A4903" s="51" t="s">
        <v>33855</v>
      </c>
      <c r="B4903" s="152"/>
      <c r="C4903" s="55"/>
      <c r="D4903" s="31"/>
    </row>
    <row r="4904">
      <c r="A4904" s="51" t="s">
        <v>33857</v>
      </c>
      <c r="B4904" s="152"/>
      <c r="C4904" s="55"/>
      <c r="D4904" s="31"/>
    </row>
    <row r="4905">
      <c r="A4905" s="51" t="s">
        <v>33858</v>
      </c>
      <c r="B4905" s="152"/>
      <c r="C4905" s="55"/>
      <c r="D4905" s="31"/>
    </row>
    <row r="4906">
      <c r="A4906" s="51" t="s">
        <v>33860</v>
      </c>
      <c r="B4906" s="152"/>
      <c r="C4906" s="55"/>
      <c r="D4906" s="31"/>
    </row>
    <row r="4907">
      <c r="A4907" s="51" t="s">
        <v>33861</v>
      </c>
      <c r="B4907" s="152"/>
      <c r="C4907" s="55"/>
      <c r="D4907" s="31"/>
    </row>
    <row r="4908">
      <c r="A4908" s="51" t="s">
        <v>33863</v>
      </c>
      <c r="B4908" s="152"/>
      <c r="C4908" s="55"/>
      <c r="D4908" s="31"/>
    </row>
    <row r="4909">
      <c r="A4909" s="51" t="s">
        <v>33864</v>
      </c>
      <c r="B4909" s="152"/>
      <c r="C4909" s="55"/>
      <c r="D4909" s="31"/>
    </row>
    <row r="4910">
      <c r="A4910" s="51" t="s">
        <v>33865</v>
      </c>
      <c r="B4910" s="152"/>
      <c r="C4910" s="55"/>
      <c r="D4910" s="31"/>
    </row>
    <row r="4911">
      <c r="A4911" s="51" t="s">
        <v>33866</v>
      </c>
      <c r="B4911" s="152"/>
      <c r="C4911" s="55"/>
      <c r="D4911" s="31"/>
    </row>
    <row r="4912">
      <c r="A4912" s="51" t="s">
        <v>33869</v>
      </c>
      <c r="B4912" s="152"/>
      <c r="C4912" s="55"/>
      <c r="D4912" s="31"/>
    </row>
    <row r="4913">
      <c r="A4913" s="51" t="s">
        <v>33870</v>
      </c>
      <c r="B4913" s="152"/>
      <c r="C4913" s="55"/>
      <c r="D4913" s="31"/>
    </row>
    <row r="4914">
      <c r="A4914" s="51" t="s">
        <v>33871</v>
      </c>
      <c r="B4914" s="152"/>
      <c r="C4914" s="55"/>
      <c r="D4914" s="31"/>
    </row>
    <row r="4915">
      <c r="A4915" s="51" t="s">
        <v>33872</v>
      </c>
      <c r="B4915" s="152"/>
      <c r="C4915" s="55"/>
      <c r="D4915" s="31"/>
    </row>
    <row r="4916">
      <c r="A4916" s="51" t="s">
        <v>33873</v>
      </c>
      <c r="B4916" s="152"/>
      <c r="C4916" s="55"/>
      <c r="D4916" s="31"/>
    </row>
    <row r="4917">
      <c r="A4917" s="51" t="s">
        <v>33874</v>
      </c>
      <c r="B4917" s="152"/>
      <c r="C4917" s="55"/>
      <c r="D4917" s="31"/>
    </row>
    <row r="4918">
      <c r="A4918" s="51" t="s">
        <v>33877</v>
      </c>
      <c r="B4918" s="152"/>
      <c r="C4918" s="55"/>
      <c r="D4918" s="31"/>
    </row>
    <row r="4919">
      <c r="A4919" s="51" t="s">
        <v>33878</v>
      </c>
      <c r="B4919" s="152"/>
      <c r="C4919" s="55"/>
      <c r="D4919" s="31"/>
    </row>
    <row r="4920">
      <c r="A4920" s="51" t="s">
        <v>33879</v>
      </c>
      <c r="B4920" s="152"/>
      <c r="C4920" s="55"/>
      <c r="D4920" s="31"/>
    </row>
    <row r="4921">
      <c r="A4921" s="51" t="s">
        <v>33880</v>
      </c>
      <c r="B4921" s="152"/>
      <c r="C4921" s="55"/>
      <c r="D4921" s="31"/>
    </row>
    <row r="4922">
      <c r="A4922" s="51" t="s">
        <v>33881</v>
      </c>
      <c r="B4922" s="152"/>
      <c r="C4922" s="55"/>
      <c r="D4922" s="31"/>
    </row>
    <row r="4923">
      <c r="A4923" s="51" t="s">
        <v>33882</v>
      </c>
      <c r="B4923" s="152"/>
      <c r="C4923" s="55"/>
      <c r="D4923" s="31"/>
    </row>
    <row r="4924">
      <c r="A4924" s="51" t="s">
        <v>33884</v>
      </c>
      <c r="B4924" s="152"/>
      <c r="C4924" s="55"/>
      <c r="D4924" s="31"/>
    </row>
    <row r="4925">
      <c r="A4925" s="51" t="s">
        <v>33886</v>
      </c>
      <c r="B4925" s="152"/>
      <c r="C4925" s="55"/>
      <c r="D4925" s="31"/>
    </row>
    <row r="4926">
      <c r="A4926" s="51" t="s">
        <v>33887</v>
      </c>
      <c r="B4926" s="152"/>
      <c r="C4926" s="55"/>
      <c r="D4926" s="31"/>
    </row>
    <row r="4927">
      <c r="A4927" s="51" t="s">
        <v>33888</v>
      </c>
      <c r="B4927" s="152"/>
      <c r="C4927" s="55"/>
      <c r="D4927" s="31"/>
    </row>
    <row r="4928">
      <c r="A4928" s="51" t="s">
        <v>33889</v>
      </c>
      <c r="B4928" s="152"/>
      <c r="C4928" s="55"/>
      <c r="D4928" s="31"/>
    </row>
    <row r="4929">
      <c r="A4929" s="51" t="s">
        <v>33892</v>
      </c>
      <c r="B4929" s="152"/>
      <c r="C4929" s="55"/>
      <c r="D4929" s="31"/>
    </row>
    <row r="4930">
      <c r="A4930" s="51" t="s">
        <v>33893</v>
      </c>
      <c r="B4930" s="152"/>
      <c r="C4930" s="55"/>
      <c r="D4930" s="31"/>
    </row>
    <row r="4931">
      <c r="A4931" s="51" t="s">
        <v>33894</v>
      </c>
      <c r="B4931" s="152"/>
      <c r="C4931" s="55"/>
      <c r="D4931" s="31"/>
    </row>
    <row r="4932">
      <c r="A4932" s="51" t="s">
        <v>33895</v>
      </c>
      <c r="B4932" s="152"/>
      <c r="C4932" s="55"/>
      <c r="D4932" s="31"/>
    </row>
    <row r="4933">
      <c r="A4933" s="51" t="s">
        <v>33896</v>
      </c>
      <c r="B4933" s="152"/>
      <c r="C4933" s="55"/>
      <c r="D4933" s="31"/>
    </row>
    <row r="4934">
      <c r="A4934" s="51" t="s">
        <v>33897</v>
      </c>
      <c r="B4934" s="152"/>
      <c r="C4934" s="55"/>
      <c r="D4934" s="31"/>
    </row>
    <row r="4935">
      <c r="A4935" s="51" t="s">
        <v>33899</v>
      </c>
      <c r="B4935" s="152"/>
      <c r="C4935" s="55"/>
      <c r="D4935" s="31"/>
    </row>
    <row r="4936">
      <c r="A4936" s="51" t="s">
        <v>33901</v>
      </c>
      <c r="B4936" s="152"/>
      <c r="C4936" s="55"/>
      <c r="D4936" s="31"/>
    </row>
    <row r="4937">
      <c r="A4937" s="51" t="s">
        <v>33902</v>
      </c>
      <c r="B4937" s="152"/>
      <c r="C4937" s="55"/>
      <c r="D4937" s="31"/>
    </row>
    <row r="4938">
      <c r="A4938" s="51" t="s">
        <v>33904</v>
      </c>
      <c r="B4938" s="152"/>
      <c r="C4938" s="55"/>
      <c r="D4938" s="31"/>
    </row>
    <row r="4939">
      <c r="A4939" s="51" t="s">
        <v>33905</v>
      </c>
      <c r="B4939" s="152"/>
      <c r="C4939" s="55"/>
      <c r="D4939" s="31"/>
    </row>
    <row r="4940">
      <c r="A4940" s="51" t="s">
        <v>33906</v>
      </c>
      <c r="B4940" s="152"/>
      <c r="C4940" s="55"/>
      <c r="D4940" s="31"/>
    </row>
    <row r="4941">
      <c r="A4941" s="51" t="s">
        <v>33907</v>
      </c>
      <c r="B4941" s="152"/>
      <c r="C4941" s="55"/>
      <c r="D4941" s="31"/>
    </row>
    <row r="4942">
      <c r="A4942" s="51" t="s">
        <v>33909</v>
      </c>
      <c r="B4942" s="152"/>
      <c r="C4942" s="55"/>
      <c r="D4942" s="31"/>
    </row>
    <row r="4943">
      <c r="A4943" s="51" t="s">
        <v>33911</v>
      </c>
      <c r="B4943" s="152"/>
      <c r="C4943" s="55"/>
      <c r="D4943" s="31"/>
    </row>
    <row r="4944">
      <c r="A4944" s="51" t="s">
        <v>33912</v>
      </c>
      <c r="B4944" s="152"/>
      <c r="C4944" s="55"/>
      <c r="D4944" s="31"/>
    </row>
    <row r="4945">
      <c r="A4945" s="51" t="s">
        <v>33914</v>
      </c>
      <c r="B4945" s="152"/>
      <c r="C4945" s="55"/>
      <c r="D4945" s="31"/>
    </row>
    <row r="4946">
      <c r="A4946" s="51" t="s">
        <v>33915</v>
      </c>
      <c r="B4946" s="152"/>
      <c r="C4946" s="55"/>
      <c r="D4946" s="31"/>
    </row>
    <row r="4947">
      <c r="A4947" s="51" t="s">
        <v>33916</v>
      </c>
      <c r="B4947" s="152"/>
      <c r="C4947" s="55"/>
      <c r="D4947" s="31"/>
    </row>
    <row r="4948">
      <c r="A4948" s="51" t="s">
        <v>33917</v>
      </c>
      <c r="B4948" s="152"/>
      <c r="C4948" s="55"/>
      <c r="D4948" s="31"/>
    </row>
    <row r="4949">
      <c r="A4949" s="51" t="s">
        <v>33918</v>
      </c>
      <c r="B4949" s="152"/>
      <c r="C4949" s="55"/>
      <c r="D4949" s="31"/>
    </row>
    <row r="4950">
      <c r="A4950" s="51" t="s">
        <v>33920</v>
      </c>
      <c r="B4950" s="152"/>
      <c r="C4950" s="55"/>
      <c r="D4950" s="31"/>
    </row>
    <row r="4951">
      <c r="A4951" s="51" t="s">
        <v>33921</v>
      </c>
      <c r="B4951" s="152"/>
      <c r="C4951" s="55"/>
      <c r="D4951" s="31"/>
    </row>
    <row r="4952">
      <c r="C4952" s="12"/>
    </row>
    <row r="4953">
      <c r="A4953" s="159" t="s">
        <v>33923</v>
      </c>
      <c r="B4953" s="152"/>
      <c r="C4953" s="68"/>
      <c r="D4953" s="31"/>
    </row>
    <row r="4954">
      <c r="A4954" s="51" t="s">
        <v>33926</v>
      </c>
      <c r="B4954" s="152"/>
      <c r="C4954" s="55"/>
      <c r="D4954" s="31"/>
    </row>
    <row r="4955">
      <c r="A4955" s="51" t="s">
        <v>33927</v>
      </c>
      <c r="B4955" s="152"/>
      <c r="C4955" s="55"/>
      <c r="D4955" s="31"/>
    </row>
    <row r="4956">
      <c r="A4956" s="51" t="s">
        <v>33928</v>
      </c>
      <c r="B4956" s="152"/>
      <c r="C4956" s="55"/>
      <c r="D4956" s="31"/>
    </row>
    <row r="4957">
      <c r="A4957" s="51" t="s">
        <v>33929</v>
      </c>
      <c r="B4957" s="152"/>
      <c r="C4957" s="55"/>
      <c r="D4957" s="31"/>
    </row>
    <row r="4958">
      <c r="A4958" s="51" t="s">
        <v>33930</v>
      </c>
      <c r="B4958" s="152"/>
      <c r="C4958" s="55"/>
      <c r="D4958" s="31"/>
    </row>
    <row r="4959">
      <c r="A4959" s="51" t="s">
        <v>33932</v>
      </c>
      <c r="B4959" s="152"/>
      <c r="C4959" s="55"/>
      <c r="D4959" s="31"/>
    </row>
    <row r="4960">
      <c r="A4960" s="51" t="s">
        <v>33934</v>
      </c>
      <c r="B4960" s="152"/>
      <c r="C4960" s="55"/>
      <c r="D4960" s="31"/>
    </row>
    <row r="4961">
      <c r="A4961" s="51" t="s">
        <v>33936</v>
      </c>
      <c r="B4961" s="152"/>
      <c r="C4961" s="55"/>
      <c r="D4961" s="31"/>
    </row>
    <row r="4962">
      <c r="A4962" s="51" t="s">
        <v>33937</v>
      </c>
      <c r="B4962" s="152"/>
      <c r="C4962" s="55"/>
      <c r="D4962" s="31"/>
    </row>
    <row r="4963">
      <c r="A4963" s="51" t="s">
        <v>33938</v>
      </c>
      <c r="B4963" s="152"/>
      <c r="C4963" s="55"/>
      <c r="D4963" s="31"/>
    </row>
    <row r="4964">
      <c r="A4964" s="51" t="s">
        <v>33939</v>
      </c>
      <c r="B4964" s="152"/>
      <c r="C4964" s="55"/>
      <c r="D4964" s="31"/>
    </row>
    <row r="4965">
      <c r="A4965" s="51" t="s">
        <v>33941</v>
      </c>
      <c r="B4965" s="152"/>
      <c r="C4965" s="55"/>
      <c r="D4965" s="31"/>
    </row>
    <row r="4966">
      <c r="A4966" s="51" t="s">
        <v>33943</v>
      </c>
      <c r="B4966" s="152"/>
      <c r="C4966" s="55"/>
      <c r="D4966" s="31"/>
    </row>
    <row r="4967">
      <c r="A4967" s="51" t="s">
        <v>33945</v>
      </c>
      <c r="B4967" s="152"/>
      <c r="C4967" s="55"/>
      <c r="D4967" s="31"/>
    </row>
    <row r="4968">
      <c r="A4968" s="51" t="s">
        <v>33946</v>
      </c>
      <c r="B4968" s="152"/>
      <c r="C4968" s="55"/>
      <c r="D4968" s="31"/>
    </row>
    <row r="4969">
      <c r="A4969" s="51" t="s">
        <v>33947</v>
      </c>
      <c r="B4969" s="152"/>
      <c r="C4969" s="55"/>
      <c r="D4969" s="31"/>
    </row>
    <row r="4970">
      <c r="A4970" s="51" t="s">
        <v>33948</v>
      </c>
      <c r="B4970" s="152"/>
      <c r="C4970" s="55"/>
      <c r="D4970" s="31"/>
    </row>
    <row r="4971">
      <c r="A4971" s="51" t="s">
        <v>33950</v>
      </c>
      <c r="B4971" s="152"/>
      <c r="C4971" s="55"/>
      <c r="D4971" s="31"/>
    </row>
    <row r="4972">
      <c r="A4972" s="51" t="s">
        <v>33952</v>
      </c>
      <c r="B4972" s="152"/>
      <c r="C4972" s="55"/>
      <c r="D4972" s="31"/>
    </row>
    <row r="4973">
      <c r="A4973" s="51" t="s">
        <v>33956</v>
      </c>
      <c r="B4973" s="152"/>
      <c r="C4973" s="55"/>
      <c r="D4973" s="31"/>
    </row>
    <row r="4974">
      <c r="A4974" s="51" t="s">
        <v>33957</v>
      </c>
      <c r="B4974" s="152"/>
      <c r="C4974" s="55"/>
      <c r="D4974" s="31"/>
    </row>
    <row r="4975">
      <c r="A4975" s="51" t="s">
        <v>33958</v>
      </c>
      <c r="B4975" s="152"/>
      <c r="C4975" s="55"/>
      <c r="D4975" s="31"/>
    </row>
    <row r="4976">
      <c r="A4976" s="51" t="s">
        <v>33959</v>
      </c>
      <c r="B4976" s="152"/>
      <c r="C4976" s="55"/>
      <c r="D4976" s="31"/>
    </row>
    <row r="4977">
      <c r="A4977" s="51" t="s">
        <v>33961</v>
      </c>
      <c r="B4977" s="152"/>
      <c r="C4977" s="55"/>
      <c r="D4977" s="31"/>
    </row>
    <row r="4978">
      <c r="A4978" s="51" t="s">
        <v>33964</v>
      </c>
      <c r="B4978" s="152"/>
      <c r="C4978" s="55"/>
      <c r="D4978" s="31"/>
    </row>
    <row r="4979">
      <c r="A4979" s="51" t="s">
        <v>33968</v>
      </c>
      <c r="B4979" s="152"/>
      <c r="C4979" s="55"/>
      <c r="D4979" s="31"/>
    </row>
    <row r="4980">
      <c r="A4980" s="51" t="s">
        <v>33970</v>
      </c>
      <c r="B4980" s="152"/>
      <c r="C4980" s="55"/>
      <c r="D4980" s="31"/>
    </row>
    <row r="4981">
      <c r="A4981" s="51" t="s">
        <v>33971</v>
      </c>
      <c r="B4981" s="152"/>
      <c r="C4981" s="55"/>
      <c r="D4981" s="31"/>
    </row>
    <row r="4982">
      <c r="A4982" s="51" t="s">
        <v>33972</v>
      </c>
      <c r="B4982" s="152"/>
      <c r="C4982" s="55"/>
      <c r="D4982" s="31"/>
    </row>
    <row r="4983">
      <c r="A4983" s="51" t="s">
        <v>33973</v>
      </c>
      <c r="B4983" s="152"/>
      <c r="C4983" s="55"/>
      <c r="D4983" s="31"/>
    </row>
    <row r="4984">
      <c r="A4984" s="51" t="s">
        <v>33974</v>
      </c>
      <c r="B4984" s="152"/>
      <c r="C4984" s="55"/>
      <c r="D4984" s="31"/>
    </row>
    <row r="4985">
      <c r="A4985" s="51" t="s">
        <v>33977</v>
      </c>
      <c r="B4985" s="152"/>
      <c r="C4985" s="55"/>
      <c r="D4985" s="31"/>
    </row>
    <row r="4986">
      <c r="A4986" s="51" t="s">
        <v>33979</v>
      </c>
      <c r="B4986" s="152"/>
      <c r="C4986" s="55"/>
      <c r="D4986" s="31"/>
    </row>
    <row r="4987">
      <c r="A4987" s="51" t="s">
        <v>33980</v>
      </c>
      <c r="B4987" s="152"/>
      <c r="C4987" s="55"/>
      <c r="D4987" s="31"/>
    </row>
    <row r="4988">
      <c r="A4988" s="51" t="s">
        <v>33981</v>
      </c>
      <c r="B4988" s="152"/>
      <c r="C4988" s="55"/>
      <c r="D4988" s="31"/>
    </row>
    <row r="4989">
      <c r="A4989" s="51" t="s">
        <v>33983</v>
      </c>
      <c r="B4989" s="152"/>
      <c r="C4989" s="55"/>
      <c r="D4989" s="31"/>
    </row>
    <row r="4990">
      <c r="A4990" s="51" t="s">
        <v>33984</v>
      </c>
      <c r="B4990" s="152"/>
      <c r="C4990" s="55"/>
      <c r="D4990" s="31"/>
    </row>
    <row r="4991">
      <c r="A4991" s="51" t="s">
        <v>33986</v>
      </c>
      <c r="B4991" s="152"/>
      <c r="C4991" s="55"/>
      <c r="D4991" s="31"/>
    </row>
    <row r="4992">
      <c r="A4992" s="51" t="s">
        <v>33987</v>
      </c>
      <c r="B4992" s="152"/>
      <c r="C4992" s="55"/>
      <c r="D4992" s="31"/>
    </row>
    <row r="4993">
      <c r="A4993" s="51" t="s">
        <v>33988</v>
      </c>
      <c r="B4993" s="152"/>
      <c r="C4993" s="55"/>
      <c r="D4993" s="31"/>
    </row>
    <row r="4994">
      <c r="A4994" s="51" t="s">
        <v>33990</v>
      </c>
      <c r="B4994" s="152"/>
      <c r="C4994" s="55"/>
      <c r="D4994" s="31"/>
    </row>
    <row r="4995">
      <c r="A4995" s="51" t="s">
        <v>33991</v>
      </c>
      <c r="B4995" s="152"/>
      <c r="C4995" s="55"/>
      <c r="D4995" s="31"/>
    </row>
    <row r="4996">
      <c r="A4996" s="51" t="s">
        <v>33992</v>
      </c>
      <c r="B4996" s="152"/>
      <c r="C4996" s="55"/>
      <c r="D4996" s="31"/>
    </row>
    <row r="4997">
      <c r="A4997" s="51" t="s">
        <v>33993</v>
      </c>
      <c r="B4997" s="152"/>
      <c r="C4997" s="55"/>
      <c r="D4997" s="31"/>
    </row>
    <row r="4998">
      <c r="A4998" s="51" t="s">
        <v>33994</v>
      </c>
      <c r="B4998" s="152"/>
      <c r="C4998" s="55"/>
      <c r="D4998" s="31"/>
    </row>
    <row r="4999">
      <c r="A4999" s="51" t="s">
        <v>33995</v>
      </c>
      <c r="B4999" s="152"/>
      <c r="C4999" s="55"/>
      <c r="D4999" s="31"/>
    </row>
    <row r="5000">
      <c r="A5000" s="51" t="s">
        <v>33996</v>
      </c>
      <c r="B5000" s="152"/>
      <c r="C5000" s="55"/>
      <c r="D5000" s="31"/>
    </row>
    <row r="5001">
      <c r="A5001" s="51" t="s">
        <v>33998</v>
      </c>
      <c r="B5001" s="152"/>
      <c r="C5001" s="55"/>
      <c r="D5001" s="31"/>
    </row>
    <row r="5002">
      <c r="A5002" s="51" t="s">
        <v>34000</v>
      </c>
      <c r="B5002" s="152"/>
      <c r="C5002" s="55"/>
      <c r="D5002" s="31"/>
    </row>
    <row r="5003">
      <c r="A5003" s="51" t="s">
        <v>34001</v>
      </c>
      <c r="B5003" s="152"/>
      <c r="C5003" s="55"/>
      <c r="D5003" s="31"/>
    </row>
    <row r="5004">
      <c r="A5004" s="51" t="s">
        <v>34002</v>
      </c>
      <c r="B5004" s="152"/>
      <c r="C5004" s="55"/>
      <c r="D5004" s="31"/>
    </row>
    <row r="5005">
      <c r="A5005" s="51" t="s">
        <v>34003</v>
      </c>
      <c r="B5005" s="152"/>
      <c r="C5005" s="55"/>
      <c r="D5005" s="31"/>
    </row>
    <row r="5006">
      <c r="A5006" s="51" t="s">
        <v>34005</v>
      </c>
      <c r="B5006" s="152"/>
      <c r="C5006" s="55"/>
      <c r="D5006" s="31"/>
    </row>
    <row r="5007">
      <c r="A5007" s="51" t="s">
        <v>34007</v>
      </c>
      <c r="B5007" s="152"/>
      <c r="C5007" s="55"/>
      <c r="D5007" s="31"/>
    </row>
    <row r="5008">
      <c r="A5008" s="51" t="s">
        <v>34009</v>
      </c>
      <c r="B5008" s="152"/>
      <c r="C5008" s="55"/>
      <c r="D5008" s="31"/>
    </row>
    <row r="5009">
      <c r="A5009" s="51" t="s">
        <v>34010</v>
      </c>
      <c r="B5009" s="152"/>
      <c r="C5009" s="55"/>
      <c r="D5009" s="31"/>
    </row>
    <row r="5010">
      <c r="A5010" s="51" t="s">
        <v>34011</v>
      </c>
      <c r="B5010" s="152"/>
      <c r="C5010" s="55"/>
      <c r="D5010" s="31"/>
    </row>
    <row r="5011">
      <c r="A5011" s="51" t="s">
        <v>34012</v>
      </c>
      <c r="B5011" s="152"/>
      <c r="C5011" s="55"/>
      <c r="D5011" s="31"/>
    </row>
    <row r="5012">
      <c r="A5012" s="51" t="s">
        <v>34014</v>
      </c>
      <c r="B5012" s="152"/>
      <c r="C5012" s="55"/>
      <c r="D5012" s="31"/>
    </row>
    <row r="5013">
      <c r="A5013" s="51" t="s">
        <v>34015</v>
      </c>
      <c r="B5013" s="152"/>
      <c r="C5013" s="55"/>
      <c r="D5013" s="31"/>
    </row>
    <row r="5014">
      <c r="A5014" s="51" t="s">
        <v>34017</v>
      </c>
      <c r="B5014" s="152"/>
      <c r="C5014" s="55"/>
      <c r="D5014" s="31"/>
    </row>
    <row r="5015">
      <c r="A5015" s="51" t="s">
        <v>34018</v>
      </c>
      <c r="B5015" s="152"/>
      <c r="C5015" s="55"/>
      <c r="D5015" s="31"/>
    </row>
    <row r="5016">
      <c r="A5016" s="51" t="s">
        <v>34019</v>
      </c>
      <c r="B5016" s="152"/>
      <c r="C5016" s="55"/>
      <c r="D5016" s="31"/>
    </row>
    <row r="5017">
      <c r="A5017" s="51" t="s">
        <v>34021</v>
      </c>
      <c r="B5017" s="152"/>
      <c r="C5017" s="55"/>
      <c r="D5017" s="31"/>
    </row>
    <row r="5018">
      <c r="A5018" s="51" t="s">
        <v>34022</v>
      </c>
      <c r="B5018" s="152"/>
      <c r="C5018" s="55"/>
      <c r="D5018" s="31"/>
    </row>
    <row r="5019">
      <c r="A5019" s="51" t="s">
        <v>34023</v>
      </c>
      <c r="B5019" s="152"/>
      <c r="C5019" s="55"/>
      <c r="D5019" s="31"/>
    </row>
    <row r="5020">
      <c r="A5020" s="51" t="s">
        <v>34024</v>
      </c>
      <c r="B5020" s="152"/>
      <c r="C5020" s="55"/>
      <c r="D5020" s="31"/>
    </row>
    <row r="5021">
      <c r="A5021" s="51" t="s">
        <v>34027</v>
      </c>
      <c r="B5021" s="152"/>
      <c r="C5021" s="55"/>
      <c r="D5021" s="31"/>
    </row>
    <row r="5022">
      <c r="A5022" s="51" t="s">
        <v>34028</v>
      </c>
      <c r="B5022" s="152"/>
      <c r="C5022" s="55"/>
      <c r="D5022" s="31"/>
    </row>
    <row r="5023">
      <c r="A5023" s="51" t="s">
        <v>34031</v>
      </c>
      <c r="B5023" s="152"/>
      <c r="C5023" s="55"/>
      <c r="D5023" s="31"/>
    </row>
    <row r="5024">
      <c r="A5024" s="51" t="s">
        <v>34032</v>
      </c>
      <c r="B5024" s="152"/>
      <c r="C5024" s="55"/>
      <c r="D5024" s="31"/>
    </row>
    <row r="5025">
      <c r="A5025" s="51" t="s">
        <v>34033</v>
      </c>
      <c r="B5025" s="152"/>
      <c r="C5025" s="55"/>
      <c r="D5025" s="31"/>
    </row>
    <row r="5026">
      <c r="A5026" s="51" t="s">
        <v>34035</v>
      </c>
      <c r="B5026" s="152"/>
      <c r="C5026" s="55"/>
      <c r="D5026" s="31"/>
    </row>
    <row r="5027">
      <c r="A5027" s="51" t="s">
        <v>34036</v>
      </c>
      <c r="B5027" s="152"/>
      <c r="C5027" s="55"/>
      <c r="D5027" s="31"/>
    </row>
    <row r="5028">
      <c r="A5028" s="51" t="s">
        <v>34037</v>
      </c>
      <c r="B5028" s="152"/>
      <c r="C5028" s="55"/>
      <c r="D5028" s="31"/>
    </row>
    <row r="5029">
      <c r="A5029" s="51" t="s">
        <v>34038</v>
      </c>
      <c r="B5029" s="152"/>
      <c r="C5029" s="55"/>
      <c r="D5029" s="31"/>
    </row>
    <row r="5030">
      <c r="A5030" s="51" t="s">
        <v>34040</v>
      </c>
      <c r="B5030" s="152"/>
      <c r="C5030" s="55"/>
      <c r="D5030" s="31"/>
    </row>
    <row r="5031">
      <c r="A5031" s="51" t="s">
        <v>34042</v>
      </c>
      <c r="B5031" s="152"/>
      <c r="C5031" s="55"/>
      <c r="D5031" s="31"/>
    </row>
    <row r="5032">
      <c r="A5032" s="51" t="s">
        <v>34043</v>
      </c>
      <c r="B5032" s="152"/>
      <c r="C5032" s="55"/>
      <c r="D5032" s="31"/>
    </row>
    <row r="5033">
      <c r="A5033" s="51" t="s">
        <v>34045</v>
      </c>
      <c r="B5033" s="152"/>
      <c r="C5033" s="55"/>
      <c r="D5033" s="31"/>
    </row>
    <row r="5034">
      <c r="A5034" s="51" t="s">
        <v>34046</v>
      </c>
      <c r="B5034" s="152"/>
      <c r="C5034" s="55"/>
      <c r="D5034" s="31"/>
    </row>
    <row r="5035">
      <c r="A5035" s="51" t="s">
        <v>34047</v>
      </c>
      <c r="B5035" s="152"/>
      <c r="C5035" s="55"/>
      <c r="D5035" s="31"/>
    </row>
    <row r="5036">
      <c r="A5036" s="51" t="s">
        <v>34048</v>
      </c>
      <c r="B5036" s="152"/>
      <c r="C5036" s="55"/>
      <c r="D5036" s="31"/>
    </row>
    <row r="5037">
      <c r="A5037" s="51" t="s">
        <v>34051</v>
      </c>
      <c r="B5037" s="152"/>
      <c r="C5037" s="55"/>
      <c r="D5037" s="31"/>
    </row>
    <row r="5038">
      <c r="A5038" s="51" t="s">
        <v>34053</v>
      </c>
      <c r="B5038" s="152"/>
      <c r="C5038" s="55"/>
      <c r="D5038" s="31"/>
    </row>
    <row r="5039">
      <c r="A5039" s="51" t="s">
        <v>34054</v>
      </c>
      <c r="B5039" s="152"/>
      <c r="C5039" s="55"/>
      <c r="D5039" s="31"/>
    </row>
    <row r="5040">
      <c r="A5040" s="51" t="s">
        <v>34055</v>
      </c>
      <c r="B5040" s="152"/>
      <c r="C5040" s="55"/>
      <c r="D5040" s="31"/>
    </row>
    <row r="5041">
      <c r="A5041" s="51" t="s">
        <v>34056</v>
      </c>
      <c r="B5041" s="152"/>
      <c r="C5041" s="55"/>
      <c r="D5041" s="31"/>
    </row>
    <row r="5042">
      <c r="A5042" s="51" t="s">
        <v>34057</v>
      </c>
      <c r="B5042" s="152"/>
      <c r="C5042" s="55"/>
      <c r="D5042" s="31"/>
    </row>
    <row r="5043">
      <c r="A5043" s="51" t="s">
        <v>34059</v>
      </c>
      <c r="B5043" s="152"/>
      <c r="C5043" s="55"/>
      <c r="D5043" s="31"/>
    </row>
    <row r="5044">
      <c r="A5044" s="51" t="s">
        <v>34061</v>
      </c>
      <c r="B5044" s="152"/>
      <c r="C5044" s="55"/>
      <c r="D5044" s="31"/>
    </row>
    <row r="5045">
      <c r="A5045" s="51" t="s">
        <v>34062</v>
      </c>
      <c r="B5045" s="152"/>
      <c r="C5045" s="55"/>
      <c r="D5045" s="31"/>
    </row>
    <row r="5046">
      <c r="A5046" s="51" t="s">
        <v>34064</v>
      </c>
      <c r="B5046" s="152"/>
      <c r="C5046" s="55"/>
      <c r="D5046" s="31"/>
    </row>
    <row r="5047">
      <c r="A5047" s="51" t="s">
        <v>34065</v>
      </c>
      <c r="B5047" s="152"/>
      <c r="C5047" s="55"/>
      <c r="D5047" s="31"/>
    </row>
    <row r="5048">
      <c r="A5048" s="51" t="s">
        <v>34066</v>
      </c>
      <c r="B5048" s="152"/>
      <c r="C5048" s="55"/>
      <c r="D5048" s="31"/>
    </row>
    <row r="5049">
      <c r="A5049" s="51" t="s">
        <v>34067</v>
      </c>
      <c r="B5049" s="152"/>
      <c r="C5049" s="55"/>
      <c r="D5049" s="31"/>
    </row>
    <row r="5050">
      <c r="A5050" s="51" t="s">
        <v>34069</v>
      </c>
      <c r="B5050" s="152"/>
      <c r="C5050" s="55"/>
      <c r="D5050" s="31"/>
    </row>
    <row r="5051">
      <c r="A5051" s="51" t="s">
        <v>34070</v>
      </c>
      <c r="B5051" s="152"/>
      <c r="C5051" s="55"/>
      <c r="D5051" s="31"/>
    </row>
    <row r="5052">
      <c r="A5052" s="51" t="s">
        <v>34072</v>
      </c>
      <c r="B5052" s="152"/>
      <c r="C5052" s="55"/>
      <c r="D5052" s="31"/>
    </row>
    <row r="5053">
      <c r="A5053" s="51" t="s">
        <v>34073</v>
      </c>
      <c r="B5053" s="152"/>
      <c r="C5053" s="55"/>
      <c r="D5053" s="31"/>
    </row>
    <row r="5054">
      <c r="A5054" s="51" t="s">
        <v>34074</v>
      </c>
      <c r="B5054" s="152"/>
      <c r="C5054" s="55"/>
      <c r="D5054" s="31"/>
    </row>
    <row r="5055">
      <c r="A5055" s="51" t="s">
        <v>34075</v>
      </c>
      <c r="B5055" s="152"/>
      <c r="C5055" s="55"/>
      <c r="D5055" s="31"/>
    </row>
    <row r="5056">
      <c r="A5056" s="51" t="s">
        <v>34077</v>
      </c>
      <c r="B5056" s="152"/>
      <c r="C5056" s="55"/>
      <c r="D5056" s="31"/>
    </row>
    <row r="5057">
      <c r="A5057" s="51" t="s">
        <v>34079</v>
      </c>
      <c r="B5057" s="152"/>
      <c r="C5057" s="55"/>
      <c r="D5057" s="31"/>
    </row>
    <row r="5058">
      <c r="A5058" s="51" t="s">
        <v>34082</v>
      </c>
      <c r="B5058" s="152"/>
      <c r="C5058" s="55"/>
      <c r="D5058" s="31"/>
    </row>
    <row r="5059">
      <c r="A5059" s="51" t="s">
        <v>34083</v>
      </c>
      <c r="B5059" s="152"/>
      <c r="C5059" s="55"/>
      <c r="D5059" s="31"/>
    </row>
    <row r="5060">
      <c r="A5060" s="51" t="s">
        <v>34084</v>
      </c>
      <c r="B5060" s="152"/>
      <c r="C5060" s="55"/>
      <c r="D5060" s="31"/>
    </row>
    <row r="5061">
      <c r="A5061" s="51" t="s">
        <v>34085</v>
      </c>
      <c r="B5061" s="152"/>
      <c r="C5061" s="55"/>
      <c r="D5061" s="31"/>
    </row>
    <row r="5062">
      <c r="A5062" s="51" t="s">
        <v>34086</v>
      </c>
      <c r="B5062" s="152"/>
      <c r="C5062" s="55"/>
      <c r="D5062" s="31"/>
    </row>
    <row r="5063">
      <c r="A5063" s="51" t="s">
        <v>34087</v>
      </c>
      <c r="B5063" s="152"/>
      <c r="C5063" s="55"/>
      <c r="D5063" s="31"/>
    </row>
    <row r="5064">
      <c r="A5064" s="51" t="s">
        <v>34088</v>
      </c>
      <c r="B5064" s="152"/>
      <c r="C5064" s="55"/>
      <c r="D5064" s="31"/>
    </row>
    <row r="5065">
      <c r="A5065" s="51" t="s">
        <v>34090</v>
      </c>
      <c r="B5065" s="152"/>
      <c r="C5065" s="55"/>
      <c r="D5065" s="31"/>
    </row>
    <row r="5066">
      <c r="A5066" s="51" t="s">
        <v>34092</v>
      </c>
      <c r="B5066" s="152"/>
      <c r="C5066" s="55"/>
      <c r="D5066" s="31"/>
    </row>
    <row r="5067">
      <c r="A5067" s="51" t="s">
        <v>34094</v>
      </c>
      <c r="B5067" s="152"/>
      <c r="C5067" s="55"/>
      <c r="D5067" s="31"/>
    </row>
    <row r="5068">
      <c r="A5068" s="51" t="s">
        <v>34095</v>
      </c>
      <c r="B5068" s="152"/>
      <c r="C5068" s="55"/>
      <c r="D5068" s="31"/>
    </row>
    <row r="5069">
      <c r="A5069" s="51" t="s">
        <v>34098</v>
      </c>
      <c r="B5069" s="152"/>
      <c r="C5069" s="55"/>
      <c r="D5069" s="31"/>
    </row>
    <row r="5070">
      <c r="A5070" s="51" t="s">
        <v>34101</v>
      </c>
      <c r="B5070" s="152"/>
      <c r="C5070" s="55"/>
      <c r="D5070" s="31"/>
    </row>
    <row r="5071">
      <c r="A5071" s="51" t="s">
        <v>34103</v>
      </c>
      <c r="B5071" s="152"/>
      <c r="C5071" s="55"/>
      <c r="D5071" s="31"/>
    </row>
    <row r="5072">
      <c r="A5072" s="51" t="s">
        <v>34105</v>
      </c>
      <c r="B5072" s="152"/>
      <c r="C5072" s="55"/>
      <c r="D5072" s="31"/>
    </row>
    <row r="5073">
      <c r="A5073" s="51" t="s">
        <v>34106</v>
      </c>
      <c r="B5073" s="152"/>
      <c r="C5073" s="55"/>
      <c r="D5073" s="31"/>
    </row>
    <row r="5074">
      <c r="A5074" s="51" t="s">
        <v>34107</v>
      </c>
      <c r="B5074" s="152"/>
      <c r="C5074" s="55"/>
      <c r="D5074" s="31"/>
    </row>
    <row r="5075">
      <c r="A5075" s="51" t="s">
        <v>34109</v>
      </c>
      <c r="B5075" s="152"/>
      <c r="C5075" s="55"/>
      <c r="D5075" s="31"/>
    </row>
    <row r="5076">
      <c r="A5076" s="51" t="s">
        <v>34110</v>
      </c>
      <c r="B5076" s="152"/>
      <c r="C5076" s="55"/>
      <c r="D5076" s="31"/>
    </row>
    <row r="5077">
      <c r="A5077" s="51" t="s">
        <v>34112</v>
      </c>
      <c r="B5077" s="152"/>
      <c r="C5077" s="55"/>
      <c r="D5077" s="31"/>
    </row>
    <row r="5078">
      <c r="A5078" s="51" t="s">
        <v>34114</v>
      </c>
      <c r="B5078" s="152"/>
      <c r="C5078" s="55"/>
      <c r="D5078" s="31"/>
    </row>
    <row r="5079">
      <c r="A5079" s="51" t="s">
        <v>34116</v>
      </c>
      <c r="B5079" s="152"/>
      <c r="C5079" s="55"/>
      <c r="D5079" s="31"/>
    </row>
    <row r="5080">
      <c r="A5080" s="51" t="s">
        <v>34118</v>
      </c>
      <c r="B5080" s="152"/>
      <c r="C5080" s="55"/>
      <c r="D5080" s="31"/>
    </row>
    <row r="5081">
      <c r="A5081" s="51" t="s">
        <v>34121</v>
      </c>
      <c r="B5081" s="152"/>
      <c r="C5081" s="55"/>
      <c r="D5081" s="31"/>
    </row>
    <row r="5082">
      <c r="A5082" s="51" t="s">
        <v>34124</v>
      </c>
      <c r="B5082" s="152"/>
      <c r="C5082" s="55"/>
      <c r="D5082" s="31"/>
    </row>
    <row r="5083">
      <c r="A5083" s="51" t="s">
        <v>34125</v>
      </c>
      <c r="B5083" s="152"/>
      <c r="C5083" s="55"/>
      <c r="D5083" s="31"/>
    </row>
    <row r="5084">
      <c r="A5084" s="51" t="s">
        <v>34128</v>
      </c>
      <c r="B5084" s="152"/>
      <c r="C5084" s="55"/>
      <c r="D5084" s="31"/>
    </row>
    <row r="5085">
      <c r="A5085" s="51" t="s">
        <v>34129</v>
      </c>
      <c r="B5085" s="152"/>
      <c r="C5085" s="55"/>
      <c r="D5085" s="31"/>
    </row>
    <row r="5086">
      <c r="A5086" s="51" t="s">
        <v>34132</v>
      </c>
      <c r="B5086" s="152"/>
      <c r="C5086" s="55"/>
      <c r="D5086" s="31"/>
    </row>
    <row r="5087">
      <c r="A5087" s="51" t="s">
        <v>34133</v>
      </c>
      <c r="B5087" s="152"/>
      <c r="C5087" s="55"/>
      <c r="D5087" s="31"/>
    </row>
    <row r="5088">
      <c r="A5088" s="51" t="s">
        <v>34136</v>
      </c>
      <c r="B5088" s="152"/>
      <c r="C5088" s="55"/>
      <c r="D5088" s="31"/>
    </row>
    <row r="5089">
      <c r="A5089" s="51" t="s">
        <v>34137</v>
      </c>
      <c r="B5089" s="152"/>
      <c r="C5089" s="55"/>
      <c r="D5089" s="31"/>
    </row>
    <row r="5090">
      <c r="A5090" s="51" t="s">
        <v>34141</v>
      </c>
      <c r="B5090" s="152"/>
      <c r="C5090" s="55"/>
      <c r="D5090" s="31"/>
    </row>
    <row r="5091">
      <c r="A5091" s="51" t="s">
        <v>34142</v>
      </c>
      <c r="B5091" s="152"/>
      <c r="C5091" s="55"/>
      <c r="D5091" s="31"/>
    </row>
    <row r="5092">
      <c r="A5092" s="51" t="s">
        <v>34143</v>
      </c>
      <c r="B5092" s="152"/>
      <c r="C5092" s="55"/>
      <c r="D5092" s="31"/>
    </row>
    <row r="5093">
      <c r="A5093" s="51" t="s">
        <v>34144</v>
      </c>
      <c r="B5093" s="152"/>
      <c r="C5093" s="55"/>
      <c r="D5093" s="31"/>
    </row>
    <row r="5094">
      <c r="A5094" s="51" t="s">
        <v>34145</v>
      </c>
      <c r="B5094" s="152"/>
      <c r="C5094" s="55"/>
      <c r="D5094" s="31"/>
    </row>
    <row r="5095">
      <c r="A5095" s="51" t="s">
        <v>34146</v>
      </c>
      <c r="B5095" s="152"/>
      <c r="C5095" s="55"/>
      <c r="D5095" s="31"/>
    </row>
    <row r="5096">
      <c r="A5096" s="51" t="s">
        <v>34147</v>
      </c>
      <c r="B5096" s="152"/>
      <c r="C5096" s="55"/>
      <c r="D5096" s="31"/>
    </row>
    <row r="5097">
      <c r="A5097" s="51" t="s">
        <v>34150</v>
      </c>
      <c r="B5097" s="152"/>
      <c r="C5097" s="55"/>
      <c r="D5097" s="31"/>
    </row>
    <row r="5098">
      <c r="A5098" s="51" t="s">
        <v>34152</v>
      </c>
      <c r="B5098" s="152"/>
      <c r="C5098" s="55"/>
      <c r="D5098" s="31"/>
    </row>
    <row r="5099">
      <c r="A5099" s="51" t="s">
        <v>34153</v>
      </c>
      <c r="B5099" s="152"/>
      <c r="C5099" s="55"/>
      <c r="D5099" s="31"/>
    </row>
    <row r="5100">
      <c r="A5100" s="51" t="s">
        <v>34154</v>
      </c>
      <c r="B5100" s="152"/>
      <c r="C5100" s="55"/>
      <c r="D5100" s="31"/>
    </row>
    <row r="5101">
      <c r="A5101" s="51" t="s">
        <v>34155</v>
      </c>
      <c r="B5101" s="152"/>
      <c r="C5101" s="55"/>
      <c r="D5101" s="31"/>
    </row>
    <row r="5102">
      <c r="A5102" s="51" t="s">
        <v>34156</v>
      </c>
      <c r="B5102" s="152"/>
      <c r="C5102" s="55"/>
      <c r="D5102" s="31"/>
    </row>
    <row r="5103">
      <c r="A5103" s="51" t="s">
        <v>34157</v>
      </c>
      <c r="B5103" s="152"/>
      <c r="C5103" s="55"/>
      <c r="D5103" s="31"/>
    </row>
    <row r="5104">
      <c r="A5104" s="51" t="s">
        <v>34159</v>
      </c>
      <c r="B5104" s="152"/>
      <c r="C5104" s="55"/>
      <c r="D5104" s="31"/>
    </row>
    <row r="5105">
      <c r="A5105" s="51" t="s">
        <v>34161</v>
      </c>
      <c r="B5105" s="152"/>
      <c r="C5105" s="55"/>
      <c r="D5105" s="31"/>
    </row>
    <row r="5106">
      <c r="A5106" s="51" t="s">
        <v>34162</v>
      </c>
      <c r="B5106" s="152"/>
      <c r="C5106" s="55"/>
      <c r="D5106" s="31"/>
    </row>
    <row r="5107">
      <c r="A5107" s="51" t="s">
        <v>34163</v>
      </c>
      <c r="B5107" s="152"/>
      <c r="C5107" s="55"/>
      <c r="D5107" s="31"/>
    </row>
    <row r="5108">
      <c r="A5108" s="51" t="s">
        <v>34164</v>
      </c>
      <c r="B5108" s="152"/>
      <c r="C5108" s="55"/>
      <c r="D5108" s="31"/>
    </row>
    <row r="5109">
      <c r="A5109" s="51" t="s">
        <v>34165</v>
      </c>
      <c r="B5109" s="152"/>
      <c r="C5109" s="55"/>
      <c r="D5109" s="31"/>
    </row>
    <row r="5110">
      <c r="A5110" s="51" t="s">
        <v>34167</v>
      </c>
      <c r="B5110" s="152"/>
      <c r="C5110" s="55"/>
      <c r="D5110" s="31"/>
    </row>
    <row r="5111">
      <c r="A5111" s="51" t="s">
        <v>34168</v>
      </c>
      <c r="B5111" s="152"/>
      <c r="C5111" s="55"/>
      <c r="D5111" s="31"/>
    </row>
    <row r="5112">
      <c r="A5112" s="51" t="s">
        <v>34171</v>
      </c>
      <c r="B5112" s="152"/>
      <c r="C5112" s="55"/>
      <c r="D5112" s="31"/>
    </row>
    <row r="5113">
      <c r="A5113" s="51" t="s">
        <v>34172</v>
      </c>
      <c r="B5113" s="152"/>
      <c r="C5113" s="55"/>
      <c r="D5113" s="31"/>
    </row>
    <row r="5114">
      <c r="A5114" s="51" t="s">
        <v>34173</v>
      </c>
      <c r="B5114" s="152"/>
      <c r="C5114" s="55"/>
      <c r="D5114" s="31"/>
    </row>
    <row r="5115">
      <c r="A5115" s="51" t="s">
        <v>34174</v>
      </c>
      <c r="B5115" s="152"/>
      <c r="C5115" s="55"/>
      <c r="D5115" s="31"/>
    </row>
    <row r="5116">
      <c r="A5116" s="51" t="s">
        <v>34175</v>
      </c>
      <c r="B5116" s="152"/>
      <c r="C5116" s="55"/>
      <c r="D5116" s="31"/>
    </row>
    <row r="5117">
      <c r="A5117" s="51" t="s">
        <v>34177</v>
      </c>
      <c r="B5117" s="152"/>
      <c r="C5117" s="55"/>
      <c r="D5117" s="31"/>
    </row>
    <row r="5118">
      <c r="A5118" s="51" t="s">
        <v>34179</v>
      </c>
      <c r="B5118" s="152"/>
      <c r="C5118" s="55"/>
      <c r="D5118" s="31"/>
    </row>
    <row r="5119">
      <c r="A5119" s="51" t="s">
        <v>34181</v>
      </c>
      <c r="B5119" s="152"/>
      <c r="C5119" s="55"/>
      <c r="D5119" s="31"/>
    </row>
    <row r="5120">
      <c r="A5120" s="51" t="s">
        <v>34183</v>
      </c>
      <c r="B5120" s="152"/>
      <c r="C5120" s="55"/>
      <c r="D5120" s="31"/>
    </row>
    <row r="5121">
      <c r="A5121" s="51" t="s">
        <v>34184</v>
      </c>
      <c r="B5121" s="152"/>
      <c r="C5121" s="55"/>
      <c r="D5121" s="31"/>
    </row>
    <row r="5122">
      <c r="A5122" s="51" t="s">
        <v>34185</v>
      </c>
      <c r="B5122" s="152"/>
      <c r="C5122" s="55"/>
      <c r="D5122" s="31"/>
    </row>
    <row r="5123">
      <c r="A5123" s="51" t="s">
        <v>34186</v>
      </c>
      <c r="B5123" s="152"/>
      <c r="C5123" s="55"/>
      <c r="D5123" s="31"/>
    </row>
    <row r="5124">
      <c r="A5124" s="51" t="s">
        <v>34189</v>
      </c>
      <c r="B5124" s="152"/>
      <c r="C5124" s="55"/>
      <c r="D5124" s="31"/>
    </row>
    <row r="5125">
      <c r="A5125" s="51" t="s">
        <v>34193</v>
      </c>
      <c r="B5125" s="152"/>
      <c r="C5125" s="55"/>
      <c r="D5125" s="31"/>
    </row>
    <row r="5126">
      <c r="A5126" s="51" t="s">
        <v>34195</v>
      </c>
      <c r="B5126" s="152"/>
      <c r="C5126" s="55"/>
      <c r="D5126" s="31"/>
    </row>
    <row r="5127">
      <c r="A5127" s="51" t="s">
        <v>34196</v>
      </c>
      <c r="B5127" s="152"/>
      <c r="C5127" s="55"/>
      <c r="D5127" s="31"/>
    </row>
    <row r="5128">
      <c r="A5128" s="51" t="s">
        <v>34197</v>
      </c>
      <c r="B5128" s="152"/>
      <c r="C5128" s="55"/>
      <c r="D5128" s="31"/>
    </row>
    <row r="5129">
      <c r="A5129" s="51" t="s">
        <v>34198</v>
      </c>
      <c r="B5129" s="152"/>
      <c r="C5129" s="55"/>
      <c r="D5129" s="31"/>
    </row>
    <row r="5130">
      <c r="A5130" s="51" t="s">
        <v>34200</v>
      </c>
      <c r="B5130" s="152"/>
      <c r="C5130" s="55"/>
      <c r="D5130" s="31"/>
    </row>
    <row r="5131">
      <c r="A5131" s="51" t="s">
        <v>34201</v>
      </c>
      <c r="B5131" s="152"/>
      <c r="C5131" s="55"/>
      <c r="D5131" s="31"/>
    </row>
    <row r="5132">
      <c r="A5132" s="51" t="s">
        <v>34202</v>
      </c>
      <c r="B5132" s="152"/>
      <c r="C5132" s="55"/>
      <c r="D5132" s="31"/>
    </row>
    <row r="5133">
      <c r="A5133" s="51" t="s">
        <v>34204</v>
      </c>
      <c r="B5133" s="152"/>
      <c r="C5133" s="55"/>
      <c r="D5133" s="31"/>
    </row>
    <row r="5134">
      <c r="A5134" s="51" t="s">
        <v>34205</v>
      </c>
      <c r="B5134" s="152"/>
      <c r="C5134" s="55"/>
      <c r="D5134" s="31"/>
    </row>
    <row r="5135">
      <c r="A5135" s="51" t="s">
        <v>34206</v>
      </c>
      <c r="B5135" s="152"/>
      <c r="C5135" s="55"/>
      <c r="D5135" s="31"/>
    </row>
    <row r="5136">
      <c r="A5136" s="51" t="s">
        <v>34207</v>
      </c>
      <c r="B5136" s="152"/>
      <c r="C5136" s="55"/>
      <c r="D5136" s="31"/>
    </row>
    <row r="5137">
      <c r="A5137" s="51" t="s">
        <v>34209</v>
      </c>
      <c r="B5137" s="152"/>
      <c r="C5137" s="55"/>
      <c r="D5137" s="31"/>
    </row>
    <row r="5138">
      <c r="A5138" s="51" t="s">
        <v>34212</v>
      </c>
      <c r="B5138" s="152"/>
      <c r="C5138" s="55"/>
      <c r="D5138" s="31"/>
    </row>
    <row r="5139">
      <c r="A5139" s="51" t="s">
        <v>34213</v>
      </c>
      <c r="B5139" s="152"/>
      <c r="C5139" s="55"/>
      <c r="D5139" s="31"/>
    </row>
    <row r="5140">
      <c r="A5140" s="51" t="s">
        <v>34214</v>
      </c>
      <c r="B5140" s="152"/>
      <c r="C5140" s="55"/>
      <c r="D5140" s="31"/>
    </row>
    <row r="5141">
      <c r="A5141" s="51" t="s">
        <v>34215</v>
      </c>
      <c r="B5141" s="152"/>
      <c r="C5141" s="55"/>
      <c r="D5141" s="31"/>
    </row>
    <row r="5142">
      <c r="A5142" s="51" t="s">
        <v>34217</v>
      </c>
      <c r="B5142" s="152"/>
      <c r="C5142" s="55"/>
      <c r="D5142" s="31"/>
    </row>
    <row r="5143">
      <c r="A5143" s="51" t="s">
        <v>34218</v>
      </c>
      <c r="B5143" s="152"/>
      <c r="C5143" s="55"/>
      <c r="D5143" s="31"/>
    </row>
    <row r="5144">
      <c r="A5144" s="51" t="s">
        <v>34220</v>
      </c>
      <c r="B5144" s="152"/>
      <c r="C5144" s="55"/>
      <c r="D5144" s="31"/>
    </row>
    <row r="5145">
      <c r="A5145" s="51" t="s">
        <v>34221</v>
      </c>
      <c r="B5145" s="152"/>
      <c r="C5145" s="55"/>
      <c r="D5145" s="31"/>
    </row>
    <row r="5146">
      <c r="A5146" s="51" t="s">
        <v>34222</v>
      </c>
      <c r="B5146" s="152"/>
      <c r="C5146" s="55"/>
      <c r="D5146" s="31"/>
    </row>
    <row r="5147">
      <c r="A5147" s="51" t="s">
        <v>34224</v>
      </c>
      <c r="B5147" s="152"/>
      <c r="C5147" s="55"/>
      <c r="D5147" s="31"/>
    </row>
    <row r="5148">
      <c r="A5148" s="51" t="s">
        <v>34225</v>
      </c>
      <c r="B5148" s="152"/>
      <c r="C5148" s="55"/>
      <c r="D5148" s="31"/>
    </row>
    <row r="5149">
      <c r="A5149" s="51" t="s">
        <v>34226</v>
      </c>
      <c r="B5149" s="152"/>
      <c r="C5149" s="55"/>
      <c r="D5149" s="31"/>
    </row>
    <row r="5150">
      <c r="A5150" s="51" t="s">
        <v>34230</v>
      </c>
      <c r="B5150" s="152"/>
      <c r="C5150" s="55"/>
      <c r="D5150" s="31"/>
    </row>
    <row r="5151">
      <c r="A5151" s="51" t="s">
        <v>34232</v>
      </c>
      <c r="B5151" s="152"/>
      <c r="C5151" s="55"/>
      <c r="D5151" s="31"/>
    </row>
    <row r="5152">
      <c r="A5152" s="51" t="s">
        <v>34233</v>
      </c>
      <c r="B5152" s="152"/>
      <c r="C5152" s="55"/>
      <c r="D5152" s="31"/>
    </row>
    <row r="5153">
      <c r="A5153" s="51" t="s">
        <v>34235</v>
      </c>
      <c r="B5153" s="152"/>
      <c r="C5153" s="55"/>
      <c r="D5153" s="31"/>
    </row>
    <row r="5154">
      <c r="A5154" s="51" t="s">
        <v>34236</v>
      </c>
      <c r="B5154" s="152"/>
      <c r="C5154" s="55"/>
      <c r="D5154" s="31"/>
    </row>
    <row r="5155">
      <c r="A5155" s="51" t="s">
        <v>34238</v>
      </c>
      <c r="B5155" s="152"/>
      <c r="C5155" s="55"/>
      <c r="D5155" s="31"/>
    </row>
    <row r="5156">
      <c r="A5156" s="51" t="s">
        <v>34239</v>
      </c>
      <c r="B5156" s="152"/>
      <c r="C5156" s="55"/>
      <c r="D5156" s="31"/>
    </row>
    <row r="5157">
      <c r="A5157" s="51" t="s">
        <v>34240</v>
      </c>
      <c r="B5157" s="152"/>
      <c r="C5157" s="55"/>
      <c r="D5157" s="31"/>
    </row>
    <row r="5158">
      <c r="A5158" s="51" t="s">
        <v>34241</v>
      </c>
      <c r="B5158" s="152"/>
      <c r="C5158" s="55"/>
      <c r="D5158" s="31"/>
    </row>
    <row r="5159">
      <c r="A5159" s="51" t="s">
        <v>34242</v>
      </c>
      <c r="B5159" s="152"/>
      <c r="C5159" s="55"/>
      <c r="D5159" s="31"/>
    </row>
    <row r="5160">
      <c r="A5160" s="51" t="s">
        <v>34245</v>
      </c>
      <c r="B5160" s="152"/>
      <c r="C5160" s="55"/>
      <c r="D5160" s="31"/>
    </row>
    <row r="5161">
      <c r="A5161" s="51" t="s">
        <v>34247</v>
      </c>
      <c r="B5161" s="152"/>
      <c r="C5161" s="55"/>
      <c r="D5161" s="31"/>
    </row>
    <row r="5162">
      <c r="A5162" s="51" t="s">
        <v>34248</v>
      </c>
      <c r="B5162" s="152"/>
      <c r="C5162" s="55"/>
      <c r="D5162" s="31"/>
    </row>
    <row r="5163">
      <c r="A5163" s="51" t="s">
        <v>34249</v>
      </c>
      <c r="B5163" s="152"/>
      <c r="C5163" s="55"/>
      <c r="D5163" s="31"/>
    </row>
    <row r="5164">
      <c r="A5164" s="51" t="s">
        <v>34250</v>
      </c>
      <c r="B5164" s="152"/>
      <c r="C5164" s="55"/>
      <c r="D5164" s="31"/>
    </row>
    <row r="5165">
      <c r="A5165" s="51" t="s">
        <v>34251</v>
      </c>
      <c r="B5165" s="152"/>
      <c r="C5165" s="55"/>
      <c r="D5165" s="31"/>
    </row>
    <row r="5166">
      <c r="A5166" s="51" t="s">
        <v>34254</v>
      </c>
      <c r="B5166" s="152"/>
      <c r="C5166" s="55"/>
      <c r="D5166" s="31"/>
    </row>
    <row r="5167">
      <c r="A5167" s="51" t="s">
        <v>34255</v>
      </c>
      <c r="B5167" s="152"/>
      <c r="C5167" s="55"/>
      <c r="D5167" s="31"/>
    </row>
    <row r="5168">
      <c r="A5168" s="51" t="s">
        <v>34256</v>
      </c>
      <c r="B5168" s="152"/>
      <c r="C5168" s="55"/>
      <c r="D5168" s="31"/>
    </row>
    <row r="5169">
      <c r="A5169" s="51" t="s">
        <v>34257</v>
      </c>
      <c r="B5169" s="152"/>
      <c r="C5169" s="55"/>
      <c r="D5169" s="31"/>
    </row>
    <row r="5170">
      <c r="A5170" s="51" t="s">
        <v>34258</v>
      </c>
      <c r="B5170" s="152"/>
      <c r="C5170" s="55"/>
      <c r="D5170" s="31"/>
    </row>
    <row r="5171">
      <c r="A5171" s="51" t="s">
        <v>34259</v>
      </c>
      <c r="B5171" s="152"/>
      <c r="C5171" s="55"/>
      <c r="D5171" s="31"/>
    </row>
    <row r="5172">
      <c r="A5172" s="51" t="s">
        <v>34261</v>
      </c>
      <c r="B5172" s="152"/>
      <c r="C5172" s="55"/>
      <c r="D5172" s="31"/>
    </row>
    <row r="5173">
      <c r="A5173" s="51" t="s">
        <v>34264</v>
      </c>
      <c r="B5173" s="152"/>
      <c r="C5173" s="55"/>
      <c r="D5173" s="31"/>
    </row>
    <row r="5174">
      <c r="A5174" s="51" t="s">
        <v>34265</v>
      </c>
      <c r="B5174" s="152"/>
      <c r="C5174" s="55"/>
      <c r="D5174" s="31"/>
    </row>
    <row r="5175">
      <c r="A5175" s="51" t="s">
        <v>34266</v>
      </c>
      <c r="B5175" s="152"/>
      <c r="C5175" s="55"/>
      <c r="D5175" s="31"/>
    </row>
    <row r="5176">
      <c r="A5176" s="51" t="s">
        <v>34267</v>
      </c>
      <c r="B5176" s="152"/>
      <c r="C5176" s="55"/>
      <c r="D5176" s="31"/>
    </row>
    <row r="5177">
      <c r="A5177" s="51" t="s">
        <v>34268</v>
      </c>
      <c r="B5177" s="152"/>
      <c r="C5177" s="55"/>
      <c r="D5177" s="31"/>
    </row>
    <row r="5178">
      <c r="A5178" s="51" t="s">
        <v>34269</v>
      </c>
      <c r="B5178" s="152"/>
      <c r="C5178" s="55"/>
      <c r="D5178" s="31"/>
    </row>
    <row r="5179">
      <c r="A5179" s="51" t="s">
        <v>34271</v>
      </c>
      <c r="B5179" s="152"/>
      <c r="C5179" s="55"/>
      <c r="D5179" s="31"/>
    </row>
    <row r="5180">
      <c r="A5180" s="51" t="s">
        <v>34273</v>
      </c>
      <c r="B5180" s="152"/>
      <c r="C5180" s="55"/>
      <c r="D5180" s="31"/>
    </row>
    <row r="5181">
      <c r="A5181" s="51" t="s">
        <v>34274</v>
      </c>
      <c r="B5181" s="152"/>
      <c r="C5181" s="55"/>
      <c r="D5181" s="31"/>
    </row>
    <row r="5182">
      <c r="A5182" s="51" t="s">
        <v>34275</v>
      </c>
      <c r="B5182" s="152"/>
      <c r="C5182" s="55"/>
      <c r="D5182" s="31"/>
    </row>
    <row r="5183">
      <c r="A5183" s="51" t="s">
        <v>34276</v>
      </c>
      <c r="B5183" s="152"/>
      <c r="C5183" s="55"/>
      <c r="D5183" s="31"/>
    </row>
    <row r="5184">
      <c r="A5184" s="51" t="s">
        <v>34277</v>
      </c>
      <c r="B5184" s="152"/>
      <c r="C5184" s="55"/>
      <c r="D5184" s="31"/>
    </row>
    <row r="5185">
      <c r="A5185" s="51" t="s">
        <v>34279</v>
      </c>
      <c r="B5185" s="152"/>
      <c r="C5185" s="55"/>
      <c r="D5185" s="31"/>
    </row>
    <row r="5186">
      <c r="A5186" s="51" t="s">
        <v>34281</v>
      </c>
      <c r="B5186" s="152"/>
      <c r="C5186" s="55"/>
      <c r="D5186" s="31"/>
    </row>
    <row r="5187">
      <c r="A5187" s="51" t="s">
        <v>34284</v>
      </c>
      <c r="B5187" s="152"/>
      <c r="C5187" s="55"/>
      <c r="D5187" s="31"/>
    </row>
    <row r="5188">
      <c r="A5188" s="51" t="s">
        <v>34285</v>
      </c>
      <c r="B5188" s="152"/>
      <c r="C5188" s="55"/>
      <c r="D5188" s="31"/>
    </row>
    <row r="5189">
      <c r="A5189" s="51" t="s">
        <v>34286</v>
      </c>
      <c r="B5189" s="152"/>
      <c r="C5189" s="55"/>
      <c r="D5189" s="31"/>
    </row>
    <row r="5190">
      <c r="A5190" s="51" t="s">
        <v>34287</v>
      </c>
      <c r="B5190" s="152"/>
      <c r="C5190" s="55"/>
      <c r="D5190" s="31"/>
    </row>
    <row r="5191">
      <c r="A5191" s="51" t="s">
        <v>34288</v>
      </c>
      <c r="B5191" s="152"/>
      <c r="C5191" s="55"/>
      <c r="D5191" s="31"/>
    </row>
    <row r="5192">
      <c r="A5192" s="51" t="s">
        <v>34289</v>
      </c>
      <c r="B5192" s="152"/>
      <c r="C5192" s="55"/>
      <c r="D5192" s="31"/>
    </row>
    <row r="5193">
      <c r="A5193" s="51" t="s">
        <v>34290</v>
      </c>
      <c r="B5193" s="152"/>
      <c r="C5193" s="55"/>
      <c r="D5193" s="31"/>
    </row>
    <row r="5194">
      <c r="A5194" s="51" t="s">
        <v>34292</v>
      </c>
      <c r="B5194" s="152"/>
      <c r="C5194" s="55"/>
      <c r="D5194" s="31"/>
    </row>
    <row r="5195">
      <c r="A5195" s="51" t="s">
        <v>34295</v>
      </c>
      <c r="B5195" s="152"/>
      <c r="C5195" s="55"/>
      <c r="D5195" s="31"/>
    </row>
    <row r="5196">
      <c r="A5196" s="51" t="s">
        <v>34296</v>
      </c>
      <c r="B5196" s="152"/>
      <c r="C5196" s="55"/>
      <c r="D5196" s="31"/>
    </row>
    <row r="5197">
      <c r="C5197" s="12"/>
    </row>
    <row r="5198">
      <c r="A5198" s="159" t="s">
        <v>34297</v>
      </c>
      <c r="B5198" s="152"/>
      <c r="C5198" s="68"/>
      <c r="D5198" s="31"/>
    </row>
    <row r="5199">
      <c r="A5199" s="51" t="s">
        <v>34299</v>
      </c>
      <c r="B5199" s="152"/>
      <c r="C5199" s="55"/>
      <c r="D5199" s="31"/>
    </row>
    <row r="5200">
      <c r="A5200" s="51" t="s">
        <v>34300</v>
      </c>
      <c r="B5200" s="152"/>
      <c r="C5200" s="55"/>
      <c r="D5200" s="31"/>
    </row>
    <row r="5201">
      <c r="A5201" s="51" t="s">
        <v>34302</v>
      </c>
      <c r="B5201" s="152"/>
      <c r="C5201" s="55"/>
      <c r="D5201" s="31"/>
    </row>
    <row r="5202">
      <c r="A5202" s="51" t="s">
        <v>34303</v>
      </c>
      <c r="B5202" s="152"/>
      <c r="C5202" s="55"/>
      <c r="D5202" s="31"/>
    </row>
    <row r="5203">
      <c r="A5203" s="51" t="s">
        <v>34304</v>
      </c>
      <c r="B5203" s="152"/>
      <c r="C5203" s="55"/>
      <c r="D5203" s="31"/>
    </row>
    <row r="5204">
      <c r="A5204" s="51" t="s">
        <v>34305</v>
      </c>
      <c r="B5204" s="152"/>
      <c r="C5204" s="55"/>
      <c r="D5204" s="31"/>
    </row>
    <row r="5205">
      <c r="A5205" s="51" t="s">
        <v>34307</v>
      </c>
      <c r="B5205" s="152"/>
      <c r="C5205" s="55"/>
      <c r="D5205" s="31"/>
    </row>
    <row r="5206">
      <c r="A5206" s="51" t="s">
        <v>34309</v>
      </c>
      <c r="B5206" s="152"/>
      <c r="C5206" s="55"/>
      <c r="D5206" s="31"/>
    </row>
    <row r="5207">
      <c r="A5207" s="51" t="s">
        <v>34310</v>
      </c>
      <c r="B5207" s="152"/>
      <c r="C5207" s="55"/>
      <c r="D5207" s="31"/>
    </row>
    <row r="5208">
      <c r="A5208" s="51" t="s">
        <v>34312</v>
      </c>
      <c r="B5208" s="152"/>
      <c r="C5208" s="55"/>
      <c r="D5208" s="31"/>
    </row>
    <row r="5209">
      <c r="A5209" s="51" t="s">
        <v>34313</v>
      </c>
      <c r="B5209" s="152"/>
      <c r="C5209" s="55"/>
      <c r="D5209" s="31"/>
    </row>
    <row r="5210">
      <c r="A5210" s="51" t="s">
        <v>34314</v>
      </c>
      <c r="B5210" s="152"/>
      <c r="C5210" s="55"/>
      <c r="D5210" s="31"/>
    </row>
    <row r="5211">
      <c r="A5211" s="51" t="s">
        <v>34316</v>
      </c>
      <c r="B5211" s="152"/>
      <c r="C5211" s="55"/>
      <c r="D5211" s="31"/>
    </row>
    <row r="5212">
      <c r="A5212" s="51" t="s">
        <v>34317</v>
      </c>
      <c r="B5212" s="152"/>
      <c r="C5212" s="55"/>
      <c r="D5212" s="31"/>
    </row>
    <row r="5213">
      <c r="A5213" s="51" t="s">
        <v>34318</v>
      </c>
      <c r="B5213" s="152"/>
      <c r="C5213" s="55"/>
      <c r="D5213" s="31"/>
    </row>
    <row r="5214">
      <c r="A5214" s="51" t="s">
        <v>34320</v>
      </c>
      <c r="B5214" s="152"/>
      <c r="C5214" s="55"/>
      <c r="D5214" s="31"/>
    </row>
    <row r="5215">
      <c r="A5215" s="51" t="s">
        <v>34321</v>
      </c>
      <c r="B5215" s="152"/>
      <c r="C5215" s="55"/>
      <c r="D5215" s="31"/>
    </row>
    <row r="5216">
      <c r="A5216" s="51" t="s">
        <v>34322</v>
      </c>
      <c r="B5216" s="152"/>
      <c r="C5216" s="55"/>
      <c r="D5216" s="31"/>
    </row>
    <row r="5217">
      <c r="A5217" s="51" t="s">
        <v>34324</v>
      </c>
      <c r="B5217" s="152"/>
      <c r="C5217" s="55"/>
      <c r="D5217" s="31"/>
    </row>
    <row r="5218">
      <c r="A5218" s="51" t="s">
        <v>34327</v>
      </c>
      <c r="B5218" s="152"/>
      <c r="C5218" s="55"/>
      <c r="D5218" s="31"/>
    </row>
    <row r="5219">
      <c r="A5219" s="51" t="s">
        <v>34328</v>
      </c>
      <c r="B5219" s="152"/>
      <c r="C5219" s="55"/>
      <c r="D5219" s="31"/>
    </row>
    <row r="5220">
      <c r="A5220" s="51" t="s">
        <v>34329</v>
      </c>
      <c r="B5220" s="152"/>
      <c r="C5220" s="55"/>
      <c r="D5220" s="31"/>
    </row>
    <row r="5221">
      <c r="A5221" s="51" t="s">
        <v>34330</v>
      </c>
      <c r="B5221" s="152"/>
      <c r="C5221" s="55"/>
      <c r="D5221" s="31"/>
    </row>
    <row r="5222">
      <c r="A5222" s="51" t="s">
        <v>34331</v>
      </c>
      <c r="B5222" s="152"/>
      <c r="C5222" s="55"/>
      <c r="D5222" s="31"/>
    </row>
    <row r="5223">
      <c r="A5223" s="51" t="s">
        <v>34332</v>
      </c>
      <c r="B5223" s="152"/>
      <c r="C5223" s="55"/>
      <c r="D5223" s="31"/>
    </row>
    <row r="5224">
      <c r="A5224" s="51" t="s">
        <v>34335</v>
      </c>
      <c r="B5224" s="152"/>
      <c r="C5224" s="55"/>
      <c r="D5224" s="31"/>
    </row>
    <row r="5225">
      <c r="A5225" s="51" t="s">
        <v>34336</v>
      </c>
      <c r="B5225" s="152"/>
      <c r="C5225" s="55"/>
      <c r="D5225" s="31"/>
    </row>
    <row r="5226">
      <c r="A5226" s="51" t="s">
        <v>34337</v>
      </c>
      <c r="B5226" s="152"/>
      <c r="C5226" s="55"/>
      <c r="D5226" s="31"/>
    </row>
    <row r="5227">
      <c r="A5227" s="51" t="s">
        <v>34338</v>
      </c>
      <c r="B5227" s="152"/>
      <c r="C5227" s="55"/>
      <c r="D5227" s="31"/>
    </row>
    <row r="5228">
      <c r="A5228" s="51" t="s">
        <v>34340</v>
      </c>
      <c r="B5228" s="152"/>
      <c r="C5228" s="55"/>
      <c r="D5228" s="31"/>
    </row>
    <row r="5229">
      <c r="A5229" s="51" t="s">
        <v>34341</v>
      </c>
      <c r="B5229" s="152"/>
      <c r="C5229" s="55"/>
      <c r="D5229" s="31"/>
    </row>
    <row r="5230">
      <c r="A5230" s="51" t="s">
        <v>34343</v>
      </c>
      <c r="B5230" s="152"/>
      <c r="C5230" s="55"/>
      <c r="D5230" s="31"/>
    </row>
    <row r="5231">
      <c r="A5231" s="51" t="s">
        <v>34345</v>
      </c>
      <c r="B5231" s="152"/>
      <c r="C5231" s="55"/>
      <c r="D5231" s="31"/>
    </row>
    <row r="5232">
      <c r="A5232" s="51" t="s">
        <v>34346</v>
      </c>
      <c r="B5232" s="152"/>
      <c r="C5232" s="55"/>
      <c r="D5232" s="31"/>
    </row>
    <row r="5233">
      <c r="A5233" s="51" t="s">
        <v>34348</v>
      </c>
      <c r="B5233" s="152"/>
      <c r="C5233" s="55"/>
      <c r="D5233" s="31"/>
    </row>
    <row r="5234">
      <c r="A5234" s="51" t="s">
        <v>34349</v>
      </c>
      <c r="B5234" s="152"/>
      <c r="C5234" s="55"/>
      <c r="D5234" s="31"/>
    </row>
    <row r="5235">
      <c r="A5235" s="51" t="s">
        <v>34350</v>
      </c>
      <c r="B5235" s="152"/>
      <c r="C5235" s="55"/>
      <c r="D5235" s="31"/>
    </row>
    <row r="5236">
      <c r="A5236" s="51" t="s">
        <v>34351</v>
      </c>
      <c r="B5236" s="152"/>
      <c r="C5236" s="55"/>
      <c r="D5236" s="31"/>
    </row>
    <row r="5237">
      <c r="A5237" s="51" t="s">
        <v>34353</v>
      </c>
      <c r="B5237" s="152"/>
      <c r="C5237" s="55"/>
      <c r="D5237" s="31"/>
    </row>
    <row r="5238">
      <c r="A5238" s="51" t="s">
        <v>34354</v>
      </c>
      <c r="B5238" s="152"/>
      <c r="C5238" s="55"/>
      <c r="D5238" s="31"/>
    </row>
    <row r="5239">
      <c r="A5239" s="51" t="s">
        <v>34355</v>
      </c>
      <c r="B5239" s="152"/>
      <c r="C5239" s="55"/>
      <c r="D5239" s="31"/>
    </row>
    <row r="5240">
      <c r="A5240" s="51" t="s">
        <v>34357</v>
      </c>
      <c r="B5240" s="152"/>
      <c r="C5240" s="55"/>
      <c r="D5240" s="31"/>
    </row>
    <row r="5241">
      <c r="A5241" s="51" t="s">
        <v>34358</v>
      </c>
      <c r="B5241" s="152"/>
      <c r="C5241" s="55"/>
      <c r="D5241" s="31"/>
    </row>
    <row r="5242">
      <c r="A5242" s="51" t="s">
        <v>34359</v>
      </c>
      <c r="B5242" s="152"/>
      <c r="C5242" s="55"/>
      <c r="D5242" s="31"/>
    </row>
    <row r="5243">
      <c r="A5243" s="51" t="s">
        <v>34361</v>
      </c>
      <c r="B5243" s="152"/>
      <c r="C5243" s="55"/>
      <c r="D5243" s="31"/>
    </row>
    <row r="5244">
      <c r="A5244" s="51" t="s">
        <v>34362</v>
      </c>
      <c r="B5244" s="152"/>
      <c r="C5244" s="55"/>
      <c r="D5244" s="31"/>
    </row>
    <row r="5245">
      <c r="A5245" s="51" t="s">
        <v>34363</v>
      </c>
      <c r="B5245" s="152"/>
      <c r="C5245" s="55"/>
      <c r="D5245" s="31"/>
    </row>
    <row r="5246">
      <c r="A5246" s="51" t="s">
        <v>34365</v>
      </c>
      <c r="B5246" s="152"/>
      <c r="C5246" s="55"/>
      <c r="D5246" s="31"/>
    </row>
    <row r="5247">
      <c r="A5247" s="51" t="s">
        <v>34368</v>
      </c>
      <c r="B5247" s="152"/>
      <c r="C5247" s="55"/>
      <c r="D5247" s="31"/>
    </row>
    <row r="5248">
      <c r="A5248" s="51" t="s">
        <v>34370</v>
      </c>
      <c r="B5248" s="152"/>
      <c r="C5248" s="55"/>
      <c r="D5248" s="31"/>
    </row>
    <row r="5249">
      <c r="A5249" s="51" t="s">
        <v>34371</v>
      </c>
      <c r="B5249" s="152"/>
      <c r="C5249" s="55"/>
      <c r="D5249" s="31"/>
    </row>
    <row r="5250">
      <c r="A5250" s="51" t="s">
        <v>34372</v>
      </c>
      <c r="B5250" s="152"/>
      <c r="C5250" s="55"/>
      <c r="D5250" s="31"/>
    </row>
    <row r="5251">
      <c r="A5251" s="51" t="s">
        <v>34373</v>
      </c>
      <c r="B5251" s="152"/>
      <c r="C5251" s="55"/>
      <c r="D5251" s="31"/>
    </row>
    <row r="5252">
      <c r="A5252" s="51" t="s">
        <v>34374</v>
      </c>
      <c r="B5252" s="152"/>
      <c r="C5252" s="55"/>
      <c r="D5252" s="31"/>
    </row>
    <row r="5253">
      <c r="A5253" s="51" t="s">
        <v>34375</v>
      </c>
      <c r="B5253" s="152"/>
      <c r="C5253" s="55"/>
      <c r="D5253" s="31"/>
    </row>
    <row r="5254">
      <c r="A5254" s="51" t="s">
        <v>34377</v>
      </c>
      <c r="B5254" s="152"/>
      <c r="C5254" s="55"/>
      <c r="D5254" s="31"/>
    </row>
    <row r="5255">
      <c r="A5255" s="51" t="s">
        <v>34378</v>
      </c>
      <c r="B5255" s="152"/>
      <c r="C5255" s="55"/>
      <c r="D5255" s="31"/>
    </row>
    <row r="5256">
      <c r="A5256" s="51" t="s">
        <v>34380</v>
      </c>
      <c r="B5256" s="152"/>
      <c r="C5256" s="55"/>
      <c r="D5256" s="31"/>
    </row>
    <row r="5257">
      <c r="A5257" s="51" t="s">
        <v>34381</v>
      </c>
      <c r="B5257" s="152"/>
      <c r="C5257" s="55"/>
      <c r="D5257" s="31"/>
    </row>
    <row r="5258">
      <c r="A5258" s="51" t="s">
        <v>34382</v>
      </c>
      <c r="B5258" s="152"/>
      <c r="C5258" s="55"/>
      <c r="D5258" s="31"/>
    </row>
    <row r="5259">
      <c r="A5259" s="51" t="s">
        <v>34383</v>
      </c>
      <c r="B5259" s="152"/>
      <c r="C5259" s="55"/>
      <c r="D5259" s="31"/>
    </row>
    <row r="5260">
      <c r="A5260" s="51" t="s">
        <v>34384</v>
      </c>
      <c r="B5260" s="152"/>
      <c r="C5260" s="55"/>
      <c r="D5260" s="31"/>
    </row>
    <row r="5261">
      <c r="A5261" s="51" t="s">
        <v>34385</v>
      </c>
      <c r="B5261" s="152"/>
      <c r="C5261" s="55"/>
      <c r="D5261" s="31"/>
    </row>
    <row r="5262">
      <c r="A5262" s="51" t="s">
        <v>34387</v>
      </c>
      <c r="B5262" s="152"/>
      <c r="C5262" s="55"/>
      <c r="D5262" s="31"/>
    </row>
    <row r="5263">
      <c r="A5263" s="51" t="s">
        <v>34388</v>
      </c>
      <c r="B5263" s="152"/>
      <c r="C5263" s="55"/>
      <c r="D5263" s="31"/>
    </row>
    <row r="5264">
      <c r="A5264" s="51" t="s">
        <v>34390</v>
      </c>
      <c r="B5264" s="152"/>
      <c r="C5264" s="55"/>
      <c r="D5264" s="31"/>
    </row>
    <row r="5265">
      <c r="A5265" s="51" t="s">
        <v>34392</v>
      </c>
      <c r="B5265" s="152"/>
      <c r="C5265" s="55"/>
      <c r="D5265" s="31"/>
    </row>
    <row r="5266">
      <c r="A5266" s="51" t="s">
        <v>34394</v>
      </c>
      <c r="B5266" s="152"/>
      <c r="C5266" s="55"/>
      <c r="D5266" s="31"/>
    </row>
    <row r="5267">
      <c r="A5267" s="51" t="s">
        <v>34395</v>
      </c>
      <c r="B5267" s="152"/>
      <c r="C5267" s="55"/>
      <c r="D5267" s="31"/>
    </row>
    <row r="5268">
      <c r="A5268" s="51" t="s">
        <v>34396</v>
      </c>
      <c r="B5268" s="152"/>
      <c r="C5268" s="55"/>
      <c r="D5268" s="31"/>
    </row>
    <row r="5269">
      <c r="A5269" s="51" t="s">
        <v>34397</v>
      </c>
      <c r="B5269" s="152"/>
      <c r="C5269" s="55"/>
      <c r="D5269" s="31"/>
    </row>
    <row r="5270">
      <c r="A5270" s="51" t="s">
        <v>34398</v>
      </c>
      <c r="B5270" s="152"/>
      <c r="C5270" s="55"/>
      <c r="D5270" s="31"/>
    </row>
    <row r="5271">
      <c r="A5271" s="51" t="s">
        <v>34401</v>
      </c>
      <c r="B5271" s="152"/>
      <c r="C5271" s="55"/>
      <c r="D5271" s="31"/>
    </row>
    <row r="5272">
      <c r="A5272" s="51" t="s">
        <v>34402</v>
      </c>
      <c r="B5272" s="152"/>
      <c r="C5272" s="55"/>
      <c r="D5272" s="31"/>
    </row>
    <row r="5273">
      <c r="A5273" s="51" t="s">
        <v>34405</v>
      </c>
      <c r="B5273" s="152"/>
      <c r="C5273" s="55"/>
      <c r="D5273" s="31"/>
    </row>
    <row r="5274">
      <c r="A5274" s="51" t="s">
        <v>34406</v>
      </c>
      <c r="B5274" s="152"/>
      <c r="C5274" s="55"/>
      <c r="D5274" s="31"/>
    </row>
    <row r="5275">
      <c r="A5275" s="51" t="s">
        <v>34407</v>
      </c>
      <c r="B5275" s="152"/>
      <c r="C5275" s="55"/>
      <c r="D5275" s="31"/>
    </row>
    <row r="5276">
      <c r="A5276" s="51" t="s">
        <v>34408</v>
      </c>
      <c r="B5276" s="152"/>
      <c r="C5276" s="55"/>
      <c r="D5276" s="31"/>
    </row>
    <row r="5277">
      <c r="A5277" s="51" t="s">
        <v>34409</v>
      </c>
      <c r="B5277" s="152"/>
      <c r="C5277" s="55"/>
      <c r="D5277" s="31"/>
    </row>
    <row r="5278">
      <c r="A5278" s="51" t="s">
        <v>34411</v>
      </c>
      <c r="B5278" s="152"/>
      <c r="C5278" s="55"/>
      <c r="D5278" s="31"/>
    </row>
    <row r="5279">
      <c r="A5279" s="51" t="s">
        <v>34412</v>
      </c>
      <c r="B5279" s="152"/>
      <c r="C5279" s="55"/>
      <c r="D5279" s="31"/>
    </row>
    <row r="5280">
      <c r="A5280" s="51" t="s">
        <v>34414</v>
      </c>
      <c r="B5280" s="152"/>
      <c r="C5280" s="55"/>
      <c r="D5280" s="31"/>
    </row>
    <row r="5281">
      <c r="A5281" s="51" t="s">
        <v>34415</v>
      </c>
      <c r="B5281" s="152"/>
      <c r="C5281" s="55"/>
      <c r="D5281" s="31"/>
    </row>
    <row r="5282">
      <c r="A5282" s="51" t="s">
        <v>34417</v>
      </c>
      <c r="B5282" s="152"/>
      <c r="C5282" s="55"/>
      <c r="D5282" s="31"/>
    </row>
    <row r="5283">
      <c r="A5283" s="51" t="s">
        <v>34418</v>
      </c>
      <c r="B5283" s="152"/>
      <c r="C5283" s="55"/>
      <c r="D5283" s="31"/>
    </row>
    <row r="5284">
      <c r="A5284" s="51" t="s">
        <v>34419</v>
      </c>
      <c r="B5284" s="152"/>
      <c r="C5284" s="55"/>
      <c r="D5284" s="31"/>
    </row>
    <row r="5285">
      <c r="A5285" s="51" t="s">
        <v>34420</v>
      </c>
      <c r="B5285" s="152"/>
      <c r="C5285" s="55"/>
      <c r="D5285" s="31"/>
    </row>
    <row r="5286">
      <c r="A5286" s="51" t="s">
        <v>34421</v>
      </c>
      <c r="B5286" s="152"/>
      <c r="C5286" s="55"/>
      <c r="D5286" s="31"/>
    </row>
    <row r="5287">
      <c r="A5287" s="51" t="s">
        <v>34423</v>
      </c>
      <c r="B5287" s="152"/>
      <c r="C5287" s="55"/>
      <c r="D5287" s="31"/>
    </row>
    <row r="5288">
      <c r="A5288" s="51" t="s">
        <v>34424</v>
      </c>
      <c r="B5288" s="152"/>
      <c r="C5288" s="55"/>
      <c r="D5288" s="31"/>
    </row>
    <row r="5289">
      <c r="A5289" s="51" t="s">
        <v>34426</v>
      </c>
      <c r="B5289" s="152"/>
      <c r="C5289" s="55"/>
      <c r="D5289" s="31"/>
    </row>
    <row r="5290">
      <c r="A5290" s="51" t="s">
        <v>34427</v>
      </c>
      <c r="B5290" s="152"/>
      <c r="C5290" s="55"/>
      <c r="D5290" s="31"/>
    </row>
    <row r="5291">
      <c r="A5291" s="51" t="s">
        <v>34429</v>
      </c>
      <c r="B5291" s="152"/>
      <c r="C5291" s="55"/>
      <c r="D5291" s="31"/>
    </row>
    <row r="5292">
      <c r="A5292" s="51" t="s">
        <v>34430</v>
      </c>
      <c r="B5292" s="152"/>
      <c r="C5292" s="55"/>
      <c r="D5292" s="31"/>
    </row>
    <row r="5293">
      <c r="A5293" s="51" t="s">
        <v>34431</v>
      </c>
      <c r="B5293" s="152"/>
      <c r="C5293" s="55"/>
      <c r="D5293" s="31"/>
    </row>
    <row r="5294">
      <c r="A5294" s="51" t="s">
        <v>34432</v>
      </c>
      <c r="B5294" s="152"/>
      <c r="C5294" s="55"/>
      <c r="D5294" s="31"/>
    </row>
    <row r="5295">
      <c r="A5295" s="51" t="s">
        <v>34434</v>
      </c>
      <c r="B5295" s="152"/>
      <c r="C5295" s="55"/>
      <c r="D5295" s="31"/>
    </row>
    <row r="5296">
      <c r="A5296" s="51" t="s">
        <v>34436</v>
      </c>
      <c r="B5296" s="152"/>
      <c r="C5296" s="55"/>
      <c r="D5296" s="31"/>
    </row>
  </sheetData>
  <mergeCells count="1">
    <mergeCell ref="A3:K3"/>
  </mergeCells>
  <drawing r:id="rId1"/>
</worksheet>
</file>